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drawings/drawing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drawings/drawing8.xml" ContentType="application/vnd.openxmlformats-officedocument.drawing+xml"/>
  <Override PartName="/xl/slicers/slicer1.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pivotTables/pivotTable39.xml" ContentType="application/vnd.openxmlformats-officedocument.spreadsheetml.pivotTable+xml"/>
  <Override PartName="/xl/pivotTables/pivotTable40.xml" ContentType="application/vnd.openxmlformats-officedocument.spreadsheetml.pivotTable+xml"/>
  <Override PartName="/xl/tables/table4.xml" ContentType="application/vnd.openxmlformats-officedocument.spreadsheetml.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tables/table5.xml" ContentType="application/vnd.openxmlformats-officedocument.spreadsheetml.table+xml"/>
  <Override PartName="/xl/tables/table6.xml" ContentType="application/vnd.openxmlformats-officedocument.spreadsheetml.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1.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2.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3.xml" ContentType="application/vnd.openxmlformats-officedocument.drawingml.chartshapes+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pivotTables/pivotTable47.xml" ContentType="application/vnd.openxmlformats-officedocument.spreadsheetml.pivotTable+xml"/>
  <Override PartName="/xl/drawings/drawing14.xml" ContentType="application/vnd.openxmlformats-officedocument.drawing+xml"/>
  <Override PartName="/xl/slicers/slicer2.xml" ContentType="application/vnd.ms-excel.slicer+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5.xml" ContentType="application/vnd.openxmlformats-officedocument.drawingml.chartshapes+xml"/>
  <Override PartName="/xl/pivotTables/pivotTable48.xml" ContentType="application/vnd.openxmlformats-officedocument.spreadsheetml.pivotTable+xml"/>
  <Override PartName="/xl/drawings/drawing16.xml" ContentType="application/vnd.openxmlformats-officedocument.drawing+xml"/>
  <Override PartName="/xl/slicers/slicer3.xml" ContentType="application/vnd.ms-excel.slicer+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pivotTables/pivotTable49.xml" ContentType="application/vnd.openxmlformats-officedocument.spreadsheetml.pivotTable+xml"/>
  <Override PartName="/xl/drawings/drawing17.xml" ContentType="application/vnd.openxmlformats-officedocument.drawing+xml"/>
  <Override PartName="/xl/slicers/slicer4.xml" ContentType="application/vnd.ms-excel.slicer+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8.xml" ContentType="application/vnd.openxmlformats-officedocument.drawing+xml"/>
  <Override PartName="/xl/tables/table13.xml" ContentType="application/vnd.openxmlformats-officedocument.spreadsheetml.table+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hidePivotFieldList="1"/>
  <mc:AlternateContent xmlns:mc="http://schemas.openxmlformats.org/markup-compatibility/2006">
    <mc:Choice Requires="x15">
      <x15ac:absPath xmlns:x15ac="http://schemas.microsoft.com/office/spreadsheetml/2010/11/ac" url="https://unicef-my.sharepoint.com/personal/mthaw_unicef_org/Documents/Mee Mee_backup/2. Information Management/B_ 4 W/002. 4Ws matrix/004.Yangon/Final/2022/2022_Q3/"/>
    </mc:Choice>
  </mc:AlternateContent>
  <xr:revisionPtr revIDLastSave="550" documentId="13_ncr:1_{5B64DBCB-EC38-4E05-9AEE-702B50FA74BB}" xr6:coauthVersionLast="47" xr6:coauthVersionMax="47" xr10:uidLastSave="{BD2699EA-D149-415A-8859-29ED53573F9A}"/>
  <bookViews>
    <workbookView xWindow="-110" yWindow="-110" windowWidth="19420" windowHeight="10420" tabRatio="831" activeTab="2" xr2:uid="{00000000-000D-0000-FFFF-FFFF00000000}"/>
  </bookViews>
  <sheets>
    <sheet name="Guide" sheetId="81" r:id="rId1"/>
    <sheet name="HWS" sheetId="128" state="hidden" r:id="rId2"/>
    <sheet name="DATABASE" sheetId="25" r:id="rId3"/>
    <sheet name="Site_DB" sheetId="91" r:id="rId4"/>
    <sheet name="Indicator Summary  Eng" sheetId="124" r:id="rId5"/>
    <sheet name="Indicator Summary  MM" sheetId="125" r:id="rId6"/>
    <sheet name="HRP Calculations" sheetId="132" r:id="rId7"/>
    <sheet name="HRP" sheetId="89" r:id="rId8"/>
    <sheet name="HRP ref" sheetId="129" state="hidden" r:id="rId9"/>
    <sheet name="Analysis" sheetId="92" r:id="rId10"/>
    <sheet name="Sheet2" sheetId="122" state="hidden" r:id="rId11"/>
    <sheet name="partners_Q1" sheetId="130" state="hidden" r:id="rId12"/>
    <sheet name="partners_Q2" sheetId="131" state="hidden" r:id="rId13"/>
    <sheet name="partners_Q3" sheetId="133" state="hidden" r:id="rId14"/>
    <sheet name="Kachin" sheetId="111" r:id="rId15"/>
    <sheet name="Shan(n)" sheetId="110" r:id="rId16"/>
    <sheet name="AAP-community Feedback" sheetId="121" state="hidden" r:id="rId17"/>
    <sheet name="Quarterly Dashboard" sheetId="100" r:id="rId18"/>
    <sheet name="By Camps" sheetId="102" r:id="rId19"/>
    <sheet name="Tracking Dashboard" sheetId="114" r:id="rId20"/>
    <sheet name="Lookup" sheetId="32" state="hidden" r:id="rId21"/>
  </sheets>
  <externalReferences>
    <externalReference r:id="rId22"/>
    <externalReference r:id="rId23"/>
    <externalReference r:id="rId24"/>
    <externalReference r:id="rId25"/>
    <externalReference r:id="rId26"/>
    <externalReference r:id="rId27"/>
  </externalReferences>
  <definedNames>
    <definedName name="_Fill" localSheetId="18" hidden="1">#REF!</definedName>
    <definedName name="_Fill" localSheetId="6" hidden="1">#REF!</definedName>
    <definedName name="_Fill" localSheetId="4" hidden="1">#REF!</definedName>
    <definedName name="_Fill" localSheetId="14" hidden="1">#REF!</definedName>
    <definedName name="_Fill" localSheetId="15" hidden="1">#REF!</definedName>
    <definedName name="_Fill" hidden="1">#REF!</definedName>
    <definedName name="_xlnm._FilterDatabase" localSheetId="2" hidden="1">DATABASE!$A$1:$EP$5</definedName>
    <definedName name="_xlnm._FilterDatabase" localSheetId="7" hidden="1">HRP!$B$21:$Z$164</definedName>
    <definedName name="_xlnm._FilterDatabase" localSheetId="4" hidden="1">'Indicator Summary  Eng'!$B$2:$H$73</definedName>
    <definedName name="_xlnm._FilterDatabase" localSheetId="20" hidden="1">Lookup!$A$3:$AA$457</definedName>
    <definedName name="_xlnm._FilterDatabase" localSheetId="11" hidden="1">partners_Q1!$I$1:$J$65</definedName>
    <definedName name="_Key1" localSheetId="16" hidden="1">[1]Data!#REF!</definedName>
    <definedName name="_Key1" localSheetId="18" hidden="1">[1]Data!#REF!</definedName>
    <definedName name="_Key1" localSheetId="6" hidden="1">[1]Data!#REF!</definedName>
    <definedName name="_Key1" localSheetId="4" hidden="1">[1]Data!#REF!</definedName>
    <definedName name="_Key1" localSheetId="14" hidden="1">[1]Data!#REF!</definedName>
    <definedName name="_Key1" localSheetId="15" hidden="1">[1]Data!#REF!</definedName>
    <definedName name="_Key1" hidden="1">[1]Data!#REF!</definedName>
    <definedName name="_Order1" hidden="1">255</definedName>
    <definedName name="_xlcn.WorksheetConnection_20200716_Myanmar_WASH_4W_2020_Q2_KachinShan_camp_Consolidate.xlsxWWWW1" hidden="1">WWWW[]</definedName>
    <definedName name="a" localSheetId="16" hidden="1">#REF!</definedName>
    <definedName name="a" hidden="1">#REF!</definedName>
    <definedName name="b">[2]!SiteDB6[[#Headers],[Township]]</definedName>
    <definedName name="_xlnm.Print_Area" localSheetId="6">'HRP Calculations'!$A$1:$F$11</definedName>
    <definedName name="_xlnm.Print_Area" localSheetId="4">'Indicator Summary  Eng'!$B$1:$G$73</definedName>
    <definedName name="_xlnm.Print_Area" localSheetId="5">'Indicator Summary  MM'!$B$2:$G$72</definedName>
    <definedName name="_xlnm.Print_Area" localSheetId="14">Kachin!$B$1:$T$114</definedName>
    <definedName name="_xlnm.Print_Area" localSheetId="15">'Shan(n)'!$A$1:$T$103</definedName>
    <definedName name="_xlnm.Print_Titles" localSheetId="4">'Indicator Summary  Eng'!$1:$2</definedName>
    <definedName name="_xlnm.Print_Titles" localSheetId="5">'Indicator Summary  MM'!$1:$2</definedName>
    <definedName name="Sasha" localSheetId="16" hidden="1">{#N/A,#N/A,FALSE,"Truck Rent"}</definedName>
    <definedName name="Sasha" localSheetId="6" hidden="1">{#N/A,#N/A,FALSE,"Truck Rent"}</definedName>
    <definedName name="Sasha" localSheetId="4" hidden="1">{#N/A,#N/A,FALSE,"Truck Rent"}</definedName>
    <definedName name="Sasha" hidden="1">{#N/A,#N/A,FALSE,"Truck Rent"}</definedName>
    <definedName name="Slicer_Location_Type">#N/A</definedName>
    <definedName name="Slicer_Location_Type_1">#N/A</definedName>
    <definedName name="Slicer_Location_Type1">#N/A</definedName>
    <definedName name="Slicer_Location_Type2">#N/A</definedName>
    <definedName name="Slicer_Reporting_Period">#N/A</definedName>
    <definedName name="Slicer_State">#N/A</definedName>
    <definedName name="Slicer_State1">#N/A</definedName>
    <definedName name="Slicer_State11">#N/A</definedName>
    <definedName name="Slicer_State2">#N/A</definedName>
    <definedName name="Slicer_Township">#N/A</definedName>
    <definedName name="Slicer_Township1">#N/A</definedName>
    <definedName name="Slicer_Township2">#N/A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16">[3]Lookup!$AB$4:$AB$83</definedName>
    <definedName name="State_list" localSheetId="6">[4]Lookup!$AB$4:$AB$83</definedName>
    <definedName name="State_list">Lookup!$AB$4:$AB$83</definedName>
    <definedName name="Statestart_1" localSheetId="16">[3]Lookup!$AB$3</definedName>
    <definedName name="Statestart_1" localSheetId="6">[4]Lookup!$AB$3</definedName>
    <definedName name="Statestart_1">Lookup!$AB$3</definedName>
    <definedName name="Township_list" localSheetId="16">[3]!SiteDB6[Township]</definedName>
    <definedName name="Township_list" localSheetId="6">[4]!SiteDB6[Township]</definedName>
    <definedName name="Township_list" localSheetId="14">SiteDB6[Township]</definedName>
    <definedName name="Township_list" localSheetId="13">SiteDB6[Township]</definedName>
    <definedName name="Township_list" localSheetId="15">SiteDB6[Township]</definedName>
    <definedName name="Township_list">SiteDB6[Township]</definedName>
    <definedName name="Township_start" localSheetId="16">[3]!SiteDB6[[#Headers],[Township]]</definedName>
    <definedName name="Township_start" localSheetId="6">[4]!SiteDB6[[#Headers],[Township]]</definedName>
    <definedName name="Township_start" localSheetId="14">SiteDB6[[#Headers],[Township]]</definedName>
    <definedName name="Township_start" localSheetId="13">SiteDB6[[#Headers],[Township]]</definedName>
    <definedName name="Township_start" localSheetId="15">SiteDB6[[#Headers],[Township]]</definedName>
    <definedName name="Township_start">SiteDB6[[#Headers],[Township]]</definedName>
    <definedName name="TSps">Lookup!$AC$3:$AC$83</definedName>
    <definedName name="wrn.MUSA._.TRUCKS." localSheetId="16" hidden="1">{#N/A,#N/A,FALSE,"Truck Rent"}</definedName>
    <definedName name="wrn.MUSA._.TRUCKS." localSheetId="6" hidden="1">{#N/A,#N/A,FALSE,"Truck Rent"}</definedName>
    <definedName name="wrn.MUSA._.TRUCKS." localSheetId="4" hidden="1">{#N/A,#N/A,FALSE,"Truck Rent"}</definedName>
    <definedName name="wrn.MUSA._.TRUCKS." hidden="1">{#N/A,#N/A,FALSE,"Truck Rent"}</definedName>
  </definedNames>
  <calcPr calcId="191029"/>
  <pivotCaches>
    <pivotCache cacheId="4" r:id="rId28"/>
    <pivotCache cacheId="5" r:id="rId29"/>
    <pivotCache cacheId="6" r:id="rId30"/>
    <pivotCache cacheId="7" r:id="rId31"/>
    <pivotCache cacheId="8" r:id="rId32"/>
    <pivotCache cacheId="9" r:id="rId33"/>
    <pivotCache cacheId="10" r:id="rId34"/>
    <pivotCache cacheId="11" r:id="rId35"/>
  </pivotCaches>
  <extLst>
    <ext xmlns:x14="http://schemas.microsoft.com/office/spreadsheetml/2009/9/main" uri="{BBE1A952-AA13-448e-AADC-164F8A28A991}">
      <x14:slicerCaches>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6_Myanmar_WASH_4W_2020_Q2_KachinShan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74" i="89" l="1"/>
  <c r="M81" i="89" l="1"/>
  <c r="M43" i="89"/>
  <c r="AA61" i="92"/>
  <c r="Z61" i="92"/>
  <c r="M69" i="92"/>
  <c r="L69" i="92"/>
  <c r="M63" i="92"/>
  <c r="L63" i="92"/>
  <c r="J54" i="92"/>
  <c r="O138" i="89" l="1"/>
  <c r="O55" i="89" l="1"/>
  <c r="O36" i="89"/>
  <c r="N36" i="89"/>
  <c r="P150" i="89"/>
  <c r="K134" i="89" l="1"/>
  <c r="K51" i="89"/>
  <c r="L39" i="89"/>
  <c r="H158" i="89" l="1"/>
  <c r="H75" i="89"/>
  <c r="G588" i="25" l="1"/>
  <c r="G587" i="25"/>
  <c r="G586" i="25"/>
  <c r="G585" i="25"/>
  <c r="G584" i="25"/>
  <c r="G583" i="25"/>
  <c r="G582" i="25"/>
  <c r="G581" i="25"/>
  <c r="G580" i="25"/>
  <c r="G579" i="25"/>
  <c r="G578" i="25"/>
  <c r="G577" i="25"/>
  <c r="G576" i="25"/>
  <c r="G575" i="25"/>
  <c r="G574" i="25"/>
  <c r="G573" i="25"/>
  <c r="G572" i="25"/>
  <c r="G571" i="25"/>
  <c r="G570" i="25"/>
  <c r="G569" i="25"/>
  <c r="G568" i="25"/>
  <c r="G567" i="25"/>
  <c r="G566" i="25"/>
  <c r="G565" i="25"/>
  <c r="G564" i="25"/>
  <c r="G563" i="25"/>
  <c r="G562" i="25"/>
  <c r="G561" i="25"/>
  <c r="G560" i="25"/>
  <c r="G559" i="25"/>
  <c r="G558" i="25"/>
  <c r="G557" i="25"/>
  <c r="G556" i="25"/>
  <c r="G555" i="25"/>
  <c r="G554" i="25"/>
  <c r="G553" i="25"/>
  <c r="G552" i="25"/>
  <c r="G551" i="25"/>
  <c r="G550" i="25"/>
  <c r="G549" i="25"/>
  <c r="G548" i="25"/>
  <c r="G547" i="25"/>
  <c r="G546" i="25"/>
  <c r="CE546" i="25"/>
  <c r="CE547" i="25"/>
  <c r="CE548" i="25"/>
  <c r="CE549" i="25"/>
  <c r="CE550" i="25"/>
  <c r="CE551" i="25"/>
  <c r="CE552" i="25"/>
  <c r="CE553" i="25"/>
  <c r="CE554" i="25"/>
  <c r="CE555" i="25"/>
  <c r="CE556" i="25"/>
  <c r="CE557" i="25"/>
  <c r="CE558" i="25"/>
  <c r="CE559" i="25"/>
  <c r="CE560" i="25"/>
  <c r="CE561" i="25"/>
  <c r="CE562" i="25"/>
  <c r="CE563" i="25"/>
  <c r="CE564" i="25"/>
  <c r="CE565" i="25"/>
  <c r="CE566" i="25"/>
  <c r="CE567" i="25"/>
  <c r="CE568" i="25"/>
  <c r="CE569" i="25"/>
  <c r="CE570" i="25"/>
  <c r="CE571" i="25"/>
  <c r="CE572" i="25"/>
  <c r="CE573" i="25"/>
  <c r="CE574" i="25"/>
  <c r="CE575" i="25"/>
  <c r="CE576" i="25"/>
  <c r="CE577" i="25"/>
  <c r="CE578" i="25"/>
  <c r="CE579" i="25"/>
  <c r="CE580" i="25"/>
  <c r="CE581" i="25"/>
  <c r="CE582" i="25"/>
  <c r="CE583" i="25"/>
  <c r="CE584" i="25"/>
  <c r="CE585" i="25"/>
  <c r="CE586" i="25"/>
  <c r="CE587" i="25"/>
  <c r="CE588" i="25"/>
  <c r="CF546" i="25"/>
  <c r="CF547" i="25"/>
  <c r="CF548" i="25"/>
  <c r="CF549" i="25"/>
  <c r="CF550" i="25"/>
  <c r="CF551" i="25"/>
  <c r="CF552" i="25"/>
  <c r="CF553" i="25"/>
  <c r="CF554" i="25"/>
  <c r="CF555" i="25"/>
  <c r="CF556" i="25"/>
  <c r="CF557" i="25"/>
  <c r="CF558" i="25"/>
  <c r="CF559" i="25"/>
  <c r="CF560" i="25"/>
  <c r="CF561" i="25"/>
  <c r="CF562" i="25"/>
  <c r="CF563" i="25"/>
  <c r="CF564" i="25"/>
  <c r="CF565" i="25"/>
  <c r="CF566" i="25"/>
  <c r="CF567" i="25"/>
  <c r="CF568" i="25"/>
  <c r="CF569" i="25"/>
  <c r="CF570" i="25"/>
  <c r="CF571" i="25"/>
  <c r="CF572" i="25"/>
  <c r="CF573" i="25"/>
  <c r="CF574" i="25"/>
  <c r="CF575" i="25"/>
  <c r="CF576" i="25"/>
  <c r="CF577" i="25"/>
  <c r="CF578" i="25"/>
  <c r="CF579" i="25"/>
  <c r="CF580" i="25"/>
  <c r="CF581" i="25"/>
  <c r="CF582" i="25"/>
  <c r="CF583" i="25"/>
  <c r="CF584" i="25"/>
  <c r="CF585" i="25"/>
  <c r="CF586" i="25"/>
  <c r="CF587" i="25"/>
  <c r="CF588" i="25"/>
  <c r="CH546" i="25"/>
  <c r="CH547" i="25"/>
  <c r="CH548" i="25"/>
  <c r="CH549" i="25"/>
  <c r="CH550" i="25"/>
  <c r="CH551" i="25"/>
  <c r="CH552" i="25"/>
  <c r="CH553" i="25"/>
  <c r="CH554" i="25"/>
  <c r="CH555" i="25"/>
  <c r="CH556" i="25"/>
  <c r="CH557" i="25"/>
  <c r="CH558" i="25"/>
  <c r="CH559" i="25"/>
  <c r="CH560" i="25"/>
  <c r="CH561" i="25"/>
  <c r="CH562" i="25"/>
  <c r="CH563" i="25"/>
  <c r="CH564" i="25"/>
  <c r="CH565" i="25"/>
  <c r="CH566" i="25"/>
  <c r="CH567" i="25"/>
  <c r="CH568" i="25"/>
  <c r="CH569" i="25"/>
  <c r="CH570" i="25"/>
  <c r="CH571" i="25"/>
  <c r="CH572" i="25"/>
  <c r="CH573" i="25"/>
  <c r="CH574" i="25"/>
  <c r="CH575" i="25"/>
  <c r="CH576" i="25"/>
  <c r="CH577" i="25"/>
  <c r="CH578" i="25"/>
  <c r="CH579" i="25"/>
  <c r="CH580" i="25"/>
  <c r="CH581" i="25"/>
  <c r="CH582" i="25"/>
  <c r="CH583" i="25"/>
  <c r="CH584" i="25"/>
  <c r="CH585" i="25"/>
  <c r="CH586" i="25"/>
  <c r="CH587" i="25"/>
  <c r="CH588" i="25"/>
  <c r="CI546" i="25"/>
  <c r="CI547" i="25"/>
  <c r="CI548" i="25"/>
  <c r="CI549" i="25"/>
  <c r="CI550" i="25"/>
  <c r="CI551" i="25"/>
  <c r="CI552" i="25"/>
  <c r="CI553" i="25"/>
  <c r="CI554" i="25"/>
  <c r="CI555" i="25"/>
  <c r="CI556" i="25"/>
  <c r="CI557" i="25"/>
  <c r="CI558" i="25"/>
  <c r="CI559" i="25"/>
  <c r="CI560" i="25"/>
  <c r="CI561" i="25"/>
  <c r="CI562" i="25"/>
  <c r="CI563" i="25"/>
  <c r="CI564" i="25"/>
  <c r="CI565" i="25"/>
  <c r="CI566" i="25"/>
  <c r="CI567" i="25"/>
  <c r="CI568" i="25"/>
  <c r="CI569" i="25"/>
  <c r="CI570" i="25"/>
  <c r="CI571" i="25"/>
  <c r="CI572" i="25"/>
  <c r="CI573" i="25"/>
  <c r="CI574" i="25"/>
  <c r="CI575" i="25"/>
  <c r="CI576" i="25"/>
  <c r="CI577" i="25"/>
  <c r="CI578" i="25"/>
  <c r="CI579" i="25"/>
  <c r="CI580" i="25"/>
  <c r="CI581" i="25"/>
  <c r="CI582" i="25"/>
  <c r="CI583" i="25"/>
  <c r="CI584" i="25"/>
  <c r="CI585" i="25"/>
  <c r="CI586" i="25"/>
  <c r="CI587" i="25"/>
  <c r="CI588" i="25"/>
  <c r="CJ546" i="25"/>
  <c r="CJ547" i="25"/>
  <c r="CJ548" i="25"/>
  <c r="CJ549" i="25"/>
  <c r="CJ550" i="25"/>
  <c r="CJ551" i="25"/>
  <c r="CJ552" i="25"/>
  <c r="CJ553" i="25"/>
  <c r="CJ554" i="25"/>
  <c r="CJ555" i="25"/>
  <c r="CJ556" i="25"/>
  <c r="CJ557" i="25"/>
  <c r="CJ558" i="25"/>
  <c r="CJ559" i="25"/>
  <c r="CJ560" i="25"/>
  <c r="CJ561" i="25"/>
  <c r="CJ562" i="25"/>
  <c r="CJ563" i="25"/>
  <c r="CJ564" i="25"/>
  <c r="CJ565" i="25"/>
  <c r="CJ566" i="25"/>
  <c r="CJ567" i="25"/>
  <c r="CJ568" i="25"/>
  <c r="CJ569" i="25"/>
  <c r="CJ570" i="25"/>
  <c r="CJ571" i="25"/>
  <c r="CJ572" i="25"/>
  <c r="CJ573" i="25"/>
  <c r="CJ574" i="25"/>
  <c r="CJ575" i="25"/>
  <c r="CJ576" i="25"/>
  <c r="CJ577" i="25"/>
  <c r="CJ578" i="25"/>
  <c r="CJ579" i="25"/>
  <c r="CJ580" i="25"/>
  <c r="CJ581" i="25"/>
  <c r="CJ582" i="25"/>
  <c r="CJ583" i="25"/>
  <c r="CJ584" i="25"/>
  <c r="CJ585" i="25"/>
  <c r="CJ586" i="25"/>
  <c r="CJ587" i="25"/>
  <c r="CJ588" i="25"/>
  <c r="CK546" i="25"/>
  <c r="CK547" i="25"/>
  <c r="CK548" i="25"/>
  <c r="CK549" i="25"/>
  <c r="CK550" i="25"/>
  <c r="CK551" i="25"/>
  <c r="CK552" i="25"/>
  <c r="CK553" i="25"/>
  <c r="CK554" i="25"/>
  <c r="CK555" i="25"/>
  <c r="CK556" i="25"/>
  <c r="CK557" i="25"/>
  <c r="CK558" i="25"/>
  <c r="CK559" i="25"/>
  <c r="CK560" i="25"/>
  <c r="CK561" i="25"/>
  <c r="CK562" i="25"/>
  <c r="CK563" i="25"/>
  <c r="CK564" i="25"/>
  <c r="CK565" i="25"/>
  <c r="CK566" i="25"/>
  <c r="CK567" i="25"/>
  <c r="CK568" i="25"/>
  <c r="CK569" i="25"/>
  <c r="CK570" i="25"/>
  <c r="CK571" i="25"/>
  <c r="CK572" i="25"/>
  <c r="CK573" i="25"/>
  <c r="CK574" i="25"/>
  <c r="CK575" i="25"/>
  <c r="CK576" i="25"/>
  <c r="CK577" i="25"/>
  <c r="CK578" i="25"/>
  <c r="CK579" i="25"/>
  <c r="CK580" i="25"/>
  <c r="CK581" i="25"/>
  <c r="CK582" i="25"/>
  <c r="CK583" i="25"/>
  <c r="CK584" i="25"/>
  <c r="CK585" i="25"/>
  <c r="CK586" i="25"/>
  <c r="CK587" i="25"/>
  <c r="CK588" i="25"/>
  <c r="CL546" i="25"/>
  <c r="CL547" i="25"/>
  <c r="CL548" i="25"/>
  <c r="CL549" i="25"/>
  <c r="CL550" i="25"/>
  <c r="CL551" i="25"/>
  <c r="CL552" i="25"/>
  <c r="CL553" i="25"/>
  <c r="CL554" i="25"/>
  <c r="CL555" i="25"/>
  <c r="CL556" i="25"/>
  <c r="CL557" i="25"/>
  <c r="CL558" i="25"/>
  <c r="CL559" i="25"/>
  <c r="CL560" i="25"/>
  <c r="CL561" i="25"/>
  <c r="CL562" i="25"/>
  <c r="CL563" i="25"/>
  <c r="CL564" i="25"/>
  <c r="CL565" i="25"/>
  <c r="CL566" i="25"/>
  <c r="CL567" i="25"/>
  <c r="CL568" i="25"/>
  <c r="CL569" i="25"/>
  <c r="CL570" i="25"/>
  <c r="CL571" i="25"/>
  <c r="CL572" i="25"/>
  <c r="CL573" i="25"/>
  <c r="CL574" i="25"/>
  <c r="CL575" i="25"/>
  <c r="CL576" i="25"/>
  <c r="CL577" i="25"/>
  <c r="CL578" i="25"/>
  <c r="CL579" i="25"/>
  <c r="CL580" i="25"/>
  <c r="CL581" i="25"/>
  <c r="CL582" i="25"/>
  <c r="CL583" i="25"/>
  <c r="CL584" i="25"/>
  <c r="CL585" i="25"/>
  <c r="CL586" i="25"/>
  <c r="CL587" i="25"/>
  <c r="CL588" i="25"/>
  <c r="CM546" i="25"/>
  <c r="CM547" i="25"/>
  <c r="CM548" i="25"/>
  <c r="CM549" i="25"/>
  <c r="CM550" i="25"/>
  <c r="CM551" i="25"/>
  <c r="CM552" i="25"/>
  <c r="CM553" i="25"/>
  <c r="CM554" i="25"/>
  <c r="CM555" i="25"/>
  <c r="CM556" i="25"/>
  <c r="CM557" i="25"/>
  <c r="CM558" i="25"/>
  <c r="CM559" i="25"/>
  <c r="CM560" i="25"/>
  <c r="CM561" i="25"/>
  <c r="CM562" i="25"/>
  <c r="CM563" i="25"/>
  <c r="CM564" i="25"/>
  <c r="CM565" i="25"/>
  <c r="CM566" i="25"/>
  <c r="CM567" i="25"/>
  <c r="CM568" i="25"/>
  <c r="CM569" i="25"/>
  <c r="CM570" i="25"/>
  <c r="CM571" i="25"/>
  <c r="CM572" i="25"/>
  <c r="CM573" i="25"/>
  <c r="CM574" i="25"/>
  <c r="CM575" i="25"/>
  <c r="CM576" i="25"/>
  <c r="CM577" i="25"/>
  <c r="CM578" i="25"/>
  <c r="CM579" i="25"/>
  <c r="CM580" i="25"/>
  <c r="CM581" i="25"/>
  <c r="CM582" i="25"/>
  <c r="CM583" i="25"/>
  <c r="CM584" i="25"/>
  <c r="CM585" i="25"/>
  <c r="CM586" i="25"/>
  <c r="CM587" i="25"/>
  <c r="CM588" i="25"/>
  <c r="CN546" i="25"/>
  <c r="CN547" i="25"/>
  <c r="CN548" i="25"/>
  <c r="CN549" i="25"/>
  <c r="CN550" i="25"/>
  <c r="CN551" i="25"/>
  <c r="CN552" i="25"/>
  <c r="CN553" i="25"/>
  <c r="CN554" i="25"/>
  <c r="CN555" i="25"/>
  <c r="CN556" i="25"/>
  <c r="CN557" i="25"/>
  <c r="CN558" i="25"/>
  <c r="CN559" i="25"/>
  <c r="CN560" i="25"/>
  <c r="CN561" i="25"/>
  <c r="CN562" i="25"/>
  <c r="CN563" i="25"/>
  <c r="CN564" i="25"/>
  <c r="CN565" i="25"/>
  <c r="CN566" i="25"/>
  <c r="CN567" i="25"/>
  <c r="CN568" i="25"/>
  <c r="CN569" i="25"/>
  <c r="CN570" i="25"/>
  <c r="CN571" i="25"/>
  <c r="CN572" i="25"/>
  <c r="CN573" i="25"/>
  <c r="CN574" i="25"/>
  <c r="CN575" i="25"/>
  <c r="CN576" i="25"/>
  <c r="CN577" i="25"/>
  <c r="CN578" i="25"/>
  <c r="CN579" i="25"/>
  <c r="CN580" i="25"/>
  <c r="CN581" i="25"/>
  <c r="CN582" i="25"/>
  <c r="CN583" i="25"/>
  <c r="CN584" i="25"/>
  <c r="CN585" i="25"/>
  <c r="CN586" i="25"/>
  <c r="CN587" i="25"/>
  <c r="CN588" i="25"/>
  <c r="CS546" i="25"/>
  <c r="CS547" i="25"/>
  <c r="CT547" i="25" s="1"/>
  <c r="CS548" i="25"/>
  <c r="CT548" i="25" s="1"/>
  <c r="CS549" i="25"/>
  <c r="CT549" i="25" s="1"/>
  <c r="CS550" i="25"/>
  <c r="CT550" i="25" s="1"/>
  <c r="CS551" i="25"/>
  <c r="CS552" i="25"/>
  <c r="CT552" i="25" s="1"/>
  <c r="CS553" i="25"/>
  <c r="CT553" i="25" s="1"/>
  <c r="CS554" i="25"/>
  <c r="CS555" i="25"/>
  <c r="CT555" i="25" s="1"/>
  <c r="CS556" i="25"/>
  <c r="CT556" i="25" s="1"/>
  <c r="CS557" i="25"/>
  <c r="CT557" i="25" s="1"/>
  <c r="CS558" i="25"/>
  <c r="CT558" i="25" s="1"/>
  <c r="CS559" i="25"/>
  <c r="CS560" i="25"/>
  <c r="CT560" i="25" s="1"/>
  <c r="CS561" i="25"/>
  <c r="CT561" i="25" s="1"/>
  <c r="CS562" i="25"/>
  <c r="CS563" i="25"/>
  <c r="CT563" i="25" s="1"/>
  <c r="CS564" i="25"/>
  <c r="CT564" i="25" s="1"/>
  <c r="CS565" i="25"/>
  <c r="CT565" i="25" s="1"/>
  <c r="CS566" i="25"/>
  <c r="CT566" i="25" s="1"/>
  <c r="CS567" i="25"/>
  <c r="CS568" i="25"/>
  <c r="CT568" i="25" s="1"/>
  <c r="CS569" i="25"/>
  <c r="CT569" i="25" s="1"/>
  <c r="CS570" i="25"/>
  <c r="CS571" i="25"/>
  <c r="CT571" i="25" s="1"/>
  <c r="CS572" i="25"/>
  <c r="CT572" i="25" s="1"/>
  <c r="CS573" i="25"/>
  <c r="CT573" i="25" s="1"/>
  <c r="CS574" i="25"/>
  <c r="CT574" i="25" s="1"/>
  <c r="CS575" i="25"/>
  <c r="CS576" i="25"/>
  <c r="CT576" i="25" s="1"/>
  <c r="CS577" i="25"/>
  <c r="CT577" i="25" s="1"/>
  <c r="CS578" i="25"/>
  <c r="CS579" i="25"/>
  <c r="CT579" i="25" s="1"/>
  <c r="CS580" i="25"/>
  <c r="CT580" i="25" s="1"/>
  <c r="CS581" i="25"/>
  <c r="CT581" i="25" s="1"/>
  <c r="CS582" i="25"/>
  <c r="CT582" i="25" s="1"/>
  <c r="CS583" i="25"/>
  <c r="CS584" i="25"/>
  <c r="CT584" i="25" s="1"/>
  <c r="CS585" i="25"/>
  <c r="CT585" i="25" s="1"/>
  <c r="CS586" i="25"/>
  <c r="CS587" i="25"/>
  <c r="CT587" i="25" s="1"/>
  <c r="CS588" i="25"/>
  <c r="CT588" i="25" s="1"/>
  <c r="DA546" i="25"/>
  <c r="DA547" i="25"/>
  <c r="DA548" i="25"/>
  <c r="DA549" i="25"/>
  <c r="DA550" i="25"/>
  <c r="DA551" i="25"/>
  <c r="DA552" i="25"/>
  <c r="DA553" i="25"/>
  <c r="DA554" i="25"/>
  <c r="DA555" i="25"/>
  <c r="DA556" i="25"/>
  <c r="DA557" i="25"/>
  <c r="DA558" i="25"/>
  <c r="DA559" i="25"/>
  <c r="DA560" i="25"/>
  <c r="DA561" i="25"/>
  <c r="DA562" i="25"/>
  <c r="DA563" i="25"/>
  <c r="DA564" i="25"/>
  <c r="DA565" i="25"/>
  <c r="DA566" i="25"/>
  <c r="DA567" i="25"/>
  <c r="DA568" i="25"/>
  <c r="DA569" i="25"/>
  <c r="DA570" i="25"/>
  <c r="DA571" i="25"/>
  <c r="DA572" i="25"/>
  <c r="DA573" i="25"/>
  <c r="DA574" i="25"/>
  <c r="DA575" i="25"/>
  <c r="DA576" i="25"/>
  <c r="DA577" i="25"/>
  <c r="DA578" i="25"/>
  <c r="DA579" i="25"/>
  <c r="DA580" i="25"/>
  <c r="DA581" i="25"/>
  <c r="DA582" i="25"/>
  <c r="DA583" i="25"/>
  <c r="DA584" i="25"/>
  <c r="DA585" i="25"/>
  <c r="DA586" i="25"/>
  <c r="DA587" i="25"/>
  <c r="DA588" i="25"/>
  <c r="DB546" i="25"/>
  <c r="DB547" i="25"/>
  <c r="DB548" i="25"/>
  <c r="DB549" i="25"/>
  <c r="DB550" i="25"/>
  <c r="DB551" i="25"/>
  <c r="DB552" i="25"/>
  <c r="DB553" i="25"/>
  <c r="DB554" i="25"/>
  <c r="DB555" i="25"/>
  <c r="DB556" i="25"/>
  <c r="DB557" i="25"/>
  <c r="DB558" i="25"/>
  <c r="DB559" i="25"/>
  <c r="DB560" i="25"/>
  <c r="DB561" i="25"/>
  <c r="DB562" i="25"/>
  <c r="DB563" i="25"/>
  <c r="DB564" i="25"/>
  <c r="DB565" i="25"/>
  <c r="DB566" i="25"/>
  <c r="DB567" i="25"/>
  <c r="DB568" i="25"/>
  <c r="DB569" i="25"/>
  <c r="DB570" i="25"/>
  <c r="DB571" i="25"/>
  <c r="DB572" i="25"/>
  <c r="DB573" i="25"/>
  <c r="DB574" i="25"/>
  <c r="DB575" i="25"/>
  <c r="DB576" i="25"/>
  <c r="DB577" i="25"/>
  <c r="DB578" i="25"/>
  <c r="DB579" i="25"/>
  <c r="DB580" i="25"/>
  <c r="DB581" i="25"/>
  <c r="DB582" i="25"/>
  <c r="DB583" i="25"/>
  <c r="DB584" i="25"/>
  <c r="DB585" i="25"/>
  <c r="DB586" i="25"/>
  <c r="DB587" i="25"/>
  <c r="DB588" i="25"/>
  <c r="DF546" i="25"/>
  <c r="DF547" i="25"/>
  <c r="DF548" i="25"/>
  <c r="DF549" i="25"/>
  <c r="DF550" i="25"/>
  <c r="DF551" i="25"/>
  <c r="DF552" i="25"/>
  <c r="DF553" i="25"/>
  <c r="DF554" i="25"/>
  <c r="DF555" i="25"/>
  <c r="DF556" i="25"/>
  <c r="DF557" i="25"/>
  <c r="DF558" i="25"/>
  <c r="DF559" i="25"/>
  <c r="DF560" i="25"/>
  <c r="DF561" i="25"/>
  <c r="DF562" i="25"/>
  <c r="DF563" i="25"/>
  <c r="DF564" i="25"/>
  <c r="DF565" i="25"/>
  <c r="DF566" i="25"/>
  <c r="DF567" i="25"/>
  <c r="DF568" i="25"/>
  <c r="DF569" i="25"/>
  <c r="DF570" i="25"/>
  <c r="DF571" i="25"/>
  <c r="DF572" i="25"/>
  <c r="DF573" i="25"/>
  <c r="DF574" i="25"/>
  <c r="DF575" i="25"/>
  <c r="DF576" i="25"/>
  <c r="DF577" i="25"/>
  <c r="DF578" i="25"/>
  <c r="DF579" i="25"/>
  <c r="DF580" i="25"/>
  <c r="DF581" i="25"/>
  <c r="DF582" i="25"/>
  <c r="DF583" i="25"/>
  <c r="DF584" i="25"/>
  <c r="DF585" i="25"/>
  <c r="DF586" i="25"/>
  <c r="DF587" i="25"/>
  <c r="DF588" i="25"/>
  <c r="DG546" i="25"/>
  <c r="DG547" i="25"/>
  <c r="DG548" i="25"/>
  <c r="DG549" i="25"/>
  <c r="DG550" i="25"/>
  <c r="DG551" i="25"/>
  <c r="DG552" i="25"/>
  <c r="DG553" i="25"/>
  <c r="DG554" i="25"/>
  <c r="DG555" i="25"/>
  <c r="DG556" i="25"/>
  <c r="DG557" i="25"/>
  <c r="DG558" i="25"/>
  <c r="DG559" i="25"/>
  <c r="DG560" i="25"/>
  <c r="DG561" i="25"/>
  <c r="DG562" i="25"/>
  <c r="DG563" i="25"/>
  <c r="DG564" i="25"/>
  <c r="DG565" i="25"/>
  <c r="DG566" i="25"/>
  <c r="DG567" i="25"/>
  <c r="DG568" i="25"/>
  <c r="DG569" i="25"/>
  <c r="DG570" i="25"/>
  <c r="DG571" i="25"/>
  <c r="DG572" i="25"/>
  <c r="DG573" i="25"/>
  <c r="DG574" i="25"/>
  <c r="DG575" i="25"/>
  <c r="DG576" i="25"/>
  <c r="DG577" i="25"/>
  <c r="DG578" i="25"/>
  <c r="DG579" i="25"/>
  <c r="DG580" i="25"/>
  <c r="DG581" i="25"/>
  <c r="DG582" i="25"/>
  <c r="DG583" i="25"/>
  <c r="DG584" i="25"/>
  <c r="DG585" i="25"/>
  <c r="DG586" i="25"/>
  <c r="DG587" i="25"/>
  <c r="DG588" i="25"/>
  <c r="DK546" i="25"/>
  <c r="DK547" i="25"/>
  <c r="DK548" i="25"/>
  <c r="DK549" i="25"/>
  <c r="DK550" i="25"/>
  <c r="DK551" i="25"/>
  <c r="DK552" i="25"/>
  <c r="DK553" i="25"/>
  <c r="DK554" i="25"/>
  <c r="DK555" i="25"/>
  <c r="DK556" i="25"/>
  <c r="DK557" i="25"/>
  <c r="DK558" i="25"/>
  <c r="DK559" i="25"/>
  <c r="DK560" i="25"/>
  <c r="DK561" i="25"/>
  <c r="DK562" i="25"/>
  <c r="DK563" i="25"/>
  <c r="DK564" i="25"/>
  <c r="DK565" i="25"/>
  <c r="DK566" i="25"/>
  <c r="DK567" i="25"/>
  <c r="DK568" i="25"/>
  <c r="DK569" i="25"/>
  <c r="DK570" i="25"/>
  <c r="DK571" i="25"/>
  <c r="DK572" i="25"/>
  <c r="DK573" i="25"/>
  <c r="DK574" i="25"/>
  <c r="DK575" i="25"/>
  <c r="DK576" i="25"/>
  <c r="DK577" i="25"/>
  <c r="DK578" i="25"/>
  <c r="DK579" i="25"/>
  <c r="DK580" i="25"/>
  <c r="DK581" i="25"/>
  <c r="DK582" i="25"/>
  <c r="DK583" i="25"/>
  <c r="DK584" i="25"/>
  <c r="DK585" i="25"/>
  <c r="DK586" i="25"/>
  <c r="DK587" i="25"/>
  <c r="DK588" i="25"/>
  <c r="DL546" i="25"/>
  <c r="DL547" i="25"/>
  <c r="DL548" i="25"/>
  <c r="DS548" i="25" s="1"/>
  <c r="DL549" i="25"/>
  <c r="DS549" i="25" s="1"/>
  <c r="DL550" i="25"/>
  <c r="DS550" i="25" s="1"/>
  <c r="DL551" i="25"/>
  <c r="DS551" i="25" s="1"/>
  <c r="DL552" i="25"/>
  <c r="DL553" i="25"/>
  <c r="DL554" i="25"/>
  <c r="DL555" i="25"/>
  <c r="DL556" i="25"/>
  <c r="DS556" i="25" s="1"/>
  <c r="DL557" i="25"/>
  <c r="DS557" i="25" s="1"/>
  <c r="DL558" i="25"/>
  <c r="DS558" i="25" s="1"/>
  <c r="DL559" i="25"/>
  <c r="DS559" i="25" s="1"/>
  <c r="DL560" i="25"/>
  <c r="DL561" i="25"/>
  <c r="DL562" i="25"/>
  <c r="DL563" i="25"/>
  <c r="DL564" i="25"/>
  <c r="DS564" i="25" s="1"/>
  <c r="DL565" i="25"/>
  <c r="DS565" i="25" s="1"/>
  <c r="DL566" i="25"/>
  <c r="DS566" i="25" s="1"/>
  <c r="DL567" i="25"/>
  <c r="DS567" i="25" s="1"/>
  <c r="DL568" i="25"/>
  <c r="DL569" i="25"/>
  <c r="DL570" i="25"/>
  <c r="DL571" i="25"/>
  <c r="DL572" i="25"/>
  <c r="DS572" i="25" s="1"/>
  <c r="DL573" i="25"/>
  <c r="DS573" i="25" s="1"/>
  <c r="DL574" i="25"/>
  <c r="DS574" i="25" s="1"/>
  <c r="DL575" i="25"/>
  <c r="DS575" i="25" s="1"/>
  <c r="DL576" i="25"/>
  <c r="DL577" i="25"/>
  <c r="DL578" i="25"/>
  <c r="DL579" i="25"/>
  <c r="DL580" i="25"/>
  <c r="DS580" i="25" s="1"/>
  <c r="DL581" i="25"/>
  <c r="DS581" i="25" s="1"/>
  <c r="DL582" i="25"/>
  <c r="DS582" i="25" s="1"/>
  <c r="DL583" i="25"/>
  <c r="DS583" i="25" s="1"/>
  <c r="DL584" i="25"/>
  <c r="DL585" i="25"/>
  <c r="DL586" i="25"/>
  <c r="DL587" i="25"/>
  <c r="DL588" i="25"/>
  <c r="DS588" i="25" s="1"/>
  <c r="DM546" i="25"/>
  <c r="DM547" i="25"/>
  <c r="DM548" i="25"/>
  <c r="DM549" i="25"/>
  <c r="DM550" i="25"/>
  <c r="DM551" i="25"/>
  <c r="DM552" i="25"/>
  <c r="DM553" i="25"/>
  <c r="DM554" i="25"/>
  <c r="DM555" i="25"/>
  <c r="DM556" i="25"/>
  <c r="DM557" i="25"/>
  <c r="DM558" i="25"/>
  <c r="DM559" i="25"/>
  <c r="DM560" i="25"/>
  <c r="DM561" i="25"/>
  <c r="DM562" i="25"/>
  <c r="DM563" i="25"/>
  <c r="DM564" i="25"/>
  <c r="DM565" i="25"/>
  <c r="DM566" i="25"/>
  <c r="DM567" i="25"/>
  <c r="DM568" i="25"/>
  <c r="DM569" i="25"/>
  <c r="DM570" i="25"/>
  <c r="DM571" i="25"/>
  <c r="DM572" i="25"/>
  <c r="DM573" i="25"/>
  <c r="DM574" i="25"/>
  <c r="DM575" i="25"/>
  <c r="DM576" i="25"/>
  <c r="DM577" i="25"/>
  <c r="DM578" i="25"/>
  <c r="DM579" i="25"/>
  <c r="DM580" i="25"/>
  <c r="DM581" i="25"/>
  <c r="DM582" i="25"/>
  <c r="DM583" i="25"/>
  <c r="DM584" i="25"/>
  <c r="DM585" i="25"/>
  <c r="DM586" i="25"/>
  <c r="DM587" i="25"/>
  <c r="DM588" i="25"/>
  <c r="DN546" i="25"/>
  <c r="DN547" i="25"/>
  <c r="DN548" i="25"/>
  <c r="DN549" i="25"/>
  <c r="DN550" i="25"/>
  <c r="DN551" i="25"/>
  <c r="DN552" i="25"/>
  <c r="DN553" i="25"/>
  <c r="DN554" i="25"/>
  <c r="DN555" i="25"/>
  <c r="DN556" i="25"/>
  <c r="DN557" i="25"/>
  <c r="DN558" i="25"/>
  <c r="DN559" i="25"/>
  <c r="DN560" i="25"/>
  <c r="DN561" i="25"/>
  <c r="DN562" i="25"/>
  <c r="DN563" i="25"/>
  <c r="DN564" i="25"/>
  <c r="DN565" i="25"/>
  <c r="DN566" i="25"/>
  <c r="DN567" i="25"/>
  <c r="DN568" i="25"/>
  <c r="DN569" i="25"/>
  <c r="DN570" i="25"/>
  <c r="DN571" i="25"/>
  <c r="DN572" i="25"/>
  <c r="DN573" i="25"/>
  <c r="DN574" i="25"/>
  <c r="DN575" i="25"/>
  <c r="DN576" i="25"/>
  <c r="DN577" i="25"/>
  <c r="DN578" i="25"/>
  <c r="DN579" i="25"/>
  <c r="DN580" i="25"/>
  <c r="DN581" i="25"/>
  <c r="DN582" i="25"/>
  <c r="DN583" i="25"/>
  <c r="DN584" i="25"/>
  <c r="DN585" i="25"/>
  <c r="DN586" i="25"/>
  <c r="DN587" i="25"/>
  <c r="DN588" i="25"/>
  <c r="DU546" i="25"/>
  <c r="DU547" i="25"/>
  <c r="DU548" i="25"/>
  <c r="DU549" i="25"/>
  <c r="DU550" i="25"/>
  <c r="DU551" i="25"/>
  <c r="DU552" i="25"/>
  <c r="DU553" i="25"/>
  <c r="DU554" i="25"/>
  <c r="DU555" i="25"/>
  <c r="DU556" i="25"/>
  <c r="DU557" i="25"/>
  <c r="DU558" i="25"/>
  <c r="DU559" i="25"/>
  <c r="DU560" i="25"/>
  <c r="DU561" i="25"/>
  <c r="DU562" i="25"/>
  <c r="DU563" i="25"/>
  <c r="DU564" i="25"/>
  <c r="DU565" i="25"/>
  <c r="DU566" i="25"/>
  <c r="DU567" i="25"/>
  <c r="DU568" i="25"/>
  <c r="DU569" i="25"/>
  <c r="DU570" i="25"/>
  <c r="DU571" i="25"/>
  <c r="DU572" i="25"/>
  <c r="DU573" i="25"/>
  <c r="DU574" i="25"/>
  <c r="DU575" i="25"/>
  <c r="DU576" i="25"/>
  <c r="DU577" i="25"/>
  <c r="DU578" i="25"/>
  <c r="DU579" i="25"/>
  <c r="DU580" i="25"/>
  <c r="DU581" i="25"/>
  <c r="DU582" i="25"/>
  <c r="DU583" i="25"/>
  <c r="DU584" i="25"/>
  <c r="DU585" i="25"/>
  <c r="DU586" i="25"/>
  <c r="DU587" i="25"/>
  <c r="DU588" i="25"/>
  <c r="DV546" i="25"/>
  <c r="DW546" i="25" s="1"/>
  <c r="DV547" i="25"/>
  <c r="DV548" i="25"/>
  <c r="DW548" i="25" s="1"/>
  <c r="DV549" i="25"/>
  <c r="DY549" i="25" s="1"/>
  <c r="DV550" i="25"/>
  <c r="DY550" i="25" s="1"/>
  <c r="DV551" i="25"/>
  <c r="DY551" i="25" s="1"/>
  <c r="DV552" i="25"/>
  <c r="DY552" i="25" s="1"/>
  <c r="DV553" i="25"/>
  <c r="DY553" i="25" s="1"/>
  <c r="DV554" i="25"/>
  <c r="DW554" i="25" s="1"/>
  <c r="DV555" i="25"/>
  <c r="DV556" i="25"/>
  <c r="DW556" i="25" s="1"/>
  <c r="DV557" i="25"/>
  <c r="DY557" i="25" s="1"/>
  <c r="DV558" i="25"/>
  <c r="DY558" i="25" s="1"/>
  <c r="DV559" i="25"/>
  <c r="DY559" i="25" s="1"/>
  <c r="DV560" i="25"/>
  <c r="DW560" i="25" s="1"/>
  <c r="DV561" i="25"/>
  <c r="DW561" i="25" s="1"/>
  <c r="DV562" i="25"/>
  <c r="DW562" i="25" s="1"/>
  <c r="DV563" i="25"/>
  <c r="DV564" i="25"/>
  <c r="DW564" i="25" s="1"/>
  <c r="DV565" i="25"/>
  <c r="DY565" i="25" s="1"/>
  <c r="DV566" i="25"/>
  <c r="DY566" i="25" s="1"/>
  <c r="DV567" i="25"/>
  <c r="DY567" i="25" s="1"/>
  <c r="DV568" i="25"/>
  <c r="DW568" i="25" s="1"/>
  <c r="DV569" i="25"/>
  <c r="DW569" i="25" s="1"/>
  <c r="DV570" i="25"/>
  <c r="DW570" i="25" s="1"/>
  <c r="DV571" i="25"/>
  <c r="DV572" i="25"/>
  <c r="DW572" i="25" s="1"/>
  <c r="DV573" i="25"/>
  <c r="DY573" i="25" s="1"/>
  <c r="DV574" i="25"/>
  <c r="DY574" i="25" s="1"/>
  <c r="DV575" i="25"/>
  <c r="DY575" i="25" s="1"/>
  <c r="DV576" i="25"/>
  <c r="DW576" i="25" s="1"/>
  <c r="DV577" i="25"/>
  <c r="DY577" i="25" s="1"/>
  <c r="DV578" i="25"/>
  <c r="DW578" i="25" s="1"/>
  <c r="DV579" i="25"/>
  <c r="DV580" i="25"/>
  <c r="DW580" i="25" s="1"/>
  <c r="DV581" i="25"/>
  <c r="DY581" i="25" s="1"/>
  <c r="DV582" i="25"/>
  <c r="DY582" i="25" s="1"/>
  <c r="DV583" i="25"/>
  <c r="DY583" i="25" s="1"/>
  <c r="DV584" i="25"/>
  <c r="DW584" i="25" s="1"/>
  <c r="DV585" i="25"/>
  <c r="DW585" i="25" s="1"/>
  <c r="DV586" i="25"/>
  <c r="DW586" i="25" s="1"/>
  <c r="DV587" i="25"/>
  <c r="DV588" i="25"/>
  <c r="DW588" i="25" s="1"/>
  <c r="DX546" i="25"/>
  <c r="DX547" i="25"/>
  <c r="DX548" i="25"/>
  <c r="DX549" i="25"/>
  <c r="DX550" i="25"/>
  <c r="DX551" i="25"/>
  <c r="DX552" i="25"/>
  <c r="DX553" i="25"/>
  <c r="DX554" i="25"/>
  <c r="DX555" i="25"/>
  <c r="DX556" i="25"/>
  <c r="DX557" i="25"/>
  <c r="DX558" i="25"/>
  <c r="DX559" i="25"/>
  <c r="DX560" i="25"/>
  <c r="DX561" i="25"/>
  <c r="DX562" i="25"/>
  <c r="DX563" i="25"/>
  <c r="DX564" i="25"/>
  <c r="DX565" i="25"/>
  <c r="DX566" i="25"/>
  <c r="DX567" i="25"/>
  <c r="DX568" i="25"/>
  <c r="DX569" i="25"/>
  <c r="DX570" i="25"/>
  <c r="DX571" i="25"/>
  <c r="DX572" i="25"/>
  <c r="DX573" i="25"/>
  <c r="DX574" i="25"/>
  <c r="DX575" i="25"/>
  <c r="DX576" i="25"/>
  <c r="DX577" i="25"/>
  <c r="DX578" i="25"/>
  <c r="DX579" i="25"/>
  <c r="DX580" i="25"/>
  <c r="DX581" i="25"/>
  <c r="DX582" i="25"/>
  <c r="DX583" i="25"/>
  <c r="DX584" i="25"/>
  <c r="DX585" i="25"/>
  <c r="DX586" i="25"/>
  <c r="DX587" i="25"/>
  <c r="DX588" i="25"/>
  <c r="DZ546" i="25"/>
  <c r="DZ547" i="25"/>
  <c r="DZ548" i="25"/>
  <c r="DZ549" i="25"/>
  <c r="DZ550" i="25"/>
  <c r="DZ551" i="25"/>
  <c r="DZ552" i="25"/>
  <c r="DZ553" i="25"/>
  <c r="DZ554" i="25"/>
  <c r="DZ555" i="25"/>
  <c r="DZ556" i="25"/>
  <c r="DZ557" i="25"/>
  <c r="DZ558" i="25"/>
  <c r="DZ559" i="25"/>
  <c r="DZ560" i="25"/>
  <c r="DZ561" i="25"/>
  <c r="DZ562" i="25"/>
  <c r="DZ563" i="25"/>
  <c r="DZ564" i="25"/>
  <c r="DZ565" i="25"/>
  <c r="DZ566" i="25"/>
  <c r="DZ567" i="25"/>
  <c r="DZ568" i="25"/>
  <c r="DZ569" i="25"/>
  <c r="DZ570" i="25"/>
  <c r="DZ571" i="25"/>
  <c r="DZ572" i="25"/>
  <c r="DZ573" i="25"/>
  <c r="DZ574" i="25"/>
  <c r="DZ575" i="25"/>
  <c r="DZ576" i="25"/>
  <c r="DZ577" i="25"/>
  <c r="DZ578" i="25"/>
  <c r="DZ579" i="25"/>
  <c r="DZ580" i="25"/>
  <c r="DZ581" i="25"/>
  <c r="DZ582" i="25"/>
  <c r="DZ583" i="25"/>
  <c r="DZ584" i="25"/>
  <c r="DZ585" i="25"/>
  <c r="DZ586" i="25"/>
  <c r="DZ587" i="25"/>
  <c r="DZ588" i="25"/>
  <c r="EA546" i="25"/>
  <c r="EA547" i="25"/>
  <c r="EA548" i="25"/>
  <c r="EA549" i="25"/>
  <c r="EA550" i="25"/>
  <c r="EA551" i="25"/>
  <c r="EA552" i="25"/>
  <c r="EA553" i="25"/>
  <c r="EA554" i="25"/>
  <c r="EA555" i="25"/>
  <c r="EA556" i="25"/>
  <c r="EA557" i="25"/>
  <c r="EA558" i="25"/>
  <c r="EA559" i="25"/>
  <c r="EA560" i="25"/>
  <c r="EA561" i="25"/>
  <c r="EA562" i="25"/>
  <c r="EA563" i="25"/>
  <c r="EA564" i="25"/>
  <c r="EA565" i="25"/>
  <c r="EA566" i="25"/>
  <c r="EA567" i="25"/>
  <c r="EA568" i="25"/>
  <c r="EA569" i="25"/>
  <c r="EA570" i="25"/>
  <c r="EA571" i="25"/>
  <c r="EA572" i="25"/>
  <c r="EA573" i="25"/>
  <c r="EA574" i="25"/>
  <c r="EA575" i="25"/>
  <c r="EA576" i="25"/>
  <c r="EA577" i="25"/>
  <c r="EA578" i="25"/>
  <c r="EA579" i="25"/>
  <c r="EA580" i="25"/>
  <c r="EA581" i="25"/>
  <c r="EA582" i="25"/>
  <c r="EA583" i="25"/>
  <c r="EA584" i="25"/>
  <c r="EA585" i="25"/>
  <c r="EA586" i="25"/>
  <c r="EA587" i="25"/>
  <c r="EA588" i="25"/>
  <c r="EB546" i="25"/>
  <c r="EB547" i="25"/>
  <c r="EB548" i="25"/>
  <c r="EB549" i="25"/>
  <c r="EB550" i="25"/>
  <c r="EB551" i="25"/>
  <c r="EB552" i="25"/>
  <c r="EB553" i="25"/>
  <c r="EB554" i="25"/>
  <c r="EB555" i="25"/>
  <c r="EB556" i="25"/>
  <c r="EB557" i="25"/>
  <c r="EB558" i="25"/>
  <c r="EB559" i="25"/>
  <c r="EB560" i="25"/>
  <c r="EB561" i="25"/>
  <c r="EB562" i="25"/>
  <c r="EB563" i="25"/>
  <c r="EB564" i="25"/>
  <c r="EB565" i="25"/>
  <c r="EB566" i="25"/>
  <c r="EB567" i="25"/>
  <c r="EB568" i="25"/>
  <c r="EB569" i="25"/>
  <c r="EB570" i="25"/>
  <c r="EB571" i="25"/>
  <c r="EB572" i="25"/>
  <c r="EB573" i="25"/>
  <c r="EB574" i="25"/>
  <c r="EB575" i="25"/>
  <c r="EB576" i="25"/>
  <c r="EB577" i="25"/>
  <c r="EB578" i="25"/>
  <c r="EB579" i="25"/>
  <c r="EB580" i="25"/>
  <c r="EB581" i="25"/>
  <c r="EB582" i="25"/>
  <c r="EB583" i="25"/>
  <c r="EB584" i="25"/>
  <c r="EB585" i="25"/>
  <c r="EB586" i="25"/>
  <c r="EB587" i="25"/>
  <c r="EB588" i="25"/>
  <c r="EE546" i="25"/>
  <c r="EE547" i="25"/>
  <c r="EE548" i="25"/>
  <c r="EE549" i="25"/>
  <c r="EE550" i="25"/>
  <c r="EE551" i="25"/>
  <c r="EE552" i="25"/>
  <c r="EE553" i="25"/>
  <c r="EE554" i="25"/>
  <c r="EE555" i="25"/>
  <c r="EE556" i="25"/>
  <c r="EE557" i="25"/>
  <c r="EE558" i="25"/>
  <c r="EE559" i="25"/>
  <c r="EE560" i="25"/>
  <c r="EE561" i="25"/>
  <c r="EE562" i="25"/>
  <c r="EE563" i="25"/>
  <c r="EE564" i="25"/>
  <c r="EE565" i="25"/>
  <c r="EE566" i="25"/>
  <c r="EE567" i="25"/>
  <c r="EE568" i="25"/>
  <c r="EE569" i="25"/>
  <c r="EE570" i="25"/>
  <c r="EE571" i="25"/>
  <c r="EE572" i="25"/>
  <c r="EE573" i="25"/>
  <c r="EE574" i="25"/>
  <c r="EE575" i="25"/>
  <c r="EE576" i="25"/>
  <c r="EE577" i="25"/>
  <c r="EE578" i="25"/>
  <c r="EE579" i="25"/>
  <c r="EE580" i="25"/>
  <c r="EE581" i="25"/>
  <c r="EE582" i="25"/>
  <c r="EE583" i="25"/>
  <c r="EE584" i="25"/>
  <c r="EE585" i="25"/>
  <c r="EE586" i="25"/>
  <c r="EE587" i="25"/>
  <c r="EE588" i="25"/>
  <c r="EF546" i="25"/>
  <c r="EF547" i="25"/>
  <c r="EF548" i="25"/>
  <c r="EF549" i="25"/>
  <c r="EF550" i="25"/>
  <c r="EF551" i="25"/>
  <c r="EF552" i="25"/>
  <c r="EF553" i="25"/>
  <c r="EF554" i="25"/>
  <c r="EF555" i="25"/>
  <c r="EF556" i="25"/>
  <c r="EF557" i="25"/>
  <c r="EF558" i="25"/>
  <c r="EF559" i="25"/>
  <c r="EF560" i="25"/>
  <c r="EF561" i="25"/>
  <c r="EF562" i="25"/>
  <c r="EF563" i="25"/>
  <c r="EF564" i="25"/>
  <c r="EF565" i="25"/>
  <c r="EF566" i="25"/>
  <c r="EF567" i="25"/>
  <c r="EF568" i="25"/>
  <c r="EF569" i="25"/>
  <c r="EF570" i="25"/>
  <c r="EF571" i="25"/>
  <c r="EF572" i="25"/>
  <c r="EF573" i="25"/>
  <c r="EF574" i="25"/>
  <c r="EF575" i="25"/>
  <c r="EF576" i="25"/>
  <c r="EF577" i="25"/>
  <c r="EF578" i="25"/>
  <c r="EF579" i="25"/>
  <c r="EF580" i="25"/>
  <c r="EF581" i="25"/>
  <c r="EF582" i="25"/>
  <c r="EF583" i="25"/>
  <c r="EF584" i="25"/>
  <c r="EF585" i="25"/>
  <c r="EF586" i="25"/>
  <c r="EF587" i="25"/>
  <c r="EF588" i="25"/>
  <c r="EG546" i="25"/>
  <c r="EG547" i="25"/>
  <c r="EG548" i="25"/>
  <c r="EG549" i="25"/>
  <c r="EG550" i="25"/>
  <c r="EG551" i="25"/>
  <c r="EG552" i="25"/>
  <c r="EG553" i="25"/>
  <c r="EG554" i="25"/>
  <c r="EG555" i="25"/>
  <c r="EG556" i="25"/>
  <c r="EG557" i="25"/>
  <c r="EG558" i="25"/>
  <c r="EG559" i="25"/>
  <c r="EG560" i="25"/>
  <c r="EG561" i="25"/>
  <c r="EG562" i="25"/>
  <c r="EG563" i="25"/>
  <c r="DE563" i="25" s="1"/>
  <c r="EG564" i="25"/>
  <c r="EG565" i="25"/>
  <c r="EG566" i="25"/>
  <c r="EG567" i="25"/>
  <c r="EG568" i="25"/>
  <c r="EG569" i="25"/>
  <c r="EG570" i="25"/>
  <c r="EG571" i="25"/>
  <c r="EG572" i="25"/>
  <c r="EG573" i="25"/>
  <c r="EG574" i="25"/>
  <c r="EG575" i="25"/>
  <c r="EG576" i="25"/>
  <c r="EG577" i="25"/>
  <c r="EG578" i="25"/>
  <c r="EG579" i="25"/>
  <c r="EG580" i="25"/>
  <c r="EG581" i="25"/>
  <c r="EG582" i="25"/>
  <c r="EG583" i="25"/>
  <c r="EG584" i="25"/>
  <c r="EG585" i="25"/>
  <c r="EG586" i="25"/>
  <c r="EG587" i="25"/>
  <c r="EG588" i="25"/>
  <c r="EH546" i="25"/>
  <c r="EH547" i="25"/>
  <c r="EH548" i="25"/>
  <c r="EH549" i="25"/>
  <c r="EH550" i="25"/>
  <c r="EH551" i="25"/>
  <c r="EH552" i="25"/>
  <c r="EH553" i="25"/>
  <c r="EH554" i="25"/>
  <c r="EH555" i="25"/>
  <c r="EH556" i="25"/>
  <c r="EH557" i="25"/>
  <c r="EH558" i="25"/>
  <c r="EH559" i="25"/>
  <c r="EH560" i="25"/>
  <c r="EH561" i="25"/>
  <c r="EH562" i="25"/>
  <c r="EH563" i="25"/>
  <c r="EH564" i="25"/>
  <c r="EH565" i="25"/>
  <c r="EH566" i="25"/>
  <c r="EH567" i="25"/>
  <c r="EH568" i="25"/>
  <c r="EH569" i="25"/>
  <c r="EH570" i="25"/>
  <c r="EH571" i="25"/>
  <c r="EH572" i="25"/>
  <c r="EH573" i="25"/>
  <c r="EH574" i="25"/>
  <c r="EH575" i="25"/>
  <c r="EH576" i="25"/>
  <c r="EH577" i="25"/>
  <c r="EH578" i="25"/>
  <c r="EH579" i="25"/>
  <c r="EH580" i="25"/>
  <c r="EH581" i="25"/>
  <c r="EH582" i="25"/>
  <c r="EH583" i="25"/>
  <c r="EH584" i="25"/>
  <c r="EH585" i="25"/>
  <c r="EH586" i="25"/>
  <c r="EH587" i="25"/>
  <c r="EH588" i="25"/>
  <c r="EI546" i="25"/>
  <c r="DT546" i="25" s="1"/>
  <c r="EI547" i="25"/>
  <c r="DT547" i="25" s="1"/>
  <c r="EI548" i="25"/>
  <c r="DT548" i="25" s="1"/>
  <c r="EI549" i="25"/>
  <c r="DT549" i="25" s="1"/>
  <c r="EI550" i="25"/>
  <c r="DT550" i="25" s="1"/>
  <c r="EI551" i="25"/>
  <c r="DT551" i="25" s="1"/>
  <c r="EI552" i="25"/>
  <c r="DT552" i="25" s="1"/>
  <c r="EI553" i="25"/>
  <c r="DT553" i="25" s="1"/>
  <c r="EI554" i="25"/>
  <c r="DT554" i="25" s="1"/>
  <c r="EI555" i="25"/>
  <c r="DT555" i="25" s="1"/>
  <c r="EI556" i="25"/>
  <c r="DT556" i="25" s="1"/>
  <c r="EI557" i="25"/>
  <c r="DT557" i="25" s="1"/>
  <c r="EI558" i="25"/>
  <c r="DT558" i="25" s="1"/>
  <c r="EI559" i="25"/>
  <c r="DT559" i="25" s="1"/>
  <c r="EI560" i="25"/>
  <c r="DT560" i="25" s="1"/>
  <c r="EI561" i="25"/>
  <c r="DT561" i="25" s="1"/>
  <c r="EI562" i="25"/>
  <c r="DT562" i="25" s="1"/>
  <c r="EI563" i="25"/>
  <c r="DT563" i="25" s="1"/>
  <c r="EI564" i="25"/>
  <c r="DT564" i="25" s="1"/>
  <c r="EI565" i="25"/>
  <c r="DT565" i="25" s="1"/>
  <c r="EI566" i="25"/>
  <c r="DT566" i="25" s="1"/>
  <c r="EI567" i="25"/>
  <c r="DT567" i="25" s="1"/>
  <c r="EI568" i="25"/>
  <c r="DT568" i="25" s="1"/>
  <c r="EI569" i="25"/>
  <c r="DT569" i="25" s="1"/>
  <c r="EI570" i="25"/>
  <c r="DT570" i="25" s="1"/>
  <c r="EI571" i="25"/>
  <c r="DT571" i="25" s="1"/>
  <c r="EI572" i="25"/>
  <c r="DT572" i="25" s="1"/>
  <c r="EI573" i="25"/>
  <c r="DT573" i="25" s="1"/>
  <c r="EI574" i="25"/>
  <c r="DT574" i="25" s="1"/>
  <c r="EI575" i="25"/>
  <c r="DT575" i="25" s="1"/>
  <c r="EI576" i="25"/>
  <c r="DT576" i="25" s="1"/>
  <c r="EI577" i="25"/>
  <c r="DT577" i="25" s="1"/>
  <c r="EI578" i="25"/>
  <c r="DT578" i="25" s="1"/>
  <c r="EI579" i="25"/>
  <c r="DT579" i="25" s="1"/>
  <c r="EI580" i="25"/>
  <c r="DT580" i="25" s="1"/>
  <c r="EI581" i="25"/>
  <c r="DT581" i="25" s="1"/>
  <c r="EI582" i="25"/>
  <c r="DT582" i="25" s="1"/>
  <c r="EI583" i="25"/>
  <c r="DT583" i="25" s="1"/>
  <c r="EI584" i="25"/>
  <c r="DT584" i="25" s="1"/>
  <c r="EI585" i="25"/>
  <c r="DT585" i="25" s="1"/>
  <c r="EI586" i="25"/>
  <c r="DT586" i="25" s="1"/>
  <c r="EI587" i="25"/>
  <c r="DT587" i="25" s="1"/>
  <c r="EI588" i="25"/>
  <c r="DT588" i="25" s="1"/>
  <c r="EJ546" i="25"/>
  <c r="EJ547" i="25"/>
  <c r="EJ548" i="25"/>
  <c r="EJ549" i="25"/>
  <c r="EJ550" i="25"/>
  <c r="EJ551" i="25"/>
  <c r="EJ552" i="25"/>
  <c r="EJ553" i="25"/>
  <c r="EJ554" i="25"/>
  <c r="EJ555" i="25"/>
  <c r="EJ556" i="25"/>
  <c r="EJ557" i="25"/>
  <c r="EJ558" i="25"/>
  <c r="EJ559" i="25"/>
  <c r="EJ560" i="25"/>
  <c r="EJ561" i="25"/>
  <c r="EJ562" i="25"/>
  <c r="EJ563" i="25"/>
  <c r="EJ564" i="25"/>
  <c r="EJ565" i="25"/>
  <c r="EJ566" i="25"/>
  <c r="EJ567" i="25"/>
  <c r="EJ568" i="25"/>
  <c r="EJ569" i="25"/>
  <c r="EJ570" i="25"/>
  <c r="EJ571" i="25"/>
  <c r="EJ572" i="25"/>
  <c r="EJ573" i="25"/>
  <c r="EJ574" i="25"/>
  <c r="EJ575" i="25"/>
  <c r="EJ576" i="25"/>
  <c r="EJ577" i="25"/>
  <c r="EJ578" i="25"/>
  <c r="EJ579" i="25"/>
  <c r="EJ580" i="25"/>
  <c r="EJ581" i="25"/>
  <c r="EJ582" i="25"/>
  <c r="EJ583" i="25"/>
  <c r="EJ584" i="25"/>
  <c r="EJ585" i="25"/>
  <c r="EJ586" i="25"/>
  <c r="EJ587" i="25"/>
  <c r="EJ588" i="25"/>
  <c r="EK546" i="25"/>
  <c r="EK547" i="25"/>
  <c r="EK548" i="25"/>
  <c r="EK549" i="25"/>
  <c r="EK550" i="25"/>
  <c r="EK551" i="25"/>
  <c r="EK552" i="25"/>
  <c r="EK553" i="25"/>
  <c r="EK554" i="25"/>
  <c r="EK555" i="25"/>
  <c r="EK556" i="25"/>
  <c r="EK557" i="25"/>
  <c r="EK558" i="25"/>
  <c r="EK559" i="25"/>
  <c r="EK560" i="25"/>
  <c r="EK561" i="25"/>
  <c r="EK562" i="25"/>
  <c r="EK563" i="25"/>
  <c r="EK564" i="25"/>
  <c r="EK565" i="25"/>
  <c r="EK566" i="25"/>
  <c r="EK567" i="25"/>
  <c r="EK568" i="25"/>
  <c r="EK569" i="25"/>
  <c r="EK570" i="25"/>
  <c r="EK571" i="25"/>
  <c r="EK572" i="25"/>
  <c r="EK573" i="25"/>
  <c r="EK574" i="25"/>
  <c r="EK575" i="25"/>
  <c r="EK576" i="25"/>
  <c r="EK577" i="25"/>
  <c r="EK578" i="25"/>
  <c r="EK579" i="25"/>
  <c r="EK580" i="25"/>
  <c r="EK581" i="25"/>
  <c r="EK582" i="25"/>
  <c r="EK583" i="25"/>
  <c r="EK584" i="25"/>
  <c r="EK585" i="25"/>
  <c r="EK586" i="25"/>
  <c r="EK587" i="25"/>
  <c r="EK588" i="25"/>
  <c r="EL546" i="25"/>
  <c r="EL547" i="25"/>
  <c r="EL548" i="25"/>
  <c r="EL549" i="25"/>
  <c r="EL550" i="25"/>
  <c r="EL551" i="25"/>
  <c r="EL552" i="25"/>
  <c r="EL553" i="25"/>
  <c r="EL554" i="25"/>
  <c r="EL555" i="25"/>
  <c r="EL556" i="25"/>
  <c r="EL557" i="25"/>
  <c r="EL558" i="25"/>
  <c r="EL559" i="25"/>
  <c r="EL560" i="25"/>
  <c r="EL561" i="25"/>
  <c r="EL562" i="25"/>
  <c r="EL563" i="25"/>
  <c r="EL564" i="25"/>
  <c r="EL565" i="25"/>
  <c r="EL566" i="25"/>
  <c r="EL567" i="25"/>
  <c r="EL568" i="25"/>
  <c r="EL569" i="25"/>
  <c r="EL570" i="25"/>
  <c r="EL571" i="25"/>
  <c r="EL572" i="25"/>
  <c r="EL573" i="25"/>
  <c r="EL574" i="25"/>
  <c r="EL575" i="25"/>
  <c r="EL576" i="25"/>
  <c r="EL577" i="25"/>
  <c r="EL578" i="25"/>
  <c r="EL579" i="25"/>
  <c r="EL580" i="25"/>
  <c r="EL581" i="25"/>
  <c r="EL582" i="25"/>
  <c r="EL583" i="25"/>
  <c r="EL584" i="25"/>
  <c r="EL585" i="25"/>
  <c r="EL586" i="25"/>
  <c r="EL587" i="25"/>
  <c r="EL588" i="25"/>
  <c r="EM546" i="25"/>
  <c r="EM547" i="25"/>
  <c r="EM548" i="25"/>
  <c r="EM549" i="25"/>
  <c r="EM550" i="25"/>
  <c r="EM551" i="25"/>
  <c r="EM552" i="25"/>
  <c r="EM553" i="25"/>
  <c r="EM554" i="25"/>
  <c r="EM555" i="25"/>
  <c r="EM556" i="25"/>
  <c r="EM557" i="25"/>
  <c r="EM558" i="25"/>
  <c r="EM559" i="25"/>
  <c r="EM560" i="25"/>
  <c r="EM561" i="25"/>
  <c r="EM562" i="25"/>
  <c r="EM563" i="25"/>
  <c r="EM564" i="25"/>
  <c r="EM565" i="25"/>
  <c r="EM566" i="25"/>
  <c r="EM567" i="25"/>
  <c r="EM568" i="25"/>
  <c r="EM569" i="25"/>
  <c r="EM570" i="25"/>
  <c r="EM571" i="25"/>
  <c r="EM572" i="25"/>
  <c r="EM573" i="25"/>
  <c r="EM574" i="25"/>
  <c r="EM575" i="25"/>
  <c r="EM576" i="25"/>
  <c r="EM577" i="25"/>
  <c r="EM578" i="25"/>
  <c r="EM579" i="25"/>
  <c r="EM580" i="25"/>
  <c r="EM581" i="25"/>
  <c r="EM582" i="25"/>
  <c r="EM583" i="25"/>
  <c r="EM584" i="25"/>
  <c r="EM585" i="25"/>
  <c r="EM586" i="25"/>
  <c r="EM587" i="25"/>
  <c r="EM588" i="25"/>
  <c r="EO546" i="25"/>
  <c r="EO547" i="25"/>
  <c r="EO548" i="25"/>
  <c r="EO549" i="25"/>
  <c r="EO550" i="25"/>
  <c r="EO551" i="25"/>
  <c r="EO552" i="25"/>
  <c r="EO553" i="25"/>
  <c r="EO554" i="25"/>
  <c r="EO555" i="25"/>
  <c r="EO556" i="25"/>
  <c r="EO557" i="25"/>
  <c r="EO558" i="25"/>
  <c r="EO559" i="25"/>
  <c r="EO560" i="25"/>
  <c r="EO561" i="25"/>
  <c r="EO562" i="25"/>
  <c r="EO563" i="25"/>
  <c r="EO564" i="25"/>
  <c r="EO565" i="25"/>
  <c r="EO566" i="25"/>
  <c r="EO567" i="25"/>
  <c r="EO568" i="25"/>
  <c r="EO569" i="25"/>
  <c r="EO570" i="25"/>
  <c r="EO571" i="25"/>
  <c r="EO572" i="25"/>
  <c r="EO573" i="25"/>
  <c r="EO574" i="25"/>
  <c r="EO575" i="25"/>
  <c r="EO576" i="25"/>
  <c r="EO577" i="25"/>
  <c r="EO578" i="25"/>
  <c r="EO579" i="25"/>
  <c r="EO580" i="25"/>
  <c r="EO581" i="25"/>
  <c r="EO582" i="25"/>
  <c r="EO583" i="25"/>
  <c r="EO584" i="25"/>
  <c r="EO585" i="25"/>
  <c r="EO586" i="25"/>
  <c r="EO587" i="25"/>
  <c r="EO588" i="25"/>
  <c r="EP546" i="25"/>
  <c r="EP547" i="25"/>
  <c r="EP548" i="25"/>
  <c r="EP549" i="25"/>
  <c r="EP550" i="25"/>
  <c r="EP551" i="25"/>
  <c r="EP552" i="25"/>
  <c r="EP553" i="25"/>
  <c r="EP554" i="25"/>
  <c r="EP555" i="25"/>
  <c r="EP556" i="25"/>
  <c r="EP557" i="25"/>
  <c r="EP558" i="25"/>
  <c r="EP559" i="25"/>
  <c r="EP560" i="25"/>
  <c r="EP561" i="25"/>
  <c r="EP562" i="25"/>
  <c r="EP563" i="25"/>
  <c r="EP564" i="25"/>
  <c r="EP565" i="25"/>
  <c r="EP566" i="25"/>
  <c r="EP567" i="25"/>
  <c r="EP568" i="25"/>
  <c r="EP569" i="25"/>
  <c r="EP570" i="25"/>
  <c r="EP571" i="25"/>
  <c r="EP572" i="25"/>
  <c r="EP573" i="25"/>
  <c r="EP574" i="25"/>
  <c r="EP575" i="25"/>
  <c r="EP576" i="25"/>
  <c r="EP577" i="25"/>
  <c r="EP578" i="25"/>
  <c r="EP579" i="25"/>
  <c r="EP580" i="25"/>
  <c r="EP581" i="25"/>
  <c r="EP582" i="25"/>
  <c r="EP583" i="25"/>
  <c r="EP584" i="25"/>
  <c r="EP585" i="25"/>
  <c r="EP586" i="25"/>
  <c r="EP587" i="25"/>
  <c r="EP588" i="25"/>
  <c r="DD574" i="25" l="1"/>
  <c r="DC574" i="25" s="1"/>
  <c r="DJ574" i="25" s="1"/>
  <c r="CG583" i="25"/>
  <c r="CG575" i="25"/>
  <c r="CG567" i="25"/>
  <c r="CG559" i="25"/>
  <c r="CG551" i="25"/>
  <c r="ED586" i="25"/>
  <c r="ED578" i="25"/>
  <c r="ED570" i="25"/>
  <c r="ED562" i="25"/>
  <c r="ED546" i="25"/>
  <c r="EC581" i="25"/>
  <c r="EC573" i="25"/>
  <c r="EC565" i="25"/>
  <c r="EC549" i="25"/>
  <c r="CG586" i="25"/>
  <c r="CG578" i="25"/>
  <c r="CG570" i="25"/>
  <c r="CG562" i="25"/>
  <c r="CG554" i="25"/>
  <c r="CG546" i="25"/>
  <c r="EC567" i="25"/>
  <c r="ED547" i="25"/>
  <c r="EC566" i="25"/>
  <c r="ED581" i="25"/>
  <c r="ED573" i="25"/>
  <c r="ED565" i="25"/>
  <c r="ED557" i="25"/>
  <c r="ED549" i="25"/>
  <c r="EC584" i="25"/>
  <c r="EC568" i="25"/>
  <c r="EC560" i="25"/>
  <c r="EC552" i="25"/>
  <c r="CG579" i="25"/>
  <c r="DY572" i="25"/>
  <c r="CG580" i="25"/>
  <c r="CG572" i="25"/>
  <c r="CG564" i="25"/>
  <c r="CG556" i="25"/>
  <c r="CG548" i="25"/>
  <c r="DO567" i="25"/>
  <c r="DP567" i="25" s="1"/>
  <c r="DQ567" i="25" s="1"/>
  <c r="DR567" i="25" s="1"/>
  <c r="DW577" i="25"/>
  <c r="DW559" i="25"/>
  <c r="DW552" i="25"/>
  <c r="DY569" i="25"/>
  <c r="DY560" i="25"/>
  <c r="CG573" i="25"/>
  <c r="CG584" i="25"/>
  <c r="CG576" i="25"/>
  <c r="CG568" i="25"/>
  <c r="CG552" i="25"/>
  <c r="DY568" i="25"/>
  <c r="DW553" i="25"/>
  <c r="EC576" i="25"/>
  <c r="ED588" i="25"/>
  <c r="ED580" i="25"/>
  <c r="ED572" i="25"/>
  <c r="ED564" i="25"/>
  <c r="ED556" i="25"/>
  <c r="ED548" i="25"/>
  <c r="EC583" i="25"/>
  <c r="EC575" i="25"/>
  <c r="EC559" i="25"/>
  <c r="EC551" i="25"/>
  <c r="CO587" i="25"/>
  <c r="CQ587" i="25" s="1"/>
  <c r="CG588" i="25"/>
  <c r="DO559" i="25"/>
  <c r="DP559" i="25" s="1"/>
  <c r="DQ559" i="25" s="1"/>
  <c r="DR559" i="25" s="1"/>
  <c r="DO551" i="25"/>
  <c r="DP551" i="25" s="1"/>
  <c r="DQ551" i="25" s="1"/>
  <c r="DR551" i="25" s="1"/>
  <c r="ED587" i="25"/>
  <c r="ED579" i="25"/>
  <c r="ED571" i="25"/>
  <c r="ED563" i="25"/>
  <c r="ED555" i="25"/>
  <c r="EC582" i="25"/>
  <c r="EC574" i="25"/>
  <c r="EC558" i="25"/>
  <c r="EC550" i="25"/>
  <c r="DO587" i="25"/>
  <c r="DO579" i="25"/>
  <c r="DP579" i="25" s="1"/>
  <c r="DQ579" i="25" s="1"/>
  <c r="DR579" i="25" s="1"/>
  <c r="DO571" i="25"/>
  <c r="DP571" i="25" s="1"/>
  <c r="DQ571" i="25" s="1"/>
  <c r="DR571" i="25" s="1"/>
  <c r="DO563" i="25"/>
  <c r="DP563" i="25" s="1"/>
  <c r="DQ563" i="25" s="1"/>
  <c r="DR563" i="25" s="1"/>
  <c r="DO555" i="25"/>
  <c r="DP555" i="25" s="1"/>
  <c r="DQ555" i="25" s="1"/>
  <c r="DR555" i="25" s="1"/>
  <c r="DO547" i="25"/>
  <c r="DP547" i="25" s="1"/>
  <c r="DQ547" i="25" s="1"/>
  <c r="DR547" i="25" s="1"/>
  <c r="DO582" i="25"/>
  <c r="DP582" i="25" s="1"/>
  <c r="DQ582" i="25" s="1"/>
  <c r="DR582" i="25" s="1"/>
  <c r="DO574" i="25"/>
  <c r="DP574" i="25" s="1"/>
  <c r="DQ574" i="25" s="1"/>
  <c r="DR574" i="25" s="1"/>
  <c r="DO566" i="25"/>
  <c r="DP566" i="25" s="1"/>
  <c r="DQ566" i="25" s="1"/>
  <c r="DR566" i="25" s="1"/>
  <c r="DO558" i="25"/>
  <c r="DP558" i="25" s="1"/>
  <c r="DQ558" i="25" s="1"/>
  <c r="DR558" i="25" s="1"/>
  <c r="ED583" i="25"/>
  <c r="EC586" i="25"/>
  <c r="ED554" i="25"/>
  <c r="DO586" i="25"/>
  <c r="DP586" i="25" s="1"/>
  <c r="DQ586" i="25" s="1"/>
  <c r="DR586" i="25" s="1"/>
  <c r="DO578" i="25"/>
  <c r="DP578" i="25" s="1"/>
  <c r="DQ578" i="25" s="1"/>
  <c r="DR578" i="25" s="1"/>
  <c r="DO570" i="25"/>
  <c r="DP570" i="25" s="1"/>
  <c r="DQ570" i="25" s="1"/>
  <c r="DR570" i="25" s="1"/>
  <c r="DO562" i="25"/>
  <c r="DP562" i="25" s="1"/>
  <c r="DQ562" i="25" s="1"/>
  <c r="DR562" i="25" s="1"/>
  <c r="DO554" i="25"/>
  <c r="DP554" i="25" s="1"/>
  <c r="DQ554" i="25" s="1"/>
  <c r="DR554" i="25" s="1"/>
  <c r="ED577" i="25"/>
  <c r="ED561" i="25"/>
  <c r="EC572" i="25"/>
  <c r="EC556" i="25"/>
  <c r="EC557" i="25"/>
  <c r="CG557" i="25"/>
  <c r="DY564" i="25"/>
  <c r="CP587" i="25"/>
  <c r="CP555" i="25"/>
  <c r="DW575" i="25"/>
  <c r="CG587" i="25"/>
  <c r="CG571" i="25"/>
  <c r="CG563" i="25"/>
  <c r="CG555" i="25"/>
  <c r="CG547" i="25"/>
  <c r="DY554" i="25"/>
  <c r="DW567" i="25"/>
  <c r="DO560" i="25"/>
  <c r="DP560" i="25" s="1"/>
  <c r="DQ560" i="25" s="1"/>
  <c r="DR560" i="25" s="1"/>
  <c r="ED585" i="25"/>
  <c r="ED569" i="25"/>
  <c r="ED553" i="25"/>
  <c r="EC588" i="25"/>
  <c r="EC580" i="25"/>
  <c r="EC564" i="25"/>
  <c r="EC548" i="25"/>
  <c r="ED575" i="25"/>
  <c r="ED567" i="25"/>
  <c r="ED559" i="25"/>
  <c r="ED551" i="25"/>
  <c r="EC578" i="25"/>
  <c r="EC570" i="25"/>
  <c r="EC562" i="25"/>
  <c r="EC554" i="25"/>
  <c r="EC546" i="25"/>
  <c r="CO585" i="25"/>
  <c r="CQ585" i="25" s="1"/>
  <c r="CP577" i="25"/>
  <c r="DO583" i="25"/>
  <c r="DP583" i="25" s="1"/>
  <c r="DQ583" i="25" s="1"/>
  <c r="DR583" i="25" s="1"/>
  <c r="DO575" i="25"/>
  <c r="DP575" i="25" s="1"/>
  <c r="DQ575" i="25" s="1"/>
  <c r="DR575" i="25" s="1"/>
  <c r="CG585" i="25"/>
  <c r="CG577" i="25"/>
  <c r="CG569" i="25"/>
  <c r="CG561" i="25"/>
  <c r="CG553" i="25"/>
  <c r="DY580" i="25"/>
  <c r="DY548" i="25"/>
  <c r="DY585" i="25"/>
  <c r="DW551" i="25"/>
  <c r="CO577" i="25"/>
  <c r="CQ577" i="25" s="1"/>
  <c r="CG581" i="25"/>
  <c r="CG565" i="25"/>
  <c r="CG549" i="25"/>
  <c r="DY584" i="25"/>
  <c r="DY561" i="25"/>
  <c r="DO585" i="25"/>
  <c r="DP585" i="25" s="1"/>
  <c r="DQ585" i="25" s="1"/>
  <c r="DR585" i="25" s="1"/>
  <c r="DO577" i="25"/>
  <c r="DP577" i="25" s="1"/>
  <c r="DQ577" i="25" s="1"/>
  <c r="DR577" i="25" s="1"/>
  <c r="DO569" i="25"/>
  <c r="DP569" i="25" s="1"/>
  <c r="DQ569" i="25" s="1"/>
  <c r="DR569" i="25" s="1"/>
  <c r="DO561" i="25"/>
  <c r="DP561" i="25" s="1"/>
  <c r="DQ561" i="25" s="1"/>
  <c r="DR561" i="25" s="1"/>
  <c r="DO553" i="25"/>
  <c r="DP553" i="25" s="1"/>
  <c r="DQ553" i="25" s="1"/>
  <c r="DR553" i="25" s="1"/>
  <c r="CO555" i="25"/>
  <c r="CQ555" i="25" s="1"/>
  <c r="CO579" i="25"/>
  <c r="CQ579" i="25" s="1"/>
  <c r="CO571" i="25"/>
  <c r="CQ571" i="25" s="1"/>
  <c r="CO563" i="25"/>
  <c r="CQ563" i="25" s="1"/>
  <c r="CO547" i="25"/>
  <c r="CQ547" i="25" s="1"/>
  <c r="CO582" i="25"/>
  <c r="CQ582" i="25" s="1"/>
  <c r="CO574" i="25"/>
  <c r="CQ574" i="25" s="1"/>
  <c r="CO558" i="25"/>
  <c r="CQ558" i="25" s="1"/>
  <c r="CO550" i="25"/>
  <c r="CQ550" i="25" s="1"/>
  <c r="DY556" i="25"/>
  <c r="DY576" i="25"/>
  <c r="CG582" i="25"/>
  <c r="CG574" i="25"/>
  <c r="CG566" i="25"/>
  <c r="CG558" i="25"/>
  <c r="CG550" i="25"/>
  <c r="DO584" i="25"/>
  <c r="DP584" i="25" s="1"/>
  <c r="DQ584" i="25" s="1"/>
  <c r="DR584" i="25" s="1"/>
  <c r="DO576" i="25"/>
  <c r="DP576" i="25" s="1"/>
  <c r="DQ576" i="25" s="1"/>
  <c r="DR576" i="25" s="1"/>
  <c r="DO568" i="25"/>
  <c r="DP568" i="25" s="1"/>
  <c r="DQ568" i="25" s="1"/>
  <c r="DR568" i="25" s="1"/>
  <c r="DO552" i="25"/>
  <c r="DP552" i="25" s="1"/>
  <c r="DQ552" i="25" s="1"/>
  <c r="DR552" i="25" s="1"/>
  <c r="DP587" i="25"/>
  <c r="DQ587" i="25" s="1"/>
  <c r="DR587" i="25" s="1"/>
  <c r="CG560" i="25"/>
  <c r="DS571" i="25"/>
  <c r="CO566" i="25"/>
  <c r="CQ566" i="25" s="1"/>
  <c r="CO569" i="25"/>
  <c r="CQ569" i="25" s="1"/>
  <c r="CO561" i="25"/>
  <c r="CQ561" i="25" s="1"/>
  <c r="CO553" i="25"/>
  <c r="CQ553" i="25" s="1"/>
  <c r="DS579" i="25"/>
  <c r="CP569" i="25"/>
  <c r="CP547" i="25"/>
  <c r="CP566" i="25"/>
  <c r="DS563" i="25"/>
  <c r="DO588" i="25"/>
  <c r="DP588" i="25" s="1"/>
  <c r="DQ588" i="25" s="1"/>
  <c r="DR588" i="25" s="1"/>
  <c r="DO580" i="25"/>
  <c r="DP580" i="25" s="1"/>
  <c r="DQ580" i="25" s="1"/>
  <c r="DR580" i="25" s="1"/>
  <c r="DO572" i="25"/>
  <c r="DP572" i="25" s="1"/>
  <c r="DQ572" i="25" s="1"/>
  <c r="DR572" i="25" s="1"/>
  <c r="DO564" i="25"/>
  <c r="DP564" i="25" s="1"/>
  <c r="DQ564" i="25" s="1"/>
  <c r="DR564" i="25" s="1"/>
  <c r="DO556" i="25"/>
  <c r="DP556" i="25" s="1"/>
  <c r="DQ556" i="25" s="1"/>
  <c r="DR556" i="25" s="1"/>
  <c r="DO548" i="25"/>
  <c r="DP548" i="25" s="1"/>
  <c r="DQ548" i="25" s="1"/>
  <c r="DR548" i="25" s="1"/>
  <c r="ED584" i="25"/>
  <c r="ED576" i="25"/>
  <c r="ED568" i="25"/>
  <c r="ED560" i="25"/>
  <c r="ED552" i="25"/>
  <c r="EC587" i="25"/>
  <c r="EC579" i="25"/>
  <c r="EC571" i="25"/>
  <c r="EC563" i="25"/>
  <c r="EC555" i="25"/>
  <c r="EC547" i="25"/>
  <c r="CP585" i="25"/>
  <c r="CP563" i="25"/>
  <c r="DS587" i="25"/>
  <c r="DO550" i="25"/>
  <c r="DP550" i="25" s="1"/>
  <c r="DQ550" i="25" s="1"/>
  <c r="DR550" i="25" s="1"/>
  <c r="CP582" i="25"/>
  <c r="CP561" i="25"/>
  <c r="DS547" i="25"/>
  <c r="DO546" i="25"/>
  <c r="DP546" i="25" s="1"/>
  <c r="DQ546" i="25" s="1"/>
  <c r="DR546" i="25" s="1"/>
  <c r="DO581" i="25"/>
  <c r="DP581" i="25" s="1"/>
  <c r="DQ581" i="25" s="1"/>
  <c r="DR581" i="25" s="1"/>
  <c r="DO573" i="25"/>
  <c r="DP573" i="25" s="1"/>
  <c r="DQ573" i="25" s="1"/>
  <c r="DR573" i="25" s="1"/>
  <c r="DO565" i="25"/>
  <c r="DP565" i="25" s="1"/>
  <c r="DQ565" i="25" s="1"/>
  <c r="DR565" i="25" s="1"/>
  <c r="DO557" i="25"/>
  <c r="DP557" i="25" s="1"/>
  <c r="DQ557" i="25" s="1"/>
  <c r="DR557" i="25" s="1"/>
  <c r="DO549" i="25"/>
  <c r="DP549" i="25" s="1"/>
  <c r="DQ549" i="25" s="1"/>
  <c r="DR549" i="25" s="1"/>
  <c r="CP579" i="25"/>
  <c r="CP558" i="25"/>
  <c r="DY588" i="25"/>
  <c r="DY570" i="25"/>
  <c r="DW583" i="25"/>
  <c r="CP574" i="25"/>
  <c r="CP553" i="25"/>
  <c r="DY586" i="25"/>
  <c r="DS555" i="25"/>
  <c r="CP571" i="25"/>
  <c r="CP550" i="25"/>
  <c r="ED582" i="25"/>
  <c r="ED574" i="25"/>
  <c r="ED566" i="25"/>
  <c r="ED558" i="25"/>
  <c r="ED550" i="25"/>
  <c r="EC585" i="25"/>
  <c r="EC577" i="25"/>
  <c r="EC569" i="25"/>
  <c r="EC561" i="25"/>
  <c r="EC553" i="25"/>
  <c r="DD586" i="25"/>
  <c r="DC586" i="25" s="1"/>
  <c r="DJ586" i="25" s="1"/>
  <c r="DE586" i="25"/>
  <c r="DH586" i="25"/>
  <c r="DI586" i="25" s="1"/>
  <c r="DD578" i="25"/>
  <c r="DC578" i="25" s="1"/>
  <c r="DJ578" i="25" s="1"/>
  <c r="DE578" i="25"/>
  <c r="DD570" i="25"/>
  <c r="DC570" i="25" s="1"/>
  <c r="DJ570" i="25" s="1"/>
  <c r="DE570" i="25"/>
  <c r="DH570" i="25"/>
  <c r="DI570" i="25" s="1"/>
  <c r="DD562" i="25"/>
  <c r="DC562" i="25" s="1"/>
  <c r="DJ562" i="25" s="1"/>
  <c r="DE562" i="25"/>
  <c r="DH562" i="25"/>
  <c r="DI562" i="25" s="1"/>
  <c r="DD554" i="25"/>
  <c r="DC554" i="25" s="1"/>
  <c r="DJ554" i="25" s="1"/>
  <c r="DE554" i="25"/>
  <c r="DD546" i="25"/>
  <c r="DC546" i="25" s="1"/>
  <c r="DJ546" i="25" s="1"/>
  <c r="DE546" i="25"/>
  <c r="DH546" i="25"/>
  <c r="DI546" i="25" s="1"/>
  <c r="DH554" i="25"/>
  <c r="DI554" i="25" s="1"/>
  <c r="DD584" i="25"/>
  <c r="DC584" i="25" s="1"/>
  <c r="DJ584" i="25" s="1"/>
  <c r="DE584" i="25"/>
  <c r="DH584" i="25"/>
  <c r="DI584" i="25" s="1"/>
  <c r="DW579" i="25"/>
  <c r="DY579" i="25"/>
  <c r="DE585" i="25"/>
  <c r="DH585" i="25"/>
  <c r="DI585" i="25" s="1"/>
  <c r="DD585" i="25"/>
  <c r="DC585" i="25" s="1"/>
  <c r="DJ585" i="25" s="1"/>
  <c r="DE577" i="25"/>
  <c r="DH577" i="25"/>
  <c r="DI577" i="25" s="1"/>
  <c r="DE569" i="25"/>
  <c r="DH569" i="25"/>
  <c r="DI569" i="25" s="1"/>
  <c r="DD569" i="25"/>
  <c r="DC569" i="25" s="1"/>
  <c r="DJ569" i="25" s="1"/>
  <c r="DE561" i="25"/>
  <c r="DH561" i="25"/>
  <c r="DI561" i="25" s="1"/>
  <c r="DD561" i="25"/>
  <c r="DC561" i="25" s="1"/>
  <c r="DJ561" i="25" s="1"/>
  <c r="DE553" i="25"/>
  <c r="DH553" i="25"/>
  <c r="DI553" i="25" s="1"/>
  <c r="DD553" i="25"/>
  <c r="DC553" i="25" s="1"/>
  <c r="DJ553" i="25" s="1"/>
  <c r="DD577" i="25"/>
  <c r="DC577" i="25" s="1"/>
  <c r="DJ577" i="25" s="1"/>
  <c r="DD560" i="25"/>
  <c r="DC560" i="25" s="1"/>
  <c r="DJ560" i="25" s="1"/>
  <c r="DE560" i="25"/>
  <c r="DH560" i="25"/>
  <c r="DI560" i="25" s="1"/>
  <c r="DW587" i="25"/>
  <c r="DY587" i="25"/>
  <c r="DW555" i="25"/>
  <c r="DY555" i="25"/>
  <c r="CO557" i="25"/>
  <c r="CQ557" i="25" s="1"/>
  <c r="CP557" i="25"/>
  <c r="DD575" i="25"/>
  <c r="DC575" i="25" s="1"/>
  <c r="DJ575" i="25" s="1"/>
  <c r="DE575" i="25"/>
  <c r="DH575" i="25"/>
  <c r="DI575" i="25" s="1"/>
  <c r="DD567" i="25"/>
  <c r="DC567" i="25" s="1"/>
  <c r="DJ567" i="25" s="1"/>
  <c r="DE567" i="25"/>
  <c r="DH567" i="25"/>
  <c r="DI567" i="25" s="1"/>
  <c r="DH582" i="25"/>
  <c r="DI582" i="25" s="1"/>
  <c r="DE582" i="25"/>
  <c r="DD582" i="25"/>
  <c r="DC582" i="25" s="1"/>
  <c r="DJ582" i="25" s="1"/>
  <c r="DH574" i="25"/>
  <c r="DI574" i="25" s="1"/>
  <c r="DE574" i="25"/>
  <c r="DH566" i="25"/>
  <c r="DI566" i="25" s="1"/>
  <c r="DD566" i="25"/>
  <c r="DC566" i="25" s="1"/>
  <c r="DJ566" i="25" s="1"/>
  <c r="DH558" i="25"/>
  <c r="DI558" i="25" s="1"/>
  <c r="DD558" i="25"/>
  <c r="DC558" i="25" s="1"/>
  <c r="DJ558" i="25" s="1"/>
  <c r="DE558" i="25"/>
  <c r="DH550" i="25"/>
  <c r="DI550" i="25" s="1"/>
  <c r="DE550" i="25"/>
  <c r="DD550" i="25"/>
  <c r="DC550" i="25" s="1"/>
  <c r="DJ550" i="25" s="1"/>
  <c r="DS585" i="25"/>
  <c r="DS577" i="25"/>
  <c r="DS569" i="25"/>
  <c r="DS561" i="25"/>
  <c r="DS553" i="25"/>
  <c r="DD568" i="25"/>
  <c r="DC568" i="25" s="1"/>
  <c r="DJ568" i="25" s="1"/>
  <c r="DE568" i="25"/>
  <c r="DH568" i="25"/>
  <c r="DI568" i="25" s="1"/>
  <c r="DW571" i="25"/>
  <c r="DY571" i="25"/>
  <c r="DW547" i="25"/>
  <c r="DY547" i="25"/>
  <c r="CO588" i="25"/>
  <c r="CQ588" i="25" s="1"/>
  <c r="CP588" i="25"/>
  <c r="CO572" i="25"/>
  <c r="CQ572" i="25" s="1"/>
  <c r="CP572" i="25"/>
  <c r="CO556" i="25"/>
  <c r="CQ556" i="25" s="1"/>
  <c r="CP556" i="25"/>
  <c r="CO583" i="25"/>
  <c r="CQ583" i="25" s="1"/>
  <c r="CR583" i="25" s="1"/>
  <c r="CP583" i="25"/>
  <c r="CO567" i="25"/>
  <c r="CQ567" i="25" s="1"/>
  <c r="CP567" i="25"/>
  <c r="CO551" i="25"/>
  <c r="CQ551" i="25" s="1"/>
  <c r="CR551" i="25" s="1"/>
  <c r="CP551" i="25"/>
  <c r="CP578" i="25"/>
  <c r="CO578" i="25"/>
  <c r="CQ578" i="25" s="1"/>
  <c r="CR578" i="25" s="1"/>
  <c r="CP562" i="25"/>
  <c r="CO562" i="25"/>
  <c r="CQ562" i="25" s="1"/>
  <c r="CP546" i="25"/>
  <c r="CO546" i="25"/>
  <c r="CQ546" i="25" s="1"/>
  <c r="CR546" i="25" s="1"/>
  <c r="CO573" i="25"/>
  <c r="CQ573" i="25" s="1"/>
  <c r="CP573" i="25"/>
  <c r="CO549" i="25"/>
  <c r="CQ549" i="25" s="1"/>
  <c r="CP549" i="25"/>
  <c r="CO568" i="25"/>
  <c r="CQ568" i="25" s="1"/>
  <c r="CP568" i="25"/>
  <c r="DD583" i="25"/>
  <c r="DC583" i="25" s="1"/>
  <c r="DJ583" i="25" s="1"/>
  <c r="DE583" i="25"/>
  <c r="DH583" i="25"/>
  <c r="DI583" i="25" s="1"/>
  <c r="DE581" i="25"/>
  <c r="DD581" i="25"/>
  <c r="DC581" i="25" s="1"/>
  <c r="DJ581" i="25" s="1"/>
  <c r="DH581" i="25"/>
  <c r="DI581" i="25" s="1"/>
  <c r="DE573" i="25"/>
  <c r="DD573" i="25"/>
  <c r="DC573" i="25" s="1"/>
  <c r="DJ573" i="25" s="1"/>
  <c r="DE565" i="25"/>
  <c r="DD565" i="25"/>
  <c r="DC565" i="25" s="1"/>
  <c r="DJ565" i="25" s="1"/>
  <c r="DH565" i="25"/>
  <c r="DI565" i="25" s="1"/>
  <c r="DE557" i="25"/>
  <c r="DD557" i="25"/>
  <c r="DC557" i="25" s="1"/>
  <c r="DJ557" i="25" s="1"/>
  <c r="DH557" i="25"/>
  <c r="DI557" i="25" s="1"/>
  <c r="DE549" i="25"/>
  <c r="DD549" i="25"/>
  <c r="DC549" i="25" s="1"/>
  <c r="DJ549" i="25" s="1"/>
  <c r="DH549" i="25"/>
  <c r="DI549" i="25" s="1"/>
  <c r="DS584" i="25"/>
  <c r="DS576" i="25"/>
  <c r="DS568" i="25"/>
  <c r="DS560" i="25"/>
  <c r="DS552" i="25"/>
  <c r="DH578" i="25"/>
  <c r="DI578" i="25" s="1"/>
  <c r="DD576" i="25"/>
  <c r="DC576" i="25" s="1"/>
  <c r="DJ576" i="25" s="1"/>
  <c r="DE576" i="25"/>
  <c r="DH576" i="25"/>
  <c r="DI576" i="25" s="1"/>
  <c r="DW563" i="25"/>
  <c r="DY563" i="25"/>
  <c r="CO580" i="25"/>
  <c r="CQ580" i="25" s="1"/>
  <c r="CP580" i="25"/>
  <c r="CO564" i="25"/>
  <c r="CQ564" i="25" s="1"/>
  <c r="CP564" i="25"/>
  <c r="CO548" i="25"/>
  <c r="CQ548" i="25" s="1"/>
  <c r="CP548" i="25"/>
  <c r="CO575" i="25"/>
  <c r="CQ575" i="25" s="1"/>
  <c r="CP575" i="25"/>
  <c r="CO559" i="25"/>
  <c r="CQ559" i="25" s="1"/>
  <c r="CP559" i="25"/>
  <c r="CP586" i="25"/>
  <c r="CO586" i="25"/>
  <c r="CQ586" i="25" s="1"/>
  <c r="CP570" i="25"/>
  <c r="CO570" i="25"/>
  <c r="CQ570" i="25" s="1"/>
  <c r="CP554" i="25"/>
  <c r="CO554" i="25"/>
  <c r="CQ554" i="25" s="1"/>
  <c r="CO581" i="25"/>
  <c r="CQ581" i="25" s="1"/>
  <c r="CP581" i="25"/>
  <c r="CO565" i="25"/>
  <c r="CQ565" i="25" s="1"/>
  <c r="CP565" i="25"/>
  <c r="CO584" i="25"/>
  <c r="CQ584" i="25" s="1"/>
  <c r="CP584" i="25"/>
  <c r="CO576" i="25"/>
  <c r="CQ576" i="25" s="1"/>
  <c r="CP576" i="25"/>
  <c r="CO560" i="25"/>
  <c r="CQ560" i="25" s="1"/>
  <c r="CP560" i="25"/>
  <c r="CO552" i="25"/>
  <c r="CQ552" i="25" s="1"/>
  <c r="CP552" i="25"/>
  <c r="DE588" i="25"/>
  <c r="DH588" i="25"/>
  <c r="DI588" i="25" s="1"/>
  <c r="DD588" i="25"/>
  <c r="DC588" i="25" s="1"/>
  <c r="DJ588" i="25" s="1"/>
  <c r="DE580" i="25"/>
  <c r="DH580" i="25"/>
  <c r="DI580" i="25" s="1"/>
  <c r="DD580" i="25"/>
  <c r="DC580" i="25" s="1"/>
  <c r="DJ580" i="25" s="1"/>
  <c r="DE572" i="25"/>
  <c r="DH572" i="25"/>
  <c r="DI572" i="25" s="1"/>
  <c r="DD572" i="25"/>
  <c r="DC572" i="25" s="1"/>
  <c r="DJ572" i="25" s="1"/>
  <c r="DE564" i="25"/>
  <c r="DH564" i="25"/>
  <c r="DI564" i="25" s="1"/>
  <c r="DD564" i="25"/>
  <c r="DC564" i="25" s="1"/>
  <c r="DJ564" i="25" s="1"/>
  <c r="DE556" i="25"/>
  <c r="DH556" i="25"/>
  <c r="DI556" i="25" s="1"/>
  <c r="DD556" i="25"/>
  <c r="DC556" i="25" s="1"/>
  <c r="DJ556" i="25" s="1"/>
  <c r="DE548" i="25"/>
  <c r="DH548" i="25"/>
  <c r="DI548" i="25" s="1"/>
  <c r="DD548" i="25"/>
  <c r="DC548" i="25" s="1"/>
  <c r="DJ548" i="25" s="1"/>
  <c r="DY578" i="25"/>
  <c r="DY562" i="25"/>
  <c r="DY546" i="25"/>
  <c r="DH573" i="25"/>
  <c r="DI573" i="25" s="1"/>
  <c r="DD587" i="25"/>
  <c r="DC587" i="25" s="1"/>
  <c r="DJ587" i="25" s="1"/>
  <c r="DH587" i="25"/>
  <c r="DI587" i="25" s="1"/>
  <c r="DE587" i="25"/>
  <c r="DD579" i="25"/>
  <c r="DC579" i="25" s="1"/>
  <c r="DJ579" i="25" s="1"/>
  <c r="DE579" i="25"/>
  <c r="DH579" i="25"/>
  <c r="DI579" i="25" s="1"/>
  <c r="DD571" i="25"/>
  <c r="DC571" i="25" s="1"/>
  <c r="DJ571" i="25" s="1"/>
  <c r="DH571" i="25"/>
  <c r="DI571" i="25" s="1"/>
  <c r="DE571" i="25"/>
  <c r="DD563" i="25"/>
  <c r="DC563" i="25" s="1"/>
  <c r="DJ563" i="25" s="1"/>
  <c r="DH563" i="25"/>
  <c r="DI563" i="25" s="1"/>
  <c r="DD555" i="25"/>
  <c r="DC555" i="25" s="1"/>
  <c r="DJ555" i="25" s="1"/>
  <c r="DE555" i="25"/>
  <c r="DD547" i="25"/>
  <c r="DC547" i="25" s="1"/>
  <c r="DJ547" i="25" s="1"/>
  <c r="DE547" i="25"/>
  <c r="DH547" i="25"/>
  <c r="DI547" i="25" s="1"/>
  <c r="DH555" i="25"/>
  <c r="DI555" i="25" s="1"/>
  <c r="DE566" i="25"/>
  <c r="DD552" i="25"/>
  <c r="DC552" i="25" s="1"/>
  <c r="DJ552" i="25" s="1"/>
  <c r="DE552" i="25"/>
  <c r="DH552" i="25"/>
  <c r="DI552" i="25" s="1"/>
  <c r="DW582" i="25"/>
  <c r="DW574" i="25"/>
  <c r="DW566" i="25"/>
  <c r="DW558" i="25"/>
  <c r="DW550" i="25"/>
  <c r="DS586" i="25"/>
  <c r="DS578" i="25"/>
  <c r="DS570" i="25"/>
  <c r="DS562" i="25"/>
  <c r="DS554" i="25"/>
  <c r="DS546" i="25"/>
  <c r="DD559" i="25"/>
  <c r="DC559" i="25" s="1"/>
  <c r="DJ559" i="25" s="1"/>
  <c r="DE559" i="25"/>
  <c r="DH559" i="25"/>
  <c r="DI559" i="25" s="1"/>
  <c r="DD551" i="25"/>
  <c r="DC551" i="25" s="1"/>
  <c r="DJ551" i="25" s="1"/>
  <c r="DE551" i="25"/>
  <c r="DH551" i="25"/>
  <c r="DI551" i="25" s="1"/>
  <c r="DW581" i="25"/>
  <c r="DW573" i="25"/>
  <c r="DW565" i="25"/>
  <c r="DW557" i="25"/>
  <c r="DW549" i="25"/>
  <c r="CT583" i="25"/>
  <c r="CT575" i="25"/>
  <c r="CT567" i="25"/>
  <c r="CT559" i="25"/>
  <c r="CT551" i="25"/>
  <c r="CT586" i="25"/>
  <c r="CT578" i="25"/>
  <c r="CT570" i="25"/>
  <c r="CT562" i="25"/>
  <c r="CT554" i="25"/>
  <c r="CT546" i="25"/>
  <c r="CU583" i="25" l="1"/>
  <c r="CX583" i="25" s="1"/>
  <c r="CY583" i="25" s="1"/>
  <c r="CR552" i="25"/>
  <c r="CV552" i="25" s="1"/>
  <c r="CW552" i="25" s="1"/>
  <c r="CZ552" i="25" s="1"/>
  <c r="CU552" i="25"/>
  <c r="CX552" i="25" s="1"/>
  <c r="CY552" i="25" s="1"/>
  <c r="CV546" i="25"/>
  <c r="CW546" i="25" s="1"/>
  <c r="CZ546" i="25" s="1"/>
  <c r="CR570" i="25"/>
  <c r="CV570" i="25" s="1"/>
  <c r="CW570" i="25" s="1"/>
  <c r="CZ570" i="25" s="1"/>
  <c r="CU570" i="25"/>
  <c r="CX570" i="25" s="1"/>
  <c r="CY570" i="25" s="1"/>
  <c r="CR584" i="25"/>
  <c r="CV584" i="25" s="1"/>
  <c r="CW584" i="25" s="1"/>
  <c r="CZ584" i="25" s="1"/>
  <c r="CU584" i="25"/>
  <c r="CX584" i="25" s="1"/>
  <c r="CY584" i="25" s="1"/>
  <c r="CR562" i="25"/>
  <c r="CV562" i="25" s="1"/>
  <c r="CW562" i="25" s="1"/>
  <c r="CZ562" i="25" s="1"/>
  <c r="CU562" i="25"/>
  <c r="CX562" i="25" s="1"/>
  <c r="CY562" i="25" s="1"/>
  <c r="CR568" i="25"/>
  <c r="CV568" i="25" s="1"/>
  <c r="CW568" i="25" s="1"/>
  <c r="CZ568" i="25" s="1"/>
  <c r="CU568" i="25"/>
  <c r="CX568" i="25" s="1"/>
  <c r="CY568" i="25" s="1"/>
  <c r="CR586" i="25"/>
  <c r="CV586" i="25" s="1"/>
  <c r="CW586" i="25" s="1"/>
  <c r="CZ586" i="25" s="1"/>
  <c r="CU586" i="25"/>
  <c r="CX586" i="25" s="1"/>
  <c r="CY586" i="25" s="1"/>
  <c r="CR580" i="25"/>
  <c r="CV580" i="25" s="1"/>
  <c r="CW580" i="25" s="1"/>
  <c r="CZ580" i="25" s="1"/>
  <c r="CU580" i="25"/>
  <c r="CX580" i="25" s="1"/>
  <c r="CY580" i="25" s="1"/>
  <c r="CR556" i="25"/>
  <c r="CV556" i="25" s="1"/>
  <c r="CW556" i="25" s="1"/>
  <c r="CZ556" i="25" s="1"/>
  <c r="CU556" i="25"/>
  <c r="CX556" i="25" s="1"/>
  <c r="CY556" i="25" s="1"/>
  <c r="CR567" i="25"/>
  <c r="CV567" i="25" s="1"/>
  <c r="CW567" i="25" s="1"/>
  <c r="CZ567" i="25" s="1"/>
  <c r="CU567" i="25"/>
  <c r="CX567" i="25" s="1"/>
  <c r="CY567" i="25" s="1"/>
  <c r="CR560" i="25"/>
  <c r="CV560" i="25" s="1"/>
  <c r="CW560" i="25" s="1"/>
  <c r="CZ560" i="25" s="1"/>
  <c r="CU560" i="25"/>
  <c r="CX560" i="25" s="1"/>
  <c r="CY560" i="25" s="1"/>
  <c r="CR559" i="25"/>
  <c r="CV559" i="25" s="1"/>
  <c r="CW559" i="25" s="1"/>
  <c r="CZ559" i="25" s="1"/>
  <c r="CU559" i="25"/>
  <c r="CX559" i="25" s="1"/>
  <c r="CY559" i="25" s="1"/>
  <c r="CR549" i="25"/>
  <c r="CV549" i="25" s="1"/>
  <c r="CW549" i="25" s="1"/>
  <c r="CZ549" i="25" s="1"/>
  <c r="CU549" i="25"/>
  <c r="CX549" i="25" s="1"/>
  <c r="CY549" i="25" s="1"/>
  <c r="CR554" i="25"/>
  <c r="CV554" i="25" s="1"/>
  <c r="CW554" i="25" s="1"/>
  <c r="CZ554" i="25" s="1"/>
  <c r="CU554" i="25"/>
  <c r="CX554" i="25" s="1"/>
  <c r="CY554" i="25" s="1"/>
  <c r="CR576" i="25"/>
  <c r="CV576" i="25" s="1"/>
  <c r="CW576" i="25" s="1"/>
  <c r="CZ576" i="25" s="1"/>
  <c r="CU576" i="25"/>
  <c r="CX576" i="25" s="1"/>
  <c r="CY576" i="25" s="1"/>
  <c r="CR575" i="25"/>
  <c r="CV575" i="25" s="1"/>
  <c r="CW575" i="25" s="1"/>
  <c r="CZ575" i="25" s="1"/>
  <c r="CU575" i="25"/>
  <c r="CX575" i="25" s="1"/>
  <c r="CY575" i="25" s="1"/>
  <c r="CR555" i="25"/>
  <c r="CV555" i="25" s="1"/>
  <c r="CW555" i="25" s="1"/>
  <c r="CZ555" i="25" s="1"/>
  <c r="CU555" i="25"/>
  <c r="CX555" i="25" s="1"/>
  <c r="CY555" i="25" s="1"/>
  <c r="CR581" i="25"/>
  <c r="CV581" i="25" s="1"/>
  <c r="CW581" i="25" s="1"/>
  <c r="CZ581" i="25" s="1"/>
  <c r="CU581" i="25"/>
  <c r="CX581" i="25" s="1"/>
  <c r="CY581" i="25" s="1"/>
  <c r="CR553" i="25"/>
  <c r="CV553" i="25" s="1"/>
  <c r="CW553" i="25" s="1"/>
  <c r="CZ553" i="25" s="1"/>
  <c r="CU553" i="25"/>
  <c r="CX553" i="25" s="1"/>
  <c r="CY553" i="25" s="1"/>
  <c r="CR569" i="25"/>
  <c r="CV569" i="25" s="1"/>
  <c r="CW569" i="25" s="1"/>
  <c r="CZ569" i="25" s="1"/>
  <c r="CU569" i="25"/>
  <c r="CX569" i="25" s="1"/>
  <c r="CY569" i="25" s="1"/>
  <c r="CR587" i="25"/>
  <c r="CV587" i="25" s="1"/>
  <c r="CW587" i="25" s="1"/>
  <c r="CZ587" i="25" s="1"/>
  <c r="CU587" i="25"/>
  <c r="CX587" i="25" s="1"/>
  <c r="CY587" i="25" s="1"/>
  <c r="CV583" i="25"/>
  <c r="CW583" i="25" s="1"/>
  <c r="CZ583" i="25" s="1"/>
  <c r="CU578" i="25"/>
  <c r="CX578" i="25" s="1"/>
  <c r="CY578" i="25" s="1"/>
  <c r="CR571" i="25"/>
  <c r="CV571" i="25" s="1"/>
  <c r="CW571" i="25" s="1"/>
  <c r="CZ571" i="25" s="1"/>
  <c r="CU571" i="25"/>
  <c r="CX571" i="25" s="1"/>
  <c r="CY571" i="25" s="1"/>
  <c r="CR565" i="25"/>
  <c r="CV565" i="25" s="1"/>
  <c r="CW565" i="25" s="1"/>
  <c r="CZ565" i="25" s="1"/>
  <c r="CU565" i="25"/>
  <c r="CX565" i="25" s="1"/>
  <c r="CY565" i="25" s="1"/>
  <c r="CV551" i="25"/>
  <c r="CW551" i="25" s="1"/>
  <c r="CZ551" i="25" s="1"/>
  <c r="CR588" i="25"/>
  <c r="CV588" i="25" s="1"/>
  <c r="CW588" i="25" s="1"/>
  <c r="CZ588" i="25" s="1"/>
  <c r="CU588" i="25"/>
  <c r="CX588" i="25" s="1"/>
  <c r="CY588" i="25" s="1"/>
  <c r="CR573" i="25"/>
  <c r="CV573" i="25" s="1"/>
  <c r="CW573" i="25" s="1"/>
  <c r="CZ573" i="25" s="1"/>
  <c r="CU573" i="25"/>
  <c r="CX573" i="25" s="1"/>
  <c r="CY573" i="25" s="1"/>
  <c r="CR563" i="25"/>
  <c r="CV563" i="25" s="1"/>
  <c r="CW563" i="25" s="1"/>
  <c r="CZ563" i="25" s="1"/>
  <c r="CU563" i="25"/>
  <c r="CX563" i="25" s="1"/>
  <c r="CY563" i="25" s="1"/>
  <c r="CR579" i="25"/>
  <c r="CV579" i="25" s="1"/>
  <c r="CW579" i="25" s="1"/>
  <c r="CZ579" i="25" s="1"/>
  <c r="CU579" i="25"/>
  <c r="CX579" i="25" s="1"/>
  <c r="CY579" i="25" s="1"/>
  <c r="CR582" i="25"/>
  <c r="CV582" i="25" s="1"/>
  <c r="CW582" i="25" s="1"/>
  <c r="CZ582" i="25" s="1"/>
  <c r="CU582" i="25"/>
  <c r="CX582" i="25" s="1"/>
  <c r="CY582" i="25" s="1"/>
  <c r="CR577" i="25"/>
  <c r="CV577" i="25" s="1"/>
  <c r="CW577" i="25" s="1"/>
  <c r="CZ577" i="25" s="1"/>
  <c r="CU577" i="25"/>
  <c r="CX577" i="25" s="1"/>
  <c r="CY577" i="25" s="1"/>
  <c r="CV578" i="25"/>
  <c r="CW578" i="25" s="1"/>
  <c r="CZ578" i="25" s="1"/>
  <c r="CR572" i="25"/>
  <c r="CV572" i="25" s="1"/>
  <c r="CW572" i="25" s="1"/>
  <c r="CZ572" i="25" s="1"/>
  <c r="CU572" i="25"/>
  <c r="CX572" i="25" s="1"/>
  <c r="CY572" i="25" s="1"/>
  <c r="CR557" i="25"/>
  <c r="CV557" i="25" s="1"/>
  <c r="CW557" i="25" s="1"/>
  <c r="CZ557" i="25" s="1"/>
  <c r="CU557" i="25"/>
  <c r="CX557" i="25" s="1"/>
  <c r="CY557" i="25" s="1"/>
  <c r="CR566" i="25"/>
  <c r="CV566" i="25" s="1"/>
  <c r="CW566" i="25" s="1"/>
  <c r="CZ566" i="25" s="1"/>
  <c r="CU566" i="25"/>
  <c r="CX566" i="25" s="1"/>
  <c r="CY566" i="25" s="1"/>
  <c r="CR561" i="25"/>
  <c r="CV561" i="25" s="1"/>
  <c r="CW561" i="25" s="1"/>
  <c r="CZ561" i="25" s="1"/>
  <c r="CU561" i="25"/>
  <c r="CX561" i="25" s="1"/>
  <c r="CY561" i="25" s="1"/>
  <c r="CR558" i="25"/>
  <c r="CV558" i="25" s="1"/>
  <c r="CW558" i="25" s="1"/>
  <c r="CZ558" i="25" s="1"/>
  <c r="CU558" i="25"/>
  <c r="CX558" i="25" s="1"/>
  <c r="CY558" i="25" s="1"/>
  <c r="CR547" i="25"/>
  <c r="CV547" i="25" s="1"/>
  <c r="CW547" i="25" s="1"/>
  <c r="CZ547" i="25" s="1"/>
  <c r="CU547" i="25"/>
  <c r="CX547" i="25" s="1"/>
  <c r="CY547" i="25" s="1"/>
  <c r="CR548" i="25"/>
  <c r="CV548" i="25" s="1"/>
  <c r="CW548" i="25" s="1"/>
  <c r="CZ548" i="25" s="1"/>
  <c r="CU548" i="25"/>
  <c r="CX548" i="25" s="1"/>
  <c r="CY548" i="25" s="1"/>
  <c r="CR564" i="25"/>
  <c r="CV564" i="25" s="1"/>
  <c r="CW564" i="25" s="1"/>
  <c r="CZ564" i="25" s="1"/>
  <c r="CU564" i="25"/>
  <c r="CX564" i="25" s="1"/>
  <c r="CY564" i="25" s="1"/>
  <c r="CR550" i="25"/>
  <c r="CV550" i="25" s="1"/>
  <c r="CW550" i="25" s="1"/>
  <c r="CZ550" i="25" s="1"/>
  <c r="CU550" i="25"/>
  <c r="CX550" i="25" s="1"/>
  <c r="CY550" i="25" s="1"/>
  <c r="CR574" i="25"/>
  <c r="CV574" i="25" s="1"/>
  <c r="CW574" i="25" s="1"/>
  <c r="CZ574" i="25" s="1"/>
  <c r="CU574" i="25"/>
  <c r="CX574" i="25" s="1"/>
  <c r="CY574" i="25" s="1"/>
  <c r="CR585" i="25"/>
  <c r="CV585" i="25" s="1"/>
  <c r="CW585" i="25" s="1"/>
  <c r="CZ585" i="25" s="1"/>
  <c r="CU585" i="25"/>
  <c r="CX585" i="25" s="1"/>
  <c r="CY585" i="25" s="1"/>
  <c r="CU551" i="25"/>
  <c r="CX551" i="25" s="1"/>
  <c r="CY551" i="25" s="1"/>
  <c r="CU546" i="25"/>
  <c r="CX546" i="25" s="1"/>
  <c r="CY546" i="25" s="1"/>
  <c r="J468" i="25" l="1"/>
  <c r="I468" i="25"/>
  <c r="I428" i="25"/>
  <c r="G479" i="25" l="1"/>
  <c r="G435" i="25"/>
  <c r="G481" i="25"/>
  <c r="G516" i="25"/>
  <c r="G515" i="25"/>
  <c r="G505" i="25"/>
  <c r="G456" i="25"/>
  <c r="G455" i="25"/>
  <c r="G487" i="25"/>
  <c r="G527" i="25"/>
  <c r="G457" i="25"/>
  <c r="G512" i="25"/>
  <c r="G482" i="25"/>
  <c r="G469" i="25"/>
  <c r="G438" i="25"/>
  <c r="G480" i="25"/>
  <c r="G401" i="25"/>
  <c r="G434" i="25"/>
  <c r="G397" i="25"/>
  <c r="G398" i="25"/>
  <c r="G400" i="25"/>
  <c r="G403" i="25"/>
  <c r="G404" i="25"/>
  <c r="G405" i="25"/>
  <c r="G406" i="25"/>
  <c r="G410" i="25"/>
  <c r="G417" i="25"/>
  <c r="G483" i="25"/>
  <c r="G523" i="25"/>
  <c r="G530" i="25"/>
  <c r="G533" i="25"/>
  <c r="G536" i="25"/>
  <c r="G535" i="25"/>
  <c r="G447" i="25"/>
  <c r="G513" i="25"/>
  <c r="G514" i="25"/>
  <c r="G521" i="25"/>
  <c r="G422" i="25"/>
  <c r="G425" i="25"/>
  <c r="G427" i="25"/>
  <c r="G430" i="25"/>
  <c r="G431" i="25"/>
  <c r="G467" i="25"/>
  <c r="G502" i="25"/>
  <c r="G419" i="25"/>
  <c r="G471" i="25"/>
  <c r="G399" i="25"/>
  <c r="G402" i="25"/>
  <c r="G532" i="25"/>
  <c r="G452" i="25"/>
  <c r="G429" i="25"/>
  <c r="G506" i="25"/>
  <c r="G463" i="25"/>
  <c r="G409" i="25"/>
  <c r="G460" i="25"/>
  <c r="G411" i="25"/>
  <c r="G414" i="25"/>
  <c r="G504" i="25"/>
  <c r="G520" i="25"/>
  <c r="G458" i="25"/>
  <c r="G525" i="25"/>
  <c r="G526" i="25"/>
  <c r="G522" i="25"/>
  <c r="G477" i="25"/>
  <c r="G509" i="25"/>
  <c r="G476" i="25"/>
  <c r="G507" i="25"/>
  <c r="G470" i="25"/>
  <c r="G423" i="25"/>
  <c r="G545" i="25"/>
  <c r="G543" i="25"/>
  <c r="G544" i="25"/>
  <c r="G539" i="25"/>
  <c r="G484" i="25"/>
  <c r="G503" i="25"/>
  <c r="G459" i="25"/>
  <c r="G486" i="25"/>
  <c r="G500" i="25"/>
  <c r="G528" i="25"/>
  <c r="G510" i="25"/>
  <c r="G511" i="25"/>
  <c r="G501" i="25"/>
  <c r="G443" i="25"/>
  <c r="G416" i="25"/>
  <c r="G534" i="25"/>
  <c r="G412" i="25"/>
  <c r="G413" i="25"/>
  <c r="G444" i="25"/>
  <c r="G424" i="25"/>
  <c r="G492" i="25"/>
  <c r="G464" i="25"/>
  <c r="G517" i="25"/>
  <c r="G542" i="25"/>
  <c r="G433" i="25"/>
  <c r="G499" i="25"/>
  <c r="G490" i="25"/>
  <c r="G495" i="25"/>
  <c r="G488" i="25"/>
  <c r="G462" i="25"/>
  <c r="G489" i="25"/>
  <c r="G508" i="25"/>
  <c r="G519" i="25"/>
  <c r="G491" i="25"/>
  <c r="G485" i="25"/>
  <c r="G496" i="25"/>
  <c r="G493" i="25"/>
  <c r="G494" i="25"/>
  <c r="G461" i="25"/>
  <c r="G407" i="25"/>
  <c r="G408" i="25"/>
  <c r="G415" i="25"/>
  <c r="G418" i="25"/>
  <c r="G529" i="25"/>
  <c r="G421" i="25"/>
  <c r="G428" i="25"/>
  <c r="G432" i="25"/>
  <c r="G466" i="25"/>
  <c r="G468" i="25"/>
  <c r="G531" i="25"/>
  <c r="G541" i="25"/>
  <c r="G440" i="25"/>
  <c r="G518" i="25"/>
  <c r="G498" i="25"/>
  <c r="G426" i="25"/>
  <c r="G441" i="25"/>
  <c r="G524" i="25"/>
  <c r="G436" i="25"/>
  <c r="G439" i="25"/>
  <c r="G451" i="25"/>
  <c r="G449" i="25"/>
  <c r="G450" i="25"/>
  <c r="G445" i="25"/>
  <c r="G465" i="25"/>
  <c r="G446" i="25"/>
  <c r="G442" i="25"/>
  <c r="G540" i="25"/>
  <c r="G453" i="25"/>
  <c r="G497" i="25"/>
  <c r="G437" i="25"/>
  <c r="G454" i="25"/>
  <c r="G448" i="25"/>
  <c r="G537" i="25"/>
  <c r="G538" i="25"/>
  <c r="G420" i="25"/>
  <c r="G474" i="25"/>
  <c r="G473" i="25"/>
  <c r="G475" i="25"/>
  <c r="G472" i="25"/>
  <c r="G478" i="25"/>
  <c r="CE538" i="25"/>
  <c r="CE420" i="25"/>
  <c r="CE474" i="25"/>
  <c r="CE473" i="25"/>
  <c r="CE475" i="25"/>
  <c r="CE472" i="25"/>
  <c r="CE478" i="25"/>
  <c r="CF538" i="25"/>
  <c r="CF420" i="25"/>
  <c r="CF474" i="25"/>
  <c r="CF473" i="25"/>
  <c r="CF475" i="25"/>
  <c r="CF472" i="25"/>
  <c r="CF478" i="25"/>
  <c r="CH538" i="25"/>
  <c r="CH420" i="25"/>
  <c r="CH474" i="25"/>
  <c r="CH473" i="25"/>
  <c r="CH475" i="25"/>
  <c r="CH472" i="25"/>
  <c r="CH478" i="25"/>
  <c r="CI538" i="25"/>
  <c r="CI420" i="25"/>
  <c r="CI474" i="25"/>
  <c r="CI473" i="25"/>
  <c r="CI475" i="25"/>
  <c r="CI472" i="25"/>
  <c r="CI478" i="25"/>
  <c r="CJ538" i="25"/>
  <c r="CJ420" i="25"/>
  <c r="CJ474" i="25"/>
  <c r="CJ473" i="25"/>
  <c r="CJ475" i="25"/>
  <c r="CJ472" i="25"/>
  <c r="CJ478" i="25"/>
  <c r="CK538" i="25"/>
  <c r="CK420" i="25"/>
  <c r="CK474" i="25"/>
  <c r="CK473" i="25"/>
  <c r="CK475" i="25"/>
  <c r="CK472" i="25"/>
  <c r="CK478" i="25"/>
  <c r="CL538" i="25"/>
  <c r="CL420" i="25"/>
  <c r="CL474" i="25"/>
  <c r="CL473" i="25"/>
  <c r="CL475" i="25"/>
  <c r="CL472" i="25"/>
  <c r="CL478" i="25"/>
  <c r="CM538" i="25"/>
  <c r="CM420" i="25"/>
  <c r="CM474" i="25"/>
  <c r="CM473" i="25"/>
  <c r="CM475" i="25"/>
  <c r="CM472" i="25"/>
  <c r="CM478" i="25"/>
  <c r="CN538" i="25"/>
  <c r="CN420" i="25"/>
  <c r="CN474" i="25"/>
  <c r="CN473" i="25"/>
  <c r="CN475" i="25"/>
  <c r="CN472" i="25"/>
  <c r="CN478" i="25"/>
  <c r="CS538" i="25"/>
  <c r="CT538" i="25" s="1"/>
  <c r="CS420" i="25"/>
  <c r="CT420" i="25" s="1"/>
  <c r="CS474" i="25"/>
  <c r="CT474" i="25" s="1"/>
  <c r="CS473" i="25"/>
  <c r="CS475" i="25"/>
  <c r="CT475" i="25" s="1"/>
  <c r="CS472" i="25"/>
  <c r="CS478" i="25"/>
  <c r="CT478" i="25" s="1"/>
  <c r="DA538" i="25"/>
  <c r="DA420" i="25"/>
  <c r="DA474" i="25"/>
  <c r="DA473" i="25"/>
  <c r="DA475" i="25"/>
  <c r="DA472" i="25"/>
  <c r="DA478" i="25"/>
  <c r="DB538" i="25"/>
  <c r="DB420" i="25"/>
  <c r="DB474" i="25"/>
  <c r="DB473" i="25"/>
  <c r="DB475" i="25"/>
  <c r="DB472" i="25"/>
  <c r="DB478" i="25"/>
  <c r="DF538" i="25"/>
  <c r="DF420" i="25"/>
  <c r="DF474" i="25"/>
  <c r="DF473" i="25"/>
  <c r="DF475" i="25"/>
  <c r="DF472" i="25"/>
  <c r="DF478" i="25"/>
  <c r="DG538" i="25"/>
  <c r="DG420" i="25"/>
  <c r="DG474" i="25"/>
  <c r="DG473" i="25"/>
  <c r="DG475" i="25"/>
  <c r="DG472" i="25"/>
  <c r="DG478" i="25"/>
  <c r="DK538" i="25"/>
  <c r="DK420" i="25"/>
  <c r="DK474" i="25"/>
  <c r="DK473" i="25"/>
  <c r="DK475" i="25"/>
  <c r="DK472" i="25"/>
  <c r="DK478" i="25"/>
  <c r="DL538" i="25"/>
  <c r="DL420" i="25"/>
  <c r="DS420" i="25" s="1"/>
  <c r="DL474" i="25"/>
  <c r="DS474" i="25" s="1"/>
  <c r="DL473" i="25"/>
  <c r="DS473" i="25" s="1"/>
  <c r="DL475" i="25"/>
  <c r="DS475" i="25" s="1"/>
  <c r="DL472" i="25"/>
  <c r="DS472" i="25" s="1"/>
  <c r="DL478" i="25"/>
  <c r="DM538" i="25"/>
  <c r="DM420" i="25"/>
  <c r="DM474" i="25"/>
  <c r="DM473" i="25"/>
  <c r="DM475" i="25"/>
  <c r="DM472" i="25"/>
  <c r="DM478" i="25"/>
  <c r="DN538" i="25"/>
  <c r="DN420" i="25"/>
  <c r="DN474" i="25"/>
  <c r="DN473" i="25"/>
  <c r="DN475" i="25"/>
  <c r="DN472" i="25"/>
  <c r="DN478" i="25"/>
  <c r="DU538" i="25"/>
  <c r="DU420" i="25"/>
  <c r="DU474" i="25"/>
  <c r="DU473" i="25"/>
  <c r="DU475" i="25"/>
  <c r="DU472" i="25"/>
  <c r="DU478" i="25"/>
  <c r="DV538" i="25"/>
  <c r="DY538" i="25" s="1"/>
  <c r="DV420" i="25"/>
  <c r="DW420" i="25" s="1"/>
  <c r="DV474" i="25"/>
  <c r="DV473" i="25"/>
  <c r="DW473" i="25" s="1"/>
  <c r="DV475" i="25"/>
  <c r="DY475" i="25" s="1"/>
  <c r="DV472" i="25"/>
  <c r="DW472" i="25" s="1"/>
  <c r="DV478" i="25"/>
  <c r="DY478" i="25" s="1"/>
  <c r="DX538" i="25"/>
  <c r="DX420" i="25"/>
  <c r="DX474" i="25"/>
  <c r="DX473" i="25"/>
  <c r="DX475" i="25"/>
  <c r="DX472" i="25"/>
  <c r="DX478" i="25"/>
  <c r="DZ538" i="25"/>
  <c r="DZ420" i="25"/>
  <c r="DZ474" i="25"/>
  <c r="DZ473" i="25"/>
  <c r="DZ475" i="25"/>
  <c r="DZ472" i="25"/>
  <c r="DZ478" i="25"/>
  <c r="EA538" i="25"/>
  <c r="EA420" i="25"/>
  <c r="EA474" i="25"/>
  <c r="EA473" i="25"/>
  <c r="EA475" i="25"/>
  <c r="EA472" i="25"/>
  <c r="EA478" i="25"/>
  <c r="EB538" i="25"/>
  <c r="EB420" i="25"/>
  <c r="EB474" i="25"/>
  <c r="EB473" i="25"/>
  <c r="EB475" i="25"/>
  <c r="EB472" i="25"/>
  <c r="EB478" i="25"/>
  <c r="EE538" i="25"/>
  <c r="EE420" i="25"/>
  <c r="EE474" i="25"/>
  <c r="EE473" i="25"/>
  <c r="EE475" i="25"/>
  <c r="EE472" i="25"/>
  <c r="EE478" i="25"/>
  <c r="EF538" i="25"/>
  <c r="EF420" i="25"/>
  <c r="EF474" i="25"/>
  <c r="EF473" i="25"/>
  <c r="EF475" i="25"/>
  <c r="EF472" i="25"/>
  <c r="EF478" i="25"/>
  <c r="EG538" i="25"/>
  <c r="DH538" i="25" s="1"/>
  <c r="DI538" i="25" s="1"/>
  <c r="EG420" i="25"/>
  <c r="DE420" i="25" s="1"/>
  <c r="EG474" i="25"/>
  <c r="DE474" i="25" s="1"/>
  <c r="EG473" i="25"/>
  <c r="DE473" i="25" s="1"/>
  <c r="EG475" i="25"/>
  <c r="DH475" i="25" s="1"/>
  <c r="DI475" i="25" s="1"/>
  <c r="EG472" i="25"/>
  <c r="EG478" i="25"/>
  <c r="DH478" i="25" s="1"/>
  <c r="DI478" i="25" s="1"/>
  <c r="EH538" i="25"/>
  <c r="EH420" i="25"/>
  <c r="EH474" i="25"/>
  <c r="EH473" i="25"/>
  <c r="EH475" i="25"/>
  <c r="EH472" i="25"/>
  <c r="EH478" i="25"/>
  <c r="EI538" i="25"/>
  <c r="DT538" i="25" s="1"/>
  <c r="EI420" i="25"/>
  <c r="DT420" i="25" s="1"/>
  <c r="EI474" i="25"/>
  <c r="DT474" i="25" s="1"/>
  <c r="EI473" i="25"/>
  <c r="DT473" i="25" s="1"/>
  <c r="EI475" i="25"/>
  <c r="DT475" i="25" s="1"/>
  <c r="EI472" i="25"/>
  <c r="DT472" i="25" s="1"/>
  <c r="EI478" i="25"/>
  <c r="DT478" i="25" s="1"/>
  <c r="EJ538" i="25"/>
  <c r="EJ420" i="25"/>
  <c r="EJ474" i="25"/>
  <c r="EJ473" i="25"/>
  <c r="EJ475" i="25"/>
  <c r="EJ472" i="25"/>
  <c r="EJ478" i="25"/>
  <c r="EK538" i="25"/>
  <c r="EK420" i="25"/>
  <c r="EK474" i="25"/>
  <c r="EK473" i="25"/>
  <c r="EK475" i="25"/>
  <c r="EK472" i="25"/>
  <c r="EK478" i="25"/>
  <c r="EL538" i="25"/>
  <c r="EL420" i="25"/>
  <c r="EL474" i="25"/>
  <c r="EL473" i="25"/>
  <c r="EL475" i="25"/>
  <c r="EL472" i="25"/>
  <c r="EL478" i="25"/>
  <c r="EM538" i="25"/>
  <c r="EM420" i="25"/>
  <c r="EM474" i="25"/>
  <c r="EM473" i="25"/>
  <c r="EM475" i="25"/>
  <c r="EM472" i="25"/>
  <c r="EM478" i="25"/>
  <c r="EO538" i="25"/>
  <c r="EO420" i="25"/>
  <c r="EO474" i="25"/>
  <c r="EO473" i="25"/>
  <c r="EO475" i="25"/>
  <c r="EO472" i="25"/>
  <c r="EO478" i="25"/>
  <c r="EP538" i="25"/>
  <c r="EP420" i="25"/>
  <c r="EP474" i="25"/>
  <c r="EP473" i="25"/>
  <c r="EP475" i="25"/>
  <c r="EP472" i="25"/>
  <c r="EP478" i="25"/>
  <c r="CE500" i="25"/>
  <c r="CE528" i="25"/>
  <c r="CE510" i="25"/>
  <c r="CE511" i="25"/>
  <c r="CE501" i="25"/>
  <c r="CE443" i="25"/>
  <c r="CE416" i="25"/>
  <c r="CE534" i="25"/>
  <c r="CE412" i="25"/>
  <c r="CE413" i="25"/>
  <c r="CE444" i="25"/>
  <c r="CE424" i="25"/>
  <c r="CE492" i="25"/>
  <c r="CE464" i="25"/>
  <c r="CE517" i="25"/>
  <c r="CE542" i="25"/>
  <c r="CE433" i="25"/>
  <c r="CE499" i="25"/>
  <c r="CE490" i="25"/>
  <c r="CE495" i="25"/>
  <c r="CE488" i="25"/>
  <c r="CE462" i="25"/>
  <c r="CE489" i="25"/>
  <c r="CE508" i="25"/>
  <c r="CE519" i="25"/>
  <c r="CE491" i="25"/>
  <c r="CE485" i="25"/>
  <c r="CE496" i="25"/>
  <c r="CE493" i="25"/>
  <c r="CE494" i="25"/>
  <c r="CE461" i="25"/>
  <c r="CE407" i="25"/>
  <c r="CE408" i="25"/>
  <c r="CE415" i="25"/>
  <c r="CE418" i="25"/>
  <c r="CE529" i="25"/>
  <c r="CE421" i="25"/>
  <c r="CE428" i="25"/>
  <c r="CE432" i="25"/>
  <c r="CE466" i="25"/>
  <c r="CE468" i="25"/>
  <c r="CE531" i="25"/>
  <c r="CE541" i="25"/>
  <c r="CE440" i="25"/>
  <c r="CE518" i="25"/>
  <c r="CE498" i="25"/>
  <c r="CE426" i="25"/>
  <c r="CE441" i="25"/>
  <c r="CE524" i="25"/>
  <c r="CE436" i="25"/>
  <c r="CE439" i="25"/>
  <c r="CE451" i="25"/>
  <c r="CE449" i="25"/>
  <c r="CE450" i="25"/>
  <c r="CE445" i="25"/>
  <c r="CE465" i="25"/>
  <c r="CE446" i="25"/>
  <c r="CE442" i="25"/>
  <c r="CE540" i="25"/>
  <c r="CE453" i="25"/>
  <c r="CE497" i="25"/>
  <c r="CE437" i="25"/>
  <c r="CE454" i="25"/>
  <c r="CE448" i="25"/>
  <c r="CE537" i="25"/>
  <c r="CF500" i="25"/>
  <c r="CF528" i="25"/>
  <c r="CF510" i="25"/>
  <c r="CF511" i="25"/>
  <c r="CF501" i="25"/>
  <c r="CF443" i="25"/>
  <c r="CF416" i="25"/>
  <c r="CF534" i="25"/>
  <c r="CF412" i="25"/>
  <c r="CF413" i="25"/>
  <c r="CF444" i="25"/>
  <c r="CF424" i="25"/>
  <c r="CF492" i="25"/>
  <c r="CF464" i="25"/>
  <c r="CF517" i="25"/>
  <c r="CF542" i="25"/>
  <c r="CF433" i="25"/>
  <c r="CF499" i="25"/>
  <c r="CF490" i="25"/>
  <c r="CF495" i="25"/>
  <c r="CF488" i="25"/>
  <c r="CF462" i="25"/>
  <c r="CF489" i="25"/>
  <c r="CF508" i="25"/>
  <c r="CF519" i="25"/>
  <c r="CF491" i="25"/>
  <c r="CF485" i="25"/>
  <c r="CF496" i="25"/>
  <c r="CF493" i="25"/>
  <c r="CF494" i="25"/>
  <c r="CF461" i="25"/>
  <c r="CF407" i="25"/>
  <c r="CF408" i="25"/>
  <c r="CF415" i="25"/>
  <c r="CF418" i="25"/>
  <c r="CF529" i="25"/>
  <c r="CF421" i="25"/>
  <c r="CF428" i="25"/>
  <c r="CF432" i="25"/>
  <c r="CF466" i="25"/>
  <c r="CF468" i="25"/>
  <c r="CF531" i="25"/>
  <c r="CF541" i="25"/>
  <c r="CF440" i="25"/>
  <c r="CF518" i="25"/>
  <c r="CF498" i="25"/>
  <c r="CF426" i="25"/>
  <c r="CF441" i="25"/>
  <c r="CF524" i="25"/>
  <c r="CF436" i="25"/>
  <c r="CF439" i="25"/>
  <c r="CF451" i="25"/>
  <c r="CF449" i="25"/>
  <c r="CF450" i="25"/>
  <c r="CF445" i="25"/>
  <c r="CF465" i="25"/>
  <c r="CF446" i="25"/>
  <c r="CF442" i="25"/>
  <c r="CF540" i="25"/>
  <c r="CF453" i="25"/>
  <c r="CF497" i="25"/>
  <c r="CF437" i="25"/>
  <c r="CF454" i="25"/>
  <c r="CF448" i="25"/>
  <c r="CF537" i="25"/>
  <c r="CH500" i="25"/>
  <c r="CH528" i="25"/>
  <c r="CH510" i="25"/>
  <c r="CH511" i="25"/>
  <c r="CH501" i="25"/>
  <c r="CH443" i="25"/>
  <c r="CH416" i="25"/>
  <c r="CH534" i="25"/>
  <c r="CH412" i="25"/>
  <c r="CH413" i="25"/>
  <c r="CH444" i="25"/>
  <c r="CH424" i="25"/>
  <c r="CH492" i="25"/>
  <c r="CH464" i="25"/>
  <c r="CH517" i="25"/>
  <c r="CH542" i="25"/>
  <c r="CH433" i="25"/>
  <c r="CH499" i="25"/>
  <c r="CH490" i="25"/>
  <c r="CH495" i="25"/>
  <c r="CH488" i="25"/>
  <c r="CH462" i="25"/>
  <c r="CH489" i="25"/>
  <c r="CH508" i="25"/>
  <c r="CH519" i="25"/>
  <c r="CH491" i="25"/>
  <c r="CH485" i="25"/>
  <c r="CH496" i="25"/>
  <c r="CH493" i="25"/>
  <c r="CH494" i="25"/>
  <c r="CH461" i="25"/>
  <c r="CH407" i="25"/>
  <c r="CH408" i="25"/>
  <c r="CH415" i="25"/>
  <c r="CH418" i="25"/>
  <c r="CH529" i="25"/>
  <c r="CH421" i="25"/>
  <c r="CH428" i="25"/>
  <c r="CH432" i="25"/>
  <c r="CH466" i="25"/>
  <c r="CH468" i="25"/>
  <c r="CH531" i="25"/>
  <c r="CH541" i="25"/>
  <c r="CH440" i="25"/>
  <c r="CH518" i="25"/>
  <c r="CH498" i="25"/>
  <c r="CH426" i="25"/>
  <c r="CH441" i="25"/>
  <c r="CH524" i="25"/>
  <c r="CH436" i="25"/>
  <c r="CH439" i="25"/>
  <c r="CH451" i="25"/>
  <c r="CH449" i="25"/>
  <c r="CH450" i="25"/>
  <c r="CH445" i="25"/>
  <c r="CH465" i="25"/>
  <c r="CH446" i="25"/>
  <c r="CH442" i="25"/>
  <c r="CH540" i="25"/>
  <c r="CH453" i="25"/>
  <c r="CH497" i="25"/>
  <c r="CH437" i="25"/>
  <c r="CH454" i="25"/>
  <c r="CH448" i="25"/>
  <c r="CH537" i="25"/>
  <c r="CI500" i="25"/>
  <c r="CI528" i="25"/>
  <c r="CI510" i="25"/>
  <c r="CI511" i="25"/>
  <c r="CI501" i="25"/>
  <c r="CI443" i="25"/>
  <c r="CI416" i="25"/>
  <c r="CI534" i="25"/>
  <c r="CI412" i="25"/>
  <c r="CI413" i="25"/>
  <c r="CI444" i="25"/>
  <c r="CI424" i="25"/>
  <c r="CI492" i="25"/>
  <c r="CI464" i="25"/>
  <c r="CI517" i="25"/>
  <c r="CI542" i="25"/>
  <c r="CI433" i="25"/>
  <c r="CI499" i="25"/>
  <c r="CI490" i="25"/>
  <c r="CI495" i="25"/>
  <c r="CI488" i="25"/>
  <c r="CI462" i="25"/>
  <c r="CI489" i="25"/>
  <c r="CI508" i="25"/>
  <c r="CI519" i="25"/>
  <c r="CI491" i="25"/>
  <c r="CI485" i="25"/>
  <c r="CI496" i="25"/>
  <c r="CI493" i="25"/>
  <c r="CI494" i="25"/>
  <c r="CI461" i="25"/>
  <c r="CI407" i="25"/>
  <c r="CI408" i="25"/>
  <c r="CI415" i="25"/>
  <c r="CI418" i="25"/>
  <c r="CI529" i="25"/>
  <c r="CI421" i="25"/>
  <c r="CI428" i="25"/>
  <c r="CI432" i="25"/>
  <c r="CI466" i="25"/>
  <c r="CI468" i="25"/>
  <c r="CI531" i="25"/>
  <c r="CI541" i="25"/>
  <c r="CI440" i="25"/>
  <c r="CI518" i="25"/>
  <c r="CI498" i="25"/>
  <c r="CI426" i="25"/>
  <c r="CI441" i="25"/>
  <c r="CI524" i="25"/>
  <c r="CI436" i="25"/>
  <c r="CI439" i="25"/>
  <c r="CI451" i="25"/>
  <c r="CI449" i="25"/>
  <c r="CI450" i="25"/>
  <c r="CI445" i="25"/>
  <c r="CI465" i="25"/>
  <c r="CI446" i="25"/>
  <c r="CI442" i="25"/>
  <c r="CI540" i="25"/>
  <c r="CI453" i="25"/>
  <c r="CI497" i="25"/>
  <c r="CI437" i="25"/>
  <c r="CI454" i="25"/>
  <c r="CI448" i="25"/>
  <c r="CI537" i="25"/>
  <c r="CJ500" i="25"/>
  <c r="CJ528" i="25"/>
  <c r="CJ510" i="25"/>
  <c r="CJ511" i="25"/>
  <c r="CJ501" i="25"/>
  <c r="CJ443" i="25"/>
  <c r="CJ416" i="25"/>
  <c r="CJ534" i="25"/>
  <c r="CJ412" i="25"/>
  <c r="CJ413" i="25"/>
  <c r="CJ444" i="25"/>
  <c r="CJ424" i="25"/>
  <c r="CJ492" i="25"/>
  <c r="CJ464" i="25"/>
  <c r="CJ517" i="25"/>
  <c r="CJ542" i="25"/>
  <c r="CJ433" i="25"/>
  <c r="CJ499" i="25"/>
  <c r="CJ490" i="25"/>
  <c r="CJ495" i="25"/>
  <c r="CJ488" i="25"/>
  <c r="CJ462" i="25"/>
  <c r="CJ489" i="25"/>
  <c r="CJ508" i="25"/>
  <c r="CJ519" i="25"/>
  <c r="CJ491" i="25"/>
  <c r="CJ485" i="25"/>
  <c r="CJ496" i="25"/>
  <c r="CJ493" i="25"/>
  <c r="CJ494" i="25"/>
  <c r="CJ461" i="25"/>
  <c r="CJ407" i="25"/>
  <c r="CJ408" i="25"/>
  <c r="CJ415" i="25"/>
  <c r="CJ418" i="25"/>
  <c r="CJ529" i="25"/>
  <c r="CJ421" i="25"/>
  <c r="CJ428" i="25"/>
  <c r="CJ432" i="25"/>
  <c r="CJ466" i="25"/>
  <c r="CJ468" i="25"/>
  <c r="CJ531" i="25"/>
  <c r="CJ541" i="25"/>
  <c r="CJ440" i="25"/>
  <c r="CJ518" i="25"/>
  <c r="CJ498" i="25"/>
  <c r="CJ426" i="25"/>
  <c r="CJ441" i="25"/>
  <c r="CJ524" i="25"/>
  <c r="CJ436" i="25"/>
  <c r="CJ439" i="25"/>
  <c r="CJ451" i="25"/>
  <c r="CJ449" i="25"/>
  <c r="CJ450" i="25"/>
  <c r="CJ445" i="25"/>
  <c r="CJ465" i="25"/>
  <c r="CJ446" i="25"/>
  <c r="CJ442" i="25"/>
  <c r="CJ540" i="25"/>
  <c r="CJ453" i="25"/>
  <c r="CJ497" i="25"/>
  <c r="CJ437" i="25"/>
  <c r="CJ454" i="25"/>
  <c r="CJ448" i="25"/>
  <c r="CJ537" i="25"/>
  <c r="CK500" i="25"/>
  <c r="CK528" i="25"/>
  <c r="CK510" i="25"/>
  <c r="CK511" i="25"/>
  <c r="CK501" i="25"/>
  <c r="CK443" i="25"/>
  <c r="CK416" i="25"/>
  <c r="CK534" i="25"/>
  <c r="CK412" i="25"/>
  <c r="CK413" i="25"/>
  <c r="CK444" i="25"/>
  <c r="CK424" i="25"/>
  <c r="CK492" i="25"/>
  <c r="CK464" i="25"/>
  <c r="CK517" i="25"/>
  <c r="CK542" i="25"/>
  <c r="CK433" i="25"/>
  <c r="CK499" i="25"/>
  <c r="CK490" i="25"/>
  <c r="CK495" i="25"/>
  <c r="CK488" i="25"/>
  <c r="CK462" i="25"/>
  <c r="CK489" i="25"/>
  <c r="CK508" i="25"/>
  <c r="CK519" i="25"/>
  <c r="CK491" i="25"/>
  <c r="CK485" i="25"/>
  <c r="CK496" i="25"/>
  <c r="CK493" i="25"/>
  <c r="CK494" i="25"/>
  <c r="CK461" i="25"/>
  <c r="CK407" i="25"/>
  <c r="CK408" i="25"/>
  <c r="CK415" i="25"/>
  <c r="CK418" i="25"/>
  <c r="CK529" i="25"/>
  <c r="CK421" i="25"/>
  <c r="CK428" i="25"/>
  <c r="CK432" i="25"/>
  <c r="CK466" i="25"/>
  <c r="CK468" i="25"/>
  <c r="CK531" i="25"/>
  <c r="CK541" i="25"/>
  <c r="CK440" i="25"/>
  <c r="CK518" i="25"/>
  <c r="CK498" i="25"/>
  <c r="CK426" i="25"/>
  <c r="CK441" i="25"/>
  <c r="CK524" i="25"/>
  <c r="CK436" i="25"/>
  <c r="CK439" i="25"/>
  <c r="CK451" i="25"/>
  <c r="CK449" i="25"/>
  <c r="CK450" i="25"/>
  <c r="CK445" i="25"/>
  <c r="CK465" i="25"/>
  <c r="CK446" i="25"/>
  <c r="CK442" i="25"/>
  <c r="CK540" i="25"/>
  <c r="CK453" i="25"/>
  <c r="CK497" i="25"/>
  <c r="CK437" i="25"/>
  <c r="CK454" i="25"/>
  <c r="CK448" i="25"/>
  <c r="CK537" i="25"/>
  <c r="CL500" i="25"/>
  <c r="CL528" i="25"/>
  <c r="CL510" i="25"/>
  <c r="CL511" i="25"/>
  <c r="CL501" i="25"/>
  <c r="CL443" i="25"/>
  <c r="CL416" i="25"/>
  <c r="CL534" i="25"/>
  <c r="CL412" i="25"/>
  <c r="CL413" i="25"/>
  <c r="CL444" i="25"/>
  <c r="CL424" i="25"/>
  <c r="CL492" i="25"/>
  <c r="CL464" i="25"/>
  <c r="CL517" i="25"/>
  <c r="CL542" i="25"/>
  <c r="CL433" i="25"/>
  <c r="CL499" i="25"/>
  <c r="CL490" i="25"/>
  <c r="CL495" i="25"/>
  <c r="CL488" i="25"/>
  <c r="CL462" i="25"/>
  <c r="CL489" i="25"/>
  <c r="CL508" i="25"/>
  <c r="CL519" i="25"/>
  <c r="CL491" i="25"/>
  <c r="CL485" i="25"/>
  <c r="CL496" i="25"/>
  <c r="CL493" i="25"/>
  <c r="CL494" i="25"/>
  <c r="CL461" i="25"/>
  <c r="CL407" i="25"/>
  <c r="CL408" i="25"/>
  <c r="CL415" i="25"/>
  <c r="CL418" i="25"/>
  <c r="CL529" i="25"/>
  <c r="CL421" i="25"/>
  <c r="CL428" i="25"/>
  <c r="CL432" i="25"/>
  <c r="CL466" i="25"/>
  <c r="CL468" i="25"/>
  <c r="CL531" i="25"/>
  <c r="CL541" i="25"/>
  <c r="CL440" i="25"/>
  <c r="CL518" i="25"/>
  <c r="CL498" i="25"/>
  <c r="CL426" i="25"/>
  <c r="CL441" i="25"/>
  <c r="CL524" i="25"/>
  <c r="CL436" i="25"/>
  <c r="CL439" i="25"/>
  <c r="CL451" i="25"/>
  <c r="CL449" i="25"/>
  <c r="CL450" i="25"/>
  <c r="CL445" i="25"/>
  <c r="CL465" i="25"/>
  <c r="CL446" i="25"/>
  <c r="CL442" i="25"/>
  <c r="CL540" i="25"/>
  <c r="CL453" i="25"/>
  <c r="CL497" i="25"/>
  <c r="CL437" i="25"/>
  <c r="CL454" i="25"/>
  <c r="CL448" i="25"/>
  <c r="CL537" i="25"/>
  <c r="CM500" i="25"/>
  <c r="CM528" i="25"/>
  <c r="CM510" i="25"/>
  <c r="CM511" i="25"/>
  <c r="CM501" i="25"/>
  <c r="CM443" i="25"/>
  <c r="CM416" i="25"/>
  <c r="CM534" i="25"/>
  <c r="CM412" i="25"/>
  <c r="CM413" i="25"/>
  <c r="CM444" i="25"/>
  <c r="CM424" i="25"/>
  <c r="CM492" i="25"/>
  <c r="CM464" i="25"/>
  <c r="CM517" i="25"/>
  <c r="CM542" i="25"/>
  <c r="CM433" i="25"/>
  <c r="CM499" i="25"/>
  <c r="CM490" i="25"/>
  <c r="CM495" i="25"/>
  <c r="CM488" i="25"/>
  <c r="CM462" i="25"/>
  <c r="CM489" i="25"/>
  <c r="CM508" i="25"/>
  <c r="CM519" i="25"/>
  <c r="CM491" i="25"/>
  <c r="CM485" i="25"/>
  <c r="CM496" i="25"/>
  <c r="CM493" i="25"/>
  <c r="CM494" i="25"/>
  <c r="CM461" i="25"/>
  <c r="CM407" i="25"/>
  <c r="CM408" i="25"/>
  <c r="CM415" i="25"/>
  <c r="CM418" i="25"/>
  <c r="CM529" i="25"/>
  <c r="CM421" i="25"/>
  <c r="CM428" i="25"/>
  <c r="CM432" i="25"/>
  <c r="CM466" i="25"/>
  <c r="CM468" i="25"/>
  <c r="CM531" i="25"/>
  <c r="CM541" i="25"/>
  <c r="CM440" i="25"/>
  <c r="CM518" i="25"/>
  <c r="CM498" i="25"/>
  <c r="CM426" i="25"/>
  <c r="CM441" i="25"/>
  <c r="CM524" i="25"/>
  <c r="CM436" i="25"/>
  <c r="CM439" i="25"/>
  <c r="CM451" i="25"/>
  <c r="CM449" i="25"/>
  <c r="CM450" i="25"/>
  <c r="CM445" i="25"/>
  <c r="CM465" i="25"/>
  <c r="CM446" i="25"/>
  <c r="CM442" i="25"/>
  <c r="CM540" i="25"/>
  <c r="CM453" i="25"/>
  <c r="CM497" i="25"/>
  <c r="CM437" i="25"/>
  <c r="CM454" i="25"/>
  <c r="CM448" i="25"/>
  <c r="CM537" i="25"/>
  <c r="CN500" i="25"/>
  <c r="CN528" i="25"/>
  <c r="CN510" i="25"/>
  <c r="CN511" i="25"/>
  <c r="CN501" i="25"/>
  <c r="CN443" i="25"/>
  <c r="CN416" i="25"/>
  <c r="CN534" i="25"/>
  <c r="CN412" i="25"/>
  <c r="CN413" i="25"/>
  <c r="CN444" i="25"/>
  <c r="CN424" i="25"/>
  <c r="CN492" i="25"/>
  <c r="CN464" i="25"/>
  <c r="CN517" i="25"/>
  <c r="CN542" i="25"/>
  <c r="CN433" i="25"/>
  <c r="CN499" i="25"/>
  <c r="CN490" i="25"/>
  <c r="CN495" i="25"/>
  <c r="CN488" i="25"/>
  <c r="CN462" i="25"/>
  <c r="CN489" i="25"/>
  <c r="CN508" i="25"/>
  <c r="CN519" i="25"/>
  <c r="CN491" i="25"/>
  <c r="CN485" i="25"/>
  <c r="CN496" i="25"/>
  <c r="CN493" i="25"/>
  <c r="CN494" i="25"/>
  <c r="CN461" i="25"/>
  <c r="CN407" i="25"/>
  <c r="CN408" i="25"/>
  <c r="CN415" i="25"/>
  <c r="CN418" i="25"/>
  <c r="CN529" i="25"/>
  <c r="CN421" i="25"/>
  <c r="CN428" i="25"/>
  <c r="CN432" i="25"/>
  <c r="CN466" i="25"/>
  <c r="CN468" i="25"/>
  <c r="CN531" i="25"/>
  <c r="CN541" i="25"/>
  <c r="CN440" i="25"/>
  <c r="CN518" i="25"/>
  <c r="CN498" i="25"/>
  <c r="CN426" i="25"/>
  <c r="CN441" i="25"/>
  <c r="CN524" i="25"/>
  <c r="CN436" i="25"/>
  <c r="CN439" i="25"/>
  <c r="CN451" i="25"/>
  <c r="CN449" i="25"/>
  <c r="CN450" i="25"/>
  <c r="CN445" i="25"/>
  <c r="CN465" i="25"/>
  <c r="CN446" i="25"/>
  <c r="CN442" i="25"/>
  <c r="CN540" i="25"/>
  <c r="CN453" i="25"/>
  <c r="CN497" i="25"/>
  <c r="CN437" i="25"/>
  <c r="CN454" i="25"/>
  <c r="CN448" i="25"/>
  <c r="CN537" i="25"/>
  <c r="CS500" i="25"/>
  <c r="CS528" i="25"/>
  <c r="CT528" i="25" s="1"/>
  <c r="CS510" i="25"/>
  <c r="CT510" i="25" s="1"/>
  <c r="CS511" i="25"/>
  <c r="CT511" i="25" s="1"/>
  <c r="CS501" i="25"/>
  <c r="CT501" i="25" s="1"/>
  <c r="CS443" i="25"/>
  <c r="CT443" i="25" s="1"/>
  <c r="CS416" i="25"/>
  <c r="CT416" i="25" s="1"/>
  <c r="CS534" i="25"/>
  <c r="CT534" i="25" s="1"/>
  <c r="CS412" i="25"/>
  <c r="CT412" i="25" s="1"/>
  <c r="CS413" i="25"/>
  <c r="CT413" i="25" s="1"/>
  <c r="CS444" i="25"/>
  <c r="CT444" i="25" s="1"/>
  <c r="CS424" i="25"/>
  <c r="CT424" i="25" s="1"/>
  <c r="CS492" i="25"/>
  <c r="CT492" i="25" s="1"/>
  <c r="CS464" i="25"/>
  <c r="CT464" i="25" s="1"/>
  <c r="CS517" i="25"/>
  <c r="CT517" i="25" s="1"/>
  <c r="CS542" i="25"/>
  <c r="CT542" i="25" s="1"/>
  <c r="CS433" i="25"/>
  <c r="CS499" i="25"/>
  <c r="CT499" i="25" s="1"/>
  <c r="CS490" i="25"/>
  <c r="CT490" i="25" s="1"/>
  <c r="CS495" i="25"/>
  <c r="CT495" i="25" s="1"/>
  <c r="CS488" i="25"/>
  <c r="CT488" i="25" s="1"/>
  <c r="CS462" i="25"/>
  <c r="CT462" i="25" s="1"/>
  <c r="CS489" i="25"/>
  <c r="CT489" i="25" s="1"/>
  <c r="CS508" i="25"/>
  <c r="CT508" i="25" s="1"/>
  <c r="CS519" i="25"/>
  <c r="CS491" i="25"/>
  <c r="CT491" i="25" s="1"/>
  <c r="CS485" i="25"/>
  <c r="CT485" i="25" s="1"/>
  <c r="CS496" i="25"/>
  <c r="CT496" i="25" s="1"/>
  <c r="CS493" i="25"/>
  <c r="CT493" i="25" s="1"/>
  <c r="CS494" i="25"/>
  <c r="CT494" i="25" s="1"/>
  <c r="CS461" i="25"/>
  <c r="CT461" i="25" s="1"/>
  <c r="CS407" i="25"/>
  <c r="CT407" i="25" s="1"/>
  <c r="CS408" i="25"/>
  <c r="CS415" i="25"/>
  <c r="CT415" i="25" s="1"/>
  <c r="CS418" i="25"/>
  <c r="CT418" i="25" s="1"/>
  <c r="CS529" i="25"/>
  <c r="CT529" i="25" s="1"/>
  <c r="CS421" i="25"/>
  <c r="CT421" i="25" s="1"/>
  <c r="CS428" i="25"/>
  <c r="CT428" i="25" s="1"/>
  <c r="CS432" i="25"/>
  <c r="CT432" i="25" s="1"/>
  <c r="CS466" i="25"/>
  <c r="CT466" i="25" s="1"/>
  <c r="CS468" i="25"/>
  <c r="CS531" i="25"/>
  <c r="CT531" i="25" s="1"/>
  <c r="CS541" i="25"/>
  <c r="CT541" i="25" s="1"/>
  <c r="CS440" i="25"/>
  <c r="CT440" i="25" s="1"/>
  <c r="CS518" i="25"/>
  <c r="CT518" i="25" s="1"/>
  <c r="CS498" i="25"/>
  <c r="CT498" i="25" s="1"/>
  <c r="CS426" i="25"/>
  <c r="CT426" i="25" s="1"/>
  <c r="CS441" i="25"/>
  <c r="CT441" i="25" s="1"/>
  <c r="CS524" i="25"/>
  <c r="CS436" i="25"/>
  <c r="CT436" i="25" s="1"/>
  <c r="CS439" i="25"/>
  <c r="CT439" i="25" s="1"/>
  <c r="CS451" i="25"/>
  <c r="CT451" i="25" s="1"/>
  <c r="CS449" i="25"/>
  <c r="CT449" i="25" s="1"/>
  <c r="CS450" i="25"/>
  <c r="CT450" i="25" s="1"/>
  <c r="CS445" i="25"/>
  <c r="CT445" i="25" s="1"/>
  <c r="CS465" i="25"/>
  <c r="CS446" i="25"/>
  <c r="CT446" i="25" s="1"/>
  <c r="CS442" i="25"/>
  <c r="CT442" i="25" s="1"/>
  <c r="CS540" i="25"/>
  <c r="CT540" i="25" s="1"/>
  <c r="CS453" i="25"/>
  <c r="CT453" i="25" s="1"/>
  <c r="CS497" i="25"/>
  <c r="CT497" i="25" s="1"/>
  <c r="CS437" i="25"/>
  <c r="CT437" i="25" s="1"/>
  <c r="CS454" i="25"/>
  <c r="CS448" i="25"/>
  <c r="CT448" i="25" s="1"/>
  <c r="CS537" i="25"/>
  <c r="CT537" i="25" s="1"/>
  <c r="DA500" i="25"/>
  <c r="DA528" i="25"/>
  <c r="DA510" i="25"/>
  <c r="DA511" i="25"/>
  <c r="DA501" i="25"/>
  <c r="DA443" i="25"/>
  <c r="DA416" i="25"/>
  <c r="DA534" i="25"/>
  <c r="DA412" i="25"/>
  <c r="DA413" i="25"/>
  <c r="DA444" i="25"/>
  <c r="DA424" i="25"/>
  <c r="DA492" i="25"/>
  <c r="DA464" i="25"/>
  <c r="DA517" i="25"/>
  <c r="DA542" i="25"/>
  <c r="DA433" i="25"/>
  <c r="DA499" i="25"/>
  <c r="DA490" i="25"/>
  <c r="DA495" i="25"/>
  <c r="DA488" i="25"/>
  <c r="DA462" i="25"/>
  <c r="DA489" i="25"/>
  <c r="DA508" i="25"/>
  <c r="DA519" i="25"/>
  <c r="DA491" i="25"/>
  <c r="DA485" i="25"/>
  <c r="DA496" i="25"/>
  <c r="DA493" i="25"/>
  <c r="DA494" i="25"/>
  <c r="DA461" i="25"/>
  <c r="DA407" i="25"/>
  <c r="DA408" i="25"/>
  <c r="DA415" i="25"/>
  <c r="DA418" i="25"/>
  <c r="DA529" i="25"/>
  <c r="DA421" i="25"/>
  <c r="DA428" i="25"/>
  <c r="DA432" i="25"/>
  <c r="DA466" i="25"/>
  <c r="DA468" i="25"/>
  <c r="DA531" i="25"/>
  <c r="DA541" i="25"/>
  <c r="DA440" i="25"/>
  <c r="DA518" i="25"/>
  <c r="DA498" i="25"/>
  <c r="DA426" i="25"/>
  <c r="DA441" i="25"/>
  <c r="DA524" i="25"/>
  <c r="DA436" i="25"/>
  <c r="DA439" i="25"/>
  <c r="DA451" i="25"/>
  <c r="DA449" i="25"/>
  <c r="DA450" i="25"/>
  <c r="DA445" i="25"/>
  <c r="DA465" i="25"/>
  <c r="DA446" i="25"/>
  <c r="DA442" i="25"/>
  <c r="DA540" i="25"/>
  <c r="DA453" i="25"/>
  <c r="DA497" i="25"/>
  <c r="DA437" i="25"/>
  <c r="DA454" i="25"/>
  <c r="DA448" i="25"/>
  <c r="DA537" i="25"/>
  <c r="DB500" i="25"/>
  <c r="DB528" i="25"/>
  <c r="DB510" i="25"/>
  <c r="DB511" i="25"/>
  <c r="DB501" i="25"/>
  <c r="DB443" i="25"/>
  <c r="DB416" i="25"/>
  <c r="DB534" i="25"/>
  <c r="DB412" i="25"/>
  <c r="DB413" i="25"/>
  <c r="DB444" i="25"/>
  <c r="DB424" i="25"/>
  <c r="DB492" i="25"/>
  <c r="DB464" i="25"/>
  <c r="DB517" i="25"/>
  <c r="DB542" i="25"/>
  <c r="DB433" i="25"/>
  <c r="DB499" i="25"/>
  <c r="DB490" i="25"/>
  <c r="DB495" i="25"/>
  <c r="DB488" i="25"/>
  <c r="DB462" i="25"/>
  <c r="DB489" i="25"/>
  <c r="DB508" i="25"/>
  <c r="DB519" i="25"/>
  <c r="DB491" i="25"/>
  <c r="DB485" i="25"/>
  <c r="DB496" i="25"/>
  <c r="DB493" i="25"/>
  <c r="DB494" i="25"/>
  <c r="DB461" i="25"/>
  <c r="DB407" i="25"/>
  <c r="DB408" i="25"/>
  <c r="DB415" i="25"/>
  <c r="DB418" i="25"/>
  <c r="DB529" i="25"/>
  <c r="DB421" i="25"/>
  <c r="DB428" i="25"/>
  <c r="DB432" i="25"/>
  <c r="DB466" i="25"/>
  <c r="DB468" i="25"/>
  <c r="DB531" i="25"/>
  <c r="DB541" i="25"/>
  <c r="DB440" i="25"/>
  <c r="DB518" i="25"/>
  <c r="DB498" i="25"/>
  <c r="DB426" i="25"/>
  <c r="DB441" i="25"/>
  <c r="DB524" i="25"/>
  <c r="DB436" i="25"/>
  <c r="DB439" i="25"/>
  <c r="DB451" i="25"/>
  <c r="DB449" i="25"/>
  <c r="DB450" i="25"/>
  <c r="DB445" i="25"/>
  <c r="DB465" i="25"/>
  <c r="DB446" i="25"/>
  <c r="DB442" i="25"/>
  <c r="DB540" i="25"/>
  <c r="DB453" i="25"/>
  <c r="DB497" i="25"/>
  <c r="DB437" i="25"/>
  <c r="DB454" i="25"/>
  <c r="DB448" i="25"/>
  <c r="DB537" i="25"/>
  <c r="DF500" i="25"/>
  <c r="DF528" i="25"/>
  <c r="DF510" i="25"/>
  <c r="DF511" i="25"/>
  <c r="DF501" i="25"/>
  <c r="DF443" i="25"/>
  <c r="DF416" i="25"/>
  <c r="DF534" i="25"/>
  <c r="DF412" i="25"/>
  <c r="DF413" i="25"/>
  <c r="DF444" i="25"/>
  <c r="DF424" i="25"/>
  <c r="DF492" i="25"/>
  <c r="DF464" i="25"/>
  <c r="DF517" i="25"/>
  <c r="DF542" i="25"/>
  <c r="DF433" i="25"/>
  <c r="DF499" i="25"/>
  <c r="DF490" i="25"/>
  <c r="DF495" i="25"/>
  <c r="DF488" i="25"/>
  <c r="DF462" i="25"/>
  <c r="DF489" i="25"/>
  <c r="DF508" i="25"/>
  <c r="DF519" i="25"/>
  <c r="DF491" i="25"/>
  <c r="DF485" i="25"/>
  <c r="DF496" i="25"/>
  <c r="DF493" i="25"/>
  <c r="DF494" i="25"/>
  <c r="DF461" i="25"/>
  <c r="DF407" i="25"/>
  <c r="DF408" i="25"/>
  <c r="DF415" i="25"/>
  <c r="DF418" i="25"/>
  <c r="DF529" i="25"/>
  <c r="DF421" i="25"/>
  <c r="DF428" i="25"/>
  <c r="DF432" i="25"/>
  <c r="DF466" i="25"/>
  <c r="DF468" i="25"/>
  <c r="DF531" i="25"/>
  <c r="DF541" i="25"/>
  <c r="DF440" i="25"/>
  <c r="DF518" i="25"/>
  <c r="DF498" i="25"/>
  <c r="DF426" i="25"/>
  <c r="DF441" i="25"/>
  <c r="DF524" i="25"/>
  <c r="DF436" i="25"/>
  <c r="DF439" i="25"/>
  <c r="DF451" i="25"/>
  <c r="DF449" i="25"/>
  <c r="DF450" i="25"/>
  <c r="DF445" i="25"/>
  <c r="DF465" i="25"/>
  <c r="DF446" i="25"/>
  <c r="DF442" i="25"/>
  <c r="DF540" i="25"/>
  <c r="DF453" i="25"/>
  <c r="DF497" i="25"/>
  <c r="DF437" i="25"/>
  <c r="DF454" i="25"/>
  <c r="DF448" i="25"/>
  <c r="DF537" i="25"/>
  <c r="DG500" i="25"/>
  <c r="DG528" i="25"/>
  <c r="DG510" i="25"/>
  <c r="DG511" i="25"/>
  <c r="DG501" i="25"/>
  <c r="DG443" i="25"/>
  <c r="DG416" i="25"/>
  <c r="DG534" i="25"/>
  <c r="DG412" i="25"/>
  <c r="DG413" i="25"/>
  <c r="DG444" i="25"/>
  <c r="DG424" i="25"/>
  <c r="DG492" i="25"/>
  <c r="DG464" i="25"/>
  <c r="DG517" i="25"/>
  <c r="DG542" i="25"/>
  <c r="DG433" i="25"/>
  <c r="DG499" i="25"/>
  <c r="DG490" i="25"/>
  <c r="DG495" i="25"/>
  <c r="DG488" i="25"/>
  <c r="DG462" i="25"/>
  <c r="DG489" i="25"/>
  <c r="DG508" i="25"/>
  <c r="DG519" i="25"/>
  <c r="DG491" i="25"/>
  <c r="DG485" i="25"/>
  <c r="DG496" i="25"/>
  <c r="DG493" i="25"/>
  <c r="DG494" i="25"/>
  <c r="DG461" i="25"/>
  <c r="DG407" i="25"/>
  <c r="DG408" i="25"/>
  <c r="DG415" i="25"/>
  <c r="DG418" i="25"/>
  <c r="DG529" i="25"/>
  <c r="DG421" i="25"/>
  <c r="DG428" i="25"/>
  <c r="DG432" i="25"/>
  <c r="DG466" i="25"/>
  <c r="DG468" i="25"/>
  <c r="DG531" i="25"/>
  <c r="DG541" i="25"/>
  <c r="DG440" i="25"/>
  <c r="DG518" i="25"/>
  <c r="DG498" i="25"/>
  <c r="DG426" i="25"/>
  <c r="DG441" i="25"/>
  <c r="DG524" i="25"/>
  <c r="DG436" i="25"/>
  <c r="DG439" i="25"/>
  <c r="DG451" i="25"/>
  <c r="DG449" i="25"/>
  <c r="DG450" i="25"/>
  <c r="DG445" i="25"/>
  <c r="DG465" i="25"/>
  <c r="DG446" i="25"/>
  <c r="DG442" i="25"/>
  <c r="DG540" i="25"/>
  <c r="DG453" i="25"/>
  <c r="DG497" i="25"/>
  <c r="DG437" i="25"/>
  <c r="DG454" i="25"/>
  <c r="DG448" i="25"/>
  <c r="DG537" i="25"/>
  <c r="DK500" i="25"/>
  <c r="DK528" i="25"/>
  <c r="DK510" i="25"/>
  <c r="DK511" i="25"/>
  <c r="DK501" i="25"/>
  <c r="DK443" i="25"/>
  <c r="DK416" i="25"/>
  <c r="DK534" i="25"/>
  <c r="DK412" i="25"/>
  <c r="DK413" i="25"/>
  <c r="DK444" i="25"/>
  <c r="DK424" i="25"/>
  <c r="DK492" i="25"/>
  <c r="DK464" i="25"/>
  <c r="DK517" i="25"/>
  <c r="DK542" i="25"/>
  <c r="DK433" i="25"/>
  <c r="DK499" i="25"/>
  <c r="DK490" i="25"/>
  <c r="DK495" i="25"/>
  <c r="DK488" i="25"/>
  <c r="DK462" i="25"/>
  <c r="DK489" i="25"/>
  <c r="DK508" i="25"/>
  <c r="DK519" i="25"/>
  <c r="DK491" i="25"/>
  <c r="DK485" i="25"/>
  <c r="DK496" i="25"/>
  <c r="DK493" i="25"/>
  <c r="DK494" i="25"/>
  <c r="DK461" i="25"/>
  <c r="DK407" i="25"/>
  <c r="DK408" i="25"/>
  <c r="DK415" i="25"/>
  <c r="DK418" i="25"/>
  <c r="DK529" i="25"/>
  <c r="DK421" i="25"/>
  <c r="DK428" i="25"/>
  <c r="DK432" i="25"/>
  <c r="DK466" i="25"/>
  <c r="DK468" i="25"/>
  <c r="DK531" i="25"/>
  <c r="DK541" i="25"/>
  <c r="DK440" i="25"/>
  <c r="DK518" i="25"/>
  <c r="DK498" i="25"/>
  <c r="DK426" i="25"/>
  <c r="DK441" i="25"/>
  <c r="DK524" i="25"/>
  <c r="DK436" i="25"/>
  <c r="DK439" i="25"/>
  <c r="DK451" i="25"/>
  <c r="DK449" i="25"/>
  <c r="DK450" i="25"/>
  <c r="DK445" i="25"/>
  <c r="DK465" i="25"/>
  <c r="DK446" i="25"/>
  <c r="DK442" i="25"/>
  <c r="DK540" i="25"/>
  <c r="DK453" i="25"/>
  <c r="DK497" i="25"/>
  <c r="DK437" i="25"/>
  <c r="DK454" i="25"/>
  <c r="DK448" i="25"/>
  <c r="DK537" i="25"/>
  <c r="DL500" i="25"/>
  <c r="DS500" i="25" s="1"/>
  <c r="DL528" i="25"/>
  <c r="DS528" i="25" s="1"/>
  <c r="DL510" i="25"/>
  <c r="DL511" i="25"/>
  <c r="DS511" i="25" s="1"/>
  <c r="DL501" i="25"/>
  <c r="DS501" i="25" s="1"/>
  <c r="DL443" i="25"/>
  <c r="DS443" i="25" s="1"/>
  <c r="DL416" i="25"/>
  <c r="DS416" i="25" s="1"/>
  <c r="DL534" i="25"/>
  <c r="DS534" i="25" s="1"/>
  <c r="DL412" i="25"/>
  <c r="DS412" i="25" s="1"/>
  <c r="DL413" i="25"/>
  <c r="DS413" i="25" s="1"/>
  <c r="DL444" i="25"/>
  <c r="DL424" i="25"/>
  <c r="DS424" i="25" s="1"/>
  <c r="DL492" i="25"/>
  <c r="DS492" i="25" s="1"/>
  <c r="DL464" i="25"/>
  <c r="DS464" i="25" s="1"/>
  <c r="DL517" i="25"/>
  <c r="DS517" i="25" s="1"/>
  <c r="DL542" i="25"/>
  <c r="DS542" i="25" s="1"/>
  <c r="DL433" i="25"/>
  <c r="DS433" i="25" s="1"/>
  <c r="DL499" i="25"/>
  <c r="DS499" i="25" s="1"/>
  <c r="DL490" i="25"/>
  <c r="DL495" i="25"/>
  <c r="DS495" i="25" s="1"/>
  <c r="DL488" i="25"/>
  <c r="DS488" i="25" s="1"/>
  <c r="DL462" i="25"/>
  <c r="DS462" i="25" s="1"/>
  <c r="DL489" i="25"/>
  <c r="DS489" i="25" s="1"/>
  <c r="DL508" i="25"/>
  <c r="DS508" i="25" s="1"/>
  <c r="DL519" i="25"/>
  <c r="DS519" i="25" s="1"/>
  <c r="DL491" i="25"/>
  <c r="DS491" i="25" s="1"/>
  <c r="DL485" i="25"/>
  <c r="DL496" i="25"/>
  <c r="DS496" i="25" s="1"/>
  <c r="DL493" i="25"/>
  <c r="DS493" i="25" s="1"/>
  <c r="DL494" i="25"/>
  <c r="DS494" i="25" s="1"/>
  <c r="DL461" i="25"/>
  <c r="DS461" i="25" s="1"/>
  <c r="DL407" i="25"/>
  <c r="DS407" i="25" s="1"/>
  <c r="DL408" i="25"/>
  <c r="DS408" i="25" s="1"/>
  <c r="DL415" i="25"/>
  <c r="DS415" i="25" s="1"/>
  <c r="DL418" i="25"/>
  <c r="DL529" i="25"/>
  <c r="DS529" i="25" s="1"/>
  <c r="DL421" i="25"/>
  <c r="DS421" i="25" s="1"/>
  <c r="DL428" i="25"/>
  <c r="DS428" i="25" s="1"/>
  <c r="DL432" i="25"/>
  <c r="DS432" i="25" s="1"/>
  <c r="DL466" i="25"/>
  <c r="DS466" i="25" s="1"/>
  <c r="DL468" i="25"/>
  <c r="DS468" i="25" s="1"/>
  <c r="DL531" i="25"/>
  <c r="DS531" i="25" s="1"/>
  <c r="DL541" i="25"/>
  <c r="DL440" i="25"/>
  <c r="DS440" i="25" s="1"/>
  <c r="DL518" i="25"/>
  <c r="DS518" i="25" s="1"/>
  <c r="DL498" i="25"/>
  <c r="DS498" i="25" s="1"/>
  <c r="DL426" i="25"/>
  <c r="DS426" i="25" s="1"/>
  <c r="DL441" i="25"/>
  <c r="DS441" i="25" s="1"/>
  <c r="DL524" i="25"/>
  <c r="DS524" i="25" s="1"/>
  <c r="DL436" i="25"/>
  <c r="DS436" i="25" s="1"/>
  <c r="DL439" i="25"/>
  <c r="DL451" i="25"/>
  <c r="DS451" i="25" s="1"/>
  <c r="DL449" i="25"/>
  <c r="DS449" i="25" s="1"/>
  <c r="DL450" i="25"/>
  <c r="DS450" i="25" s="1"/>
  <c r="DL445" i="25"/>
  <c r="DS445" i="25" s="1"/>
  <c r="DL465" i="25"/>
  <c r="DS465" i="25" s="1"/>
  <c r="DL446" i="25"/>
  <c r="DS446" i="25" s="1"/>
  <c r="DL442" i="25"/>
  <c r="DL540" i="25"/>
  <c r="DS540" i="25" s="1"/>
  <c r="DL453" i="25"/>
  <c r="DS453" i="25" s="1"/>
  <c r="DL497" i="25"/>
  <c r="DS497" i="25" s="1"/>
  <c r="DL437" i="25"/>
  <c r="DS437" i="25" s="1"/>
  <c r="DL454" i="25"/>
  <c r="DS454" i="25" s="1"/>
  <c r="DL448" i="25"/>
  <c r="DS448" i="25" s="1"/>
  <c r="DL537" i="25"/>
  <c r="DM500" i="25"/>
  <c r="DM528" i="25"/>
  <c r="DM510" i="25"/>
  <c r="DM511" i="25"/>
  <c r="DM501" i="25"/>
  <c r="DM443" i="25"/>
  <c r="DM416" i="25"/>
  <c r="DM534" i="25"/>
  <c r="DM412" i="25"/>
  <c r="DM413" i="25"/>
  <c r="DM444" i="25"/>
  <c r="DM424" i="25"/>
  <c r="DM492" i="25"/>
  <c r="DM464" i="25"/>
  <c r="DM517" i="25"/>
  <c r="DM542" i="25"/>
  <c r="DM433" i="25"/>
  <c r="DM499" i="25"/>
  <c r="DM490" i="25"/>
  <c r="DM495" i="25"/>
  <c r="DM488" i="25"/>
  <c r="DM462" i="25"/>
  <c r="DM489" i="25"/>
  <c r="DM508" i="25"/>
  <c r="DM519" i="25"/>
  <c r="DM491" i="25"/>
  <c r="DM485" i="25"/>
  <c r="DM496" i="25"/>
  <c r="DM493" i="25"/>
  <c r="DM494" i="25"/>
  <c r="DM461" i="25"/>
  <c r="DM407" i="25"/>
  <c r="DM408" i="25"/>
  <c r="DM415" i="25"/>
  <c r="DM418" i="25"/>
  <c r="DM529" i="25"/>
  <c r="DM421" i="25"/>
  <c r="DM428" i="25"/>
  <c r="DM432" i="25"/>
  <c r="DM466" i="25"/>
  <c r="DM468" i="25"/>
  <c r="DM531" i="25"/>
  <c r="DM541" i="25"/>
  <c r="DM440" i="25"/>
  <c r="DM518" i="25"/>
  <c r="DM498" i="25"/>
  <c r="DM426" i="25"/>
  <c r="DM441" i="25"/>
  <c r="DM524" i="25"/>
  <c r="DM436" i="25"/>
  <c r="DM439" i="25"/>
  <c r="DM451" i="25"/>
  <c r="DM449" i="25"/>
  <c r="DM450" i="25"/>
  <c r="DM445" i="25"/>
  <c r="DM465" i="25"/>
  <c r="DM446" i="25"/>
  <c r="DM442" i="25"/>
  <c r="DM540" i="25"/>
  <c r="DM453" i="25"/>
  <c r="DM497" i="25"/>
  <c r="DM437" i="25"/>
  <c r="DM454" i="25"/>
  <c r="DM448" i="25"/>
  <c r="DM537" i="25"/>
  <c r="DN500" i="25"/>
  <c r="DN528" i="25"/>
  <c r="DN510" i="25"/>
  <c r="DN511" i="25"/>
  <c r="DN501" i="25"/>
  <c r="DN443" i="25"/>
  <c r="DN416" i="25"/>
  <c r="DN534" i="25"/>
  <c r="DN412" i="25"/>
  <c r="DN413" i="25"/>
  <c r="DN444" i="25"/>
  <c r="DN424" i="25"/>
  <c r="DN492" i="25"/>
  <c r="DN464" i="25"/>
  <c r="DN517" i="25"/>
  <c r="DN542" i="25"/>
  <c r="DN433" i="25"/>
  <c r="DN499" i="25"/>
  <c r="DN490" i="25"/>
  <c r="DN495" i="25"/>
  <c r="DN488" i="25"/>
  <c r="DN462" i="25"/>
  <c r="DN489" i="25"/>
  <c r="DN508" i="25"/>
  <c r="DN519" i="25"/>
  <c r="DN491" i="25"/>
  <c r="DN485" i="25"/>
  <c r="DN496" i="25"/>
  <c r="DN493" i="25"/>
  <c r="DN494" i="25"/>
  <c r="DN461" i="25"/>
  <c r="DN407" i="25"/>
  <c r="DN408" i="25"/>
  <c r="DN415" i="25"/>
  <c r="DN418" i="25"/>
  <c r="DN529" i="25"/>
  <c r="DN421" i="25"/>
  <c r="DN428" i="25"/>
  <c r="DN432" i="25"/>
  <c r="DN466" i="25"/>
  <c r="DN468" i="25"/>
  <c r="DN531" i="25"/>
  <c r="DN541" i="25"/>
  <c r="DN440" i="25"/>
  <c r="DN518" i="25"/>
  <c r="DN498" i="25"/>
  <c r="DN426" i="25"/>
  <c r="DN441" i="25"/>
  <c r="DN524" i="25"/>
  <c r="DN436" i="25"/>
  <c r="DN439" i="25"/>
  <c r="DN451" i="25"/>
  <c r="DN449" i="25"/>
  <c r="DN450" i="25"/>
  <c r="DN445" i="25"/>
  <c r="DN465" i="25"/>
  <c r="DN446" i="25"/>
  <c r="DN442" i="25"/>
  <c r="DN540" i="25"/>
  <c r="DN453" i="25"/>
  <c r="DN497" i="25"/>
  <c r="DN437" i="25"/>
  <c r="DN454" i="25"/>
  <c r="DN448" i="25"/>
  <c r="DN537" i="25"/>
  <c r="DU500" i="25"/>
  <c r="DU528" i="25"/>
  <c r="DU510" i="25"/>
  <c r="DU511" i="25"/>
  <c r="DU501" i="25"/>
  <c r="DU443" i="25"/>
  <c r="DU416" i="25"/>
  <c r="DU534" i="25"/>
  <c r="DU412" i="25"/>
  <c r="DU413" i="25"/>
  <c r="DU444" i="25"/>
  <c r="DU424" i="25"/>
  <c r="DU492" i="25"/>
  <c r="DU464" i="25"/>
  <c r="DU517" i="25"/>
  <c r="DU542" i="25"/>
  <c r="DU433" i="25"/>
  <c r="DU499" i="25"/>
  <c r="DU490" i="25"/>
  <c r="DU495" i="25"/>
  <c r="DU488" i="25"/>
  <c r="DU462" i="25"/>
  <c r="DU489" i="25"/>
  <c r="DU508" i="25"/>
  <c r="DU519" i="25"/>
  <c r="DU491" i="25"/>
  <c r="DU485" i="25"/>
  <c r="DU496" i="25"/>
  <c r="DU493" i="25"/>
  <c r="DU494" i="25"/>
  <c r="DU461" i="25"/>
  <c r="DU407" i="25"/>
  <c r="DU408" i="25"/>
  <c r="DU415" i="25"/>
  <c r="DU418" i="25"/>
  <c r="DU529" i="25"/>
  <c r="DU421" i="25"/>
  <c r="DU428" i="25"/>
  <c r="DU432" i="25"/>
  <c r="DU466" i="25"/>
  <c r="DU468" i="25"/>
  <c r="DU531" i="25"/>
  <c r="DU541" i="25"/>
  <c r="DU440" i="25"/>
  <c r="DU518" i="25"/>
  <c r="DU498" i="25"/>
  <c r="DU426" i="25"/>
  <c r="DU441" i="25"/>
  <c r="DU524" i="25"/>
  <c r="DU436" i="25"/>
  <c r="DU439" i="25"/>
  <c r="DU451" i="25"/>
  <c r="DU449" i="25"/>
  <c r="DU450" i="25"/>
  <c r="DU445" i="25"/>
  <c r="DU465" i="25"/>
  <c r="DU446" i="25"/>
  <c r="DU442" i="25"/>
  <c r="DU540" i="25"/>
  <c r="DU453" i="25"/>
  <c r="DU497" i="25"/>
  <c r="DU437" i="25"/>
  <c r="DU454" i="25"/>
  <c r="DU448" i="25"/>
  <c r="DU537" i="25"/>
  <c r="DV500" i="25"/>
  <c r="DY500" i="25" s="1"/>
  <c r="DV528" i="25"/>
  <c r="DY528" i="25" s="1"/>
  <c r="DV510" i="25"/>
  <c r="DW510" i="25" s="1"/>
  <c r="DV511" i="25"/>
  <c r="DV501" i="25"/>
  <c r="DW501" i="25" s="1"/>
  <c r="DV443" i="25"/>
  <c r="DW443" i="25" s="1"/>
  <c r="DV416" i="25"/>
  <c r="DW416" i="25" s="1"/>
  <c r="DV534" i="25"/>
  <c r="DY534" i="25" s="1"/>
  <c r="DV412" i="25"/>
  <c r="DY412" i="25" s="1"/>
  <c r="DV413" i="25"/>
  <c r="DY413" i="25" s="1"/>
  <c r="DV444" i="25"/>
  <c r="DW444" i="25" s="1"/>
  <c r="DV424" i="25"/>
  <c r="DV492" i="25"/>
  <c r="DW492" i="25" s="1"/>
  <c r="DV464" i="25"/>
  <c r="DY464" i="25" s="1"/>
  <c r="DV517" i="25"/>
  <c r="DW517" i="25" s="1"/>
  <c r="DV542" i="25"/>
  <c r="DY542" i="25" s="1"/>
  <c r="DV433" i="25"/>
  <c r="DY433" i="25" s="1"/>
  <c r="DV499" i="25"/>
  <c r="DY499" i="25" s="1"/>
  <c r="DV490" i="25"/>
  <c r="DW490" i="25" s="1"/>
  <c r="DV495" i="25"/>
  <c r="DV488" i="25"/>
  <c r="DW488" i="25" s="1"/>
  <c r="DV462" i="25"/>
  <c r="DW462" i="25" s="1"/>
  <c r="DV489" i="25"/>
  <c r="DW489" i="25" s="1"/>
  <c r="DV508" i="25"/>
  <c r="DY508" i="25" s="1"/>
  <c r="DV519" i="25"/>
  <c r="DY519" i="25" s="1"/>
  <c r="DV491" i="25"/>
  <c r="DY491" i="25" s="1"/>
  <c r="DV485" i="25"/>
  <c r="DW485" i="25" s="1"/>
  <c r="DV496" i="25"/>
  <c r="DW496" i="25" s="1"/>
  <c r="DV493" i="25"/>
  <c r="DW493" i="25" s="1"/>
  <c r="DV494" i="25"/>
  <c r="DW494" i="25" s="1"/>
  <c r="DV461" i="25"/>
  <c r="DW461" i="25" s="1"/>
  <c r="DV407" i="25"/>
  <c r="DY407" i="25" s="1"/>
  <c r="DV408" i="25"/>
  <c r="DW408" i="25" s="1"/>
  <c r="DV415" i="25"/>
  <c r="DY415" i="25" s="1"/>
  <c r="DV418" i="25"/>
  <c r="DW418" i="25" s="1"/>
  <c r="DV529" i="25"/>
  <c r="DV421" i="25"/>
  <c r="DW421" i="25" s="1"/>
  <c r="DV428" i="25"/>
  <c r="DW428" i="25" s="1"/>
  <c r="DV432" i="25"/>
  <c r="DW432" i="25" s="1"/>
  <c r="DV466" i="25"/>
  <c r="DY466" i="25" s="1"/>
  <c r="DV468" i="25"/>
  <c r="DY468" i="25" s="1"/>
  <c r="DV531" i="25"/>
  <c r="DY531" i="25" s="1"/>
  <c r="DV541" i="25"/>
  <c r="DW541" i="25" s="1"/>
  <c r="DV440" i="25"/>
  <c r="DV518" i="25"/>
  <c r="DW518" i="25" s="1"/>
  <c r="DV498" i="25"/>
  <c r="DY498" i="25" s="1"/>
  <c r="DV426" i="25"/>
  <c r="DW426" i="25" s="1"/>
  <c r="DV441" i="25"/>
  <c r="DY441" i="25" s="1"/>
  <c r="DV524" i="25"/>
  <c r="DY524" i="25" s="1"/>
  <c r="DV436" i="25"/>
  <c r="DY436" i="25" s="1"/>
  <c r="DV439" i="25"/>
  <c r="DW439" i="25" s="1"/>
  <c r="DV451" i="25"/>
  <c r="DV449" i="25"/>
  <c r="DW449" i="25" s="1"/>
  <c r="DV450" i="25"/>
  <c r="DW450" i="25" s="1"/>
  <c r="DV445" i="25"/>
  <c r="DY445" i="25" s="1"/>
  <c r="DV465" i="25"/>
  <c r="DY465" i="25" s="1"/>
  <c r="DV446" i="25"/>
  <c r="DY446" i="25" s="1"/>
  <c r="DV442" i="25"/>
  <c r="DW442" i="25" s="1"/>
  <c r="DV540" i="25"/>
  <c r="DW540" i="25" s="1"/>
  <c r="DV453" i="25"/>
  <c r="DW453" i="25" s="1"/>
  <c r="DV497" i="25"/>
  <c r="DW497" i="25" s="1"/>
  <c r="DV437" i="25"/>
  <c r="DW437" i="25" s="1"/>
  <c r="DV454" i="25"/>
  <c r="DW454" i="25" s="1"/>
  <c r="DV448" i="25"/>
  <c r="DY448" i="25" s="1"/>
  <c r="DV537" i="25"/>
  <c r="DW537" i="25" s="1"/>
  <c r="DX500" i="25"/>
  <c r="DX528" i="25"/>
  <c r="DX510" i="25"/>
  <c r="DX511" i="25"/>
  <c r="DX501" i="25"/>
  <c r="DX443" i="25"/>
  <c r="DX416" i="25"/>
  <c r="DX534" i="25"/>
  <c r="DX412" i="25"/>
  <c r="DX413" i="25"/>
  <c r="DX444" i="25"/>
  <c r="DX424" i="25"/>
  <c r="DX492" i="25"/>
  <c r="DX464" i="25"/>
  <c r="DX517" i="25"/>
  <c r="DX542" i="25"/>
  <c r="DX433" i="25"/>
  <c r="DX499" i="25"/>
  <c r="DX490" i="25"/>
  <c r="DX495" i="25"/>
  <c r="DX488" i="25"/>
  <c r="DX462" i="25"/>
  <c r="DX489" i="25"/>
  <c r="DX508" i="25"/>
  <c r="DX519" i="25"/>
  <c r="DX491" i="25"/>
  <c r="DX485" i="25"/>
  <c r="DX496" i="25"/>
  <c r="DX493" i="25"/>
  <c r="DX494" i="25"/>
  <c r="DX461" i="25"/>
  <c r="DX407" i="25"/>
  <c r="DX408" i="25"/>
  <c r="DX415" i="25"/>
  <c r="DX418" i="25"/>
  <c r="DX529" i="25"/>
  <c r="DX421" i="25"/>
  <c r="DX428" i="25"/>
  <c r="DX432" i="25"/>
  <c r="DX466" i="25"/>
  <c r="DX468" i="25"/>
  <c r="DX531" i="25"/>
  <c r="DX541" i="25"/>
  <c r="DX440" i="25"/>
  <c r="DX518" i="25"/>
  <c r="DX498" i="25"/>
  <c r="DX426" i="25"/>
  <c r="DX441" i="25"/>
  <c r="DX524" i="25"/>
  <c r="DX436" i="25"/>
  <c r="DX439" i="25"/>
  <c r="DX451" i="25"/>
  <c r="DX449" i="25"/>
  <c r="DX450" i="25"/>
  <c r="DX445" i="25"/>
  <c r="DX465" i="25"/>
  <c r="DX446" i="25"/>
  <c r="DX442" i="25"/>
  <c r="DX540" i="25"/>
  <c r="DX453" i="25"/>
  <c r="DX497" i="25"/>
  <c r="DX437" i="25"/>
  <c r="DX454" i="25"/>
  <c r="DX448" i="25"/>
  <c r="DX537" i="25"/>
  <c r="DZ500" i="25"/>
  <c r="DZ528" i="25"/>
  <c r="DZ510" i="25"/>
  <c r="DZ511" i="25"/>
  <c r="DZ501" i="25"/>
  <c r="DZ443" i="25"/>
  <c r="DZ416" i="25"/>
  <c r="DZ534" i="25"/>
  <c r="DZ412" i="25"/>
  <c r="DZ413" i="25"/>
  <c r="DZ444" i="25"/>
  <c r="DZ424" i="25"/>
  <c r="DZ492" i="25"/>
  <c r="DZ464" i="25"/>
  <c r="DZ517" i="25"/>
  <c r="DZ542" i="25"/>
  <c r="DZ433" i="25"/>
  <c r="DZ499" i="25"/>
  <c r="DZ490" i="25"/>
  <c r="DZ495" i="25"/>
  <c r="DZ488" i="25"/>
  <c r="DZ462" i="25"/>
  <c r="DZ489" i="25"/>
  <c r="DZ508" i="25"/>
  <c r="DZ519" i="25"/>
  <c r="DZ491" i="25"/>
  <c r="DZ485" i="25"/>
  <c r="DZ496" i="25"/>
  <c r="DZ493" i="25"/>
  <c r="DZ494" i="25"/>
  <c r="DZ461" i="25"/>
  <c r="DZ407" i="25"/>
  <c r="DZ408" i="25"/>
  <c r="DZ415" i="25"/>
  <c r="DZ418" i="25"/>
  <c r="DZ529" i="25"/>
  <c r="DZ421" i="25"/>
  <c r="DZ428" i="25"/>
  <c r="DZ432" i="25"/>
  <c r="DZ466" i="25"/>
  <c r="DZ468" i="25"/>
  <c r="DZ531" i="25"/>
  <c r="DZ541" i="25"/>
  <c r="DZ440" i="25"/>
  <c r="DZ518" i="25"/>
  <c r="DZ498" i="25"/>
  <c r="DZ426" i="25"/>
  <c r="DZ441" i="25"/>
  <c r="DZ524" i="25"/>
  <c r="DZ436" i="25"/>
  <c r="DZ439" i="25"/>
  <c r="DZ451" i="25"/>
  <c r="DZ449" i="25"/>
  <c r="DZ450" i="25"/>
  <c r="DZ445" i="25"/>
  <c r="DZ465" i="25"/>
  <c r="DZ446" i="25"/>
  <c r="DZ442" i="25"/>
  <c r="DZ540" i="25"/>
  <c r="DZ453" i="25"/>
  <c r="DZ497" i="25"/>
  <c r="DZ437" i="25"/>
  <c r="DZ454" i="25"/>
  <c r="DZ448" i="25"/>
  <c r="DZ537" i="25"/>
  <c r="EA500" i="25"/>
  <c r="EA528" i="25"/>
  <c r="EA510" i="25"/>
  <c r="EA511" i="25"/>
  <c r="EA501" i="25"/>
  <c r="EA443" i="25"/>
  <c r="EA416" i="25"/>
  <c r="EA534" i="25"/>
  <c r="EA412" i="25"/>
  <c r="EA413" i="25"/>
  <c r="EA444" i="25"/>
  <c r="EA424" i="25"/>
  <c r="EA492" i="25"/>
  <c r="EA464" i="25"/>
  <c r="EA517" i="25"/>
  <c r="EA542" i="25"/>
  <c r="EA433" i="25"/>
  <c r="EA499" i="25"/>
  <c r="EA490" i="25"/>
  <c r="EA495" i="25"/>
  <c r="EA488" i="25"/>
  <c r="EA462" i="25"/>
  <c r="EA489" i="25"/>
  <c r="EA508" i="25"/>
  <c r="EA519" i="25"/>
  <c r="EA491" i="25"/>
  <c r="EA485" i="25"/>
  <c r="EA496" i="25"/>
  <c r="EA493" i="25"/>
  <c r="EA494" i="25"/>
  <c r="EA461" i="25"/>
  <c r="EA407" i="25"/>
  <c r="EA408" i="25"/>
  <c r="EA415" i="25"/>
  <c r="EA418" i="25"/>
  <c r="EA529" i="25"/>
  <c r="EA421" i="25"/>
  <c r="EA428" i="25"/>
  <c r="EA432" i="25"/>
  <c r="EA466" i="25"/>
  <c r="EA468" i="25"/>
  <c r="EA531" i="25"/>
  <c r="EA541" i="25"/>
  <c r="EA440" i="25"/>
  <c r="EA518" i="25"/>
  <c r="EA498" i="25"/>
  <c r="EA426" i="25"/>
  <c r="EA441" i="25"/>
  <c r="EA524" i="25"/>
  <c r="EA436" i="25"/>
  <c r="EA439" i="25"/>
  <c r="EA451" i="25"/>
  <c r="EA449" i="25"/>
  <c r="EA450" i="25"/>
  <c r="EA445" i="25"/>
  <c r="EA465" i="25"/>
  <c r="EA446" i="25"/>
  <c r="EA442" i="25"/>
  <c r="EA540" i="25"/>
  <c r="EA453" i="25"/>
  <c r="EA497" i="25"/>
  <c r="EA437" i="25"/>
  <c r="EA454" i="25"/>
  <c r="EA448" i="25"/>
  <c r="EA537" i="25"/>
  <c r="EB500" i="25"/>
  <c r="EB528" i="25"/>
  <c r="EB510" i="25"/>
  <c r="EB511" i="25"/>
  <c r="EB501" i="25"/>
  <c r="EB443" i="25"/>
  <c r="EB416" i="25"/>
  <c r="EB534" i="25"/>
  <c r="EB412" i="25"/>
  <c r="EB413" i="25"/>
  <c r="EB444" i="25"/>
  <c r="EB424" i="25"/>
  <c r="EB492" i="25"/>
  <c r="EB464" i="25"/>
  <c r="EB517" i="25"/>
  <c r="EB542" i="25"/>
  <c r="EB433" i="25"/>
  <c r="EB499" i="25"/>
  <c r="EB490" i="25"/>
  <c r="EB495" i="25"/>
  <c r="EB488" i="25"/>
  <c r="EB462" i="25"/>
  <c r="EB489" i="25"/>
  <c r="EB508" i="25"/>
  <c r="EB519" i="25"/>
  <c r="EB491" i="25"/>
  <c r="EB485" i="25"/>
  <c r="EB496" i="25"/>
  <c r="EB493" i="25"/>
  <c r="EB494" i="25"/>
  <c r="EB461" i="25"/>
  <c r="EB407" i="25"/>
  <c r="EB408" i="25"/>
  <c r="EB415" i="25"/>
  <c r="EB418" i="25"/>
  <c r="EB529" i="25"/>
  <c r="EB421" i="25"/>
  <c r="EB428" i="25"/>
  <c r="EB432" i="25"/>
  <c r="EB466" i="25"/>
  <c r="EB468" i="25"/>
  <c r="EB531" i="25"/>
  <c r="EB541" i="25"/>
  <c r="EB440" i="25"/>
  <c r="EB518" i="25"/>
  <c r="EB498" i="25"/>
  <c r="EB426" i="25"/>
  <c r="EB441" i="25"/>
  <c r="EB524" i="25"/>
  <c r="EB436" i="25"/>
  <c r="EB439" i="25"/>
  <c r="EB451" i="25"/>
  <c r="EB449" i="25"/>
  <c r="EB450" i="25"/>
  <c r="EB445" i="25"/>
  <c r="EB465" i="25"/>
  <c r="EB446" i="25"/>
  <c r="EB442" i="25"/>
  <c r="EB540" i="25"/>
  <c r="EB453" i="25"/>
  <c r="EB497" i="25"/>
  <c r="EB437" i="25"/>
  <c r="EB454" i="25"/>
  <c r="EB448" i="25"/>
  <c r="EB537" i="25"/>
  <c r="EE500" i="25"/>
  <c r="EE528" i="25"/>
  <c r="EE510" i="25"/>
  <c r="EE511" i="25"/>
  <c r="EE501" i="25"/>
  <c r="EE443" i="25"/>
  <c r="EE416" i="25"/>
  <c r="EE534" i="25"/>
  <c r="EE412" i="25"/>
  <c r="EE413" i="25"/>
  <c r="EE444" i="25"/>
  <c r="EE424" i="25"/>
  <c r="EE492" i="25"/>
  <c r="EE464" i="25"/>
  <c r="EE517" i="25"/>
  <c r="EE542" i="25"/>
  <c r="EE433" i="25"/>
  <c r="EE499" i="25"/>
  <c r="EE490" i="25"/>
  <c r="EE495" i="25"/>
  <c r="EE488" i="25"/>
  <c r="EE462" i="25"/>
  <c r="EE489" i="25"/>
  <c r="EE508" i="25"/>
  <c r="EE519" i="25"/>
  <c r="EE491" i="25"/>
  <c r="EE485" i="25"/>
  <c r="EE496" i="25"/>
  <c r="EE493" i="25"/>
  <c r="EE494" i="25"/>
  <c r="EE461" i="25"/>
  <c r="EE407" i="25"/>
  <c r="EE408" i="25"/>
  <c r="EE415" i="25"/>
  <c r="EE418" i="25"/>
  <c r="EE529" i="25"/>
  <c r="EE421" i="25"/>
  <c r="EE428" i="25"/>
  <c r="EE432" i="25"/>
  <c r="EE466" i="25"/>
  <c r="EE468" i="25"/>
  <c r="EE531" i="25"/>
  <c r="EE541" i="25"/>
  <c r="EE440" i="25"/>
  <c r="EE518" i="25"/>
  <c r="EE498" i="25"/>
  <c r="EE426" i="25"/>
  <c r="EE441" i="25"/>
  <c r="EE524" i="25"/>
  <c r="EE436" i="25"/>
  <c r="EE439" i="25"/>
  <c r="EE451" i="25"/>
  <c r="EE449" i="25"/>
  <c r="EE450" i="25"/>
  <c r="EE445" i="25"/>
  <c r="EE465" i="25"/>
  <c r="EE446" i="25"/>
  <c r="EE442" i="25"/>
  <c r="EE540" i="25"/>
  <c r="EE453" i="25"/>
  <c r="EE497" i="25"/>
  <c r="EE437" i="25"/>
  <c r="EE454" i="25"/>
  <c r="EE448" i="25"/>
  <c r="EE537" i="25"/>
  <c r="EF500" i="25"/>
  <c r="EF528" i="25"/>
  <c r="EF510" i="25"/>
  <c r="EF511" i="25"/>
  <c r="EF501" i="25"/>
  <c r="EF443" i="25"/>
  <c r="EF416" i="25"/>
  <c r="EF534" i="25"/>
  <c r="EF412" i="25"/>
  <c r="EF413" i="25"/>
  <c r="EF444" i="25"/>
  <c r="EF424" i="25"/>
  <c r="EF492" i="25"/>
  <c r="EF464" i="25"/>
  <c r="EF517" i="25"/>
  <c r="EF542" i="25"/>
  <c r="EF433" i="25"/>
  <c r="EF499" i="25"/>
  <c r="EF490" i="25"/>
  <c r="EF495" i="25"/>
  <c r="EF488" i="25"/>
  <c r="EF462" i="25"/>
  <c r="EF489" i="25"/>
  <c r="EF508" i="25"/>
  <c r="EF519" i="25"/>
  <c r="EF491" i="25"/>
  <c r="EF485" i="25"/>
  <c r="EF496" i="25"/>
  <c r="EF493" i="25"/>
  <c r="EF494" i="25"/>
  <c r="EF461" i="25"/>
  <c r="EF407" i="25"/>
  <c r="EF408" i="25"/>
  <c r="EF415" i="25"/>
  <c r="EF418" i="25"/>
  <c r="EF529" i="25"/>
  <c r="EF421" i="25"/>
  <c r="EF428" i="25"/>
  <c r="EF432" i="25"/>
  <c r="EF466" i="25"/>
  <c r="EF468" i="25"/>
  <c r="EF531" i="25"/>
  <c r="EF541" i="25"/>
  <c r="EF440" i="25"/>
  <c r="EF518" i="25"/>
  <c r="EF498" i="25"/>
  <c r="EF426" i="25"/>
  <c r="EF441" i="25"/>
  <c r="EF524" i="25"/>
  <c r="EF436" i="25"/>
  <c r="EF439" i="25"/>
  <c r="EF451" i="25"/>
  <c r="EF449" i="25"/>
  <c r="EF450" i="25"/>
  <c r="EF445" i="25"/>
  <c r="EF465" i="25"/>
  <c r="EF446" i="25"/>
  <c r="EF442" i="25"/>
  <c r="EF540" i="25"/>
  <c r="EF453" i="25"/>
  <c r="EF497" i="25"/>
  <c r="EF437" i="25"/>
  <c r="EF454" i="25"/>
  <c r="EF448" i="25"/>
  <c r="EF537" i="25"/>
  <c r="EG500" i="25"/>
  <c r="DH500" i="25" s="1"/>
  <c r="DI500" i="25" s="1"/>
  <c r="EG528" i="25"/>
  <c r="EG510" i="25"/>
  <c r="EG511" i="25"/>
  <c r="EG501" i="25"/>
  <c r="EG443" i="25"/>
  <c r="EG416" i="25"/>
  <c r="EG534" i="25"/>
  <c r="EG412" i="25"/>
  <c r="EG413" i="25"/>
  <c r="DH413" i="25" s="1"/>
  <c r="DI413" i="25" s="1"/>
  <c r="EG444" i="25"/>
  <c r="EG424" i="25"/>
  <c r="EG492" i="25"/>
  <c r="EG464" i="25"/>
  <c r="EG517" i="25"/>
  <c r="EG542" i="25"/>
  <c r="EG433" i="25"/>
  <c r="EG499" i="25"/>
  <c r="EG490" i="25"/>
  <c r="EG495" i="25"/>
  <c r="EG488" i="25"/>
  <c r="EG462" i="25"/>
  <c r="EG489" i="25"/>
  <c r="EG508" i="25"/>
  <c r="DE508" i="25" s="1"/>
  <c r="EG519" i="25"/>
  <c r="EG491" i="25"/>
  <c r="EG485" i="25"/>
  <c r="EG496" i="25"/>
  <c r="EG493" i="25"/>
  <c r="EG494" i="25"/>
  <c r="EG461" i="25"/>
  <c r="EG407" i="25"/>
  <c r="EG408" i="25"/>
  <c r="EG415" i="25"/>
  <c r="EG418" i="25"/>
  <c r="EG529" i="25"/>
  <c r="EG421" i="25"/>
  <c r="EG428" i="25"/>
  <c r="EG432" i="25"/>
  <c r="EG466" i="25"/>
  <c r="EG468" i="25"/>
  <c r="EG531" i="25"/>
  <c r="EG541" i="25"/>
  <c r="EG440" i="25"/>
  <c r="EG518" i="25"/>
  <c r="EG498" i="25"/>
  <c r="EG426" i="25"/>
  <c r="EG441" i="25"/>
  <c r="EG524" i="25"/>
  <c r="EG436" i="25"/>
  <c r="EG439" i="25"/>
  <c r="EG451" i="25"/>
  <c r="EG449" i="25"/>
  <c r="EG450" i="25"/>
  <c r="EG445" i="25"/>
  <c r="DE445" i="25" s="1"/>
  <c r="EG465" i="25"/>
  <c r="EG446" i="25"/>
  <c r="EG442" i="25"/>
  <c r="EG540" i="25"/>
  <c r="EG453" i="25"/>
  <c r="EG497" i="25"/>
  <c r="EG437" i="25"/>
  <c r="EG454" i="25"/>
  <c r="EG448" i="25"/>
  <c r="DE448" i="25" s="1"/>
  <c r="EG537" i="25"/>
  <c r="EH500" i="25"/>
  <c r="EH528" i="25"/>
  <c r="EH510" i="25"/>
  <c r="EH511" i="25"/>
  <c r="EH501" i="25"/>
  <c r="EH443" i="25"/>
  <c r="EH416" i="25"/>
  <c r="EH534" i="25"/>
  <c r="EH412" i="25"/>
  <c r="EH413" i="25"/>
  <c r="EH444" i="25"/>
  <c r="EH424" i="25"/>
  <c r="EH492" i="25"/>
  <c r="EH464" i="25"/>
  <c r="EH517" i="25"/>
  <c r="EH542" i="25"/>
  <c r="EH433" i="25"/>
  <c r="EH499" i="25"/>
  <c r="EH490" i="25"/>
  <c r="EH495" i="25"/>
  <c r="EH488" i="25"/>
  <c r="EH462" i="25"/>
  <c r="EH489" i="25"/>
  <c r="EH508" i="25"/>
  <c r="EH519" i="25"/>
  <c r="EH491" i="25"/>
  <c r="EH485" i="25"/>
  <c r="EH496" i="25"/>
  <c r="EH493" i="25"/>
  <c r="EH494" i="25"/>
  <c r="EH461" i="25"/>
  <c r="EH407" i="25"/>
  <c r="EH408" i="25"/>
  <c r="EH415" i="25"/>
  <c r="EH418" i="25"/>
  <c r="EH529" i="25"/>
  <c r="EH421" i="25"/>
  <c r="EH428" i="25"/>
  <c r="EH432" i="25"/>
  <c r="EH466" i="25"/>
  <c r="EH468" i="25"/>
  <c r="EH531" i="25"/>
  <c r="EH541" i="25"/>
  <c r="EH440" i="25"/>
  <c r="EH518" i="25"/>
  <c r="EH498" i="25"/>
  <c r="EH426" i="25"/>
  <c r="EH441" i="25"/>
  <c r="EH524" i="25"/>
  <c r="EH436" i="25"/>
  <c r="EH439" i="25"/>
  <c r="EH451" i="25"/>
  <c r="EH449" i="25"/>
  <c r="EH450" i="25"/>
  <c r="EH445" i="25"/>
  <c r="EH465" i="25"/>
  <c r="EH446" i="25"/>
  <c r="EH442" i="25"/>
  <c r="EH540" i="25"/>
  <c r="EH453" i="25"/>
  <c r="EH497" i="25"/>
  <c r="EH437" i="25"/>
  <c r="EH454" i="25"/>
  <c r="EH448" i="25"/>
  <c r="EH537" i="25"/>
  <c r="EI500" i="25"/>
  <c r="DT500" i="25" s="1"/>
  <c r="EI528" i="25"/>
  <c r="DT528" i="25" s="1"/>
  <c r="EI510" i="25"/>
  <c r="DT510" i="25" s="1"/>
  <c r="EI511" i="25"/>
  <c r="DT511" i="25" s="1"/>
  <c r="EI501" i="25"/>
  <c r="DT501" i="25" s="1"/>
  <c r="EI443" i="25"/>
  <c r="DT443" i="25" s="1"/>
  <c r="EI416" i="25"/>
  <c r="DT416" i="25" s="1"/>
  <c r="EI534" i="25"/>
  <c r="DT534" i="25" s="1"/>
  <c r="EI412" i="25"/>
  <c r="DT412" i="25" s="1"/>
  <c r="EI413" i="25"/>
  <c r="DT413" i="25" s="1"/>
  <c r="EI444" i="25"/>
  <c r="DT444" i="25" s="1"/>
  <c r="EI424" i="25"/>
  <c r="DT424" i="25" s="1"/>
  <c r="EI492" i="25"/>
  <c r="DT492" i="25" s="1"/>
  <c r="EI464" i="25"/>
  <c r="DT464" i="25" s="1"/>
  <c r="EI517" i="25"/>
  <c r="DT517" i="25" s="1"/>
  <c r="EI542" i="25"/>
  <c r="DT542" i="25" s="1"/>
  <c r="EI433" i="25"/>
  <c r="DT433" i="25" s="1"/>
  <c r="EI499" i="25"/>
  <c r="DT499" i="25" s="1"/>
  <c r="EI490" i="25"/>
  <c r="DT490" i="25" s="1"/>
  <c r="EI495" i="25"/>
  <c r="DT495" i="25" s="1"/>
  <c r="EI488" i="25"/>
  <c r="DT488" i="25" s="1"/>
  <c r="EI462" i="25"/>
  <c r="DT462" i="25" s="1"/>
  <c r="EI489" i="25"/>
  <c r="DT489" i="25" s="1"/>
  <c r="EI508" i="25"/>
  <c r="DT508" i="25" s="1"/>
  <c r="EI519" i="25"/>
  <c r="DT519" i="25" s="1"/>
  <c r="EI491" i="25"/>
  <c r="DT491" i="25" s="1"/>
  <c r="EI485" i="25"/>
  <c r="DT485" i="25" s="1"/>
  <c r="EI496" i="25"/>
  <c r="DT496" i="25" s="1"/>
  <c r="EI493" i="25"/>
  <c r="DT493" i="25" s="1"/>
  <c r="EI494" i="25"/>
  <c r="DT494" i="25" s="1"/>
  <c r="EI461" i="25"/>
  <c r="DT461" i="25" s="1"/>
  <c r="EI407" i="25"/>
  <c r="DT407" i="25" s="1"/>
  <c r="EI408" i="25"/>
  <c r="DT408" i="25" s="1"/>
  <c r="EI415" i="25"/>
  <c r="DT415" i="25" s="1"/>
  <c r="EI418" i="25"/>
  <c r="DT418" i="25" s="1"/>
  <c r="EI529" i="25"/>
  <c r="DT529" i="25" s="1"/>
  <c r="EI421" i="25"/>
  <c r="DT421" i="25" s="1"/>
  <c r="EI428" i="25"/>
  <c r="DT428" i="25" s="1"/>
  <c r="EI432" i="25"/>
  <c r="DT432" i="25" s="1"/>
  <c r="EI466" i="25"/>
  <c r="DT466" i="25" s="1"/>
  <c r="EI468" i="25"/>
  <c r="DT468" i="25" s="1"/>
  <c r="EI531" i="25"/>
  <c r="DT531" i="25" s="1"/>
  <c r="EI541" i="25"/>
  <c r="DT541" i="25" s="1"/>
  <c r="EI440" i="25"/>
  <c r="DT440" i="25" s="1"/>
  <c r="EI518" i="25"/>
  <c r="DT518" i="25" s="1"/>
  <c r="EI498" i="25"/>
  <c r="DT498" i="25" s="1"/>
  <c r="EI426" i="25"/>
  <c r="DT426" i="25" s="1"/>
  <c r="EI441" i="25"/>
  <c r="DT441" i="25" s="1"/>
  <c r="EI524" i="25"/>
  <c r="DT524" i="25" s="1"/>
  <c r="EI436" i="25"/>
  <c r="DT436" i="25" s="1"/>
  <c r="EI439" i="25"/>
  <c r="DT439" i="25" s="1"/>
  <c r="EI451" i="25"/>
  <c r="DT451" i="25" s="1"/>
  <c r="EI449" i="25"/>
  <c r="DT449" i="25" s="1"/>
  <c r="EI450" i="25"/>
  <c r="DT450" i="25" s="1"/>
  <c r="EI445" i="25"/>
  <c r="DT445" i="25" s="1"/>
  <c r="EI465" i="25"/>
  <c r="DT465" i="25" s="1"/>
  <c r="EI446" i="25"/>
  <c r="DT446" i="25" s="1"/>
  <c r="EI442" i="25"/>
  <c r="DT442" i="25" s="1"/>
  <c r="EI540" i="25"/>
  <c r="DT540" i="25" s="1"/>
  <c r="EI453" i="25"/>
  <c r="DT453" i="25" s="1"/>
  <c r="EI497" i="25"/>
  <c r="DT497" i="25" s="1"/>
  <c r="EI437" i="25"/>
  <c r="DT437" i="25" s="1"/>
  <c r="EI454" i="25"/>
  <c r="DT454" i="25" s="1"/>
  <c r="EI448" i="25"/>
  <c r="DT448" i="25" s="1"/>
  <c r="EI537" i="25"/>
  <c r="DT537" i="25" s="1"/>
  <c r="EJ500" i="25"/>
  <c r="EJ528" i="25"/>
  <c r="EJ510" i="25"/>
  <c r="EJ511" i="25"/>
  <c r="EJ501" i="25"/>
  <c r="EJ443" i="25"/>
  <c r="EJ416" i="25"/>
  <c r="EJ534" i="25"/>
  <c r="EJ412" i="25"/>
  <c r="EJ413" i="25"/>
  <c r="EJ444" i="25"/>
  <c r="EJ424" i="25"/>
  <c r="EJ492" i="25"/>
  <c r="EJ464" i="25"/>
  <c r="EJ517" i="25"/>
  <c r="EJ542" i="25"/>
  <c r="EJ433" i="25"/>
  <c r="EJ499" i="25"/>
  <c r="EJ490" i="25"/>
  <c r="EJ495" i="25"/>
  <c r="EJ488" i="25"/>
  <c r="EJ462" i="25"/>
  <c r="EJ489" i="25"/>
  <c r="EJ508" i="25"/>
  <c r="EJ519" i="25"/>
  <c r="EJ491" i="25"/>
  <c r="EJ485" i="25"/>
  <c r="EJ496" i="25"/>
  <c r="EJ493" i="25"/>
  <c r="EJ494" i="25"/>
  <c r="EJ461" i="25"/>
  <c r="EJ407" i="25"/>
  <c r="EJ408" i="25"/>
  <c r="EJ415" i="25"/>
  <c r="EJ418" i="25"/>
  <c r="EJ529" i="25"/>
  <c r="EJ421" i="25"/>
  <c r="EJ428" i="25"/>
  <c r="EJ432" i="25"/>
  <c r="EJ466" i="25"/>
  <c r="EJ468" i="25"/>
  <c r="EJ531" i="25"/>
  <c r="EJ541" i="25"/>
  <c r="EJ440" i="25"/>
  <c r="EJ518" i="25"/>
  <c r="EJ498" i="25"/>
  <c r="EJ426" i="25"/>
  <c r="EJ441" i="25"/>
  <c r="EJ524" i="25"/>
  <c r="EJ436" i="25"/>
  <c r="EJ439" i="25"/>
  <c r="EJ451" i="25"/>
  <c r="EJ449" i="25"/>
  <c r="EJ450" i="25"/>
  <c r="EJ445" i="25"/>
  <c r="EJ465" i="25"/>
  <c r="EJ446" i="25"/>
  <c r="EJ442" i="25"/>
  <c r="EJ540" i="25"/>
  <c r="EJ453" i="25"/>
  <c r="EJ497" i="25"/>
  <c r="EJ437" i="25"/>
  <c r="EJ454" i="25"/>
  <c r="EJ448" i="25"/>
  <c r="EJ537" i="25"/>
  <c r="EK500" i="25"/>
  <c r="EK528" i="25"/>
  <c r="EK510" i="25"/>
  <c r="EK511" i="25"/>
  <c r="EK501" i="25"/>
  <c r="EK443" i="25"/>
  <c r="EK416" i="25"/>
  <c r="EK534" i="25"/>
  <c r="EK412" i="25"/>
  <c r="EK413" i="25"/>
  <c r="EK444" i="25"/>
  <c r="EK424" i="25"/>
  <c r="EK492" i="25"/>
  <c r="EK464" i="25"/>
  <c r="EK517" i="25"/>
  <c r="EK542" i="25"/>
  <c r="EK433" i="25"/>
  <c r="EK499" i="25"/>
  <c r="EK490" i="25"/>
  <c r="EK495" i="25"/>
  <c r="EK488" i="25"/>
  <c r="EK462" i="25"/>
  <c r="EK489" i="25"/>
  <c r="EK508" i="25"/>
  <c r="EK519" i="25"/>
  <c r="EK491" i="25"/>
  <c r="EK485" i="25"/>
  <c r="EK496" i="25"/>
  <c r="EK493" i="25"/>
  <c r="EK494" i="25"/>
  <c r="EK461" i="25"/>
  <c r="EK407" i="25"/>
  <c r="EK408" i="25"/>
  <c r="EK415" i="25"/>
  <c r="EK418" i="25"/>
  <c r="EK529" i="25"/>
  <c r="EK421" i="25"/>
  <c r="EK428" i="25"/>
  <c r="EK432" i="25"/>
  <c r="EK466" i="25"/>
  <c r="EK468" i="25"/>
  <c r="EK531" i="25"/>
  <c r="EK541" i="25"/>
  <c r="EK440" i="25"/>
  <c r="EK518" i="25"/>
  <c r="EK498" i="25"/>
  <c r="EK426" i="25"/>
  <c r="EK441" i="25"/>
  <c r="EK524" i="25"/>
  <c r="EK436" i="25"/>
  <c r="EK439" i="25"/>
  <c r="EK451" i="25"/>
  <c r="EK449" i="25"/>
  <c r="EK450" i="25"/>
  <c r="EK445" i="25"/>
  <c r="EK465" i="25"/>
  <c r="EK446" i="25"/>
  <c r="EK442" i="25"/>
  <c r="EK540" i="25"/>
  <c r="EK453" i="25"/>
  <c r="EK497" i="25"/>
  <c r="EK437" i="25"/>
  <c r="EK454" i="25"/>
  <c r="EK448" i="25"/>
  <c r="EK537" i="25"/>
  <c r="EL500" i="25"/>
  <c r="EL528" i="25"/>
  <c r="EL510" i="25"/>
  <c r="EL511" i="25"/>
  <c r="EL501" i="25"/>
  <c r="EL443" i="25"/>
  <c r="EL416" i="25"/>
  <c r="EL534" i="25"/>
  <c r="EL412" i="25"/>
  <c r="EL413" i="25"/>
  <c r="EL444" i="25"/>
  <c r="EL424" i="25"/>
  <c r="EL492" i="25"/>
  <c r="EL464" i="25"/>
  <c r="EL517" i="25"/>
  <c r="EL542" i="25"/>
  <c r="EL433" i="25"/>
  <c r="EL499" i="25"/>
  <c r="EL490" i="25"/>
  <c r="EL495" i="25"/>
  <c r="EL488" i="25"/>
  <c r="EL462" i="25"/>
  <c r="EL489" i="25"/>
  <c r="EL508" i="25"/>
  <c r="EL519" i="25"/>
  <c r="EL491" i="25"/>
  <c r="EL485" i="25"/>
  <c r="EL496" i="25"/>
  <c r="EL493" i="25"/>
  <c r="EL494" i="25"/>
  <c r="EL461" i="25"/>
  <c r="EL407" i="25"/>
  <c r="EL408" i="25"/>
  <c r="EL415" i="25"/>
  <c r="EL418" i="25"/>
  <c r="EL529" i="25"/>
  <c r="EL421" i="25"/>
  <c r="EL428" i="25"/>
  <c r="EL432" i="25"/>
  <c r="EL466" i="25"/>
  <c r="EL468" i="25"/>
  <c r="EL531" i="25"/>
  <c r="EL541" i="25"/>
  <c r="EL440" i="25"/>
  <c r="EL518" i="25"/>
  <c r="EL498" i="25"/>
  <c r="EL426" i="25"/>
  <c r="EL441" i="25"/>
  <c r="EL524" i="25"/>
  <c r="EL436" i="25"/>
  <c r="EL439" i="25"/>
  <c r="EL451" i="25"/>
  <c r="EL449" i="25"/>
  <c r="EL450" i="25"/>
  <c r="EL445" i="25"/>
  <c r="EL465" i="25"/>
  <c r="EL446" i="25"/>
  <c r="EL442" i="25"/>
  <c r="EL540" i="25"/>
  <c r="EL453" i="25"/>
  <c r="EL497" i="25"/>
  <c r="EL437" i="25"/>
  <c r="EL454" i="25"/>
  <c r="EL448" i="25"/>
  <c r="EL537" i="25"/>
  <c r="EM500" i="25"/>
  <c r="EM528" i="25"/>
  <c r="EM510" i="25"/>
  <c r="EM511" i="25"/>
  <c r="EM501" i="25"/>
  <c r="EM443" i="25"/>
  <c r="EM416" i="25"/>
  <c r="EM534" i="25"/>
  <c r="EM412" i="25"/>
  <c r="EM413" i="25"/>
  <c r="EM444" i="25"/>
  <c r="EM424" i="25"/>
  <c r="EM492" i="25"/>
  <c r="EM464" i="25"/>
  <c r="EM517" i="25"/>
  <c r="EM542" i="25"/>
  <c r="EM433" i="25"/>
  <c r="EM499" i="25"/>
  <c r="EM490" i="25"/>
  <c r="EM495" i="25"/>
  <c r="EM488" i="25"/>
  <c r="EM462" i="25"/>
  <c r="EM489" i="25"/>
  <c r="EM508" i="25"/>
  <c r="EM519" i="25"/>
  <c r="EM491" i="25"/>
  <c r="EM485" i="25"/>
  <c r="EM496" i="25"/>
  <c r="EM493" i="25"/>
  <c r="EM494" i="25"/>
  <c r="EM461" i="25"/>
  <c r="EM407" i="25"/>
  <c r="EM408" i="25"/>
  <c r="EM415" i="25"/>
  <c r="EM418" i="25"/>
  <c r="EM529" i="25"/>
  <c r="EM421" i="25"/>
  <c r="EM428" i="25"/>
  <c r="EM432" i="25"/>
  <c r="EM466" i="25"/>
  <c r="EM468" i="25"/>
  <c r="EM531" i="25"/>
  <c r="EM541" i="25"/>
  <c r="EM440" i="25"/>
  <c r="EM518" i="25"/>
  <c r="EM498" i="25"/>
  <c r="EM426" i="25"/>
  <c r="EM441" i="25"/>
  <c r="EM524" i="25"/>
  <c r="EM436" i="25"/>
  <c r="EM439" i="25"/>
  <c r="EM451" i="25"/>
  <c r="EM449" i="25"/>
  <c r="EM450" i="25"/>
  <c r="EM445" i="25"/>
  <c r="EM465" i="25"/>
  <c r="EM446" i="25"/>
  <c r="EM442" i="25"/>
  <c r="EM540" i="25"/>
  <c r="EM453" i="25"/>
  <c r="EM497" i="25"/>
  <c r="EM437" i="25"/>
  <c r="EM454" i="25"/>
  <c r="EM448" i="25"/>
  <c r="EM537" i="25"/>
  <c r="EO500" i="25"/>
  <c r="EO528" i="25"/>
  <c r="EO510" i="25"/>
  <c r="EO511" i="25"/>
  <c r="EO501" i="25"/>
  <c r="EO443" i="25"/>
  <c r="EO416" i="25"/>
  <c r="EO534" i="25"/>
  <c r="EO412" i="25"/>
  <c r="EO413" i="25"/>
  <c r="EO444" i="25"/>
  <c r="EO424" i="25"/>
  <c r="EO492" i="25"/>
  <c r="EO464" i="25"/>
  <c r="EO517" i="25"/>
  <c r="EO542" i="25"/>
  <c r="EO433" i="25"/>
  <c r="EO499" i="25"/>
  <c r="EO490" i="25"/>
  <c r="EO495" i="25"/>
  <c r="EO488" i="25"/>
  <c r="EO462" i="25"/>
  <c r="EO489" i="25"/>
  <c r="EO508" i="25"/>
  <c r="EO519" i="25"/>
  <c r="EO491" i="25"/>
  <c r="EO485" i="25"/>
  <c r="EO496" i="25"/>
  <c r="EO493" i="25"/>
  <c r="EO494" i="25"/>
  <c r="EO461" i="25"/>
  <c r="EO407" i="25"/>
  <c r="EO408" i="25"/>
  <c r="EO415" i="25"/>
  <c r="EO418" i="25"/>
  <c r="EO529" i="25"/>
  <c r="EO421" i="25"/>
  <c r="EO428" i="25"/>
  <c r="EO432" i="25"/>
  <c r="EO466" i="25"/>
  <c r="EO468" i="25"/>
  <c r="EO531" i="25"/>
  <c r="EO541" i="25"/>
  <c r="EO440" i="25"/>
  <c r="EO518" i="25"/>
  <c r="EO498" i="25"/>
  <c r="EO426" i="25"/>
  <c r="EO441" i="25"/>
  <c r="EO524" i="25"/>
  <c r="EO436" i="25"/>
  <c r="EO439" i="25"/>
  <c r="EO451" i="25"/>
  <c r="EO449" i="25"/>
  <c r="EO450" i="25"/>
  <c r="EO445" i="25"/>
  <c r="EO465" i="25"/>
  <c r="EO446" i="25"/>
  <c r="EO442" i="25"/>
  <c r="EO540" i="25"/>
  <c r="EO453" i="25"/>
  <c r="EO497" i="25"/>
  <c r="EO437" i="25"/>
  <c r="EO454" i="25"/>
  <c r="EO448" i="25"/>
  <c r="EO537" i="25"/>
  <c r="EP500" i="25"/>
  <c r="EP528" i="25"/>
  <c r="EP510" i="25"/>
  <c r="EP511" i="25"/>
  <c r="EP501" i="25"/>
  <c r="EP443" i="25"/>
  <c r="EP416" i="25"/>
  <c r="EP534" i="25"/>
  <c r="EP412" i="25"/>
  <c r="EP413" i="25"/>
  <c r="EP444" i="25"/>
  <c r="EP424" i="25"/>
  <c r="EP492" i="25"/>
  <c r="EP464" i="25"/>
  <c r="EP517" i="25"/>
  <c r="EP542" i="25"/>
  <c r="EP433" i="25"/>
  <c r="EP499" i="25"/>
  <c r="EP490" i="25"/>
  <c r="EP495" i="25"/>
  <c r="EP488" i="25"/>
  <c r="EP462" i="25"/>
  <c r="EP489" i="25"/>
  <c r="EP508" i="25"/>
  <c r="EP519" i="25"/>
  <c r="EP491" i="25"/>
  <c r="EP485" i="25"/>
  <c r="EP496" i="25"/>
  <c r="EP493" i="25"/>
  <c r="EP494" i="25"/>
  <c r="EP461" i="25"/>
  <c r="EP407" i="25"/>
  <c r="EP408" i="25"/>
  <c r="EP415" i="25"/>
  <c r="EP418" i="25"/>
  <c r="EP529" i="25"/>
  <c r="EP421" i="25"/>
  <c r="EP428" i="25"/>
  <c r="EP432" i="25"/>
  <c r="EP466" i="25"/>
  <c r="EP468" i="25"/>
  <c r="EP531" i="25"/>
  <c r="EP541" i="25"/>
  <c r="EP440" i="25"/>
  <c r="EP518" i="25"/>
  <c r="EP498" i="25"/>
  <c r="EP426" i="25"/>
  <c r="EP441" i="25"/>
  <c r="EP524" i="25"/>
  <c r="EP436" i="25"/>
  <c r="EP439" i="25"/>
  <c r="EP451" i="25"/>
  <c r="EP449" i="25"/>
  <c r="EP450" i="25"/>
  <c r="EP445" i="25"/>
  <c r="EP465" i="25"/>
  <c r="EP446" i="25"/>
  <c r="EP442" i="25"/>
  <c r="EP540" i="25"/>
  <c r="EP453" i="25"/>
  <c r="EP497" i="25"/>
  <c r="EP437" i="25"/>
  <c r="EP454" i="25"/>
  <c r="EP448" i="25"/>
  <c r="EP537" i="25"/>
  <c r="CE539" i="25"/>
  <c r="CE484" i="25"/>
  <c r="CE503" i="25"/>
  <c r="CE459" i="25"/>
  <c r="CE486" i="25"/>
  <c r="CF539" i="25"/>
  <c r="CF484" i="25"/>
  <c r="CF503" i="25"/>
  <c r="CF459" i="25"/>
  <c r="CF486" i="25"/>
  <c r="CH539" i="25"/>
  <c r="CH484" i="25"/>
  <c r="CH503" i="25"/>
  <c r="CH459" i="25"/>
  <c r="CH486" i="25"/>
  <c r="CI539" i="25"/>
  <c r="CI484" i="25"/>
  <c r="CI503" i="25"/>
  <c r="CI459" i="25"/>
  <c r="CI486" i="25"/>
  <c r="CJ539" i="25"/>
  <c r="CJ484" i="25"/>
  <c r="CJ503" i="25"/>
  <c r="CJ459" i="25"/>
  <c r="CJ486" i="25"/>
  <c r="CK539" i="25"/>
  <c r="CK484" i="25"/>
  <c r="CK503" i="25"/>
  <c r="CK459" i="25"/>
  <c r="CK486" i="25"/>
  <c r="CL539" i="25"/>
  <c r="CL484" i="25"/>
  <c r="CL503" i="25"/>
  <c r="CL459" i="25"/>
  <c r="CL486" i="25"/>
  <c r="CM539" i="25"/>
  <c r="CM484" i="25"/>
  <c r="CM503" i="25"/>
  <c r="CM459" i="25"/>
  <c r="CM486" i="25"/>
  <c r="CN539" i="25"/>
  <c r="CN484" i="25"/>
  <c r="CN503" i="25"/>
  <c r="CN459" i="25"/>
  <c r="CN486" i="25"/>
  <c r="CS539" i="25"/>
  <c r="CS484" i="25"/>
  <c r="CS503" i="25"/>
  <c r="CT503" i="25" s="1"/>
  <c r="CS459" i="25"/>
  <c r="CT459" i="25" s="1"/>
  <c r="CS486" i="25"/>
  <c r="CT486" i="25" s="1"/>
  <c r="DA539" i="25"/>
  <c r="DA484" i="25"/>
  <c r="DA503" i="25"/>
  <c r="DA459" i="25"/>
  <c r="DA486" i="25"/>
  <c r="DB539" i="25"/>
  <c r="DB484" i="25"/>
  <c r="DB503" i="25"/>
  <c r="DB459" i="25"/>
  <c r="DB486" i="25"/>
  <c r="DF539" i="25"/>
  <c r="DF484" i="25"/>
  <c r="DF503" i="25"/>
  <c r="DF459" i="25"/>
  <c r="DF486" i="25"/>
  <c r="DG539" i="25"/>
  <c r="DG484" i="25"/>
  <c r="DG503" i="25"/>
  <c r="DG459" i="25"/>
  <c r="DG486" i="25"/>
  <c r="DK539" i="25"/>
  <c r="DK484" i="25"/>
  <c r="DK503" i="25"/>
  <c r="DK459" i="25"/>
  <c r="DK486" i="25"/>
  <c r="DL539" i="25"/>
  <c r="DS539" i="25" s="1"/>
  <c r="DL484" i="25"/>
  <c r="DS484" i="25" s="1"/>
  <c r="DL503" i="25"/>
  <c r="DS503" i="25" s="1"/>
  <c r="DL459" i="25"/>
  <c r="DS459" i="25" s="1"/>
  <c r="DL486" i="25"/>
  <c r="DS486" i="25" s="1"/>
  <c r="DM539" i="25"/>
  <c r="DM484" i="25"/>
  <c r="DM503" i="25"/>
  <c r="DM459" i="25"/>
  <c r="DM486" i="25"/>
  <c r="DN539" i="25"/>
  <c r="DN484" i="25"/>
  <c r="DN503" i="25"/>
  <c r="DN459" i="25"/>
  <c r="DN486" i="25"/>
  <c r="DU539" i="25"/>
  <c r="DU484" i="25"/>
  <c r="DU503" i="25"/>
  <c r="DU459" i="25"/>
  <c r="DU486" i="25"/>
  <c r="DV539" i="25"/>
  <c r="DW539" i="25" s="1"/>
  <c r="DV484" i="25"/>
  <c r="DW484" i="25" s="1"/>
  <c r="DV503" i="25"/>
  <c r="DW503" i="25" s="1"/>
  <c r="DV459" i="25"/>
  <c r="DY459" i="25" s="1"/>
  <c r="DV486" i="25"/>
  <c r="DY486" i="25" s="1"/>
  <c r="DX539" i="25"/>
  <c r="DX484" i="25"/>
  <c r="DX503" i="25"/>
  <c r="DX459" i="25"/>
  <c r="DX486" i="25"/>
  <c r="DZ539" i="25"/>
  <c r="DZ484" i="25"/>
  <c r="DZ503" i="25"/>
  <c r="DZ459" i="25"/>
  <c r="DZ486" i="25"/>
  <c r="EA539" i="25"/>
  <c r="EA484" i="25"/>
  <c r="EA503" i="25"/>
  <c r="EA459" i="25"/>
  <c r="EA486" i="25"/>
  <c r="EB539" i="25"/>
  <c r="EB484" i="25"/>
  <c r="EB503" i="25"/>
  <c r="EB459" i="25"/>
  <c r="EB486" i="25"/>
  <c r="EE539" i="25"/>
  <c r="EE484" i="25"/>
  <c r="EE503" i="25"/>
  <c r="EE459" i="25"/>
  <c r="EE486" i="25"/>
  <c r="EF539" i="25"/>
  <c r="EF484" i="25"/>
  <c r="EF503" i="25"/>
  <c r="EF459" i="25"/>
  <c r="EF486" i="25"/>
  <c r="EG539" i="25"/>
  <c r="DH539" i="25" s="1"/>
  <c r="DI539" i="25" s="1"/>
  <c r="EG484" i="25"/>
  <c r="DH484" i="25" s="1"/>
  <c r="DI484" i="25" s="1"/>
  <c r="EG503" i="25"/>
  <c r="DH503" i="25" s="1"/>
  <c r="DI503" i="25" s="1"/>
  <c r="EG459" i="25"/>
  <c r="EG486" i="25"/>
  <c r="DE486" i="25" s="1"/>
  <c r="EH539" i="25"/>
  <c r="EH484" i="25"/>
  <c r="EH503" i="25"/>
  <c r="EH459" i="25"/>
  <c r="EH486" i="25"/>
  <c r="EI539" i="25"/>
  <c r="DT539" i="25" s="1"/>
  <c r="EI484" i="25"/>
  <c r="DT484" i="25" s="1"/>
  <c r="EI503" i="25"/>
  <c r="DT503" i="25" s="1"/>
  <c r="EI459" i="25"/>
  <c r="DT459" i="25" s="1"/>
  <c r="EI486" i="25"/>
  <c r="DT486" i="25" s="1"/>
  <c r="EJ539" i="25"/>
  <c r="EJ484" i="25"/>
  <c r="EJ503" i="25"/>
  <c r="EJ459" i="25"/>
  <c r="EJ486" i="25"/>
  <c r="EK539" i="25"/>
  <c r="EK484" i="25"/>
  <c r="EK503" i="25"/>
  <c r="EK459" i="25"/>
  <c r="EK486" i="25"/>
  <c r="EL539" i="25"/>
  <c r="EL484" i="25"/>
  <c r="EL503" i="25"/>
  <c r="EL459" i="25"/>
  <c r="EL486" i="25"/>
  <c r="EM539" i="25"/>
  <c r="EM484" i="25"/>
  <c r="EM503" i="25"/>
  <c r="EM459" i="25"/>
  <c r="EM486" i="25"/>
  <c r="EO539" i="25"/>
  <c r="EO484" i="25"/>
  <c r="EO503" i="25"/>
  <c r="EO459" i="25"/>
  <c r="EO486" i="25"/>
  <c r="EP539" i="25"/>
  <c r="EP484" i="25"/>
  <c r="EP503" i="25"/>
  <c r="EP459" i="25"/>
  <c r="EP486" i="25"/>
  <c r="CE423" i="25"/>
  <c r="CE545" i="25"/>
  <c r="CE543" i="25"/>
  <c r="CE544" i="25"/>
  <c r="CF423" i="25"/>
  <c r="CF545" i="25"/>
  <c r="CF543" i="25"/>
  <c r="CF544" i="25"/>
  <c r="CH423" i="25"/>
  <c r="CH545" i="25"/>
  <c r="CH543" i="25"/>
  <c r="CH544" i="25"/>
  <c r="CI423" i="25"/>
  <c r="CI545" i="25"/>
  <c r="CI543" i="25"/>
  <c r="CI544" i="25"/>
  <c r="CJ423" i="25"/>
  <c r="CJ545" i="25"/>
  <c r="CJ543" i="25"/>
  <c r="CJ544" i="25"/>
  <c r="CK423" i="25"/>
  <c r="CK545" i="25"/>
  <c r="CK543" i="25"/>
  <c r="CK544" i="25"/>
  <c r="CL423" i="25"/>
  <c r="CL545" i="25"/>
  <c r="CL543" i="25"/>
  <c r="CL544" i="25"/>
  <c r="CM423" i="25"/>
  <c r="CM545" i="25"/>
  <c r="CM543" i="25"/>
  <c r="CM544" i="25"/>
  <c r="CN423" i="25"/>
  <c r="CN545" i="25"/>
  <c r="CN543" i="25"/>
  <c r="CN544" i="25"/>
  <c r="CS423" i="25"/>
  <c r="CT423" i="25" s="1"/>
  <c r="CS545" i="25"/>
  <c r="CT545" i="25" s="1"/>
  <c r="CS543" i="25"/>
  <c r="CT543" i="25" s="1"/>
  <c r="CS544" i="25"/>
  <c r="CT544" i="25" s="1"/>
  <c r="DA423" i="25"/>
  <c r="DA545" i="25"/>
  <c r="DA543" i="25"/>
  <c r="DA544" i="25"/>
  <c r="DB423" i="25"/>
  <c r="DB545" i="25"/>
  <c r="DB543" i="25"/>
  <c r="DB544" i="25"/>
  <c r="DF423" i="25"/>
  <c r="DF545" i="25"/>
  <c r="DF543" i="25"/>
  <c r="DF544" i="25"/>
  <c r="DG423" i="25"/>
  <c r="DG545" i="25"/>
  <c r="DG543" i="25"/>
  <c r="DG544" i="25"/>
  <c r="DK423" i="25"/>
  <c r="DK545" i="25"/>
  <c r="DK543" i="25"/>
  <c r="DK544" i="25"/>
  <c r="DL423" i="25"/>
  <c r="DS423" i="25" s="1"/>
  <c r="DL545" i="25"/>
  <c r="DS545" i="25" s="1"/>
  <c r="DL543" i="25"/>
  <c r="DS543" i="25" s="1"/>
  <c r="DL544" i="25"/>
  <c r="DM423" i="25"/>
  <c r="DM545" i="25"/>
  <c r="DM543" i="25"/>
  <c r="DM544" i="25"/>
  <c r="DN423" i="25"/>
  <c r="DN545" i="25"/>
  <c r="DN543" i="25"/>
  <c r="DN544" i="25"/>
  <c r="DU423" i="25"/>
  <c r="DU545" i="25"/>
  <c r="DU543" i="25"/>
  <c r="DU544" i="25"/>
  <c r="DV423" i="25"/>
  <c r="DY423" i="25" s="1"/>
  <c r="DV545" i="25"/>
  <c r="DY545" i="25" s="1"/>
  <c r="DV543" i="25"/>
  <c r="DY543" i="25" s="1"/>
  <c r="DV544" i="25"/>
  <c r="DW544" i="25" s="1"/>
  <c r="DX423" i="25"/>
  <c r="DX545" i="25"/>
  <c r="DX543" i="25"/>
  <c r="DX544" i="25"/>
  <c r="DZ423" i="25"/>
  <c r="DZ545" i="25"/>
  <c r="DZ543" i="25"/>
  <c r="DZ544" i="25"/>
  <c r="EA423" i="25"/>
  <c r="EA545" i="25"/>
  <c r="EA543" i="25"/>
  <c r="EA544" i="25"/>
  <c r="EB423" i="25"/>
  <c r="EB545" i="25"/>
  <c r="EB543" i="25"/>
  <c r="EB544" i="25"/>
  <c r="EE423" i="25"/>
  <c r="EE545" i="25"/>
  <c r="EE543" i="25"/>
  <c r="EE544" i="25"/>
  <c r="EF423" i="25"/>
  <c r="EF545" i="25"/>
  <c r="EF543" i="25"/>
  <c r="EF544" i="25"/>
  <c r="EG423" i="25"/>
  <c r="EG545" i="25"/>
  <c r="EG543" i="25"/>
  <c r="EG544" i="25"/>
  <c r="EH423" i="25"/>
  <c r="EH545" i="25"/>
  <c r="EH543" i="25"/>
  <c r="EH544" i="25"/>
  <c r="EI423" i="25"/>
  <c r="DT423" i="25" s="1"/>
  <c r="EI545" i="25"/>
  <c r="DT545" i="25" s="1"/>
  <c r="EI543" i="25"/>
  <c r="DT543" i="25" s="1"/>
  <c r="EI544" i="25"/>
  <c r="DT544" i="25" s="1"/>
  <c r="EJ423" i="25"/>
  <c r="EJ545" i="25"/>
  <c r="EJ543" i="25"/>
  <c r="EJ544" i="25"/>
  <c r="EK423" i="25"/>
  <c r="EK545" i="25"/>
  <c r="EK543" i="25"/>
  <c r="EK544" i="25"/>
  <c r="EL423" i="25"/>
  <c r="EL545" i="25"/>
  <c r="EL543" i="25"/>
  <c r="EL544" i="25"/>
  <c r="EM423" i="25"/>
  <c r="EM545" i="25"/>
  <c r="EM543" i="25"/>
  <c r="EM544" i="25"/>
  <c r="EO423" i="25"/>
  <c r="EO545" i="25"/>
  <c r="EO543" i="25"/>
  <c r="EO544" i="25"/>
  <c r="EP423" i="25"/>
  <c r="EP545" i="25"/>
  <c r="EP543" i="25"/>
  <c r="EP544" i="25"/>
  <c r="CE470" i="25"/>
  <c r="CF470" i="25"/>
  <c r="CH470" i="25"/>
  <c r="CI470" i="25"/>
  <c r="CJ470" i="25"/>
  <c r="CK470" i="25"/>
  <c r="CL470" i="25"/>
  <c r="CM470" i="25"/>
  <c r="CN470" i="25"/>
  <c r="CS470" i="25"/>
  <c r="CT470" i="25" s="1"/>
  <c r="DA470" i="25"/>
  <c r="DB470" i="25"/>
  <c r="DF470" i="25"/>
  <c r="DG470" i="25"/>
  <c r="DK470" i="25"/>
  <c r="DL470" i="25"/>
  <c r="DS470" i="25" s="1"/>
  <c r="DM470" i="25"/>
  <c r="DN470" i="25"/>
  <c r="DU470" i="25"/>
  <c r="DV470" i="25"/>
  <c r="DW470" i="25" s="1"/>
  <c r="DX470" i="25"/>
  <c r="DZ470" i="25"/>
  <c r="EA470" i="25"/>
  <c r="EB470" i="25"/>
  <c r="EE470" i="25"/>
  <c r="EF470" i="25"/>
  <c r="EG470" i="25"/>
  <c r="EH470" i="25"/>
  <c r="EI470" i="25"/>
  <c r="DT470" i="25" s="1"/>
  <c r="EJ470" i="25"/>
  <c r="EK470" i="25"/>
  <c r="EL470" i="25"/>
  <c r="EM470" i="25"/>
  <c r="EO470" i="25"/>
  <c r="EP470" i="25"/>
  <c r="CE479" i="25"/>
  <c r="CE435" i="25"/>
  <c r="CE481" i="25"/>
  <c r="CE516" i="25"/>
  <c r="CE515" i="25"/>
  <c r="CE505" i="25"/>
  <c r="CE456" i="25"/>
  <c r="CE455" i="25"/>
  <c r="CE487" i="25"/>
  <c r="CE527" i="25"/>
  <c r="CE457" i="25"/>
  <c r="CE512" i="25"/>
  <c r="CE482" i="25"/>
  <c r="CE469" i="25"/>
  <c r="CE438" i="25"/>
  <c r="CE480" i="25"/>
  <c r="CE401" i="25"/>
  <c r="CE434" i="25"/>
  <c r="CE397" i="25"/>
  <c r="CE398" i="25"/>
  <c r="CE400" i="25"/>
  <c r="CE403" i="25"/>
  <c r="CE404" i="25"/>
  <c r="CE405" i="25"/>
  <c r="CE406" i="25"/>
  <c r="CE410" i="25"/>
  <c r="CE417" i="25"/>
  <c r="CE483" i="25"/>
  <c r="CE523" i="25"/>
  <c r="CE530" i="25"/>
  <c r="CE533" i="25"/>
  <c r="CE536" i="25"/>
  <c r="CE535" i="25"/>
  <c r="CE447" i="25"/>
  <c r="CE513" i="25"/>
  <c r="CE514" i="25"/>
  <c r="CE521" i="25"/>
  <c r="CE422" i="25"/>
  <c r="CE425" i="25"/>
  <c r="CE427" i="25"/>
  <c r="CE430" i="25"/>
  <c r="CE431" i="25"/>
  <c r="CE467" i="25"/>
  <c r="CE502" i="25"/>
  <c r="CE419" i="25"/>
  <c r="CE471" i="25"/>
  <c r="CE399" i="25"/>
  <c r="CE402" i="25"/>
  <c r="CE532" i="25"/>
  <c r="CE452" i="25"/>
  <c r="CE429" i="25"/>
  <c r="CE506" i="25"/>
  <c r="CE463" i="25"/>
  <c r="CE409" i="25"/>
  <c r="CE460" i="25"/>
  <c r="CE411" i="25"/>
  <c r="CE414" i="25"/>
  <c r="CE504" i="25"/>
  <c r="CE520" i="25"/>
  <c r="CE458" i="25"/>
  <c r="CE525" i="25"/>
  <c r="CE526" i="25"/>
  <c r="CE522" i="25"/>
  <c r="CE477" i="25"/>
  <c r="CE509" i="25"/>
  <c r="CE476" i="25"/>
  <c r="CE507" i="25"/>
  <c r="CF479" i="25"/>
  <c r="CF435" i="25"/>
  <c r="CF481" i="25"/>
  <c r="CF516" i="25"/>
  <c r="CF515" i="25"/>
  <c r="CF505" i="25"/>
  <c r="CF456" i="25"/>
  <c r="CF455" i="25"/>
  <c r="CF487" i="25"/>
  <c r="CF527" i="25"/>
  <c r="CF457" i="25"/>
  <c r="CF512" i="25"/>
  <c r="CF482" i="25"/>
  <c r="CF469" i="25"/>
  <c r="CF438" i="25"/>
  <c r="CF480" i="25"/>
  <c r="CF401" i="25"/>
  <c r="CF434" i="25"/>
  <c r="CF397" i="25"/>
  <c r="CF398" i="25"/>
  <c r="CF400" i="25"/>
  <c r="CF403" i="25"/>
  <c r="CF404" i="25"/>
  <c r="CF405" i="25"/>
  <c r="CF406" i="25"/>
  <c r="CF410" i="25"/>
  <c r="CF417" i="25"/>
  <c r="CF483" i="25"/>
  <c r="CF523" i="25"/>
  <c r="CF530" i="25"/>
  <c r="CF533" i="25"/>
  <c r="CF536" i="25"/>
  <c r="CF535" i="25"/>
  <c r="CF447" i="25"/>
  <c r="CF513" i="25"/>
  <c r="CF514" i="25"/>
  <c r="CF521" i="25"/>
  <c r="CF422" i="25"/>
  <c r="CF425" i="25"/>
  <c r="CF427" i="25"/>
  <c r="CF430" i="25"/>
  <c r="CF431" i="25"/>
  <c r="CF467" i="25"/>
  <c r="CF502" i="25"/>
  <c r="CF419" i="25"/>
  <c r="CF471" i="25"/>
  <c r="CF399" i="25"/>
  <c r="CF402" i="25"/>
  <c r="CF532" i="25"/>
  <c r="CF452" i="25"/>
  <c r="CF429" i="25"/>
  <c r="CF506" i="25"/>
  <c r="CF463" i="25"/>
  <c r="CF409" i="25"/>
  <c r="CF460" i="25"/>
  <c r="CF411" i="25"/>
  <c r="CF414" i="25"/>
  <c r="CF504" i="25"/>
  <c r="CF520" i="25"/>
  <c r="CF458" i="25"/>
  <c r="CF525" i="25"/>
  <c r="CF526" i="25"/>
  <c r="CF522" i="25"/>
  <c r="CF477" i="25"/>
  <c r="CF509" i="25"/>
  <c r="CF476" i="25"/>
  <c r="CF507" i="25"/>
  <c r="CH479" i="25"/>
  <c r="CH435" i="25"/>
  <c r="CH481" i="25"/>
  <c r="CH516" i="25"/>
  <c r="CH515" i="25"/>
  <c r="CH505" i="25"/>
  <c r="CH456" i="25"/>
  <c r="CH455" i="25"/>
  <c r="CH487" i="25"/>
  <c r="CH527" i="25"/>
  <c r="CH457" i="25"/>
  <c r="CH512" i="25"/>
  <c r="CH482" i="25"/>
  <c r="CH469" i="25"/>
  <c r="CH438" i="25"/>
  <c r="CH480" i="25"/>
  <c r="CH401" i="25"/>
  <c r="CH434" i="25"/>
  <c r="CH397" i="25"/>
  <c r="CH398" i="25"/>
  <c r="CH400" i="25"/>
  <c r="CH403" i="25"/>
  <c r="CH404" i="25"/>
  <c r="CH405" i="25"/>
  <c r="CH406" i="25"/>
  <c r="CH410" i="25"/>
  <c r="CH417" i="25"/>
  <c r="CH483" i="25"/>
  <c r="CH523" i="25"/>
  <c r="CH530" i="25"/>
  <c r="CH533" i="25"/>
  <c r="CH536" i="25"/>
  <c r="CH535" i="25"/>
  <c r="CH447" i="25"/>
  <c r="CH513" i="25"/>
  <c r="CH514" i="25"/>
  <c r="CH521" i="25"/>
  <c r="CH422" i="25"/>
  <c r="CH425" i="25"/>
  <c r="CH427" i="25"/>
  <c r="CH430" i="25"/>
  <c r="CH431" i="25"/>
  <c r="CH467" i="25"/>
  <c r="CH502" i="25"/>
  <c r="CH419" i="25"/>
  <c r="CH471" i="25"/>
  <c r="CH399" i="25"/>
  <c r="CH402" i="25"/>
  <c r="CH532" i="25"/>
  <c r="CH452" i="25"/>
  <c r="CH429" i="25"/>
  <c r="CH506" i="25"/>
  <c r="CH463" i="25"/>
  <c r="CH409" i="25"/>
  <c r="CH460" i="25"/>
  <c r="CH411" i="25"/>
  <c r="CH414" i="25"/>
  <c r="CH504" i="25"/>
  <c r="CH520" i="25"/>
  <c r="CH458" i="25"/>
  <c r="CH525" i="25"/>
  <c r="CH526" i="25"/>
  <c r="CH522" i="25"/>
  <c r="CH477" i="25"/>
  <c r="CH509" i="25"/>
  <c r="CH476" i="25"/>
  <c r="CH507" i="25"/>
  <c r="CI479" i="25"/>
  <c r="CI435" i="25"/>
  <c r="CI481" i="25"/>
  <c r="CI516" i="25"/>
  <c r="CI515" i="25"/>
  <c r="CI505" i="25"/>
  <c r="CI456" i="25"/>
  <c r="CI455" i="25"/>
  <c r="CI487" i="25"/>
  <c r="CI527" i="25"/>
  <c r="CI457" i="25"/>
  <c r="CI512" i="25"/>
  <c r="CI482" i="25"/>
  <c r="CI469" i="25"/>
  <c r="CI438" i="25"/>
  <c r="CI480" i="25"/>
  <c r="CI401" i="25"/>
  <c r="CI434" i="25"/>
  <c r="CI397" i="25"/>
  <c r="CI398" i="25"/>
  <c r="CI400" i="25"/>
  <c r="CI403" i="25"/>
  <c r="CI404" i="25"/>
  <c r="CI405" i="25"/>
  <c r="CI406" i="25"/>
  <c r="CI410" i="25"/>
  <c r="CI417" i="25"/>
  <c r="CI483" i="25"/>
  <c r="CI523" i="25"/>
  <c r="CI530" i="25"/>
  <c r="CI533" i="25"/>
  <c r="CI536" i="25"/>
  <c r="CI535" i="25"/>
  <c r="CI447" i="25"/>
  <c r="CI513" i="25"/>
  <c r="CI514" i="25"/>
  <c r="CI521" i="25"/>
  <c r="CI422" i="25"/>
  <c r="CI425" i="25"/>
  <c r="CI427" i="25"/>
  <c r="CI430" i="25"/>
  <c r="CI431" i="25"/>
  <c r="CI467" i="25"/>
  <c r="CI502" i="25"/>
  <c r="CI419" i="25"/>
  <c r="CI471" i="25"/>
  <c r="CI399" i="25"/>
  <c r="CI402" i="25"/>
  <c r="CI532" i="25"/>
  <c r="CI452" i="25"/>
  <c r="CI429" i="25"/>
  <c r="CI506" i="25"/>
  <c r="CI463" i="25"/>
  <c r="CI409" i="25"/>
  <c r="CI460" i="25"/>
  <c r="CI411" i="25"/>
  <c r="CI414" i="25"/>
  <c r="CI504" i="25"/>
  <c r="CI520" i="25"/>
  <c r="CI458" i="25"/>
  <c r="CI525" i="25"/>
  <c r="CI526" i="25"/>
  <c r="CI522" i="25"/>
  <c r="CI477" i="25"/>
  <c r="CI509" i="25"/>
  <c r="CI476" i="25"/>
  <c r="CI507" i="25"/>
  <c r="CJ479" i="25"/>
  <c r="CJ435" i="25"/>
  <c r="CJ481" i="25"/>
  <c r="CJ516" i="25"/>
  <c r="CJ515" i="25"/>
  <c r="CJ505" i="25"/>
  <c r="CJ456" i="25"/>
  <c r="CJ455" i="25"/>
  <c r="CJ487" i="25"/>
  <c r="CJ527" i="25"/>
  <c r="CJ457" i="25"/>
  <c r="CJ512" i="25"/>
  <c r="CJ482" i="25"/>
  <c r="CJ469" i="25"/>
  <c r="CJ438" i="25"/>
  <c r="CJ480" i="25"/>
  <c r="CJ401" i="25"/>
  <c r="CJ434" i="25"/>
  <c r="CJ397" i="25"/>
  <c r="CJ398" i="25"/>
  <c r="CJ400" i="25"/>
  <c r="CJ403" i="25"/>
  <c r="CJ404" i="25"/>
  <c r="CJ405" i="25"/>
  <c r="CJ406" i="25"/>
  <c r="CJ410" i="25"/>
  <c r="CJ417" i="25"/>
  <c r="CJ483" i="25"/>
  <c r="CJ523" i="25"/>
  <c r="CJ530" i="25"/>
  <c r="CJ533" i="25"/>
  <c r="CJ536" i="25"/>
  <c r="CJ535" i="25"/>
  <c r="CJ447" i="25"/>
  <c r="CJ513" i="25"/>
  <c r="CJ514" i="25"/>
  <c r="CJ521" i="25"/>
  <c r="CJ422" i="25"/>
  <c r="CJ425" i="25"/>
  <c r="CJ427" i="25"/>
  <c r="CJ430" i="25"/>
  <c r="CJ431" i="25"/>
  <c r="CJ467" i="25"/>
  <c r="CJ502" i="25"/>
  <c r="CJ419" i="25"/>
  <c r="CJ471" i="25"/>
  <c r="CJ399" i="25"/>
  <c r="CJ402" i="25"/>
  <c r="CJ532" i="25"/>
  <c r="CJ452" i="25"/>
  <c r="CJ429" i="25"/>
  <c r="CJ506" i="25"/>
  <c r="CJ463" i="25"/>
  <c r="CJ409" i="25"/>
  <c r="CJ460" i="25"/>
  <c r="CJ411" i="25"/>
  <c r="CJ414" i="25"/>
  <c r="CJ504" i="25"/>
  <c r="CJ520" i="25"/>
  <c r="CJ458" i="25"/>
  <c r="CJ525" i="25"/>
  <c r="CJ526" i="25"/>
  <c r="CJ522" i="25"/>
  <c r="CJ477" i="25"/>
  <c r="CJ509" i="25"/>
  <c r="CJ476" i="25"/>
  <c r="CJ507" i="25"/>
  <c r="CK479" i="25"/>
  <c r="CK435" i="25"/>
  <c r="CK481" i="25"/>
  <c r="CK516" i="25"/>
  <c r="CK515" i="25"/>
  <c r="CK505" i="25"/>
  <c r="CK456" i="25"/>
  <c r="CK455" i="25"/>
  <c r="CK487" i="25"/>
  <c r="CK527" i="25"/>
  <c r="CK457" i="25"/>
  <c r="CK512" i="25"/>
  <c r="CK482" i="25"/>
  <c r="CK469" i="25"/>
  <c r="CK438" i="25"/>
  <c r="CK480" i="25"/>
  <c r="CK401" i="25"/>
  <c r="CK434" i="25"/>
  <c r="CK397" i="25"/>
  <c r="CK398" i="25"/>
  <c r="CK400" i="25"/>
  <c r="CK403" i="25"/>
  <c r="CK404" i="25"/>
  <c r="CK405" i="25"/>
  <c r="CK406" i="25"/>
  <c r="CK410" i="25"/>
  <c r="CK417" i="25"/>
  <c r="CK483" i="25"/>
  <c r="CK523" i="25"/>
  <c r="CK530" i="25"/>
  <c r="CK533" i="25"/>
  <c r="CK536" i="25"/>
  <c r="CK535" i="25"/>
  <c r="CK447" i="25"/>
  <c r="CK513" i="25"/>
  <c r="CK514" i="25"/>
  <c r="CK521" i="25"/>
  <c r="CK422" i="25"/>
  <c r="CK425" i="25"/>
  <c r="CK427" i="25"/>
  <c r="CK430" i="25"/>
  <c r="CK431" i="25"/>
  <c r="CK467" i="25"/>
  <c r="CK502" i="25"/>
  <c r="CK419" i="25"/>
  <c r="CK471" i="25"/>
  <c r="CK399" i="25"/>
  <c r="CK402" i="25"/>
  <c r="CK532" i="25"/>
  <c r="CK452" i="25"/>
  <c r="CK429" i="25"/>
  <c r="CK506" i="25"/>
  <c r="CK463" i="25"/>
  <c r="CK409" i="25"/>
  <c r="CK460" i="25"/>
  <c r="CK411" i="25"/>
  <c r="CK414" i="25"/>
  <c r="CK504" i="25"/>
  <c r="CK520" i="25"/>
  <c r="CK458" i="25"/>
  <c r="CK525" i="25"/>
  <c r="CK526" i="25"/>
  <c r="CK522" i="25"/>
  <c r="CK477" i="25"/>
  <c r="CK509" i="25"/>
  <c r="CK476" i="25"/>
  <c r="CK507" i="25"/>
  <c r="CL479" i="25"/>
  <c r="CL435" i="25"/>
  <c r="CL481" i="25"/>
  <c r="CL516" i="25"/>
  <c r="CL515" i="25"/>
  <c r="CL505" i="25"/>
  <c r="CL456" i="25"/>
  <c r="CL455" i="25"/>
  <c r="CL487" i="25"/>
  <c r="CL527" i="25"/>
  <c r="CL457" i="25"/>
  <c r="CL512" i="25"/>
  <c r="CL482" i="25"/>
  <c r="CL469" i="25"/>
  <c r="CL438" i="25"/>
  <c r="CL480" i="25"/>
  <c r="CL401" i="25"/>
  <c r="CL434" i="25"/>
  <c r="CL397" i="25"/>
  <c r="CL398" i="25"/>
  <c r="CL400" i="25"/>
  <c r="CL403" i="25"/>
  <c r="CL404" i="25"/>
  <c r="CL405" i="25"/>
  <c r="CL406" i="25"/>
  <c r="CL410" i="25"/>
  <c r="CL417" i="25"/>
  <c r="CL483" i="25"/>
  <c r="CL523" i="25"/>
  <c r="CL530" i="25"/>
  <c r="CL533" i="25"/>
  <c r="CL536" i="25"/>
  <c r="CL535" i="25"/>
  <c r="CL447" i="25"/>
  <c r="CL513" i="25"/>
  <c r="CL514" i="25"/>
  <c r="CL521" i="25"/>
  <c r="CL422" i="25"/>
  <c r="CL425" i="25"/>
  <c r="CL427" i="25"/>
  <c r="CL430" i="25"/>
  <c r="CL431" i="25"/>
  <c r="CL467" i="25"/>
  <c r="CL502" i="25"/>
  <c r="CL419" i="25"/>
  <c r="CL471" i="25"/>
  <c r="CL399" i="25"/>
  <c r="CL402" i="25"/>
  <c r="CL532" i="25"/>
  <c r="CL452" i="25"/>
  <c r="CL429" i="25"/>
  <c r="CL506" i="25"/>
  <c r="CL463" i="25"/>
  <c r="CL409" i="25"/>
  <c r="CL460" i="25"/>
  <c r="CL411" i="25"/>
  <c r="CL414" i="25"/>
  <c r="CL504" i="25"/>
  <c r="CL520" i="25"/>
  <c r="CL458" i="25"/>
  <c r="CL525" i="25"/>
  <c r="CL526" i="25"/>
  <c r="CL522" i="25"/>
  <c r="CL477" i="25"/>
  <c r="CL509" i="25"/>
  <c r="CL476" i="25"/>
  <c r="CL507" i="25"/>
  <c r="CM479" i="25"/>
  <c r="CM435" i="25"/>
  <c r="CM481" i="25"/>
  <c r="CM516" i="25"/>
  <c r="CM515" i="25"/>
  <c r="CM505" i="25"/>
  <c r="CM456" i="25"/>
  <c r="CM455" i="25"/>
  <c r="CM487" i="25"/>
  <c r="CM527" i="25"/>
  <c r="CM457" i="25"/>
  <c r="CM512" i="25"/>
  <c r="CM482" i="25"/>
  <c r="CM469" i="25"/>
  <c r="CM438" i="25"/>
  <c r="CM480" i="25"/>
  <c r="CM401" i="25"/>
  <c r="CM434" i="25"/>
  <c r="CM397" i="25"/>
  <c r="CM398" i="25"/>
  <c r="CM400" i="25"/>
  <c r="CM403" i="25"/>
  <c r="CM404" i="25"/>
  <c r="CM405" i="25"/>
  <c r="CM406" i="25"/>
  <c r="CM410" i="25"/>
  <c r="CM417" i="25"/>
  <c r="CM483" i="25"/>
  <c r="CM523" i="25"/>
  <c r="CM530" i="25"/>
  <c r="CM533" i="25"/>
  <c r="CM536" i="25"/>
  <c r="CM535" i="25"/>
  <c r="CM447" i="25"/>
  <c r="CM513" i="25"/>
  <c r="CM514" i="25"/>
  <c r="CM521" i="25"/>
  <c r="CM422" i="25"/>
  <c r="CM425" i="25"/>
  <c r="CM427" i="25"/>
  <c r="CM430" i="25"/>
  <c r="CM431" i="25"/>
  <c r="CM467" i="25"/>
  <c r="CM502" i="25"/>
  <c r="CM419" i="25"/>
  <c r="CM471" i="25"/>
  <c r="CM399" i="25"/>
  <c r="CM402" i="25"/>
  <c r="CM532" i="25"/>
  <c r="CM452" i="25"/>
  <c r="CM429" i="25"/>
  <c r="CM506" i="25"/>
  <c r="CM463" i="25"/>
  <c r="CM409" i="25"/>
  <c r="CM460" i="25"/>
  <c r="CM411" i="25"/>
  <c r="CM414" i="25"/>
  <c r="CM504" i="25"/>
  <c r="CM520" i="25"/>
  <c r="CM458" i="25"/>
  <c r="CM525" i="25"/>
  <c r="CM526" i="25"/>
  <c r="CM522" i="25"/>
  <c r="CM477" i="25"/>
  <c r="CM509" i="25"/>
  <c r="CM476" i="25"/>
  <c r="CM507" i="25"/>
  <c r="CN479" i="25"/>
  <c r="CN435" i="25"/>
  <c r="CN481" i="25"/>
  <c r="CN516" i="25"/>
  <c r="CN515" i="25"/>
  <c r="CN505" i="25"/>
  <c r="CN456" i="25"/>
  <c r="CN455" i="25"/>
  <c r="CN487" i="25"/>
  <c r="CN527" i="25"/>
  <c r="CN457" i="25"/>
  <c r="CN512" i="25"/>
  <c r="CN482" i="25"/>
  <c r="CN469" i="25"/>
  <c r="CN438" i="25"/>
  <c r="CN480" i="25"/>
  <c r="CN401" i="25"/>
  <c r="CN434" i="25"/>
  <c r="CN397" i="25"/>
  <c r="CN398" i="25"/>
  <c r="CN400" i="25"/>
  <c r="CN403" i="25"/>
  <c r="CN404" i="25"/>
  <c r="CN405" i="25"/>
  <c r="CN406" i="25"/>
  <c r="CN410" i="25"/>
  <c r="CN417" i="25"/>
  <c r="CN483" i="25"/>
  <c r="CN523" i="25"/>
  <c r="CN530" i="25"/>
  <c r="CN533" i="25"/>
  <c r="CN536" i="25"/>
  <c r="CN535" i="25"/>
  <c r="CN447" i="25"/>
  <c r="CN513" i="25"/>
  <c r="CN514" i="25"/>
  <c r="CN521" i="25"/>
  <c r="CN422" i="25"/>
  <c r="CN425" i="25"/>
  <c r="CN427" i="25"/>
  <c r="CN430" i="25"/>
  <c r="CN431" i="25"/>
  <c r="CN467" i="25"/>
  <c r="CN502" i="25"/>
  <c r="CN419" i="25"/>
  <c r="CN471" i="25"/>
  <c r="CN399" i="25"/>
  <c r="CN402" i="25"/>
  <c r="CN532" i="25"/>
  <c r="CN452" i="25"/>
  <c r="CN429" i="25"/>
  <c r="CN506" i="25"/>
  <c r="CN463" i="25"/>
  <c r="CN409" i="25"/>
  <c r="CN460" i="25"/>
  <c r="CN411" i="25"/>
  <c r="CN414" i="25"/>
  <c r="CN504" i="25"/>
  <c r="CN520" i="25"/>
  <c r="CN458" i="25"/>
  <c r="CN525" i="25"/>
  <c r="CN526" i="25"/>
  <c r="CN522" i="25"/>
  <c r="CN477" i="25"/>
  <c r="CN509" i="25"/>
  <c r="CN476" i="25"/>
  <c r="CN507" i="25"/>
  <c r="CS479" i="25"/>
  <c r="CT479" i="25" s="1"/>
  <c r="CS435" i="25"/>
  <c r="CT435" i="25" s="1"/>
  <c r="CS481" i="25"/>
  <c r="CS516" i="25"/>
  <c r="CT516" i="25" s="1"/>
  <c r="CS515" i="25"/>
  <c r="CT515" i="25" s="1"/>
  <c r="CS505" i="25"/>
  <c r="CS456" i="25"/>
  <c r="CT456" i="25" s="1"/>
  <c r="CS455" i="25"/>
  <c r="CT455" i="25" s="1"/>
  <c r="CS487" i="25"/>
  <c r="CT487" i="25" s="1"/>
  <c r="CS527" i="25"/>
  <c r="CT527" i="25" s="1"/>
  <c r="CS457" i="25"/>
  <c r="CS512" i="25"/>
  <c r="CT512" i="25" s="1"/>
  <c r="CS482" i="25"/>
  <c r="CT482" i="25" s="1"/>
  <c r="CS469" i="25"/>
  <c r="CT469" i="25" s="1"/>
  <c r="CS438" i="25"/>
  <c r="CT438" i="25" s="1"/>
  <c r="CS480" i="25"/>
  <c r="CT480" i="25" s="1"/>
  <c r="CS401" i="25"/>
  <c r="CT401" i="25" s="1"/>
  <c r="CS434" i="25"/>
  <c r="CT434" i="25" s="1"/>
  <c r="CS397" i="25"/>
  <c r="CS398" i="25"/>
  <c r="CT398" i="25" s="1"/>
  <c r="CS400" i="25"/>
  <c r="CT400" i="25" s="1"/>
  <c r="CS403" i="25"/>
  <c r="CS404" i="25"/>
  <c r="CT404" i="25" s="1"/>
  <c r="CS405" i="25"/>
  <c r="CT405" i="25" s="1"/>
  <c r="CS406" i="25"/>
  <c r="CT406" i="25" s="1"/>
  <c r="CS410" i="25"/>
  <c r="CT410" i="25" s="1"/>
  <c r="CS417" i="25"/>
  <c r="CS483" i="25"/>
  <c r="CT483" i="25" s="1"/>
  <c r="CS523" i="25"/>
  <c r="CT523" i="25" s="1"/>
  <c r="CS530" i="25"/>
  <c r="CT530" i="25" s="1"/>
  <c r="CS533" i="25"/>
  <c r="CT533" i="25" s="1"/>
  <c r="CS536" i="25"/>
  <c r="CT536" i="25" s="1"/>
  <c r="CS535" i="25"/>
  <c r="CT535" i="25" s="1"/>
  <c r="CS447" i="25"/>
  <c r="CT447" i="25" s="1"/>
  <c r="CS513" i="25"/>
  <c r="CS514" i="25"/>
  <c r="CT514" i="25" s="1"/>
  <c r="CS521" i="25"/>
  <c r="CT521" i="25" s="1"/>
  <c r="CS422" i="25"/>
  <c r="CT422" i="25" s="1"/>
  <c r="CS425" i="25"/>
  <c r="CT425" i="25" s="1"/>
  <c r="CS427" i="25"/>
  <c r="CT427" i="25" s="1"/>
  <c r="CS430" i="25"/>
  <c r="CT430" i="25" s="1"/>
  <c r="CS431" i="25"/>
  <c r="CT431" i="25" s="1"/>
  <c r="CS467" i="25"/>
  <c r="CS502" i="25"/>
  <c r="CT502" i="25" s="1"/>
  <c r="CS419" i="25"/>
  <c r="CT419" i="25" s="1"/>
  <c r="CS471" i="25"/>
  <c r="CS399" i="25"/>
  <c r="CT399" i="25" s="1"/>
  <c r="CS402" i="25"/>
  <c r="CT402" i="25" s="1"/>
  <c r="CS532" i="25"/>
  <c r="CT532" i="25" s="1"/>
  <c r="CS452" i="25"/>
  <c r="CT452" i="25" s="1"/>
  <c r="CS429" i="25"/>
  <c r="CS506" i="25"/>
  <c r="CT506" i="25" s="1"/>
  <c r="CS463" i="25"/>
  <c r="CT463" i="25" s="1"/>
  <c r="CS409" i="25"/>
  <c r="CT409" i="25" s="1"/>
  <c r="CS460" i="25"/>
  <c r="CT460" i="25" s="1"/>
  <c r="CS411" i="25"/>
  <c r="CT411" i="25" s="1"/>
  <c r="CS414" i="25"/>
  <c r="CT414" i="25" s="1"/>
  <c r="CS504" i="25"/>
  <c r="CT504" i="25" s="1"/>
  <c r="CS520" i="25"/>
  <c r="CS458" i="25"/>
  <c r="CT458" i="25" s="1"/>
  <c r="CS525" i="25"/>
  <c r="CT525" i="25" s="1"/>
  <c r="CS526" i="25"/>
  <c r="CT526" i="25" s="1"/>
  <c r="CS522" i="25"/>
  <c r="CT522" i="25" s="1"/>
  <c r="CS477" i="25"/>
  <c r="CT477" i="25" s="1"/>
  <c r="CS509" i="25"/>
  <c r="CT509" i="25" s="1"/>
  <c r="CS476" i="25"/>
  <c r="CT476" i="25" s="1"/>
  <c r="CS507" i="25"/>
  <c r="DA479" i="25"/>
  <c r="DA435" i="25"/>
  <c r="DA481" i="25"/>
  <c r="DA516" i="25"/>
  <c r="DA515" i="25"/>
  <c r="DA505" i="25"/>
  <c r="DA456" i="25"/>
  <c r="DA455" i="25"/>
  <c r="DA487" i="25"/>
  <c r="DA527" i="25"/>
  <c r="DA457" i="25"/>
  <c r="DA512" i="25"/>
  <c r="DA482" i="25"/>
  <c r="DA469" i="25"/>
  <c r="DA438" i="25"/>
  <c r="DA480" i="25"/>
  <c r="DA401" i="25"/>
  <c r="DA434" i="25"/>
  <c r="DA397" i="25"/>
  <c r="DA398" i="25"/>
  <c r="DA400" i="25"/>
  <c r="DA403" i="25"/>
  <c r="DA404" i="25"/>
  <c r="DA405" i="25"/>
  <c r="DA406" i="25"/>
  <c r="DA410" i="25"/>
  <c r="DA417" i="25"/>
  <c r="DA483" i="25"/>
  <c r="DA523" i="25"/>
  <c r="DA530" i="25"/>
  <c r="DA533" i="25"/>
  <c r="DA536" i="25"/>
  <c r="DA535" i="25"/>
  <c r="DA447" i="25"/>
  <c r="DA513" i="25"/>
  <c r="DA514" i="25"/>
  <c r="DA521" i="25"/>
  <c r="DA422" i="25"/>
  <c r="DA425" i="25"/>
  <c r="DA427" i="25"/>
  <c r="DA430" i="25"/>
  <c r="DA431" i="25"/>
  <c r="DA467" i="25"/>
  <c r="DA502" i="25"/>
  <c r="DA419" i="25"/>
  <c r="DA471" i="25"/>
  <c r="DA399" i="25"/>
  <c r="DA402" i="25"/>
  <c r="DA532" i="25"/>
  <c r="DA452" i="25"/>
  <c r="DA429" i="25"/>
  <c r="DA506" i="25"/>
  <c r="DA463" i="25"/>
  <c r="DA409" i="25"/>
  <c r="DA460" i="25"/>
  <c r="DA411" i="25"/>
  <c r="DA414" i="25"/>
  <c r="DA504" i="25"/>
  <c r="DA520" i="25"/>
  <c r="DA458" i="25"/>
  <c r="DA525" i="25"/>
  <c r="DA526" i="25"/>
  <c r="DA522" i="25"/>
  <c r="DA477" i="25"/>
  <c r="DA509" i="25"/>
  <c r="DA476" i="25"/>
  <c r="DA507" i="25"/>
  <c r="DB479" i="25"/>
  <c r="DB435" i="25"/>
  <c r="DB481" i="25"/>
  <c r="DB516" i="25"/>
  <c r="DB515" i="25"/>
  <c r="DB505" i="25"/>
  <c r="DB456" i="25"/>
  <c r="DB455" i="25"/>
  <c r="DB487" i="25"/>
  <c r="DB527" i="25"/>
  <c r="DB457" i="25"/>
  <c r="DB512" i="25"/>
  <c r="DB482" i="25"/>
  <c r="DB469" i="25"/>
  <c r="DB438" i="25"/>
  <c r="DB480" i="25"/>
  <c r="DB401" i="25"/>
  <c r="DB434" i="25"/>
  <c r="DB397" i="25"/>
  <c r="DB398" i="25"/>
  <c r="DB400" i="25"/>
  <c r="DB403" i="25"/>
  <c r="DB404" i="25"/>
  <c r="DB405" i="25"/>
  <c r="DB406" i="25"/>
  <c r="DB410" i="25"/>
  <c r="DB417" i="25"/>
  <c r="DB483" i="25"/>
  <c r="DB523" i="25"/>
  <c r="DB530" i="25"/>
  <c r="DB533" i="25"/>
  <c r="DB536" i="25"/>
  <c r="DB535" i="25"/>
  <c r="DB447" i="25"/>
  <c r="DB513" i="25"/>
  <c r="DB514" i="25"/>
  <c r="DB521" i="25"/>
  <c r="DB422" i="25"/>
  <c r="DB425" i="25"/>
  <c r="DB427" i="25"/>
  <c r="DB430" i="25"/>
  <c r="DB431" i="25"/>
  <c r="DB467" i="25"/>
  <c r="DB502" i="25"/>
  <c r="DB419" i="25"/>
  <c r="DB471" i="25"/>
  <c r="DB399" i="25"/>
  <c r="DB402" i="25"/>
  <c r="DB532" i="25"/>
  <c r="DB452" i="25"/>
  <c r="DB429" i="25"/>
  <c r="DB506" i="25"/>
  <c r="DB463" i="25"/>
  <c r="DB409" i="25"/>
  <c r="DB460" i="25"/>
  <c r="DB411" i="25"/>
  <c r="DB414" i="25"/>
  <c r="DB504" i="25"/>
  <c r="DB520" i="25"/>
  <c r="DB458" i="25"/>
  <c r="DB525" i="25"/>
  <c r="DB526" i="25"/>
  <c r="DB522" i="25"/>
  <c r="DB477" i="25"/>
  <c r="DB509" i="25"/>
  <c r="DB476" i="25"/>
  <c r="DB507" i="25"/>
  <c r="DF479" i="25"/>
  <c r="DF435" i="25"/>
  <c r="DF481" i="25"/>
  <c r="DF516" i="25"/>
  <c r="DF515" i="25"/>
  <c r="DF505" i="25"/>
  <c r="DF456" i="25"/>
  <c r="DF455" i="25"/>
  <c r="DF487" i="25"/>
  <c r="DF527" i="25"/>
  <c r="DF457" i="25"/>
  <c r="DF512" i="25"/>
  <c r="DF482" i="25"/>
  <c r="DF469" i="25"/>
  <c r="DF438" i="25"/>
  <c r="DF480" i="25"/>
  <c r="DF401" i="25"/>
  <c r="DF434" i="25"/>
  <c r="DF397" i="25"/>
  <c r="DF398" i="25"/>
  <c r="DF400" i="25"/>
  <c r="DF403" i="25"/>
  <c r="DF404" i="25"/>
  <c r="DF405" i="25"/>
  <c r="DF406" i="25"/>
  <c r="DF410" i="25"/>
  <c r="DF417" i="25"/>
  <c r="DF483" i="25"/>
  <c r="DF523" i="25"/>
  <c r="DF530" i="25"/>
  <c r="DF533" i="25"/>
  <c r="DF536" i="25"/>
  <c r="DF535" i="25"/>
  <c r="DF447" i="25"/>
  <c r="DF513" i="25"/>
  <c r="DF514" i="25"/>
  <c r="DF521" i="25"/>
  <c r="DF422" i="25"/>
  <c r="DF425" i="25"/>
  <c r="DF427" i="25"/>
  <c r="DF430" i="25"/>
  <c r="DF431" i="25"/>
  <c r="DF467" i="25"/>
  <c r="DF502" i="25"/>
  <c r="DF419" i="25"/>
  <c r="DF471" i="25"/>
  <c r="DF399" i="25"/>
  <c r="DF402" i="25"/>
  <c r="DF532" i="25"/>
  <c r="DF452" i="25"/>
  <c r="DF429" i="25"/>
  <c r="DF506" i="25"/>
  <c r="DF463" i="25"/>
  <c r="DF409" i="25"/>
  <c r="DF460" i="25"/>
  <c r="DF411" i="25"/>
  <c r="DF414" i="25"/>
  <c r="DF504" i="25"/>
  <c r="DF520" i="25"/>
  <c r="DF458" i="25"/>
  <c r="DF525" i="25"/>
  <c r="DF526" i="25"/>
  <c r="DF522" i="25"/>
  <c r="DF477" i="25"/>
  <c r="DF509" i="25"/>
  <c r="DF476" i="25"/>
  <c r="DF507" i="25"/>
  <c r="DG479" i="25"/>
  <c r="DG435" i="25"/>
  <c r="DG481" i="25"/>
  <c r="DG516" i="25"/>
  <c r="DG515" i="25"/>
  <c r="DG505" i="25"/>
  <c r="DG456" i="25"/>
  <c r="DG455" i="25"/>
  <c r="DG487" i="25"/>
  <c r="DG527" i="25"/>
  <c r="DG457" i="25"/>
  <c r="DG512" i="25"/>
  <c r="DG482" i="25"/>
  <c r="DG469" i="25"/>
  <c r="DG438" i="25"/>
  <c r="DG480" i="25"/>
  <c r="DG401" i="25"/>
  <c r="DG434" i="25"/>
  <c r="DG397" i="25"/>
  <c r="DG398" i="25"/>
  <c r="DG400" i="25"/>
  <c r="DG403" i="25"/>
  <c r="DG404" i="25"/>
  <c r="DG405" i="25"/>
  <c r="DG406" i="25"/>
  <c r="DG410" i="25"/>
  <c r="DG417" i="25"/>
  <c r="DG483" i="25"/>
  <c r="DG523" i="25"/>
  <c r="DG530" i="25"/>
  <c r="DG533" i="25"/>
  <c r="DG536" i="25"/>
  <c r="DG535" i="25"/>
  <c r="DG447" i="25"/>
  <c r="DG513" i="25"/>
  <c r="DG514" i="25"/>
  <c r="DG521" i="25"/>
  <c r="DG422" i="25"/>
  <c r="DG425" i="25"/>
  <c r="DG427" i="25"/>
  <c r="DG430" i="25"/>
  <c r="DG431" i="25"/>
  <c r="DG467" i="25"/>
  <c r="DG502" i="25"/>
  <c r="DG419" i="25"/>
  <c r="DG471" i="25"/>
  <c r="DG399" i="25"/>
  <c r="DG402" i="25"/>
  <c r="DG532" i="25"/>
  <c r="DG452" i="25"/>
  <c r="DG429" i="25"/>
  <c r="DG506" i="25"/>
  <c r="DG463" i="25"/>
  <c r="DG409" i="25"/>
  <c r="DG460" i="25"/>
  <c r="DG411" i="25"/>
  <c r="DG414" i="25"/>
  <c r="DG504" i="25"/>
  <c r="DG520" i="25"/>
  <c r="DG458" i="25"/>
  <c r="DG525" i="25"/>
  <c r="DG526" i="25"/>
  <c r="DG522" i="25"/>
  <c r="DG477" i="25"/>
  <c r="DG509" i="25"/>
  <c r="DG476" i="25"/>
  <c r="DG507" i="25"/>
  <c r="DK479" i="25"/>
  <c r="DK435" i="25"/>
  <c r="DK481" i="25"/>
  <c r="DK516" i="25"/>
  <c r="DK515" i="25"/>
  <c r="DK505" i="25"/>
  <c r="DK456" i="25"/>
  <c r="DK455" i="25"/>
  <c r="DK487" i="25"/>
  <c r="DK527" i="25"/>
  <c r="DK457" i="25"/>
  <c r="DK512" i="25"/>
  <c r="DK482" i="25"/>
  <c r="DK469" i="25"/>
  <c r="DK438" i="25"/>
  <c r="DK480" i="25"/>
  <c r="DK401" i="25"/>
  <c r="DK434" i="25"/>
  <c r="DK397" i="25"/>
  <c r="DK398" i="25"/>
  <c r="DK400" i="25"/>
  <c r="DK403" i="25"/>
  <c r="DK404" i="25"/>
  <c r="DK405" i="25"/>
  <c r="DK406" i="25"/>
  <c r="DK410" i="25"/>
  <c r="DK417" i="25"/>
  <c r="DK483" i="25"/>
  <c r="DK523" i="25"/>
  <c r="DK530" i="25"/>
  <c r="DK533" i="25"/>
  <c r="DK536" i="25"/>
  <c r="DK535" i="25"/>
  <c r="DK447" i="25"/>
  <c r="DK513" i="25"/>
  <c r="DK514" i="25"/>
  <c r="DK521" i="25"/>
  <c r="DK422" i="25"/>
  <c r="DK425" i="25"/>
  <c r="DK427" i="25"/>
  <c r="DK430" i="25"/>
  <c r="DK431" i="25"/>
  <c r="DK467" i="25"/>
  <c r="DK502" i="25"/>
  <c r="DK419" i="25"/>
  <c r="DK471" i="25"/>
  <c r="DK399" i="25"/>
  <c r="DK402" i="25"/>
  <c r="DK532" i="25"/>
  <c r="DK452" i="25"/>
  <c r="DK429" i="25"/>
  <c r="DK506" i="25"/>
  <c r="DK463" i="25"/>
  <c r="DK409" i="25"/>
  <c r="DK460" i="25"/>
  <c r="DK411" i="25"/>
  <c r="DK414" i="25"/>
  <c r="DK504" i="25"/>
  <c r="DK520" i="25"/>
  <c r="DK458" i="25"/>
  <c r="DK525" i="25"/>
  <c r="DK526" i="25"/>
  <c r="DK522" i="25"/>
  <c r="DK477" i="25"/>
  <c r="DK509" i="25"/>
  <c r="DK476" i="25"/>
  <c r="DK507" i="25"/>
  <c r="DL479" i="25"/>
  <c r="DS479" i="25" s="1"/>
  <c r="DL435" i="25"/>
  <c r="DS435" i="25" s="1"/>
  <c r="DL481" i="25"/>
  <c r="DS481" i="25" s="1"/>
  <c r="DL516" i="25"/>
  <c r="DS516" i="25" s="1"/>
  <c r="DL515" i="25"/>
  <c r="DS515" i="25" s="1"/>
  <c r="DL505" i="25"/>
  <c r="DS505" i="25" s="1"/>
  <c r="DL456" i="25"/>
  <c r="DS456" i="25" s="1"/>
  <c r="DL455" i="25"/>
  <c r="DS455" i="25" s="1"/>
  <c r="DL487" i="25"/>
  <c r="DS487" i="25" s="1"/>
  <c r="DL527" i="25"/>
  <c r="DS527" i="25" s="1"/>
  <c r="DL457" i="25"/>
  <c r="DS457" i="25" s="1"/>
  <c r="DL512" i="25"/>
  <c r="DL482" i="25"/>
  <c r="DL469" i="25"/>
  <c r="DS469" i="25" s="1"/>
  <c r="DL438" i="25"/>
  <c r="DS438" i="25" s="1"/>
  <c r="DL480" i="25"/>
  <c r="DS480" i="25" s="1"/>
  <c r="DL401" i="25"/>
  <c r="DS401" i="25" s="1"/>
  <c r="DL434" i="25"/>
  <c r="DS434" i="25" s="1"/>
  <c r="DL397" i="25"/>
  <c r="DS397" i="25" s="1"/>
  <c r="DL398" i="25"/>
  <c r="DS398" i="25" s="1"/>
  <c r="DL400" i="25"/>
  <c r="DL403" i="25"/>
  <c r="DL404" i="25"/>
  <c r="DS404" i="25" s="1"/>
  <c r="DL405" i="25"/>
  <c r="DS405" i="25" s="1"/>
  <c r="DL406" i="25"/>
  <c r="DS406" i="25" s="1"/>
  <c r="DL410" i="25"/>
  <c r="DS410" i="25" s="1"/>
  <c r="DL417" i="25"/>
  <c r="DS417" i="25" s="1"/>
  <c r="DL483" i="25"/>
  <c r="DS483" i="25" s="1"/>
  <c r="DL523" i="25"/>
  <c r="DS523" i="25" s="1"/>
  <c r="DL530" i="25"/>
  <c r="DL533" i="25"/>
  <c r="DS533" i="25" s="1"/>
  <c r="DL536" i="25"/>
  <c r="DS536" i="25" s="1"/>
  <c r="DL535" i="25"/>
  <c r="DS535" i="25" s="1"/>
  <c r="DL447" i="25"/>
  <c r="DS447" i="25" s="1"/>
  <c r="DL513" i="25"/>
  <c r="DS513" i="25" s="1"/>
  <c r="DL514" i="25"/>
  <c r="DL521" i="25"/>
  <c r="DS521" i="25" s="1"/>
  <c r="DL422" i="25"/>
  <c r="DS422" i="25" s="1"/>
  <c r="DL425" i="25"/>
  <c r="DS425" i="25" s="1"/>
  <c r="DL427" i="25"/>
  <c r="DS427" i="25" s="1"/>
  <c r="DL430" i="25"/>
  <c r="DS430" i="25" s="1"/>
  <c r="DL431" i="25"/>
  <c r="DL467" i="25"/>
  <c r="DS467" i="25" s="1"/>
  <c r="DL502" i="25"/>
  <c r="DS502" i="25" s="1"/>
  <c r="DL419" i="25"/>
  <c r="DS419" i="25" s="1"/>
  <c r="DL471" i="25"/>
  <c r="DS471" i="25" s="1"/>
  <c r="DL399" i="25"/>
  <c r="DS399" i="25" s="1"/>
  <c r="DL402" i="25"/>
  <c r="DS402" i="25" s="1"/>
  <c r="DL532" i="25"/>
  <c r="DS532" i="25" s="1"/>
  <c r="DL452" i="25"/>
  <c r="DS452" i="25" s="1"/>
  <c r="DL429" i="25"/>
  <c r="DS429" i="25" s="1"/>
  <c r="DL506" i="25"/>
  <c r="DS506" i="25" s="1"/>
  <c r="DL463" i="25"/>
  <c r="DL409" i="25"/>
  <c r="DL460" i="25"/>
  <c r="DS460" i="25" s="1"/>
  <c r="DL411" i="25"/>
  <c r="DS411" i="25" s="1"/>
  <c r="DL414" i="25"/>
  <c r="DS414" i="25" s="1"/>
  <c r="DL504" i="25"/>
  <c r="DS504" i="25" s="1"/>
  <c r="DL520" i="25"/>
  <c r="DS520" i="25" s="1"/>
  <c r="DL458" i="25"/>
  <c r="DS458" i="25" s="1"/>
  <c r="DL525" i="25"/>
  <c r="DL526" i="25"/>
  <c r="DL522" i="25"/>
  <c r="DS522" i="25" s="1"/>
  <c r="DL477" i="25"/>
  <c r="DS477" i="25" s="1"/>
  <c r="DL509" i="25"/>
  <c r="DS509" i="25" s="1"/>
  <c r="DL476" i="25"/>
  <c r="DS476" i="25" s="1"/>
  <c r="DL507" i="25"/>
  <c r="DS507" i="25" s="1"/>
  <c r="DM479" i="25"/>
  <c r="DM435" i="25"/>
  <c r="DM481" i="25"/>
  <c r="DM516" i="25"/>
  <c r="DM515" i="25"/>
  <c r="DM505" i="25"/>
  <c r="DM456" i="25"/>
  <c r="DM455" i="25"/>
  <c r="DM487" i="25"/>
  <c r="DM527" i="25"/>
  <c r="DM457" i="25"/>
  <c r="DM512" i="25"/>
  <c r="DM482" i="25"/>
  <c r="DM469" i="25"/>
  <c r="DM438" i="25"/>
  <c r="DM480" i="25"/>
  <c r="DM401" i="25"/>
  <c r="DM434" i="25"/>
  <c r="DM397" i="25"/>
  <c r="DM398" i="25"/>
  <c r="DM400" i="25"/>
  <c r="DM403" i="25"/>
  <c r="DM404" i="25"/>
  <c r="DM405" i="25"/>
  <c r="DM406" i="25"/>
  <c r="DM410" i="25"/>
  <c r="DM417" i="25"/>
  <c r="DM483" i="25"/>
  <c r="DM523" i="25"/>
  <c r="DM530" i="25"/>
  <c r="DM533" i="25"/>
  <c r="DM536" i="25"/>
  <c r="DM535" i="25"/>
  <c r="DM447" i="25"/>
  <c r="DM513" i="25"/>
  <c r="DM514" i="25"/>
  <c r="DM521" i="25"/>
  <c r="DM422" i="25"/>
  <c r="DM425" i="25"/>
  <c r="DM427" i="25"/>
  <c r="DM430" i="25"/>
  <c r="DM431" i="25"/>
  <c r="DM467" i="25"/>
  <c r="DM502" i="25"/>
  <c r="DM419" i="25"/>
  <c r="DM471" i="25"/>
  <c r="DM399" i="25"/>
  <c r="DM402" i="25"/>
  <c r="DM532" i="25"/>
  <c r="DM452" i="25"/>
  <c r="DM429" i="25"/>
  <c r="DM506" i="25"/>
  <c r="DM463" i="25"/>
  <c r="DM409" i="25"/>
  <c r="DM460" i="25"/>
  <c r="DM411" i="25"/>
  <c r="DM414" i="25"/>
  <c r="DM504" i="25"/>
  <c r="DM520" i="25"/>
  <c r="DM458" i="25"/>
  <c r="DM525" i="25"/>
  <c r="DM526" i="25"/>
  <c r="DM522" i="25"/>
  <c r="DM477" i="25"/>
  <c r="DM509" i="25"/>
  <c r="DM476" i="25"/>
  <c r="DM507" i="25"/>
  <c r="DN479" i="25"/>
  <c r="DN435" i="25"/>
  <c r="DN481" i="25"/>
  <c r="DN516" i="25"/>
  <c r="DN515" i="25"/>
  <c r="DN505" i="25"/>
  <c r="DN456" i="25"/>
  <c r="DN455" i="25"/>
  <c r="DN487" i="25"/>
  <c r="DN527" i="25"/>
  <c r="DN457" i="25"/>
  <c r="DN512" i="25"/>
  <c r="DN482" i="25"/>
  <c r="DN469" i="25"/>
  <c r="DN438" i="25"/>
  <c r="DN480" i="25"/>
  <c r="DN401" i="25"/>
  <c r="DN434" i="25"/>
  <c r="DN397" i="25"/>
  <c r="DN398" i="25"/>
  <c r="DN400" i="25"/>
  <c r="DN403" i="25"/>
  <c r="DN404" i="25"/>
  <c r="DN405" i="25"/>
  <c r="DN406" i="25"/>
  <c r="DN410" i="25"/>
  <c r="DN417" i="25"/>
  <c r="DN483" i="25"/>
  <c r="DN523" i="25"/>
  <c r="DN530" i="25"/>
  <c r="DN533" i="25"/>
  <c r="DN536" i="25"/>
  <c r="DN535" i="25"/>
  <c r="DN447" i="25"/>
  <c r="DN513" i="25"/>
  <c r="DN514" i="25"/>
  <c r="DN521" i="25"/>
  <c r="DN422" i="25"/>
  <c r="DN425" i="25"/>
  <c r="DN427" i="25"/>
  <c r="DN430" i="25"/>
  <c r="DN431" i="25"/>
  <c r="DN467" i="25"/>
  <c r="DN502" i="25"/>
  <c r="DN419" i="25"/>
  <c r="DN471" i="25"/>
  <c r="DN399" i="25"/>
  <c r="DN402" i="25"/>
  <c r="DN532" i="25"/>
  <c r="DN452" i="25"/>
  <c r="DN429" i="25"/>
  <c r="DN506" i="25"/>
  <c r="DN463" i="25"/>
  <c r="DN409" i="25"/>
  <c r="DN460" i="25"/>
  <c r="DN411" i="25"/>
  <c r="DN414" i="25"/>
  <c r="DN504" i="25"/>
  <c r="DN520" i="25"/>
  <c r="DN458" i="25"/>
  <c r="DN525" i="25"/>
  <c r="DN526" i="25"/>
  <c r="DN522" i="25"/>
  <c r="DN477" i="25"/>
  <c r="DN509" i="25"/>
  <c r="DN476" i="25"/>
  <c r="DN507" i="25"/>
  <c r="DS431" i="25"/>
  <c r="DU479" i="25"/>
  <c r="DU435" i="25"/>
  <c r="DU481" i="25"/>
  <c r="DU516" i="25"/>
  <c r="DU515" i="25"/>
  <c r="DU505" i="25"/>
  <c r="DU456" i="25"/>
  <c r="DU455" i="25"/>
  <c r="DU487" i="25"/>
  <c r="DU527" i="25"/>
  <c r="DU457" i="25"/>
  <c r="DU512" i="25"/>
  <c r="DU482" i="25"/>
  <c r="DU469" i="25"/>
  <c r="DU438" i="25"/>
  <c r="DU480" i="25"/>
  <c r="DU401" i="25"/>
  <c r="DU434" i="25"/>
  <c r="DU397" i="25"/>
  <c r="DU398" i="25"/>
  <c r="DU400" i="25"/>
  <c r="DU403" i="25"/>
  <c r="DU404" i="25"/>
  <c r="DU405" i="25"/>
  <c r="DU406" i="25"/>
  <c r="DU410" i="25"/>
  <c r="DU417" i="25"/>
  <c r="DU483" i="25"/>
  <c r="DU523" i="25"/>
  <c r="DU530" i="25"/>
  <c r="DU533" i="25"/>
  <c r="DU536" i="25"/>
  <c r="DU535" i="25"/>
  <c r="DU447" i="25"/>
  <c r="DU513" i="25"/>
  <c r="DU514" i="25"/>
  <c r="DU521" i="25"/>
  <c r="DU422" i="25"/>
  <c r="DU425" i="25"/>
  <c r="DU427" i="25"/>
  <c r="DU430" i="25"/>
  <c r="DU431" i="25"/>
  <c r="DU467" i="25"/>
  <c r="DU502" i="25"/>
  <c r="DU419" i="25"/>
  <c r="DU471" i="25"/>
  <c r="DU399" i="25"/>
  <c r="DU402" i="25"/>
  <c r="DU532" i="25"/>
  <c r="DU452" i="25"/>
  <c r="DU429" i="25"/>
  <c r="DU506" i="25"/>
  <c r="DU463" i="25"/>
  <c r="DU409" i="25"/>
  <c r="DU460" i="25"/>
  <c r="DU411" i="25"/>
  <c r="DU414" i="25"/>
  <c r="DU504" i="25"/>
  <c r="DU520" i="25"/>
  <c r="DU458" i="25"/>
  <c r="DU525" i="25"/>
  <c r="DU526" i="25"/>
  <c r="DU522" i="25"/>
  <c r="DU477" i="25"/>
  <c r="DU509" i="25"/>
  <c r="DU476" i="25"/>
  <c r="DU507" i="25"/>
  <c r="DV479" i="25"/>
  <c r="DV435" i="25"/>
  <c r="DW435" i="25" s="1"/>
  <c r="DV481" i="25"/>
  <c r="DW481" i="25" s="1"/>
  <c r="DV516" i="25"/>
  <c r="DW516" i="25" s="1"/>
  <c r="DV515" i="25"/>
  <c r="DW515" i="25" s="1"/>
  <c r="DV505" i="25"/>
  <c r="DW505" i="25" s="1"/>
  <c r="DV456" i="25"/>
  <c r="DW456" i="25" s="1"/>
  <c r="DV455" i="25"/>
  <c r="DY455" i="25" s="1"/>
  <c r="DV487" i="25"/>
  <c r="DY487" i="25" s="1"/>
  <c r="DV527" i="25"/>
  <c r="DW527" i="25" s="1"/>
  <c r="DV457" i="25"/>
  <c r="DW457" i="25" s="1"/>
  <c r="DV512" i="25"/>
  <c r="DW512" i="25" s="1"/>
  <c r="DV482" i="25"/>
  <c r="DY482" i="25" s="1"/>
  <c r="DV469" i="25"/>
  <c r="DW469" i="25" s="1"/>
  <c r="DV438" i="25"/>
  <c r="DY438" i="25" s="1"/>
  <c r="DV480" i="25"/>
  <c r="DW480" i="25" s="1"/>
  <c r="DV401" i="25"/>
  <c r="DY401" i="25" s="1"/>
  <c r="DV434" i="25"/>
  <c r="DY434" i="25" s="1"/>
  <c r="DV397" i="25"/>
  <c r="DW397" i="25" s="1"/>
  <c r="DV398" i="25"/>
  <c r="DW398" i="25" s="1"/>
  <c r="DV400" i="25"/>
  <c r="DW400" i="25" s="1"/>
  <c r="DV403" i="25"/>
  <c r="DW403" i="25" s="1"/>
  <c r="DV404" i="25"/>
  <c r="DY404" i="25" s="1"/>
  <c r="DV405" i="25"/>
  <c r="DY405" i="25" s="1"/>
  <c r="DV406" i="25"/>
  <c r="DW406" i="25" s="1"/>
  <c r="DV410" i="25"/>
  <c r="DW410" i="25" s="1"/>
  <c r="DV417" i="25"/>
  <c r="DW417" i="25" s="1"/>
  <c r="DV483" i="25"/>
  <c r="DW483" i="25" s="1"/>
  <c r="DV523" i="25"/>
  <c r="DW523" i="25" s="1"/>
  <c r="DV530" i="25"/>
  <c r="DY530" i="25" s="1"/>
  <c r="DV533" i="25"/>
  <c r="DW533" i="25" s="1"/>
  <c r="DV536" i="25"/>
  <c r="DV535" i="25"/>
  <c r="DW535" i="25" s="1"/>
  <c r="DV447" i="25"/>
  <c r="DW447" i="25" s="1"/>
  <c r="DV513" i="25"/>
  <c r="DW513" i="25" s="1"/>
  <c r="DV514" i="25"/>
  <c r="DW514" i="25" s="1"/>
  <c r="DV521" i="25"/>
  <c r="DW521" i="25" s="1"/>
  <c r="DV422" i="25"/>
  <c r="DW422" i="25" s="1"/>
  <c r="DV425" i="25"/>
  <c r="DW425" i="25" s="1"/>
  <c r="DV427" i="25"/>
  <c r="DW427" i="25" s="1"/>
  <c r="DV430" i="25"/>
  <c r="DV431" i="25"/>
  <c r="DW431" i="25" s="1"/>
  <c r="DV467" i="25"/>
  <c r="DW467" i="25" s="1"/>
  <c r="DV502" i="25"/>
  <c r="DW502" i="25" s="1"/>
  <c r="DV419" i="25"/>
  <c r="DY419" i="25" s="1"/>
  <c r="DV471" i="25"/>
  <c r="DW471" i="25" s="1"/>
  <c r="DV399" i="25"/>
  <c r="DY399" i="25" s="1"/>
  <c r="DV402" i="25"/>
  <c r="DY402" i="25" s="1"/>
  <c r="DV532" i="25"/>
  <c r="DW532" i="25" s="1"/>
  <c r="DV452" i="25"/>
  <c r="DY452" i="25" s="1"/>
  <c r="DV429" i="25"/>
  <c r="DW429" i="25" s="1"/>
  <c r="DV506" i="25"/>
  <c r="DW506" i="25" s="1"/>
  <c r="DV463" i="25"/>
  <c r="DY463" i="25" s="1"/>
  <c r="DV409" i="25"/>
  <c r="DY409" i="25" s="1"/>
  <c r="DV460" i="25"/>
  <c r="DW460" i="25" s="1"/>
  <c r="DV411" i="25"/>
  <c r="DW411" i="25" s="1"/>
  <c r="DV414" i="25"/>
  <c r="DW414" i="25" s="1"/>
  <c r="DV504" i="25"/>
  <c r="DW504" i="25" s="1"/>
  <c r="DV520" i="25"/>
  <c r="DW520" i="25" s="1"/>
  <c r="DV458" i="25"/>
  <c r="DW458" i="25" s="1"/>
  <c r="DV525" i="25"/>
  <c r="DW525" i="25" s="1"/>
  <c r="DV526" i="25"/>
  <c r="DV522" i="25"/>
  <c r="DW522" i="25" s="1"/>
  <c r="DV477" i="25"/>
  <c r="DW477" i="25" s="1"/>
  <c r="DV509" i="25"/>
  <c r="DW509" i="25" s="1"/>
  <c r="DV476" i="25"/>
  <c r="DY476" i="25" s="1"/>
  <c r="DV507" i="25"/>
  <c r="DW507" i="25" s="1"/>
  <c r="DX479" i="25"/>
  <c r="DX435" i="25"/>
  <c r="DX481" i="25"/>
  <c r="DX516" i="25"/>
  <c r="DX515" i="25"/>
  <c r="DX505" i="25"/>
  <c r="DX456" i="25"/>
  <c r="DX455" i="25"/>
  <c r="DX487" i="25"/>
  <c r="DX527" i="25"/>
  <c r="DX457" i="25"/>
  <c r="DX512" i="25"/>
  <c r="DX482" i="25"/>
  <c r="DX469" i="25"/>
  <c r="DX438" i="25"/>
  <c r="DX480" i="25"/>
  <c r="DX401" i="25"/>
  <c r="DX434" i="25"/>
  <c r="DX397" i="25"/>
  <c r="DX398" i="25"/>
  <c r="DX400" i="25"/>
  <c r="DX403" i="25"/>
  <c r="DX404" i="25"/>
  <c r="DX405" i="25"/>
  <c r="DX406" i="25"/>
  <c r="DX410" i="25"/>
  <c r="DX417" i="25"/>
  <c r="DX483" i="25"/>
  <c r="DX523" i="25"/>
  <c r="DX530" i="25"/>
  <c r="DX533" i="25"/>
  <c r="DX536" i="25"/>
  <c r="DX535" i="25"/>
  <c r="DX447" i="25"/>
  <c r="DX513" i="25"/>
  <c r="DX514" i="25"/>
  <c r="DX521" i="25"/>
  <c r="DX422" i="25"/>
  <c r="DX425" i="25"/>
  <c r="DX427" i="25"/>
  <c r="DX430" i="25"/>
  <c r="DX431" i="25"/>
  <c r="DX467" i="25"/>
  <c r="DX502" i="25"/>
  <c r="DX419" i="25"/>
  <c r="DX471" i="25"/>
  <c r="DX399" i="25"/>
  <c r="DX402" i="25"/>
  <c r="DX532" i="25"/>
  <c r="DX452" i="25"/>
  <c r="DX429" i="25"/>
  <c r="DX506" i="25"/>
  <c r="DX463" i="25"/>
  <c r="DX409" i="25"/>
  <c r="DX460" i="25"/>
  <c r="DX411" i="25"/>
  <c r="DX414" i="25"/>
  <c r="DX504" i="25"/>
  <c r="DX520" i="25"/>
  <c r="DX458" i="25"/>
  <c r="DX525" i="25"/>
  <c r="DX526" i="25"/>
  <c r="DX522" i="25"/>
  <c r="DX477" i="25"/>
  <c r="DX509" i="25"/>
  <c r="DX476" i="25"/>
  <c r="DX507" i="25"/>
  <c r="DY425" i="25"/>
  <c r="DZ479" i="25"/>
  <c r="DZ435" i="25"/>
  <c r="DZ481" i="25"/>
  <c r="DZ516" i="25"/>
  <c r="DZ515" i="25"/>
  <c r="DZ505" i="25"/>
  <c r="DZ456" i="25"/>
  <c r="DZ455" i="25"/>
  <c r="DZ487" i="25"/>
  <c r="DZ527" i="25"/>
  <c r="DZ457" i="25"/>
  <c r="DZ512" i="25"/>
  <c r="DZ482" i="25"/>
  <c r="DZ469" i="25"/>
  <c r="DZ438" i="25"/>
  <c r="DZ480" i="25"/>
  <c r="DZ401" i="25"/>
  <c r="DZ434" i="25"/>
  <c r="DZ397" i="25"/>
  <c r="DZ398" i="25"/>
  <c r="DZ400" i="25"/>
  <c r="DZ403" i="25"/>
  <c r="DZ404" i="25"/>
  <c r="DZ405" i="25"/>
  <c r="DZ406" i="25"/>
  <c r="DZ410" i="25"/>
  <c r="DZ417" i="25"/>
  <c r="DZ483" i="25"/>
  <c r="DZ523" i="25"/>
  <c r="DZ530" i="25"/>
  <c r="DZ533" i="25"/>
  <c r="DZ536" i="25"/>
  <c r="DZ535" i="25"/>
  <c r="DZ447" i="25"/>
  <c r="DZ513" i="25"/>
  <c r="DZ514" i="25"/>
  <c r="DZ521" i="25"/>
  <c r="DZ422" i="25"/>
  <c r="DZ425" i="25"/>
  <c r="DZ427" i="25"/>
  <c r="DZ430" i="25"/>
  <c r="DZ431" i="25"/>
  <c r="DZ467" i="25"/>
  <c r="DZ502" i="25"/>
  <c r="DZ419" i="25"/>
  <c r="DZ471" i="25"/>
  <c r="DZ399" i="25"/>
  <c r="DZ402" i="25"/>
  <c r="DZ532" i="25"/>
  <c r="DZ452" i="25"/>
  <c r="DZ429" i="25"/>
  <c r="DZ506" i="25"/>
  <c r="DZ463" i="25"/>
  <c r="DZ409" i="25"/>
  <c r="DZ460" i="25"/>
  <c r="DZ411" i="25"/>
  <c r="DZ414" i="25"/>
  <c r="DZ504" i="25"/>
  <c r="DZ520" i="25"/>
  <c r="DZ458" i="25"/>
  <c r="DZ525" i="25"/>
  <c r="DZ526" i="25"/>
  <c r="DZ522" i="25"/>
  <c r="DZ477" i="25"/>
  <c r="DZ509" i="25"/>
  <c r="DZ476" i="25"/>
  <c r="DZ507" i="25"/>
  <c r="EA479" i="25"/>
  <c r="EA435" i="25"/>
  <c r="EA481" i="25"/>
  <c r="EA516" i="25"/>
  <c r="EA515" i="25"/>
  <c r="EA505" i="25"/>
  <c r="EA456" i="25"/>
  <c r="EA455" i="25"/>
  <c r="EA487" i="25"/>
  <c r="EA527" i="25"/>
  <c r="EA457" i="25"/>
  <c r="EA512" i="25"/>
  <c r="EA482" i="25"/>
  <c r="EA469" i="25"/>
  <c r="EA438" i="25"/>
  <c r="EA480" i="25"/>
  <c r="EA401" i="25"/>
  <c r="EA434" i="25"/>
  <c r="EA397" i="25"/>
  <c r="EA398" i="25"/>
  <c r="EA400" i="25"/>
  <c r="EA403" i="25"/>
  <c r="EA404" i="25"/>
  <c r="EA405" i="25"/>
  <c r="EA406" i="25"/>
  <c r="EA410" i="25"/>
  <c r="EA417" i="25"/>
  <c r="EA483" i="25"/>
  <c r="EA523" i="25"/>
  <c r="EA530" i="25"/>
  <c r="EA533" i="25"/>
  <c r="EA536" i="25"/>
  <c r="EA535" i="25"/>
  <c r="EA447" i="25"/>
  <c r="EA513" i="25"/>
  <c r="EA514" i="25"/>
  <c r="EA521" i="25"/>
  <c r="EA422" i="25"/>
  <c r="EA425" i="25"/>
  <c r="EA427" i="25"/>
  <c r="EA430" i="25"/>
  <c r="EA431" i="25"/>
  <c r="EA467" i="25"/>
  <c r="EA502" i="25"/>
  <c r="EA419" i="25"/>
  <c r="EA471" i="25"/>
  <c r="EA399" i="25"/>
  <c r="EA402" i="25"/>
  <c r="EA532" i="25"/>
  <c r="EA452" i="25"/>
  <c r="EA429" i="25"/>
  <c r="EA506" i="25"/>
  <c r="EA463" i="25"/>
  <c r="EA409" i="25"/>
  <c r="EA460" i="25"/>
  <c r="EA411" i="25"/>
  <c r="EA414" i="25"/>
  <c r="EA504" i="25"/>
  <c r="EA520" i="25"/>
  <c r="EA458" i="25"/>
  <c r="EA525" i="25"/>
  <c r="EA526" i="25"/>
  <c r="EA522" i="25"/>
  <c r="EA477" i="25"/>
  <c r="EA509" i="25"/>
  <c r="EA476" i="25"/>
  <c r="EA507" i="25"/>
  <c r="EB479" i="25"/>
  <c r="EB435" i="25"/>
  <c r="EB481" i="25"/>
  <c r="EB516" i="25"/>
  <c r="EB515" i="25"/>
  <c r="EB505" i="25"/>
  <c r="EB456" i="25"/>
  <c r="EB455" i="25"/>
  <c r="EB487" i="25"/>
  <c r="EB527" i="25"/>
  <c r="EB457" i="25"/>
  <c r="EB512" i="25"/>
  <c r="EB482" i="25"/>
  <c r="EB469" i="25"/>
  <c r="EB438" i="25"/>
  <c r="EB480" i="25"/>
  <c r="EB401" i="25"/>
  <c r="EB434" i="25"/>
  <c r="EB397" i="25"/>
  <c r="EB398" i="25"/>
  <c r="EB400" i="25"/>
  <c r="EB403" i="25"/>
  <c r="EB404" i="25"/>
  <c r="EB405" i="25"/>
  <c r="EB406" i="25"/>
  <c r="EB410" i="25"/>
  <c r="EB417" i="25"/>
  <c r="EB483" i="25"/>
  <c r="EB523" i="25"/>
  <c r="EB530" i="25"/>
  <c r="EB533" i="25"/>
  <c r="EB536" i="25"/>
  <c r="EB535" i="25"/>
  <c r="EB447" i="25"/>
  <c r="EB513" i="25"/>
  <c r="EB514" i="25"/>
  <c r="EB521" i="25"/>
  <c r="EB422" i="25"/>
  <c r="EB425" i="25"/>
  <c r="EB427" i="25"/>
  <c r="EB430" i="25"/>
  <c r="EB431" i="25"/>
  <c r="EB467" i="25"/>
  <c r="EB502" i="25"/>
  <c r="EB419" i="25"/>
  <c r="EB471" i="25"/>
  <c r="EB399" i="25"/>
  <c r="EB402" i="25"/>
  <c r="EB532" i="25"/>
  <c r="EB452" i="25"/>
  <c r="EB429" i="25"/>
  <c r="EB506" i="25"/>
  <c r="EB463" i="25"/>
  <c r="EB409" i="25"/>
  <c r="EB460" i="25"/>
  <c r="EB411" i="25"/>
  <c r="EB414" i="25"/>
  <c r="EB504" i="25"/>
  <c r="EB520" i="25"/>
  <c r="EB458" i="25"/>
  <c r="EB525" i="25"/>
  <c r="EB526" i="25"/>
  <c r="EB522" i="25"/>
  <c r="EB477" i="25"/>
  <c r="EB509" i="25"/>
  <c r="EB476" i="25"/>
  <c r="EB507" i="25"/>
  <c r="EE479" i="25"/>
  <c r="EE435" i="25"/>
  <c r="EE481" i="25"/>
  <c r="EE516" i="25"/>
  <c r="EE515" i="25"/>
  <c r="EE505" i="25"/>
  <c r="EE456" i="25"/>
  <c r="EE455" i="25"/>
  <c r="EE487" i="25"/>
  <c r="EE527" i="25"/>
  <c r="EE457" i="25"/>
  <c r="EE512" i="25"/>
  <c r="EE482" i="25"/>
  <c r="EE469" i="25"/>
  <c r="EE438" i="25"/>
  <c r="EE480" i="25"/>
  <c r="EE401" i="25"/>
  <c r="EE434" i="25"/>
  <c r="EE397" i="25"/>
  <c r="EE398" i="25"/>
  <c r="EE400" i="25"/>
  <c r="EE403" i="25"/>
  <c r="EE404" i="25"/>
  <c r="EE405" i="25"/>
  <c r="EE406" i="25"/>
  <c r="EE410" i="25"/>
  <c r="EE417" i="25"/>
  <c r="EE483" i="25"/>
  <c r="EE523" i="25"/>
  <c r="EE530" i="25"/>
  <c r="EE533" i="25"/>
  <c r="EE536" i="25"/>
  <c r="EE535" i="25"/>
  <c r="EE447" i="25"/>
  <c r="EE513" i="25"/>
  <c r="EE514" i="25"/>
  <c r="EE521" i="25"/>
  <c r="EE422" i="25"/>
  <c r="EE425" i="25"/>
  <c r="EE427" i="25"/>
  <c r="EE430" i="25"/>
  <c r="EE431" i="25"/>
  <c r="EE467" i="25"/>
  <c r="EE502" i="25"/>
  <c r="EE419" i="25"/>
  <c r="EE471" i="25"/>
  <c r="EE399" i="25"/>
  <c r="EE402" i="25"/>
  <c r="EE532" i="25"/>
  <c r="EE452" i="25"/>
  <c r="EE429" i="25"/>
  <c r="EE506" i="25"/>
  <c r="EE463" i="25"/>
  <c r="EE409" i="25"/>
  <c r="EE460" i="25"/>
  <c r="EE411" i="25"/>
  <c r="EE414" i="25"/>
  <c r="EE504" i="25"/>
  <c r="EE520" i="25"/>
  <c r="EE458" i="25"/>
  <c r="EE525" i="25"/>
  <c r="EE526" i="25"/>
  <c r="EE522" i="25"/>
  <c r="EE477" i="25"/>
  <c r="EE509" i="25"/>
  <c r="EE476" i="25"/>
  <c r="EE507" i="25"/>
  <c r="EF479" i="25"/>
  <c r="EF435" i="25"/>
  <c r="EF481" i="25"/>
  <c r="EF516" i="25"/>
  <c r="EF515" i="25"/>
  <c r="EF505" i="25"/>
  <c r="EF456" i="25"/>
  <c r="EF455" i="25"/>
  <c r="EF487" i="25"/>
  <c r="EF527" i="25"/>
  <c r="EF457" i="25"/>
  <c r="EF512" i="25"/>
  <c r="EF482" i="25"/>
  <c r="EF469" i="25"/>
  <c r="EF438" i="25"/>
  <c r="EF480" i="25"/>
  <c r="EF401" i="25"/>
  <c r="EF434" i="25"/>
  <c r="EF397" i="25"/>
  <c r="EF398" i="25"/>
  <c r="EF400" i="25"/>
  <c r="EF403" i="25"/>
  <c r="EF404" i="25"/>
  <c r="EF405" i="25"/>
  <c r="EF406" i="25"/>
  <c r="EF410" i="25"/>
  <c r="EF417" i="25"/>
  <c r="EF483" i="25"/>
  <c r="EF523" i="25"/>
  <c r="EF530" i="25"/>
  <c r="EF533" i="25"/>
  <c r="EF536" i="25"/>
  <c r="EF535" i="25"/>
  <c r="EF447" i="25"/>
  <c r="EF513" i="25"/>
  <c r="EF514" i="25"/>
  <c r="EF521" i="25"/>
  <c r="EF422" i="25"/>
  <c r="EF425" i="25"/>
  <c r="EF427" i="25"/>
  <c r="EF430" i="25"/>
  <c r="EF431" i="25"/>
  <c r="EF467" i="25"/>
  <c r="EF502" i="25"/>
  <c r="EF419" i="25"/>
  <c r="EF471" i="25"/>
  <c r="EF399" i="25"/>
  <c r="EF402" i="25"/>
  <c r="EF532" i="25"/>
  <c r="EF452" i="25"/>
  <c r="EF429" i="25"/>
  <c r="EF506" i="25"/>
  <c r="EF463" i="25"/>
  <c r="EF409" i="25"/>
  <c r="EF460" i="25"/>
  <c r="EF411" i="25"/>
  <c r="EF414" i="25"/>
  <c r="EF504" i="25"/>
  <c r="EF520" i="25"/>
  <c r="EF458" i="25"/>
  <c r="EF525" i="25"/>
  <c r="EF526" i="25"/>
  <c r="EF522" i="25"/>
  <c r="EF477" i="25"/>
  <c r="EF509" i="25"/>
  <c r="EF476" i="25"/>
  <c r="EF507" i="25"/>
  <c r="EG479" i="25"/>
  <c r="EG435" i="25"/>
  <c r="EG481" i="25"/>
  <c r="EG516" i="25"/>
  <c r="EG515" i="25"/>
  <c r="EG505" i="25"/>
  <c r="DE505" i="25" s="1"/>
  <c r="EG456" i="25"/>
  <c r="EG455" i="25"/>
  <c r="EG487" i="25"/>
  <c r="DE487" i="25" s="1"/>
  <c r="EG527" i="25"/>
  <c r="DH527" i="25" s="1"/>
  <c r="DI527" i="25" s="1"/>
  <c r="EG457" i="25"/>
  <c r="EG512" i="25"/>
  <c r="EG482" i="25"/>
  <c r="EG469" i="25"/>
  <c r="EG438" i="25"/>
  <c r="EG480" i="25"/>
  <c r="EG401" i="25"/>
  <c r="DH401" i="25" s="1"/>
  <c r="DI401" i="25" s="1"/>
  <c r="EG434" i="25"/>
  <c r="EG397" i="25"/>
  <c r="EG398" i="25"/>
  <c r="EG400" i="25"/>
  <c r="EG403" i="25"/>
  <c r="EG404" i="25"/>
  <c r="EG405" i="25"/>
  <c r="EG406" i="25"/>
  <c r="EG410" i="25"/>
  <c r="EG417" i="25"/>
  <c r="EG483" i="25"/>
  <c r="EG523" i="25"/>
  <c r="EG530" i="25"/>
  <c r="DE530" i="25" s="1"/>
  <c r="EG533" i="25"/>
  <c r="EG536" i="25"/>
  <c r="DE536" i="25" s="1"/>
  <c r="EG535" i="25"/>
  <c r="EG447" i="25"/>
  <c r="EG513" i="25"/>
  <c r="EG514" i="25"/>
  <c r="EG521" i="25"/>
  <c r="EG422" i="25"/>
  <c r="EG425" i="25"/>
  <c r="EG427" i="25"/>
  <c r="DE427" i="25" s="1"/>
  <c r="EG430" i="25"/>
  <c r="DE430" i="25" s="1"/>
  <c r="EG431" i="25"/>
  <c r="DH431" i="25" s="1"/>
  <c r="DI431" i="25" s="1"/>
  <c r="EG467" i="25"/>
  <c r="EG502" i="25"/>
  <c r="EG419" i="25"/>
  <c r="EG471" i="25"/>
  <c r="EG399" i="25"/>
  <c r="EG402" i="25"/>
  <c r="EG532" i="25"/>
  <c r="DE532" i="25" s="1"/>
  <c r="EG452" i="25"/>
  <c r="EG429" i="25"/>
  <c r="DE429" i="25" s="1"/>
  <c r="EG506" i="25"/>
  <c r="EG463" i="25"/>
  <c r="EG409" i="25"/>
  <c r="EG460" i="25"/>
  <c r="EG411" i="25"/>
  <c r="EG414" i="25"/>
  <c r="EG504" i="25"/>
  <c r="EG520" i="25"/>
  <c r="EG458" i="25"/>
  <c r="EG525" i="25"/>
  <c r="EG526" i="25"/>
  <c r="EG522" i="25"/>
  <c r="EG477" i="25"/>
  <c r="EG509" i="25"/>
  <c r="EG476" i="25"/>
  <c r="EG507" i="25"/>
  <c r="DE507" i="25" s="1"/>
  <c r="EH479" i="25"/>
  <c r="EH435" i="25"/>
  <c r="EH481" i="25"/>
  <c r="EH516" i="25"/>
  <c r="EH515" i="25"/>
  <c r="EH505" i="25"/>
  <c r="EH456" i="25"/>
  <c r="EH455" i="25"/>
  <c r="EH487" i="25"/>
  <c r="EH527" i="25"/>
  <c r="EH457" i="25"/>
  <c r="EH512" i="25"/>
  <c r="EH482" i="25"/>
  <c r="EH469" i="25"/>
  <c r="EH438" i="25"/>
  <c r="EH480" i="25"/>
  <c r="EH401" i="25"/>
  <c r="EH434" i="25"/>
  <c r="EH397" i="25"/>
  <c r="EH398" i="25"/>
  <c r="EH400" i="25"/>
  <c r="EH403" i="25"/>
  <c r="EH404" i="25"/>
  <c r="EH405" i="25"/>
  <c r="EH406" i="25"/>
  <c r="EH410" i="25"/>
  <c r="EH417" i="25"/>
  <c r="EH483" i="25"/>
  <c r="EH523" i="25"/>
  <c r="EH530" i="25"/>
  <c r="EH533" i="25"/>
  <c r="EH536" i="25"/>
  <c r="EH535" i="25"/>
  <c r="EH447" i="25"/>
  <c r="EH513" i="25"/>
  <c r="EH514" i="25"/>
  <c r="EH521" i="25"/>
  <c r="EH422" i="25"/>
  <c r="EH425" i="25"/>
  <c r="EH427" i="25"/>
  <c r="EH430" i="25"/>
  <c r="EH431" i="25"/>
  <c r="EH467" i="25"/>
  <c r="EH502" i="25"/>
  <c r="EH419" i="25"/>
  <c r="EH471" i="25"/>
  <c r="EH399" i="25"/>
  <c r="EH402" i="25"/>
  <c r="EH532" i="25"/>
  <c r="EH452" i="25"/>
  <c r="EH429" i="25"/>
  <c r="EH506" i="25"/>
  <c r="EH463" i="25"/>
  <c r="EH409" i="25"/>
  <c r="EH460" i="25"/>
  <c r="EH411" i="25"/>
  <c r="EH414" i="25"/>
  <c r="EH504" i="25"/>
  <c r="EH520" i="25"/>
  <c r="EH458" i="25"/>
  <c r="EH525" i="25"/>
  <c r="EH526" i="25"/>
  <c r="EH522" i="25"/>
  <c r="EH477" i="25"/>
  <c r="EH509" i="25"/>
  <c r="EH476" i="25"/>
  <c r="EH507" i="25"/>
  <c r="EI479" i="25"/>
  <c r="DT479" i="25" s="1"/>
  <c r="EI435" i="25"/>
  <c r="DT435" i="25" s="1"/>
  <c r="EI481" i="25"/>
  <c r="DT481" i="25" s="1"/>
  <c r="EI516" i="25"/>
  <c r="DT516" i="25" s="1"/>
  <c r="EI515" i="25"/>
  <c r="DT515" i="25" s="1"/>
  <c r="EI505" i="25"/>
  <c r="DT505" i="25" s="1"/>
  <c r="EI456" i="25"/>
  <c r="DT456" i="25" s="1"/>
  <c r="EI455" i="25"/>
  <c r="DT455" i="25" s="1"/>
  <c r="EI487" i="25"/>
  <c r="DT487" i="25" s="1"/>
  <c r="EI527" i="25"/>
  <c r="DT527" i="25" s="1"/>
  <c r="EI457" i="25"/>
  <c r="DT457" i="25" s="1"/>
  <c r="EI512" i="25"/>
  <c r="DT512" i="25" s="1"/>
  <c r="EI482" i="25"/>
  <c r="DT482" i="25" s="1"/>
  <c r="EI469" i="25"/>
  <c r="DT469" i="25" s="1"/>
  <c r="EI438" i="25"/>
  <c r="DT438" i="25" s="1"/>
  <c r="EI480" i="25"/>
  <c r="DT480" i="25" s="1"/>
  <c r="EI401" i="25"/>
  <c r="DT401" i="25" s="1"/>
  <c r="EI434" i="25"/>
  <c r="DT434" i="25" s="1"/>
  <c r="EI397" i="25"/>
  <c r="DT397" i="25" s="1"/>
  <c r="EI398" i="25"/>
  <c r="DT398" i="25" s="1"/>
  <c r="EI400" i="25"/>
  <c r="DT400" i="25" s="1"/>
  <c r="EI403" i="25"/>
  <c r="DT403" i="25" s="1"/>
  <c r="EI404" i="25"/>
  <c r="DT404" i="25" s="1"/>
  <c r="EI405" i="25"/>
  <c r="DT405" i="25" s="1"/>
  <c r="EI406" i="25"/>
  <c r="DT406" i="25" s="1"/>
  <c r="EI410" i="25"/>
  <c r="DT410" i="25" s="1"/>
  <c r="EI417" i="25"/>
  <c r="DT417" i="25" s="1"/>
  <c r="EI483" i="25"/>
  <c r="DT483" i="25" s="1"/>
  <c r="EI523" i="25"/>
  <c r="DT523" i="25" s="1"/>
  <c r="EI530" i="25"/>
  <c r="DT530" i="25" s="1"/>
  <c r="EI533" i="25"/>
  <c r="DT533" i="25" s="1"/>
  <c r="EI536" i="25"/>
  <c r="DT536" i="25" s="1"/>
  <c r="EI535" i="25"/>
  <c r="DT535" i="25" s="1"/>
  <c r="EI447" i="25"/>
  <c r="DT447" i="25" s="1"/>
  <c r="EI513" i="25"/>
  <c r="DT513" i="25" s="1"/>
  <c r="EI514" i="25"/>
  <c r="DT514" i="25" s="1"/>
  <c r="EI521" i="25"/>
  <c r="DT521" i="25" s="1"/>
  <c r="EI422" i="25"/>
  <c r="DT422" i="25" s="1"/>
  <c r="EI425" i="25"/>
  <c r="DT425" i="25" s="1"/>
  <c r="EI427" i="25"/>
  <c r="DT427" i="25" s="1"/>
  <c r="EI430" i="25"/>
  <c r="DT430" i="25" s="1"/>
  <c r="EI431" i="25"/>
  <c r="DT431" i="25" s="1"/>
  <c r="EI467" i="25"/>
  <c r="DT467" i="25" s="1"/>
  <c r="EI502" i="25"/>
  <c r="DT502" i="25" s="1"/>
  <c r="EI419" i="25"/>
  <c r="DT419" i="25" s="1"/>
  <c r="EI471" i="25"/>
  <c r="DT471" i="25" s="1"/>
  <c r="EI399" i="25"/>
  <c r="DT399" i="25" s="1"/>
  <c r="EI402" i="25"/>
  <c r="DT402" i="25" s="1"/>
  <c r="EI532" i="25"/>
  <c r="DT532" i="25" s="1"/>
  <c r="EI452" i="25"/>
  <c r="DT452" i="25" s="1"/>
  <c r="EI429" i="25"/>
  <c r="DT429" i="25" s="1"/>
  <c r="EI506" i="25"/>
  <c r="DT506" i="25" s="1"/>
  <c r="EI463" i="25"/>
  <c r="DT463" i="25" s="1"/>
  <c r="EI409" i="25"/>
  <c r="DT409" i="25" s="1"/>
  <c r="EI460" i="25"/>
  <c r="DT460" i="25" s="1"/>
  <c r="EI411" i="25"/>
  <c r="DT411" i="25" s="1"/>
  <c r="EI414" i="25"/>
  <c r="DT414" i="25" s="1"/>
  <c r="EI504" i="25"/>
  <c r="DT504" i="25" s="1"/>
  <c r="EI520" i="25"/>
  <c r="DT520" i="25" s="1"/>
  <c r="EI458" i="25"/>
  <c r="DT458" i="25" s="1"/>
  <c r="EI525" i="25"/>
  <c r="DT525" i="25" s="1"/>
  <c r="EI526" i="25"/>
  <c r="DT526" i="25" s="1"/>
  <c r="EI522" i="25"/>
  <c r="DT522" i="25" s="1"/>
  <c r="EI477" i="25"/>
  <c r="DT477" i="25" s="1"/>
  <c r="EI509" i="25"/>
  <c r="DT509" i="25" s="1"/>
  <c r="EI476" i="25"/>
  <c r="DT476" i="25" s="1"/>
  <c r="EI507" i="25"/>
  <c r="DT507" i="25" s="1"/>
  <c r="EJ479" i="25"/>
  <c r="EJ435" i="25"/>
  <c r="EJ481" i="25"/>
  <c r="EJ516" i="25"/>
  <c r="EJ515" i="25"/>
  <c r="EJ505" i="25"/>
  <c r="EJ456" i="25"/>
  <c r="EJ455" i="25"/>
  <c r="EJ487" i="25"/>
  <c r="EJ527" i="25"/>
  <c r="EJ457" i="25"/>
  <c r="EJ512" i="25"/>
  <c r="EJ482" i="25"/>
  <c r="EJ469" i="25"/>
  <c r="EJ438" i="25"/>
  <c r="EJ480" i="25"/>
  <c r="EJ401" i="25"/>
  <c r="EJ434" i="25"/>
  <c r="EJ397" i="25"/>
  <c r="EJ398" i="25"/>
  <c r="EJ400" i="25"/>
  <c r="EJ403" i="25"/>
  <c r="EJ404" i="25"/>
  <c r="EJ405" i="25"/>
  <c r="EJ406" i="25"/>
  <c r="EJ410" i="25"/>
  <c r="EJ417" i="25"/>
  <c r="EJ483" i="25"/>
  <c r="EJ523" i="25"/>
  <c r="EJ530" i="25"/>
  <c r="EJ533" i="25"/>
  <c r="EJ536" i="25"/>
  <c r="EJ535" i="25"/>
  <c r="EJ447" i="25"/>
  <c r="EJ513" i="25"/>
  <c r="EJ514" i="25"/>
  <c r="EJ521" i="25"/>
  <c r="EJ422" i="25"/>
  <c r="EJ425" i="25"/>
  <c r="EJ427" i="25"/>
  <c r="EJ430" i="25"/>
  <c r="EJ431" i="25"/>
  <c r="EJ467" i="25"/>
  <c r="EJ502" i="25"/>
  <c r="EJ419" i="25"/>
  <c r="EJ471" i="25"/>
  <c r="EJ399" i="25"/>
  <c r="EJ402" i="25"/>
  <c r="EJ532" i="25"/>
  <c r="EJ452" i="25"/>
  <c r="EJ429" i="25"/>
  <c r="EJ506" i="25"/>
  <c r="EJ463" i="25"/>
  <c r="EJ409" i="25"/>
  <c r="EJ460" i="25"/>
  <c r="EJ411" i="25"/>
  <c r="EJ414" i="25"/>
  <c r="EJ504" i="25"/>
  <c r="EJ520" i="25"/>
  <c r="EJ458" i="25"/>
  <c r="EJ525" i="25"/>
  <c r="EJ526" i="25"/>
  <c r="EJ522" i="25"/>
  <c r="EJ477" i="25"/>
  <c r="EJ509" i="25"/>
  <c r="EJ476" i="25"/>
  <c r="EJ507" i="25"/>
  <c r="EK479" i="25"/>
  <c r="EK435" i="25"/>
  <c r="EK481" i="25"/>
  <c r="EK516" i="25"/>
  <c r="EK515" i="25"/>
  <c r="EK505" i="25"/>
  <c r="EK456" i="25"/>
  <c r="EK455" i="25"/>
  <c r="EK487" i="25"/>
  <c r="EK527" i="25"/>
  <c r="EK457" i="25"/>
  <c r="EK512" i="25"/>
  <c r="EK482" i="25"/>
  <c r="EK469" i="25"/>
  <c r="EK438" i="25"/>
  <c r="EK480" i="25"/>
  <c r="EK401" i="25"/>
  <c r="EK434" i="25"/>
  <c r="EK397" i="25"/>
  <c r="EK398" i="25"/>
  <c r="EK400" i="25"/>
  <c r="EK403" i="25"/>
  <c r="EK404" i="25"/>
  <c r="EK405" i="25"/>
  <c r="EK406" i="25"/>
  <c r="EK410" i="25"/>
  <c r="EK417" i="25"/>
  <c r="EK483" i="25"/>
  <c r="EK523" i="25"/>
  <c r="EK530" i="25"/>
  <c r="EK533" i="25"/>
  <c r="EK536" i="25"/>
  <c r="EK535" i="25"/>
  <c r="EK447" i="25"/>
  <c r="EK513" i="25"/>
  <c r="EK514" i="25"/>
  <c r="EK521" i="25"/>
  <c r="EK422" i="25"/>
  <c r="EK425" i="25"/>
  <c r="EK427" i="25"/>
  <c r="EK430" i="25"/>
  <c r="EK431" i="25"/>
  <c r="EK467" i="25"/>
  <c r="EK502" i="25"/>
  <c r="EK419" i="25"/>
  <c r="EK471" i="25"/>
  <c r="EK399" i="25"/>
  <c r="EK402" i="25"/>
  <c r="EK532" i="25"/>
  <c r="EK452" i="25"/>
  <c r="EK429" i="25"/>
  <c r="EK506" i="25"/>
  <c r="EK463" i="25"/>
  <c r="EK409" i="25"/>
  <c r="EK460" i="25"/>
  <c r="EK411" i="25"/>
  <c r="EK414" i="25"/>
  <c r="EK504" i="25"/>
  <c r="EK520" i="25"/>
  <c r="EK458" i="25"/>
  <c r="EK525" i="25"/>
  <c r="EK526" i="25"/>
  <c r="EK522" i="25"/>
  <c r="EK477" i="25"/>
  <c r="EK509" i="25"/>
  <c r="EK476" i="25"/>
  <c r="EK507" i="25"/>
  <c r="EL479" i="25"/>
  <c r="EL435" i="25"/>
  <c r="EL481" i="25"/>
  <c r="EL516" i="25"/>
  <c r="EL515" i="25"/>
  <c r="EL505" i="25"/>
  <c r="EL456" i="25"/>
  <c r="EL455" i="25"/>
  <c r="EL487" i="25"/>
  <c r="EL527" i="25"/>
  <c r="EL457" i="25"/>
  <c r="EL512" i="25"/>
  <c r="EL482" i="25"/>
  <c r="EL469" i="25"/>
  <c r="EL438" i="25"/>
  <c r="EL480" i="25"/>
  <c r="EL401" i="25"/>
  <c r="EL434" i="25"/>
  <c r="EL397" i="25"/>
  <c r="EL398" i="25"/>
  <c r="EL400" i="25"/>
  <c r="EL403" i="25"/>
  <c r="EL404" i="25"/>
  <c r="EL405" i="25"/>
  <c r="EL406" i="25"/>
  <c r="EL410" i="25"/>
  <c r="EL417" i="25"/>
  <c r="EL483" i="25"/>
  <c r="EL523" i="25"/>
  <c r="EL530" i="25"/>
  <c r="EL533" i="25"/>
  <c r="EL536" i="25"/>
  <c r="EL535" i="25"/>
  <c r="EL447" i="25"/>
  <c r="EL513" i="25"/>
  <c r="EL514" i="25"/>
  <c r="EL521" i="25"/>
  <c r="EL422" i="25"/>
  <c r="EL425" i="25"/>
  <c r="EL427" i="25"/>
  <c r="EL430" i="25"/>
  <c r="EL431" i="25"/>
  <c r="EL467" i="25"/>
  <c r="EL502" i="25"/>
  <c r="EL419" i="25"/>
  <c r="EL471" i="25"/>
  <c r="EL399" i="25"/>
  <c r="EL402" i="25"/>
  <c r="EL532" i="25"/>
  <c r="EL452" i="25"/>
  <c r="EL429" i="25"/>
  <c r="EL506" i="25"/>
  <c r="EL463" i="25"/>
  <c r="EL409" i="25"/>
  <c r="EL460" i="25"/>
  <c r="EL411" i="25"/>
  <c r="EL414" i="25"/>
  <c r="EL504" i="25"/>
  <c r="EL520" i="25"/>
  <c r="EL458" i="25"/>
  <c r="EL525" i="25"/>
  <c r="EL526" i="25"/>
  <c r="EL522" i="25"/>
  <c r="EL477" i="25"/>
  <c r="EL509" i="25"/>
  <c r="EL476" i="25"/>
  <c r="EL507" i="25"/>
  <c r="EM479" i="25"/>
  <c r="EM435" i="25"/>
  <c r="EM481" i="25"/>
  <c r="EM516" i="25"/>
  <c r="EM515" i="25"/>
  <c r="EM505" i="25"/>
  <c r="EM456" i="25"/>
  <c r="EM455" i="25"/>
  <c r="EM487" i="25"/>
  <c r="EM527" i="25"/>
  <c r="EM457" i="25"/>
  <c r="EM512" i="25"/>
  <c r="EM482" i="25"/>
  <c r="EM469" i="25"/>
  <c r="EM438" i="25"/>
  <c r="EM480" i="25"/>
  <c r="EM401" i="25"/>
  <c r="EM434" i="25"/>
  <c r="EM397" i="25"/>
  <c r="EM398" i="25"/>
  <c r="EM400" i="25"/>
  <c r="EM403" i="25"/>
  <c r="EM404" i="25"/>
  <c r="EM405" i="25"/>
  <c r="EM406" i="25"/>
  <c r="EM410" i="25"/>
  <c r="EM417" i="25"/>
  <c r="EM483" i="25"/>
  <c r="EM523" i="25"/>
  <c r="EM530" i="25"/>
  <c r="EM533" i="25"/>
  <c r="EM536" i="25"/>
  <c r="EM535" i="25"/>
  <c r="EM447" i="25"/>
  <c r="EM513" i="25"/>
  <c r="EM514" i="25"/>
  <c r="EM521" i="25"/>
  <c r="EM422" i="25"/>
  <c r="EM425" i="25"/>
  <c r="EM427" i="25"/>
  <c r="EM430" i="25"/>
  <c r="EM431" i="25"/>
  <c r="EM467" i="25"/>
  <c r="EM502" i="25"/>
  <c r="EM419" i="25"/>
  <c r="EM471" i="25"/>
  <c r="EM399" i="25"/>
  <c r="EM402" i="25"/>
  <c r="EM532" i="25"/>
  <c r="EM452" i="25"/>
  <c r="EM429" i="25"/>
  <c r="EM506" i="25"/>
  <c r="EM463" i="25"/>
  <c r="EM409" i="25"/>
  <c r="EM460" i="25"/>
  <c r="EM411" i="25"/>
  <c r="EM414" i="25"/>
  <c r="EM504" i="25"/>
  <c r="EM520" i="25"/>
  <c r="EM458" i="25"/>
  <c r="EM525" i="25"/>
  <c r="EM526" i="25"/>
  <c r="EM522" i="25"/>
  <c r="EM477" i="25"/>
  <c r="EM509" i="25"/>
  <c r="EM476" i="25"/>
  <c r="EM507" i="25"/>
  <c r="EO479" i="25"/>
  <c r="EO435" i="25"/>
  <c r="EO481" i="25"/>
  <c r="EO516" i="25"/>
  <c r="EO515" i="25"/>
  <c r="EO505" i="25"/>
  <c r="EO456" i="25"/>
  <c r="EO455" i="25"/>
  <c r="EO487" i="25"/>
  <c r="EO527" i="25"/>
  <c r="EO457" i="25"/>
  <c r="EO512" i="25"/>
  <c r="EO482" i="25"/>
  <c r="EO469" i="25"/>
  <c r="EO438" i="25"/>
  <c r="EO480" i="25"/>
  <c r="EO401" i="25"/>
  <c r="EO434" i="25"/>
  <c r="EO397" i="25"/>
  <c r="EO398" i="25"/>
  <c r="EO400" i="25"/>
  <c r="EO403" i="25"/>
  <c r="EO404" i="25"/>
  <c r="EO405" i="25"/>
  <c r="EO406" i="25"/>
  <c r="EO410" i="25"/>
  <c r="EO417" i="25"/>
  <c r="EO483" i="25"/>
  <c r="EO523" i="25"/>
  <c r="EO530" i="25"/>
  <c r="EO533" i="25"/>
  <c r="EO536" i="25"/>
  <c r="EO535" i="25"/>
  <c r="EO447" i="25"/>
  <c r="EO513" i="25"/>
  <c r="EO514" i="25"/>
  <c r="EO521" i="25"/>
  <c r="EO422" i="25"/>
  <c r="EO425" i="25"/>
  <c r="EO427" i="25"/>
  <c r="EO430" i="25"/>
  <c r="EO431" i="25"/>
  <c r="EO467" i="25"/>
  <c r="EO502" i="25"/>
  <c r="EO419" i="25"/>
  <c r="EO471" i="25"/>
  <c r="EO399" i="25"/>
  <c r="EO402" i="25"/>
  <c r="EO532" i="25"/>
  <c r="EO452" i="25"/>
  <c r="EO429" i="25"/>
  <c r="EO506" i="25"/>
  <c r="EO463" i="25"/>
  <c r="EO409" i="25"/>
  <c r="EO460" i="25"/>
  <c r="EO411" i="25"/>
  <c r="EO414" i="25"/>
  <c r="EO504" i="25"/>
  <c r="EO520" i="25"/>
  <c r="EO458" i="25"/>
  <c r="EO525" i="25"/>
  <c r="EO526" i="25"/>
  <c r="EO522" i="25"/>
  <c r="EO477" i="25"/>
  <c r="EO509" i="25"/>
  <c r="EO476" i="25"/>
  <c r="EO507" i="25"/>
  <c r="EP479" i="25"/>
  <c r="EP435" i="25"/>
  <c r="EP481" i="25"/>
  <c r="EP516" i="25"/>
  <c r="EP515" i="25"/>
  <c r="EP505" i="25"/>
  <c r="EP456" i="25"/>
  <c r="EP455" i="25"/>
  <c r="EP487" i="25"/>
  <c r="EP527" i="25"/>
  <c r="EP457" i="25"/>
  <c r="EP512" i="25"/>
  <c r="EP482" i="25"/>
  <c r="EP469" i="25"/>
  <c r="EP438" i="25"/>
  <c r="EP480" i="25"/>
  <c r="EP401" i="25"/>
  <c r="EP434" i="25"/>
  <c r="EP397" i="25"/>
  <c r="EP398" i="25"/>
  <c r="EP400" i="25"/>
  <c r="EP403" i="25"/>
  <c r="EP404" i="25"/>
  <c r="EP405" i="25"/>
  <c r="EP406" i="25"/>
  <c r="EP410" i="25"/>
  <c r="EP417" i="25"/>
  <c r="EP483" i="25"/>
  <c r="EP523" i="25"/>
  <c r="EP530" i="25"/>
  <c r="EP533" i="25"/>
  <c r="EP536" i="25"/>
  <c r="EP535" i="25"/>
  <c r="EP447" i="25"/>
  <c r="EP513" i="25"/>
  <c r="EP514" i="25"/>
  <c r="EP521" i="25"/>
  <c r="EP422" i="25"/>
  <c r="EP425" i="25"/>
  <c r="EP427" i="25"/>
  <c r="EP430" i="25"/>
  <c r="EP431" i="25"/>
  <c r="EP467" i="25"/>
  <c r="EP502" i="25"/>
  <c r="EP419" i="25"/>
  <c r="EP471" i="25"/>
  <c r="EP399" i="25"/>
  <c r="EP402" i="25"/>
  <c r="EP532" i="25"/>
  <c r="EP452" i="25"/>
  <c r="EP429" i="25"/>
  <c r="EP506" i="25"/>
  <c r="EP463" i="25"/>
  <c r="EP409" i="25"/>
  <c r="EP460" i="25"/>
  <c r="EP411" i="25"/>
  <c r="EP414" i="25"/>
  <c r="EP504" i="25"/>
  <c r="EP520" i="25"/>
  <c r="EP458" i="25"/>
  <c r="EP525" i="25"/>
  <c r="EP526" i="25"/>
  <c r="EP522" i="25"/>
  <c r="EP477" i="25"/>
  <c r="EP509" i="25"/>
  <c r="EP476" i="25"/>
  <c r="EP507" i="25"/>
  <c r="DD405" i="25" l="1"/>
  <c r="DC405" i="25" s="1"/>
  <c r="DJ405" i="25" s="1"/>
  <c r="DD455" i="25"/>
  <c r="DC455" i="25" s="1"/>
  <c r="DJ455" i="25" s="1"/>
  <c r="EC443" i="25"/>
  <c r="DO478" i="25"/>
  <c r="DP478" i="25" s="1"/>
  <c r="DQ478" i="25" s="1"/>
  <c r="DR478" i="25" s="1"/>
  <c r="ED415" i="25"/>
  <c r="EC529" i="25"/>
  <c r="EC496" i="25"/>
  <c r="EC511" i="25"/>
  <c r="ED441" i="25"/>
  <c r="CG474" i="25"/>
  <c r="CG420" i="25"/>
  <c r="ED418" i="25"/>
  <c r="EC421" i="25"/>
  <c r="EC492" i="25"/>
  <c r="EC439" i="25"/>
  <c r="ED478" i="25"/>
  <c r="EC475" i="25"/>
  <c r="DW465" i="25"/>
  <c r="DO495" i="25"/>
  <c r="DP495" i="25" s="1"/>
  <c r="DQ495" i="25" s="1"/>
  <c r="DR495" i="25" s="1"/>
  <c r="ED408" i="25"/>
  <c r="ED519" i="25"/>
  <c r="ED500" i="25"/>
  <c r="EC540" i="25"/>
  <c r="DO436" i="25"/>
  <c r="DP436" i="25" s="1"/>
  <c r="DQ436" i="25" s="1"/>
  <c r="DR436" i="25" s="1"/>
  <c r="ED454" i="25"/>
  <c r="ED465" i="25"/>
  <c r="DY408" i="25"/>
  <c r="DY439" i="25"/>
  <c r="EC485" i="25"/>
  <c r="EC444" i="25"/>
  <c r="CG538" i="25"/>
  <c r="ED508" i="25"/>
  <c r="ED534" i="25"/>
  <c r="DD526" i="25"/>
  <c r="DC526" i="25" s="1"/>
  <c r="DJ526" i="25" s="1"/>
  <c r="DD422" i="25"/>
  <c r="DC422" i="25" s="1"/>
  <c r="DJ422" i="25" s="1"/>
  <c r="EC441" i="25"/>
  <c r="EC466" i="25"/>
  <c r="EC407" i="25"/>
  <c r="EC508" i="25"/>
  <c r="EC542" i="25"/>
  <c r="EC534" i="25"/>
  <c r="CG472" i="25"/>
  <c r="DW464" i="25"/>
  <c r="ED449" i="25"/>
  <c r="ED518" i="25"/>
  <c r="ED421" i="25"/>
  <c r="ED493" i="25"/>
  <c r="ED488" i="25"/>
  <c r="ED492" i="25"/>
  <c r="ED501" i="25"/>
  <c r="EC445" i="25"/>
  <c r="ED453" i="25"/>
  <c r="EC420" i="25"/>
  <c r="CG475" i="25"/>
  <c r="EC536" i="25"/>
  <c r="DO437" i="25"/>
  <c r="DP437" i="25" s="1"/>
  <c r="DQ437" i="25" s="1"/>
  <c r="DR437" i="25" s="1"/>
  <c r="DO426" i="25"/>
  <c r="DP426" i="25" s="1"/>
  <c r="DQ426" i="25" s="1"/>
  <c r="DR426" i="25" s="1"/>
  <c r="DO432" i="25"/>
  <c r="DP432" i="25" s="1"/>
  <c r="DQ432" i="25" s="1"/>
  <c r="DR432" i="25" s="1"/>
  <c r="DO461" i="25"/>
  <c r="DP461" i="25" s="1"/>
  <c r="DQ461" i="25" s="1"/>
  <c r="DR461" i="25" s="1"/>
  <c r="DO489" i="25"/>
  <c r="DP489" i="25" s="1"/>
  <c r="DQ489" i="25" s="1"/>
  <c r="DR489" i="25" s="1"/>
  <c r="DO517" i="25"/>
  <c r="DP517" i="25" s="1"/>
  <c r="DQ517" i="25" s="1"/>
  <c r="DR517" i="25" s="1"/>
  <c r="DO416" i="25"/>
  <c r="DP416" i="25" s="1"/>
  <c r="DQ416" i="25" s="1"/>
  <c r="DR416" i="25" s="1"/>
  <c r="CG540" i="25"/>
  <c r="CG529" i="25"/>
  <c r="CG496" i="25"/>
  <c r="CG495" i="25"/>
  <c r="CG511" i="25"/>
  <c r="DY532" i="25"/>
  <c r="ED537" i="25"/>
  <c r="ED439" i="25"/>
  <c r="ED541" i="25"/>
  <c r="ED490" i="25"/>
  <c r="ED444" i="25"/>
  <c r="ED510" i="25"/>
  <c r="EC450" i="25"/>
  <c r="EC498" i="25"/>
  <c r="EC428" i="25"/>
  <c r="EC464" i="25"/>
  <c r="CO446" i="25"/>
  <c r="CQ446" i="25" s="1"/>
  <c r="CP415" i="25"/>
  <c r="DY461" i="25"/>
  <c r="DO448" i="25"/>
  <c r="DP448" i="25" s="1"/>
  <c r="DQ448" i="25" s="1"/>
  <c r="DR448" i="25" s="1"/>
  <c r="DO446" i="25"/>
  <c r="DP446" i="25" s="1"/>
  <c r="DQ446" i="25" s="1"/>
  <c r="DR446" i="25" s="1"/>
  <c r="DO531" i="25"/>
  <c r="DP531" i="25" s="1"/>
  <c r="DQ531" i="25" s="1"/>
  <c r="DR531" i="25" s="1"/>
  <c r="DO491" i="25"/>
  <c r="DP491" i="25" s="1"/>
  <c r="DQ491" i="25" s="1"/>
  <c r="DR491" i="25" s="1"/>
  <c r="DO499" i="25"/>
  <c r="DP499" i="25" s="1"/>
  <c r="DQ499" i="25" s="1"/>
  <c r="DR499" i="25" s="1"/>
  <c r="DO413" i="25"/>
  <c r="DP413" i="25" s="1"/>
  <c r="DQ413" i="25" s="1"/>
  <c r="DR413" i="25" s="1"/>
  <c r="DO528" i="25"/>
  <c r="DP528" i="25" s="1"/>
  <c r="DQ528" i="25" s="1"/>
  <c r="DR528" i="25" s="1"/>
  <c r="ED436" i="25"/>
  <c r="ED413" i="25"/>
  <c r="EC449" i="25"/>
  <c r="DY489" i="25"/>
  <c r="ED497" i="25"/>
  <c r="ED498" i="25"/>
  <c r="ED428" i="25"/>
  <c r="ED494" i="25"/>
  <c r="ED464" i="25"/>
  <c r="ED443" i="25"/>
  <c r="EC454" i="25"/>
  <c r="EC524" i="25"/>
  <c r="EC468" i="25"/>
  <c r="EC408" i="25"/>
  <c r="EC433" i="25"/>
  <c r="EC412" i="25"/>
  <c r="EC500" i="25"/>
  <c r="CP499" i="25"/>
  <c r="DY426" i="25"/>
  <c r="CG448" i="25"/>
  <c r="CG446" i="25"/>
  <c r="CG436" i="25"/>
  <c r="CG531" i="25"/>
  <c r="CG415" i="25"/>
  <c r="CG491" i="25"/>
  <c r="CG499" i="25"/>
  <c r="CG413" i="25"/>
  <c r="DD538" i="25"/>
  <c r="DC538" i="25" s="1"/>
  <c r="DJ538" i="25" s="1"/>
  <c r="DO475" i="25"/>
  <c r="DP475" i="25" s="1"/>
  <c r="DQ475" i="25" s="1"/>
  <c r="DR475" i="25" s="1"/>
  <c r="DO473" i="25"/>
  <c r="DP473" i="25" s="1"/>
  <c r="DQ473" i="25" s="1"/>
  <c r="DR473" i="25" s="1"/>
  <c r="ED463" i="25"/>
  <c r="ED448" i="25"/>
  <c r="ED446" i="25"/>
  <c r="ED531" i="25"/>
  <c r="ED491" i="25"/>
  <c r="ED499" i="25"/>
  <c r="ED528" i="25"/>
  <c r="EC453" i="25"/>
  <c r="EC518" i="25"/>
  <c r="EC493" i="25"/>
  <c r="EC488" i="25"/>
  <c r="EC501" i="25"/>
  <c r="CG478" i="25"/>
  <c r="ED507" i="25"/>
  <c r="DY454" i="25"/>
  <c r="DY517" i="25"/>
  <c r="DO497" i="25"/>
  <c r="DP497" i="25" s="1"/>
  <c r="DQ497" i="25" s="1"/>
  <c r="DR497" i="25" s="1"/>
  <c r="DO498" i="25"/>
  <c r="DP498" i="25" s="1"/>
  <c r="DQ498" i="25" s="1"/>
  <c r="DR498" i="25" s="1"/>
  <c r="ED445" i="25"/>
  <c r="ED466" i="25"/>
  <c r="ED407" i="25"/>
  <c r="ED542" i="25"/>
  <c r="EC537" i="25"/>
  <c r="EC442" i="25"/>
  <c r="EC541" i="25"/>
  <c r="EC418" i="25"/>
  <c r="EC490" i="25"/>
  <c r="EC510" i="25"/>
  <c r="CP466" i="25"/>
  <c r="ED504" i="25"/>
  <c r="ED447" i="25"/>
  <c r="EC521" i="25"/>
  <c r="DO503" i="25"/>
  <c r="DP503" i="25" s="1"/>
  <c r="DQ503" i="25" s="1"/>
  <c r="DR503" i="25" s="1"/>
  <c r="DY437" i="25"/>
  <c r="DY416" i="25"/>
  <c r="CP446" i="25"/>
  <c r="CO413" i="25"/>
  <c r="CQ413" i="25" s="1"/>
  <c r="DY501" i="25"/>
  <c r="DW500" i="25"/>
  <c r="DO496" i="25"/>
  <c r="DP496" i="25" s="1"/>
  <c r="DQ496" i="25" s="1"/>
  <c r="DR496" i="25" s="1"/>
  <c r="ED437" i="25"/>
  <c r="ED426" i="25"/>
  <c r="ED432" i="25"/>
  <c r="ED461" i="25"/>
  <c r="ED489" i="25"/>
  <c r="ED517" i="25"/>
  <c r="ED416" i="25"/>
  <c r="EC448" i="25"/>
  <c r="EC446" i="25"/>
  <c r="EC436" i="25"/>
  <c r="EC531" i="25"/>
  <c r="EC415" i="25"/>
  <c r="EC491" i="25"/>
  <c r="EC499" i="25"/>
  <c r="EC413" i="25"/>
  <c r="EC528" i="25"/>
  <c r="CO421" i="25"/>
  <c r="CQ421" i="25" s="1"/>
  <c r="CR421" i="25" s="1"/>
  <c r="CV421" i="25" s="1"/>
  <c r="CW421" i="25" s="1"/>
  <c r="CZ421" i="25" s="1"/>
  <c r="CP492" i="25"/>
  <c r="CO501" i="25"/>
  <c r="CQ501" i="25" s="1"/>
  <c r="DD459" i="25"/>
  <c r="DC459" i="25" s="1"/>
  <c r="DJ459" i="25" s="1"/>
  <c r="CG537" i="25"/>
  <c r="CG490" i="25"/>
  <c r="CG510" i="25"/>
  <c r="EC478" i="25"/>
  <c r="DW530" i="25"/>
  <c r="ED535" i="25"/>
  <c r="ED423" i="25"/>
  <c r="ED539" i="25"/>
  <c r="DW524" i="25"/>
  <c r="ED524" i="25"/>
  <c r="ED468" i="25"/>
  <c r="ED433" i="25"/>
  <c r="ED412" i="25"/>
  <c r="EC451" i="25"/>
  <c r="EC440" i="25"/>
  <c r="EC495" i="25"/>
  <c r="EC424" i="25"/>
  <c r="ED472" i="25"/>
  <c r="CO420" i="25"/>
  <c r="CQ420" i="25" s="1"/>
  <c r="CP538" i="25"/>
  <c r="DY525" i="25"/>
  <c r="CG477" i="25"/>
  <c r="CG411" i="25"/>
  <c r="CG402" i="25"/>
  <c r="CG427" i="25"/>
  <c r="CG536" i="25"/>
  <c r="CG405" i="25"/>
  <c r="CG480" i="25"/>
  <c r="EC486" i="25"/>
  <c r="DY485" i="25"/>
  <c r="DY510" i="25"/>
  <c r="DW468" i="25"/>
  <c r="EC472" i="25"/>
  <c r="DO540" i="25"/>
  <c r="DP540" i="25" s="1"/>
  <c r="DQ540" i="25" s="1"/>
  <c r="DR540" i="25" s="1"/>
  <c r="DO440" i="25"/>
  <c r="DP440" i="25" s="1"/>
  <c r="DQ440" i="25" s="1"/>
  <c r="DR440" i="25" s="1"/>
  <c r="DO424" i="25"/>
  <c r="DP424" i="25" s="1"/>
  <c r="DQ424" i="25" s="1"/>
  <c r="DR424" i="25" s="1"/>
  <c r="DO511" i="25"/>
  <c r="DP511" i="25" s="1"/>
  <c r="DQ511" i="25" s="1"/>
  <c r="DR511" i="25" s="1"/>
  <c r="CO445" i="25"/>
  <c r="CQ445" i="25" s="1"/>
  <c r="CO407" i="25"/>
  <c r="CQ407" i="25" s="1"/>
  <c r="CP542" i="25"/>
  <c r="CO534" i="25"/>
  <c r="CQ534" i="25" s="1"/>
  <c r="CG541" i="25"/>
  <c r="CG418" i="25"/>
  <c r="CG444" i="25"/>
  <c r="DY471" i="25"/>
  <c r="EC535" i="25"/>
  <c r="CG507" i="25"/>
  <c r="CG429" i="25"/>
  <c r="CG467" i="25"/>
  <c r="CG513" i="25"/>
  <c r="CG417" i="25"/>
  <c r="CG397" i="25"/>
  <c r="CG457" i="25"/>
  <c r="CG481" i="25"/>
  <c r="CG470" i="25"/>
  <c r="ED459" i="25"/>
  <c r="EC539" i="25"/>
  <c r="DY462" i="25"/>
  <c r="DW519" i="25"/>
  <c r="ED450" i="25"/>
  <c r="ED462" i="25"/>
  <c r="EC465" i="25"/>
  <c r="EC519" i="25"/>
  <c r="CP436" i="25"/>
  <c r="CO531" i="25"/>
  <c r="CQ531" i="25" s="1"/>
  <c r="CO415" i="25"/>
  <c r="CQ415" i="25" s="1"/>
  <c r="CO491" i="25"/>
  <c r="CQ491" i="25" s="1"/>
  <c r="CO499" i="25"/>
  <c r="CQ499" i="25" s="1"/>
  <c r="CP413" i="25"/>
  <c r="CP528" i="25"/>
  <c r="CO449" i="25"/>
  <c r="CQ449" i="25" s="1"/>
  <c r="CR449" i="25" s="1"/>
  <c r="CV449" i="25" s="1"/>
  <c r="CW449" i="25" s="1"/>
  <c r="CZ449" i="25" s="1"/>
  <c r="CP518" i="25"/>
  <c r="CP493" i="25"/>
  <c r="CO441" i="25"/>
  <c r="CQ441" i="25" s="1"/>
  <c r="CP407" i="25"/>
  <c r="CP508" i="25"/>
  <c r="CO542" i="25"/>
  <c r="CQ542" i="25" s="1"/>
  <c r="CP534" i="25"/>
  <c r="CG528" i="25"/>
  <c r="DY472" i="25"/>
  <c r="ED474" i="25"/>
  <c r="CG431" i="25"/>
  <c r="DO459" i="25"/>
  <c r="DP459" i="25" s="1"/>
  <c r="DQ459" i="25" s="1"/>
  <c r="DR459" i="25" s="1"/>
  <c r="DY490" i="25"/>
  <c r="DW433" i="25"/>
  <c r="DO415" i="25"/>
  <c r="DP415" i="25" s="1"/>
  <c r="DQ415" i="25" s="1"/>
  <c r="DR415" i="25" s="1"/>
  <c r="CO466" i="25"/>
  <c r="CQ466" i="25" s="1"/>
  <c r="DY473" i="25"/>
  <c r="ED473" i="25"/>
  <c r="EC474" i="25"/>
  <c r="DY432" i="25"/>
  <c r="DO450" i="25"/>
  <c r="DP450" i="25" s="1"/>
  <c r="DQ450" i="25" s="1"/>
  <c r="DR450" i="25" s="1"/>
  <c r="DO428" i="25"/>
  <c r="DP428" i="25" s="1"/>
  <c r="DQ428" i="25" s="1"/>
  <c r="DR428" i="25" s="1"/>
  <c r="DO494" i="25"/>
  <c r="DP494" i="25" s="1"/>
  <c r="DQ494" i="25" s="1"/>
  <c r="DR494" i="25" s="1"/>
  <c r="DO462" i="25"/>
  <c r="DP462" i="25" s="1"/>
  <c r="DQ462" i="25" s="1"/>
  <c r="DR462" i="25" s="1"/>
  <c r="DO464" i="25"/>
  <c r="DP464" i="25" s="1"/>
  <c r="DQ464" i="25" s="1"/>
  <c r="DR464" i="25" s="1"/>
  <c r="DO443" i="25"/>
  <c r="DP443" i="25" s="1"/>
  <c r="DQ443" i="25" s="1"/>
  <c r="DR443" i="25" s="1"/>
  <c r="ED442" i="25"/>
  <c r="ED485" i="25"/>
  <c r="EC497" i="25"/>
  <c r="EC494" i="25"/>
  <c r="EC462" i="25"/>
  <c r="CG473" i="25"/>
  <c r="EC525" i="25"/>
  <c r="ED543" i="25"/>
  <c r="DY537" i="25"/>
  <c r="DY418" i="25"/>
  <c r="DW412" i="25"/>
  <c r="CO448" i="25"/>
  <c r="CQ448" i="25" s="1"/>
  <c r="CO436" i="25"/>
  <c r="CQ436" i="25" s="1"/>
  <c r="CP531" i="25"/>
  <c r="CP491" i="25"/>
  <c r="CP453" i="25"/>
  <c r="CO518" i="25"/>
  <c r="CQ518" i="25" s="1"/>
  <c r="CP488" i="25"/>
  <c r="CP501" i="25"/>
  <c r="ED420" i="25"/>
  <c r="EC538" i="25"/>
  <c r="CP474" i="25"/>
  <c r="ED422" i="25"/>
  <c r="ED505" i="25"/>
  <c r="EC430" i="25"/>
  <c r="DO458" i="25"/>
  <c r="DP458" i="25" s="1"/>
  <c r="DQ458" i="25" s="1"/>
  <c r="DR458" i="25" s="1"/>
  <c r="DO502" i="25"/>
  <c r="DP502" i="25" s="1"/>
  <c r="DQ502" i="25" s="1"/>
  <c r="DR502" i="25" s="1"/>
  <c r="DO514" i="25"/>
  <c r="DP514" i="25" s="1"/>
  <c r="DQ514" i="25" s="1"/>
  <c r="DR514" i="25" s="1"/>
  <c r="DO483" i="25"/>
  <c r="DP483" i="25" s="1"/>
  <c r="DQ483" i="25" s="1"/>
  <c r="DR483" i="25" s="1"/>
  <c r="DO398" i="25"/>
  <c r="DP398" i="25" s="1"/>
  <c r="DQ398" i="25" s="1"/>
  <c r="DR398" i="25" s="1"/>
  <c r="DO516" i="25"/>
  <c r="DP516" i="25" s="1"/>
  <c r="DQ516" i="25" s="1"/>
  <c r="DR516" i="25" s="1"/>
  <c r="ED525" i="25"/>
  <c r="ED419" i="25"/>
  <c r="ED521" i="25"/>
  <c r="ED523" i="25"/>
  <c r="ED400" i="25"/>
  <c r="ED482" i="25"/>
  <c r="ED515" i="25"/>
  <c r="EC477" i="25"/>
  <c r="EC411" i="25"/>
  <c r="EC402" i="25"/>
  <c r="EC427" i="25"/>
  <c r="EC480" i="25"/>
  <c r="EC455" i="25"/>
  <c r="CG543" i="25"/>
  <c r="EC459" i="25"/>
  <c r="CG539" i="25"/>
  <c r="DW455" i="25"/>
  <c r="DW486" i="25"/>
  <c r="CG484" i="25"/>
  <c r="DY480" i="25"/>
  <c r="EC533" i="25"/>
  <c r="DY427" i="25"/>
  <c r="DY469" i="25"/>
  <c r="CG486" i="25"/>
  <c r="DW405" i="25"/>
  <c r="DY477" i="25"/>
  <c r="ED476" i="25"/>
  <c r="ED435" i="25"/>
  <c r="EC515" i="25"/>
  <c r="CP445" i="25"/>
  <c r="CP421" i="25"/>
  <c r="CO453" i="25"/>
  <c r="CQ453" i="25" s="1"/>
  <c r="CR453" i="25" s="1"/>
  <c r="CV453" i="25" s="1"/>
  <c r="CW453" i="25" s="1"/>
  <c r="CZ453" i="25" s="1"/>
  <c r="CO488" i="25"/>
  <c r="CQ488" i="25" s="1"/>
  <c r="CO492" i="25"/>
  <c r="CQ492" i="25" s="1"/>
  <c r="DW498" i="25"/>
  <c r="DY420" i="25"/>
  <c r="DW478" i="25"/>
  <c r="DO420" i="25"/>
  <c r="DP420" i="25" s="1"/>
  <c r="DQ420" i="25" s="1"/>
  <c r="DR420" i="25" s="1"/>
  <c r="DY497" i="25"/>
  <c r="DY494" i="25"/>
  <c r="CP449" i="25"/>
  <c r="CO493" i="25"/>
  <c r="CQ493" i="25" s="1"/>
  <c r="CO528" i="25"/>
  <c r="CQ528" i="25" s="1"/>
  <c r="CG442" i="25"/>
  <c r="CG439" i="25"/>
  <c r="CG485" i="25"/>
  <c r="DD420" i="25"/>
  <c r="DC420" i="25" s="1"/>
  <c r="DJ420" i="25" s="1"/>
  <c r="DW475" i="25"/>
  <c r="CP539" i="25"/>
  <c r="DY453" i="25"/>
  <c r="DY518" i="25"/>
  <c r="DY493" i="25"/>
  <c r="DO538" i="25"/>
  <c r="DP538" i="25" s="1"/>
  <c r="DQ538" i="25" s="1"/>
  <c r="DR538" i="25" s="1"/>
  <c r="CG455" i="25"/>
  <c r="ED544" i="25"/>
  <c r="ED484" i="25"/>
  <c r="CG503" i="25"/>
  <c r="DY442" i="25"/>
  <c r="DY496" i="25"/>
  <c r="DY492" i="25"/>
  <c r="DO453" i="25"/>
  <c r="DP453" i="25" s="1"/>
  <c r="DQ453" i="25" s="1"/>
  <c r="DR453" i="25" s="1"/>
  <c r="DO449" i="25"/>
  <c r="DP449" i="25" s="1"/>
  <c r="DQ449" i="25" s="1"/>
  <c r="DR449" i="25" s="1"/>
  <c r="DO518" i="25"/>
  <c r="DP518" i="25" s="1"/>
  <c r="DQ518" i="25" s="1"/>
  <c r="DR518" i="25" s="1"/>
  <c r="DO421" i="25"/>
  <c r="DP421" i="25" s="1"/>
  <c r="DQ421" i="25" s="1"/>
  <c r="DR421" i="25" s="1"/>
  <c r="DO488" i="25"/>
  <c r="DP488" i="25" s="1"/>
  <c r="DQ488" i="25" s="1"/>
  <c r="DR488" i="25" s="1"/>
  <c r="DO492" i="25"/>
  <c r="DP492" i="25" s="1"/>
  <c r="DQ492" i="25" s="1"/>
  <c r="DR492" i="25" s="1"/>
  <c r="DO501" i="25"/>
  <c r="DP501" i="25" s="1"/>
  <c r="DQ501" i="25" s="1"/>
  <c r="DR501" i="25" s="1"/>
  <c r="DO445" i="25"/>
  <c r="DP445" i="25" s="1"/>
  <c r="DQ445" i="25" s="1"/>
  <c r="DR445" i="25" s="1"/>
  <c r="DO441" i="25"/>
  <c r="DP441" i="25" s="1"/>
  <c r="DQ441" i="25" s="1"/>
  <c r="DR441" i="25" s="1"/>
  <c r="DO466" i="25"/>
  <c r="DP466" i="25" s="1"/>
  <c r="DQ466" i="25" s="1"/>
  <c r="DR466" i="25" s="1"/>
  <c r="DO407" i="25"/>
  <c r="DP407" i="25" s="1"/>
  <c r="DQ407" i="25" s="1"/>
  <c r="DR407" i="25" s="1"/>
  <c r="DO508" i="25"/>
  <c r="DP508" i="25" s="1"/>
  <c r="DQ508" i="25" s="1"/>
  <c r="DR508" i="25" s="1"/>
  <c r="DO542" i="25"/>
  <c r="DP542" i="25" s="1"/>
  <c r="DQ542" i="25" s="1"/>
  <c r="DR542" i="25" s="1"/>
  <c r="DO534" i="25"/>
  <c r="DP534" i="25" s="1"/>
  <c r="DQ534" i="25" s="1"/>
  <c r="DR534" i="25" s="1"/>
  <c r="ED540" i="25"/>
  <c r="ED451" i="25"/>
  <c r="ED440" i="25"/>
  <c r="ED529" i="25"/>
  <c r="ED496" i="25"/>
  <c r="ED495" i="25"/>
  <c r="ED424" i="25"/>
  <c r="ED511" i="25"/>
  <c r="EC437" i="25"/>
  <c r="EC426" i="25"/>
  <c r="EC432" i="25"/>
  <c r="EC461" i="25"/>
  <c r="EC489" i="25"/>
  <c r="EC517" i="25"/>
  <c r="EC416" i="25"/>
  <c r="CP448" i="25"/>
  <c r="CP441" i="25"/>
  <c r="CO508" i="25"/>
  <c r="CQ508" i="25" s="1"/>
  <c r="CG497" i="25"/>
  <c r="ED475" i="25"/>
  <c r="EC473" i="25"/>
  <c r="ED538" i="25"/>
  <c r="CP473" i="25"/>
  <c r="CO474" i="25"/>
  <c r="CQ474" i="25" s="1"/>
  <c r="DY428" i="25"/>
  <c r="DO451" i="25"/>
  <c r="DP451" i="25" s="1"/>
  <c r="DQ451" i="25" s="1"/>
  <c r="DR451" i="25" s="1"/>
  <c r="DO529" i="25"/>
  <c r="DP529" i="25" s="1"/>
  <c r="DQ529" i="25" s="1"/>
  <c r="DR529" i="25" s="1"/>
  <c r="CG453" i="25"/>
  <c r="CG449" i="25"/>
  <c r="CG518" i="25"/>
  <c r="CG421" i="25"/>
  <c r="CG493" i="25"/>
  <c r="CG488" i="25"/>
  <c r="CG492" i="25"/>
  <c r="CG501" i="25"/>
  <c r="DO545" i="25"/>
  <c r="DP545" i="25" s="1"/>
  <c r="DQ545" i="25" s="1"/>
  <c r="DR545" i="25" s="1"/>
  <c r="EC545" i="25"/>
  <c r="DY450" i="25"/>
  <c r="DY421" i="25"/>
  <c r="DY443" i="25"/>
  <c r="CG451" i="25"/>
  <c r="CG440" i="25"/>
  <c r="CG424" i="25"/>
  <c r="DO472" i="25"/>
  <c r="DP472" i="25" s="1"/>
  <c r="DQ472" i="25" s="1"/>
  <c r="DR472" i="25" s="1"/>
  <c r="CP420" i="25"/>
  <c r="CO538" i="25"/>
  <c r="CQ538" i="25" s="1"/>
  <c r="DW526" i="25"/>
  <c r="DY526" i="25"/>
  <c r="CP478" i="25"/>
  <c r="CO472" i="25"/>
  <c r="CQ472" i="25" s="1"/>
  <c r="CR472" i="25" s="1"/>
  <c r="CO432" i="25"/>
  <c r="CQ432" i="25" s="1"/>
  <c r="CP432" i="25"/>
  <c r="CO489" i="25"/>
  <c r="CQ489" i="25" s="1"/>
  <c r="CP489" i="25"/>
  <c r="CO416" i="25"/>
  <c r="CQ416" i="25" s="1"/>
  <c r="CP416" i="25"/>
  <c r="DY411" i="25"/>
  <c r="CG520" i="25"/>
  <c r="CO437" i="25"/>
  <c r="CQ437" i="25" s="1"/>
  <c r="CP437" i="25"/>
  <c r="CO426" i="25"/>
  <c r="CQ426" i="25" s="1"/>
  <c r="CP426" i="25"/>
  <c r="CO461" i="25"/>
  <c r="CQ461" i="25" s="1"/>
  <c r="CP461" i="25"/>
  <c r="CO517" i="25"/>
  <c r="CQ517" i="25" s="1"/>
  <c r="CP517" i="25"/>
  <c r="DY474" i="25"/>
  <c r="DW474" i="25"/>
  <c r="DS538" i="25"/>
  <c r="DO400" i="25"/>
  <c r="DP400" i="25" s="1"/>
  <c r="DQ400" i="25" s="1"/>
  <c r="DR400" i="25" s="1"/>
  <c r="ED509" i="25"/>
  <c r="ED414" i="25"/>
  <c r="ED532" i="25"/>
  <c r="ED430" i="25"/>
  <c r="ED406" i="25"/>
  <c r="ED401" i="25"/>
  <c r="ED487" i="25"/>
  <c r="ED479" i="25"/>
  <c r="EC458" i="25"/>
  <c r="EC506" i="25"/>
  <c r="EC502" i="25"/>
  <c r="EC514" i="25"/>
  <c r="EC483" i="25"/>
  <c r="EC398" i="25"/>
  <c r="EC512" i="25"/>
  <c r="EC516" i="25"/>
  <c r="CO402" i="25"/>
  <c r="CQ402" i="25" s="1"/>
  <c r="CT472" i="25"/>
  <c r="CP472" i="25"/>
  <c r="CP475" i="25"/>
  <c r="CO473" i="25"/>
  <c r="CQ473" i="25" s="1"/>
  <c r="CR473" i="25" s="1"/>
  <c r="ED458" i="25"/>
  <c r="ED514" i="25"/>
  <c r="ED516" i="25"/>
  <c r="EC399" i="25"/>
  <c r="EC456" i="25"/>
  <c r="DW451" i="25"/>
  <c r="DY451" i="25"/>
  <c r="DY440" i="25"/>
  <c r="DW440" i="25"/>
  <c r="DW529" i="25"/>
  <c r="DY529" i="25"/>
  <c r="DW495" i="25"/>
  <c r="DY495" i="25"/>
  <c r="DY424" i="25"/>
  <c r="DW424" i="25"/>
  <c r="DW511" i="25"/>
  <c r="DY511" i="25"/>
  <c r="DH472" i="25"/>
  <c r="DI472" i="25" s="1"/>
  <c r="DE472" i="25"/>
  <c r="DD472" i="25"/>
  <c r="DC472" i="25" s="1"/>
  <c r="DJ472" i="25" s="1"/>
  <c r="ED502" i="25"/>
  <c r="ED398" i="25"/>
  <c r="EC522" i="25"/>
  <c r="EC425" i="25"/>
  <c r="EC438" i="25"/>
  <c r="DD522" i="25"/>
  <c r="DC522" i="25" s="1"/>
  <c r="DJ522" i="25" s="1"/>
  <c r="DD404" i="25"/>
  <c r="DC404" i="25" s="1"/>
  <c r="DJ404" i="25" s="1"/>
  <c r="DD456" i="25"/>
  <c r="DC456" i="25" s="1"/>
  <c r="DJ456" i="25" s="1"/>
  <c r="DW476" i="25"/>
  <c r="DW430" i="25"/>
  <c r="DY430" i="25"/>
  <c r="DW479" i="25"/>
  <c r="DY479" i="25"/>
  <c r="ED530" i="25"/>
  <c r="EC487" i="25"/>
  <c r="DO493" i="25"/>
  <c r="DP493" i="25" s="1"/>
  <c r="DQ493" i="25" s="1"/>
  <c r="DR493" i="25" s="1"/>
  <c r="ED506" i="25"/>
  <c r="ED483" i="25"/>
  <c r="ED512" i="25"/>
  <c r="EC460" i="25"/>
  <c r="EC404" i="25"/>
  <c r="DY403" i="25"/>
  <c r="DW536" i="25"/>
  <c r="DY536" i="25"/>
  <c r="CG471" i="25"/>
  <c r="CG469" i="25"/>
  <c r="DY540" i="25"/>
  <c r="DO474" i="25"/>
  <c r="DP474" i="25" s="1"/>
  <c r="DQ474" i="25" s="1"/>
  <c r="DR474" i="25" s="1"/>
  <c r="DS478" i="25"/>
  <c r="DH473" i="25"/>
  <c r="DI473" i="25" s="1"/>
  <c r="DE538" i="25"/>
  <c r="EC405" i="25"/>
  <c r="DO543" i="25"/>
  <c r="DP543" i="25" s="1"/>
  <c r="DQ543" i="25" s="1"/>
  <c r="DR543" i="25" s="1"/>
  <c r="EC543" i="25"/>
  <c r="DH474" i="25"/>
  <c r="DI474" i="25" s="1"/>
  <c r="DD478" i="25"/>
  <c r="DC478" i="25" s="1"/>
  <c r="DJ478" i="25" s="1"/>
  <c r="ED470" i="25"/>
  <c r="DO486" i="25"/>
  <c r="DP486" i="25" s="1"/>
  <c r="DQ486" i="25" s="1"/>
  <c r="DR486" i="25" s="1"/>
  <c r="DW538" i="25"/>
  <c r="DH420" i="25"/>
  <c r="DI420" i="25" s="1"/>
  <c r="DE478" i="25"/>
  <c r="CT473" i="25"/>
  <c r="CO478" i="25"/>
  <c r="CQ478" i="25" s="1"/>
  <c r="CR478" i="25" s="1"/>
  <c r="CV478" i="25" s="1"/>
  <c r="CW478" i="25" s="1"/>
  <c r="CZ478" i="25" s="1"/>
  <c r="DO454" i="25"/>
  <c r="DP454" i="25" s="1"/>
  <c r="DQ454" i="25" s="1"/>
  <c r="DR454" i="25" s="1"/>
  <c r="DO465" i="25"/>
  <c r="DP465" i="25" s="1"/>
  <c r="DQ465" i="25" s="1"/>
  <c r="DR465" i="25" s="1"/>
  <c r="DO524" i="25"/>
  <c r="DP524" i="25" s="1"/>
  <c r="DQ524" i="25" s="1"/>
  <c r="DR524" i="25" s="1"/>
  <c r="DO468" i="25"/>
  <c r="DP468" i="25" s="1"/>
  <c r="DQ468" i="25" s="1"/>
  <c r="DR468" i="25" s="1"/>
  <c r="DO408" i="25"/>
  <c r="DP408" i="25" s="1"/>
  <c r="DQ408" i="25" s="1"/>
  <c r="DR408" i="25" s="1"/>
  <c r="DO519" i="25"/>
  <c r="DP519" i="25" s="1"/>
  <c r="DQ519" i="25" s="1"/>
  <c r="DR519" i="25" s="1"/>
  <c r="DO433" i="25"/>
  <c r="DP433" i="25" s="1"/>
  <c r="DQ433" i="25" s="1"/>
  <c r="DR433" i="25" s="1"/>
  <c r="DO412" i="25"/>
  <c r="DP412" i="25" s="1"/>
  <c r="DQ412" i="25" s="1"/>
  <c r="DR412" i="25" s="1"/>
  <c r="DO500" i="25"/>
  <c r="DP500" i="25" s="1"/>
  <c r="DQ500" i="25" s="1"/>
  <c r="DR500" i="25" s="1"/>
  <c r="DD475" i="25"/>
  <c r="DC475" i="25" s="1"/>
  <c r="DJ475" i="25" s="1"/>
  <c r="DY449" i="25"/>
  <c r="DY541" i="25"/>
  <c r="DY488" i="25"/>
  <c r="DY444" i="25"/>
  <c r="DO537" i="25"/>
  <c r="DP537" i="25" s="1"/>
  <c r="DQ537" i="25" s="1"/>
  <c r="DR537" i="25" s="1"/>
  <c r="DO442" i="25"/>
  <c r="DP442" i="25" s="1"/>
  <c r="DQ442" i="25" s="1"/>
  <c r="DR442" i="25" s="1"/>
  <c r="DO439" i="25"/>
  <c r="DP439" i="25" s="1"/>
  <c r="DQ439" i="25" s="1"/>
  <c r="DR439" i="25" s="1"/>
  <c r="DO541" i="25"/>
  <c r="DP541" i="25" s="1"/>
  <c r="DQ541" i="25" s="1"/>
  <c r="DR541" i="25" s="1"/>
  <c r="DO418" i="25"/>
  <c r="DP418" i="25" s="1"/>
  <c r="DQ418" i="25" s="1"/>
  <c r="DR418" i="25" s="1"/>
  <c r="DO485" i="25"/>
  <c r="DP485" i="25" s="1"/>
  <c r="DQ485" i="25" s="1"/>
  <c r="DR485" i="25" s="1"/>
  <c r="DO490" i="25"/>
  <c r="DP490" i="25" s="1"/>
  <c r="DQ490" i="25" s="1"/>
  <c r="DR490" i="25" s="1"/>
  <c r="DO444" i="25"/>
  <c r="DP444" i="25" s="1"/>
  <c r="DQ444" i="25" s="1"/>
  <c r="DR444" i="25" s="1"/>
  <c r="DO510" i="25"/>
  <c r="DP510" i="25" s="1"/>
  <c r="DQ510" i="25" s="1"/>
  <c r="DR510" i="25" s="1"/>
  <c r="CG437" i="25"/>
  <c r="CG426" i="25"/>
  <c r="CG432" i="25"/>
  <c r="CG461" i="25"/>
  <c r="CG489" i="25"/>
  <c r="CG517" i="25"/>
  <c r="CG416" i="25"/>
  <c r="DE475" i="25"/>
  <c r="DD473" i="25"/>
  <c r="DC473" i="25" s="1"/>
  <c r="DJ473" i="25" s="1"/>
  <c r="CO475" i="25"/>
  <c r="CQ475" i="25" s="1"/>
  <c r="DD503" i="25"/>
  <c r="DC503" i="25" s="1"/>
  <c r="DJ503" i="25" s="1"/>
  <c r="CG450" i="25"/>
  <c r="CG498" i="25"/>
  <c r="CG428" i="25"/>
  <c r="CG494" i="25"/>
  <c r="CG462" i="25"/>
  <c r="CG464" i="25"/>
  <c r="CG443" i="25"/>
  <c r="CG454" i="25"/>
  <c r="CG465" i="25"/>
  <c r="CG524" i="25"/>
  <c r="CG468" i="25"/>
  <c r="CG408" i="25"/>
  <c r="CG519" i="25"/>
  <c r="CG433" i="25"/>
  <c r="CG412" i="25"/>
  <c r="CG500" i="25"/>
  <c r="DD474" i="25"/>
  <c r="DC474" i="25" s="1"/>
  <c r="DJ474" i="25" s="1"/>
  <c r="ED477" i="25"/>
  <c r="ED411" i="25"/>
  <c r="ED402" i="25"/>
  <c r="ED427" i="25"/>
  <c r="ED536" i="25"/>
  <c r="ED405" i="25"/>
  <c r="ED480" i="25"/>
  <c r="ED455" i="25"/>
  <c r="EC507" i="25"/>
  <c r="EC520" i="25"/>
  <c r="EC429" i="25"/>
  <c r="EC467" i="25"/>
  <c r="EC513" i="25"/>
  <c r="EC417" i="25"/>
  <c r="EC397" i="25"/>
  <c r="EC457" i="25"/>
  <c r="EC481" i="25"/>
  <c r="CG504" i="25"/>
  <c r="CG434" i="25"/>
  <c r="CP503" i="25"/>
  <c r="CG445" i="25"/>
  <c r="CG441" i="25"/>
  <c r="CG466" i="25"/>
  <c r="CG407" i="25"/>
  <c r="CG508" i="25"/>
  <c r="CG542" i="25"/>
  <c r="CG534" i="25"/>
  <c r="DE437" i="25"/>
  <c r="DH426" i="25"/>
  <c r="DI426" i="25" s="1"/>
  <c r="DE432" i="25"/>
  <c r="DH432" i="25"/>
  <c r="DI432" i="25" s="1"/>
  <c r="DD432" i="25"/>
  <c r="DC432" i="25" s="1"/>
  <c r="DJ432" i="25" s="1"/>
  <c r="DH461" i="25"/>
  <c r="DI461" i="25" s="1"/>
  <c r="DE461" i="25"/>
  <c r="DD489" i="25"/>
  <c r="DC489" i="25" s="1"/>
  <c r="DJ489" i="25" s="1"/>
  <c r="DH489" i="25"/>
  <c r="DI489" i="25" s="1"/>
  <c r="DE489" i="25"/>
  <c r="DE517" i="25"/>
  <c r="DH517" i="25"/>
  <c r="DI517" i="25" s="1"/>
  <c r="DD416" i="25"/>
  <c r="DC416" i="25" s="1"/>
  <c r="DJ416" i="25" s="1"/>
  <c r="DE416" i="25"/>
  <c r="DH416" i="25"/>
  <c r="DI416" i="25" s="1"/>
  <c r="DY520" i="25"/>
  <c r="DD497" i="25"/>
  <c r="DC497" i="25" s="1"/>
  <c r="DJ497" i="25" s="1"/>
  <c r="DE497" i="25"/>
  <c r="DH497" i="25"/>
  <c r="DI497" i="25" s="1"/>
  <c r="DD450" i="25"/>
  <c r="DC450" i="25" s="1"/>
  <c r="DJ450" i="25" s="1"/>
  <c r="DE450" i="25"/>
  <c r="DH450" i="25"/>
  <c r="DI450" i="25" s="1"/>
  <c r="DD498" i="25"/>
  <c r="DC498" i="25" s="1"/>
  <c r="DJ498" i="25" s="1"/>
  <c r="DE498" i="25"/>
  <c r="DD428" i="25"/>
  <c r="DC428" i="25" s="1"/>
  <c r="DJ428" i="25" s="1"/>
  <c r="DE428" i="25"/>
  <c r="DH428" i="25"/>
  <c r="DI428" i="25" s="1"/>
  <c r="DD494" i="25"/>
  <c r="DC494" i="25" s="1"/>
  <c r="DJ494" i="25" s="1"/>
  <c r="DE494" i="25"/>
  <c r="DH494" i="25"/>
  <c r="DI494" i="25" s="1"/>
  <c r="DD462" i="25"/>
  <c r="DC462" i="25" s="1"/>
  <c r="DJ462" i="25" s="1"/>
  <c r="DE462" i="25"/>
  <c r="DH462" i="25"/>
  <c r="DI462" i="25" s="1"/>
  <c r="DD464" i="25"/>
  <c r="DC464" i="25" s="1"/>
  <c r="DJ464" i="25" s="1"/>
  <c r="DE464" i="25"/>
  <c r="DH464" i="25"/>
  <c r="DI464" i="25" s="1"/>
  <c r="DD443" i="25"/>
  <c r="DC443" i="25" s="1"/>
  <c r="DJ443" i="25" s="1"/>
  <c r="DE443" i="25"/>
  <c r="DH443" i="25"/>
  <c r="DI443" i="25" s="1"/>
  <c r="DD426" i="25"/>
  <c r="DC426" i="25" s="1"/>
  <c r="DJ426" i="25" s="1"/>
  <c r="DY504" i="25"/>
  <c r="DY447" i="25"/>
  <c r="DY527" i="25"/>
  <c r="DW434" i="25"/>
  <c r="DO522" i="25"/>
  <c r="DP522" i="25" s="1"/>
  <c r="DQ522" i="25" s="1"/>
  <c r="DR522" i="25" s="1"/>
  <c r="DO460" i="25"/>
  <c r="DP460" i="25" s="1"/>
  <c r="DQ460" i="25" s="1"/>
  <c r="DR460" i="25" s="1"/>
  <c r="DO399" i="25"/>
  <c r="DP399" i="25" s="1"/>
  <c r="DQ399" i="25" s="1"/>
  <c r="DR399" i="25" s="1"/>
  <c r="DO425" i="25"/>
  <c r="DP425" i="25" s="1"/>
  <c r="DQ425" i="25" s="1"/>
  <c r="DR425" i="25" s="1"/>
  <c r="DO533" i="25"/>
  <c r="DP533" i="25" s="1"/>
  <c r="DQ533" i="25" s="1"/>
  <c r="DR533" i="25" s="1"/>
  <c r="DO404" i="25"/>
  <c r="DP404" i="25" s="1"/>
  <c r="DQ404" i="25" s="1"/>
  <c r="DR404" i="25" s="1"/>
  <c r="DO438" i="25"/>
  <c r="DP438" i="25" s="1"/>
  <c r="DQ438" i="25" s="1"/>
  <c r="DR438" i="25" s="1"/>
  <c r="DO456" i="25"/>
  <c r="DP456" i="25" s="1"/>
  <c r="DQ456" i="25" s="1"/>
  <c r="DR456" i="25" s="1"/>
  <c r="ED481" i="25"/>
  <c r="EC505" i="25"/>
  <c r="CP477" i="25"/>
  <c r="CG452" i="25"/>
  <c r="CG410" i="25"/>
  <c r="CG527" i="25"/>
  <c r="DO423" i="25"/>
  <c r="DP423" i="25" s="1"/>
  <c r="DQ423" i="25" s="1"/>
  <c r="DR423" i="25" s="1"/>
  <c r="DY503" i="25"/>
  <c r="DW459" i="25"/>
  <c r="DD453" i="25"/>
  <c r="DC453" i="25" s="1"/>
  <c r="DJ453" i="25" s="1"/>
  <c r="DE453" i="25"/>
  <c r="DH453" i="25"/>
  <c r="DI453" i="25" s="1"/>
  <c r="DD449" i="25"/>
  <c r="DC449" i="25" s="1"/>
  <c r="DJ449" i="25" s="1"/>
  <c r="DE449" i="25"/>
  <c r="DH449" i="25"/>
  <c r="DI449" i="25" s="1"/>
  <c r="DD518" i="25"/>
  <c r="DC518" i="25" s="1"/>
  <c r="DJ518" i="25" s="1"/>
  <c r="DE518" i="25"/>
  <c r="DH518" i="25"/>
  <c r="DI518" i="25" s="1"/>
  <c r="DD421" i="25"/>
  <c r="DC421" i="25" s="1"/>
  <c r="DJ421" i="25" s="1"/>
  <c r="DE421" i="25"/>
  <c r="DD493" i="25"/>
  <c r="DC493" i="25" s="1"/>
  <c r="DJ493" i="25" s="1"/>
  <c r="DH493" i="25"/>
  <c r="DI493" i="25" s="1"/>
  <c r="DE493" i="25"/>
  <c r="DD488" i="25"/>
  <c r="DC488" i="25" s="1"/>
  <c r="DJ488" i="25" s="1"/>
  <c r="DH488" i="25"/>
  <c r="DI488" i="25" s="1"/>
  <c r="DE488" i="25"/>
  <c r="DD492" i="25"/>
  <c r="DC492" i="25" s="1"/>
  <c r="DJ492" i="25" s="1"/>
  <c r="DE492" i="25"/>
  <c r="DH492" i="25"/>
  <c r="DI492" i="25" s="1"/>
  <c r="DD501" i="25"/>
  <c r="DC501" i="25" s="1"/>
  <c r="DJ501" i="25" s="1"/>
  <c r="DH501" i="25"/>
  <c r="DI501" i="25" s="1"/>
  <c r="DE501" i="25"/>
  <c r="DH437" i="25"/>
  <c r="DI437" i="25" s="1"/>
  <c r="DE426" i="25"/>
  <c r="DD461" i="25"/>
  <c r="DC461" i="25" s="1"/>
  <c r="DJ461" i="25" s="1"/>
  <c r="DW409" i="25"/>
  <c r="ED452" i="25"/>
  <c r="ED410" i="25"/>
  <c r="ED434" i="25"/>
  <c r="EC463" i="25"/>
  <c r="EC523" i="25"/>
  <c r="EC400" i="25"/>
  <c r="CG414" i="25"/>
  <c r="CG406" i="25"/>
  <c r="CG502" i="25"/>
  <c r="CG512" i="25"/>
  <c r="DO470" i="25"/>
  <c r="DP470" i="25" s="1"/>
  <c r="DQ470" i="25" s="1"/>
  <c r="DR470" i="25" s="1"/>
  <c r="EC544" i="25"/>
  <c r="EC423" i="25"/>
  <c r="CG545" i="25"/>
  <c r="DY484" i="25"/>
  <c r="DO484" i="25"/>
  <c r="DP484" i="25" s="1"/>
  <c r="DQ484" i="25" s="1"/>
  <c r="DR484" i="25" s="1"/>
  <c r="CG459" i="25"/>
  <c r="DD540" i="25"/>
  <c r="DC540" i="25" s="1"/>
  <c r="DJ540" i="25" s="1"/>
  <c r="DE540" i="25"/>
  <c r="DH540" i="25"/>
  <c r="DI540" i="25" s="1"/>
  <c r="DD451" i="25"/>
  <c r="DC451" i="25" s="1"/>
  <c r="DJ451" i="25" s="1"/>
  <c r="DE451" i="25"/>
  <c r="DH451" i="25"/>
  <c r="DI451" i="25" s="1"/>
  <c r="DD440" i="25"/>
  <c r="DC440" i="25" s="1"/>
  <c r="DJ440" i="25" s="1"/>
  <c r="DE440" i="25"/>
  <c r="DH440" i="25"/>
  <c r="DI440" i="25" s="1"/>
  <c r="DD529" i="25"/>
  <c r="DC529" i="25" s="1"/>
  <c r="DJ529" i="25" s="1"/>
  <c r="DH529" i="25"/>
  <c r="DI529" i="25" s="1"/>
  <c r="DD496" i="25"/>
  <c r="DC496" i="25" s="1"/>
  <c r="DJ496" i="25" s="1"/>
  <c r="DE496" i="25"/>
  <c r="DD495" i="25"/>
  <c r="DC495" i="25" s="1"/>
  <c r="DJ495" i="25" s="1"/>
  <c r="DH495" i="25"/>
  <c r="DI495" i="25" s="1"/>
  <c r="DE495" i="25"/>
  <c r="DD424" i="25"/>
  <c r="DC424" i="25" s="1"/>
  <c r="DJ424" i="25" s="1"/>
  <c r="DH424" i="25"/>
  <c r="DI424" i="25" s="1"/>
  <c r="DD511" i="25"/>
  <c r="DC511" i="25" s="1"/>
  <c r="DJ511" i="25" s="1"/>
  <c r="DH511" i="25"/>
  <c r="DI511" i="25" s="1"/>
  <c r="DE511" i="25"/>
  <c r="DW448" i="25"/>
  <c r="DW446" i="25"/>
  <c r="DW436" i="25"/>
  <c r="DW531" i="25"/>
  <c r="DW415" i="25"/>
  <c r="DW491" i="25"/>
  <c r="DW499" i="25"/>
  <c r="DW413" i="25"/>
  <c r="DW528" i="25"/>
  <c r="DE529" i="25"/>
  <c r="DD517" i="25"/>
  <c r="DC517" i="25" s="1"/>
  <c r="DJ517" i="25" s="1"/>
  <c r="DY435" i="25"/>
  <c r="DW452" i="25"/>
  <c r="CG423" i="25"/>
  <c r="DO539" i="25"/>
  <c r="DP539" i="25" s="1"/>
  <c r="DQ539" i="25" s="1"/>
  <c r="DR539" i="25" s="1"/>
  <c r="EC503" i="25"/>
  <c r="CO459" i="25"/>
  <c r="CQ459" i="25" s="1"/>
  <c r="CU459" i="25" s="1"/>
  <c r="CX459" i="25" s="1"/>
  <c r="CY459" i="25" s="1"/>
  <c r="DE537" i="25"/>
  <c r="DD537" i="25"/>
  <c r="DC537" i="25" s="1"/>
  <c r="DJ537" i="25" s="1"/>
  <c r="DH537" i="25"/>
  <c r="DI537" i="25" s="1"/>
  <c r="DE442" i="25"/>
  <c r="DH442" i="25"/>
  <c r="DI442" i="25" s="1"/>
  <c r="DD442" i="25"/>
  <c r="DC442" i="25" s="1"/>
  <c r="DJ442" i="25" s="1"/>
  <c r="DD439" i="25"/>
  <c r="DC439" i="25" s="1"/>
  <c r="DJ439" i="25" s="1"/>
  <c r="DE439" i="25"/>
  <c r="DH439" i="25"/>
  <c r="DI439" i="25" s="1"/>
  <c r="DE541" i="25"/>
  <c r="DH541" i="25"/>
  <c r="DI541" i="25" s="1"/>
  <c r="DD541" i="25"/>
  <c r="DC541" i="25" s="1"/>
  <c r="DJ541" i="25" s="1"/>
  <c r="DD418" i="25"/>
  <c r="DC418" i="25" s="1"/>
  <c r="DJ418" i="25" s="1"/>
  <c r="DH418" i="25"/>
  <c r="DI418" i="25" s="1"/>
  <c r="DE418" i="25"/>
  <c r="DE485" i="25"/>
  <c r="DD485" i="25"/>
  <c r="DC485" i="25" s="1"/>
  <c r="DJ485" i="25" s="1"/>
  <c r="DH485" i="25"/>
  <c r="DI485" i="25" s="1"/>
  <c r="DD490" i="25"/>
  <c r="DC490" i="25" s="1"/>
  <c r="DJ490" i="25" s="1"/>
  <c r="DE490" i="25"/>
  <c r="DE444" i="25"/>
  <c r="DH444" i="25"/>
  <c r="DI444" i="25" s="1"/>
  <c r="DD444" i="25"/>
  <c r="DC444" i="25" s="1"/>
  <c r="DJ444" i="25" s="1"/>
  <c r="DE510" i="25"/>
  <c r="DH510" i="25"/>
  <c r="DI510" i="25" s="1"/>
  <c r="DD510" i="25"/>
  <c r="DC510" i="25" s="1"/>
  <c r="DJ510" i="25" s="1"/>
  <c r="DS537" i="25"/>
  <c r="DS442" i="25"/>
  <c r="DS439" i="25"/>
  <c r="DS541" i="25"/>
  <c r="DS418" i="25"/>
  <c r="DS485" i="25"/>
  <c r="DS490" i="25"/>
  <c r="DS444" i="25"/>
  <c r="DS510" i="25"/>
  <c r="DH498" i="25"/>
  <c r="DI498" i="25" s="1"/>
  <c r="DY410" i="25"/>
  <c r="CG404" i="25"/>
  <c r="CO543" i="25"/>
  <c r="CQ543" i="25" s="1"/>
  <c r="CR543" i="25" s="1"/>
  <c r="CV543" i="25" s="1"/>
  <c r="CW543" i="25" s="1"/>
  <c r="CZ543" i="25" s="1"/>
  <c r="DD448" i="25"/>
  <c r="DC448" i="25" s="1"/>
  <c r="DJ448" i="25" s="1"/>
  <c r="DH448" i="25"/>
  <c r="DI448" i="25" s="1"/>
  <c r="DE446" i="25"/>
  <c r="DH446" i="25"/>
  <c r="DI446" i="25" s="1"/>
  <c r="DD446" i="25"/>
  <c r="DC446" i="25" s="1"/>
  <c r="DJ446" i="25" s="1"/>
  <c r="DD436" i="25"/>
  <c r="DC436" i="25" s="1"/>
  <c r="DJ436" i="25" s="1"/>
  <c r="DE436" i="25"/>
  <c r="DH436" i="25"/>
  <c r="DI436" i="25" s="1"/>
  <c r="DE531" i="25"/>
  <c r="DH531" i="25"/>
  <c r="DI531" i="25" s="1"/>
  <c r="DD531" i="25"/>
  <c r="DC531" i="25" s="1"/>
  <c r="DJ531" i="25" s="1"/>
  <c r="DD415" i="25"/>
  <c r="DC415" i="25" s="1"/>
  <c r="DJ415" i="25" s="1"/>
  <c r="DH415" i="25"/>
  <c r="DI415" i="25" s="1"/>
  <c r="DE415" i="25"/>
  <c r="DE491" i="25"/>
  <c r="DD491" i="25"/>
  <c r="DC491" i="25" s="1"/>
  <c r="DJ491" i="25" s="1"/>
  <c r="DH491" i="25"/>
  <c r="DI491" i="25" s="1"/>
  <c r="DE499" i="25"/>
  <c r="DD499" i="25"/>
  <c r="DC499" i="25" s="1"/>
  <c r="DJ499" i="25" s="1"/>
  <c r="DH499" i="25"/>
  <c r="DI499" i="25" s="1"/>
  <c r="DD413" i="25"/>
  <c r="DC413" i="25" s="1"/>
  <c r="DJ413" i="25" s="1"/>
  <c r="DE413" i="25"/>
  <c r="DD528" i="25"/>
  <c r="DC528" i="25" s="1"/>
  <c r="DJ528" i="25" s="1"/>
  <c r="DE528" i="25"/>
  <c r="DH528" i="25"/>
  <c r="DI528" i="25" s="1"/>
  <c r="DW445" i="25"/>
  <c r="DW441" i="25"/>
  <c r="DW466" i="25"/>
  <c r="DW407" i="25"/>
  <c r="DW508" i="25"/>
  <c r="DW542" i="25"/>
  <c r="DW534" i="25"/>
  <c r="DH421" i="25"/>
  <c r="DI421" i="25" s="1"/>
  <c r="DE424" i="25"/>
  <c r="DY431" i="25"/>
  <c r="DY470" i="25"/>
  <c r="ED545" i="25"/>
  <c r="CO545" i="25"/>
  <c r="CQ545" i="25" s="1"/>
  <c r="CP486" i="25"/>
  <c r="CO484" i="25"/>
  <c r="CQ484" i="25" s="1"/>
  <c r="CR484" i="25" s="1"/>
  <c r="DE454" i="25"/>
  <c r="DD454" i="25"/>
  <c r="DC454" i="25" s="1"/>
  <c r="DJ454" i="25" s="1"/>
  <c r="DH454" i="25"/>
  <c r="DI454" i="25" s="1"/>
  <c r="DE465" i="25"/>
  <c r="DD465" i="25"/>
  <c r="DC465" i="25" s="1"/>
  <c r="DJ465" i="25" s="1"/>
  <c r="DH465" i="25"/>
  <c r="DI465" i="25" s="1"/>
  <c r="DE524" i="25"/>
  <c r="DD524" i="25"/>
  <c r="DC524" i="25" s="1"/>
  <c r="DJ524" i="25" s="1"/>
  <c r="DH524" i="25"/>
  <c r="DI524" i="25" s="1"/>
  <c r="DE468" i="25"/>
  <c r="DD468" i="25"/>
  <c r="DC468" i="25" s="1"/>
  <c r="DJ468" i="25" s="1"/>
  <c r="DH468" i="25"/>
  <c r="DI468" i="25" s="1"/>
  <c r="DE408" i="25"/>
  <c r="DD408" i="25"/>
  <c r="DC408" i="25" s="1"/>
  <c r="DJ408" i="25" s="1"/>
  <c r="DH408" i="25"/>
  <c r="DI408" i="25" s="1"/>
  <c r="DE519" i="25"/>
  <c r="DD519" i="25"/>
  <c r="DC519" i="25" s="1"/>
  <c r="DJ519" i="25" s="1"/>
  <c r="DH519" i="25"/>
  <c r="DI519" i="25" s="1"/>
  <c r="DE433" i="25"/>
  <c r="DD433" i="25"/>
  <c r="DC433" i="25" s="1"/>
  <c r="DJ433" i="25" s="1"/>
  <c r="DH433" i="25"/>
  <c r="DI433" i="25" s="1"/>
  <c r="DE412" i="25"/>
  <c r="DD412" i="25"/>
  <c r="DC412" i="25" s="1"/>
  <c r="DJ412" i="25" s="1"/>
  <c r="DH412" i="25"/>
  <c r="DI412" i="25" s="1"/>
  <c r="DE500" i="25"/>
  <c r="DD500" i="25"/>
  <c r="DC500" i="25" s="1"/>
  <c r="DJ500" i="25" s="1"/>
  <c r="DH496" i="25"/>
  <c r="DI496" i="25" s="1"/>
  <c r="DD470" i="25"/>
  <c r="DC470" i="25" s="1"/>
  <c r="DJ470" i="25" s="1"/>
  <c r="CO423" i="25"/>
  <c r="CQ423" i="25" s="1"/>
  <c r="CR423" i="25" s="1"/>
  <c r="CV423" i="25" s="1"/>
  <c r="CW423" i="25" s="1"/>
  <c r="CZ423" i="25" s="1"/>
  <c r="ED486" i="25"/>
  <c r="EC484" i="25"/>
  <c r="ED503" i="25"/>
  <c r="CO486" i="25"/>
  <c r="CQ486" i="25" s="1"/>
  <c r="CR486" i="25" s="1"/>
  <c r="CV486" i="25" s="1"/>
  <c r="CW486" i="25" s="1"/>
  <c r="CZ486" i="25" s="1"/>
  <c r="CP484" i="25"/>
  <c r="CP459" i="25"/>
  <c r="CO539" i="25"/>
  <c r="CQ539" i="25" s="1"/>
  <c r="CR539" i="25" s="1"/>
  <c r="DH445" i="25"/>
  <c r="DI445" i="25" s="1"/>
  <c r="DD445" i="25"/>
  <c r="DC445" i="25" s="1"/>
  <c r="DJ445" i="25" s="1"/>
  <c r="DH441" i="25"/>
  <c r="DI441" i="25" s="1"/>
  <c r="DD441" i="25"/>
  <c r="DC441" i="25" s="1"/>
  <c r="DJ441" i="25" s="1"/>
  <c r="DE441" i="25"/>
  <c r="DH466" i="25"/>
  <c r="DI466" i="25" s="1"/>
  <c r="DE466" i="25"/>
  <c r="DD466" i="25"/>
  <c r="DC466" i="25" s="1"/>
  <c r="DJ466" i="25" s="1"/>
  <c r="DH407" i="25"/>
  <c r="DI407" i="25" s="1"/>
  <c r="DD407" i="25"/>
  <c r="DC407" i="25" s="1"/>
  <c r="DJ407" i="25" s="1"/>
  <c r="DE407" i="25"/>
  <c r="DH508" i="25"/>
  <c r="DI508" i="25" s="1"/>
  <c r="DD508" i="25"/>
  <c r="DC508" i="25" s="1"/>
  <c r="DJ508" i="25" s="1"/>
  <c r="DH542" i="25"/>
  <c r="DI542" i="25" s="1"/>
  <c r="DD542" i="25"/>
  <c r="DC542" i="25" s="1"/>
  <c r="DJ542" i="25" s="1"/>
  <c r="DE542" i="25"/>
  <c r="DH534" i="25"/>
  <c r="DI534" i="25" s="1"/>
  <c r="DD534" i="25"/>
  <c r="DC534" i="25" s="1"/>
  <c r="DJ534" i="25" s="1"/>
  <c r="DE534" i="25"/>
  <c r="DH490" i="25"/>
  <c r="DI490" i="25" s="1"/>
  <c r="DD437" i="25"/>
  <c r="DC437" i="25" s="1"/>
  <c r="DJ437" i="25" s="1"/>
  <c r="CT454" i="25"/>
  <c r="CT465" i="25"/>
  <c r="CT524" i="25"/>
  <c r="CT468" i="25"/>
  <c r="CT408" i="25"/>
  <c r="CT519" i="25"/>
  <c r="CT433" i="25"/>
  <c r="CT500" i="25"/>
  <c r="CO537" i="25"/>
  <c r="CQ537" i="25" s="1"/>
  <c r="CP537" i="25"/>
  <c r="CO442" i="25"/>
  <c r="CQ442" i="25" s="1"/>
  <c r="CP442" i="25"/>
  <c r="CO439" i="25"/>
  <c r="CQ439" i="25" s="1"/>
  <c r="CP439" i="25"/>
  <c r="CO541" i="25"/>
  <c r="CQ541" i="25" s="1"/>
  <c r="CP541" i="25"/>
  <c r="CO418" i="25"/>
  <c r="CQ418" i="25" s="1"/>
  <c r="CP418" i="25"/>
  <c r="CO485" i="25"/>
  <c r="CQ485" i="25" s="1"/>
  <c r="CP485" i="25"/>
  <c r="CO490" i="25"/>
  <c r="CQ490" i="25" s="1"/>
  <c r="CP490" i="25"/>
  <c r="CO444" i="25"/>
  <c r="CQ444" i="25" s="1"/>
  <c r="CP444" i="25"/>
  <c r="CO510" i="25"/>
  <c r="CQ510" i="25" s="1"/>
  <c r="CP510" i="25"/>
  <c r="CO497" i="25"/>
  <c r="CQ497" i="25" s="1"/>
  <c r="CP497" i="25"/>
  <c r="CO450" i="25"/>
  <c r="CQ450" i="25" s="1"/>
  <c r="CP450" i="25"/>
  <c r="CO498" i="25"/>
  <c r="CQ498" i="25" s="1"/>
  <c r="CP498" i="25"/>
  <c r="CO428" i="25"/>
  <c r="CQ428" i="25" s="1"/>
  <c r="CP428" i="25"/>
  <c r="CO494" i="25"/>
  <c r="CQ494" i="25" s="1"/>
  <c r="CP494" i="25"/>
  <c r="CO462" i="25"/>
  <c r="CQ462" i="25" s="1"/>
  <c r="CP462" i="25"/>
  <c r="CO464" i="25"/>
  <c r="CQ464" i="25" s="1"/>
  <c r="CP464" i="25"/>
  <c r="CO443" i="25"/>
  <c r="CQ443" i="25" s="1"/>
  <c r="CP443" i="25"/>
  <c r="CP454" i="25"/>
  <c r="CO454" i="25"/>
  <c r="CQ454" i="25" s="1"/>
  <c r="CP465" i="25"/>
  <c r="CO465" i="25"/>
  <c r="CQ465" i="25" s="1"/>
  <c r="CR465" i="25" s="1"/>
  <c r="CP524" i="25"/>
  <c r="CO524" i="25"/>
  <c r="CQ524" i="25" s="1"/>
  <c r="CP468" i="25"/>
  <c r="CO468" i="25"/>
  <c r="CQ468" i="25" s="1"/>
  <c r="CR468" i="25" s="1"/>
  <c r="CP408" i="25"/>
  <c r="CO408" i="25"/>
  <c r="CQ408" i="25" s="1"/>
  <c r="CP519" i="25"/>
  <c r="CO519" i="25"/>
  <c r="CQ519" i="25" s="1"/>
  <c r="CR519" i="25" s="1"/>
  <c r="CV519" i="25" s="1"/>
  <c r="CW519" i="25" s="1"/>
  <c r="CZ519" i="25" s="1"/>
  <c r="CP433" i="25"/>
  <c r="CO433" i="25"/>
  <c r="CQ433" i="25" s="1"/>
  <c r="CP412" i="25"/>
  <c r="CO412" i="25"/>
  <c r="CQ412" i="25" s="1"/>
  <c r="CP500" i="25"/>
  <c r="CO500" i="25"/>
  <c r="CQ500" i="25" s="1"/>
  <c r="CO540" i="25"/>
  <c r="CQ540" i="25" s="1"/>
  <c r="CP540" i="25"/>
  <c r="CO451" i="25"/>
  <c r="CQ451" i="25" s="1"/>
  <c r="CP451" i="25"/>
  <c r="CO440" i="25"/>
  <c r="CQ440" i="25" s="1"/>
  <c r="CP440" i="25"/>
  <c r="CO529" i="25"/>
  <c r="CQ529" i="25" s="1"/>
  <c r="CP529" i="25"/>
  <c r="CO496" i="25"/>
  <c r="CQ496" i="25" s="1"/>
  <c r="CP496" i="25"/>
  <c r="CO495" i="25"/>
  <c r="CQ495" i="25" s="1"/>
  <c r="CP495" i="25"/>
  <c r="CO424" i="25"/>
  <c r="CQ424" i="25" s="1"/>
  <c r="CP424" i="25"/>
  <c r="CO511" i="25"/>
  <c r="CQ511" i="25" s="1"/>
  <c r="CP511" i="25"/>
  <c r="DY539" i="25"/>
  <c r="DD484" i="25"/>
  <c r="DC484" i="25" s="1"/>
  <c r="DJ484" i="25" s="1"/>
  <c r="DY414" i="25"/>
  <c r="DY406" i="25"/>
  <c r="DO406" i="25"/>
  <c r="DP406" i="25" s="1"/>
  <c r="DQ406" i="25" s="1"/>
  <c r="DR406" i="25" s="1"/>
  <c r="ED526" i="25"/>
  <c r="ED409" i="25"/>
  <c r="ED471" i="25"/>
  <c r="ED403" i="25"/>
  <c r="ED469" i="25"/>
  <c r="EC509" i="25"/>
  <c r="EC414" i="25"/>
  <c r="EC532" i="25"/>
  <c r="EC406" i="25"/>
  <c r="EC401" i="25"/>
  <c r="EC479" i="25"/>
  <c r="CO477" i="25"/>
  <c r="CQ477" i="25" s="1"/>
  <c r="CO411" i="25"/>
  <c r="CQ411" i="25" s="1"/>
  <c r="CP402" i="25"/>
  <c r="CO427" i="25"/>
  <c r="CQ427" i="25" s="1"/>
  <c r="CO536" i="25"/>
  <c r="CQ536" i="25" s="1"/>
  <c r="CP405" i="25"/>
  <c r="CO480" i="25"/>
  <c r="CQ480" i="25" s="1"/>
  <c r="CP455" i="25"/>
  <c r="DW543" i="25"/>
  <c r="DH486" i="25"/>
  <c r="DI486" i="25" s="1"/>
  <c r="DE459" i="25"/>
  <c r="DD539" i="25"/>
  <c r="DC539" i="25" s="1"/>
  <c r="DJ539" i="25" s="1"/>
  <c r="DO455" i="25"/>
  <c r="DP455" i="25" s="1"/>
  <c r="DQ455" i="25" s="1"/>
  <c r="DR455" i="25" s="1"/>
  <c r="CG476" i="25"/>
  <c r="CG447" i="25"/>
  <c r="CG435" i="25"/>
  <c r="DW545" i="25"/>
  <c r="CP543" i="25"/>
  <c r="DH459" i="25"/>
  <c r="DI459" i="25" s="1"/>
  <c r="DE503" i="25"/>
  <c r="CT484" i="25"/>
  <c r="CO503" i="25"/>
  <c r="CQ503" i="25" s="1"/>
  <c r="DY509" i="25"/>
  <c r="DY422" i="25"/>
  <c r="DY397" i="25"/>
  <c r="CG526" i="25"/>
  <c r="CG409" i="25"/>
  <c r="CG422" i="25"/>
  <c r="CG530" i="25"/>
  <c r="CG403" i="25"/>
  <c r="CG505" i="25"/>
  <c r="DW423" i="25"/>
  <c r="DO544" i="25"/>
  <c r="DP544" i="25" s="1"/>
  <c r="DQ544" i="25" s="1"/>
  <c r="DR544" i="25" s="1"/>
  <c r="DH544" i="25"/>
  <c r="DI544" i="25" s="1"/>
  <c r="CP545" i="25"/>
  <c r="DE484" i="25"/>
  <c r="CT539" i="25"/>
  <c r="ED522" i="25"/>
  <c r="ED460" i="25"/>
  <c r="ED399" i="25"/>
  <c r="ED425" i="25"/>
  <c r="ED533" i="25"/>
  <c r="ED404" i="25"/>
  <c r="ED438" i="25"/>
  <c r="ED456" i="25"/>
  <c r="EC476" i="25"/>
  <c r="EC504" i="25"/>
  <c r="EC452" i="25"/>
  <c r="EC431" i="25"/>
  <c r="EC447" i="25"/>
  <c r="EC410" i="25"/>
  <c r="EC434" i="25"/>
  <c r="EC527" i="25"/>
  <c r="EC435" i="25"/>
  <c r="ED520" i="25"/>
  <c r="ED429" i="25"/>
  <c r="ED467" i="25"/>
  <c r="ED513" i="25"/>
  <c r="ED417" i="25"/>
  <c r="ED397" i="25"/>
  <c r="ED457" i="25"/>
  <c r="EC526" i="25"/>
  <c r="EC409" i="25"/>
  <c r="EC471" i="25"/>
  <c r="EC422" i="25"/>
  <c r="EC530" i="25"/>
  <c r="EC403" i="25"/>
  <c r="EC469" i="25"/>
  <c r="CO476" i="25"/>
  <c r="CQ476" i="25" s="1"/>
  <c r="CR476" i="25" s="1"/>
  <c r="CV476" i="25" s="1"/>
  <c r="CW476" i="25" s="1"/>
  <c r="CZ476" i="25" s="1"/>
  <c r="CO523" i="25"/>
  <c r="CQ523" i="25" s="1"/>
  <c r="DD544" i="25"/>
  <c r="DC544" i="25" s="1"/>
  <c r="DJ544" i="25" s="1"/>
  <c r="CP423" i="25"/>
  <c r="CG544" i="25"/>
  <c r="DE539" i="25"/>
  <c r="DY535" i="25"/>
  <c r="DO419" i="25"/>
  <c r="DP419" i="25" s="1"/>
  <c r="DQ419" i="25" s="1"/>
  <c r="DR419" i="25" s="1"/>
  <c r="DO482" i="25"/>
  <c r="DP482" i="25" s="1"/>
  <c r="DQ482" i="25" s="1"/>
  <c r="DR482" i="25" s="1"/>
  <c r="DO515" i="25"/>
  <c r="DP515" i="25" s="1"/>
  <c r="DQ515" i="25" s="1"/>
  <c r="DR515" i="25" s="1"/>
  <c r="ED431" i="25"/>
  <c r="ED527" i="25"/>
  <c r="EC419" i="25"/>
  <c r="EC482" i="25"/>
  <c r="CG460" i="25"/>
  <c r="CP544" i="25"/>
  <c r="CO544" i="25"/>
  <c r="CQ544" i="25" s="1"/>
  <c r="DD486" i="25"/>
  <c r="DC486" i="25" s="1"/>
  <c r="DJ486" i="25" s="1"/>
  <c r="DY467" i="25"/>
  <c r="DY460" i="25"/>
  <c r="DY456" i="25"/>
  <c r="DH543" i="25"/>
  <c r="DI543" i="25" s="1"/>
  <c r="DD543" i="25"/>
  <c r="DC543" i="25" s="1"/>
  <c r="DJ543" i="25" s="1"/>
  <c r="DY522" i="25"/>
  <c r="DY533" i="25"/>
  <c r="DY505" i="25"/>
  <c r="DW402" i="25"/>
  <c r="DW438" i="25"/>
  <c r="CP536" i="25"/>
  <c r="DH545" i="25"/>
  <c r="DI545" i="25" s="1"/>
  <c r="DD545" i="25"/>
  <c r="DC545" i="25" s="1"/>
  <c r="DJ545" i="25" s="1"/>
  <c r="DY429" i="25"/>
  <c r="DY481" i="25"/>
  <c r="DW399" i="25"/>
  <c r="DO476" i="25"/>
  <c r="DP476" i="25" s="1"/>
  <c r="DQ476" i="25" s="1"/>
  <c r="DR476" i="25" s="1"/>
  <c r="DO504" i="25"/>
  <c r="DP504" i="25" s="1"/>
  <c r="DQ504" i="25" s="1"/>
  <c r="DR504" i="25" s="1"/>
  <c r="DO452" i="25"/>
  <c r="DP452" i="25" s="1"/>
  <c r="DQ452" i="25" s="1"/>
  <c r="DR452" i="25" s="1"/>
  <c r="DO431" i="25"/>
  <c r="DP431" i="25" s="1"/>
  <c r="DQ431" i="25" s="1"/>
  <c r="DR431" i="25" s="1"/>
  <c r="DO447" i="25"/>
  <c r="DP447" i="25" s="1"/>
  <c r="DQ447" i="25" s="1"/>
  <c r="DR447" i="25" s="1"/>
  <c r="DO410" i="25"/>
  <c r="DP410" i="25" s="1"/>
  <c r="DQ410" i="25" s="1"/>
  <c r="DR410" i="25" s="1"/>
  <c r="DO434" i="25"/>
  <c r="DP434" i="25" s="1"/>
  <c r="DQ434" i="25" s="1"/>
  <c r="DR434" i="25" s="1"/>
  <c r="DO527" i="25"/>
  <c r="DP527" i="25" s="1"/>
  <c r="DQ527" i="25" s="1"/>
  <c r="DR527" i="25" s="1"/>
  <c r="DO435" i="25"/>
  <c r="DP435" i="25" s="1"/>
  <c r="DQ435" i="25" s="1"/>
  <c r="DR435" i="25" s="1"/>
  <c r="CP480" i="25"/>
  <c r="DH423" i="25"/>
  <c r="DI423" i="25" s="1"/>
  <c r="DD423" i="25"/>
  <c r="DC423" i="25" s="1"/>
  <c r="DJ423" i="25" s="1"/>
  <c r="DO509" i="25"/>
  <c r="DP509" i="25" s="1"/>
  <c r="DQ509" i="25" s="1"/>
  <c r="DR509" i="25" s="1"/>
  <c r="DO414" i="25"/>
  <c r="DP414" i="25" s="1"/>
  <c r="DQ414" i="25" s="1"/>
  <c r="DR414" i="25" s="1"/>
  <c r="DO532" i="25"/>
  <c r="DP532" i="25" s="1"/>
  <c r="DQ532" i="25" s="1"/>
  <c r="DR532" i="25" s="1"/>
  <c r="DO430" i="25"/>
  <c r="DP430" i="25" s="1"/>
  <c r="DQ430" i="25" s="1"/>
  <c r="DR430" i="25" s="1"/>
  <c r="DO535" i="25"/>
  <c r="DP535" i="25" s="1"/>
  <c r="DQ535" i="25" s="1"/>
  <c r="DR535" i="25" s="1"/>
  <c r="DO401" i="25"/>
  <c r="DP401" i="25" s="1"/>
  <c r="DQ401" i="25" s="1"/>
  <c r="DR401" i="25" s="1"/>
  <c r="DO487" i="25"/>
  <c r="DP487" i="25" s="1"/>
  <c r="DQ487" i="25" s="1"/>
  <c r="DR487" i="25" s="1"/>
  <c r="DO479" i="25"/>
  <c r="DP479" i="25" s="1"/>
  <c r="DQ479" i="25" s="1"/>
  <c r="DR479" i="25" s="1"/>
  <c r="CG509" i="25"/>
  <c r="CG532" i="25"/>
  <c r="CG430" i="25"/>
  <c r="CG535" i="25"/>
  <c r="CG401" i="25"/>
  <c r="CG487" i="25"/>
  <c r="CG479" i="25"/>
  <c r="DY544" i="25"/>
  <c r="DS544" i="25"/>
  <c r="DE544" i="25"/>
  <c r="DO521" i="25"/>
  <c r="DP521" i="25" s="1"/>
  <c r="DQ521" i="25" s="1"/>
  <c r="DR521" i="25" s="1"/>
  <c r="DO523" i="25"/>
  <c r="DP523" i="25" s="1"/>
  <c r="DQ523" i="25" s="1"/>
  <c r="DR523" i="25" s="1"/>
  <c r="CP522" i="25"/>
  <c r="CP399" i="25"/>
  <c r="CP533" i="25"/>
  <c r="CP438" i="25"/>
  <c r="CP476" i="25"/>
  <c r="CO504" i="25"/>
  <c r="CQ504" i="25" s="1"/>
  <c r="CR504" i="25" s="1"/>
  <c r="CV504" i="25" s="1"/>
  <c r="CW504" i="25" s="1"/>
  <c r="CZ504" i="25" s="1"/>
  <c r="CO452" i="25"/>
  <c r="CQ452" i="25" s="1"/>
  <c r="CR452" i="25" s="1"/>
  <c r="CV452" i="25" s="1"/>
  <c r="CW452" i="25" s="1"/>
  <c r="CZ452" i="25" s="1"/>
  <c r="CO431" i="25"/>
  <c r="CQ431" i="25" s="1"/>
  <c r="CR431" i="25" s="1"/>
  <c r="CV431" i="25" s="1"/>
  <c r="CW431" i="25" s="1"/>
  <c r="CZ431" i="25" s="1"/>
  <c r="CP447" i="25"/>
  <c r="CP410" i="25"/>
  <c r="CP434" i="25"/>
  <c r="CO527" i="25"/>
  <c r="CQ527" i="25" s="1"/>
  <c r="CR527" i="25" s="1"/>
  <c r="CV527" i="25" s="1"/>
  <c r="CW527" i="25" s="1"/>
  <c r="CZ527" i="25" s="1"/>
  <c r="CP435" i="25"/>
  <c r="CO525" i="25"/>
  <c r="CQ525" i="25" s="1"/>
  <c r="CO463" i="25"/>
  <c r="CQ463" i="25" s="1"/>
  <c r="CR463" i="25" s="1"/>
  <c r="CV463" i="25" s="1"/>
  <c r="CW463" i="25" s="1"/>
  <c r="CZ463" i="25" s="1"/>
  <c r="CP419" i="25"/>
  <c r="CP521" i="25"/>
  <c r="CP523" i="25"/>
  <c r="CP400" i="25"/>
  <c r="CO482" i="25"/>
  <c r="CQ482" i="25" s="1"/>
  <c r="CP515" i="25"/>
  <c r="CG525" i="25"/>
  <c r="CG463" i="25"/>
  <c r="CG419" i="25"/>
  <c r="CG521" i="25"/>
  <c r="CG523" i="25"/>
  <c r="CG400" i="25"/>
  <c r="CG482" i="25"/>
  <c r="CG515" i="25"/>
  <c r="DE543" i="25"/>
  <c r="DY507" i="25"/>
  <c r="DY457" i="25"/>
  <c r="DW404" i="25"/>
  <c r="DO506" i="25"/>
  <c r="DP506" i="25" s="1"/>
  <c r="DQ506" i="25" s="1"/>
  <c r="DR506" i="25" s="1"/>
  <c r="DO512" i="25"/>
  <c r="DP512" i="25" s="1"/>
  <c r="DQ512" i="25" s="1"/>
  <c r="DR512" i="25" s="1"/>
  <c r="CP507" i="25"/>
  <c r="CP520" i="25"/>
  <c r="CP429" i="25"/>
  <c r="CP467" i="25"/>
  <c r="CP513" i="25"/>
  <c r="CO526" i="25"/>
  <c r="CQ526" i="25" s="1"/>
  <c r="CR526" i="25" s="1"/>
  <c r="CV526" i="25" s="1"/>
  <c r="CW526" i="25" s="1"/>
  <c r="CZ526" i="25" s="1"/>
  <c r="CG458" i="25"/>
  <c r="CG506" i="25"/>
  <c r="CG514" i="25"/>
  <c r="CG483" i="25"/>
  <c r="CG398" i="25"/>
  <c r="CG516" i="25"/>
  <c r="CG522" i="25"/>
  <c r="CG399" i="25"/>
  <c r="CG425" i="25"/>
  <c r="CG533" i="25"/>
  <c r="CG438" i="25"/>
  <c r="CG456" i="25"/>
  <c r="EC470" i="25"/>
  <c r="DE545" i="25"/>
  <c r="CO455" i="25"/>
  <c r="CQ455" i="25" s="1"/>
  <c r="CO470" i="25"/>
  <c r="CQ470" i="25" s="1"/>
  <c r="DE423" i="25"/>
  <c r="DY515" i="25"/>
  <c r="DW419" i="25"/>
  <c r="DW482" i="25"/>
  <c r="DS482" i="25"/>
  <c r="DH430" i="25"/>
  <c r="DI430" i="25" s="1"/>
  <c r="CO419" i="25"/>
  <c r="CQ419" i="25" s="1"/>
  <c r="CR419" i="25" s="1"/>
  <c r="CV419" i="25" s="1"/>
  <c r="CW419" i="25" s="1"/>
  <c r="CZ419" i="25" s="1"/>
  <c r="CO410" i="25"/>
  <c r="CQ410" i="25" s="1"/>
  <c r="CO515" i="25"/>
  <c r="CQ515" i="25" s="1"/>
  <c r="CO483" i="25"/>
  <c r="CQ483" i="25" s="1"/>
  <c r="CO398" i="25"/>
  <c r="CQ398" i="25" s="1"/>
  <c r="CO512" i="25"/>
  <c r="CQ512" i="25" s="1"/>
  <c r="CO516" i="25"/>
  <c r="CQ516" i="25" s="1"/>
  <c r="CO522" i="25"/>
  <c r="CQ522" i="25" s="1"/>
  <c r="CO460" i="25"/>
  <c r="CQ460" i="25" s="1"/>
  <c r="CO399" i="25"/>
  <c r="CQ399" i="25" s="1"/>
  <c r="CO425" i="25"/>
  <c r="CQ425" i="25" s="1"/>
  <c r="CO533" i="25"/>
  <c r="CQ533" i="25" s="1"/>
  <c r="CO404" i="25"/>
  <c r="CQ404" i="25" s="1"/>
  <c r="CO438" i="25"/>
  <c r="CQ438" i="25" s="1"/>
  <c r="CO456" i="25"/>
  <c r="CQ456" i="25" s="1"/>
  <c r="DS400" i="25"/>
  <c r="DS512" i="25"/>
  <c r="CP525" i="25"/>
  <c r="CP482" i="25"/>
  <c r="CO467" i="25"/>
  <c r="CQ467" i="25" s="1"/>
  <c r="CR467" i="25" s="1"/>
  <c r="CO405" i="25"/>
  <c r="CQ405" i="25" s="1"/>
  <c r="CO435" i="25"/>
  <c r="CQ435" i="25" s="1"/>
  <c r="DH470" i="25"/>
  <c r="DI470" i="25" s="1"/>
  <c r="DY400" i="25"/>
  <c r="DW463" i="25"/>
  <c r="DW487" i="25"/>
  <c r="DH487" i="25"/>
  <c r="DI487" i="25" s="1"/>
  <c r="CP504" i="25"/>
  <c r="CP431" i="25"/>
  <c r="CP527" i="25"/>
  <c r="CO520" i="25"/>
  <c r="CQ520" i="25" s="1"/>
  <c r="CO400" i="25"/>
  <c r="CQ400" i="25" s="1"/>
  <c r="DY523" i="25"/>
  <c r="DO526" i="25"/>
  <c r="DP526" i="25" s="1"/>
  <c r="DQ526" i="25" s="1"/>
  <c r="DR526" i="25" s="1"/>
  <c r="DO409" i="25"/>
  <c r="DP409" i="25" s="1"/>
  <c r="DQ409" i="25" s="1"/>
  <c r="DR409" i="25" s="1"/>
  <c r="DO471" i="25"/>
  <c r="DP471" i="25" s="1"/>
  <c r="DQ471" i="25" s="1"/>
  <c r="DR471" i="25" s="1"/>
  <c r="DO422" i="25"/>
  <c r="DP422" i="25" s="1"/>
  <c r="DQ422" i="25" s="1"/>
  <c r="DR422" i="25" s="1"/>
  <c r="DO530" i="25"/>
  <c r="DP530" i="25" s="1"/>
  <c r="DQ530" i="25" s="1"/>
  <c r="DR530" i="25" s="1"/>
  <c r="DO403" i="25"/>
  <c r="DP403" i="25" s="1"/>
  <c r="DQ403" i="25" s="1"/>
  <c r="DR403" i="25" s="1"/>
  <c r="DO469" i="25"/>
  <c r="DP469" i="25" s="1"/>
  <c r="DQ469" i="25" s="1"/>
  <c r="DR469" i="25" s="1"/>
  <c r="DO505" i="25"/>
  <c r="DP505" i="25" s="1"/>
  <c r="DQ505" i="25" s="1"/>
  <c r="DR505" i="25" s="1"/>
  <c r="CP411" i="25"/>
  <c r="CP427" i="25"/>
  <c r="CO434" i="25"/>
  <c r="CQ434" i="25" s="1"/>
  <c r="CR434" i="25" s="1"/>
  <c r="CV434" i="25" s="1"/>
  <c r="CW434" i="25" s="1"/>
  <c r="CZ434" i="25" s="1"/>
  <c r="CP470" i="25"/>
  <c r="DY521" i="25"/>
  <c r="DY417" i="25"/>
  <c r="DW401" i="25"/>
  <c r="DS514" i="25"/>
  <c r="DO525" i="25"/>
  <c r="DP525" i="25" s="1"/>
  <c r="DQ525" i="25" s="1"/>
  <c r="DR525" i="25" s="1"/>
  <c r="DO463" i="25"/>
  <c r="DP463" i="25" s="1"/>
  <c r="DQ463" i="25" s="1"/>
  <c r="DR463" i="25" s="1"/>
  <c r="CP460" i="25"/>
  <c r="CP425" i="25"/>
  <c r="CP404" i="25"/>
  <c r="CP456" i="25"/>
  <c r="CO521" i="25"/>
  <c r="CQ521" i="25" s="1"/>
  <c r="DE470" i="25"/>
  <c r="DY513" i="25"/>
  <c r="DS463" i="25"/>
  <c r="CP463" i="25"/>
  <c r="CO447" i="25"/>
  <c r="CQ447" i="25" s="1"/>
  <c r="CR447" i="25" s="1"/>
  <c r="CV447" i="25" s="1"/>
  <c r="CW447" i="25" s="1"/>
  <c r="CZ447" i="25" s="1"/>
  <c r="DS525" i="25"/>
  <c r="DO477" i="25"/>
  <c r="DP477" i="25" s="1"/>
  <c r="DQ477" i="25" s="1"/>
  <c r="DR477" i="25" s="1"/>
  <c r="DO411" i="25"/>
  <c r="DP411" i="25" s="1"/>
  <c r="DQ411" i="25" s="1"/>
  <c r="DR411" i="25" s="1"/>
  <c r="DO402" i="25"/>
  <c r="DP402" i="25" s="1"/>
  <c r="DQ402" i="25" s="1"/>
  <c r="DR402" i="25" s="1"/>
  <c r="DO427" i="25"/>
  <c r="DP427" i="25" s="1"/>
  <c r="DQ427" i="25" s="1"/>
  <c r="DR427" i="25" s="1"/>
  <c r="DO536" i="25"/>
  <c r="DP536" i="25" s="1"/>
  <c r="DQ536" i="25" s="1"/>
  <c r="DR536" i="25" s="1"/>
  <c r="DO405" i="25"/>
  <c r="DP405" i="25" s="1"/>
  <c r="DQ405" i="25" s="1"/>
  <c r="DR405" i="25" s="1"/>
  <c r="DO480" i="25"/>
  <c r="DP480" i="25" s="1"/>
  <c r="DQ480" i="25" s="1"/>
  <c r="DR480" i="25" s="1"/>
  <c r="DO507" i="25"/>
  <c r="DP507" i="25" s="1"/>
  <c r="DQ507" i="25" s="1"/>
  <c r="DR507" i="25" s="1"/>
  <c r="DO520" i="25"/>
  <c r="DP520" i="25" s="1"/>
  <c r="DQ520" i="25" s="1"/>
  <c r="DR520" i="25" s="1"/>
  <c r="DO429" i="25"/>
  <c r="DP429" i="25" s="1"/>
  <c r="DQ429" i="25" s="1"/>
  <c r="DR429" i="25" s="1"/>
  <c r="DO467" i="25"/>
  <c r="DP467" i="25" s="1"/>
  <c r="DQ467" i="25" s="1"/>
  <c r="DR467" i="25" s="1"/>
  <c r="DO513" i="25"/>
  <c r="DP513" i="25" s="1"/>
  <c r="DQ513" i="25" s="1"/>
  <c r="DR513" i="25" s="1"/>
  <c r="DO417" i="25"/>
  <c r="DP417" i="25" s="1"/>
  <c r="DQ417" i="25" s="1"/>
  <c r="DR417" i="25" s="1"/>
  <c r="DO397" i="25"/>
  <c r="DP397" i="25" s="1"/>
  <c r="DQ397" i="25" s="1"/>
  <c r="DR397" i="25" s="1"/>
  <c r="DO457" i="25"/>
  <c r="DP457" i="25" s="1"/>
  <c r="DQ457" i="25" s="1"/>
  <c r="DR457" i="25" s="1"/>
  <c r="DO481" i="25"/>
  <c r="DP481" i="25" s="1"/>
  <c r="DQ481" i="25" s="1"/>
  <c r="DR481" i="25" s="1"/>
  <c r="CP452" i="25"/>
  <c r="DD520" i="25"/>
  <c r="DC520" i="25" s="1"/>
  <c r="DJ520" i="25" s="1"/>
  <c r="DH520" i="25"/>
  <c r="DI520" i="25" s="1"/>
  <c r="DD397" i="25"/>
  <c r="DC397" i="25" s="1"/>
  <c r="DJ397" i="25" s="1"/>
  <c r="DE397" i="25"/>
  <c r="DH397" i="25"/>
  <c r="DI397" i="25" s="1"/>
  <c r="DD481" i="25"/>
  <c r="DC481" i="25" s="1"/>
  <c r="DJ481" i="25" s="1"/>
  <c r="DE481" i="25"/>
  <c r="DH481" i="25"/>
  <c r="DI481" i="25" s="1"/>
  <c r="DD476" i="25"/>
  <c r="DC476" i="25" s="1"/>
  <c r="DJ476" i="25" s="1"/>
  <c r="DD452" i="25"/>
  <c r="DC452" i="25" s="1"/>
  <c r="DJ452" i="25" s="1"/>
  <c r="DE452" i="25"/>
  <c r="DD434" i="25"/>
  <c r="DC434" i="25" s="1"/>
  <c r="DJ434" i="25" s="1"/>
  <c r="DE434" i="25"/>
  <c r="DD525" i="25"/>
  <c r="DC525" i="25" s="1"/>
  <c r="DJ525" i="25" s="1"/>
  <c r="DH525" i="25"/>
  <c r="DI525" i="25" s="1"/>
  <c r="DE525" i="25"/>
  <c r="DD463" i="25"/>
  <c r="DC463" i="25" s="1"/>
  <c r="DJ463" i="25" s="1"/>
  <c r="DH463" i="25"/>
  <c r="DI463" i="25" s="1"/>
  <c r="DE463" i="25"/>
  <c r="DD419" i="25"/>
  <c r="DC419" i="25" s="1"/>
  <c r="DJ419" i="25" s="1"/>
  <c r="DE419" i="25"/>
  <c r="DH419" i="25"/>
  <c r="DI419" i="25" s="1"/>
  <c r="DD521" i="25"/>
  <c r="DC521" i="25" s="1"/>
  <c r="DJ521" i="25" s="1"/>
  <c r="DH521" i="25"/>
  <c r="DI521" i="25" s="1"/>
  <c r="DE521" i="25"/>
  <c r="DD523" i="25"/>
  <c r="DC523" i="25" s="1"/>
  <c r="DJ523" i="25" s="1"/>
  <c r="DH523" i="25"/>
  <c r="DI523" i="25" s="1"/>
  <c r="DE523" i="25"/>
  <c r="DD400" i="25"/>
  <c r="DC400" i="25" s="1"/>
  <c r="DJ400" i="25" s="1"/>
  <c r="DH400" i="25"/>
  <c r="DI400" i="25" s="1"/>
  <c r="DD482" i="25"/>
  <c r="DC482" i="25" s="1"/>
  <c r="DJ482" i="25" s="1"/>
  <c r="DE482" i="25"/>
  <c r="DH482" i="25"/>
  <c r="DI482" i="25" s="1"/>
  <c r="DD515" i="25"/>
  <c r="DC515" i="25" s="1"/>
  <c r="DJ515" i="25" s="1"/>
  <c r="DH515" i="25"/>
  <c r="DI515" i="25" s="1"/>
  <c r="DE515" i="25"/>
  <c r="DH452" i="25"/>
  <c r="DI452" i="25" s="1"/>
  <c r="DH434" i="25"/>
  <c r="DI434" i="25" s="1"/>
  <c r="DD429" i="25"/>
  <c r="DC429" i="25" s="1"/>
  <c r="DJ429" i="25" s="1"/>
  <c r="DH429" i="25"/>
  <c r="DI429" i="25" s="1"/>
  <c r="DD458" i="25"/>
  <c r="DC458" i="25" s="1"/>
  <c r="DJ458" i="25" s="1"/>
  <c r="DE458" i="25"/>
  <c r="DH458" i="25"/>
  <c r="DI458" i="25" s="1"/>
  <c r="DD506" i="25"/>
  <c r="DC506" i="25" s="1"/>
  <c r="DJ506" i="25" s="1"/>
  <c r="DE506" i="25"/>
  <c r="DH506" i="25"/>
  <c r="DI506" i="25" s="1"/>
  <c r="DD502" i="25"/>
  <c r="DC502" i="25" s="1"/>
  <c r="DJ502" i="25" s="1"/>
  <c r="DE502" i="25"/>
  <c r="DH502" i="25"/>
  <c r="DI502" i="25" s="1"/>
  <c r="DE514" i="25"/>
  <c r="DH514" i="25"/>
  <c r="DI514" i="25" s="1"/>
  <c r="DE483" i="25"/>
  <c r="DD483" i="25"/>
  <c r="DC483" i="25" s="1"/>
  <c r="DJ483" i="25" s="1"/>
  <c r="DH483" i="25"/>
  <c r="DI483" i="25" s="1"/>
  <c r="DD398" i="25"/>
  <c r="DC398" i="25" s="1"/>
  <c r="DJ398" i="25" s="1"/>
  <c r="DH398" i="25"/>
  <c r="DI398" i="25" s="1"/>
  <c r="DD512" i="25"/>
  <c r="DC512" i="25" s="1"/>
  <c r="DJ512" i="25" s="1"/>
  <c r="DE512" i="25"/>
  <c r="DH512" i="25"/>
  <c r="DI512" i="25" s="1"/>
  <c r="DD516" i="25"/>
  <c r="DC516" i="25" s="1"/>
  <c r="DJ516" i="25" s="1"/>
  <c r="DE516" i="25"/>
  <c r="DH516" i="25"/>
  <c r="DI516" i="25" s="1"/>
  <c r="DY458" i="25"/>
  <c r="DY506" i="25"/>
  <c r="DY502" i="25"/>
  <c r="DY514" i="25"/>
  <c r="DY483" i="25"/>
  <c r="DY398" i="25"/>
  <c r="DY512" i="25"/>
  <c r="DY516" i="25"/>
  <c r="DS526" i="25"/>
  <c r="DS409" i="25"/>
  <c r="DS530" i="25"/>
  <c r="DS403" i="25"/>
  <c r="DH532" i="25"/>
  <c r="DI532" i="25" s="1"/>
  <c r="DD467" i="25"/>
  <c r="DC467" i="25" s="1"/>
  <c r="DJ467" i="25" s="1"/>
  <c r="DE467" i="25"/>
  <c r="DH467" i="25"/>
  <c r="DI467" i="25" s="1"/>
  <c r="DD457" i="25"/>
  <c r="DC457" i="25" s="1"/>
  <c r="DJ457" i="25" s="1"/>
  <c r="DE457" i="25"/>
  <c r="DH457" i="25"/>
  <c r="DI457" i="25" s="1"/>
  <c r="DD447" i="25"/>
  <c r="DC447" i="25" s="1"/>
  <c r="DJ447" i="25" s="1"/>
  <c r="DE447" i="25"/>
  <c r="DD527" i="25"/>
  <c r="DC527" i="25" s="1"/>
  <c r="DJ527" i="25" s="1"/>
  <c r="DE527" i="25"/>
  <c r="DD435" i="25"/>
  <c r="DC435" i="25" s="1"/>
  <c r="DJ435" i="25" s="1"/>
  <c r="DE435" i="25"/>
  <c r="DE509" i="25"/>
  <c r="DD509" i="25"/>
  <c r="DC509" i="25" s="1"/>
  <c r="DJ509" i="25" s="1"/>
  <c r="DD414" i="25"/>
  <c r="DC414" i="25" s="1"/>
  <c r="DJ414" i="25" s="1"/>
  <c r="DE414" i="25"/>
  <c r="DD430" i="25"/>
  <c r="DC430" i="25" s="1"/>
  <c r="DJ430" i="25" s="1"/>
  <c r="DD535" i="25"/>
  <c r="DC535" i="25" s="1"/>
  <c r="DJ535" i="25" s="1"/>
  <c r="DE535" i="25"/>
  <c r="DE406" i="25"/>
  <c r="DD406" i="25"/>
  <c r="DC406" i="25" s="1"/>
  <c r="DJ406" i="25" s="1"/>
  <c r="DD401" i="25"/>
  <c r="DC401" i="25" s="1"/>
  <c r="DJ401" i="25" s="1"/>
  <c r="DE401" i="25"/>
  <c r="DD487" i="25"/>
  <c r="DC487" i="25" s="1"/>
  <c r="DJ487" i="25" s="1"/>
  <c r="DE479" i="25"/>
  <c r="DD479" i="25"/>
  <c r="DC479" i="25" s="1"/>
  <c r="DJ479" i="25" s="1"/>
  <c r="DH476" i="25"/>
  <c r="DI476" i="25" s="1"/>
  <c r="DH447" i="25"/>
  <c r="DI447" i="25" s="1"/>
  <c r="DH435" i="25"/>
  <c r="DI435" i="25" s="1"/>
  <c r="DD532" i="25"/>
  <c r="DC532" i="25" s="1"/>
  <c r="DJ532" i="25" s="1"/>
  <c r="DD417" i="25"/>
  <c r="DC417" i="25" s="1"/>
  <c r="DJ417" i="25" s="1"/>
  <c r="DE417" i="25"/>
  <c r="DH417" i="25"/>
  <c r="DI417" i="25" s="1"/>
  <c r="DD504" i="25"/>
  <c r="DC504" i="25" s="1"/>
  <c r="DJ504" i="25" s="1"/>
  <c r="DE477" i="25"/>
  <c r="DH477" i="25"/>
  <c r="DI477" i="25" s="1"/>
  <c r="DD477" i="25"/>
  <c r="DC477" i="25" s="1"/>
  <c r="DJ477" i="25" s="1"/>
  <c r="DD411" i="25"/>
  <c r="DC411" i="25" s="1"/>
  <c r="DJ411" i="25" s="1"/>
  <c r="DE411" i="25"/>
  <c r="DH411" i="25"/>
  <c r="DI411" i="25" s="1"/>
  <c r="DE402" i="25"/>
  <c r="DH402" i="25"/>
  <c r="DI402" i="25" s="1"/>
  <c r="DH427" i="25"/>
  <c r="DI427" i="25" s="1"/>
  <c r="DD427" i="25"/>
  <c r="DC427" i="25" s="1"/>
  <c r="DJ427" i="25" s="1"/>
  <c r="DD536" i="25"/>
  <c r="DC536" i="25" s="1"/>
  <c r="DJ536" i="25" s="1"/>
  <c r="DH536" i="25"/>
  <c r="DI536" i="25" s="1"/>
  <c r="DH405" i="25"/>
  <c r="DI405" i="25" s="1"/>
  <c r="DE405" i="25"/>
  <c r="DE480" i="25"/>
  <c r="DD480" i="25"/>
  <c r="DC480" i="25" s="1"/>
  <c r="DJ480" i="25" s="1"/>
  <c r="DH480" i="25"/>
  <c r="DI480" i="25" s="1"/>
  <c r="DE455" i="25"/>
  <c r="DH455" i="25"/>
  <c r="DI455" i="25" s="1"/>
  <c r="DH509" i="25"/>
  <c r="DI509" i="25" s="1"/>
  <c r="DH535" i="25"/>
  <c r="DI535" i="25" s="1"/>
  <c r="DH479" i="25"/>
  <c r="DI479" i="25" s="1"/>
  <c r="DE476" i="25"/>
  <c r="DD402" i="25"/>
  <c r="DC402" i="25" s="1"/>
  <c r="DJ402" i="25" s="1"/>
  <c r="CT507" i="25"/>
  <c r="CT520" i="25"/>
  <c r="CT429" i="25"/>
  <c r="CT467" i="25"/>
  <c r="CT513" i="25"/>
  <c r="CT417" i="25"/>
  <c r="CT397" i="25"/>
  <c r="CT457" i="25"/>
  <c r="CT481" i="25"/>
  <c r="DD513" i="25"/>
  <c r="DC513" i="25" s="1"/>
  <c r="DJ513" i="25" s="1"/>
  <c r="DH513" i="25"/>
  <c r="DI513" i="25" s="1"/>
  <c r="DE513" i="25"/>
  <c r="DD410" i="25"/>
  <c r="DC410" i="25" s="1"/>
  <c r="DJ410" i="25" s="1"/>
  <c r="DE410" i="25"/>
  <c r="DE522" i="25"/>
  <c r="DH522" i="25"/>
  <c r="DI522" i="25" s="1"/>
  <c r="DD460" i="25"/>
  <c r="DC460" i="25" s="1"/>
  <c r="DJ460" i="25" s="1"/>
  <c r="DE460" i="25"/>
  <c r="DH460" i="25"/>
  <c r="DI460" i="25" s="1"/>
  <c r="DE399" i="25"/>
  <c r="DH399" i="25"/>
  <c r="DI399" i="25" s="1"/>
  <c r="DD399" i="25"/>
  <c r="DC399" i="25" s="1"/>
  <c r="DJ399" i="25" s="1"/>
  <c r="DH425" i="25"/>
  <c r="DI425" i="25" s="1"/>
  <c r="DE425" i="25"/>
  <c r="DD425" i="25"/>
  <c r="DC425" i="25" s="1"/>
  <c r="DJ425" i="25" s="1"/>
  <c r="DE533" i="25"/>
  <c r="DD533" i="25"/>
  <c r="DC533" i="25" s="1"/>
  <c r="DJ533" i="25" s="1"/>
  <c r="DH533" i="25"/>
  <c r="DI533" i="25" s="1"/>
  <c r="DE404" i="25"/>
  <c r="DH404" i="25"/>
  <c r="DI404" i="25" s="1"/>
  <c r="DE438" i="25"/>
  <c r="DD438" i="25"/>
  <c r="DC438" i="25" s="1"/>
  <c r="DJ438" i="25" s="1"/>
  <c r="DH438" i="25"/>
  <c r="DI438" i="25" s="1"/>
  <c r="DE456" i="25"/>
  <c r="DH456" i="25"/>
  <c r="DI456" i="25" s="1"/>
  <c r="DH504" i="25"/>
  <c r="DI504" i="25" s="1"/>
  <c r="DH410" i="25"/>
  <c r="DI410" i="25" s="1"/>
  <c r="DE520" i="25"/>
  <c r="DE400" i="25"/>
  <c r="DD507" i="25"/>
  <c r="DC507" i="25" s="1"/>
  <c r="DJ507" i="25" s="1"/>
  <c r="DH507" i="25"/>
  <c r="DI507" i="25" s="1"/>
  <c r="DD431" i="25"/>
  <c r="DC431" i="25" s="1"/>
  <c r="DJ431" i="25" s="1"/>
  <c r="DE431" i="25"/>
  <c r="DE526" i="25"/>
  <c r="DH526" i="25"/>
  <c r="DI526" i="25" s="1"/>
  <c r="DE409" i="25"/>
  <c r="DH409" i="25"/>
  <c r="DI409" i="25" s="1"/>
  <c r="DD409" i="25"/>
  <c r="DC409" i="25" s="1"/>
  <c r="DJ409" i="25" s="1"/>
  <c r="DE471" i="25"/>
  <c r="DH471" i="25"/>
  <c r="DI471" i="25" s="1"/>
  <c r="DD471" i="25"/>
  <c r="DC471" i="25" s="1"/>
  <c r="DJ471" i="25" s="1"/>
  <c r="DH422" i="25"/>
  <c r="DI422" i="25" s="1"/>
  <c r="DE422" i="25"/>
  <c r="DD530" i="25"/>
  <c r="DC530" i="25" s="1"/>
  <c r="DJ530" i="25" s="1"/>
  <c r="DH530" i="25"/>
  <c r="DI530" i="25" s="1"/>
  <c r="DH403" i="25"/>
  <c r="DI403" i="25" s="1"/>
  <c r="DD403" i="25"/>
  <c r="DC403" i="25" s="1"/>
  <c r="DJ403" i="25" s="1"/>
  <c r="DE403" i="25"/>
  <c r="DE469" i="25"/>
  <c r="DH469" i="25"/>
  <c r="DI469" i="25" s="1"/>
  <c r="DD469" i="25"/>
  <c r="DC469" i="25" s="1"/>
  <c r="DJ469" i="25" s="1"/>
  <c r="DH505" i="25"/>
  <c r="DI505" i="25" s="1"/>
  <c r="DD505" i="25"/>
  <c r="DC505" i="25" s="1"/>
  <c r="DJ505" i="25" s="1"/>
  <c r="DH414" i="25"/>
  <c r="DI414" i="25" s="1"/>
  <c r="DH406" i="25"/>
  <c r="DI406" i="25" s="1"/>
  <c r="DE504" i="25"/>
  <c r="DE398" i="25"/>
  <c r="DD514" i="25"/>
  <c r="DC514" i="25" s="1"/>
  <c r="DJ514" i="25" s="1"/>
  <c r="CT471" i="25"/>
  <c r="CT403" i="25"/>
  <c r="CT505" i="25"/>
  <c r="CO417" i="25"/>
  <c r="CQ417" i="25" s="1"/>
  <c r="CP417" i="25"/>
  <c r="CO397" i="25"/>
  <c r="CQ397" i="25" s="1"/>
  <c r="CP397" i="25"/>
  <c r="CO457" i="25"/>
  <c r="CQ457" i="25" s="1"/>
  <c r="CP457" i="25"/>
  <c r="CO481" i="25"/>
  <c r="CQ481" i="25" s="1"/>
  <c r="CP481" i="25"/>
  <c r="CO409" i="25"/>
  <c r="CQ409" i="25" s="1"/>
  <c r="CP409" i="25"/>
  <c r="CO471" i="25"/>
  <c r="CQ471" i="25" s="1"/>
  <c r="CP471" i="25"/>
  <c r="CO422" i="25"/>
  <c r="CQ422" i="25" s="1"/>
  <c r="CR422" i="25" s="1"/>
  <c r="CV422" i="25" s="1"/>
  <c r="CW422" i="25" s="1"/>
  <c r="CZ422" i="25" s="1"/>
  <c r="CP422" i="25"/>
  <c r="CO530" i="25"/>
  <c r="CQ530" i="25" s="1"/>
  <c r="CP530" i="25"/>
  <c r="CO403" i="25"/>
  <c r="CQ403" i="25" s="1"/>
  <c r="CP403" i="25"/>
  <c r="CO469" i="25"/>
  <c r="CQ469" i="25" s="1"/>
  <c r="CR469" i="25" s="1"/>
  <c r="CV469" i="25" s="1"/>
  <c r="CW469" i="25" s="1"/>
  <c r="CZ469" i="25" s="1"/>
  <c r="CP469" i="25"/>
  <c r="CO505" i="25"/>
  <c r="CQ505" i="25" s="1"/>
  <c r="CP505" i="25"/>
  <c r="CP509" i="25"/>
  <c r="CO509" i="25"/>
  <c r="CQ509" i="25" s="1"/>
  <c r="CP414" i="25"/>
  <c r="CO414" i="25"/>
  <c r="CQ414" i="25" s="1"/>
  <c r="CP532" i="25"/>
  <c r="CO532" i="25"/>
  <c r="CQ532" i="25" s="1"/>
  <c r="CP430" i="25"/>
  <c r="CO430" i="25"/>
  <c r="CQ430" i="25" s="1"/>
  <c r="CP535" i="25"/>
  <c r="CO535" i="25"/>
  <c r="CQ535" i="25" s="1"/>
  <c r="CP406" i="25"/>
  <c r="CO406" i="25"/>
  <c r="CQ406" i="25" s="1"/>
  <c r="CP401" i="25"/>
  <c r="CO401" i="25"/>
  <c r="CQ401" i="25" s="1"/>
  <c r="CP487" i="25"/>
  <c r="CO487" i="25"/>
  <c r="CQ487" i="25" s="1"/>
  <c r="CP479" i="25"/>
  <c r="CO479" i="25"/>
  <c r="CQ479" i="25" s="1"/>
  <c r="CO458" i="25"/>
  <c r="CQ458" i="25" s="1"/>
  <c r="CP458" i="25"/>
  <c r="CO506" i="25"/>
  <c r="CQ506" i="25" s="1"/>
  <c r="CP506" i="25"/>
  <c r="CO502" i="25"/>
  <c r="CQ502" i="25" s="1"/>
  <c r="CP502" i="25"/>
  <c r="CO514" i="25"/>
  <c r="CQ514" i="25" s="1"/>
  <c r="CP514" i="25"/>
  <c r="CO507" i="25"/>
  <c r="CQ507" i="25" s="1"/>
  <c r="CR507" i="25" s="1"/>
  <c r="CO429" i="25"/>
  <c r="CQ429" i="25" s="1"/>
  <c r="CO513" i="25"/>
  <c r="CQ513" i="25" s="1"/>
  <c r="CR513" i="25" s="1"/>
  <c r="CP526" i="25"/>
  <c r="CP483" i="25"/>
  <c r="CP398" i="25"/>
  <c r="CP512" i="25"/>
  <c r="CP516" i="25"/>
  <c r="H131" i="89"/>
  <c r="P131" i="89" s="1"/>
  <c r="K80" i="89"/>
  <c r="P80" i="89" s="1"/>
  <c r="H77" i="89"/>
  <c r="L58" i="89"/>
  <c r="L62" i="89" s="1"/>
  <c r="K50" i="89"/>
  <c r="R236" i="89"/>
  <c r="R235" i="89"/>
  <c r="R234" i="89"/>
  <c r="R233" i="89"/>
  <c r="R232" i="89"/>
  <c r="R231" i="89"/>
  <c r="D236" i="89"/>
  <c r="D235" i="89"/>
  <c r="D234" i="89"/>
  <c r="D233" i="89"/>
  <c r="D232" i="89"/>
  <c r="D231" i="89"/>
  <c r="C4" i="129"/>
  <c r="P155" i="89"/>
  <c r="P156" i="89"/>
  <c r="P157" i="89"/>
  <c r="P158" i="89"/>
  <c r="P159" i="89"/>
  <c r="P161" i="89"/>
  <c r="P162" i="89"/>
  <c r="P163" i="89"/>
  <c r="P154" i="89"/>
  <c r="P146" i="89"/>
  <c r="P147" i="89"/>
  <c r="P148" i="89"/>
  <c r="P149" i="89"/>
  <c r="P152" i="89"/>
  <c r="P153" i="89"/>
  <c r="P128" i="89"/>
  <c r="P129" i="89"/>
  <c r="P130" i="89"/>
  <c r="P133" i="89"/>
  <c r="P134" i="89"/>
  <c r="P135" i="89"/>
  <c r="P136" i="89"/>
  <c r="P137" i="89"/>
  <c r="P138" i="89"/>
  <c r="P139" i="89"/>
  <c r="P140" i="89"/>
  <c r="P142" i="89"/>
  <c r="P143" i="89"/>
  <c r="P144" i="89"/>
  <c r="P127" i="89"/>
  <c r="P115" i="89"/>
  <c r="P116" i="89"/>
  <c r="P118" i="89"/>
  <c r="P119" i="89"/>
  <c r="P120" i="89"/>
  <c r="P121" i="89"/>
  <c r="P122" i="89"/>
  <c r="P124" i="89"/>
  <c r="S231" i="89" s="1"/>
  <c r="P125" i="89"/>
  <c r="P114" i="89"/>
  <c r="E231" i="89" s="1"/>
  <c r="P102" i="89"/>
  <c r="P103" i="89"/>
  <c r="P105" i="89"/>
  <c r="P106" i="89"/>
  <c r="P107" i="89"/>
  <c r="P108" i="89"/>
  <c r="P109" i="89"/>
  <c r="P111" i="89"/>
  <c r="S232" i="89" s="1"/>
  <c r="P112" i="89"/>
  <c r="P101" i="89"/>
  <c r="E232" i="89" s="1"/>
  <c r="P82" i="89"/>
  <c r="E233" i="89" s="1"/>
  <c r="P64" i="89"/>
  <c r="P65" i="89"/>
  <c r="P66" i="89"/>
  <c r="P69" i="89"/>
  <c r="P70" i="89"/>
  <c r="P71" i="89"/>
  <c r="P72" i="89"/>
  <c r="P73" i="89"/>
  <c r="P74" i="89"/>
  <c r="P75" i="89"/>
  <c r="P76" i="89"/>
  <c r="P78" i="89"/>
  <c r="S234" i="89" s="1"/>
  <c r="P79" i="89"/>
  <c r="H62" i="89"/>
  <c r="I62" i="89"/>
  <c r="J62" i="89"/>
  <c r="K62" i="89"/>
  <c r="N62" i="89"/>
  <c r="O62" i="89"/>
  <c r="P45" i="89"/>
  <c r="P46" i="89"/>
  <c r="P47" i="89"/>
  <c r="P48" i="89"/>
  <c r="P50" i="89"/>
  <c r="P51" i="89"/>
  <c r="P52" i="89"/>
  <c r="P53" i="89"/>
  <c r="P54" i="89"/>
  <c r="P55" i="89"/>
  <c r="P56" i="89"/>
  <c r="P57" i="89"/>
  <c r="P59" i="89"/>
  <c r="S235" i="89" s="1"/>
  <c r="P60" i="89"/>
  <c r="P61" i="89"/>
  <c r="P44" i="89"/>
  <c r="E235" i="89" s="1"/>
  <c r="P26" i="89"/>
  <c r="P27" i="89"/>
  <c r="P28" i="89"/>
  <c r="P29" i="89"/>
  <c r="P31" i="89"/>
  <c r="P32" i="89"/>
  <c r="P33" i="89"/>
  <c r="P34" i="89"/>
  <c r="P35" i="89"/>
  <c r="P36" i="89"/>
  <c r="P37" i="89"/>
  <c r="P38" i="89"/>
  <c r="P40" i="89"/>
  <c r="S236" i="89" s="1"/>
  <c r="P41" i="89"/>
  <c r="P42" i="89"/>
  <c r="P25" i="89"/>
  <c r="E236" i="89" s="1"/>
  <c r="EB76" i="25"/>
  <c r="EB136" i="25"/>
  <c r="DB333" i="25"/>
  <c r="AA65" i="92"/>
  <c r="Z64" i="92"/>
  <c r="L62" i="92"/>
  <c r="M62" i="92"/>
  <c r="AA60" i="92"/>
  <c r="M67" i="92"/>
  <c r="M61" i="92"/>
  <c r="AA59" i="92"/>
  <c r="L67" i="92"/>
  <c r="L61" i="92"/>
  <c r="Z59" i="92"/>
  <c r="AA64" i="92"/>
  <c r="L68" i="92"/>
  <c r="Z65" i="92"/>
  <c r="M68" i="92"/>
  <c r="Z60" i="92"/>
  <c r="L70" i="92" l="1"/>
  <c r="M70" i="92"/>
  <c r="L64" i="92"/>
  <c r="M64" i="92"/>
  <c r="CU421" i="25"/>
  <c r="CX421" i="25" s="1"/>
  <c r="CY421" i="25" s="1"/>
  <c r="CU453" i="25"/>
  <c r="CX453" i="25" s="1"/>
  <c r="CY453" i="25" s="1"/>
  <c r="CR518" i="25"/>
  <c r="CV518" i="25" s="1"/>
  <c r="CW518" i="25" s="1"/>
  <c r="CZ518" i="25" s="1"/>
  <c r="CU518" i="25"/>
  <c r="CX518" i="25" s="1"/>
  <c r="CY518" i="25" s="1"/>
  <c r="CR435" i="25"/>
  <c r="CV435" i="25" s="1"/>
  <c r="CW435" i="25" s="1"/>
  <c r="CZ435" i="25" s="1"/>
  <c r="CU435" i="25"/>
  <c r="CX435" i="25" s="1"/>
  <c r="CY435" i="25" s="1"/>
  <c r="CV472" i="25"/>
  <c r="CW472" i="25" s="1"/>
  <c r="CZ472" i="25" s="1"/>
  <c r="CU449" i="25"/>
  <c r="CX449" i="25" s="1"/>
  <c r="CY449" i="25" s="1"/>
  <c r="CR459" i="25"/>
  <c r="CV459" i="25" s="1"/>
  <c r="CW459" i="25" s="1"/>
  <c r="CZ459" i="25" s="1"/>
  <c r="CV473" i="25"/>
  <c r="CW473" i="25" s="1"/>
  <c r="CZ473" i="25" s="1"/>
  <c r="CV465" i="25"/>
  <c r="CW465" i="25" s="1"/>
  <c r="CZ465" i="25" s="1"/>
  <c r="CU423" i="25"/>
  <c r="CX423" i="25" s="1"/>
  <c r="CY423" i="25" s="1"/>
  <c r="CU545" i="25"/>
  <c r="CX545" i="25" s="1"/>
  <c r="CY545" i="25" s="1"/>
  <c r="CR545" i="25"/>
  <c r="CV545" i="25" s="1"/>
  <c r="CW545" i="25" s="1"/>
  <c r="CZ545" i="25" s="1"/>
  <c r="CU475" i="25"/>
  <c r="CX475" i="25" s="1"/>
  <c r="CY475" i="25" s="1"/>
  <c r="CR475" i="25"/>
  <c r="CV475" i="25" s="1"/>
  <c r="CW475" i="25" s="1"/>
  <c r="CZ475" i="25" s="1"/>
  <c r="CU474" i="25"/>
  <c r="CX474" i="25" s="1"/>
  <c r="CY474" i="25" s="1"/>
  <c r="CR474" i="25"/>
  <c r="CV474" i="25" s="1"/>
  <c r="CW474" i="25" s="1"/>
  <c r="CZ474" i="25" s="1"/>
  <c r="CU478" i="25"/>
  <c r="CX478" i="25" s="1"/>
  <c r="CY478" i="25" s="1"/>
  <c r="CU538" i="25"/>
  <c r="CX538" i="25" s="1"/>
  <c r="CY538" i="25" s="1"/>
  <c r="CR538" i="25"/>
  <c r="CV538" i="25" s="1"/>
  <c r="CW538" i="25" s="1"/>
  <c r="CZ538" i="25" s="1"/>
  <c r="CU420" i="25"/>
  <c r="CX420" i="25" s="1"/>
  <c r="CY420" i="25" s="1"/>
  <c r="CR420" i="25"/>
  <c r="CV420" i="25" s="1"/>
  <c r="CW420" i="25" s="1"/>
  <c r="CZ420" i="25" s="1"/>
  <c r="CU473" i="25"/>
  <c r="CX473" i="25" s="1"/>
  <c r="CY473" i="25" s="1"/>
  <c r="CU472" i="25"/>
  <c r="CX472" i="25" s="1"/>
  <c r="CY472" i="25" s="1"/>
  <c r="CR496" i="25"/>
  <c r="CV496" i="25" s="1"/>
  <c r="CW496" i="25" s="1"/>
  <c r="CZ496" i="25" s="1"/>
  <c r="CU496" i="25"/>
  <c r="CX496" i="25" s="1"/>
  <c r="CY496" i="25" s="1"/>
  <c r="CR540" i="25"/>
  <c r="CV540" i="25" s="1"/>
  <c r="CW540" i="25" s="1"/>
  <c r="CZ540" i="25" s="1"/>
  <c r="CU540" i="25"/>
  <c r="CX540" i="25" s="1"/>
  <c r="CY540" i="25" s="1"/>
  <c r="CR462" i="25"/>
  <c r="CV462" i="25" s="1"/>
  <c r="CW462" i="25" s="1"/>
  <c r="CZ462" i="25" s="1"/>
  <c r="CU462" i="25"/>
  <c r="CX462" i="25" s="1"/>
  <c r="CY462" i="25" s="1"/>
  <c r="CR450" i="25"/>
  <c r="CV450" i="25" s="1"/>
  <c r="CW450" i="25" s="1"/>
  <c r="CZ450" i="25" s="1"/>
  <c r="CU450" i="25"/>
  <c r="CX450" i="25" s="1"/>
  <c r="CY450" i="25" s="1"/>
  <c r="CR490" i="25"/>
  <c r="CV490" i="25" s="1"/>
  <c r="CW490" i="25" s="1"/>
  <c r="CZ490" i="25" s="1"/>
  <c r="CU490" i="25"/>
  <c r="CX490" i="25" s="1"/>
  <c r="CY490" i="25" s="1"/>
  <c r="CR439" i="25"/>
  <c r="CV439" i="25" s="1"/>
  <c r="CW439" i="25" s="1"/>
  <c r="CZ439" i="25" s="1"/>
  <c r="CU439" i="25"/>
  <c r="CX439" i="25" s="1"/>
  <c r="CY439" i="25" s="1"/>
  <c r="CR500" i="25"/>
  <c r="CV500" i="25" s="1"/>
  <c r="CW500" i="25" s="1"/>
  <c r="CZ500" i="25" s="1"/>
  <c r="CU500" i="25"/>
  <c r="CX500" i="25" s="1"/>
  <c r="CY500" i="25" s="1"/>
  <c r="CR408" i="25"/>
  <c r="CV408" i="25" s="1"/>
  <c r="CW408" i="25" s="1"/>
  <c r="CZ408" i="25" s="1"/>
  <c r="CU408" i="25"/>
  <c r="CX408" i="25" s="1"/>
  <c r="CY408" i="25" s="1"/>
  <c r="CR454" i="25"/>
  <c r="CV454" i="25" s="1"/>
  <c r="CW454" i="25" s="1"/>
  <c r="CZ454" i="25" s="1"/>
  <c r="CU454" i="25"/>
  <c r="CX454" i="25" s="1"/>
  <c r="CY454" i="25" s="1"/>
  <c r="CR511" i="25"/>
  <c r="CV511" i="25" s="1"/>
  <c r="CW511" i="25" s="1"/>
  <c r="CZ511" i="25" s="1"/>
  <c r="CU511" i="25"/>
  <c r="CX511" i="25" s="1"/>
  <c r="CY511" i="25" s="1"/>
  <c r="CR494" i="25"/>
  <c r="CV494" i="25" s="1"/>
  <c r="CW494" i="25" s="1"/>
  <c r="CZ494" i="25" s="1"/>
  <c r="CU494" i="25"/>
  <c r="CX494" i="25" s="1"/>
  <c r="CY494" i="25" s="1"/>
  <c r="CR497" i="25"/>
  <c r="CV497" i="25" s="1"/>
  <c r="CW497" i="25" s="1"/>
  <c r="CZ497" i="25" s="1"/>
  <c r="CU497" i="25"/>
  <c r="CX497" i="25" s="1"/>
  <c r="CY497" i="25" s="1"/>
  <c r="CR485" i="25"/>
  <c r="CV485" i="25" s="1"/>
  <c r="CW485" i="25" s="1"/>
  <c r="CZ485" i="25" s="1"/>
  <c r="CU485" i="25"/>
  <c r="CX485" i="25" s="1"/>
  <c r="CY485" i="25" s="1"/>
  <c r="CR442" i="25"/>
  <c r="CV442" i="25" s="1"/>
  <c r="CW442" i="25" s="1"/>
  <c r="CZ442" i="25" s="1"/>
  <c r="CU442" i="25"/>
  <c r="CX442" i="25" s="1"/>
  <c r="CY442" i="25" s="1"/>
  <c r="CR424" i="25"/>
  <c r="CV424" i="25" s="1"/>
  <c r="CW424" i="25" s="1"/>
  <c r="CZ424" i="25" s="1"/>
  <c r="CU424" i="25"/>
  <c r="CX424" i="25" s="1"/>
  <c r="CY424" i="25" s="1"/>
  <c r="CU440" i="25"/>
  <c r="CX440" i="25" s="1"/>
  <c r="CY440" i="25" s="1"/>
  <c r="CR440" i="25"/>
  <c r="CV440" i="25" s="1"/>
  <c r="CW440" i="25" s="1"/>
  <c r="CZ440" i="25" s="1"/>
  <c r="CR443" i="25"/>
  <c r="CV443" i="25" s="1"/>
  <c r="CW443" i="25" s="1"/>
  <c r="CZ443" i="25" s="1"/>
  <c r="CU443" i="25"/>
  <c r="CX443" i="25" s="1"/>
  <c r="CY443" i="25" s="1"/>
  <c r="CR428" i="25"/>
  <c r="CV428" i="25" s="1"/>
  <c r="CW428" i="25" s="1"/>
  <c r="CZ428" i="25" s="1"/>
  <c r="CU428" i="25"/>
  <c r="CX428" i="25" s="1"/>
  <c r="CY428" i="25" s="1"/>
  <c r="CR510" i="25"/>
  <c r="CV510" i="25" s="1"/>
  <c r="CW510" i="25" s="1"/>
  <c r="CZ510" i="25" s="1"/>
  <c r="CU510" i="25"/>
  <c r="CX510" i="25" s="1"/>
  <c r="CY510" i="25" s="1"/>
  <c r="CR418" i="25"/>
  <c r="CV418" i="25" s="1"/>
  <c r="CW418" i="25" s="1"/>
  <c r="CZ418" i="25" s="1"/>
  <c r="CU418" i="25"/>
  <c r="CX418" i="25" s="1"/>
  <c r="CY418" i="25" s="1"/>
  <c r="CR537" i="25"/>
  <c r="CV537" i="25" s="1"/>
  <c r="CW537" i="25" s="1"/>
  <c r="CZ537" i="25" s="1"/>
  <c r="CU537" i="25"/>
  <c r="CX537" i="25" s="1"/>
  <c r="CY537" i="25" s="1"/>
  <c r="CR433" i="25"/>
  <c r="CV433" i="25" s="1"/>
  <c r="CW433" i="25" s="1"/>
  <c r="CZ433" i="25" s="1"/>
  <c r="CU433" i="25"/>
  <c r="CX433" i="25" s="1"/>
  <c r="CY433" i="25" s="1"/>
  <c r="CR524" i="25"/>
  <c r="CV524" i="25" s="1"/>
  <c r="CW524" i="25" s="1"/>
  <c r="CZ524" i="25" s="1"/>
  <c r="CU524" i="25"/>
  <c r="CX524" i="25" s="1"/>
  <c r="CY524" i="25" s="1"/>
  <c r="CR495" i="25"/>
  <c r="CV495" i="25" s="1"/>
  <c r="CW495" i="25" s="1"/>
  <c r="CZ495" i="25" s="1"/>
  <c r="CU495" i="25"/>
  <c r="CX495" i="25" s="1"/>
  <c r="CY495" i="25" s="1"/>
  <c r="CR451" i="25"/>
  <c r="CV451" i="25" s="1"/>
  <c r="CW451" i="25" s="1"/>
  <c r="CZ451" i="25" s="1"/>
  <c r="CU451" i="25"/>
  <c r="CX451" i="25" s="1"/>
  <c r="CY451" i="25" s="1"/>
  <c r="CR464" i="25"/>
  <c r="CV464" i="25" s="1"/>
  <c r="CW464" i="25" s="1"/>
  <c r="CZ464" i="25" s="1"/>
  <c r="CU464" i="25"/>
  <c r="CX464" i="25" s="1"/>
  <c r="CY464" i="25" s="1"/>
  <c r="CR498" i="25"/>
  <c r="CV498" i="25" s="1"/>
  <c r="CW498" i="25" s="1"/>
  <c r="CZ498" i="25" s="1"/>
  <c r="CU498" i="25"/>
  <c r="CX498" i="25" s="1"/>
  <c r="CY498" i="25" s="1"/>
  <c r="CR444" i="25"/>
  <c r="CV444" i="25" s="1"/>
  <c r="CW444" i="25" s="1"/>
  <c r="CZ444" i="25" s="1"/>
  <c r="CU444" i="25"/>
  <c r="CX444" i="25" s="1"/>
  <c r="CY444" i="25" s="1"/>
  <c r="CR541" i="25"/>
  <c r="CV541" i="25" s="1"/>
  <c r="CW541" i="25" s="1"/>
  <c r="CZ541" i="25" s="1"/>
  <c r="CU541" i="25"/>
  <c r="CX541" i="25" s="1"/>
  <c r="CY541" i="25" s="1"/>
  <c r="CU529" i="25"/>
  <c r="CX529" i="25" s="1"/>
  <c r="CY529" i="25" s="1"/>
  <c r="CR529" i="25"/>
  <c r="CV529" i="25" s="1"/>
  <c r="CW529" i="25" s="1"/>
  <c r="CZ529" i="25" s="1"/>
  <c r="CR407" i="25"/>
  <c r="CV407" i="25" s="1"/>
  <c r="CW407" i="25" s="1"/>
  <c r="CZ407" i="25" s="1"/>
  <c r="CU407" i="25"/>
  <c r="CX407" i="25" s="1"/>
  <c r="CY407" i="25" s="1"/>
  <c r="CR441" i="25"/>
  <c r="CV441" i="25" s="1"/>
  <c r="CW441" i="25" s="1"/>
  <c r="CZ441" i="25" s="1"/>
  <c r="CU441" i="25"/>
  <c r="CX441" i="25" s="1"/>
  <c r="CY441" i="25" s="1"/>
  <c r="CR432" i="25"/>
  <c r="CV432" i="25" s="1"/>
  <c r="CW432" i="25" s="1"/>
  <c r="CZ432" i="25" s="1"/>
  <c r="CU432" i="25"/>
  <c r="CX432" i="25" s="1"/>
  <c r="CY432" i="25" s="1"/>
  <c r="CR528" i="25"/>
  <c r="CV528" i="25" s="1"/>
  <c r="CW528" i="25" s="1"/>
  <c r="CZ528" i="25" s="1"/>
  <c r="CU528" i="25"/>
  <c r="CX528" i="25" s="1"/>
  <c r="CY528" i="25" s="1"/>
  <c r="CR542" i="25"/>
  <c r="CV542" i="25" s="1"/>
  <c r="CW542" i="25" s="1"/>
  <c r="CZ542" i="25" s="1"/>
  <c r="CU542" i="25"/>
  <c r="CX542" i="25" s="1"/>
  <c r="CY542" i="25" s="1"/>
  <c r="CR492" i="25"/>
  <c r="CV492" i="25" s="1"/>
  <c r="CW492" i="25" s="1"/>
  <c r="CZ492" i="25" s="1"/>
  <c r="CU492" i="25"/>
  <c r="CX492" i="25" s="1"/>
  <c r="CY492" i="25" s="1"/>
  <c r="CR493" i="25"/>
  <c r="CV493" i="25" s="1"/>
  <c r="CW493" i="25" s="1"/>
  <c r="CZ493" i="25" s="1"/>
  <c r="CU493" i="25"/>
  <c r="CX493" i="25" s="1"/>
  <c r="CY493" i="25" s="1"/>
  <c r="CR489" i="25"/>
  <c r="CV489" i="25" s="1"/>
  <c r="CW489" i="25" s="1"/>
  <c r="CZ489" i="25" s="1"/>
  <c r="CU489" i="25"/>
  <c r="CX489" i="25" s="1"/>
  <c r="CY489" i="25" s="1"/>
  <c r="CU519" i="25"/>
  <c r="CX519" i="25" s="1"/>
  <c r="CY519" i="25" s="1"/>
  <c r="CU465" i="25"/>
  <c r="CX465" i="25" s="1"/>
  <c r="CY465" i="25" s="1"/>
  <c r="CR413" i="25"/>
  <c r="CV413" i="25" s="1"/>
  <c r="CW413" i="25" s="1"/>
  <c r="CZ413" i="25" s="1"/>
  <c r="CU413" i="25"/>
  <c r="CX413" i="25" s="1"/>
  <c r="CY413" i="25" s="1"/>
  <c r="CR491" i="25"/>
  <c r="CV491" i="25" s="1"/>
  <c r="CW491" i="25" s="1"/>
  <c r="CZ491" i="25" s="1"/>
  <c r="CU491" i="25"/>
  <c r="CX491" i="25" s="1"/>
  <c r="CY491" i="25" s="1"/>
  <c r="CR531" i="25"/>
  <c r="CV531" i="25" s="1"/>
  <c r="CW531" i="25" s="1"/>
  <c r="CZ531" i="25" s="1"/>
  <c r="CU531" i="25"/>
  <c r="CX531" i="25" s="1"/>
  <c r="CY531" i="25" s="1"/>
  <c r="CR446" i="25"/>
  <c r="CV446" i="25" s="1"/>
  <c r="CW446" i="25" s="1"/>
  <c r="CZ446" i="25" s="1"/>
  <c r="CU446" i="25"/>
  <c r="CX446" i="25" s="1"/>
  <c r="CY446" i="25" s="1"/>
  <c r="CR416" i="25"/>
  <c r="CV416" i="25" s="1"/>
  <c r="CW416" i="25" s="1"/>
  <c r="CZ416" i="25" s="1"/>
  <c r="CU416" i="25"/>
  <c r="CX416" i="25" s="1"/>
  <c r="CY416" i="25" s="1"/>
  <c r="CR426" i="25"/>
  <c r="CV426" i="25" s="1"/>
  <c r="CW426" i="25" s="1"/>
  <c r="CZ426" i="25" s="1"/>
  <c r="CU426" i="25"/>
  <c r="CX426" i="25" s="1"/>
  <c r="CY426" i="25" s="1"/>
  <c r="CR412" i="25"/>
  <c r="CV412" i="25" s="1"/>
  <c r="CW412" i="25" s="1"/>
  <c r="CZ412" i="25" s="1"/>
  <c r="CU412" i="25"/>
  <c r="CX412" i="25" s="1"/>
  <c r="CY412" i="25" s="1"/>
  <c r="CU431" i="25"/>
  <c r="CX431" i="25" s="1"/>
  <c r="CY431" i="25" s="1"/>
  <c r="CR445" i="25"/>
  <c r="CV445" i="25" s="1"/>
  <c r="CW445" i="25" s="1"/>
  <c r="CZ445" i="25" s="1"/>
  <c r="CU445" i="25"/>
  <c r="CX445" i="25" s="1"/>
  <c r="CY445" i="25" s="1"/>
  <c r="CV468" i="25"/>
  <c r="CW468" i="25" s="1"/>
  <c r="CZ468" i="25" s="1"/>
  <c r="CR508" i="25"/>
  <c r="CV508" i="25" s="1"/>
  <c r="CW508" i="25" s="1"/>
  <c r="CZ508" i="25" s="1"/>
  <c r="CU508" i="25"/>
  <c r="CX508" i="25" s="1"/>
  <c r="CY508" i="25" s="1"/>
  <c r="CR466" i="25"/>
  <c r="CV466" i="25" s="1"/>
  <c r="CW466" i="25" s="1"/>
  <c r="CZ466" i="25" s="1"/>
  <c r="CU466" i="25"/>
  <c r="CX466" i="25" s="1"/>
  <c r="CY466" i="25" s="1"/>
  <c r="CR461" i="25"/>
  <c r="CV461" i="25" s="1"/>
  <c r="CW461" i="25" s="1"/>
  <c r="CZ461" i="25" s="1"/>
  <c r="CU461" i="25"/>
  <c r="CX461" i="25" s="1"/>
  <c r="CY461" i="25" s="1"/>
  <c r="CV484" i="25"/>
  <c r="CW484" i="25" s="1"/>
  <c r="CZ484" i="25" s="1"/>
  <c r="CR534" i="25"/>
  <c r="CV534" i="25" s="1"/>
  <c r="CW534" i="25" s="1"/>
  <c r="CZ534" i="25" s="1"/>
  <c r="CU534" i="25"/>
  <c r="CX534" i="25" s="1"/>
  <c r="CY534" i="25" s="1"/>
  <c r="CR448" i="25"/>
  <c r="CV448" i="25" s="1"/>
  <c r="CW448" i="25" s="1"/>
  <c r="CZ448" i="25" s="1"/>
  <c r="CU448" i="25"/>
  <c r="CX448" i="25" s="1"/>
  <c r="CY448" i="25" s="1"/>
  <c r="CR501" i="25"/>
  <c r="CV501" i="25" s="1"/>
  <c r="CW501" i="25" s="1"/>
  <c r="CZ501" i="25" s="1"/>
  <c r="CU501" i="25"/>
  <c r="CX501" i="25" s="1"/>
  <c r="CY501" i="25" s="1"/>
  <c r="CR488" i="25"/>
  <c r="CV488" i="25" s="1"/>
  <c r="CW488" i="25" s="1"/>
  <c r="CZ488" i="25" s="1"/>
  <c r="CU488" i="25"/>
  <c r="CX488" i="25" s="1"/>
  <c r="CY488" i="25" s="1"/>
  <c r="CR517" i="25"/>
  <c r="CV517" i="25" s="1"/>
  <c r="CW517" i="25" s="1"/>
  <c r="CZ517" i="25" s="1"/>
  <c r="CU517" i="25"/>
  <c r="CX517" i="25" s="1"/>
  <c r="CY517" i="25" s="1"/>
  <c r="CU468" i="25"/>
  <c r="CX468" i="25" s="1"/>
  <c r="CY468" i="25" s="1"/>
  <c r="CR499" i="25"/>
  <c r="CV499" i="25" s="1"/>
  <c r="CW499" i="25" s="1"/>
  <c r="CZ499" i="25" s="1"/>
  <c r="CU499" i="25"/>
  <c r="CX499" i="25" s="1"/>
  <c r="CY499" i="25" s="1"/>
  <c r="CR415" i="25"/>
  <c r="CV415" i="25" s="1"/>
  <c r="CW415" i="25" s="1"/>
  <c r="CZ415" i="25" s="1"/>
  <c r="CU415" i="25"/>
  <c r="CX415" i="25" s="1"/>
  <c r="CY415" i="25" s="1"/>
  <c r="CR436" i="25"/>
  <c r="CV436" i="25" s="1"/>
  <c r="CW436" i="25" s="1"/>
  <c r="CZ436" i="25" s="1"/>
  <c r="CU436" i="25"/>
  <c r="CX436" i="25" s="1"/>
  <c r="CY436" i="25" s="1"/>
  <c r="CR437" i="25"/>
  <c r="CV437" i="25" s="1"/>
  <c r="CW437" i="25" s="1"/>
  <c r="CZ437" i="25" s="1"/>
  <c r="CU437" i="25"/>
  <c r="CX437" i="25" s="1"/>
  <c r="CY437" i="25" s="1"/>
  <c r="CR410" i="25"/>
  <c r="CV410" i="25" s="1"/>
  <c r="CW410" i="25" s="1"/>
  <c r="CZ410" i="25" s="1"/>
  <c r="CU410" i="25"/>
  <c r="CX410" i="25" s="1"/>
  <c r="CY410" i="25" s="1"/>
  <c r="CR482" i="25"/>
  <c r="CV482" i="25" s="1"/>
  <c r="CW482" i="25" s="1"/>
  <c r="CZ482" i="25" s="1"/>
  <c r="CU482" i="25"/>
  <c r="CX482" i="25" s="1"/>
  <c r="CY482" i="25" s="1"/>
  <c r="CR544" i="25"/>
  <c r="CV544" i="25" s="1"/>
  <c r="CW544" i="25" s="1"/>
  <c r="CZ544" i="25" s="1"/>
  <c r="CU544" i="25"/>
  <c r="CX544" i="25" s="1"/>
  <c r="CY544" i="25" s="1"/>
  <c r="CU447" i="25"/>
  <c r="CX447" i="25" s="1"/>
  <c r="CY447" i="25" s="1"/>
  <c r="CU543" i="25"/>
  <c r="CX543" i="25" s="1"/>
  <c r="CY543" i="25" s="1"/>
  <c r="CU503" i="25"/>
  <c r="CX503" i="25" s="1"/>
  <c r="CY503" i="25" s="1"/>
  <c r="CR503" i="25"/>
  <c r="CV503" i="25" s="1"/>
  <c r="CW503" i="25" s="1"/>
  <c r="CZ503" i="25" s="1"/>
  <c r="CU452" i="25"/>
  <c r="CX452" i="25" s="1"/>
  <c r="CY452" i="25" s="1"/>
  <c r="CV539" i="25"/>
  <c r="CW539" i="25" s="1"/>
  <c r="CZ539" i="25" s="1"/>
  <c r="CU486" i="25"/>
  <c r="CX486" i="25" s="1"/>
  <c r="CY486" i="25" s="1"/>
  <c r="CU476" i="25"/>
  <c r="CX476" i="25" s="1"/>
  <c r="CY476" i="25" s="1"/>
  <c r="CU539" i="25"/>
  <c r="CX539" i="25" s="1"/>
  <c r="CY539" i="25" s="1"/>
  <c r="CV507" i="25"/>
  <c r="CW507" i="25" s="1"/>
  <c r="CZ507" i="25" s="1"/>
  <c r="CU419" i="25"/>
  <c r="CX419" i="25" s="1"/>
  <c r="CY419" i="25" s="1"/>
  <c r="CU484" i="25"/>
  <c r="CX484" i="25" s="1"/>
  <c r="CY484" i="25" s="1"/>
  <c r="CR525" i="25"/>
  <c r="CV525" i="25" s="1"/>
  <c r="CW525" i="25" s="1"/>
  <c r="CZ525" i="25" s="1"/>
  <c r="CU525" i="25"/>
  <c r="CX525" i="25" s="1"/>
  <c r="CY525" i="25" s="1"/>
  <c r="CU463" i="25"/>
  <c r="CX463" i="25" s="1"/>
  <c r="CY463" i="25" s="1"/>
  <c r="CV467" i="25"/>
  <c r="CW467" i="25" s="1"/>
  <c r="CZ467" i="25" s="1"/>
  <c r="CU526" i="25"/>
  <c r="CX526" i="25" s="1"/>
  <c r="CY526" i="25" s="1"/>
  <c r="CV513" i="25"/>
  <c r="CW513" i="25" s="1"/>
  <c r="CZ513" i="25" s="1"/>
  <c r="CU527" i="25"/>
  <c r="CX527" i="25" s="1"/>
  <c r="CY527" i="25" s="1"/>
  <c r="CR520" i="25"/>
  <c r="CV520" i="25" s="1"/>
  <c r="CW520" i="25" s="1"/>
  <c r="CZ520" i="25" s="1"/>
  <c r="CU520" i="25"/>
  <c r="CX520" i="25" s="1"/>
  <c r="CY520" i="25" s="1"/>
  <c r="CR409" i="25"/>
  <c r="CV409" i="25" s="1"/>
  <c r="CW409" i="25" s="1"/>
  <c r="CZ409" i="25" s="1"/>
  <c r="CU409" i="25"/>
  <c r="CX409" i="25" s="1"/>
  <c r="CY409" i="25" s="1"/>
  <c r="CR400" i="25"/>
  <c r="CV400" i="25" s="1"/>
  <c r="CW400" i="25" s="1"/>
  <c r="CZ400" i="25" s="1"/>
  <c r="CU400" i="25"/>
  <c r="CX400" i="25" s="1"/>
  <c r="CY400" i="25" s="1"/>
  <c r="CU469" i="25"/>
  <c r="CX469" i="25" s="1"/>
  <c r="CY469" i="25" s="1"/>
  <c r="CU470" i="25"/>
  <c r="CX470" i="25" s="1"/>
  <c r="CY470" i="25" s="1"/>
  <c r="CR470" i="25"/>
  <c r="CV470" i="25" s="1"/>
  <c r="CW470" i="25" s="1"/>
  <c r="CZ470" i="25" s="1"/>
  <c r="CR479" i="25"/>
  <c r="CV479" i="25" s="1"/>
  <c r="CW479" i="25" s="1"/>
  <c r="CZ479" i="25" s="1"/>
  <c r="CU479" i="25"/>
  <c r="CX479" i="25" s="1"/>
  <c r="CY479" i="25" s="1"/>
  <c r="CR530" i="25"/>
  <c r="CV530" i="25" s="1"/>
  <c r="CW530" i="25" s="1"/>
  <c r="CZ530" i="25" s="1"/>
  <c r="CU530" i="25"/>
  <c r="CX530" i="25" s="1"/>
  <c r="CY530" i="25" s="1"/>
  <c r="CR481" i="25"/>
  <c r="CV481" i="25" s="1"/>
  <c r="CW481" i="25" s="1"/>
  <c r="CZ481" i="25" s="1"/>
  <c r="CU481" i="25"/>
  <c r="CX481" i="25" s="1"/>
  <c r="CY481" i="25" s="1"/>
  <c r="CU487" i="25"/>
  <c r="CX487" i="25" s="1"/>
  <c r="CY487" i="25" s="1"/>
  <c r="CR487" i="25"/>
  <c r="CV487" i="25" s="1"/>
  <c r="CW487" i="25" s="1"/>
  <c r="CZ487" i="25" s="1"/>
  <c r="CR509" i="25"/>
  <c r="CV509" i="25" s="1"/>
  <c r="CW509" i="25" s="1"/>
  <c r="CZ509" i="25" s="1"/>
  <c r="CU509" i="25"/>
  <c r="CX509" i="25" s="1"/>
  <c r="CY509" i="25" s="1"/>
  <c r="CR457" i="25"/>
  <c r="CV457" i="25" s="1"/>
  <c r="CW457" i="25" s="1"/>
  <c r="CZ457" i="25" s="1"/>
  <c r="CU457" i="25"/>
  <c r="CX457" i="25" s="1"/>
  <c r="CY457" i="25" s="1"/>
  <c r="CR532" i="25"/>
  <c r="CV532" i="25" s="1"/>
  <c r="CW532" i="25" s="1"/>
  <c r="CZ532" i="25" s="1"/>
  <c r="CU532" i="25"/>
  <c r="CX532" i="25" s="1"/>
  <c r="CY532" i="25" s="1"/>
  <c r="CR535" i="25"/>
  <c r="CV535" i="25" s="1"/>
  <c r="CW535" i="25" s="1"/>
  <c r="CZ535" i="25" s="1"/>
  <c r="CU535" i="25"/>
  <c r="CX535" i="25" s="1"/>
  <c r="CY535" i="25" s="1"/>
  <c r="CR502" i="25"/>
  <c r="CV502" i="25" s="1"/>
  <c r="CW502" i="25" s="1"/>
  <c r="CZ502" i="25" s="1"/>
  <c r="CU502" i="25"/>
  <c r="CX502" i="25" s="1"/>
  <c r="CY502" i="25" s="1"/>
  <c r="CR505" i="25"/>
  <c r="CV505" i="25" s="1"/>
  <c r="CW505" i="25" s="1"/>
  <c r="CZ505" i="25" s="1"/>
  <c r="CU505" i="25"/>
  <c r="CX505" i="25" s="1"/>
  <c r="CY505" i="25" s="1"/>
  <c r="CR429" i="25"/>
  <c r="CV429" i="25" s="1"/>
  <c r="CW429" i="25" s="1"/>
  <c r="CZ429" i="25" s="1"/>
  <c r="CU429" i="25"/>
  <c r="CX429" i="25" s="1"/>
  <c r="CY429" i="25" s="1"/>
  <c r="CR471" i="25"/>
  <c r="CV471" i="25" s="1"/>
  <c r="CW471" i="25" s="1"/>
  <c r="CZ471" i="25" s="1"/>
  <c r="CU471" i="25"/>
  <c r="CX471" i="25" s="1"/>
  <c r="CY471" i="25" s="1"/>
  <c r="CR397" i="25"/>
  <c r="CV397" i="25" s="1"/>
  <c r="CW397" i="25" s="1"/>
  <c r="CZ397" i="25" s="1"/>
  <c r="CU397" i="25"/>
  <c r="CX397" i="25" s="1"/>
  <c r="CY397" i="25" s="1"/>
  <c r="CU406" i="25"/>
  <c r="CX406" i="25" s="1"/>
  <c r="CY406" i="25" s="1"/>
  <c r="CR406" i="25"/>
  <c r="CV406" i="25" s="1"/>
  <c r="CW406" i="25" s="1"/>
  <c r="CZ406" i="25" s="1"/>
  <c r="CR414" i="25"/>
  <c r="CV414" i="25" s="1"/>
  <c r="CW414" i="25" s="1"/>
  <c r="CZ414" i="25" s="1"/>
  <c r="CU414" i="25"/>
  <c r="CX414" i="25" s="1"/>
  <c r="CY414" i="25" s="1"/>
  <c r="CR403" i="25"/>
  <c r="CV403" i="25" s="1"/>
  <c r="CW403" i="25" s="1"/>
  <c r="CZ403" i="25" s="1"/>
  <c r="CU403" i="25"/>
  <c r="CX403" i="25" s="1"/>
  <c r="CY403" i="25" s="1"/>
  <c r="CR417" i="25"/>
  <c r="CV417" i="25" s="1"/>
  <c r="CW417" i="25" s="1"/>
  <c r="CZ417" i="25" s="1"/>
  <c r="CU417" i="25"/>
  <c r="CX417" i="25" s="1"/>
  <c r="CY417" i="25" s="1"/>
  <c r="CR480" i="25"/>
  <c r="CV480" i="25" s="1"/>
  <c r="CW480" i="25" s="1"/>
  <c r="CZ480" i="25" s="1"/>
  <c r="CU480" i="25"/>
  <c r="CX480" i="25" s="1"/>
  <c r="CY480" i="25" s="1"/>
  <c r="CR411" i="25"/>
  <c r="CV411" i="25" s="1"/>
  <c r="CW411" i="25" s="1"/>
  <c r="CZ411" i="25" s="1"/>
  <c r="CU411" i="25"/>
  <c r="CX411" i="25" s="1"/>
  <c r="CY411" i="25" s="1"/>
  <c r="CR516" i="25"/>
  <c r="CV516" i="25" s="1"/>
  <c r="CW516" i="25" s="1"/>
  <c r="CZ516" i="25" s="1"/>
  <c r="CU516" i="25"/>
  <c r="CX516" i="25" s="1"/>
  <c r="CY516" i="25" s="1"/>
  <c r="CR521" i="25"/>
  <c r="CV521" i="25" s="1"/>
  <c r="CW521" i="25" s="1"/>
  <c r="CZ521" i="25" s="1"/>
  <c r="CU521" i="25"/>
  <c r="CX521" i="25" s="1"/>
  <c r="CY521" i="25" s="1"/>
  <c r="CR460" i="25"/>
  <c r="CV460" i="25" s="1"/>
  <c r="CW460" i="25" s="1"/>
  <c r="CZ460" i="25" s="1"/>
  <c r="CU460" i="25"/>
  <c r="CX460" i="25" s="1"/>
  <c r="CY460" i="25" s="1"/>
  <c r="CU430" i="25"/>
  <c r="CX430" i="25" s="1"/>
  <c r="CY430" i="25" s="1"/>
  <c r="CR430" i="25"/>
  <c r="CV430" i="25" s="1"/>
  <c r="CW430" i="25" s="1"/>
  <c r="CZ430" i="25" s="1"/>
  <c r="CR522" i="25"/>
  <c r="CV522" i="25" s="1"/>
  <c r="CW522" i="25" s="1"/>
  <c r="CZ522" i="25" s="1"/>
  <c r="CU522" i="25"/>
  <c r="CX522" i="25" s="1"/>
  <c r="CY522" i="25" s="1"/>
  <c r="CR427" i="25"/>
  <c r="CV427" i="25" s="1"/>
  <c r="CW427" i="25" s="1"/>
  <c r="CZ427" i="25" s="1"/>
  <c r="CU427" i="25"/>
  <c r="CX427" i="25" s="1"/>
  <c r="CY427" i="25" s="1"/>
  <c r="CR523" i="25"/>
  <c r="CV523" i="25" s="1"/>
  <c r="CW523" i="25" s="1"/>
  <c r="CZ523" i="25" s="1"/>
  <c r="CU523" i="25"/>
  <c r="CX523" i="25" s="1"/>
  <c r="CY523" i="25" s="1"/>
  <c r="CR404" i="25"/>
  <c r="CV404" i="25" s="1"/>
  <c r="CW404" i="25" s="1"/>
  <c r="CZ404" i="25" s="1"/>
  <c r="CU404" i="25"/>
  <c r="CX404" i="25" s="1"/>
  <c r="CY404" i="25" s="1"/>
  <c r="CR425" i="25"/>
  <c r="CV425" i="25" s="1"/>
  <c r="CW425" i="25" s="1"/>
  <c r="CZ425" i="25" s="1"/>
  <c r="CU425" i="25"/>
  <c r="CX425" i="25" s="1"/>
  <c r="CY425" i="25" s="1"/>
  <c r="CU536" i="25"/>
  <c r="CX536" i="25" s="1"/>
  <c r="CY536" i="25" s="1"/>
  <c r="CR536" i="25"/>
  <c r="CV536" i="25" s="1"/>
  <c r="CW536" i="25" s="1"/>
  <c r="CZ536" i="25" s="1"/>
  <c r="CR514" i="25"/>
  <c r="CV514" i="25" s="1"/>
  <c r="CW514" i="25" s="1"/>
  <c r="CZ514" i="25" s="1"/>
  <c r="CU514" i="25"/>
  <c r="CX514" i="25" s="1"/>
  <c r="CY514" i="25" s="1"/>
  <c r="CR506" i="25"/>
  <c r="CV506" i="25" s="1"/>
  <c r="CW506" i="25" s="1"/>
  <c r="CZ506" i="25" s="1"/>
  <c r="CU506" i="25"/>
  <c r="CX506" i="25" s="1"/>
  <c r="CY506" i="25" s="1"/>
  <c r="CU504" i="25"/>
  <c r="CX504" i="25" s="1"/>
  <c r="CY504" i="25" s="1"/>
  <c r="CR533" i="25"/>
  <c r="CV533" i="25" s="1"/>
  <c r="CW533" i="25" s="1"/>
  <c r="CZ533" i="25" s="1"/>
  <c r="CU533" i="25"/>
  <c r="CX533" i="25" s="1"/>
  <c r="CY533" i="25" s="1"/>
  <c r="CR399" i="25"/>
  <c r="CV399" i="25" s="1"/>
  <c r="CW399" i="25" s="1"/>
  <c r="CZ399" i="25" s="1"/>
  <c r="CU399" i="25"/>
  <c r="CX399" i="25" s="1"/>
  <c r="CY399" i="25" s="1"/>
  <c r="CU513" i="25"/>
  <c r="CX513" i="25" s="1"/>
  <c r="CY513" i="25" s="1"/>
  <c r="CU507" i="25"/>
  <c r="CX507" i="25" s="1"/>
  <c r="CY507" i="25" s="1"/>
  <c r="CR483" i="25"/>
  <c r="CV483" i="25" s="1"/>
  <c r="CW483" i="25" s="1"/>
  <c r="CZ483" i="25" s="1"/>
  <c r="CU483" i="25"/>
  <c r="CX483" i="25" s="1"/>
  <c r="CY483" i="25" s="1"/>
  <c r="CR515" i="25"/>
  <c r="CV515" i="25" s="1"/>
  <c r="CW515" i="25" s="1"/>
  <c r="CZ515" i="25" s="1"/>
  <c r="CU515" i="25"/>
  <c r="CX515" i="25" s="1"/>
  <c r="CY515" i="25" s="1"/>
  <c r="CR438" i="25"/>
  <c r="CV438" i="25" s="1"/>
  <c r="CW438" i="25" s="1"/>
  <c r="CZ438" i="25" s="1"/>
  <c r="CU438" i="25"/>
  <c r="CX438" i="25" s="1"/>
  <c r="CY438" i="25" s="1"/>
  <c r="CR405" i="25"/>
  <c r="CV405" i="25" s="1"/>
  <c r="CW405" i="25" s="1"/>
  <c r="CZ405" i="25" s="1"/>
  <c r="CU405" i="25"/>
  <c r="CX405" i="25" s="1"/>
  <c r="CY405" i="25" s="1"/>
  <c r="CR512" i="25"/>
  <c r="CV512" i="25" s="1"/>
  <c r="CW512" i="25" s="1"/>
  <c r="CZ512" i="25" s="1"/>
  <c r="CU512" i="25"/>
  <c r="CX512" i="25" s="1"/>
  <c r="CY512" i="25" s="1"/>
  <c r="CR401" i="25"/>
  <c r="CV401" i="25" s="1"/>
  <c r="CW401" i="25" s="1"/>
  <c r="CZ401" i="25" s="1"/>
  <c r="CU401" i="25"/>
  <c r="CX401" i="25" s="1"/>
  <c r="CY401" i="25" s="1"/>
  <c r="CU422" i="25"/>
  <c r="CX422" i="25" s="1"/>
  <c r="CY422" i="25" s="1"/>
  <c r="CR455" i="25"/>
  <c r="CV455" i="25" s="1"/>
  <c r="CW455" i="25" s="1"/>
  <c r="CZ455" i="25" s="1"/>
  <c r="CU455" i="25"/>
  <c r="CX455" i="25" s="1"/>
  <c r="CY455" i="25" s="1"/>
  <c r="CR402" i="25"/>
  <c r="CV402" i="25" s="1"/>
  <c r="CW402" i="25" s="1"/>
  <c r="CZ402" i="25" s="1"/>
  <c r="CU402" i="25"/>
  <c r="CX402" i="25" s="1"/>
  <c r="CY402" i="25" s="1"/>
  <c r="CU477" i="25"/>
  <c r="CX477" i="25" s="1"/>
  <c r="CY477" i="25" s="1"/>
  <c r="CR477" i="25"/>
  <c r="CV477" i="25" s="1"/>
  <c r="CW477" i="25" s="1"/>
  <c r="CZ477" i="25" s="1"/>
  <c r="CR456" i="25"/>
  <c r="CV456" i="25" s="1"/>
  <c r="CW456" i="25" s="1"/>
  <c r="CZ456" i="25" s="1"/>
  <c r="CU456" i="25"/>
  <c r="CX456" i="25" s="1"/>
  <c r="CY456" i="25" s="1"/>
  <c r="CR398" i="25"/>
  <c r="CV398" i="25" s="1"/>
  <c r="CW398" i="25" s="1"/>
  <c r="CZ398" i="25" s="1"/>
  <c r="CU398" i="25"/>
  <c r="CX398" i="25" s="1"/>
  <c r="CY398" i="25" s="1"/>
  <c r="CU434" i="25"/>
  <c r="CX434" i="25" s="1"/>
  <c r="CY434" i="25" s="1"/>
  <c r="CR458" i="25"/>
  <c r="CV458" i="25" s="1"/>
  <c r="CW458" i="25" s="1"/>
  <c r="CZ458" i="25" s="1"/>
  <c r="CU458" i="25"/>
  <c r="CX458" i="25" s="1"/>
  <c r="CY458" i="25" s="1"/>
  <c r="CU467" i="25"/>
  <c r="CX467" i="25" s="1"/>
  <c r="CY467" i="25" s="1"/>
  <c r="F236" i="89"/>
  <c r="T235" i="89"/>
  <c r="F231" i="89"/>
  <c r="T236" i="89"/>
  <c r="T234" i="89"/>
  <c r="T232" i="89"/>
  <c r="T231" i="89"/>
  <c r="F232" i="89"/>
  <c r="F235" i="89"/>
  <c r="F233" i="89"/>
  <c r="P93" i="89"/>
  <c r="P89" i="89"/>
  <c r="N100" i="89"/>
  <c r="G391" i="25" l="1"/>
  <c r="CE391" i="25"/>
  <c r="CF391" i="25"/>
  <c r="CH391" i="25"/>
  <c r="CI391" i="25"/>
  <c r="CJ391" i="25"/>
  <c r="CK391" i="25"/>
  <c r="CL391" i="25"/>
  <c r="CM391" i="25"/>
  <c r="CN391" i="25"/>
  <c r="CS391" i="25"/>
  <c r="CT391" i="25" s="1"/>
  <c r="DA391" i="25"/>
  <c r="DB391" i="25"/>
  <c r="DF391" i="25"/>
  <c r="DG391" i="25"/>
  <c r="DK391" i="25"/>
  <c r="DL391" i="25"/>
  <c r="DS391" i="25" s="1"/>
  <c r="DM391" i="25"/>
  <c r="DN391" i="25"/>
  <c r="DU391" i="25"/>
  <c r="DV391" i="25"/>
  <c r="DW391" i="25" s="1"/>
  <c r="DX391" i="25"/>
  <c r="DZ391" i="25"/>
  <c r="EA391" i="25"/>
  <c r="EB391" i="25"/>
  <c r="EE391" i="25"/>
  <c r="EF391" i="25"/>
  <c r="EG391" i="25"/>
  <c r="DE391" i="25" s="1"/>
  <c r="EH391" i="25"/>
  <c r="EI391" i="25"/>
  <c r="DT391" i="25" s="1"/>
  <c r="EJ391" i="25"/>
  <c r="EK391" i="25"/>
  <c r="EL391" i="25"/>
  <c r="EM391" i="25"/>
  <c r="EO391" i="25"/>
  <c r="EP391" i="25"/>
  <c r="EC391" i="25" l="1"/>
  <c r="CG391" i="25"/>
  <c r="DD391" i="25"/>
  <c r="DC391" i="25" s="1"/>
  <c r="DJ391" i="25" s="1"/>
  <c r="CO391" i="25"/>
  <c r="CQ391" i="25" s="1"/>
  <c r="CR391" i="25" s="1"/>
  <c r="CV391" i="25" s="1"/>
  <c r="CW391" i="25" s="1"/>
  <c r="CZ391" i="25" s="1"/>
  <c r="DO391" i="25"/>
  <c r="DP391" i="25" s="1"/>
  <c r="DQ391" i="25" s="1"/>
  <c r="DR391" i="25" s="1"/>
  <c r="DY391" i="25"/>
  <c r="CP391" i="25"/>
  <c r="ED391" i="25"/>
  <c r="DH391" i="25"/>
  <c r="DI391" i="25" s="1"/>
  <c r="CU391" i="25" l="1"/>
  <c r="CX391" i="25" s="1"/>
  <c r="CY391" i="25" s="1"/>
  <c r="BO287" i="25" l="1"/>
  <c r="CE104" i="25"/>
  <c r="CF104" i="25"/>
  <c r="CH104" i="25"/>
  <c r="CI104" i="25"/>
  <c r="CJ104" i="25"/>
  <c r="CK104" i="25"/>
  <c r="CL104" i="25"/>
  <c r="CM104" i="25"/>
  <c r="CN104" i="25"/>
  <c r="CS104" i="25"/>
  <c r="CT104" i="25" s="1"/>
  <c r="DA104" i="25"/>
  <c r="DB104" i="25"/>
  <c r="DD104" i="25" s="1"/>
  <c r="DC104" i="25" s="1"/>
  <c r="DJ104" i="25" s="1"/>
  <c r="DF104" i="25"/>
  <c r="DG104" i="25"/>
  <c r="DH104" i="25"/>
  <c r="DI104" i="25" s="1"/>
  <c r="DK104" i="25"/>
  <c r="DL104" i="25"/>
  <c r="DM104" i="25"/>
  <c r="DN104" i="25"/>
  <c r="DU104" i="25"/>
  <c r="DV104" i="25"/>
  <c r="DW104" i="25" s="1"/>
  <c r="DX104" i="25"/>
  <c r="DZ104" i="25"/>
  <c r="EA104" i="25"/>
  <c r="EB104" i="25"/>
  <c r="EE104" i="25"/>
  <c r="EF104" i="25"/>
  <c r="DT104" i="25"/>
  <c r="EJ104" i="25"/>
  <c r="EK104" i="25"/>
  <c r="EL104" i="25"/>
  <c r="EM104" i="25"/>
  <c r="EO104" i="25"/>
  <c r="EP104" i="25"/>
  <c r="DY104" i="25" l="1"/>
  <c r="DO104" i="25"/>
  <c r="DP104" i="25" s="1"/>
  <c r="DQ104" i="25" s="1"/>
  <c r="DR104" i="25" s="1"/>
  <c r="EC104" i="25"/>
  <c r="DS104" i="25"/>
  <c r="ED104" i="25"/>
  <c r="CO104" i="25"/>
  <c r="CQ104" i="25" s="1"/>
  <c r="CG104" i="25"/>
  <c r="CP104" i="25"/>
  <c r="DE104" i="25"/>
  <c r="CU104" i="25" l="1"/>
  <c r="CX104" i="25" s="1"/>
  <c r="CY104" i="25" s="1"/>
  <c r="CR104" i="25"/>
  <c r="CV104" i="25" s="1"/>
  <c r="CW104" i="25" s="1"/>
  <c r="CZ104" i="25" s="1"/>
  <c r="P67" i="89" l="1"/>
  <c r="G52" i="25"/>
  <c r="CE52" i="25"/>
  <c r="CF52" i="25"/>
  <c r="CH52" i="25"/>
  <c r="CI52" i="25"/>
  <c r="CJ52" i="25"/>
  <c r="CK52" i="25"/>
  <c r="CL52" i="25"/>
  <c r="CM52" i="25"/>
  <c r="CN52" i="25"/>
  <c r="CS52" i="25"/>
  <c r="CT52" i="25" s="1"/>
  <c r="DA52" i="25"/>
  <c r="DB52" i="25"/>
  <c r="DF52" i="25"/>
  <c r="DG52" i="25"/>
  <c r="DK52" i="25"/>
  <c r="DL52" i="25"/>
  <c r="DS52" i="25" s="1"/>
  <c r="DM52" i="25"/>
  <c r="DN52" i="25"/>
  <c r="DU52" i="25"/>
  <c r="DV52" i="25"/>
  <c r="DW52" i="25" s="1"/>
  <c r="DX52" i="25"/>
  <c r="DZ52" i="25"/>
  <c r="EA52" i="25"/>
  <c r="EB52" i="25"/>
  <c r="EE52" i="25"/>
  <c r="EF52" i="25"/>
  <c r="EG52" i="25"/>
  <c r="EH52" i="25"/>
  <c r="EI52" i="25"/>
  <c r="DT52" i="25" s="1"/>
  <c r="EJ52" i="25"/>
  <c r="EK52" i="25"/>
  <c r="EL52" i="25"/>
  <c r="EM52" i="25"/>
  <c r="EO52" i="25"/>
  <c r="EP52" i="25"/>
  <c r="G158" i="25"/>
  <c r="CE158" i="25"/>
  <c r="CF158" i="25"/>
  <c r="CH158" i="25"/>
  <c r="CI158" i="25"/>
  <c r="CJ158" i="25"/>
  <c r="CK158" i="25"/>
  <c r="CL158" i="25"/>
  <c r="CM158" i="25"/>
  <c r="CN158" i="25"/>
  <c r="CS158" i="25"/>
  <c r="CT158" i="25" s="1"/>
  <c r="DA158" i="25"/>
  <c r="DB158" i="25"/>
  <c r="DF158" i="25"/>
  <c r="DG158" i="25"/>
  <c r="DK158" i="25"/>
  <c r="DL158" i="25"/>
  <c r="DS158" i="25" s="1"/>
  <c r="DM158" i="25"/>
  <c r="DN158" i="25"/>
  <c r="DU158" i="25"/>
  <c r="DV158" i="25"/>
  <c r="DY158" i="25" s="1"/>
  <c r="DX158" i="25"/>
  <c r="DZ158" i="25"/>
  <c r="EA158" i="25"/>
  <c r="EB158" i="25"/>
  <c r="EE158" i="25"/>
  <c r="EF158" i="25"/>
  <c r="EG158" i="25"/>
  <c r="EH158" i="25"/>
  <c r="EI158" i="25"/>
  <c r="DT158" i="25" s="1"/>
  <c r="EJ158" i="25"/>
  <c r="EK158" i="25"/>
  <c r="EL158" i="25"/>
  <c r="EM158" i="25"/>
  <c r="EO158" i="25"/>
  <c r="EP158" i="25"/>
  <c r="G390" i="25"/>
  <c r="G366" i="25"/>
  <c r="CE390" i="25"/>
  <c r="CE366" i="25"/>
  <c r="CF390" i="25"/>
  <c r="CF366" i="25"/>
  <c r="CH390" i="25"/>
  <c r="CH366" i="25"/>
  <c r="CI390" i="25"/>
  <c r="CI366" i="25"/>
  <c r="CJ390" i="25"/>
  <c r="CJ366" i="25"/>
  <c r="CK390" i="25"/>
  <c r="CK366" i="25"/>
  <c r="CL390" i="25"/>
  <c r="CL366" i="25"/>
  <c r="CM390" i="25"/>
  <c r="CM366" i="25"/>
  <c r="CN390" i="25"/>
  <c r="CN366" i="25"/>
  <c r="CS390" i="25"/>
  <c r="CT390" i="25" s="1"/>
  <c r="CS366" i="25"/>
  <c r="CT366" i="25" s="1"/>
  <c r="DA390" i="25"/>
  <c r="DA366" i="25"/>
  <c r="DB390" i="25"/>
  <c r="DB366" i="25"/>
  <c r="DF390" i="25"/>
  <c r="DF366" i="25"/>
  <c r="DG390" i="25"/>
  <c r="DG366" i="25"/>
  <c r="DK390" i="25"/>
  <c r="DK366" i="25"/>
  <c r="DL390" i="25"/>
  <c r="DS390" i="25" s="1"/>
  <c r="DL366" i="25"/>
  <c r="DS366" i="25" s="1"/>
  <c r="DM390" i="25"/>
  <c r="DM366" i="25"/>
  <c r="DN390" i="25"/>
  <c r="DN366" i="25"/>
  <c r="DU390" i="25"/>
  <c r="DU366" i="25"/>
  <c r="DV390" i="25"/>
  <c r="DW390" i="25" s="1"/>
  <c r="DV366" i="25"/>
  <c r="DW366" i="25" s="1"/>
  <c r="DX390" i="25"/>
  <c r="DX366" i="25"/>
  <c r="DZ390" i="25"/>
  <c r="DZ366" i="25"/>
  <c r="EA390" i="25"/>
  <c r="EA366" i="25"/>
  <c r="EB390" i="25"/>
  <c r="EB366" i="25"/>
  <c r="EE390" i="25"/>
  <c r="EE366" i="25"/>
  <c r="EF390" i="25"/>
  <c r="EF366" i="25"/>
  <c r="EG390" i="25"/>
  <c r="EG366" i="25"/>
  <c r="EH390" i="25"/>
  <c r="EH366" i="25"/>
  <c r="EI390" i="25"/>
  <c r="DT390" i="25" s="1"/>
  <c r="EI366" i="25"/>
  <c r="DT366" i="25" s="1"/>
  <c r="EJ390" i="25"/>
  <c r="EJ366" i="25"/>
  <c r="EK390" i="25"/>
  <c r="EK366" i="25"/>
  <c r="EL390" i="25"/>
  <c r="EL366" i="25"/>
  <c r="EM390" i="25"/>
  <c r="EM366" i="25"/>
  <c r="EO390" i="25"/>
  <c r="EO366" i="25"/>
  <c r="EP390" i="25"/>
  <c r="EP366" i="25"/>
  <c r="EI376" i="25"/>
  <c r="DT376" i="25" s="1"/>
  <c r="EI387" i="25"/>
  <c r="DT387" i="25" s="1"/>
  <c r="EI392" i="25"/>
  <c r="DT392" i="25" s="1"/>
  <c r="EI393" i="25"/>
  <c r="DT393" i="25" s="1"/>
  <c r="EI394" i="25"/>
  <c r="DT394" i="25" s="1"/>
  <c r="G371" i="25"/>
  <c r="G376" i="25"/>
  <c r="G387" i="25"/>
  <c r="G392" i="25"/>
  <c r="G393" i="25"/>
  <c r="G394" i="25"/>
  <c r="CE371" i="25"/>
  <c r="CE376" i="25"/>
  <c r="CE387" i="25"/>
  <c r="CE392" i="25"/>
  <c r="CE393" i="25"/>
  <c r="CE394" i="25"/>
  <c r="CF371" i="25"/>
  <c r="CF376" i="25"/>
  <c r="CF387" i="25"/>
  <c r="CF392" i="25"/>
  <c r="CF393" i="25"/>
  <c r="CF394" i="25"/>
  <c r="CH371" i="25"/>
  <c r="CH376" i="25"/>
  <c r="CH387" i="25"/>
  <c r="CH392" i="25"/>
  <c r="CH393" i="25"/>
  <c r="CH394" i="25"/>
  <c r="CI371" i="25"/>
  <c r="CI376" i="25"/>
  <c r="CI387" i="25"/>
  <c r="CI392" i="25"/>
  <c r="CI393" i="25"/>
  <c r="CI394" i="25"/>
  <c r="CJ371" i="25"/>
  <c r="CJ376" i="25"/>
  <c r="CJ387" i="25"/>
  <c r="CJ392" i="25"/>
  <c r="CJ393" i="25"/>
  <c r="CJ394" i="25"/>
  <c r="CK371" i="25"/>
  <c r="CK376" i="25"/>
  <c r="CK387" i="25"/>
  <c r="CK392" i="25"/>
  <c r="CK393" i="25"/>
  <c r="CK394" i="25"/>
  <c r="CL371" i="25"/>
  <c r="CL376" i="25"/>
  <c r="CL387" i="25"/>
  <c r="CL392" i="25"/>
  <c r="CL393" i="25"/>
  <c r="CL394" i="25"/>
  <c r="CM371" i="25"/>
  <c r="CM376" i="25"/>
  <c r="CM387" i="25"/>
  <c r="CM392" i="25"/>
  <c r="CM393" i="25"/>
  <c r="CM394" i="25"/>
  <c r="CN371" i="25"/>
  <c r="CN376" i="25"/>
  <c r="CN387" i="25"/>
  <c r="CN392" i="25"/>
  <c r="CN393" i="25"/>
  <c r="CN394" i="25"/>
  <c r="CS371" i="25"/>
  <c r="CT371" i="25" s="1"/>
  <c r="CS376" i="25"/>
  <c r="CT376" i="25" s="1"/>
  <c r="CS387" i="25"/>
  <c r="CS392" i="25"/>
  <c r="CT392" i="25" s="1"/>
  <c r="CS393" i="25"/>
  <c r="CT393" i="25" s="1"/>
  <c r="CS394" i="25"/>
  <c r="DA371" i="25"/>
  <c r="DA376" i="25"/>
  <c r="DA387" i="25"/>
  <c r="DA392" i="25"/>
  <c r="DA393" i="25"/>
  <c r="DA394" i="25"/>
  <c r="DB371" i="25"/>
  <c r="DB376" i="25"/>
  <c r="DB387" i="25"/>
  <c r="DB392" i="25"/>
  <c r="DB393" i="25"/>
  <c r="DB394" i="25"/>
  <c r="DF371" i="25"/>
  <c r="DF376" i="25"/>
  <c r="DF387" i="25"/>
  <c r="DF392" i="25"/>
  <c r="DF393" i="25"/>
  <c r="DF394" i="25"/>
  <c r="DG371" i="25"/>
  <c r="DG376" i="25"/>
  <c r="DG387" i="25"/>
  <c r="DG392" i="25"/>
  <c r="DG393" i="25"/>
  <c r="DG394" i="25"/>
  <c r="DK371" i="25"/>
  <c r="DK376" i="25"/>
  <c r="DK387" i="25"/>
  <c r="DK392" i="25"/>
  <c r="DK393" i="25"/>
  <c r="DK394" i="25"/>
  <c r="DL371" i="25"/>
  <c r="DS371" i="25" s="1"/>
  <c r="DL376" i="25"/>
  <c r="DS376" i="25" s="1"/>
  <c r="DL387" i="25"/>
  <c r="DS387" i="25" s="1"/>
  <c r="DL392" i="25"/>
  <c r="DS392" i="25" s="1"/>
  <c r="DL393" i="25"/>
  <c r="DS393" i="25" s="1"/>
  <c r="DL394" i="25"/>
  <c r="DS394" i="25" s="1"/>
  <c r="DM371" i="25"/>
  <c r="DM376" i="25"/>
  <c r="DM387" i="25"/>
  <c r="DM392" i="25"/>
  <c r="DM393" i="25"/>
  <c r="DM394" i="25"/>
  <c r="DN371" i="25"/>
  <c r="DN376" i="25"/>
  <c r="DN387" i="25"/>
  <c r="DN392" i="25"/>
  <c r="DN393" i="25"/>
  <c r="DN394" i="25"/>
  <c r="DU371" i="25"/>
  <c r="DU376" i="25"/>
  <c r="DU387" i="25"/>
  <c r="DU392" i="25"/>
  <c r="DU393" i="25"/>
  <c r="DU394" i="25"/>
  <c r="DV371" i="25"/>
  <c r="DY371" i="25" s="1"/>
  <c r="DV376" i="25"/>
  <c r="DY376" i="25" s="1"/>
  <c r="DV387" i="25"/>
  <c r="DY387" i="25" s="1"/>
  <c r="DV392" i="25"/>
  <c r="DY392" i="25" s="1"/>
  <c r="DV393" i="25"/>
  <c r="DW393" i="25" s="1"/>
  <c r="DV394" i="25"/>
  <c r="DW394" i="25" s="1"/>
  <c r="DX371" i="25"/>
  <c r="DX376" i="25"/>
  <c r="DX387" i="25"/>
  <c r="DX392" i="25"/>
  <c r="DX393" i="25"/>
  <c r="DX394" i="25"/>
  <c r="DZ371" i="25"/>
  <c r="DZ376" i="25"/>
  <c r="DZ387" i="25"/>
  <c r="DZ392" i="25"/>
  <c r="DZ393" i="25"/>
  <c r="DZ394" i="25"/>
  <c r="EA371" i="25"/>
  <c r="EA376" i="25"/>
  <c r="EA387" i="25"/>
  <c r="EA392" i="25"/>
  <c r="EA393" i="25"/>
  <c r="EA394" i="25"/>
  <c r="EB371" i="25"/>
  <c r="EB376" i="25"/>
  <c r="EB387" i="25"/>
  <c r="EB392" i="25"/>
  <c r="EB393" i="25"/>
  <c r="EB394" i="25"/>
  <c r="EE371" i="25"/>
  <c r="EE376" i="25"/>
  <c r="EE387" i="25"/>
  <c r="EE392" i="25"/>
  <c r="EE393" i="25"/>
  <c r="EE394" i="25"/>
  <c r="EF371" i="25"/>
  <c r="EF376" i="25"/>
  <c r="EF387" i="25"/>
  <c r="EF392" i="25"/>
  <c r="EF393" i="25"/>
  <c r="EF394" i="25"/>
  <c r="EG371" i="25"/>
  <c r="DE371" i="25" s="1"/>
  <c r="EG376" i="25"/>
  <c r="DE376" i="25" s="1"/>
  <c r="EG387" i="25"/>
  <c r="EG392" i="25"/>
  <c r="DE392" i="25" s="1"/>
  <c r="EG393" i="25"/>
  <c r="EG394" i="25"/>
  <c r="EH371" i="25"/>
  <c r="EH376" i="25"/>
  <c r="EH387" i="25"/>
  <c r="EH392" i="25"/>
  <c r="EH393" i="25"/>
  <c r="EH394" i="25"/>
  <c r="EI371" i="25"/>
  <c r="DT371" i="25" s="1"/>
  <c r="EJ371" i="25"/>
  <c r="EJ376" i="25"/>
  <c r="EJ387" i="25"/>
  <c r="EJ392" i="25"/>
  <c r="EJ393" i="25"/>
  <c r="EJ394" i="25"/>
  <c r="EK371" i="25"/>
  <c r="EK376" i="25"/>
  <c r="EK387" i="25"/>
  <c r="EK392" i="25"/>
  <c r="EK393" i="25"/>
  <c r="EK394" i="25"/>
  <c r="EL371" i="25"/>
  <c r="EL376" i="25"/>
  <c r="EL387" i="25"/>
  <c r="EL392" i="25"/>
  <c r="EL393" i="25"/>
  <c r="EL394" i="25"/>
  <c r="EM371" i="25"/>
  <c r="EM376" i="25"/>
  <c r="EM387" i="25"/>
  <c r="EM392" i="25"/>
  <c r="EM393" i="25"/>
  <c r="EM394" i="25"/>
  <c r="EO371" i="25"/>
  <c r="EO376" i="25"/>
  <c r="EO387" i="25"/>
  <c r="EO392" i="25"/>
  <c r="EO393" i="25"/>
  <c r="EO394" i="25"/>
  <c r="EP371" i="25"/>
  <c r="EP376" i="25"/>
  <c r="EP387" i="25"/>
  <c r="EP392" i="25"/>
  <c r="EP393" i="25"/>
  <c r="EP394" i="25"/>
  <c r="EC52" i="25" l="1"/>
  <c r="DD52" i="25"/>
  <c r="DC52" i="25" s="1"/>
  <c r="DJ52" i="25" s="1"/>
  <c r="EC158" i="25"/>
  <c r="DD158" i="25"/>
  <c r="DC158" i="25" s="1"/>
  <c r="DJ158" i="25" s="1"/>
  <c r="DO158" i="25"/>
  <c r="DP158" i="25" s="1"/>
  <c r="DQ158" i="25" s="1"/>
  <c r="DR158" i="25" s="1"/>
  <c r="CG158" i="25"/>
  <c r="DY52" i="25"/>
  <c r="DO52" i="25"/>
  <c r="DP52" i="25" s="1"/>
  <c r="DQ52" i="25" s="1"/>
  <c r="DR52" i="25" s="1"/>
  <c r="CG52" i="25"/>
  <c r="DW158" i="25"/>
  <c r="ED52" i="25"/>
  <c r="CO52" i="25"/>
  <c r="CQ52" i="25" s="1"/>
  <c r="CR52" i="25" s="1"/>
  <c r="CV52" i="25" s="1"/>
  <c r="CW52" i="25" s="1"/>
  <c r="CZ52" i="25" s="1"/>
  <c r="DH52" i="25"/>
  <c r="DI52" i="25" s="1"/>
  <c r="CP158" i="25"/>
  <c r="CP52" i="25"/>
  <c r="CO158" i="25"/>
  <c r="CQ158" i="25" s="1"/>
  <c r="CR158" i="25" s="1"/>
  <c r="CV158" i="25" s="1"/>
  <c r="CW158" i="25" s="1"/>
  <c r="CZ158" i="25" s="1"/>
  <c r="DE52" i="25"/>
  <c r="ED158" i="25"/>
  <c r="DH158" i="25"/>
  <c r="DI158" i="25" s="1"/>
  <c r="DE158" i="25"/>
  <c r="ED390" i="25"/>
  <c r="CG390" i="25"/>
  <c r="DD390" i="25"/>
  <c r="DC390" i="25" s="1"/>
  <c r="DJ390" i="25" s="1"/>
  <c r="CO390" i="25"/>
  <c r="CQ390" i="25" s="1"/>
  <c r="CU390" i="25" s="1"/>
  <c r="CX390" i="25" s="1"/>
  <c r="CY390" i="25" s="1"/>
  <c r="DD366" i="25"/>
  <c r="DC366" i="25" s="1"/>
  <c r="DJ366" i="25" s="1"/>
  <c r="CG366" i="25"/>
  <c r="CO366" i="25"/>
  <c r="CQ366" i="25" s="1"/>
  <c r="CR366" i="25" s="1"/>
  <c r="CV366" i="25" s="1"/>
  <c r="CW366" i="25" s="1"/>
  <c r="CZ366" i="25" s="1"/>
  <c r="CP366" i="25"/>
  <c r="ED366" i="25"/>
  <c r="CP390" i="25"/>
  <c r="DO366" i="25"/>
  <c r="DP366" i="25" s="1"/>
  <c r="DQ366" i="25" s="1"/>
  <c r="DR366" i="25" s="1"/>
  <c r="DH366" i="25"/>
  <c r="DI366" i="25" s="1"/>
  <c r="DO390" i="25"/>
  <c r="DP390" i="25" s="1"/>
  <c r="DQ390" i="25" s="1"/>
  <c r="DR390" i="25" s="1"/>
  <c r="EC366" i="25"/>
  <c r="EC390" i="25"/>
  <c r="DY366" i="25"/>
  <c r="DE366" i="25"/>
  <c r="DY390" i="25"/>
  <c r="DE390" i="25"/>
  <c r="DH390" i="25"/>
  <c r="DI390" i="25" s="1"/>
  <c r="DD387" i="25"/>
  <c r="DC387" i="25" s="1"/>
  <c r="DJ387" i="25" s="1"/>
  <c r="CG371" i="25"/>
  <c r="CG387" i="25"/>
  <c r="ED376" i="25"/>
  <c r="ED387" i="25"/>
  <c r="EC371" i="25"/>
  <c r="EC393" i="25"/>
  <c r="DO393" i="25"/>
  <c r="DP393" i="25" s="1"/>
  <c r="DQ393" i="25" s="1"/>
  <c r="DR393" i="25" s="1"/>
  <c r="ED393" i="25"/>
  <c r="EC387" i="25"/>
  <c r="CO387" i="25"/>
  <c r="CQ387" i="25" s="1"/>
  <c r="CR387" i="25" s="1"/>
  <c r="DO376" i="25"/>
  <c r="DP376" i="25" s="1"/>
  <c r="DQ376" i="25" s="1"/>
  <c r="DR376" i="25" s="1"/>
  <c r="CP393" i="25"/>
  <c r="DO392" i="25"/>
  <c r="DP392" i="25" s="1"/>
  <c r="DQ392" i="25" s="1"/>
  <c r="DR392" i="25" s="1"/>
  <c r="CO392" i="25"/>
  <c r="CQ392" i="25" s="1"/>
  <c r="DD376" i="25"/>
  <c r="DC376" i="25" s="1"/>
  <c r="DJ376" i="25" s="1"/>
  <c r="DW387" i="25"/>
  <c r="CP376" i="25"/>
  <c r="CG394" i="25"/>
  <c r="DO387" i="25"/>
  <c r="DP387" i="25" s="1"/>
  <c r="DQ387" i="25" s="1"/>
  <c r="DR387" i="25" s="1"/>
  <c r="CO394" i="25"/>
  <c r="CQ394" i="25" s="1"/>
  <c r="CR394" i="25" s="1"/>
  <c r="CG376" i="25"/>
  <c r="ED371" i="25"/>
  <c r="CP387" i="25"/>
  <c r="CO371" i="25"/>
  <c r="CQ371" i="25" s="1"/>
  <c r="CR371" i="25" s="1"/>
  <c r="CV371" i="25" s="1"/>
  <c r="CW371" i="25" s="1"/>
  <c r="CZ371" i="25" s="1"/>
  <c r="CO393" i="25"/>
  <c r="CQ393" i="25" s="1"/>
  <c r="DD392" i="25"/>
  <c r="DC392" i="25" s="1"/>
  <c r="DJ392" i="25" s="1"/>
  <c r="CP392" i="25"/>
  <c r="CO376" i="25"/>
  <c r="CQ376" i="25" s="1"/>
  <c r="EC394" i="25"/>
  <c r="DW392" i="25"/>
  <c r="CP394" i="25"/>
  <c r="CP371" i="25"/>
  <c r="DY394" i="25"/>
  <c r="DD371" i="25"/>
  <c r="DC371" i="25" s="1"/>
  <c r="DJ371" i="25" s="1"/>
  <c r="ED394" i="25"/>
  <c r="EC392" i="25"/>
  <c r="DO371" i="25"/>
  <c r="DP371" i="25" s="1"/>
  <c r="DQ371" i="25" s="1"/>
  <c r="DR371" i="25" s="1"/>
  <c r="ED392" i="25"/>
  <c r="EC376" i="25"/>
  <c r="CG393" i="25"/>
  <c r="DD394" i="25"/>
  <c r="DC394" i="25" s="1"/>
  <c r="DJ394" i="25" s="1"/>
  <c r="CG392" i="25"/>
  <c r="DD393" i="25"/>
  <c r="DC393" i="25" s="1"/>
  <c r="DJ393" i="25" s="1"/>
  <c r="DO394" i="25"/>
  <c r="DP394" i="25" s="1"/>
  <c r="DQ394" i="25" s="1"/>
  <c r="DR394" i="25" s="1"/>
  <c r="DH394" i="25"/>
  <c r="DI394" i="25" s="1"/>
  <c r="DH393" i="25"/>
  <c r="DI393" i="25" s="1"/>
  <c r="DH392" i="25"/>
  <c r="DI392" i="25" s="1"/>
  <c r="DH371" i="25"/>
  <c r="DI371" i="25" s="1"/>
  <c r="DW376" i="25"/>
  <c r="DY393" i="25"/>
  <c r="DW371" i="25"/>
  <c r="DH387" i="25"/>
  <c r="DI387" i="25" s="1"/>
  <c r="DE393" i="25"/>
  <c r="DE394" i="25"/>
  <c r="DH376" i="25"/>
  <c r="DI376" i="25" s="1"/>
  <c r="CT394" i="25"/>
  <c r="DE387" i="25"/>
  <c r="CT387" i="25"/>
  <c r="CU52" i="25" l="1"/>
  <c r="CX52" i="25" s="1"/>
  <c r="CY52" i="25" s="1"/>
  <c r="CU158" i="25"/>
  <c r="CX158" i="25" s="1"/>
  <c r="CY158" i="25" s="1"/>
  <c r="CR390" i="25"/>
  <c r="CV390" i="25" s="1"/>
  <c r="CW390" i="25" s="1"/>
  <c r="CZ390" i="25" s="1"/>
  <c r="CU366" i="25"/>
  <c r="CX366" i="25" s="1"/>
  <c r="CY366" i="25" s="1"/>
  <c r="CU393" i="25"/>
  <c r="CX393" i="25" s="1"/>
  <c r="CY393" i="25" s="1"/>
  <c r="CR393" i="25"/>
  <c r="CV393" i="25" s="1"/>
  <c r="CW393" i="25" s="1"/>
  <c r="CZ393" i="25" s="1"/>
  <c r="CU394" i="25"/>
  <c r="CX394" i="25" s="1"/>
  <c r="CY394" i="25" s="1"/>
  <c r="CV394" i="25"/>
  <c r="CW394" i="25" s="1"/>
  <c r="CZ394" i="25" s="1"/>
  <c r="CV387" i="25"/>
  <c r="CW387" i="25" s="1"/>
  <c r="CZ387" i="25" s="1"/>
  <c r="CU387" i="25"/>
  <c r="CX387" i="25" s="1"/>
  <c r="CY387" i="25" s="1"/>
  <c r="CR376" i="25"/>
  <c r="CV376" i="25" s="1"/>
  <c r="CW376" i="25" s="1"/>
  <c r="CZ376" i="25" s="1"/>
  <c r="CU376" i="25"/>
  <c r="CX376" i="25" s="1"/>
  <c r="CY376" i="25" s="1"/>
  <c r="CR392" i="25"/>
  <c r="CV392" i="25" s="1"/>
  <c r="CW392" i="25" s="1"/>
  <c r="CZ392" i="25" s="1"/>
  <c r="CU392" i="25"/>
  <c r="CX392" i="25" s="1"/>
  <c r="CY392" i="25" s="1"/>
  <c r="CU371" i="25"/>
  <c r="CX371" i="25" s="1"/>
  <c r="CY371" i="25" s="1"/>
  <c r="G42" i="25" l="1"/>
  <c r="G45" i="25"/>
  <c r="G47" i="25"/>
  <c r="G147" i="25"/>
  <c r="G65" i="25"/>
  <c r="G72" i="25"/>
  <c r="G146" i="25"/>
  <c r="G105" i="25"/>
  <c r="G106" i="25"/>
  <c r="G116" i="25"/>
  <c r="G117" i="25"/>
  <c r="G120" i="25"/>
  <c r="G99" i="25"/>
  <c r="G143" i="25"/>
  <c r="G144" i="25"/>
  <c r="G148" i="25"/>
  <c r="G82" i="25"/>
  <c r="G83" i="25"/>
  <c r="G84" i="25"/>
  <c r="G85" i="25"/>
  <c r="G13" i="25"/>
  <c r="G14" i="25"/>
  <c r="G166" i="25"/>
  <c r="G167" i="25"/>
  <c r="G168" i="25"/>
  <c r="G172" i="25"/>
  <c r="G37" i="25"/>
  <c r="G173" i="25"/>
  <c r="G39" i="25"/>
  <c r="G174" i="25"/>
  <c r="G40" i="25"/>
  <c r="G46" i="25"/>
  <c r="G48" i="25"/>
  <c r="G175" i="25"/>
  <c r="G176" i="25"/>
  <c r="G169" i="25"/>
  <c r="G178" i="25"/>
  <c r="G60" i="25"/>
  <c r="G179" i="25"/>
  <c r="G180" i="25"/>
  <c r="G79" i="25"/>
  <c r="G182" i="25"/>
  <c r="G86" i="25"/>
  <c r="G183" i="25"/>
  <c r="G87" i="25"/>
  <c r="G186" i="25"/>
  <c r="G93" i="25"/>
  <c r="G187" i="25"/>
  <c r="G188" i="25"/>
  <c r="G190" i="25"/>
  <c r="G191" i="25"/>
  <c r="G193" i="25"/>
  <c r="G194" i="25"/>
  <c r="G195" i="25"/>
  <c r="G196" i="25"/>
  <c r="G197" i="25"/>
  <c r="G198" i="25"/>
  <c r="G199" i="25"/>
  <c r="G122" i="25"/>
  <c r="G141" i="25"/>
  <c r="G201" i="25"/>
  <c r="G161" i="25"/>
  <c r="G162" i="25"/>
  <c r="G163" i="25"/>
  <c r="G202" i="25"/>
  <c r="G189" i="25"/>
  <c r="G192" i="25"/>
  <c r="G184" i="25"/>
  <c r="G7" i="25"/>
  <c r="G145" i="25"/>
  <c r="G16" i="25"/>
  <c r="G24" i="25"/>
  <c r="G25" i="25"/>
  <c r="G28" i="25"/>
  <c r="G170" i="25"/>
  <c r="G29" i="25"/>
  <c r="G34" i="25"/>
  <c r="G177" i="25"/>
  <c r="G57" i="25"/>
  <c r="G61" i="25"/>
  <c r="G77" i="25"/>
  <c r="G181" i="25"/>
  <c r="G185" i="25"/>
  <c r="G88" i="25"/>
  <c r="G91" i="25"/>
  <c r="G92" i="25"/>
  <c r="G96" i="25"/>
  <c r="G98" i="25"/>
  <c r="G100" i="25"/>
  <c r="G108" i="25"/>
  <c r="G109" i="25"/>
  <c r="G22" i="25"/>
  <c r="G123" i="25"/>
  <c r="G129" i="25"/>
  <c r="G133" i="25"/>
  <c r="G159" i="25"/>
  <c r="G165" i="25"/>
  <c r="G95" i="25"/>
  <c r="G140" i="25"/>
  <c r="G149" i="25"/>
  <c r="G21" i="25"/>
  <c r="G56" i="25"/>
  <c r="G11" i="25"/>
  <c r="G12" i="25"/>
  <c r="G15" i="25"/>
  <c r="G20" i="25"/>
  <c r="G23" i="25"/>
  <c r="G35" i="25"/>
  <c r="G53" i="25"/>
  <c r="G58" i="25"/>
  <c r="G59" i="25"/>
  <c r="G101" i="25"/>
  <c r="G126" i="25"/>
  <c r="G160" i="25"/>
  <c r="G164" i="25"/>
  <c r="G89" i="25"/>
  <c r="G90" i="25"/>
  <c r="G138" i="25"/>
  <c r="G151" i="25"/>
  <c r="G130" i="25"/>
  <c r="G31" i="25"/>
  <c r="G71" i="25"/>
  <c r="G110" i="25"/>
  <c r="G124" i="25"/>
  <c r="G75" i="25"/>
  <c r="G154" i="25"/>
  <c r="G157" i="25"/>
  <c r="G8" i="25"/>
  <c r="G9" i="25"/>
  <c r="G10" i="25"/>
  <c r="G38" i="25"/>
  <c r="G62" i="25"/>
  <c r="G63" i="25"/>
  <c r="G64" i="25"/>
  <c r="G67" i="25"/>
  <c r="G80" i="25"/>
  <c r="G115" i="25"/>
  <c r="G127" i="25"/>
  <c r="G128" i="25"/>
  <c r="G134" i="25"/>
  <c r="G18" i="25"/>
  <c r="G30" i="25"/>
  <c r="G19" i="25"/>
  <c r="G113" i="25"/>
  <c r="G118" i="25"/>
  <c r="G51" i="25"/>
  <c r="G358" i="25"/>
  <c r="G220" i="25"/>
  <c r="G227" i="25"/>
  <c r="G230" i="25"/>
  <c r="G238" i="25"/>
  <c r="G243" i="25"/>
  <c r="G244" i="25"/>
  <c r="G248" i="25"/>
  <c r="G260" i="25"/>
  <c r="G261" i="25"/>
  <c r="G265" i="25"/>
  <c r="G266" i="25"/>
  <c r="G270" i="25"/>
  <c r="G273" i="25"/>
  <c r="G286" i="25"/>
  <c r="G289" i="25"/>
  <c r="G294" i="25"/>
  <c r="G295" i="25"/>
  <c r="G298" i="25"/>
  <c r="G302" i="25"/>
  <c r="G303" i="25"/>
  <c r="G315" i="25"/>
  <c r="G321" i="25"/>
  <c r="G322" i="25"/>
  <c r="G326" i="25"/>
  <c r="G329" i="25"/>
  <c r="G332" i="25"/>
  <c r="G340" i="25"/>
  <c r="G342" i="25"/>
  <c r="G343" i="25"/>
  <c r="G226" i="25"/>
  <c r="G235" i="25"/>
  <c r="G237" i="25"/>
  <c r="G247" i="25"/>
  <c r="G262" i="25"/>
  <c r="G268" i="25"/>
  <c r="G305" i="25"/>
  <c r="G310" i="25"/>
  <c r="G325" i="25"/>
  <c r="G327" i="25"/>
  <c r="G345" i="25"/>
  <c r="G346" i="25"/>
  <c r="G312" i="25"/>
  <c r="G211" i="25"/>
  <c r="G221" i="25"/>
  <c r="G236" i="25"/>
  <c r="G239" i="25"/>
  <c r="G241" i="25"/>
  <c r="G337" i="25"/>
  <c r="G258" i="25"/>
  <c r="G264" i="25"/>
  <c r="G336" i="25"/>
  <c r="G296" i="25"/>
  <c r="G297" i="25"/>
  <c r="G307" i="25"/>
  <c r="G308" i="25"/>
  <c r="G311" i="25"/>
  <c r="G291" i="25"/>
  <c r="G333" i="25"/>
  <c r="G334" i="25"/>
  <c r="G338" i="25"/>
  <c r="G274" i="25"/>
  <c r="G275" i="25"/>
  <c r="G276" i="25"/>
  <c r="G277" i="25"/>
  <c r="G207" i="25"/>
  <c r="G208" i="25"/>
  <c r="G354" i="25"/>
  <c r="G355" i="25"/>
  <c r="G356" i="25"/>
  <c r="G359" i="25"/>
  <c r="G231" i="25"/>
  <c r="G360" i="25"/>
  <c r="G233" i="25"/>
  <c r="G361" i="25"/>
  <c r="G234" i="25"/>
  <c r="G240" i="25"/>
  <c r="G242" i="25"/>
  <c r="G362" i="25"/>
  <c r="G363" i="25"/>
  <c r="G357" i="25"/>
  <c r="G365" i="25"/>
  <c r="G253" i="25"/>
  <c r="G367" i="25"/>
  <c r="G368" i="25"/>
  <c r="G271" i="25"/>
  <c r="G370" i="25"/>
  <c r="G278" i="25"/>
  <c r="G372" i="25"/>
  <c r="G279" i="25"/>
  <c r="G375" i="25"/>
  <c r="G285" i="25"/>
  <c r="G377" i="25"/>
  <c r="G378" i="25"/>
  <c r="G380" i="25"/>
  <c r="G381" i="25"/>
  <c r="G383" i="25"/>
  <c r="G384" i="25"/>
  <c r="G385" i="25"/>
  <c r="G386" i="25"/>
  <c r="G388" i="25"/>
  <c r="G389" i="25"/>
  <c r="G313" i="25"/>
  <c r="G331" i="25"/>
  <c r="G395" i="25"/>
  <c r="G350" i="25"/>
  <c r="G351" i="25"/>
  <c r="G352" i="25"/>
  <c r="G396" i="25"/>
  <c r="G379" i="25"/>
  <c r="G382" i="25"/>
  <c r="G373" i="25"/>
  <c r="G203" i="25"/>
  <c r="G335" i="25"/>
  <c r="G210" i="25"/>
  <c r="G218" i="25"/>
  <c r="G219" i="25"/>
  <c r="G222" i="25"/>
  <c r="G223" i="25"/>
  <c r="G228" i="25"/>
  <c r="G364" i="25"/>
  <c r="G250" i="25"/>
  <c r="G254" i="25"/>
  <c r="G269" i="25"/>
  <c r="G369" i="25"/>
  <c r="G374" i="25"/>
  <c r="G280" i="25"/>
  <c r="G283" i="25"/>
  <c r="G284" i="25"/>
  <c r="G288" i="25"/>
  <c r="G290" i="25"/>
  <c r="G292" i="25"/>
  <c r="G299" i="25"/>
  <c r="G300" i="25"/>
  <c r="G216" i="25"/>
  <c r="G319" i="25"/>
  <c r="G323" i="25"/>
  <c r="G348" i="25"/>
  <c r="G287" i="25"/>
  <c r="G330" i="25"/>
  <c r="G339" i="25"/>
  <c r="G215" i="25"/>
  <c r="G249" i="25"/>
  <c r="G205" i="25"/>
  <c r="G206" i="25"/>
  <c r="G209" i="25"/>
  <c r="G214" i="25"/>
  <c r="G217" i="25"/>
  <c r="G229" i="25"/>
  <c r="G246" i="25"/>
  <c r="G251" i="25"/>
  <c r="G252" i="25"/>
  <c r="G293" i="25"/>
  <c r="G316" i="25"/>
  <c r="G349" i="25"/>
  <c r="G353" i="25"/>
  <c r="G281" i="25"/>
  <c r="G282" i="25"/>
  <c r="G328" i="25"/>
  <c r="G341" i="25"/>
  <c r="G320" i="25"/>
  <c r="G225" i="25"/>
  <c r="G263" i="25"/>
  <c r="G301" i="25"/>
  <c r="G314" i="25"/>
  <c r="G267" i="25"/>
  <c r="G344" i="25"/>
  <c r="G347" i="25"/>
  <c r="G204" i="25"/>
  <c r="G232" i="25"/>
  <c r="G255" i="25"/>
  <c r="G256" i="25"/>
  <c r="G257" i="25"/>
  <c r="G259" i="25"/>
  <c r="G272" i="25"/>
  <c r="G306" i="25"/>
  <c r="G317" i="25"/>
  <c r="G318" i="25"/>
  <c r="G324" i="25"/>
  <c r="G212" i="25"/>
  <c r="G224" i="25"/>
  <c r="G213" i="25"/>
  <c r="G304" i="25"/>
  <c r="G309" i="25"/>
  <c r="G245" i="25"/>
  <c r="CE358" i="25"/>
  <c r="CE220" i="25"/>
  <c r="CE227" i="25"/>
  <c r="CE230" i="25"/>
  <c r="CE238" i="25"/>
  <c r="CE243" i="25"/>
  <c r="CE244" i="25"/>
  <c r="CE248" i="25"/>
  <c r="CE260" i="25"/>
  <c r="CE261" i="25"/>
  <c r="CE265" i="25"/>
  <c r="CE266" i="25"/>
  <c r="CE270" i="25"/>
  <c r="CE273" i="25"/>
  <c r="CE286" i="25"/>
  <c r="CE289" i="25"/>
  <c r="CE294" i="25"/>
  <c r="CE295" i="25"/>
  <c r="CE298" i="25"/>
  <c r="CE302" i="25"/>
  <c r="CE303" i="25"/>
  <c r="CE315" i="25"/>
  <c r="CE321" i="25"/>
  <c r="CE322" i="25"/>
  <c r="CE326" i="25"/>
  <c r="CE329" i="25"/>
  <c r="CE332" i="25"/>
  <c r="CE340" i="25"/>
  <c r="CE342" i="25"/>
  <c r="CE343" i="25"/>
  <c r="CE226" i="25"/>
  <c r="CE235" i="25"/>
  <c r="CE237" i="25"/>
  <c r="CE247" i="25"/>
  <c r="CE262" i="25"/>
  <c r="CE268" i="25"/>
  <c r="CE305" i="25"/>
  <c r="CE310" i="25"/>
  <c r="CE325" i="25"/>
  <c r="CE327" i="25"/>
  <c r="CE345" i="25"/>
  <c r="CE346" i="25"/>
  <c r="CE312" i="25"/>
  <c r="CE211" i="25"/>
  <c r="CE221" i="25"/>
  <c r="CE236" i="25"/>
  <c r="CE239" i="25"/>
  <c r="CE241" i="25"/>
  <c r="CE337" i="25"/>
  <c r="CE258" i="25"/>
  <c r="CE264" i="25"/>
  <c r="CE336" i="25"/>
  <c r="CE296" i="25"/>
  <c r="CE297" i="25"/>
  <c r="CE307" i="25"/>
  <c r="CE308" i="25"/>
  <c r="CE311" i="25"/>
  <c r="CE291" i="25"/>
  <c r="CE333" i="25"/>
  <c r="CE334" i="25"/>
  <c r="CE338" i="25"/>
  <c r="CE274" i="25"/>
  <c r="CE275" i="25"/>
  <c r="CE276" i="25"/>
  <c r="CE277" i="25"/>
  <c r="CE207" i="25"/>
  <c r="CE208" i="25"/>
  <c r="CE354" i="25"/>
  <c r="CE355" i="25"/>
  <c r="CE356" i="25"/>
  <c r="CE359" i="25"/>
  <c r="CE231" i="25"/>
  <c r="CE360" i="25"/>
  <c r="CE233" i="25"/>
  <c r="CE361" i="25"/>
  <c r="CE234" i="25"/>
  <c r="CE240" i="25"/>
  <c r="CE242" i="25"/>
  <c r="CE362" i="25"/>
  <c r="CE363" i="25"/>
  <c r="CE357" i="25"/>
  <c r="CE365" i="25"/>
  <c r="CE253" i="25"/>
  <c r="CE367" i="25"/>
  <c r="CE368" i="25"/>
  <c r="CE271" i="25"/>
  <c r="CE370" i="25"/>
  <c r="CE278" i="25"/>
  <c r="CE372" i="25"/>
  <c r="CE279" i="25"/>
  <c r="CE375" i="25"/>
  <c r="CE285" i="25"/>
  <c r="CE377" i="25"/>
  <c r="CE378" i="25"/>
  <c r="CE380" i="25"/>
  <c r="CE381" i="25"/>
  <c r="CE383" i="25"/>
  <c r="CE384" i="25"/>
  <c r="CE385" i="25"/>
  <c r="CE386" i="25"/>
  <c r="CE388" i="25"/>
  <c r="CE389" i="25"/>
  <c r="CE313" i="25"/>
  <c r="CE331" i="25"/>
  <c r="CE395" i="25"/>
  <c r="CE350" i="25"/>
  <c r="CE351" i="25"/>
  <c r="CE352" i="25"/>
  <c r="CE396" i="25"/>
  <c r="CE379" i="25"/>
  <c r="CE382" i="25"/>
  <c r="CE373" i="25"/>
  <c r="CE203" i="25"/>
  <c r="CE335" i="25"/>
  <c r="CE210" i="25"/>
  <c r="CE218" i="25"/>
  <c r="CE219" i="25"/>
  <c r="CE222" i="25"/>
  <c r="CE223" i="25"/>
  <c r="CE228" i="25"/>
  <c r="CE364" i="25"/>
  <c r="CE250" i="25"/>
  <c r="CE254" i="25"/>
  <c r="CE269" i="25"/>
  <c r="CE369" i="25"/>
  <c r="CE374" i="25"/>
  <c r="CE280" i="25"/>
  <c r="CE283" i="25"/>
  <c r="CE284" i="25"/>
  <c r="CE288" i="25"/>
  <c r="CE290" i="25"/>
  <c r="CE292" i="25"/>
  <c r="CE299" i="25"/>
  <c r="CE300" i="25"/>
  <c r="CE216" i="25"/>
  <c r="CE319" i="25"/>
  <c r="CE323" i="25"/>
  <c r="CE348" i="25"/>
  <c r="CE287" i="25"/>
  <c r="CE330" i="25"/>
  <c r="CE339" i="25"/>
  <c r="CE215" i="25"/>
  <c r="CE249" i="25"/>
  <c r="CE205" i="25"/>
  <c r="CE206" i="25"/>
  <c r="CE209" i="25"/>
  <c r="CE214" i="25"/>
  <c r="CE217" i="25"/>
  <c r="CE229" i="25"/>
  <c r="CE246" i="25"/>
  <c r="CE251" i="25"/>
  <c r="CE252" i="25"/>
  <c r="CE293" i="25"/>
  <c r="CE316" i="25"/>
  <c r="CE349" i="25"/>
  <c r="CE353" i="25"/>
  <c r="CE281" i="25"/>
  <c r="CE282" i="25"/>
  <c r="CE328" i="25"/>
  <c r="CE341" i="25"/>
  <c r="CE320" i="25"/>
  <c r="CE225" i="25"/>
  <c r="CE263" i="25"/>
  <c r="CE301" i="25"/>
  <c r="CE314" i="25"/>
  <c r="CE267" i="25"/>
  <c r="CE344" i="25"/>
  <c r="CE347" i="25"/>
  <c r="CE204" i="25"/>
  <c r="CE232" i="25"/>
  <c r="CE255" i="25"/>
  <c r="CE256" i="25"/>
  <c r="CE257" i="25"/>
  <c r="CE259" i="25"/>
  <c r="CE272" i="25"/>
  <c r="CE306" i="25"/>
  <c r="CE317" i="25"/>
  <c r="CE318" i="25"/>
  <c r="CE324" i="25"/>
  <c r="CE212" i="25"/>
  <c r="CE224" i="25"/>
  <c r="CE213" i="25"/>
  <c r="CE304" i="25"/>
  <c r="CE309" i="25"/>
  <c r="CE245" i="25"/>
  <c r="CF358" i="25"/>
  <c r="CF220" i="25"/>
  <c r="CF227" i="25"/>
  <c r="CF230" i="25"/>
  <c r="CF238" i="25"/>
  <c r="CF243" i="25"/>
  <c r="CF244" i="25"/>
  <c r="CF248" i="25"/>
  <c r="CF260" i="25"/>
  <c r="CF261" i="25"/>
  <c r="CF265" i="25"/>
  <c r="CF266" i="25"/>
  <c r="CF270" i="25"/>
  <c r="CF273" i="25"/>
  <c r="CF286" i="25"/>
  <c r="CF289" i="25"/>
  <c r="CF294" i="25"/>
  <c r="CF295" i="25"/>
  <c r="CF298" i="25"/>
  <c r="CF302" i="25"/>
  <c r="CF303" i="25"/>
  <c r="CF315" i="25"/>
  <c r="CF321" i="25"/>
  <c r="CF322" i="25"/>
  <c r="CF326" i="25"/>
  <c r="CF329" i="25"/>
  <c r="CF332" i="25"/>
  <c r="CF340" i="25"/>
  <c r="CF342" i="25"/>
  <c r="CF343" i="25"/>
  <c r="CF226" i="25"/>
  <c r="CF235" i="25"/>
  <c r="CF237" i="25"/>
  <c r="CF247" i="25"/>
  <c r="CF262" i="25"/>
  <c r="CF268" i="25"/>
  <c r="CF305" i="25"/>
  <c r="CF310" i="25"/>
  <c r="CF325" i="25"/>
  <c r="CF327" i="25"/>
  <c r="CF345" i="25"/>
  <c r="CF346" i="25"/>
  <c r="CF312" i="25"/>
  <c r="CF211" i="25"/>
  <c r="CF221" i="25"/>
  <c r="CF236" i="25"/>
  <c r="CF239" i="25"/>
  <c r="CF241" i="25"/>
  <c r="CF337" i="25"/>
  <c r="CF258" i="25"/>
  <c r="CF264" i="25"/>
  <c r="CF336" i="25"/>
  <c r="CF296" i="25"/>
  <c r="CF297" i="25"/>
  <c r="CF307" i="25"/>
  <c r="CF308" i="25"/>
  <c r="CF311" i="25"/>
  <c r="CF291" i="25"/>
  <c r="CF333" i="25"/>
  <c r="CF334" i="25"/>
  <c r="CF338" i="25"/>
  <c r="CF274" i="25"/>
  <c r="CF275" i="25"/>
  <c r="CF276" i="25"/>
  <c r="CF277" i="25"/>
  <c r="CF207" i="25"/>
  <c r="CF208" i="25"/>
  <c r="CF354" i="25"/>
  <c r="CF355" i="25"/>
  <c r="CF356" i="25"/>
  <c r="CF359" i="25"/>
  <c r="CF231" i="25"/>
  <c r="CF360" i="25"/>
  <c r="CF233" i="25"/>
  <c r="CF361" i="25"/>
  <c r="CF234" i="25"/>
  <c r="CF240" i="25"/>
  <c r="CF242" i="25"/>
  <c r="CF362" i="25"/>
  <c r="CF363" i="25"/>
  <c r="CF357" i="25"/>
  <c r="CF365" i="25"/>
  <c r="CF253" i="25"/>
  <c r="CF367" i="25"/>
  <c r="CF368" i="25"/>
  <c r="CF271" i="25"/>
  <c r="CF370" i="25"/>
  <c r="CF278" i="25"/>
  <c r="CF372" i="25"/>
  <c r="CF279" i="25"/>
  <c r="CF375" i="25"/>
  <c r="CF285" i="25"/>
  <c r="CF377" i="25"/>
  <c r="CF378" i="25"/>
  <c r="CF380" i="25"/>
  <c r="CF381" i="25"/>
  <c r="CF383" i="25"/>
  <c r="CF384" i="25"/>
  <c r="CF385" i="25"/>
  <c r="CF386" i="25"/>
  <c r="CF388" i="25"/>
  <c r="CF389" i="25"/>
  <c r="CF313" i="25"/>
  <c r="CF331" i="25"/>
  <c r="CF395" i="25"/>
  <c r="CF350" i="25"/>
  <c r="CF351" i="25"/>
  <c r="CF352" i="25"/>
  <c r="CF396" i="25"/>
  <c r="CF379" i="25"/>
  <c r="CF382" i="25"/>
  <c r="CF373" i="25"/>
  <c r="CF203" i="25"/>
  <c r="CF335" i="25"/>
  <c r="CF210" i="25"/>
  <c r="CF218" i="25"/>
  <c r="CF219" i="25"/>
  <c r="CF222" i="25"/>
  <c r="CF223" i="25"/>
  <c r="CF228" i="25"/>
  <c r="CF364" i="25"/>
  <c r="CF250" i="25"/>
  <c r="CF254" i="25"/>
  <c r="CF269" i="25"/>
  <c r="CF369" i="25"/>
  <c r="CF374" i="25"/>
  <c r="CF280" i="25"/>
  <c r="CF283" i="25"/>
  <c r="CF284" i="25"/>
  <c r="CF288" i="25"/>
  <c r="CF290" i="25"/>
  <c r="CF292" i="25"/>
  <c r="CF299" i="25"/>
  <c r="CF300" i="25"/>
  <c r="CF216" i="25"/>
  <c r="CF319" i="25"/>
  <c r="CF323" i="25"/>
  <c r="CF348" i="25"/>
  <c r="CF287" i="25"/>
  <c r="CF330" i="25"/>
  <c r="CF339" i="25"/>
  <c r="CF215" i="25"/>
  <c r="CF249" i="25"/>
  <c r="CF205" i="25"/>
  <c r="CF206" i="25"/>
  <c r="CF209" i="25"/>
  <c r="CF214" i="25"/>
  <c r="CF217" i="25"/>
  <c r="CF229" i="25"/>
  <c r="CF246" i="25"/>
  <c r="CF251" i="25"/>
  <c r="CF252" i="25"/>
  <c r="CF293" i="25"/>
  <c r="CF316" i="25"/>
  <c r="CF349" i="25"/>
  <c r="CF353" i="25"/>
  <c r="CF281" i="25"/>
  <c r="CF282" i="25"/>
  <c r="CF328" i="25"/>
  <c r="CF341" i="25"/>
  <c r="CF320" i="25"/>
  <c r="CF225" i="25"/>
  <c r="CF263" i="25"/>
  <c r="CF301" i="25"/>
  <c r="CF314" i="25"/>
  <c r="CF267" i="25"/>
  <c r="CF344" i="25"/>
  <c r="CF347" i="25"/>
  <c r="CF204" i="25"/>
  <c r="CF232" i="25"/>
  <c r="CF255" i="25"/>
  <c r="CF256" i="25"/>
  <c r="CF257" i="25"/>
  <c r="CF259" i="25"/>
  <c r="CF272" i="25"/>
  <c r="CF306" i="25"/>
  <c r="CF317" i="25"/>
  <c r="CF318" i="25"/>
  <c r="CF324" i="25"/>
  <c r="CF212" i="25"/>
  <c r="CF224" i="25"/>
  <c r="CF213" i="25"/>
  <c r="CF304" i="25"/>
  <c r="CF309" i="25"/>
  <c r="CF245" i="25"/>
  <c r="CH358" i="25"/>
  <c r="CH220" i="25"/>
  <c r="CH227" i="25"/>
  <c r="CH230" i="25"/>
  <c r="CH238" i="25"/>
  <c r="CH243" i="25"/>
  <c r="CH244" i="25"/>
  <c r="CH248" i="25"/>
  <c r="CH260" i="25"/>
  <c r="CH261" i="25"/>
  <c r="CH265" i="25"/>
  <c r="CH266" i="25"/>
  <c r="CH270" i="25"/>
  <c r="CH273" i="25"/>
  <c r="CH286" i="25"/>
  <c r="CH289" i="25"/>
  <c r="CH294" i="25"/>
  <c r="CH295" i="25"/>
  <c r="CH298" i="25"/>
  <c r="CH302" i="25"/>
  <c r="CH303" i="25"/>
  <c r="CH315" i="25"/>
  <c r="CH321" i="25"/>
  <c r="CH322" i="25"/>
  <c r="CH326" i="25"/>
  <c r="CH329" i="25"/>
  <c r="CH332" i="25"/>
  <c r="CH340" i="25"/>
  <c r="CH342" i="25"/>
  <c r="CH343" i="25"/>
  <c r="CH226" i="25"/>
  <c r="CH235" i="25"/>
  <c r="CH237" i="25"/>
  <c r="CH247" i="25"/>
  <c r="CH262" i="25"/>
  <c r="CH268" i="25"/>
  <c r="CH305" i="25"/>
  <c r="CH310" i="25"/>
  <c r="CH325" i="25"/>
  <c r="CH327" i="25"/>
  <c r="CH345" i="25"/>
  <c r="CH346" i="25"/>
  <c r="CH312" i="25"/>
  <c r="CH211" i="25"/>
  <c r="CH221" i="25"/>
  <c r="CH236" i="25"/>
  <c r="CH239" i="25"/>
  <c r="CH241" i="25"/>
  <c r="CH337" i="25"/>
  <c r="CH258" i="25"/>
  <c r="CH264" i="25"/>
  <c r="CH336" i="25"/>
  <c r="CH296" i="25"/>
  <c r="CH297" i="25"/>
  <c r="CH307" i="25"/>
  <c r="CH308" i="25"/>
  <c r="CH311" i="25"/>
  <c r="CH291" i="25"/>
  <c r="CH333" i="25"/>
  <c r="CH334" i="25"/>
  <c r="CH338" i="25"/>
  <c r="CH274" i="25"/>
  <c r="CH275" i="25"/>
  <c r="CH276" i="25"/>
  <c r="CH277" i="25"/>
  <c r="CH207" i="25"/>
  <c r="CH208" i="25"/>
  <c r="CH354" i="25"/>
  <c r="CH355" i="25"/>
  <c r="CH356" i="25"/>
  <c r="CH359" i="25"/>
  <c r="CH231" i="25"/>
  <c r="CH360" i="25"/>
  <c r="CH233" i="25"/>
  <c r="CH361" i="25"/>
  <c r="CH234" i="25"/>
  <c r="CH240" i="25"/>
  <c r="CH242" i="25"/>
  <c r="CH362" i="25"/>
  <c r="CH363" i="25"/>
  <c r="CH357" i="25"/>
  <c r="CH365" i="25"/>
  <c r="CH253" i="25"/>
  <c r="CH367" i="25"/>
  <c r="CH368" i="25"/>
  <c r="CH271" i="25"/>
  <c r="CH370" i="25"/>
  <c r="CH278" i="25"/>
  <c r="CH372" i="25"/>
  <c r="CH279" i="25"/>
  <c r="CH375" i="25"/>
  <c r="CH285" i="25"/>
  <c r="CH377" i="25"/>
  <c r="CH378" i="25"/>
  <c r="CH380" i="25"/>
  <c r="CH381" i="25"/>
  <c r="CH383" i="25"/>
  <c r="CH384" i="25"/>
  <c r="CH385" i="25"/>
  <c r="CH386" i="25"/>
  <c r="CH388" i="25"/>
  <c r="CH389" i="25"/>
  <c r="CH313" i="25"/>
  <c r="CH331" i="25"/>
  <c r="CH395" i="25"/>
  <c r="CH350" i="25"/>
  <c r="CH351" i="25"/>
  <c r="CH352" i="25"/>
  <c r="CH396" i="25"/>
  <c r="CH379" i="25"/>
  <c r="CH382" i="25"/>
  <c r="CH373" i="25"/>
  <c r="CH203" i="25"/>
  <c r="CH335" i="25"/>
  <c r="CH210" i="25"/>
  <c r="CH218" i="25"/>
  <c r="CH219" i="25"/>
  <c r="CH222" i="25"/>
  <c r="CH223" i="25"/>
  <c r="CH228" i="25"/>
  <c r="CH364" i="25"/>
  <c r="CH250" i="25"/>
  <c r="CH254" i="25"/>
  <c r="CH269" i="25"/>
  <c r="CH369" i="25"/>
  <c r="CH374" i="25"/>
  <c r="CH280" i="25"/>
  <c r="CH283" i="25"/>
  <c r="CH284" i="25"/>
  <c r="CH288" i="25"/>
  <c r="CH290" i="25"/>
  <c r="CH292" i="25"/>
  <c r="CH299" i="25"/>
  <c r="CH300" i="25"/>
  <c r="CH216" i="25"/>
  <c r="CH319" i="25"/>
  <c r="CH323" i="25"/>
  <c r="CH348" i="25"/>
  <c r="CH287" i="25"/>
  <c r="CH330" i="25"/>
  <c r="CH339" i="25"/>
  <c r="CH215" i="25"/>
  <c r="CH249" i="25"/>
  <c r="CH205" i="25"/>
  <c r="CH206" i="25"/>
  <c r="CH209" i="25"/>
  <c r="CH214" i="25"/>
  <c r="CH217" i="25"/>
  <c r="CH229" i="25"/>
  <c r="CH246" i="25"/>
  <c r="CH251" i="25"/>
  <c r="CH252" i="25"/>
  <c r="CH293" i="25"/>
  <c r="CH316" i="25"/>
  <c r="CH349" i="25"/>
  <c r="CH353" i="25"/>
  <c r="CH281" i="25"/>
  <c r="CH282" i="25"/>
  <c r="CH328" i="25"/>
  <c r="CH341" i="25"/>
  <c r="CH320" i="25"/>
  <c r="CH225" i="25"/>
  <c r="CH263" i="25"/>
  <c r="CH301" i="25"/>
  <c r="CH314" i="25"/>
  <c r="CH267" i="25"/>
  <c r="CH344" i="25"/>
  <c r="CH347" i="25"/>
  <c r="CH204" i="25"/>
  <c r="CH232" i="25"/>
  <c r="CH255" i="25"/>
  <c r="CH256" i="25"/>
  <c r="CH257" i="25"/>
  <c r="CH259" i="25"/>
  <c r="CH272" i="25"/>
  <c r="CH306" i="25"/>
  <c r="CH317" i="25"/>
  <c r="CH318" i="25"/>
  <c r="CH324" i="25"/>
  <c r="CH212" i="25"/>
  <c r="CH224" i="25"/>
  <c r="CH213" i="25"/>
  <c r="CH304" i="25"/>
  <c r="CH309" i="25"/>
  <c r="CH245" i="25"/>
  <c r="CI358" i="25"/>
  <c r="CI220" i="25"/>
  <c r="CI227" i="25"/>
  <c r="CI230" i="25"/>
  <c r="CI238" i="25"/>
  <c r="CI243" i="25"/>
  <c r="CI244" i="25"/>
  <c r="CI248" i="25"/>
  <c r="CI260" i="25"/>
  <c r="CI261" i="25"/>
  <c r="CI265" i="25"/>
  <c r="CI266" i="25"/>
  <c r="CI270" i="25"/>
  <c r="CI273" i="25"/>
  <c r="CI286" i="25"/>
  <c r="CI289" i="25"/>
  <c r="CI294" i="25"/>
  <c r="CI295" i="25"/>
  <c r="CI298" i="25"/>
  <c r="CI302" i="25"/>
  <c r="CI303" i="25"/>
  <c r="CI315" i="25"/>
  <c r="CI321" i="25"/>
  <c r="CI322" i="25"/>
  <c r="CI326" i="25"/>
  <c r="CI329" i="25"/>
  <c r="CI332" i="25"/>
  <c r="CI340" i="25"/>
  <c r="CI342" i="25"/>
  <c r="CI343" i="25"/>
  <c r="CI226" i="25"/>
  <c r="CI235" i="25"/>
  <c r="CI237" i="25"/>
  <c r="CI247" i="25"/>
  <c r="CI262" i="25"/>
  <c r="CI268" i="25"/>
  <c r="CI305" i="25"/>
  <c r="CI310" i="25"/>
  <c r="CI325" i="25"/>
  <c r="CI327" i="25"/>
  <c r="CI345" i="25"/>
  <c r="CI346" i="25"/>
  <c r="CI312" i="25"/>
  <c r="CI211" i="25"/>
  <c r="CI221" i="25"/>
  <c r="CI236" i="25"/>
  <c r="CI239" i="25"/>
  <c r="CI241" i="25"/>
  <c r="CI337" i="25"/>
  <c r="CI258" i="25"/>
  <c r="CI264" i="25"/>
  <c r="CI336" i="25"/>
  <c r="CI296" i="25"/>
  <c r="CI297" i="25"/>
  <c r="CI307" i="25"/>
  <c r="CI308" i="25"/>
  <c r="CI311" i="25"/>
  <c r="CI291" i="25"/>
  <c r="CI333" i="25"/>
  <c r="CI334" i="25"/>
  <c r="CI338" i="25"/>
  <c r="CI274" i="25"/>
  <c r="CI275" i="25"/>
  <c r="CI276" i="25"/>
  <c r="CI277" i="25"/>
  <c r="CI207" i="25"/>
  <c r="CI208" i="25"/>
  <c r="CI354" i="25"/>
  <c r="CI355" i="25"/>
  <c r="CI356" i="25"/>
  <c r="CI359" i="25"/>
  <c r="CI231" i="25"/>
  <c r="CI360" i="25"/>
  <c r="CI233" i="25"/>
  <c r="CI361" i="25"/>
  <c r="CI234" i="25"/>
  <c r="CI240" i="25"/>
  <c r="CI242" i="25"/>
  <c r="CI362" i="25"/>
  <c r="CI363" i="25"/>
  <c r="CI357" i="25"/>
  <c r="CI365" i="25"/>
  <c r="CI253" i="25"/>
  <c r="CI367" i="25"/>
  <c r="CI368" i="25"/>
  <c r="CI271" i="25"/>
  <c r="CI370" i="25"/>
  <c r="CI278" i="25"/>
  <c r="CI372" i="25"/>
  <c r="CI279" i="25"/>
  <c r="CI375" i="25"/>
  <c r="CI285" i="25"/>
  <c r="CI377" i="25"/>
  <c r="CI378" i="25"/>
  <c r="CI380" i="25"/>
  <c r="CI381" i="25"/>
  <c r="CI383" i="25"/>
  <c r="CI384" i="25"/>
  <c r="CI385" i="25"/>
  <c r="CI386" i="25"/>
  <c r="CI388" i="25"/>
  <c r="CI389" i="25"/>
  <c r="CI313" i="25"/>
  <c r="CI331" i="25"/>
  <c r="CI395" i="25"/>
  <c r="CI350" i="25"/>
  <c r="CI351" i="25"/>
  <c r="CI352" i="25"/>
  <c r="CI396" i="25"/>
  <c r="CI379" i="25"/>
  <c r="CI382" i="25"/>
  <c r="CI373" i="25"/>
  <c r="CI203" i="25"/>
  <c r="CI335" i="25"/>
  <c r="CI210" i="25"/>
  <c r="CI218" i="25"/>
  <c r="CI219" i="25"/>
  <c r="CI222" i="25"/>
  <c r="CI223" i="25"/>
  <c r="CI228" i="25"/>
  <c r="CI364" i="25"/>
  <c r="CI250" i="25"/>
  <c r="CI254" i="25"/>
  <c r="CI269" i="25"/>
  <c r="CI369" i="25"/>
  <c r="CI374" i="25"/>
  <c r="CI280" i="25"/>
  <c r="CI283" i="25"/>
  <c r="CI284" i="25"/>
  <c r="CI288" i="25"/>
  <c r="CI290" i="25"/>
  <c r="CI292" i="25"/>
  <c r="CI299" i="25"/>
  <c r="CI300" i="25"/>
  <c r="CI216" i="25"/>
  <c r="CI319" i="25"/>
  <c r="CI323" i="25"/>
  <c r="CI348" i="25"/>
  <c r="CI287" i="25"/>
  <c r="CI330" i="25"/>
  <c r="CI339" i="25"/>
  <c r="CI215" i="25"/>
  <c r="CI249" i="25"/>
  <c r="CI205" i="25"/>
  <c r="CI206" i="25"/>
  <c r="CI209" i="25"/>
  <c r="CI214" i="25"/>
  <c r="CI217" i="25"/>
  <c r="CI229" i="25"/>
  <c r="CI246" i="25"/>
  <c r="CI251" i="25"/>
  <c r="CI252" i="25"/>
  <c r="CI293" i="25"/>
  <c r="CI316" i="25"/>
  <c r="CI349" i="25"/>
  <c r="CI353" i="25"/>
  <c r="CI281" i="25"/>
  <c r="CI282" i="25"/>
  <c r="CI328" i="25"/>
  <c r="CI341" i="25"/>
  <c r="CI320" i="25"/>
  <c r="CI225" i="25"/>
  <c r="CI263" i="25"/>
  <c r="CI301" i="25"/>
  <c r="CI314" i="25"/>
  <c r="CI267" i="25"/>
  <c r="CI344" i="25"/>
  <c r="CI347" i="25"/>
  <c r="CI204" i="25"/>
  <c r="CI232" i="25"/>
  <c r="CI255" i="25"/>
  <c r="CI256" i="25"/>
  <c r="CI257" i="25"/>
  <c r="CI259" i="25"/>
  <c r="CI272" i="25"/>
  <c r="CI306" i="25"/>
  <c r="CI317" i="25"/>
  <c r="CI318" i="25"/>
  <c r="CI324" i="25"/>
  <c r="CI212" i="25"/>
  <c r="CI224" i="25"/>
  <c r="CI213" i="25"/>
  <c r="CI304" i="25"/>
  <c r="CI309" i="25"/>
  <c r="CI245" i="25"/>
  <c r="CJ358" i="25"/>
  <c r="CJ220" i="25"/>
  <c r="CJ227" i="25"/>
  <c r="CJ230" i="25"/>
  <c r="CJ238" i="25"/>
  <c r="CJ243" i="25"/>
  <c r="CJ244" i="25"/>
  <c r="CJ248" i="25"/>
  <c r="CJ260" i="25"/>
  <c r="CJ261" i="25"/>
  <c r="CJ265" i="25"/>
  <c r="CJ266" i="25"/>
  <c r="CJ270" i="25"/>
  <c r="CJ273" i="25"/>
  <c r="CJ286" i="25"/>
  <c r="CJ289" i="25"/>
  <c r="CJ294" i="25"/>
  <c r="CJ295" i="25"/>
  <c r="CJ298" i="25"/>
  <c r="CJ302" i="25"/>
  <c r="CJ303" i="25"/>
  <c r="CJ315" i="25"/>
  <c r="CJ321" i="25"/>
  <c r="CJ322" i="25"/>
  <c r="CJ326" i="25"/>
  <c r="CJ329" i="25"/>
  <c r="CJ332" i="25"/>
  <c r="CJ340" i="25"/>
  <c r="CJ342" i="25"/>
  <c r="CJ343" i="25"/>
  <c r="CJ226" i="25"/>
  <c r="CJ235" i="25"/>
  <c r="CJ237" i="25"/>
  <c r="CJ247" i="25"/>
  <c r="CJ262" i="25"/>
  <c r="CJ268" i="25"/>
  <c r="CJ305" i="25"/>
  <c r="CJ310" i="25"/>
  <c r="CJ325" i="25"/>
  <c r="CJ327" i="25"/>
  <c r="CJ345" i="25"/>
  <c r="CJ346" i="25"/>
  <c r="CJ312" i="25"/>
  <c r="CJ211" i="25"/>
  <c r="CJ221" i="25"/>
  <c r="CJ236" i="25"/>
  <c r="CJ239" i="25"/>
  <c r="CJ241" i="25"/>
  <c r="CJ337" i="25"/>
  <c r="CJ258" i="25"/>
  <c r="CJ264" i="25"/>
  <c r="CJ336" i="25"/>
  <c r="CJ296" i="25"/>
  <c r="CJ297" i="25"/>
  <c r="CJ307" i="25"/>
  <c r="CJ308" i="25"/>
  <c r="CJ311" i="25"/>
  <c r="CJ291" i="25"/>
  <c r="CJ333" i="25"/>
  <c r="CJ334" i="25"/>
  <c r="CJ338" i="25"/>
  <c r="CJ274" i="25"/>
  <c r="CJ275" i="25"/>
  <c r="CJ276" i="25"/>
  <c r="CJ277" i="25"/>
  <c r="CJ207" i="25"/>
  <c r="CJ208" i="25"/>
  <c r="CJ354" i="25"/>
  <c r="CJ355" i="25"/>
  <c r="CJ356" i="25"/>
  <c r="CJ359" i="25"/>
  <c r="CJ231" i="25"/>
  <c r="CJ360" i="25"/>
  <c r="CJ233" i="25"/>
  <c r="CJ361" i="25"/>
  <c r="CJ234" i="25"/>
  <c r="CJ240" i="25"/>
  <c r="CJ242" i="25"/>
  <c r="CJ362" i="25"/>
  <c r="CJ363" i="25"/>
  <c r="CJ357" i="25"/>
  <c r="CJ365" i="25"/>
  <c r="CJ253" i="25"/>
  <c r="CJ367" i="25"/>
  <c r="CJ368" i="25"/>
  <c r="CJ271" i="25"/>
  <c r="CJ370" i="25"/>
  <c r="CJ278" i="25"/>
  <c r="CJ372" i="25"/>
  <c r="CJ279" i="25"/>
  <c r="CJ375" i="25"/>
  <c r="CJ285" i="25"/>
  <c r="CJ377" i="25"/>
  <c r="CJ378" i="25"/>
  <c r="CJ380" i="25"/>
  <c r="CJ381" i="25"/>
  <c r="CJ383" i="25"/>
  <c r="CJ384" i="25"/>
  <c r="CJ385" i="25"/>
  <c r="CJ386" i="25"/>
  <c r="CJ388" i="25"/>
  <c r="CJ389" i="25"/>
  <c r="CJ313" i="25"/>
  <c r="CJ331" i="25"/>
  <c r="CJ395" i="25"/>
  <c r="CJ350" i="25"/>
  <c r="CJ351" i="25"/>
  <c r="CJ352" i="25"/>
  <c r="CJ396" i="25"/>
  <c r="CJ379" i="25"/>
  <c r="CJ382" i="25"/>
  <c r="CJ373" i="25"/>
  <c r="CJ203" i="25"/>
  <c r="CJ335" i="25"/>
  <c r="CJ210" i="25"/>
  <c r="CJ218" i="25"/>
  <c r="CJ219" i="25"/>
  <c r="CJ222" i="25"/>
  <c r="CJ223" i="25"/>
  <c r="CJ228" i="25"/>
  <c r="CJ364" i="25"/>
  <c r="CJ250" i="25"/>
  <c r="CJ254" i="25"/>
  <c r="CJ269" i="25"/>
  <c r="CJ369" i="25"/>
  <c r="CJ374" i="25"/>
  <c r="CJ280" i="25"/>
  <c r="CJ283" i="25"/>
  <c r="CJ284" i="25"/>
  <c r="CJ288" i="25"/>
  <c r="CJ290" i="25"/>
  <c r="CJ292" i="25"/>
  <c r="CJ299" i="25"/>
  <c r="CJ300" i="25"/>
  <c r="CJ216" i="25"/>
  <c r="CJ319" i="25"/>
  <c r="CJ323" i="25"/>
  <c r="CJ348" i="25"/>
  <c r="CJ287" i="25"/>
  <c r="CJ330" i="25"/>
  <c r="CJ339" i="25"/>
  <c r="CJ215" i="25"/>
  <c r="CJ249" i="25"/>
  <c r="CJ205" i="25"/>
  <c r="CJ206" i="25"/>
  <c r="CJ209" i="25"/>
  <c r="CJ214" i="25"/>
  <c r="CJ217" i="25"/>
  <c r="CJ229" i="25"/>
  <c r="CJ246" i="25"/>
  <c r="CJ251" i="25"/>
  <c r="CJ252" i="25"/>
  <c r="CJ293" i="25"/>
  <c r="CJ316" i="25"/>
  <c r="CJ349" i="25"/>
  <c r="CJ353" i="25"/>
  <c r="CJ281" i="25"/>
  <c r="CJ282" i="25"/>
  <c r="CJ328" i="25"/>
  <c r="CJ341" i="25"/>
  <c r="CJ320" i="25"/>
  <c r="CJ225" i="25"/>
  <c r="CJ263" i="25"/>
  <c r="CJ301" i="25"/>
  <c r="CJ314" i="25"/>
  <c r="CJ267" i="25"/>
  <c r="CJ344" i="25"/>
  <c r="CJ347" i="25"/>
  <c r="CJ204" i="25"/>
  <c r="CJ232" i="25"/>
  <c r="CJ255" i="25"/>
  <c r="CJ256" i="25"/>
  <c r="CJ257" i="25"/>
  <c r="CJ259" i="25"/>
  <c r="CJ272" i="25"/>
  <c r="CJ306" i="25"/>
  <c r="CJ317" i="25"/>
  <c r="CJ318" i="25"/>
  <c r="CJ324" i="25"/>
  <c r="CJ212" i="25"/>
  <c r="CJ224" i="25"/>
  <c r="CJ213" i="25"/>
  <c r="CJ304" i="25"/>
  <c r="CJ309" i="25"/>
  <c r="CJ245" i="25"/>
  <c r="CK358" i="25"/>
  <c r="CK220" i="25"/>
  <c r="CK227" i="25"/>
  <c r="CK230" i="25"/>
  <c r="CK238" i="25"/>
  <c r="CK243" i="25"/>
  <c r="CK244" i="25"/>
  <c r="CK248" i="25"/>
  <c r="CK260" i="25"/>
  <c r="CK261" i="25"/>
  <c r="CK265" i="25"/>
  <c r="CK266" i="25"/>
  <c r="CK270" i="25"/>
  <c r="CK273" i="25"/>
  <c r="CK286" i="25"/>
  <c r="CK289" i="25"/>
  <c r="CK294" i="25"/>
  <c r="CK295" i="25"/>
  <c r="CK298" i="25"/>
  <c r="CK302" i="25"/>
  <c r="CK303" i="25"/>
  <c r="CK315" i="25"/>
  <c r="CK321" i="25"/>
  <c r="CK322" i="25"/>
  <c r="CK326" i="25"/>
  <c r="CK329" i="25"/>
  <c r="CK332" i="25"/>
  <c r="CK340" i="25"/>
  <c r="CK342" i="25"/>
  <c r="CK343" i="25"/>
  <c r="CK226" i="25"/>
  <c r="CK235" i="25"/>
  <c r="CK237" i="25"/>
  <c r="CK247" i="25"/>
  <c r="CK262" i="25"/>
  <c r="CK268" i="25"/>
  <c r="CK305" i="25"/>
  <c r="CK310" i="25"/>
  <c r="CK325" i="25"/>
  <c r="CK327" i="25"/>
  <c r="CK345" i="25"/>
  <c r="CK346" i="25"/>
  <c r="CK312" i="25"/>
  <c r="CK211" i="25"/>
  <c r="CK221" i="25"/>
  <c r="CK236" i="25"/>
  <c r="CK239" i="25"/>
  <c r="CK241" i="25"/>
  <c r="CK337" i="25"/>
  <c r="CK258" i="25"/>
  <c r="CK264" i="25"/>
  <c r="CK336" i="25"/>
  <c r="CK296" i="25"/>
  <c r="CK297" i="25"/>
  <c r="CK307" i="25"/>
  <c r="CK308" i="25"/>
  <c r="CK311" i="25"/>
  <c r="CK291" i="25"/>
  <c r="CK333" i="25"/>
  <c r="CK334" i="25"/>
  <c r="CK338" i="25"/>
  <c r="CK274" i="25"/>
  <c r="CK275" i="25"/>
  <c r="CK276" i="25"/>
  <c r="CK277" i="25"/>
  <c r="CK207" i="25"/>
  <c r="CK208" i="25"/>
  <c r="CK354" i="25"/>
  <c r="CK355" i="25"/>
  <c r="CK356" i="25"/>
  <c r="CK359" i="25"/>
  <c r="CK231" i="25"/>
  <c r="CK360" i="25"/>
  <c r="CK233" i="25"/>
  <c r="CK361" i="25"/>
  <c r="CK234" i="25"/>
  <c r="CK240" i="25"/>
  <c r="CK242" i="25"/>
  <c r="CK362" i="25"/>
  <c r="CK363" i="25"/>
  <c r="CK357" i="25"/>
  <c r="CK365" i="25"/>
  <c r="CK253" i="25"/>
  <c r="CK367" i="25"/>
  <c r="CK368" i="25"/>
  <c r="CK271" i="25"/>
  <c r="CK370" i="25"/>
  <c r="CK278" i="25"/>
  <c r="CK372" i="25"/>
  <c r="CK279" i="25"/>
  <c r="CK375" i="25"/>
  <c r="CK285" i="25"/>
  <c r="CK377" i="25"/>
  <c r="CK378" i="25"/>
  <c r="CK380" i="25"/>
  <c r="CK381" i="25"/>
  <c r="CK383" i="25"/>
  <c r="CK384" i="25"/>
  <c r="CK385" i="25"/>
  <c r="CK386" i="25"/>
  <c r="CK388" i="25"/>
  <c r="CK389" i="25"/>
  <c r="CK313" i="25"/>
  <c r="CK331" i="25"/>
  <c r="CK395" i="25"/>
  <c r="CK350" i="25"/>
  <c r="CK351" i="25"/>
  <c r="CK352" i="25"/>
  <c r="CK396" i="25"/>
  <c r="CK379" i="25"/>
  <c r="CK382" i="25"/>
  <c r="CK373" i="25"/>
  <c r="CK203" i="25"/>
  <c r="CK335" i="25"/>
  <c r="CK210" i="25"/>
  <c r="CK218" i="25"/>
  <c r="CK219" i="25"/>
  <c r="CK222" i="25"/>
  <c r="CK223" i="25"/>
  <c r="CK228" i="25"/>
  <c r="CK364" i="25"/>
  <c r="CK250" i="25"/>
  <c r="CK254" i="25"/>
  <c r="CK269" i="25"/>
  <c r="CK369" i="25"/>
  <c r="CK374" i="25"/>
  <c r="CK280" i="25"/>
  <c r="CK283" i="25"/>
  <c r="CK284" i="25"/>
  <c r="CK288" i="25"/>
  <c r="CK290" i="25"/>
  <c r="CK292" i="25"/>
  <c r="CK299" i="25"/>
  <c r="CK300" i="25"/>
  <c r="CK216" i="25"/>
  <c r="CK319" i="25"/>
  <c r="CK323" i="25"/>
  <c r="CK348" i="25"/>
  <c r="CK287" i="25"/>
  <c r="CK330" i="25"/>
  <c r="CK339" i="25"/>
  <c r="CK215" i="25"/>
  <c r="CK249" i="25"/>
  <c r="CK205" i="25"/>
  <c r="CK206" i="25"/>
  <c r="CK209" i="25"/>
  <c r="CK214" i="25"/>
  <c r="CK217" i="25"/>
  <c r="CK229" i="25"/>
  <c r="CK246" i="25"/>
  <c r="CK251" i="25"/>
  <c r="CK252" i="25"/>
  <c r="CK293" i="25"/>
  <c r="CK316" i="25"/>
  <c r="CK349" i="25"/>
  <c r="CK353" i="25"/>
  <c r="CK281" i="25"/>
  <c r="CK282" i="25"/>
  <c r="CK328" i="25"/>
  <c r="CK341" i="25"/>
  <c r="CK320" i="25"/>
  <c r="CK225" i="25"/>
  <c r="CK263" i="25"/>
  <c r="CK301" i="25"/>
  <c r="CK314" i="25"/>
  <c r="CK267" i="25"/>
  <c r="CK344" i="25"/>
  <c r="CK347" i="25"/>
  <c r="CK204" i="25"/>
  <c r="CK232" i="25"/>
  <c r="CK255" i="25"/>
  <c r="CK256" i="25"/>
  <c r="CK257" i="25"/>
  <c r="CK259" i="25"/>
  <c r="CK272" i="25"/>
  <c r="CK306" i="25"/>
  <c r="CK317" i="25"/>
  <c r="CK318" i="25"/>
  <c r="CK324" i="25"/>
  <c r="CK212" i="25"/>
  <c r="CK224" i="25"/>
  <c r="CK213" i="25"/>
  <c r="CK304" i="25"/>
  <c r="CK309" i="25"/>
  <c r="CK245" i="25"/>
  <c r="CL358" i="25"/>
  <c r="CL220" i="25"/>
  <c r="CL227" i="25"/>
  <c r="CL230" i="25"/>
  <c r="CL238" i="25"/>
  <c r="CL243" i="25"/>
  <c r="CL244" i="25"/>
  <c r="CL248" i="25"/>
  <c r="CL260" i="25"/>
  <c r="CL261" i="25"/>
  <c r="CL265" i="25"/>
  <c r="CL266" i="25"/>
  <c r="CL270" i="25"/>
  <c r="CL273" i="25"/>
  <c r="CL286" i="25"/>
  <c r="CL289" i="25"/>
  <c r="CL294" i="25"/>
  <c r="CL295" i="25"/>
  <c r="CL298" i="25"/>
  <c r="CL302" i="25"/>
  <c r="CL303" i="25"/>
  <c r="CL315" i="25"/>
  <c r="CL321" i="25"/>
  <c r="CL322" i="25"/>
  <c r="CL326" i="25"/>
  <c r="CL329" i="25"/>
  <c r="CL332" i="25"/>
  <c r="CL340" i="25"/>
  <c r="CL342" i="25"/>
  <c r="CL343" i="25"/>
  <c r="CL226" i="25"/>
  <c r="CL235" i="25"/>
  <c r="CL237" i="25"/>
  <c r="CL247" i="25"/>
  <c r="CL262" i="25"/>
  <c r="CL268" i="25"/>
  <c r="CL305" i="25"/>
  <c r="CL310" i="25"/>
  <c r="CL325" i="25"/>
  <c r="CL327" i="25"/>
  <c r="CL345" i="25"/>
  <c r="CL346" i="25"/>
  <c r="CL312" i="25"/>
  <c r="CL211" i="25"/>
  <c r="CL221" i="25"/>
  <c r="CL236" i="25"/>
  <c r="CL239" i="25"/>
  <c r="CL241" i="25"/>
  <c r="CL337" i="25"/>
  <c r="CL258" i="25"/>
  <c r="CL264" i="25"/>
  <c r="CL336" i="25"/>
  <c r="CL296" i="25"/>
  <c r="CL297" i="25"/>
  <c r="CL307" i="25"/>
  <c r="CL308" i="25"/>
  <c r="CL311" i="25"/>
  <c r="CL291" i="25"/>
  <c r="CL333" i="25"/>
  <c r="CL334" i="25"/>
  <c r="CL338" i="25"/>
  <c r="CL274" i="25"/>
  <c r="CL275" i="25"/>
  <c r="CL276" i="25"/>
  <c r="CL277" i="25"/>
  <c r="CL207" i="25"/>
  <c r="CL208" i="25"/>
  <c r="CL354" i="25"/>
  <c r="CL355" i="25"/>
  <c r="CL356" i="25"/>
  <c r="CL359" i="25"/>
  <c r="CL231" i="25"/>
  <c r="CL360" i="25"/>
  <c r="CL233" i="25"/>
  <c r="CL361" i="25"/>
  <c r="CL234" i="25"/>
  <c r="CL240" i="25"/>
  <c r="CL242" i="25"/>
  <c r="CL362" i="25"/>
  <c r="CL363" i="25"/>
  <c r="CL357" i="25"/>
  <c r="CL365" i="25"/>
  <c r="CL253" i="25"/>
  <c r="CL367" i="25"/>
  <c r="CL368" i="25"/>
  <c r="CL271" i="25"/>
  <c r="CL370" i="25"/>
  <c r="CL278" i="25"/>
  <c r="CL372" i="25"/>
  <c r="CL279" i="25"/>
  <c r="CL375" i="25"/>
  <c r="CL285" i="25"/>
  <c r="CL377" i="25"/>
  <c r="CL378" i="25"/>
  <c r="CL380" i="25"/>
  <c r="CL381" i="25"/>
  <c r="CL383" i="25"/>
  <c r="CL384" i="25"/>
  <c r="CL385" i="25"/>
  <c r="CL386" i="25"/>
  <c r="CL388" i="25"/>
  <c r="CL389" i="25"/>
  <c r="CL313" i="25"/>
  <c r="CL331" i="25"/>
  <c r="CL395" i="25"/>
  <c r="CL350" i="25"/>
  <c r="CL351" i="25"/>
  <c r="CL352" i="25"/>
  <c r="CL396" i="25"/>
  <c r="CL379" i="25"/>
  <c r="CL382" i="25"/>
  <c r="CL373" i="25"/>
  <c r="CL203" i="25"/>
  <c r="CL335" i="25"/>
  <c r="CL210" i="25"/>
  <c r="CL218" i="25"/>
  <c r="CL219" i="25"/>
  <c r="CL222" i="25"/>
  <c r="CL223" i="25"/>
  <c r="CL228" i="25"/>
  <c r="CL364" i="25"/>
  <c r="CL250" i="25"/>
  <c r="CL254" i="25"/>
  <c r="CL269" i="25"/>
  <c r="CL369" i="25"/>
  <c r="CL374" i="25"/>
  <c r="CL280" i="25"/>
  <c r="CL283" i="25"/>
  <c r="CL284" i="25"/>
  <c r="CL288" i="25"/>
  <c r="CL290" i="25"/>
  <c r="CL292" i="25"/>
  <c r="CL299" i="25"/>
  <c r="CL300" i="25"/>
  <c r="CL216" i="25"/>
  <c r="CL319" i="25"/>
  <c r="CL323" i="25"/>
  <c r="CL348" i="25"/>
  <c r="CL287" i="25"/>
  <c r="CL330" i="25"/>
  <c r="CL339" i="25"/>
  <c r="CL215" i="25"/>
  <c r="CL249" i="25"/>
  <c r="CL205" i="25"/>
  <c r="CL206" i="25"/>
  <c r="CL209" i="25"/>
  <c r="CL214" i="25"/>
  <c r="CL217" i="25"/>
  <c r="CL229" i="25"/>
  <c r="CL246" i="25"/>
  <c r="CL251" i="25"/>
  <c r="CL252" i="25"/>
  <c r="CL293" i="25"/>
  <c r="CL316" i="25"/>
  <c r="CL349" i="25"/>
  <c r="CL353" i="25"/>
  <c r="CL281" i="25"/>
  <c r="CL282" i="25"/>
  <c r="CL328" i="25"/>
  <c r="CL341" i="25"/>
  <c r="CL320" i="25"/>
  <c r="CL225" i="25"/>
  <c r="CL263" i="25"/>
  <c r="CL301" i="25"/>
  <c r="CL314" i="25"/>
  <c r="CL267" i="25"/>
  <c r="CL344" i="25"/>
  <c r="CL347" i="25"/>
  <c r="CL204" i="25"/>
  <c r="CL232" i="25"/>
  <c r="CL255" i="25"/>
  <c r="CL256" i="25"/>
  <c r="CL257" i="25"/>
  <c r="CL259" i="25"/>
  <c r="CL272" i="25"/>
  <c r="CL306" i="25"/>
  <c r="CL317" i="25"/>
  <c r="CL318" i="25"/>
  <c r="CL324" i="25"/>
  <c r="CL212" i="25"/>
  <c r="CL224" i="25"/>
  <c r="CL213" i="25"/>
  <c r="CL304" i="25"/>
  <c r="CL309" i="25"/>
  <c r="CL245" i="25"/>
  <c r="CM358" i="25"/>
  <c r="CM220" i="25"/>
  <c r="CM227" i="25"/>
  <c r="CM230" i="25"/>
  <c r="CM238" i="25"/>
  <c r="CM243" i="25"/>
  <c r="CM244" i="25"/>
  <c r="CM248" i="25"/>
  <c r="CM260" i="25"/>
  <c r="CM261" i="25"/>
  <c r="CM265" i="25"/>
  <c r="CM266" i="25"/>
  <c r="CM270" i="25"/>
  <c r="CM273" i="25"/>
  <c r="CM286" i="25"/>
  <c r="CM289" i="25"/>
  <c r="CM294" i="25"/>
  <c r="CM295" i="25"/>
  <c r="CM298" i="25"/>
  <c r="CM302" i="25"/>
  <c r="CM303" i="25"/>
  <c r="CM315" i="25"/>
  <c r="CM321" i="25"/>
  <c r="CM322" i="25"/>
  <c r="CM326" i="25"/>
  <c r="CM329" i="25"/>
  <c r="CM332" i="25"/>
  <c r="CM340" i="25"/>
  <c r="CM342" i="25"/>
  <c r="CM343" i="25"/>
  <c r="CM226" i="25"/>
  <c r="CM235" i="25"/>
  <c r="CM237" i="25"/>
  <c r="CM247" i="25"/>
  <c r="CM262" i="25"/>
  <c r="CM268" i="25"/>
  <c r="CM305" i="25"/>
  <c r="CM310" i="25"/>
  <c r="CM325" i="25"/>
  <c r="CM327" i="25"/>
  <c r="CM345" i="25"/>
  <c r="CM346" i="25"/>
  <c r="CM312" i="25"/>
  <c r="CM211" i="25"/>
  <c r="CM221" i="25"/>
  <c r="CM236" i="25"/>
  <c r="CM239" i="25"/>
  <c r="CM241" i="25"/>
  <c r="CM337" i="25"/>
  <c r="CM258" i="25"/>
  <c r="CM264" i="25"/>
  <c r="CM336" i="25"/>
  <c r="CM296" i="25"/>
  <c r="CM297" i="25"/>
  <c r="CM307" i="25"/>
  <c r="CM308" i="25"/>
  <c r="CM311" i="25"/>
  <c r="CM291" i="25"/>
  <c r="CM333" i="25"/>
  <c r="CM334" i="25"/>
  <c r="CM338" i="25"/>
  <c r="CM274" i="25"/>
  <c r="CM275" i="25"/>
  <c r="CM276" i="25"/>
  <c r="CM277" i="25"/>
  <c r="CM207" i="25"/>
  <c r="CM208" i="25"/>
  <c r="CM354" i="25"/>
  <c r="CM355" i="25"/>
  <c r="CM356" i="25"/>
  <c r="CM359" i="25"/>
  <c r="CM231" i="25"/>
  <c r="CM360" i="25"/>
  <c r="CM233" i="25"/>
  <c r="CM361" i="25"/>
  <c r="CM234" i="25"/>
  <c r="CM240" i="25"/>
  <c r="CM242" i="25"/>
  <c r="CM362" i="25"/>
  <c r="CM363" i="25"/>
  <c r="CM357" i="25"/>
  <c r="CM365" i="25"/>
  <c r="CM253" i="25"/>
  <c r="CM367" i="25"/>
  <c r="CM368" i="25"/>
  <c r="CM271" i="25"/>
  <c r="CM370" i="25"/>
  <c r="CM278" i="25"/>
  <c r="CM372" i="25"/>
  <c r="CM279" i="25"/>
  <c r="CM375" i="25"/>
  <c r="CM285" i="25"/>
  <c r="CM377" i="25"/>
  <c r="CM378" i="25"/>
  <c r="CM380" i="25"/>
  <c r="CM381" i="25"/>
  <c r="CM383" i="25"/>
  <c r="CM384" i="25"/>
  <c r="CM385" i="25"/>
  <c r="CM386" i="25"/>
  <c r="CM388" i="25"/>
  <c r="CM389" i="25"/>
  <c r="CM313" i="25"/>
  <c r="CM331" i="25"/>
  <c r="CM395" i="25"/>
  <c r="CM350" i="25"/>
  <c r="CM351" i="25"/>
  <c r="CM352" i="25"/>
  <c r="CM396" i="25"/>
  <c r="CM379" i="25"/>
  <c r="CM382" i="25"/>
  <c r="CM373" i="25"/>
  <c r="CM203" i="25"/>
  <c r="CM335" i="25"/>
  <c r="CM210" i="25"/>
  <c r="CM218" i="25"/>
  <c r="CM219" i="25"/>
  <c r="CM222" i="25"/>
  <c r="CM223" i="25"/>
  <c r="CM228" i="25"/>
  <c r="CM364" i="25"/>
  <c r="CM250" i="25"/>
  <c r="CM254" i="25"/>
  <c r="CM269" i="25"/>
  <c r="CM369" i="25"/>
  <c r="CM374" i="25"/>
  <c r="CM280" i="25"/>
  <c r="CM283" i="25"/>
  <c r="CM284" i="25"/>
  <c r="CM288" i="25"/>
  <c r="CM290" i="25"/>
  <c r="CM292" i="25"/>
  <c r="CM299" i="25"/>
  <c r="CM300" i="25"/>
  <c r="CM216" i="25"/>
  <c r="CM319" i="25"/>
  <c r="CM323" i="25"/>
  <c r="CM348" i="25"/>
  <c r="CM287" i="25"/>
  <c r="CM330" i="25"/>
  <c r="CM339" i="25"/>
  <c r="CM215" i="25"/>
  <c r="CM249" i="25"/>
  <c r="CM205" i="25"/>
  <c r="CM206" i="25"/>
  <c r="CM209" i="25"/>
  <c r="CM214" i="25"/>
  <c r="CM217" i="25"/>
  <c r="CM229" i="25"/>
  <c r="CM246" i="25"/>
  <c r="CM251" i="25"/>
  <c r="CM252" i="25"/>
  <c r="CM293" i="25"/>
  <c r="CM316" i="25"/>
  <c r="CM349" i="25"/>
  <c r="CM353" i="25"/>
  <c r="CM281" i="25"/>
  <c r="CM282" i="25"/>
  <c r="CM328" i="25"/>
  <c r="CM341" i="25"/>
  <c r="CM320" i="25"/>
  <c r="CM225" i="25"/>
  <c r="CM263" i="25"/>
  <c r="CM301" i="25"/>
  <c r="CM314" i="25"/>
  <c r="CM267" i="25"/>
  <c r="CM344" i="25"/>
  <c r="CM347" i="25"/>
  <c r="CM204" i="25"/>
  <c r="CM232" i="25"/>
  <c r="CM255" i="25"/>
  <c r="CM256" i="25"/>
  <c r="CM257" i="25"/>
  <c r="CM259" i="25"/>
  <c r="CM272" i="25"/>
  <c r="CM306" i="25"/>
  <c r="CM317" i="25"/>
  <c r="CM318" i="25"/>
  <c r="CM324" i="25"/>
  <c r="CM212" i="25"/>
  <c r="CM224" i="25"/>
  <c r="CM213" i="25"/>
  <c r="CM304" i="25"/>
  <c r="CM309" i="25"/>
  <c r="CM245" i="25"/>
  <c r="CN358" i="25"/>
  <c r="CN220" i="25"/>
  <c r="CN227" i="25"/>
  <c r="CN230" i="25"/>
  <c r="CN238" i="25"/>
  <c r="CN243" i="25"/>
  <c r="CN244" i="25"/>
  <c r="CN248" i="25"/>
  <c r="CN260" i="25"/>
  <c r="CN261" i="25"/>
  <c r="CN265" i="25"/>
  <c r="CN266" i="25"/>
  <c r="CN270" i="25"/>
  <c r="CN273" i="25"/>
  <c r="CN286" i="25"/>
  <c r="CN289" i="25"/>
  <c r="CN294" i="25"/>
  <c r="CN295" i="25"/>
  <c r="CN298" i="25"/>
  <c r="CN302" i="25"/>
  <c r="CN303" i="25"/>
  <c r="CN315" i="25"/>
  <c r="CN321" i="25"/>
  <c r="CN322" i="25"/>
  <c r="CN326" i="25"/>
  <c r="CN329" i="25"/>
  <c r="CN332" i="25"/>
  <c r="CN340" i="25"/>
  <c r="CN342" i="25"/>
  <c r="CN343" i="25"/>
  <c r="CN226" i="25"/>
  <c r="CN235" i="25"/>
  <c r="CN237" i="25"/>
  <c r="CN247" i="25"/>
  <c r="CN262" i="25"/>
  <c r="CN268" i="25"/>
  <c r="CN305" i="25"/>
  <c r="CN310" i="25"/>
  <c r="CN325" i="25"/>
  <c r="CN327" i="25"/>
  <c r="CN345" i="25"/>
  <c r="CN346" i="25"/>
  <c r="CN312" i="25"/>
  <c r="CN211" i="25"/>
  <c r="CN221" i="25"/>
  <c r="CN236" i="25"/>
  <c r="CN239" i="25"/>
  <c r="CN241" i="25"/>
  <c r="CN337" i="25"/>
  <c r="CN258" i="25"/>
  <c r="CN264" i="25"/>
  <c r="CN336" i="25"/>
  <c r="CN296" i="25"/>
  <c r="CN297" i="25"/>
  <c r="CN307" i="25"/>
  <c r="CN308" i="25"/>
  <c r="CN311" i="25"/>
  <c r="CN291" i="25"/>
  <c r="CN333" i="25"/>
  <c r="CN334" i="25"/>
  <c r="CN338" i="25"/>
  <c r="CN274" i="25"/>
  <c r="CN275" i="25"/>
  <c r="CN276" i="25"/>
  <c r="CN277" i="25"/>
  <c r="CN207" i="25"/>
  <c r="CN208" i="25"/>
  <c r="CN354" i="25"/>
  <c r="CN355" i="25"/>
  <c r="CN356" i="25"/>
  <c r="CN359" i="25"/>
  <c r="CN231" i="25"/>
  <c r="CN360" i="25"/>
  <c r="CN233" i="25"/>
  <c r="CN361" i="25"/>
  <c r="CN234" i="25"/>
  <c r="CN240" i="25"/>
  <c r="CN242" i="25"/>
  <c r="CN362" i="25"/>
  <c r="CN363" i="25"/>
  <c r="CN357" i="25"/>
  <c r="CN365" i="25"/>
  <c r="CN253" i="25"/>
  <c r="CN367" i="25"/>
  <c r="CN368" i="25"/>
  <c r="CN271" i="25"/>
  <c r="CN370" i="25"/>
  <c r="CN278" i="25"/>
  <c r="CN372" i="25"/>
  <c r="CN279" i="25"/>
  <c r="CN375" i="25"/>
  <c r="CN285" i="25"/>
  <c r="CN377" i="25"/>
  <c r="CN378" i="25"/>
  <c r="CN380" i="25"/>
  <c r="CN381" i="25"/>
  <c r="CN383" i="25"/>
  <c r="CN384" i="25"/>
  <c r="CN385" i="25"/>
  <c r="CN386" i="25"/>
  <c r="CN388" i="25"/>
  <c r="CN389" i="25"/>
  <c r="CN313" i="25"/>
  <c r="CN331" i="25"/>
  <c r="CN395" i="25"/>
  <c r="CN350" i="25"/>
  <c r="CN351" i="25"/>
  <c r="CN352" i="25"/>
  <c r="CN396" i="25"/>
  <c r="CN379" i="25"/>
  <c r="CN382" i="25"/>
  <c r="CN373" i="25"/>
  <c r="CN203" i="25"/>
  <c r="CN335" i="25"/>
  <c r="CN210" i="25"/>
  <c r="CN218" i="25"/>
  <c r="CN219" i="25"/>
  <c r="CN222" i="25"/>
  <c r="CN223" i="25"/>
  <c r="CN228" i="25"/>
  <c r="CN364" i="25"/>
  <c r="CN250" i="25"/>
  <c r="CN254" i="25"/>
  <c r="CN269" i="25"/>
  <c r="CN369" i="25"/>
  <c r="CN374" i="25"/>
  <c r="CN280" i="25"/>
  <c r="CN283" i="25"/>
  <c r="CN284" i="25"/>
  <c r="CN288" i="25"/>
  <c r="CN290" i="25"/>
  <c r="CN292" i="25"/>
  <c r="CN299" i="25"/>
  <c r="CN300" i="25"/>
  <c r="CN216" i="25"/>
  <c r="CN319" i="25"/>
  <c r="CN323" i="25"/>
  <c r="CN348" i="25"/>
  <c r="CN287" i="25"/>
  <c r="CN330" i="25"/>
  <c r="CN339" i="25"/>
  <c r="CN215" i="25"/>
  <c r="CN249" i="25"/>
  <c r="CN205" i="25"/>
  <c r="CN206" i="25"/>
  <c r="CN209" i="25"/>
  <c r="CN214" i="25"/>
  <c r="CN217" i="25"/>
  <c r="CN229" i="25"/>
  <c r="CN246" i="25"/>
  <c r="CN251" i="25"/>
  <c r="CN252" i="25"/>
  <c r="CN293" i="25"/>
  <c r="CN316" i="25"/>
  <c r="CN349" i="25"/>
  <c r="CN353" i="25"/>
  <c r="CN281" i="25"/>
  <c r="CN282" i="25"/>
  <c r="CN328" i="25"/>
  <c r="CN341" i="25"/>
  <c r="CN320" i="25"/>
  <c r="CN225" i="25"/>
  <c r="CN263" i="25"/>
  <c r="CN301" i="25"/>
  <c r="CN314" i="25"/>
  <c r="CN267" i="25"/>
  <c r="CN344" i="25"/>
  <c r="CN347" i="25"/>
  <c r="CN204" i="25"/>
  <c r="CN232" i="25"/>
  <c r="CN255" i="25"/>
  <c r="CN256" i="25"/>
  <c r="CN257" i="25"/>
  <c r="CN259" i="25"/>
  <c r="CN272" i="25"/>
  <c r="CN306" i="25"/>
  <c r="CN317" i="25"/>
  <c r="CN318" i="25"/>
  <c r="CN324" i="25"/>
  <c r="CN212" i="25"/>
  <c r="CN224" i="25"/>
  <c r="CN213" i="25"/>
  <c r="CN304" i="25"/>
  <c r="CN309" i="25"/>
  <c r="CN245" i="25"/>
  <c r="CO259" i="25"/>
  <c r="CO318" i="25"/>
  <c r="CP259" i="25"/>
  <c r="CP318" i="25"/>
  <c r="CS358" i="25"/>
  <c r="CT358" i="25" s="1"/>
  <c r="CS220" i="25"/>
  <c r="CT220" i="25" s="1"/>
  <c r="CS227" i="25"/>
  <c r="CT227" i="25" s="1"/>
  <c r="CS230" i="25"/>
  <c r="CS238" i="25"/>
  <c r="CT238" i="25" s="1"/>
  <c r="CS243" i="25"/>
  <c r="CT243" i="25" s="1"/>
  <c r="CS244" i="25"/>
  <c r="CT244" i="25" s="1"/>
  <c r="CS248" i="25"/>
  <c r="CT248" i="25" s="1"/>
  <c r="CS260" i="25"/>
  <c r="CS261" i="25"/>
  <c r="CT261" i="25" s="1"/>
  <c r="CS265" i="25"/>
  <c r="CS266" i="25"/>
  <c r="CT266" i="25" s="1"/>
  <c r="CS270" i="25"/>
  <c r="CT270" i="25" s="1"/>
  <c r="CS273" i="25"/>
  <c r="CT273" i="25" s="1"/>
  <c r="CS286" i="25"/>
  <c r="CT286" i="25" s="1"/>
  <c r="CS289" i="25"/>
  <c r="CT289" i="25" s="1"/>
  <c r="CS294" i="25"/>
  <c r="CT294" i="25" s="1"/>
  <c r="CS295" i="25"/>
  <c r="CT295" i="25" s="1"/>
  <c r="CS298" i="25"/>
  <c r="CS302" i="25"/>
  <c r="CT302" i="25" s="1"/>
  <c r="CS303" i="25"/>
  <c r="CT303" i="25" s="1"/>
  <c r="CS315" i="25"/>
  <c r="CT315" i="25" s="1"/>
  <c r="CS321" i="25"/>
  <c r="CT321" i="25" s="1"/>
  <c r="CS322" i="25"/>
  <c r="CT322" i="25" s="1"/>
  <c r="CS326" i="25"/>
  <c r="CT326" i="25" s="1"/>
  <c r="CS329" i="25"/>
  <c r="CT329" i="25" s="1"/>
  <c r="CS332" i="25"/>
  <c r="CS340" i="25"/>
  <c r="CT340" i="25" s="1"/>
  <c r="CS342" i="25"/>
  <c r="CT342" i="25" s="1"/>
  <c r="CS343" i="25"/>
  <c r="CT343" i="25" s="1"/>
  <c r="CS226" i="25"/>
  <c r="CT226" i="25" s="1"/>
  <c r="CS235" i="25"/>
  <c r="CT235" i="25" s="1"/>
  <c r="CS237" i="25"/>
  <c r="CT237" i="25" s="1"/>
  <c r="CS247" i="25"/>
  <c r="CT247" i="25" s="1"/>
  <c r="CS262" i="25"/>
  <c r="CS268" i="25"/>
  <c r="CT268" i="25" s="1"/>
  <c r="CS305" i="25"/>
  <c r="CT305" i="25" s="1"/>
  <c r="CS310" i="25"/>
  <c r="CT310" i="25" s="1"/>
  <c r="CS325" i="25"/>
  <c r="CT325" i="25" s="1"/>
  <c r="CS327" i="25"/>
  <c r="CT327" i="25" s="1"/>
  <c r="CS345" i="25"/>
  <c r="CS346" i="25"/>
  <c r="CT346" i="25" s="1"/>
  <c r="CS312" i="25"/>
  <c r="CS211" i="25"/>
  <c r="CT211" i="25" s="1"/>
  <c r="CS221" i="25"/>
  <c r="CT221" i="25" s="1"/>
  <c r="CS236" i="25"/>
  <c r="CT236" i="25" s="1"/>
  <c r="CS239" i="25"/>
  <c r="CT239" i="25" s="1"/>
  <c r="CS241" i="25"/>
  <c r="CT241" i="25" s="1"/>
  <c r="CS337" i="25"/>
  <c r="CS258" i="25"/>
  <c r="CT258" i="25" s="1"/>
  <c r="CS264" i="25"/>
  <c r="CS336" i="25"/>
  <c r="CT336" i="25" s="1"/>
  <c r="CS296" i="25"/>
  <c r="CT296" i="25" s="1"/>
  <c r="CS297" i="25"/>
  <c r="CT297" i="25" s="1"/>
  <c r="CS307" i="25"/>
  <c r="CT307" i="25" s="1"/>
  <c r="CS308" i="25"/>
  <c r="CT308" i="25" s="1"/>
  <c r="CS311" i="25"/>
  <c r="CT311" i="25" s="1"/>
  <c r="CS291" i="25"/>
  <c r="CT291" i="25" s="1"/>
  <c r="CS333" i="25"/>
  <c r="CS334" i="25"/>
  <c r="CT334" i="25" s="1"/>
  <c r="CS338" i="25"/>
  <c r="CT338" i="25" s="1"/>
  <c r="CS274" i="25"/>
  <c r="CT274" i="25" s="1"/>
  <c r="CS275" i="25"/>
  <c r="CT275" i="25" s="1"/>
  <c r="CS276" i="25"/>
  <c r="CT276" i="25" s="1"/>
  <c r="CS277" i="25"/>
  <c r="CT277" i="25" s="1"/>
  <c r="CS207" i="25"/>
  <c r="CT207" i="25" s="1"/>
  <c r="CS208" i="25"/>
  <c r="CS354" i="25"/>
  <c r="CT354" i="25" s="1"/>
  <c r="CS355" i="25"/>
  <c r="CT355" i="25" s="1"/>
  <c r="CS356" i="25"/>
  <c r="CT356" i="25" s="1"/>
  <c r="CS359" i="25"/>
  <c r="CT359" i="25" s="1"/>
  <c r="CS231" i="25"/>
  <c r="CT231" i="25" s="1"/>
  <c r="CS360" i="25"/>
  <c r="CS233" i="25"/>
  <c r="CT233" i="25" s="1"/>
  <c r="CS361" i="25"/>
  <c r="CS234" i="25"/>
  <c r="CT234" i="25" s="1"/>
  <c r="CS240" i="25"/>
  <c r="CT240" i="25" s="1"/>
  <c r="CS242" i="25"/>
  <c r="CT242" i="25" s="1"/>
  <c r="CS362" i="25"/>
  <c r="CT362" i="25" s="1"/>
  <c r="CS363" i="25"/>
  <c r="CT363" i="25" s="1"/>
  <c r="CS357" i="25"/>
  <c r="CT357" i="25" s="1"/>
  <c r="CS365" i="25"/>
  <c r="CT365" i="25" s="1"/>
  <c r="CS253" i="25"/>
  <c r="CS367" i="25"/>
  <c r="CT367" i="25" s="1"/>
  <c r="CS368" i="25"/>
  <c r="CT368" i="25" s="1"/>
  <c r="CS271" i="25"/>
  <c r="CT271" i="25" s="1"/>
  <c r="CS370" i="25"/>
  <c r="CT370" i="25" s="1"/>
  <c r="CS278" i="25"/>
  <c r="CT278" i="25" s="1"/>
  <c r="CS372" i="25"/>
  <c r="CT372" i="25" s="1"/>
  <c r="CS279" i="25"/>
  <c r="CT279" i="25" s="1"/>
  <c r="CS375" i="25"/>
  <c r="CS285" i="25"/>
  <c r="CT285" i="25" s="1"/>
  <c r="CS377" i="25"/>
  <c r="CT377" i="25" s="1"/>
  <c r="CS378" i="25"/>
  <c r="CT378" i="25" s="1"/>
  <c r="CS380" i="25"/>
  <c r="CT380" i="25" s="1"/>
  <c r="CS381" i="25"/>
  <c r="CT381" i="25" s="1"/>
  <c r="CS383" i="25"/>
  <c r="CT383" i="25" s="1"/>
  <c r="CS384" i="25"/>
  <c r="CT384" i="25" s="1"/>
  <c r="CS385" i="25"/>
  <c r="CS386" i="25"/>
  <c r="CT386" i="25" s="1"/>
  <c r="CS388" i="25"/>
  <c r="CT388" i="25" s="1"/>
  <c r="CS389" i="25"/>
  <c r="CT389" i="25" s="1"/>
  <c r="CS313" i="25"/>
  <c r="CT313" i="25" s="1"/>
  <c r="CS331" i="25"/>
  <c r="CS395" i="25"/>
  <c r="CT395" i="25" s="1"/>
  <c r="CS350" i="25"/>
  <c r="CS351" i="25"/>
  <c r="CT351" i="25" s="1"/>
  <c r="CS352" i="25"/>
  <c r="CT352" i="25" s="1"/>
  <c r="CS396" i="25"/>
  <c r="CT396" i="25" s="1"/>
  <c r="CS379" i="25"/>
  <c r="CT379" i="25" s="1"/>
  <c r="CS382" i="25"/>
  <c r="CT382" i="25" s="1"/>
  <c r="CS373" i="25"/>
  <c r="CS203" i="25"/>
  <c r="CT203" i="25" s="1"/>
  <c r="CS335" i="25"/>
  <c r="CT335" i="25" s="1"/>
  <c r="CS210" i="25"/>
  <c r="CT210" i="25" s="1"/>
  <c r="CS218" i="25"/>
  <c r="CT218" i="25" s="1"/>
  <c r="CS219" i="25"/>
  <c r="CT219" i="25" s="1"/>
  <c r="CS222" i="25"/>
  <c r="CT222" i="25" s="1"/>
  <c r="CS223" i="25"/>
  <c r="CT223" i="25" s="1"/>
  <c r="CS228" i="25"/>
  <c r="CT228" i="25" s="1"/>
  <c r="CS364" i="25"/>
  <c r="CT364" i="25" s="1"/>
  <c r="CS250" i="25"/>
  <c r="CT250" i="25" s="1"/>
  <c r="CS254" i="25"/>
  <c r="CT254" i="25" s="1"/>
  <c r="CS269" i="25"/>
  <c r="CT269" i="25" s="1"/>
  <c r="CS369" i="25"/>
  <c r="CT369" i="25" s="1"/>
  <c r="CS374" i="25"/>
  <c r="CS280" i="25"/>
  <c r="CT280" i="25" s="1"/>
  <c r="CS283" i="25"/>
  <c r="CT283" i="25" s="1"/>
  <c r="CS284" i="25"/>
  <c r="CT284" i="25" s="1"/>
  <c r="CS288" i="25"/>
  <c r="CT288" i="25" s="1"/>
  <c r="CS290" i="25"/>
  <c r="CT290" i="25" s="1"/>
  <c r="CS292" i="25"/>
  <c r="CT292" i="25" s="1"/>
  <c r="CS299" i="25"/>
  <c r="CT299" i="25" s="1"/>
  <c r="CS300" i="25"/>
  <c r="CT300" i="25" s="1"/>
  <c r="CS216" i="25"/>
  <c r="CT216" i="25" s="1"/>
  <c r="CS319" i="25"/>
  <c r="CT319" i="25" s="1"/>
  <c r="CS323" i="25"/>
  <c r="CT323" i="25" s="1"/>
  <c r="CS348" i="25"/>
  <c r="CT348" i="25" s="1"/>
  <c r="CS287" i="25"/>
  <c r="CT287" i="25" s="1"/>
  <c r="CS330" i="25"/>
  <c r="CT330" i="25" s="1"/>
  <c r="CS339" i="25"/>
  <c r="CT339" i="25" s="1"/>
  <c r="CS215" i="25"/>
  <c r="CT215" i="25" s="1"/>
  <c r="CS249" i="25"/>
  <c r="CT249" i="25" s="1"/>
  <c r="CS205" i="25"/>
  <c r="CT205" i="25" s="1"/>
  <c r="CS206" i="25"/>
  <c r="CT206" i="25" s="1"/>
  <c r="CS209" i="25"/>
  <c r="CS214" i="25"/>
  <c r="CT214" i="25" s="1"/>
  <c r="CS217" i="25"/>
  <c r="CT217" i="25" s="1"/>
  <c r="CS229" i="25"/>
  <c r="CT229" i="25" s="1"/>
  <c r="CS246" i="25"/>
  <c r="CT246" i="25" s="1"/>
  <c r="CS251" i="25"/>
  <c r="CT251" i="25" s="1"/>
  <c r="CS252" i="25"/>
  <c r="CT252" i="25" s="1"/>
  <c r="CS293" i="25"/>
  <c r="CT293" i="25" s="1"/>
  <c r="CS316" i="25"/>
  <c r="CS349" i="25"/>
  <c r="CS353" i="25"/>
  <c r="CT353" i="25" s="1"/>
  <c r="CS281" i="25"/>
  <c r="CT281" i="25" s="1"/>
  <c r="CS282" i="25"/>
  <c r="CT282" i="25" s="1"/>
  <c r="CS328" i="25"/>
  <c r="CT328" i="25" s="1"/>
  <c r="CS341" i="25"/>
  <c r="CT341" i="25" s="1"/>
  <c r="CS320" i="25"/>
  <c r="CT320" i="25" s="1"/>
  <c r="CS225" i="25"/>
  <c r="CT225" i="25" s="1"/>
  <c r="CS263" i="25"/>
  <c r="CS301" i="25"/>
  <c r="CS314" i="25"/>
  <c r="CT314" i="25" s="1"/>
  <c r="CS267" i="25"/>
  <c r="CT267" i="25" s="1"/>
  <c r="CS344" i="25"/>
  <c r="CT344" i="25" s="1"/>
  <c r="CS347" i="25"/>
  <c r="CT347" i="25" s="1"/>
  <c r="CS204" i="25"/>
  <c r="CS232" i="25"/>
  <c r="CT232" i="25" s="1"/>
  <c r="CS255" i="25"/>
  <c r="CT255" i="25" s="1"/>
  <c r="CS256" i="25"/>
  <c r="CT256" i="25" s="1"/>
  <c r="CS257" i="25"/>
  <c r="CT257" i="25" s="1"/>
  <c r="CT259" i="25"/>
  <c r="CS272" i="25"/>
  <c r="CT272" i="25" s="1"/>
  <c r="CS306" i="25"/>
  <c r="CT306" i="25" s="1"/>
  <c r="CS317" i="25"/>
  <c r="CT317" i="25" s="1"/>
  <c r="CT318" i="25"/>
  <c r="CS324" i="25"/>
  <c r="CT324" i="25" s="1"/>
  <c r="CS212" i="25"/>
  <c r="CT212" i="25" s="1"/>
  <c r="CS224" i="25"/>
  <c r="CT224" i="25" s="1"/>
  <c r="CS213" i="25"/>
  <c r="CT213" i="25" s="1"/>
  <c r="CS304" i="25"/>
  <c r="CT304" i="25" s="1"/>
  <c r="CS309" i="25"/>
  <c r="CS245" i="25"/>
  <c r="CT245" i="25" s="1"/>
  <c r="DA358" i="25"/>
  <c r="DA220" i="25"/>
  <c r="DA227" i="25"/>
  <c r="DA230" i="25"/>
  <c r="DA238" i="25"/>
  <c r="DA243" i="25"/>
  <c r="DA244" i="25"/>
  <c r="DA248" i="25"/>
  <c r="DA260" i="25"/>
  <c r="DA261" i="25"/>
  <c r="DA265" i="25"/>
  <c r="DA266" i="25"/>
  <c r="DA270" i="25"/>
  <c r="DA273" i="25"/>
  <c r="DA286" i="25"/>
  <c r="DA289" i="25"/>
  <c r="DA294" i="25"/>
  <c r="DA295" i="25"/>
  <c r="DA298" i="25"/>
  <c r="DA302" i="25"/>
  <c r="DA303" i="25"/>
  <c r="DA315" i="25"/>
  <c r="DA321" i="25"/>
  <c r="DA322" i="25"/>
  <c r="DA326" i="25"/>
  <c r="DA329" i="25"/>
  <c r="DA332" i="25"/>
  <c r="DA340" i="25"/>
  <c r="DA342" i="25"/>
  <c r="DA343" i="25"/>
  <c r="DA226" i="25"/>
  <c r="DA235" i="25"/>
  <c r="DA237" i="25"/>
  <c r="DA247" i="25"/>
  <c r="DA262" i="25"/>
  <c r="DA268" i="25"/>
  <c r="DA305" i="25"/>
  <c r="DA310" i="25"/>
  <c r="DA325" i="25"/>
  <c r="DA327" i="25"/>
  <c r="DA345" i="25"/>
  <c r="DA346" i="25"/>
  <c r="DA312" i="25"/>
  <c r="DA211" i="25"/>
  <c r="DA221" i="25"/>
  <c r="DA236" i="25"/>
  <c r="DA239" i="25"/>
  <c r="DA241" i="25"/>
  <c r="DA337" i="25"/>
  <c r="DA258" i="25"/>
  <c r="DA264" i="25"/>
  <c r="DA336" i="25"/>
  <c r="DA296" i="25"/>
  <c r="DA297" i="25"/>
  <c r="DA307" i="25"/>
  <c r="DA308" i="25"/>
  <c r="DA311" i="25"/>
  <c r="DA291" i="25"/>
  <c r="DA333" i="25"/>
  <c r="DA334" i="25"/>
  <c r="DA338" i="25"/>
  <c r="DA274" i="25"/>
  <c r="DA275" i="25"/>
  <c r="DA276" i="25"/>
  <c r="DA277" i="25"/>
  <c r="DA207" i="25"/>
  <c r="DA208" i="25"/>
  <c r="DA354" i="25"/>
  <c r="DA355" i="25"/>
  <c r="DA356" i="25"/>
  <c r="DA359" i="25"/>
  <c r="DA231" i="25"/>
  <c r="DA360" i="25"/>
  <c r="DA233" i="25"/>
  <c r="DA361" i="25"/>
  <c r="DA234" i="25"/>
  <c r="DA240" i="25"/>
  <c r="DA242" i="25"/>
  <c r="DA362" i="25"/>
  <c r="DA363" i="25"/>
  <c r="DA357" i="25"/>
  <c r="DA365" i="25"/>
  <c r="DA253" i="25"/>
  <c r="DA367" i="25"/>
  <c r="DA368" i="25"/>
  <c r="DA271" i="25"/>
  <c r="DA370" i="25"/>
  <c r="DA278" i="25"/>
  <c r="DA372" i="25"/>
  <c r="DA279" i="25"/>
  <c r="DA375" i="25"/>
  <c r="DA285" i="25"/>
  <c r="DA377" i="25"/>
  <c r="DA378" i="25"/>
  <c r="DA380" i="25"/>
  <c r="DA381" i="25"/>
  <c r="DA383" i="25"/>
  <c r="DA384" i="25"/>
  <c r="DA385" i="25"/>
  <c r="DA386" i="25"/>
  <c r="DA388" i="25"/>
  <c r="DA389" i="25"/>
  <c r="DA313" i="25"/>
  <c r="DA331" i="25"/>
  <c r="DA395" i="25"/>
  <c r="DA350" i="25"/>
  <c r="DA351" i="25"/>
  <c r="DA352" i="25"/>
  <c r="DA396" i="25"/>
  <c r="DA379" i="25"/>
  <c r="DA382" i="25"/>
  <c r="DA373" i="25"/>
  <c r="DA203" i="25"/>
  <c r="DA335" i="25"/>
  <c r="DA210" i="25"/>
  <c r="DA218" i="25"/>
  <c r="DA219" i="25"/>
  <c r="DA222" i="25"/>
  <c r="DA223" i="25"/>
  <c r="DA228" i="25"/>
  <c r="DA364" i="25"/>
  <c r="DA250" i="25"/>
  <c r="DA254" i="25"/>
  <c r="DA269" i="25"/>
  <c r="DA369" i="25"/>
  <c r="DA374" i="25"/>
  <c r="DA280" i="25"/>
  <c r="DA283" i="25"/>
  <c r="DA284" i="25"/>
  <c r="DA288" i="25"/>
  <c r="DA290" i="25"/>
  <c r="DA292" i="25"/>
  <c r="DA299" i="25"/>
  <c r="DA300" i="25"/>
  <c r="DA216" i="25"/>
  <c r="DA319" i="25"/>
  <c r="DA323" i="25"/>
  <c r="DA348" i="25"/>
  <c r="DA287" i="25"/>
  <c r="DA330" i="25"/>
  <c r="DA339" i="25"/>
  <c r="DA215" i="25"/>
  <c r="DA249" i="25"/>
  <c r="DA205" i="25"/>
  <c r="DA206" i="25"/>
  <c r="DA209" i="25"/>
  <c r="DA214" i="25"/>
  <c r="DA217" i="25"/>
  <c r="DA229" i="25"/>
  <c r="DA246" i="25"/>
  <c r="DA251" i="25"/>
  <c r="DA252" i="25"/>
  <c r="DA293" i="25"/>
  <c r="DA316" i="25"/>
  <c r="DA349" i="25"/>
  <c r="DA353" i="25"/>
  <c r="DA281" i="25"/>
  <c r="DA282" i="25"/>
  <c r="DA328" i="25"/>
  <c r="DA341" i="25"/>
  <c r="DA320" i="25"/>
  <c r="DA225" i="25"/>
  <c r="DA263" i="25"/>
  <c r="DA301" i="25"/>
  <c r="DA314" i="25"/>
  <c r="DA267" i="25"/>
  <c r="DA344" i="25"/>
  <c r="DA347" i="25"/>
  <c r="DA204" i="25"/>
  <c r="DA232" i="25"/>
  <c r="DA255" i="25"/>
  <c r="DA256" i="25"/>
  <c r="DA257" i="25"/>
  <c r="DA259" i="25"/>
  <c r="DA272" i="25"/>
  <c r="DA306" i="25"/>
  <c r="DA317" i="25"/>
  <c r="DA318" i="25"/>
  <c r="DA324" i="25"/>
  <c r="DA212" i="25"/>
  <c r="DA224" i="25"/>
  <c r="DA213" i="25"/>
  <c r="DA304" i="25"/>
  <c r="DA309" i="25"/>
  <c r="DA245" i="25"/>
  <c r="DB358" i="25"/>
  <c r="DB220" i="25"/>
  <c r="DB227" i="25"/>
  <c r="DB230" i="25"/>
  <c r="DB238" i="25"/>
  <c r="DB243" i="25"/>
  <c r="DB244" i="25"/>
  <c r="DB248" i="25"/>
  <c r="DB260" i="25"/>
  <c r="DB261" i="25"/>
  <c r="DB265" i="25"/>
  <c r="DB266" i="25"/>
  <c r="DB270" i="25"/>
  <c r="DB273" i="25"/>
  <c r="DB286" i="25"/>
  <c r="DB289" i="25"/>
  <c r="DB294" i="25"/>
  <c r="DB295" i="25"/>
  <c r="DB298" i="25"/>
  <c r="DB302" i="25"/>
  <c r="DB303" i="25"/>
  <c r="DB315" i="25"/>
  <c r="DB321" i="25"/>
  <c r="DB322" i="25"/>
  <c r="DB326" i="25"/>
  <c r="DB329" i="25"/>
  <c r="DB332" i="25"/>
  <c r="DB340" i="25"/>
  <c r="DB342" i="25"/>
  <c r="DB343" i="25"/>
  <c r="DB226" i="25"/>
  <c r="DB235" i="25"/>
  <c r="DB237" i="25"/>
  <c r="DB247" i="25"/>
  <c r="DB262" i="25"/>
  <c r="DB268" i="25"/>
  <c r="DB305" i="25"/>
  <c r="DB310" i="25"/>
  <c r="DB325" i="25"/>
  <c r="DB327" i="25"/>
  <c r="DB345" i="25"/>
  <c r="DB346" i="25"/>
  <c r="DB312" i="25"/>
  <c r="DB211" i="25"/>
  <c r="DB221" i="25"/>
  <c r="DB236" i="25"/>
  <c r="DB239" i="25"/>
  <c r="DB241" i="25"/>
  <c r="DB337" i="25"/>
  <c r="DB258" i="25"/>
  <c r="DB264" i="25"/>
  <c r="DB336" i="25"/>
  <c r="DB296" i="25"/>
  <c r="DB297" i="25"/>
  <c r="DB307" i="25"/>
  <c r="DB308" i="25"/>
  <c r="DB311" i="25"/>
  <c r="DB291" i="25"/>
  <c r="DB334" i="25"/>
  <c r="DB338" i="25"/>
  <c r="DB274" i="25"/>
  <c r="DB275" i="25"/>
  <c r="DB276" i="25"/>
  <c r="DB277" i="25"/>
  <c r="DB207" i="25"/>
  <c r="DB208" i="25"/>
  <c r="DB354" i="25"/>
  <c r="DB355" i="25"/>
  <c r="DB356" i="25"/>
  <c r="DB359" i="25"/>
  <c r="DB231" i="25"/>
  <c r="DB360" i="25"/>
  <c r="DB233" i="25"/>
  <c r="DB361" i="25"/>
  <c r="DB234" i="25"/>
  <c r="DB240" i="25"/>
  <c r="DB242" i="25"/>
  <c r="DB362" i="25"/>
  <c r="DB363" i="25"/>
  <c r="DB357" i="25"/>
  <c r="DB365" i="25"/>
  <c r="DB253" i="25"/>
  <c r="DB367" i="25"/>
  <c r="DB368" i="25"/>
  <c r="DB271" i="25"/>
  <c r="DB370" i="25"/>
  <c r="DB278" i="25"/>
  <c r="DB372" i="25"/>
  <c r="DB279" i="25"/>
  <c r="DB375" i="25"/>
  <c r="DB285" i="25"/>
  <c r="DB377" i="25"/>
  <c r="DB378" i="25"/>
  <c r="DB380" i="25"/>
  <c r="DB381" i="25"/>
  <c r="DB383" i="25"/>
  <c r="DB384" i="25"/>
  <c r="DB385" i="25"/>
  <c r="DB386" i="25"/>
  <c r="DB388" i="25"/>
  <c r="DB389" i="25"/>
  <c r="DB313" i="25"/>
  <c r="DB331" i="25"/>
  <c r="DB395" i="25"/>
  <c r="DB350" i="25"/>
  <c r="DB351" i="25"/>
  <c r="DB352" i="25"/>
  <c r="DB396" i="25"/>
  <c r="DB379" i="25"/>
  <c r="DB382" i="25"/>
  <c r="DB373" i="25"/>
  <c r="DB203" i="25"/>
  <c r="DB335" i="25"/>
  <c r="DB210" i="25"/>
  <c r="DB218" i="25"/>
  <c r="DB219" i="25"/>
  <c r="DB222" i="25"/>
  <c r="DB223" i="25"/>
  <c r="DB228" i="25"/>
  <c r="DB364" i="25"/>
  <c r="DB250" i="25"/>
  <c r="DB254" i="25"/>
  <c r="DB269" i="25"/>
  <c r="DB369" i="25"/>
  <c r="DB374" i="25"/>
  <c r="DB280" i="25"/>
  <c r="DB283" i="25"/>
  <c r="DB284" i="25"/>
  <c r="DB288" i="25"/>
  <c r="DB290" i="25"/>
  <c r="DB292" i="25"/>
  <c r="DB299" i="25"/>
  <c r="DB300" i="25"/>
  <c r="DB216" i="25"/>
  <c r="DB319" i="25"/>
  <c r="DB323" i="25"/>
  <c r="DB348" i="25"/>
  <c r="DB287" i="25"/>
  <c r="DB330" i="25"/>
  <c r="DB339" i="25"/>
  <c r="DB215" i="25"/>
  <c r="DB249" i="25"/>
  <c r="DB205" i="25"/>
  <c r="DB206" i="25"/>
  <c r="DB209" i="25"/>
  <c r="DB214" i="25"/>
  <c r="DB217" i="25"/>
  <c r="DB229" i="25"/>
  <c r="DB246" i="25"/>
  <c r="DB251" i="25"/>
  <c r="DB252" i="25"/>
  <c r="DB293" i="25"/>
  <c r="DB316" i="25"/>
  <c r="DB349" i="25"/>
  <c r="DB353" i="25"/>
  <c r="DB281" i="25"/>
  <c r="DB282" i="25"/>
  <c r="DB328" i="25"/>
  <c r="DB341" i="25"/>
  <c r="DB320" i="25"/>
  <c r="DB225" i="25"/>
  <c r="DB263" i="25"/>
  <c r="DB301" i="25"/>
  <c r="DB314" i="25"/>
  <c r="DB267" i="25"/>
  <c r="DB344" i="25"/>
  <c r="DB347" i="25"/>
  <c r="DB204" i="25"/>
  <c r="DB232" i="25"/>
  <c r="DB255" i="25"/>
  <c r="DB256" i="25"/>
  <c r="DB257" i="25"/>
  <c r="DB259" i="25"/>
  <c r="DB272" i="25"/>
  <c r="DB306" i="25"/>
  <c r="DB317" i="25"/>
  <c r="DB318" i="25"/>
  <c r="DB324" i="25"/>
  <c r="DB212" i="25"/>
  <c r="DB224" i="25"/>
  <c r="DB213" i="25"/>
  <c r="DB304" i="25"/>
  <c r="DB309" i="25"/>
  <c r="DB245" i="25"/>
  <c r="DD259" i="25"/>
  <c r="DD318" i="25"/>
  <c r="DF358" i="25"/>
  <c r="DF220" i="25"/>
  <c r="DF227" i="25"/>
  <c r="DF230" i="25"/>
  <c r="DF238" i="25"/>
  <c r="DF243" i="25"/>
  <c r="DF244" i="25"/>
  <c r="DF248" i="25"/>
  <c r="DF260" i="25"/>
  <c r="DF261" i="25"/>
  <c r="DF265" i="25"/>
  <c r="DF266" i="25"/>
  <c r="DF270" i="25"/>
  <c r="DF273" i="25"/>
  <c r="DF286" i="25"/>
  <c r="DF289" i="25"/>
  <c r="DF294" i="25"/>
  <c r="DF295" i="25"/>
  <c r="DF298" i="25"/>
  <c r="DF302" i="25"/>
  <c r="DF303" i="25"/>
  <c r="DF315" i="25"/>
  <c r="DF321" i="25"/>
  <c r="DF322" i="25"/>
  <c r="DF326" i="25"/>
  <c r="DF329" i="25"/>
  <c r="DF332" i="25"/>
  <c r="DF340" i="25"/>
  <c r="DF342" i="25"/>
  <c r="DF343" i="25"/>
  <c r="DF226" i="25"/>
  <c r="DF235" i="25"/>
  <c r="DF237" i="25"/>
  <c r="DF247" i="25"/>
  <c r="DF262" i="25"/>
  <c r="DF268" i="25"/>
  <c r="DF305" i="25"/>
  <c r="DF310" i="25"/>
  <c r="DF325" i="25"/>
  <c r="DF327" i="25"/>
  <c r="DF345" i="25"/>
  <c r="DF346" i="25"/>
  <c r="DF312" i="25"/>
  <c r="DF211" i="25"/>
  <c r="DF221" i="25"/>
  <c r="DF236" i="25"/>
  <c r="DF239" i="25"/>
  <c r="DF241" i="25"/>
  <c r="DF337" i="25"/>
  <c r="DF258" i="25"/>
  <c r="DF264" i="25"/>
  <c r="DF336" i="25"/>
  <c r="DF296" i="25"/>
  <c r="DF297" i="25"/>
  <c r="DF307" i="25"/>
  <c r="DF308" i="25"/>
  <c r="DF311" i="25"/>
  <c r="DF291" i="25"/>
  <c r="DF333" i="25"/>
  <c r="DF334" i="25"/>
  <c r="DF338" i="25"/>
  <c r="DF274" i="25"/>
  <c r="DF275" i="25"/>
  <c r="DF276" i="25"/>
  <c r="DF277" i="25"/>
  <c r="DF207" i="25"/>
  <c r="DF208" i="25"/>
  <c r="DF354" i="25"/>
  <c r="DF355" i="25"/>
  <c r="DF356" i="25"/>
  <c r="DF359" i="25"/>
  <c r="DF231" i="25"/>
  <c r="DF360" i="25"/>
  <c r="DF233" i="25"/>
  <c r="DF361" i="25"/>
  <c r="DF234" i="25"/>
  <c r="DF240" i="25"/>
  <c r="DF242" i="25"/>
  <c r="DF362" i="25"/>
  <c r="DF363" i="25"/>
  <c r="DF357" i="25"/>
  <c r="DF365" i="25"/>
  <c r="DF253" i="25"/>
  <c r="DF367" i="25"/>
  <c r="DF368" i="25"/>
  <c r="DF271" i="25"/>
  <c r="DF370" i="25"/>
  <c r="DF278" i="25"/>
  <c r="DF372" i="25"/>
  <c r="DF279" i="25"/>
  <c r="DF375" i="25"/>
  <c r="DF285" i="25"/>
  <c r="DF377" i="25"/>
  <c r="DF378" i="25"/>
  <c r="DF380" i="25"/>
  <c r="DF381" i="25"/>
  <c r="DF383" i="25"/>
  <c r="DF384" i="25"/>
  <c r="DF385" i="25"/>
  <c r="DF386" i="25"/>
  <c r="DF388" i="25"/>
  <c r="DF389" i="25"/>
  <c r="DF313" i="25"/>
  <c r="DF331" i="25"/>
  <c r="DF395" i="25"/>
  <c r="DF350" i="25"/>
  <c r="DF351" i="25"/>
  <c r="DF352" i="25"/>
  <c r="DF396" i="25"/>
  <c r="DF379" i="25"/>
  <c r="DF382" i="25"/>
  <c r="DF373" i="25"/>
  <c r="DF203" i="25"/>
  <c r="DF335" i="25"/>
  <c r="DF210" i="25"/>
  <c r="DF218" i="25"/>
  <c r="DF219" i="25"/>
  <c r="DF222" i="25"/>
  <c r="DF223" i="25"/>
  <c r="DF228" i="25"/>
  <c r="DF364" i="25"/>
  <c r="DF250" i="25"/>
  <c r="DF254" i="25"/>
  <c r="DF269" i="25"/>
  <c r="DF369" i="25"/>
  <c r="DF374" i="25"/>
  <c r="DF280" i="25"/>
  <c r="DF283" i="25"/>
  <c r="DF284" i="25"/>
  <c r="DF288" i="25"/>
  <c r="DF290" i="25"/>
  <c r="DF292" i="25"/>
  <c r="DF299" i="25"/>
  <c r="DF300" i="25"/>
  <c r="DF216" i="25"/>
  <c r="DF319" i="25"/>
  <c r="DF323" i="25"/>
  <c r="DF348" i="25"/>
  <c r="DF287" i="25"/>
  <c r="DF330" i="25"/>
  <c r="DF339" i="25"/>
  <c r="DF215" i="25"/>
  <c r="DF249" i="25"/>
  <c r="DF205" i="25"/>
  <c r="DF206" i="25"/>
  <c r="DF209" i="25"/>
  <c r="DF214" i="25"/>
  <c r="DF217" i="25"/>
  <c r="DF229" i="25"/>
  <c r="DF246" i="25"/>
  <c r="DF251" i="25"/>
  <c r="DF252" i="25"/>
  <c r="DF293" i="25"/>
  <c r="DF316" i="25"/>
  <c r="DF349" i="25"/>
  <c r="DF353" i="25"/>
  <c r="DF281" i="25"/>
  <c r="DF282" i="25"/>
  <c r="DF328" i="25"/>
  <c r="DF341" i="25"/>
  <c r="DF320" i="25"/>
  <c r="DF225" i="25"/>
  <c r="DF263" i="25"/>
  <c r="DF301" i="25"/>
  <c r="DF314" i="25"/>
  <c r="DF267" i="25"/>
  <c r="DF344" i="25"/>
  <c r="DF347" i="25"/>
  <c r="DF204" i="25"/>
  <c r="DF232" i="25"/>
  <c r="DF255" i="25"/>
  <c r="DF256" i="25"/>
  <c r="DF257" i="25"/>
  <c r="DF259" i="25"/>
  <c r="DF272" i="25"/>
  <c r="DF306" i="25"/>
  <c r="DF317" i="25"/>
  <c r="DF318" i="25"/>
  <c r="DF324" i="25"/>
  <c r="DF212" i="25"/>
  <c r="DF224" i="25"/>
  <c r="DF213" i="25"/>
  <c r="DF304" i="25"/>
  <c r="DF309" i="25"/>
  <c r="DF245" i="25"/>
  <c r="DG358" i="25"/>
  <c r="DG220" i="25"/>
  <c r="DG227" i="25"/>
  <c r="DG230" i="25"/>
  <c r="DG238" i="25"/>
  <c r="DG243" i="25"/>
  <c r="DG244" i="25"/>
  <c r="DG248" i="25"/>
  <c r="DG260" i="25"/>
  <c r="DG261" i="25"/>
  <c r="DG265" i="25"/>
  <c r="DG266" i="25"/>
  <c r="DG270" i="25"/>
  <c r="DG273" i="25"/>
  <c r="DG286" i="25"/>
  <c r="DG289" i="25"/>
  <c r="DG294" i="25"/>
  <c r="DG295" i="25"/>
  <c r="DG298" i="25"/>
  <c r="DG302" i="25"/>
  <c r="DG303" i="25"/>
  <c r="DG315" i="25"/>
  <c r="DG321" i="25"/>
  <c r="DG322" i="25"/>
  <c r="DG326" i="25"/>
  <c r="DG329" i="25"/>
  <c r="DG332" i="25"/>
  <c r="DG340" i="25"/>
  <c r="DG342" i="25"/>
  <c r="DG343" i="25"/>
  <c r="DG226" i="25"/>
  <c r="DG235" i="25"/>
  <c r="DG237" i="25"/>
  <c r="DG247" i="25"/>
  <c r="DG262" i="25"/>
  <c r="DG268" i="25"/>
  <c r="DG305" i="25"/>
  <c r="DG310" i="25"/>
  <c r="DG325" i="25"/>
  <c r="DG327" i="25"/>
  <c r="DG345" i="25"/>
  <c r="DG346" i="25"/>
  <c r="DG312" i="25"/>
  <c r="DG211" i="25"/>
  <c r="DG221" i="25"/>
  <c r="DG236" i="25"/>
  <c r="DG239" i="25"/>
  <c r="DG241" i="25"/>
  <c r="DG337" i="25"/>
  <c r="DG258" i="25"/>
  <c r="DG264" i="25"/>
  <c r="DG336" i="25"/>
  <c r="DG296" i="25"/>
  <c r="DG297" i="25"/>
  <c r="DG307" i="25"/>
  <c r="DG308" i="25"/>
  <c r="DG311" i="25"/>
  <c r="DG291" i="25"/>
  <c r="DG333" i="25"/>
  <c r="DG334" i="25"/>
  <c r="DG338" i="25"/>
  <c r="DG274" i="25"/>
  <c r="DG275" i="25"/>
  <c r="DG276" i="25"/>
  <c r="DG277" i="25"/>
  <c r="DG207" i="25"/>
  <c r="DG208" i="25"/>
  <c r="DG354" i="25"/>
  <c r="DG355" i="25"/>
  <c r="DG356" i="25"/>
  <c r="DG359" i="25"/>
  <c r="DG231" i="25"/>
  <c r="DG360" i="25"/>
  <c r="DG233" i="25"/>
  <c r="DG361" i="25"/>
  <c r="DG234" i="25"/>
  <c r="DG240" i="25"/>
  <c r="DG242" i="25"/>
  <c r="DG362" i="25"/>
  <c r="DG363" i="25"/>
  <c r="DG357" i="25"/>
  <c r="DG365" i="25"/>
  <c r="DG253" i="25"/>
  <c r="DG367" i="25"/>
  <c r="DG368" i="25"/>
  <c r="DG271" i="25"/>
  <c r="DG370" i="25"/>
  <c r="DG278" i="25"/>
  <c r="DG372" i="25"/>
  <c r="DG279" i="25"/>
  <c r="DG375" i="25"/>
  <c r="DG285" i="25"/>
  <c r="DG377" i="25"/>
  <c r="DG378" i="25"/>
  <c r="DG380" i="25"/>
  <c r="DG381" i="25"/>
  <c r="DG383" i="25"/>
  <c r="DG384" i="25"/>
  <c r="DG385" i="25"/>
  <c r="DG386" i="25"/>
  <c r="DG388" i="25"/>
  <c r="DG389" i="25"/>
  <c r="DG313" i="25"/>
  <c r="DG331" i="25"/>
  <c r="DG395" i="25"/>
  <c r="DG350" i="25"/>
  <c r="DG351" i="25"/>
  <c r="DG352" i="25"/>
  <c r="DG396" i="25"/>
  <c r="DG379" i="25"/>
  <c r="DG382" i="25"/>
  <c r="DG373" i="25"/>
  <c r="DG203" i="25"/>
  <c r="DG335" i="25"/>
  <c r="DG210" i="25"/>
  <c r="DG218" i="25"/>
  <c r="DG219" i="25"/>
  <c r="DG222" i="25"/>
  <c r="DG223" i="25"/>
  <c r="DG228" i="25"/>
  <c r="DG364" i="25"/>
  <c r="DG250" i="25"/>
  <c r="DG254" i="25"/>
  <c r="DG269" i="25"/>
  <c r="DG369" i="25"/>
  <c r="DG374" i="25"/>
  <c r="DG280" i="25"/>
  <c r="DG283" i="25"/>
  <c r="DG284" i="25"/>
  <c r="DG288" i="25"/>
  <c r="DG290" i="25"/>
  <c r="DG292" i="25"/>
  <c r="DG299" i="25"/>
  <c r="DG300" i="25"/>
  <c r="DG216" i="25"/>
  <c r="DG319" i="25"/>
  <c r="DG323" i="25"/>
  <c r="DG348" i="25"/>
  <c r="DG287" i="25"/>
  <c r="DG330" i="25"/>
  <c r="DG339" i="25"/>
  <c r="DG215" i="25"/>
  <c r="DG249" i="25"/>
  <c r="DG205" i="25"/>
  <c r="DG206" i="25"/>
  <c r="DG209" i="25"/>
  <c r="DG214" i="25"/>
  <c r="DG217" i="25"/>
  <c r="DG229" i="25"/>
  <c r="DG246" i="25"/>
  <c r="DG251" i="25"/>
  <c r="DG252" i="25"/>
  <c r="DG293" i="25"/>
  <c r="DG316" i="25"/>
  <c r="DG349" i="25"/>
  <c r="DG353" i="25"/>
  <c r="DG281" i="25"/>
  <c r="DG282" i="25"/>
  <c r="DG328" i="25"/>
  <c r="DG341" i="25"/>
  <c r="DG320" i="25"/>
  <c r="DG225" i="25"/>
  <c r="DG263" i="25"/>
  <c r="DG301" i="25"/>
  <c r="DG314" i="25"/>
  <c r="DG267" i="25"/>
  <c r="DG344" i="25"/>
  <c r="DG347" i="25"/>
  <c r="DG204" i="25"/>
  <c r="DG232" i="25"/>
  <c r="DG255" i="25"/>
  <c r="DG256" i="25"/>
  <c r="DG257" i="25"/>
  <c r="DG259" i="25"/>
  <c r="DG272" i="25"/>
  <c r="DG306" i="25"/>
  <c r="DG317" i="25"/>
  <c r="DG318" i="25"/>
  <c r="DG324" i="25"/>
  <c r="DG212" i="25"/>
  <c r="DG224" i="25"/>
  <c r="DG213" i="25"/>
  <c r="DG304" i="25"/>
  <c r="DG309" i="25"/>
  <c r="DG245" i="25"/>
  <c r="DK358" i="25"/>
  <c r="DK220" i="25"/>
  <c r="DK227" i="25"/>
  <c r="DK230" i="25"/>
  <c r="DK238" i="25"/>
  <c r="DK243" i="25"/>
  <c r="DK244" i="25"/>
  <c r="DK248" i="25"/>
  <c r="DK260" i="25"/>
  <c r="DK261" i="25"/>
  <c r="DK265" i="25"/>
  <c r="DK266" i="25"/>
  <c r="DK270" i="25"/>
  <c r="DK273" i="25"/>
  <c r="DK286" i="25"/>
  <c r="DK289" i="25"/>
  <c r="DK294" i="25"/>
  <c r="DK295" i="25"/>
  <c r="DK298" i="25"/>
  <c r="DK302" i="25"/>
  <c r="DK303" i="25"/>
  <c r="DK315" i="25"/>
  <c r="DK321" i="25"/>
  <c r="DK322" i="25"/>
  <c r="DK326" i="25"/>
  <c r="DK329" i="25"/>
  <c r="DK332" i="25"/>
  <c r="DK340" i="25"/>
  <c r="DK342" i="25"/>
  <c r="DK343" i="25"/>
  <c r="DK226" i="25"/>
  <c r="DK235" i="25"/>
  <c r="DK237" i="25"/>
  <c r="DK247" i="25"/>
  <c r="DK262" i="25"/>
  <c r="DK268" i="25"/>
  <c r="DK305" i="25"/>
  <c r="DK310" i="25"/>
  <c r="DK325" i="25"/>
  <c r="DK327" i="25"/>
  <c r="DK345" i="25"/>
  <c r="DK346" i="25"/>
  <c r="DK312" i="25"/>
  <c r="DK211" i="25"/>
  <c r="DK221" i="25"/>
  <c r="DK236" i="25"/>
  <c r="DK239" i="25"/>
  <c r="DK241" i="25"/>
  <c r="DK337" i="25"/>
  <c r="DK258" i="25"/>
  <c r="DK264" i="25"/>
  <c r="DK336" i="25"/>
  <c r="DK296" i="25"/>
  <c r="DK297" i="25"/>
  <c r="DK307" i="25"/>
  <c r="DK308" i="25"/>
  <c r="DK311" i="25"/>
  <c r="DK291" i="25"/>
  <c r="DK333" i="25"/>
  <c r="DK334" i="25"/>
  <c r="DK338" i="25"/>
  <c r="DK274" i="25"/>
  <c r="DK275" i="25"/>
  <c r="DK276" i="25"/>
  <c r="DK277" i="25"/>
  <c r="DK207" i="25"/>
  <c r="DK208" i="25"/>
  <c r="DK354" i="25"/>
  <c r="DK355" i="25"/>
  <c r="DK356" i="25"/>
  <c r="DK359" i="25"/>
  <c r="DK231" i="25"/>
  <c r="DK360" i="25"/>
  <c r="DK233" i="25"/>
  <c r="DK361" i="25"/>
  <c r="DK234" i="25"/>
  <c r="DK240" i="25"/>
  <c r="DK242" i="25"/>
  <c r="DK362" i="25"/>
  <c r="DK363" i="25"/>
  <c r="DK357" i="25"/>
  <c r="DK365" i="25"/>
  <c r="DK253" i="25"/>
  <c r="DK367" i="25"/>
  <c r="DK368" i="25"/>
  <c r="DK271" i="25"/>
  <c r="DK370" i="25"/>
  <c r="DK278" i="25"/>
  <c r="DK372" i="25"/>
  <c r="DK279" i="25"/>
  <c r="DK375" i="25"/>
  <c r="DK285" i="25"/>
  <c r="DK377" i="25"/>
  <c r="DK378" i="25"/>
  <c r="DK380" i="25"/>
  <c r="DK381" i="25"/>
  <c r="DK383" i="25"/>
  <c r="DK384" i="25"/>
  <c r="DK385" i="25"/>
  <c r="DK386" i="25"/>
  <c r="DK388" i="25"/>
  <c r="DK389" i="25"/>
  <c r="DK313" i="25"/>
  <c r="DK331" i="25"/>
  <c r="DK395" i="25"/>
  <c r="DK350" i="25"/>
  <c r="DK351" i="25"/>
  <c r="DK352" i="25"/>
  <c r="DK396" i="25"/>
  <c r="DK379" i="25"/>
  <c r="DK382" i="25"/>
  <c r="DK373" i="25"/>
  <c r="DK203" i="25"/>
  <c r="DK335" i="25"/>
  <c r="DK210" i="25"/>
  <c r="DK218" i="25"/>
  <c r="DK219" i="25"/>
  <c r="DK222" i="25"/>
  <c r="DK223" i="25"/>
  <c r="DK228" i="25"/>
  <c r="DK364" i="25"/>
  <c r="DK250" i="25"/>
  <c r="DK254" i="25"/>
  <c r="DK269" i="25"/>
  <c r="DK369" i="25"/>
  <c r="DK374" i="25"/>
  <c r="DK280" i="25"/>
  <c r="DK283" i="25"/>
  <c r="DK284" i="25"/>
  <c r="DK288" i="25"/>
  <c r="DK290" i="25"/>
  <c r="DK292" i="25"/>
  <c r="DK299" i="25"/>
  <c r="DK300" i="25"/>
  <c r="DK216" i="25"/>
  <c r="DK319" i="25"/>
  <c r="DK323" i="25"/>
  <c r="DK348" i="25"/>
  <c r="DK287" i="25"/>
  <c r="DK330" i="25"/>
  <c r="DK339" i="25"/>
  <c r="DK215" i="25"/>
  <c r="DK249" i="25"/>
  <c r="DK205" i="25"/>
  <c r="DK206" i="25"/>
  <c r="DK209" i="25"/>
  <c r="DK214" i="25"/>
  <c r="DK217" i="25"/>
  <c r="DK229" i="25"/>
  <c r="DK246" i="25"/>
  <c r="DK251" i="25"/>
  <c r="DK252" i="25"/>
  <c r="DK293" i="25"/>
  <c r="DK316" i="25"/>
  <c r="DK349" i="25"/>
  <c r="DK353" i="25"/>
  <c r="DK281" i="25"/>
  <c r="DK282" i="25"/>
  <c r="DK328" i="25"/>
  <c r="DK341" i="25"/>
  <c r="DK320" i="25"/>
  <c r="DK225" i="25"/>
  <c r="DK263" i="25"/>
  <c r="DK301" i="25"/>
  <c r="DK314" i="25"/>
  <c r="DK267" i="25"/>
  <c r="DK344" i="25"/>
  <c r="DK347" i="25"/>
  <c r="DK204" i="25"/>
  <c r="DK232" i="25"/>
  <c r="DK255" i="25"/>
  <c r="DK256" i="25"/>
  <c r="DK257" i="25"/>
  <c r="DK259" i="25"/>
  <c r="DK272" i="25"/>
  <c r="DK306" i="25"/>
  <c r="DK317" i="25"/>
  <c r="DK318" i="25"/>
  <c r="DK324" i="25"/>
  <c r="DK212" i="25"/>
  <c r="DK224" i="25"/>
  <c r="DK213" i="25"/>
  <c r="DK304" i="25"/>
  <c r="DK309" i="25"/>
  <c r="DK245" i="25"/>
  <c r="DL358" i="25"/>
  <c r="DS358" i="25" s="1"/>
  <c r="DL220" i="25"/>
  <c r="DS220" i="25" s="1"/>
  <c r="DL227" i="25"/>
  <c r="DS227" i="25" s="1"/>
  <c r="DL230" i="25"/>
  <c r="DS230" i="25" s="1"/>
  <c r="DL238" i="25"/>
  <c r="DL243" i="25"/>
  <c r="DS243" i="25" s="1"/>
  <c r="DL244" i="25"/>
  <c r="DS244" i="25" s="1"/>
  <c r="DL248" i="25"/>
  <c r="DL260" i="25"/>
  <c r="DS260" i="25" s="1"/>
  <c r="DL261" i="25"/>
  <c r="DS261" i="25" s="1"/>
  <c r="DL265" i="25"/>
  <c r="DS265" i="25" s="1"/>
  <c r="DL266" i="25"/>
  <c r="DL270" i="25"/>
  <c r="DL273" i="25"/>
  <c r="DS273" i="25" s="1"/>
  <c r="DL286" i="25"/>
  <c r="DL289" i="25"/>
  <c r="DS289" i="25" s="1"/>
  <c r="DL294" i="25"/>
  <c r="DS294" i="25" s="1"/>
  <c r="DL295" i="25"/>
  <c r="DS295" i="25" s="1"/>
  <c r="DL298" i="25"/>
  <c r="DS298" i="25" s="1"/>
  <c r="DL302" i="25"/>
  <c r="DS302" i="25" s="1"/>
  <c r="DL303" i="25"/>
  <c r="DS303" i="25" s="1"/>
  <c r="DL315" i="25"/>
  <c r="DS315" i="25" s="1"/>
  <c r="DL321" i="25"/>
  <c r="DL322" i="25"/>
  <c r="DS322" i="25" s="1"/>
  <c r="DL326" i="25"/>
  <c r="DS326" i="25" s="1"/>
  <c r="DL329" i="25"/>
  <c r="DS329" i="25" s="1"/>
  <c r="DL332" i="25"/>
  <c r="DS332" i="25" s="1"/>
  <c r="DL340" i="25"/>
  <c r="DS340" i="25" s="1"/>
  <c r="DL342" i="25"/>
  <c r="DL343" i="25"/>
  <c r="DS343" i="25" s="1"/>
  <c r="DL226" i="25"/>
  <c r="DS226" i="25" s="1"/>
  <c r="DL235" i="25"/>
  <c r="DS235" i="25" s="1"/>
  <c r="DL237" i="25"/>
  <c r="DS237" i="25" s="1"/>
  <c r="DL247" i="25"/>
  <c r="DS247" i="25" s="1"/>
  <c r="DL262" i="25"/>
  <c r="DS262" i="25" s="1"/>
  <c r="DL268" i="25"/>
  <c r="DS268" i="25" s="1"/>
  <c r="DL305" i="25"/>
  <c r="DS305" i="25" s="1"/>
  <c r="DL310" i="25"/>
  <c r="DS310" i="25" s="1"/>
  <c r="DL325" i="25"/>
  <c r="DL327" i="25"/>
  <c r="DS327" i="25" s="1"/>
  <c r="DL345" i="25"/>
  <c r="DS345" i="25" s="1"/>
  <c r="DL346" i="25"/>
  <c r="DS346" i="25" s="1"/>
  <c r="DL312" i="25"/>
  <c r="DS312" i="25" s="1"/>
  <c r="DL211" i="25"/>
  <c r="DS211" i="25" s="1"/>
  <c r="DL221" i="25"/>
  <c r="DL236" i="25"/>
  <c r="DS236" i="25" s="1"/>
  <c r="DL239" i="25"/>
  <c r="DL241" i="25"/>
  <c r="DS241" i="25" s="1"/>
  <c r="DL337" i="25"/>
  <c r="DS337" i="25" s="1"/>
  <c r="DL258" i="25"/>
  <c r="DS258" i="25" s="1"/>
  <c r="DL264" i="25"/>
  <c r="DS264" i="25" s="1"/>
  <c r="DL336" i="25"/>
  <c r="DL296" i="25"/>
  <c r="DS296" i="25" s="1"/>
  <c r="DL297" i="25"/>
  <c r="DS297" i="25" s="1"/>
  <c r="DL307" i="25"/>
  <c r="DL308" i="25"/>
  <c r="DS308" i="25" s="1"/>
  <c r="DL311" i="25"/>
  <c r="DS311" i="25" s="1"/>
  <c r="DL291" i="25"/>
  <c r="DS291" i="25" s="1"/>
  <c r="DL333" i="25"/>
  <c r="DS333" i="25" s="1"/>
  <c r="DL334" i="25"/>
  <c r="DL338" i="25"/>
  <c r="DS338" i="25" s="1"/>
  <c r="DL274" i="25"/>
  <c r="DS274" i="25" s="1"/>
  <c r="DL275" i="25"/>
  <c r="DS275" i="25" s="1"/>
  <c r="DL276" i="25"/>
  <c r="DS276" i="25" s="1"/>
  <c r="DL277" i="25"/>
  <c r="DS277" i="25" s="1"/>
  <c r="DL207" i="25"/>
  <c r="DS207" i="25" s="1"/>
  <c r="DL208" i="25"/>
  <c r="DS208" i="25" s="1"/>
  <c r="DL354" i="25"/>
  <c r="DL355" i="25"/>
  <c r="DS355" i="25" s="1"/>
  <c r="DL356" i="25"/>
  <c r="DS356" i="25" s="1"/>
  <c r="DL359" i="25"/>
  <c r="DL231" i="25"/>
  <c r="DS231" i="25" s="1"/>
  <c r="DL360" i="25"/>
  <c r="DS360" i="25" s="1"/>
  <c r="DL233" i="25"/>
  <c r="DS233" i="25" s="1"/>
  <c r="DL361" i="25"/>
  <c r="DS361" i="25" s="1"/>
  <c r="DL234" i="25"/>
  <c r="DL240" i="25"/>
  <c r="DS240" i="25" s="1"/>
  <c r="DL242" i="25"/>
  <c r="DS242" i="25" s="1"/>
  <c r="DL362" i="25"/>
  <c r="DL363" i="25"/>
  <c r="DS363" i="25" s="1"/>
  <c r="DL357" i="25"/>
  <c r="DS357" i="25" s="1"/>
  <c r="DL365" i="25"/>
  <c r="DS365" i="25" s="1"/>
  <c r="DL253" i="25"/>
  <c r="DS253" i="25" s="1"/>
  <c r="DL367" i="25"/>
  <c r="DS367" i="25" s="1"/>
  <c r="DL368" i="25"/>
  <c r="DL271" i="25"/>
  <c r="DS271" i="25" s="1"/>
  <c r="DL370" i="25"/>
  <c r="DL278" i="25"/>
  <c r="DS278" i="25" s="1"/>
  <c r="DL372" i="25"/>
  <c r="DS372" i="25" s="1"/>
  <c r="DL279" i="25"/>
  <c r="DS279" i="25" s="1"/>
  <c r="DL375" i="25"/>
  <c r="DS375" i="25" s="1"/>
  <c r="DL285" i="25"/>
  <c r="DS285" i="25" s="1"/>
  <c r="DL377" i="25"/>
  <c r="DL378" i="25"/>
  <c r="DS378" i="25" s="1"/>
  <c r="DL380" i="25"/>
  <c r="DL381" i="25"/>
  <c r="DS381" i="25" s="1"/>
  <c r="DL383" i="25"/>
  <c r="DS383" i="25" s="1"/>
  <c r="DL384" i="25"/>
  <c r="DS384" i="25" s="1"/>
  <c r="DL385" i="25"/>
  <c r="DS385" i="25" s="1"/>
  <c r="DL386" i="25"/>
  <c r="DS386" i="25" s="1"/>
  <c r="DL388" i="25"/>
  <c r="DS388" i="25" s="1"/>
  <c r="DL389" i="25"/>
  <c r="DS389" i="25" s="1"/>
  <c r="DL313" i="25"/>
  <c r="DS313" i="25" s="1"/>
  <c r="DL331" i="25"/>
  <c r="DS331" i="25" s="1"/>
  <c r="DL395" i="25"/>
  <c r="DS395" i="25" s="1"/>
  <c r="DL350" i="25"/>
  <c r="DS350" i="25" s="1"/>
  <c r="DL351" i="25"/>
  <c r="DS351" i="25" s="1"/>
  <c r="DL352" i="25"/>
  <c r="DS352" i="25" s="1"/>
  <c r="DL396" i="25"/>
  <c r="DS396" i="25" s="1"/>
  <c r="DL379" i="25"/>
  <c r="DL382" i="25"/>
  <c r="DS382" i="25" s="1"/>
  <c r="DL373" i="25"/>
  <c r="DS373" i="25" s="1"/>
  <c r="DL203" i="25"/>
  <c r="DS203" i="25" s="1"/>
  <c r="DL335" i="25"/>
  <c r="DS335" i="25" s="1"/>
  <c r="DL210" i="25"/>
  <c r="DS210" i="25" s="1"/>
  <c r="DL218" i="25"/>
  <c r="DL219" i="25"/>
  <c r="DS219" i="25" s="1"/>
  <c r="DL222" i="25"/>
  <c r="DL223" i="25"/>
  <c r="DS223" i="25" s="1"/>
  <c r="DL228" i="25"/>
  <c r="DS228" i="25" s="1"/>
  <c r="DL364" i="25"/>
  <c r="DS364" i="25" s="1"/>
  <c r="DL250" i="25"/>
  <c r="DS250" i="25" s="1"/>
  <c r="DL254" i="25"/>
  <c r="DS254" i="25" s="1"/>
  <c r="DL269" i="25"/>
  <c r="DL369" i="25"/>
  <c r="DS369" i="25" s="1"/>
  <c r="DL374" i="25"/>
  <c r="DS374" i="25" s="1"/>
  <c r="DL280" i="25"/>
  <c r="DS280" i="25" s="1"/>
  <c r="DL283" i="25"/>
  <c r="DS283" i="25" s="1"/>
  <c r="DL284" i="25"/>
  <c r="DS284" i="25" s="1"/>
  <c r="DL288" i="25"/>
  <c r="DS288" i="25" s="1"/>
  <c r="DL290" i="25"/>
  <c r="DS290" i="25" s="1"/>
  <c r="DL292" i="25"/>
  <c r="DS292" i="25" s="1"/>
  <c r="DL299" i="25"/>
  <c r="DS299" i="25" s="1"/>
  <c r="DL300" i="25"/>
  <c r="DS300" i="25" s="1"/>
  <c r="DL216" i="25"/>
  <c r="DS216" i="25" s="1"/>
  <c r="DL319" i="25"/>
  <c r="DS319" i="25" s="1"/>
  <c r="DL323" i="25"/>
  <c r="DS323" i="25" s="1"/>
  <c r="DL348" i="25"/>
  <c r="DS348" i="25" s="1"/>
  <c r="DL287" i="25"/>
  <c r="DS287" i="25" s="1"/>
  <c r="DL330" i="25"/>
  <c r="DS330" i="25" s="1"/>
  <c r="DL339" i="25"/>
  <c r="DL215" i="25"/>
  <c r="DL249" i="25"/>
  <c r="DS249" i="25" s="1"/>
  <c r="DL205" i="25"/>
  <c r="DL206" i="25"/>
  <c r="DS206" i="25" s="1"/>
  <c r="DL209" i="25"/>
  <c r="DS209" i="25" s="1"/>
  <c r="DL214" i="25"/>
  <c r="DS214" i="25" s="1"/>
  <c r="DL217" i="25"/>
  <c r="DS217" i="25" s="1"/>
  <c r="DL229" i="25"/>
  <c r="DS229" i="25" s="1"/>
  <c r="DL246" i="25"/>
  <c r="DL251" i="25"/>
  <c r="DS251" i="25" s="1"/>
  <c r="DL252" i="25"/>
  <c r="DL293" i="25"/>
  <c r="DS293" i="25" s="1"/>
  <c r="DL316" i="25"/>
  <c r="DS316" i="25" s="1"/>
  <c r="DL349" i="25"/>
  <c r="DS349" i="25" s="1"/>
  <c r="DL353" i="25"/>
  <c r="DS353" i="25" s="1"/>
  <c r="DL281" i="25"/>
  <c r="DS281" i="25" s="1"/>
  <c r="DL282" i="25"/>
  <c r="DS282" i="25" s="1"/>
  <c r="DL328" i="25"/>
  <c r="DS328" i="25" s="1"/>
  <c r="DL341" i="25"/>
  <c r="DL320" i="25"/>
  <c r="DS320" i="25" s="1"/>
  <c r="DL225" i="25"/>
  <c r="DS225" i="25" s="1"/>
  <c r="DL263" i="25"/>
  <c r="DS263" i="25" s="1"/>
  <c r="DL301" i="25"/>
  <c r="DS301" i="25" s="1"/>
  <c r="DL314" i="25"/>
  <c r="DL267" i="25"/>
  <c r="DS267" i="25" s="1"/>
  <c r="DL344" i="25"/>
  <c r="DS344" i="25" s="1"/>
  <c r="DL347" i="25"/>
  <c r="DL204" i="25"/>
  <c r="DS204" i="25" s="1"/>
  <c r="DL232" i="25"/>
  <c r="DS232" i="25" s="1"/>
  <c r="DL255" i="25"/>
  <c r="DS255" i="25" s="1"/>
  <c r="DL256" i="25"/>
  <c r="DL257" i="25"/>
  <c r="DS257" i="25" s="1"/>
  <c r="DL259" i="25"/>
  <c r="DL272" i="25"/>
  <c r="DS272" i="25" s="1"/>
  <c r="DL306" i="25"/>
  <c r="DS306" i="25" s="1"/>
  <c r="DL317" i="25"/>
  <c r="DS317" i="25" s="1"/>
  <c r="DL318" i="25"/>
  <c r="DL324" i="25"/>
  <c r="DS324" i="25" s="1"/>
  <c r="DL212" i="25"/>
  <c r="DS212" i="25" s="1"/>
  <c r="DL224" i="25"/>
  <c r="DS224" i="25" s="1"/>
  <c r="DL213" i="25"/>
  <c r="DL304" i="25"/>
  <c r="DS304" i="25" s="1"/>
  <c r="DL309" i="25"/>
  <c r="DS309" i="25" s="1"/>
  <c r="DL245" i="25"/>
  <c r="DS245" i="25" s="1"/>
  <c r="DM358" i="25"/>
  <c r="DM220" i="25"/>
  <c r="DM227" i="25"/>
  <c r="DM230" i="25"/>
  <c r="DM238" i="25"/>
  <c r="DM243" i="25"/>
  <c r="DM244" i="25"/>
  <c r="DM248" i="25"/>
  <c r="DM260" i="25"/>
  <c r="DM261" i="25"/>
  <c r="DM265" i="25"/>
  <c r="DM266" i="25"/>
  <c r="DM270" i="25"/>
  <c r="DM273" i="25"/>
  <c r="DM286" i="25"/>
  <c r="DM289" i="25"/>
  <c r="DM294" i="25"/>
  <c r="DM295" i="25"/>
  <c r="DM298" i="25"/>
  <c r="DM302" i="25"/>
  <c r="DM303" i="25"/>
  <c r="DM315" i="25"/>
  <c r="DM321" i="25"/>
  <c r="DM322" i="25"/>
  <c r="DM326" i="25"/>
  <c r="DM329" i="25"/>
  <c r="DM332" i="25"/>
  <c r="DM340" i="25"/>
  <c r="DM342" i="25"/>
  <c r="DM343" i="25"/>
  <c r="DM226" i="25"/>
  <c r="DM235" i="25"/>
  <c r="DM237" i="25"/>
  <c r="DM247" i="25"/>
  <c r="DM262" i="25"/>
  <c r="DM268" i="25"/>
  <c r="DM305" i="25"/>
  <c r="DM310" i="25"/>
  <c r="DM325" i="25"/>
  <c r="DM327" i="25"/>
  <c r="DM345" i="25"/>
  <c r="DM346" i="25"/>
  <c r="DM312" i="25"/>
  <c r="DM211" i="25"/>
  <c r="DM221" i="25"/>
  <c r="DM236" i="25"/>
  <c r="DM239" i="25"/>
  <c r="DM241" i="25"/>
  <c r="DM337" i="25"/>
  <c r="DM258" i="25"/>
  <c r="DM264" i="25"/>
  <c r="DM336" i="25"/>
  <c r="DM296" i="25"/>
  <c r="DM297" i="25"/>
  <c r="DM307" i="25"/>
  <c r="DM308" i="25"/>
  <c r="DM311" i="25"/>
  <c r="DM291" i="25"/>
  <c r="DM333" i="25"/>
  <c r="DM334" i="25"/>
  <c r="DM338" i="25"/>
  <c r="DM274" i="25"/>
  <c r="DM275" i="25"/>
  <c r="DM276" i="25"/>
  <c r="DM277" i="25"/>
  <c r="DM207" i="25"/>
  <c r="DM208" i="25"/>
  <c r="DM354" i="25"/>
  <c r="DM355" i="25"/>
  <c r="DM356" i="25"/>
  <c r="DM359" i="25"/>
  <c r="DM231" i="25"/>
  <c r="DM360" i="25"/>
  <c r="DM233" i="25"/>
  <c r="DM361" i="25"/>
  <c r="DM234" i="25"/>
  <c r="DM240" i="25"/>
  <c r="DM242" i="25"/>
  <c r="DM362" i="25"/>
  <c r="DM363" i="25"/>
  <c r="DM357" i="25"/>
  <c r="DM365" i="25"/>
  <c r="DM253" i="25"/>
  <c r="DM367" i="25"/>
  <c r="DM368" i="25"/>
  <c r="DM271" i="25"/>
  <c r="DM370" i="25"/>
  <c r="DM278" i="25"/>
  <c r="DM372" i="25"/>
  <c r="DM279" i="25"/>
  <c r="DM375" i="25"/>
  <c r="DM285" i="25"/>
  <c r="DM377" i="25"/>
  <c r="DM378" i="25"/>
  <c r="DM380" i="25"/>
  <c r="DM381" i="25"/>
  <c r="DM383" i="25"/>
  <c r="DM384" i="25"/>
  <c r="DM385" i="25"/>
  <c r="DM386" i="25"/>
  <c r="DM388" i="25"/>
  <c r="DM389" i="25"/>
  <c r="DM313" i="25"/>
  <c r="DM331" i="25"/>
  <c r="DM395" i="25"/>
  <c r="DM350" i="25"/>
  <c r="DM351" i="25"/>
  <c r="DM352" i="25"/>
  <c r="DM396" i="25"/>
  <c r="DM379" i="25"/>
  <c r="DM382" i="25"/>
  <c r="DM373" i="25"/>
  <c r="DM203" i="25"/>
  <c r="DM335" i="25"/>
  <c r="DM210" i="25"/>
  <c r="DM218" i="25"/>
  <c r="DM219" i="25"/>
  <c r="DM222" i="25"/>
  <c r="DM223" i="25"/>
  <c r="DM228" i="25"/>
  <c r="DM364" i="25"/>
  <c r="DM250" i="25"/>
  <c r="DM254" i="25"/>
  <c r="DM269" i="25"/>
  <c r="DM369" i="25"/>
  <c r="DM374" i="25"/>
  <c r="DM280" i="25"/>
  <c r="DM283" i="25"/>
  <c r="DM284" i="25"/>
  <c r="DM288" i="25"/>
  <c r="DM290" i="25"/>
  <c r="DM292" i="25"/>
  <c r="DM299" i="25"/>
  <c r="DM300" i="25"/>
  <c r="DM216" i="25"/>
  <c r="DM319" i="25"/>
  <c r="DM323" i="25"/>
  <c r="DM348" i="25"/>
  <c r="DM287" i="25"/>
  <c r="DM330" i="25"/>
  <c r="DM339" i="25"/>
  <c r="DM215" i="25"/>
  <c r="DM249" i="25"/>
  <c r="DM205" i="25"/>
  <c r="DM206" i="25"/>
  <c r="DM209" i="25"/>
  <c r="DM214" i="25"/>
  <c r="DM217" i="25"/>
  <c r="DM229" i="25"/>
  <c r="DM246" i="25"/>
  <c r="DM251" i="25"/>
  <c r="DM252" i="25"/>
  <c r="DM293" i="25"/>
  <c r="DM316" i="25"/>
  <c r="DM349" i="25"/>
  <c r="DM353" i="25"/>
  <c r="DM281" i="25"/>
  <c r="DM282" i="25"/>
  <c r="DM328" i="25"/>
  <c r="DM341" i="25"/>
  <c r="DM320" i="25"/>
  <c r="DM225" i="25"/>
  <c r="DM263" i="25"/>
  <c r="DM301" i="25"/>
  <c r="DM314" i="25"/>
  <c r="DM267" i="25"/>
  <c r="DM344" i="25"/>
  <c r="DM347" i="25"/>
  <c r="DM204" i="25"/>
  <c r="DM232" i="25"/>
  <c r="DM255" i="25"/>
  <c r="DM256" i="25"/>
  <c r="DM257" i="25"/>
  <c r="DM259" i="25"/>
  <c r="DM272" i="25"/>
  <c r="DM306" i="25"/>
  <c r="DM317" i="25"/>
  <c r="DM318" i="25"/>
  <c r="DM324" i="25"/>
  <c r="DM212" i="25"/>
  <c r="DM224" i="25"/>
  <c r="DM213" i="25"/>
  <c r="DM304" i="25"/>
  <c r="DM309" i="25"/>
  <c r="DM245" i="25"/>
  <c r="DN358" i="25"/>
  <c r="DN220" i="25"/>
  <c r="DN227" i="25"/>
  <c r="DN230" i="25"/>
  <c r="DN238" i="25"/>
  <c r="DN243" i="25"/>
  <c r="DN244" i="25"/>
  <c r="DN248" i="25"/>
  <c r="DN260" i="25"/>
  <c r="DN261" i="25"/>
  <c r="DN265" i="25"/>
  <c r="DN266" i="25"/>
  <c r="DN270" i="25"/>
  <c r="DN273" i="25"/>
  <c r="DN286" i="25"/>
  <c r="DN289" i="25"/>
  <c r="DN294" i="25"/>
  <c r="DN295" i="25"/>
  <c r="DN298" i="25"/>
  <c r="DN302" i="25"/>
  <c r="DN303" i="25"/>
  <c r="DN315" i="25"/>
  <c r="DN321" i="25"/>
  <c r="DN322" i="25"/>
  <c r="DN326" i="25"/>
  <c r="DN329" i="25"/>
  <c r="DN332" i="25"/>
  <c r="DN340" i="25"/>
  <c r="DN342" i="25"/>
  <c r="DN343" i="25"/>
  <c r="DN226" i="25"/>
  <c r="DN235" i="25"/>
  <c r="DN237" i="25"/>
  <c r="DN247" i="25"/>
  <c r="DN262" i="25"/>
  <c r="DN268" i="25"/>
  <c r="DN305" i="25"/>
  <c r="DN310" i="25"/>
  <c r="DN325" i="25"/>
  <c r="DN327" i="25"/>
  <c r="DN345" i="25"/>
  <c r="DN346" i="25"/>
  <c r="DN312" i="25"/>
  <c r="DN211" i="25"/>
  <c r="DN221" i="25"/>
  <c r="DN236" i="25"/>
  <c r="DN239" i="25"/>
  <c r="DN241" i="25"/>
  <c r="DN337" i="25"/>
  <c r="DN258" i="25"/>
  <c r="DN264" i="25"/>
  <c r="DN336" i="25"/>
  <c r="DN296" i="25"/>
  <c r="DN297" i="25"/>
  <c r="DN307" i="25"/>
  <c r="DN308" i="25"/>
  <c r="DN311" i="25"/>
  <c r="DN291" i="25"/>
  <c r="DN333" i="25"/>
  <c r="DN334" i="25"/>
  <c r="DN338" i="25"/>
  <c r="DN274" i="25"/>
  <c r="DN275" i="25"/>
  <c r="DN276" i="25"/>
  <c r="DN277" i="25"/>
  <c r="DN207" i="25"/>
  <c r="DN208" i="25"/>
  <c r="DN354" i="25"/>
  <c r="DN355" i="25"/>
  <c r="DN356" i="25"/>
  <c r="DN359" i="25"/>
  <c r="DN231" i="25"/>
  <c r="DN360" i="25"/>
  <c r="DN233" i="25"/>
  <c r="DN361" i="25"/>
  <c r="DN234" i="25"/>
  <c r="DN240" i="25"/>
  <c r="DN242" i="25"/>
  <c r="DN362" i="25"/>
  <c r="DN363" i="25"/>
  <c r="DN357" i="25"/>
  <c r="DN365" i="25"/>
  <c r="DN253" i="25"/>
  <c r="DN367" i="25"/>
  <c r="DN368" i="25"/>
  <c r="DN271" i="25"/>
  <c r="DN370" i="25"/>
  <c r="DN278" i="25"/>
  <c r="DN372" i="25"/>
  <c r="DN279" i="25"/>
  <c r="DN375" i="25"/>
  <c r="DN285" i="25"/>
  <c r="DN377" i="25"/>
  <c r="DN378" i="25"/>
  <c r="DN380" i="25"/>
  <c r="DN381" i="25"/>
  <c r="DN383" i="25"/>
  <c r="DN384" i="25"/>
  <c r="DN385" i="25"/>
  <c r="DN386" i="25"/>
  <c r="DN388" i="25"/>
  <c r="DN389" i="25"/>
  <c r="DN313" i="25"/>
  <c r="DN331" i="25"/>
  <c r="DN395" i="25"/>
  <c r="DN350" i="25"/>
  <c r="DN351" i="25"/>
  <c r="DN352" i="25"/>
  <c r="DN396" i="25"/>
  <c r="DN379" i="25"/>
  <c r="DN382" i="25"/>
  <c r="DN373" i="25"/>
  <c r="DN203" i="25"/>
  <c r="DN335" i="25"/>
  <c r="DN210" i="25"/>
  <c r="DN218" i="25"/>
  <c r="DN219" i="25"/>
  <c r="DN222" i="25"/>
  <c r="DN223" i="25"/>
  <c r="DN228" i="25"/>
  <c r="DN364" i="25"/>
  <c r="DN250" i="25"/>
  <c r="DN254" i="25"/>
  <c r="DN269" i="25"/>
  <c r="DN369" i="25"/>
  <c r="DN374" i="25"/>
  <c r="DN280" i="25"/>
  <c r="DN283" i="25"/>
  <c r="DN284" i="25"/>
  <c r="DN288" i="25"/>
  <c r="DN290" i="25"/>
  <c r="DN292" i="25"/>
  <c r="DN299" i="25"/>
  <c r="DN300" i="25"/>
  <c r="DN216" i="25"/>
  <c r="DN319" i="25"/>
  <c r="DN323" i="25"/>
  <c r="DN348" i="25"/>
  <c r="DN287" i="25"/>
  <c r="DN330" i="25"/>
  <c r="DN339" i="25"/>
  <c r="DN215" i="25"/>
  <c r="DN249" i="25"/>
  <c r="DN205" i="25"/>
  <c r="DN206" i="25"/>
  <c r="DN209" i="25"/>
  <c r="DN214" i="25"/>
  <c r="DN217" i="25"/>
  <c r="DN229" i="25"/>
  <c r="DN246" i="25"/>
  <c r="DN251" i="25"/>
  <c r="DN252" i="25"/>
  <c r="DN293" i="25"/>
  <c r="DN316" i="25"/>
  <c r="DN349" i="25"/>
  <c r="DN353" i="25"/>
  <c r="DN281" i="25"/>
  <c r="DN282" i="25"/>
  <c r="DN328" i="25"/>
  <c r="DN341" i="25"/>
  <c r="DN320" i="25"/>
  <c r="DN225" i="25"/>
  <c r="DN263" i="25"/>
  <c r="DN301" i="25"/>
  <c r="DN314" i="25"/>
  <c r="DN267" i="25"/>
  <c r="DN344" i="25"/>
  <c r="DN347" i="25"/>
  <c r="DN204" i="25"/>
  <c r="DN232" i="25"/>
  <c r="DN255" i="25"/>
  <c r="DN256" i="25"/>
  <c r="DN257" i="25"/>
  <c r="DN259" i="25"/>
  <c r="DN272" i="25"/>
  <c r="DN306" i="25"/>
  <c r="DN317" i="25"/>
  <c r="DN318" i="25"/>
  <c r="DN324" i="25"/>
  <c r="DN212" i="25"/>
  <c r="DN224" i="25"/>
  <c r="DN213" i="25"/>
  <c r="DN304" i="25"/>
  <c r="DN309" i="25"/>
  <c r="DN245" i="25"/>
  <c r="DU358" i="25"/>
  <c r="DU220" i="25"/>
  <c r="DU227" i="25"/>
  <c r="DU230" i="25"/>
  <c r="DU238" i="25"/>
  <c r="DU243" i="25"/>
  <c r="DU244" i="25"/>
  <c r="DU248" i="25"/>
  <c r="DU260" i="25"/>
  <c r="DU261" i="25"/>
  <c r="DU265" i="25"/>
  <c r="DU266" i="25"/>
  <c r="DU270" i="25"/>
  <c r="DU273" i="25"/>
  <c r="DU286" i="25"/>
  <c r="DU289" i="25"/>
  <c r="DU294" i="25"/>
  <c r="DU295" i="25"/>
  <c r="DU298" i="25"/>
  <c r="DU302" i="25"/>
  <c r="DU303" i="25"/>
  <c r="DU315" i="25"/>
  <c r="DU321" i="25"/>
  <c r="DU322" i="25"/>
  <c r="DU326" i="25"/>
  <c r="DU329" i="25"/>
  <c r="DU332" i="25"/>
  <c r="DU340" i="25"/>
  <c r="DU342" i="25"/>
  <c r="DU343" i="25"/>
  <c r="DU226" i="25"/>
  <c r="DU235" i="25"/>
  <c r="DU237" i="25"/>
  <c r="DU247" i="25"/>
  <c r="DU262" i="25"/>
  <c r="DU268" i="25"/>
  <c r="DU305" i="25"/>
  <c r="DU310" i="25"/>
  <c r="DU325" i="25"/>
  <c r="DU327" i="25"/>
  <c r="DU345" i="25"/>
  <c r="DU346" i="25"/>
  <c r="DU312" i="25"/>
  <c r="DU211" i="25"/>
  <c r="DU221" i="25"/>
  <c r="DU236" i="25"/>
  <c r="DU239" i="25"/>
  <c r="DU241" i="25"/>
  <c r="DU337" i="25"/>
  <c r="DU258" i="25"/>
  <c r="DU264" i="25"/>
  <c r="DU336" i="25"/>
  <c r="DU296" i="25"/>
  <c r="DU297" i="25"/>
  <c r="DU307" i="25"/>
  <c r="DU308" i="25"/>
  <c r="DU311" i="25"/>
  <c r="DU291" i="25"/>
  <c r="DU333" i="25"/>
  <c r="DU334" i="25"/>
  <c r="DU338" i="25"/>
  <c r="DU274" i="25"/>
  <c r="DU275" i="25"/>
  <c r="DU276" i="25"/>
  <c r="DU277" i="25"/>
  <c r="DU207" i="25"/>
  <c r="DU208" i="25"/>
  <c r="DU354" i="25"/>
  <c r="DU355" i="25"/>
  <c r="DU356" i="25"/>
  <c r="DU359" i="25"/>
  <c r="DU231" i="25"/>
  <c r="DU360" i="25"/>
  <c r="DU233" i="25"/>
  <c r="DU361" i="25"/>
  <c r="DU234" i="25"/>
  <c r="DU240" i="25"/>
  <c r="DU242" i="25"/>
  <c r="DU362" i="25"/>
  <c r="DU363" i="25"/>
  <c r="DU357" i="25"/>
  <c r="DU365" i="25"/>
  <c r="DU253" i="25"/>
  <c r="DU367" i="25"/>
  <c r="DU368" i="25"/>
  <c r="DU271" i="25"/>
  <c r="DU370" i="25"/>
  <c r="DU278" i="25"/>
  <c r="DU372" i="25"/>
  <c r="DU279" i="25"/>
  <c r="DU375" i="25"/>
  <c r="DU285" i="25"/>
  <c r="DU377" i="25"/>
  <c r="DU378" i="25"/>
  <c r="DU380" i="25"/>
  <c r="DU381" i="25"/>
  <c r="DU383" i="25"/>
  <c r="DU384" i="25"/>
  <c r="DU385" i="25"/>
  <c r="DU386" i="25"/>
  <c r="DU388" i="25"/>
  <c r="DU389" i="25"/>
  <c r="DU313" i="25"/>
  <c r="DU331" i="25"/>
  <c r="DU395" i="25"/>
  <c r="DU350" i="25"/>
  <c r="DU351" i="25"/>
  <c r="DU352" i="25"/>
  <c r="DU396" i="25"/>
  <c r="DU379" i="25"/>
  <c r="DU382" i="25"/>
  <c r="DU373" i="25"/>
  <c r="DU203" i="25"/>
  <c r="DU335" i="25"/>
  <c r="DU210" i="25"/>
  <c r="DU218" i="25"/>
  <c r="DU219" i="25"/>
  <c r="DU222" i="25"/>
  <c r="DU223" i="25"/>
  <c r="DU228" i="25"/>
  <c r="DU364" i="25"/>
  <c r="DU250" i="25"/>
  <c r="DU254" i="25"/>
  <c r="DU269" i="25"/>
  <c r="DU369" i="25"/>
  <c r="DU374" i="25"/>
  <c r="DU280" i="25"/>
  <c r="DU283" i="25"/>
  <c r="DU284" i="25"/>
  <c r="DU288" i="25"/>
  <c r="DU290" i="25"/>
  <c r="DU292" i="25"/>
  <c r="DU299" i="25"/>
  <c r="DU300" i="25"/>
  <c r="DU216" i="25"/>
  <c r="DU319" i="25"/>
  <c r="DU323" i="25"/>
  <c r="DU348" i="25"/>
  <c r="DU287" i="25"/>
  <c r="DU330" i="25"/>
  <c r="DU339" i="25"/>
  <c r="DU215" i="25"/>
  <c r="DU249" i="25"/>
  <c r="DU205" i="25"/>
  <c r="DU206" i="25"/>
  <c r="DU209" i="25"/>
  <c r="DU214" i="25"/>
  <c r="DU217" i="25"/>
  <c r="DU229" i="25"/>
  <c r="DU246" i="25"/>
  <c r="DU251" i="25"/>
  <c r="DU252" i="25"/>
  <c r="DU293" i="25"/>
  <c r="DU316" i="25"/>
  <c r="DU349" i="25"/>
  <c r="DU353" i="25"/>
  <c r="DU281" i="25"/>
  <c r="DU282" i="25"/>
  <c r="DU328" i="25"/>
  <c r="DU341" i="25"/>
  <c r="DU320" i="25"/>
  <c r="DU225" i="25"/>
  <c r="DU263" i="25"/>
  <c r="DU301" i="25"/>
  <c r="DU314" i="25"/>
  <c r="DU267" i="25"/>
  <c r="DU344" i="25"/>
  <c r="DU347" i="25"/>
  <c r="DU204" i="25"/>
  <c r="DU232" i="25"/>
  <c r="DU255" i="25"/>
  <c r="DU256" i="25"/>
  <c r="DU257" i="25"/>
  <c r="DU272" i="25"/>
  <c r="DU306" i="25"/>
  <c r="DU317" i="25"/>
  <c r="DU324" i="25"/>
  <c r="DU212" i="25"/>
  <c r="DU224" i="25"/>
  <c r="DU213" i="25"/>
  <c r="DU304" i="25"/>
  <c r="DU309" i="25"/>
  <c r="DU245" i="25"/>
  <c r="DV358" i="25"/>
  <c r="DW358" i="25" s="1"/>
  <c r="DV220" i="25"/>
  <c r="DW220" i="25" s="1"/>
  <c r="DV227" i="25"/>
  <c r="DW227" i="25" s="1"/>
  <c r="DV230" i="25"/>
  <c r="DW230" i="25" s="1"/>
  <c r="DV238" i="25"/>
  <c r="DW238" i="25" s="1"/>
  <c r="DV243" i="25"/>
  <c r="DV244" i="25"/>
  <c r="DW244" i="25" s="1"/>
  <c r="DV248" i="25"/>
  <c r="DW248" i="25" s="1"/>
  <c r="DV260" i="25"/>
  <c r="DY260" i="25" s="1"/>
  <c r="DV261" i="25"/>
  <c r="DY261" i="25" s="1"/>
  <c r="DV265" i="25"/>
  <c r="DY265" i="25" s="1"/>
  <c r="DV266" i="25"/>
  <c r="DW266" i="25" s="1"/>
  <c r="DV270" i="25"/>
  <c r="DV273" i="25"/>
  <c r="DW273" i="25" s="1"/>
  <c r="DV286" i="25"/>
  <c r="DW286" i="25" s="1"/>
  <c r="DV289" i="25"/>
  <c r="DW289" i="25" s="1"/>
  <c r="DV294" i="25"/>
  <c r="DW294" i="25" s="1"/>
  <c r="DV295" i="25"/>
  <c r="DY295" i="25" s="1"/>
  <c r="DV298" i="25"/>
  <c r="DW298" i="25" s="1"/>
  <c r="DV302" i="25"/>
  <c r="DW302" i="25" s="1"/>
  <c r="DV303" i="25"/>
  <c r="DV315" i="25"/>
  <c r="DW315" i="25" s="1"/>
  <c r="DV321" i="25"/>
  <c r="DW321" i="25" s="1"/>
  <c r="DV322" i="25"/>
  <c r="DW322" i="25" s="1"/>
  <c r="DV326" i="25"/>
  <c r="DY326" i="25" s="1"/>
  <c r="DV329" i="25"/>
  <c r="DW329" i="25" s="1"/>
  <c r="DV332" i="25"/>
  <c r="DW332" i="25" s="1"/>
  <c r="DV340" i="25"/>
  <c r="DW340" i="25" s="1"/>
  <c r="DV342" i="25"/>
  <c r="DV343" i="25"/>
  <c r="DW343" i="25" s="1"/>
  <c r="DV226" i="25"/>
  <c r="DW226" i="25" s="1"/>
  <c r="DV235" i="25"/>
  <c r="DW235" i="25" s="1"/>
  <c r="DV237" i="25"/>
  <c r="DW237" i="25" s="1"/>
  <c r="DV247" i="25"/>
  <c r="DY247" i="25" s="1"/>
  <c r="DV262" i="25"/>
  <c r="DW262" i="25" s="1"/>
  <c r="DV268" i="25"/>
  <c r="DW268" i="25" s="1"/>
  <c r="DV305" i="25"/>
  <c r="DV310" i="25"/>
  <c r="DY310" i="25" s="1"/>
  <c r="DV325" i="25"/>
  <c r="DW325" i="25" s="1"/>
  <c r="DV327" i="25"/>
  <c r="DY327" i="25" s="1"/>
  <c r="DV345" i="25"/>
  <c r="DY345" i="25" s="1"/>
  <c r="DV346" i="25"/>
  <c r="DW346" i="25" s="1"/>
  <c r="DV312" i="25"/>
  <c r="DY312" i="25" s="1"/>
  <c r="DV211" i="25"/>
  <c r="DW211" i="25" s="1"/>
  <c r="DV221" i="25"/>
  <c r="DV236" i="25"/>
  <c r="DW236" i="25" s="1"/>
  <c r="DV239" i="25"/>
  <c r="DW239" i="25" s="1"/>
  <c r="DV241" i="25"/>
  <c r="DW241" i="25" s="1"/>
  <c r="DV337" i="25"/>
  <c r="DW337" i="25" s="1"/>
  <c r="DV258" i="25"/>
  <c r="DY258" i="25" s="1"/>
  <c r="DV264" i="25"/>
  <c r="DY264" i="25" s="1"/>
  <c r="DV336" i="25"/>
  <c r="DW336" i="25" s="1"/>
  <c r="DV296" i="25"/>
  <c r="DV297" i="25"/>
  <c r="DW297" i="25" s="1"/>
  <c r="DV307" i="25"/>
  <c r="DW307" i="25" s="1"/>
  <c r="DV308" i="25"/>
  <c r="DW308" i="25" s="1"/>
  <c r="DV311" i="25"/>
  <c r="DW311" i="25" s="1"/>
  <c r="DV291" i="25"/>
  <c r="DW291" i="25" s="1"/>
  <c r="DV333" i="25"/>
  <c r="DW333" i="25" s="1"/>
  <c r="DV334" i="25"/>
  <c r="DW334" i="25" s="1"/>
  <c r="DV338" i="25"/>
  <c r="DV274" i="25"/>
  <c r="DW274" i="25" s="1"/>
  <c r="DV275" i="25"/>
  <c r="DW275" i="25" s="1"/>
  <c r="DV276" i="25"/>
  <c r="DY276" i="25" s="1"/>
  <c r="DV277" i="25"/>
  <c r="DY277" i="25" s="1"/>
  <c r="DV207" i="25"/>
  <c r="DY207" i="25" s="1"/>
  <c r="DV208" i="25"/>
  <c r="DY208" i="25" s="1"/>
  <c r="DV354" i="25"/>
  <c r="DW354" i="25" s="1"/>
  <c r="DV355" i="25"/>
  <c r="DV356" i="25"/>
  <c r="DW356" i="25" s="1"/>
  <c r="DV359" i="25"/>
  <c r="DW359" i="25" s="1"/>
  <c r="DV231" i="25"/>
  <c r="DW231" i="25" s="1"/>
  <c r="DV360" i="25"/>
  <c r="DW360" i="25" s="1"/>
  <c r="DV233" i="25"/>
  <c r="DY233" i="25" s="1"/>
  <c r="DV361" i="25"/>
  <c r="DY361" i="25" s="1"/>
  <c r="DV234" i="25"/>
  <c r="DW234" i="25" s="1"/>
  <c r="DV240" i="25"/>
  <c r="DV242" i="25"/>
  <c r="DW242" i="25" s="1"/>
  <c r="DV362" i="25"/>
  <c r="DW362" i="25" s="1"/>
  <c r="DV363" i="25"/>
  <c r="DW363" i="25" s="1"/>
  <c r="DV357" i="25"/>
  <c r="DW357" i="25" s="1"/>
  <c r="DV365" i="25"/>
  <c r="DW365" i="25" s="1"/>
  <c r="DV253" i="25"/>
  <c r="DW253" i="25" s="1"/>
  <c r="DV367" i="25"/>
  <c r="DW367" i="25" s="1"/>
  <c r="DV368" i="25"/>
  <c r="DV271" i="25"/>
  <c r="DW271" i="25" s="1"/>
  <c r="DV370" i="25"/>
  <c r="DW370" i="25" s="1"/>
  <c r="DV278" i="25"/>
  <c r="DW278" i="25" s="1"/>
  <c r="DV372" i="25"/>
  <c r="DY372" i="25" s="1"/>
  <c r="DV279" i="25"/>
  <c r="DY279" i="25" s="1"/>
  <c r="DV375" i="25"/>
  <c r="DW375" i="25" s="1"/>
  <c r="DV285" i="25"/>
  <c r="DW285" i="25" s="1"/>
  <c r="DV377" i="25"/>
  <c r="DV378" i="25"/>
  <c r="DY378" i="25" s="1"/>
  <c r="DV380" i="25"/>
  <c r="DW380" i="25" s="1"/>
  <c r="DV381" i="25"/>
  <c r="DV383" i="25"/>
  <c r="DY383" i="25" s="1"/>
  <c r="DV384" i="25"/>
  <c r="DW384" i="25" s="1"/>
  <c r="DV385" i="25"/>
  <c r="DW385" i="25" s="1"/>
  <c r="DV386" i="25"/>
  <c r="DW386" i="25" s="1"/>
  <c r="DV388" i="25"/>
  <c r="DV389" i="25"/>
  <c r="DY389" i="25" s="1"/>
  <c r="DV313" i="25"/>
  <c r="DW313" i="25" s="1"/>
  <c r="DV331" i="25"/>
  <c r="DW331" i="25" s="1"/>
  <c r="DV395" i="25"/>
  <c r="DW395" i="25" s="1"/>
  <c r="DV350" i="25"/>
  <c r="DY350" i="25" s="1"/>
  <c r="DV351" i="25"/>
  <c r="DW351" i="25" s="1"/>
  <c r="DV352" i="25"/>
  <c r="DV396" i="25"/>
  <c r="DW396" i="25" s="1"/>
  <c r="DV379" i="25"/>
  <c r="DW379" i="25" s="1"/>
  <c r="DV382" i="25"/>
  <c r="DW382" i="25" s="1"/>
  <c r="DV373" i="25"/>
  <c r="DW373" i="25" s="1"/>
  <c r="DV203" i="25"/>
  <c r="DW203" i="25" s="1"/>
  <c r="DV335" i="25"/>
  <c r="DY335" i="25" s="1"/>
  <c r="DV210" i="25"/>
  <c r="DW210" i="25" s="1"/>
  <c r="DV218" i="25"/>
  <c r="DV219" i="25"/>
  <c r="DY219" i="25" s="1"/>
  <c r="DV222" i="25"/>
  <c r="DW222" i="25" s="1"/>
  <c r="DV223" i="25"/>
  <c r="DW223" i="25" s="1"/>
  <c r="DV228" i="25"/>
  <c r="DW228" i="25" s="1"/>
  <c r="DV364" i="25"/>
  <c r="DY364" i="25" s="1"/>
  <c r="DV250" i="25"/>
  <c r="DV254" i="25"/>
  <c r="DW254" i="25" s="1"/>
  <c r="DV269" i="25"/>
  <c r="DW269" i="25" s="1"/>
  <c r="DV369" i="25"/>
  <c r="DY369" i="25" s="1"/>
  <c r="DV374" i="25"/>
  <c r="DW374" i="25" s="1"/>
  <c r="DV280" i="25"/>
  <c r="DY280" i="25" s="1"/>
  <c r="DV283" i="25"/>
  <c r="DW283" i="25" s="1"/>
  <c r="DV284" i="25"/>
  <c r="DW284" i="25" s="1"/>
  <c r="DV288" i="25"/>
  <c r="DV290" i="25"/>
  <c r="DW290" i="25" s="1"/>
  <c r="DV292" i="25"/>
  <c r="DW292" i="25" s="1"/>
  <c r="DV299" i="25"/>
  <c r="DW299" i="25" s="1"/>
  <c r="DV300" i="25"/>
  <c r="DW300" i="25" s="1"/>
  <c r="DV216" i="25"/>
  <c r="DW216" i="25" s="1"/>
  <c r="DV319" i="25"/>
  <c r="DV323" i="25"/>
  <c r="DW323" i="25" s="1"/>
  <c r="DV348" i="25"/>
  <c r="DW348" i="25" s="1"/>
  <c r="DV287" i="25"/>
  <c r="DY287" i="25" s="1"/>
  <c r="DV330" i="25"/>
  <c r="DY330" i="25" s="1"/>
  <c r="DV339" i="25"/>
  <c r="DW339" i="25" s="1"/>
  <c r="DV215" i="25"/>
  <c r="DV249" i="25"/>
  <c r="DW249" i="25" s="1"/>
  <c r="DV205" i="25"/>
  <c r="DW205" i="25" s="1"/>
  <c r="DV206" i="25"/>
  <c r="DW206" i="25" s="1"/>
  <c r="DV209" i="25"/>
  <c r="DW209" i="25" s="1"/>
  <c r="DV214" i="25"/>
  <c r="DW214" i="25" s="1"/>
  <c r="DV217" i="25"/>
  <c r="DW217" i="25" s="1"/>
  <c r="DV229" i="25"/>
  <c r="DW229" i="25" s="1"/>
  <c r="DV246" i="25"/>
  <c r="DV251" i="25"/>
  <c r="DW251" i="25" s="1"/>
  <c r="DV252" i="25"/>
  <c r="DW252" i="25" s="1"/>
  <c r="DV293" i="25"/>
  <c r="DW293" i="25" s="1"/>
  <c r="DV316" i="25"/>
  <c r="DW316" i="25" s="1"/>
  <c r="DV349" i="25"/>
  <c r="DY349" i="25" s="1"/>
  <c r="DV353" i="25"/>
  <c r="DW353" i="25" s="1"/>
  <c r="DV281" i="25"/>
  <c r="DW281" i="25" s="1"/>
  <c r="DV282" i="25"/>
  <c r="DV328" i="25"/>
  <c r="DW328" i="25" s="1"/>
  <c r="DV341" i="25"/>
  <c r="DW341" i="25" s="1"/>
  <c r="DV320" i="25"/>
  <c r="DV225" i="25"/>
  <c r="DY225" i="25" s="1"/>
  <c r="DV263" i="25"/>
  <c r="DY263" i="25" s="1"/>
  <c r="DV301" i="25"/>
  <c r="DW301" i="25" s="1"/>
  <c r="DV314" i="25"/>
  <c r="DW314" i="25" s="1"/>
  <c r="DV267" i="25"/>
  <c r="DV344" i="25"/>
  <c r="DW344" i="25" s="1"/>
  <c r="DV347" i="25"/>
  <c r="DW347" i="25" s="1"/>
  <c r="DV204" i="25"/>
  <c r="DY204" i="25" s="1"/>
  <c r="DV232" i="25"/>
  <c r="DY232" i="25" s="1"/>
  <c r="DV255" i="25"/>
  <c r="DW255" i="25" s="1"/>
  <c r="DV256" i="25"/>
  <c r="DV257" i="25"/>
  <c r="DW257" i="25" s="1"/>
  <c r="DV259" i="25"/>
  <c r="DW259" i="25" s="1"/>
  <c r="DV272" i="25"/>
  <c r="DW272" i="25" s="1"/>
  <c r="DV306" i="25"/>
  <c r="DW306" i="25" s="1"/>
  <c r="DV317" i="25"/>
  <c r="DY317" i="25" s="1"/>
  <c r="DV318" i="25"/>
  <c r="DW318" i="25" s="1"/>
  <c r="DV324" i="25"/>
  <c r="DW324" i="25" s="1"/>
  <c r="DV212" i="25"/>
  <c r="DV224" i="25"/>
  <c r="DW224" i="25" s="1"/>
  <c r="DV213" i="25"/>
  <c r="DW213" i="25" s="1"/>
  <c r="DV304" i="25"/>
  <c r="DY304" i="25" s="1"/>
  <c r="DV309" i="25"/>
  <c r="DY309" i="25" s="1"/>
  <c r="DV245" i="25"/>
  <c r="DW245" i="25" s="1"/>
  <c r="DX358" i="25"/>
  <c r="DX220" i="25"/>
  <c r="DX227" i="25"/>
  <c r="DX230" i="25"/>
  <c r="DX238" i="25"/>
  <c r="DX243" i="25"/>
  <c r="DX244" i="25"/>
  <c r="DX248" i="25"/>
  <c r="DX260" i="25"/>
  <c r="DX261" i="25"/>
  <c r="DX265" i="25"/>
  <c r="DX266" i="25"/>
  <c r="DX270" i="25"/>
  <c r="DX273" i="25"/>
  <c r="DX286" i="25"/>
  <c r="DX289" i="25"/>
  <c r="DX294" i="25"/>
  <c r="DX295" i="25"/>
  <c r="DX298" i="25"/>
  <c r="DX302" i="25"/>
  <c r="DX303" i="25"/>
  <c r="DX315" i="25"/>
  <c r="DX321" i="25"/>
  <c r="DX322" i="25"/>
  <c r="DX326" i="25"/>
  <c r="DX329" i="25"/>
  <c r="DX332" i="25"/>
  <c r="DX340" i="25"/>
  <c r="DX342" i="25"/>
  <c r="DX343" i="25"/>
  <c r="DX226" i="25"/>
  <c r="DX235" i="25"/>
  <c r="DX237" i="25"/>
  <c r="DX247" i="25"/>
  <c r="DX262" i="25"/>
  <c r="DX268" i="25"/>
  <c r="DX305" i="25"/>
  <c r="DX310" i="25"/>
  <c r="DX325" i="25"/>
  <c r="DX327" i="25"/>
  <c r="DX345" i="25"/>
  <c r="DX346" i="25"/>
  <c r="DX312" i="25"/>
  <c r="DX211" i="25"/>
  <c r="DX221" i="25"/>
  <c r="DX236" i="25"/>
  <c r="DX239" i="25"/>
  <c r="DX241" i="25"/>
  <c r="DX337" i="25"/>
  <c r="DX258" i="25"/>
  <c r="DX264" i="25"/>
  <c r="DX336" i="25"/>
  <c r="DX296" i="25"/>
  <c r="DX297" i="25"/>
  <c r="DX307" i="25"/>
  <c r="DX308" i="25"/>
  <c r="DX311" i="25"/>
  <c r="DX291" i="25"/>
  <c r="DX333" i="25"/>
  <c r="DX334" i="25"/>
  <c r="DX338" i="25"/>
  <c r="DX274" i="25"/>
  <c r="DX275" i="25"/>
  <c r="DX276" i="25"/>
  <c r="DX277" i="25"/>
  <c r="DX207" i="25"/>
  <c r="DX208" i="25"/>
  <c r="DX354" i="25"/>
  <c r="DX355" i="25"/>
  <c r="DX356" i="25"/>
  <c r="DX359" i="25"/>
  <c r="DX231" i="25"/>
  <c r="DX360" i="25"/>
  <c r="DX233" i="25"/>
  <c r="DX361" i="25"/>
  <c r="DX234" i="25"/>
  <c r="DX240" i="25"/>
  <c r="DX242" i="25"/>
  <c r="DX362" i="25"/>
  <c r="DX363" i="25"/>
  <c r="DX357" i="25"/>
  <c r="DX365" i="25"/>
  <c r="DX253" i="25"/>
  <c r="DX367" i="25"/>
  <c r="DX368" i="25"/>
  <c r="DX271" i="25"/>
  <c r="DX370" i="25"/>
  <c r="DX278" i="25"/>
  <c r="DX372" i="25"/>
  <c r="DX279" i="25"/>
  <c r="DX375" i="25"/>
  <c r="DX285" i="25"/>
  <c r="DX377" i="25"/>
  <c r="DX378" i="25"/>
  <c r="DX380" i="25"/>
  <c r="DX381" i="25"/>
  <c r="DX383" i="25"/>
  <c r="DX384" i="25"/>
  <c r="DX385" i="25"/>
  <c r="DX386" i="25"/>
  <c r="DX388" i="25"/>
  <c r="DX389" i="25"/>
  <c r="DX313" i="25"/>
  <c r="DX331" i="25"/>
  <c r="DX395" i="25"/>
  <c r="DX350" i="25"/>
  <c r="DX351" i="25"/>
  <c r="DX352" i="25"/>
  <c r="DX396" i="25"/>
  <c r="DX379" i="25"/>
  <c r="DX382" i="25"/>
  <c r="DX373" i="25"/>
  <c r="DX203" i="25"/>
  <c r="DX335" i="25"/>
  <c r="DX210" i="25"/>
  <c r="DX218" i="25"/>
  <c r="DX219" i="25"/>
  <c r="DX222" i="25"/>
  <c r="DX223" i="25"/>
  <c r="DX228" i="25"/>
  <c r="DX364" i="25"/>
  <c r="DX250" i="25"/>
  <c r="DX254" i="25"/>
  <c r="DX269" i="25"/>
  <c r="DX369" i="25"/>
  <c r="DX374" i="25"/>
  <c r="DX280" i="25"/>
  <c r="DX283" i="25"/>
  <c r="DX284" i="25"/>
  <c r="DX288" i="25"/>
  <c r="DX290" i="25"/>
  <c r="DX292" i="25"/>
  <c r="DX299" i="25"/>
  <c r="DX300" i="25"/>
  <c r="DX216" i="25"/>
  <c r="DX319" i="25"/>
  <c r="DX323" i="25"/>
  <c r="DX348" i="25"/>
  <c r="DX287" i="25"/>
  <c r="DX330" i="25"/>
  <c r="DX339" i="25"/>
  <c r="DX215" i="25"/>
  <c r="DX249" i="25"/>
  <c r="DX205" i="25"/>
  <c r="DX206" i="25"/>
  <c r="DX209" i="25"/>
  <c r="DX214" i="25"/>
  <c r="DX217" i="25"/>
  <c r="DX229" i="25"/>
  <c r="DX246" i="25"/>
  <c r="DX251" i="25"/>
  <c r="DX252" i="25"/>
  <c r="DX293" i="25"/>
  <c r="DX316" i="25"/>
  <c r="DX349" i="25"/>
  <c r="DX353" i="25"/>
  <c r="DX281" i="25"/>
  <c r="DX282" i="25"/>
  <c r="DX328" i="25"/>
  <c r="DX341" i="25"/>
  <c r="DX320" i="25"/>
  <c r="DX225" i="25"/>
  <c r="DX263" i="25"/>
  <c r="DX301" i="25"/>
  <c r="DX314" i="25"/>
  <c r="DX267" i="25"/>
  <c r="DX344" i="25"/>
  <c r="DX347" i="25"/>
  <c r="DX204" i="25"/>
  <c r="DX232" i="25"/>
  <c r="DX255" i="25"/>
  <c r="DX256" i="25"/>
  <c r="DX257" i="25"/>
  <c r="DX259" i="25"/>
  <c r="DX272" i="25"/>
  <c r="DX306" i="25"/>
  <c r="DX317" i="25"/>
  <c r="DX318" i="25"/>
  <c r="DX324" i="25"/>
  <c r="DX212" i="25"/>
  <c r="DX224" i="25"/>
  <c r="DX213" i="25"/>
  <c r="DX304" i="25"/>
  <c r="DX309" i="25"/>
  <c r="DX245" i="25"/>
  <c r="DZ358" i="25"/>
  <c r="DZ220" i="25"/>
  <c r="DZ227" i="25"/>
  <c r="DZ230" i="25"/>
  <c r="DZ238" i="25"/>
  <c r="DZ243" i="25"/>
  <c r="DZ244" i="25"/>
  <c r="DZ248" i="25"/>
  <c r="DZ260" i="25"/>
  <c r="DZ261" i="25"/>
  <c r="DZ265" i="25"/>
  <c r="DZ266" i="25"/>
  <c r="DZ270" i="25"/>
  <c r="DZ273" i="25"/>
  <c r="DZ286" i="25"/>
  <c r="DZ289" i="25"/>
  <c r="DZ294" i="25"/>
  <c r="DZ295" i="25"/>
  <c r="DZ298" i="25"/>
  <c r="DZ302" i="25"/>
  <c r="DZ303" i="25"/>
  <c r="DZ315" i="25"/>
  <c r="DZ321" i="25"/>
  <c r="DZ322" i="25"/>
  <c r="DZ326" i="25"/>
  <c r="DZ329" i="25"/>
  <c r="DZ332" i="25"/>
  <c r="DZ340" i="25"/>
  <c r="DZ342" i="25"/>
  <c r="DZ343" i="25"/>
  <c r="DZ226" i="25"/>
  <c r="DZ235" i="25"/>
  <c r="DZ237" i="25"/>
  <c r="DZ247" i="25"/>
  <c r="DZ262" i="25"/>
  <c r="DZ268" i="25"/>
  <c r="DZ305" i="25"/>
  <c r="DZ310" i="25"/>
  <c r="DZ325" i="25"/>
  <c r="DZ327" i="25"/>
  <c r="DZ345" i="25"/>
  <c r="DZ346" i="25"/>
  <c r="DZ312" i="25"/>
  <c r="DZ211" i="25"/>
  <c r="DZ221" i="25"/>
  <c r="DZ236" i="25"/>
  <c r="DZ239" i="25"/>
  <c r="DZ241" i="25"/>
  <c r="DZ337" i="25"/>
  <c r="DZ258" i="25"/>
  <c r="DZ264" i="25"/>
  <c r="DZ336" i="25"/>
  <c r="DZ296" i="25"/>
  <c r="DZ297" i="25"/>
  <c r="DZ307" i="25"/>
  <c r="DZ308" i="25"/>
  <c r="DZ311" i="25"/>
  <c r="DZ291" i="25"/>
  <c r="DZ333" i="25"/>
  <c r="DZ334" i="25"/>
  <c r="DZ338" i="25"/>
  <c r="DZ274" i="25"/>
  <c r="DZ275" i="25"/>
  <c r="DZ276" i="25"/>
  <c r="DZ277" i="25"/>
  <c r="DZ207" i="25"/>
  <c r="DZ208" i="25"/>
  <c r="DZ354" i="25"/>
  <c r="DZ355" i="25"/>
  <c r="DZ356" i="25"/>
  <c r="DZ359" i="25"/>
  <c r="DZ231" i="25"/>
  <c r="DZ360" i="25"/>
  <c r="DZ233" i="25"/>
  <c r="DZ361" i="25"/>
  <c r="DZ234" i="25"/>
  <c r="DZ240" i="25"/>
  <c r="DZ242" i="25"/>
  <c r="DZ362" i="25"/>
  <c r="DZ363" i="25"/>
  <c r="DZ357" i="25"/>
  <c r="DZ365" i="25"/>
  <c r="DZ253" i="25"/>
  <c r="DZ367" i="25"/>
  <c r="DZ368" i="25"/>
  <c r="DZ271" i="25"/>
  <c r="DZ370" i="25"/>
  <c r="DZ278" i="25"/>
  <c r="DZ372" i="25"/>
  <c r="DZ279" i="25"/>
  <c r="DZ375" i="25"/>
  <c r="DZ285" i="25"/>
  <c r="DZ377" i="25"/>
  <c r="DZ378" i="25"/>
  <c r="DZ380" i="25"/>
  <c r="DZ381" i="25"/>
  <c r="DZ383" i="25"/>
  <c r="DZ384" i="25"/>
  <c r="DZ385" i="25"/>
  <c r="DZ386" i="25"/>
  <c r="DZ388" i="25"/>
  <c r="DZ389" i="25"/>
  <c r="DZ313" i="25"/>
  <c r="DZ331" i="25"/>
  <c r="DZ395" i="25"/>
  <c r="DZ350" i="25"/>
  <c r="DZ351" i="25"/>
  <c r="DZ352" i="25"/>
  <c r="DZ396" i="25"/>
  <c r="DZ379" i="25"/>
  <c r="DZ382" i="25"/>
  <c r="DZ373" i="25"/>
  <c r="DZ203" i="25"/>
  <c r="DZ335" i="25"/>
  <c r="DZ210" i="25"/>
  <c r="DZ218" i="25"/>
  <c r="DZ219" i="25"/>
  <c r="DZ222" i="25"/>
  <c r="DZ223" i="25"/>
  <c r="DZ228" i="25"/>
  <c r="DZ364" i="25"/>
  <c r="DZ250" i="25"/>
  <c r="DZ254" i="25"/>
  <c r="DZ269" i="25"/>
  <c r="DZ369" i="25"/>
  <c r="DZ374" i="25"/>
  <c r="DZ280" i="25"/>
  <c r="DZ283" i="25"/>
  <c r="DZ284" i="25"/>
  <c r="DZ288" i="25"/>
  <c r="DZ290" i="25"/>
  <c r="DZ292" i="25"/>
  <c r="DZ299" i="25"/>
  <c r="DZ300" i="25"/>
  <c r="DZ216" i="25"/>
  <c r="DZ319" i="25"/>
  <c r="DZ323" i="25"/>
  <c r="DZ348" i="25"/>
  <c r="DZ287" i="25"/>
  <c r="DZ330" i="25"/>
  <c r="DZ339" i="25"/>
  <c r="DZ215" i="25"/>
  <c r="DZ249" i="25"/>
  <c r="DZ205" i="25"/>
  <c r="DZ206" i="25"/>
  <c r="DZ209" i="25"/>
  <c r="DZ214" i="25"/>
  <c r="DZ217" i="25"/>
  <c r="DZ229" i="25"/>
  <c r="DZ246" i="25"/>
  <c r="DZ251" i="25"/>
  <c r="DZ252" i="25"/>
  <c r="DZ293" i="25"/>
  <c r="DZ316" i="25"/>
  <c r="DZ349" i="25"/>
  <c r="DZ353" i="25"/>
  <c r="DZ281" i="25"/>
  <c r="DZ282" i="25"/>
  <c r="DZ328" i="25"/>
  <c r="DZ341" i="25"/>
  <c r="DZ320" i="25"/>
  <c r="DZ225" i="25"/>
  <c r="DZ263" i="25"/>
  <c r="DZ301" i="25"/>
  <c r="DZ314" i="25"/>
  <c r="DZ267" i="25"/>
  <c r="DZ344" i="25"/>
  <c r="DZ347" i="25"/>
  <c r="DZ204" i="25"/>
  <c r="DZ232" i="25"/>
  <c r="DZ255" i="25"/>
  <c r="DZ256" i="25"/>
  <c r="DZ257" i="25"/>
  <c r="DZ259" i="25"/>
  <c r="DZ272" i="25"/>
  <c r="DZ306" i="25"/>
  <c r="DZ317" i="25"/>
  <c r="DZ318" i="25"/>
  <c r="DZ324" i="25"/>
  <c r="DZ212" i="25"/>
  <c r="DZ224" i="25"/>
  <c r="DZ213" i="25"/>
  <c r="DZ304" i="25"/>
  <c r="DZ309" i="25"/>
  <c r="DZ245" i="25"/>
  <c r="EA358" i="25"/>
  <c r="EA220" i="25"/>
  <c r="EA227" i="25"/>
  <c r="EA230" i="25"/>
  <c r="EA238" i="25"/>
  <c r="EA243" i="25"/>
  <c r="EA244" i="25"/>
  <c r="EA248" i="25"/>
  <c r="EA260" i="25"/>
  <c r="EA261" i="25"/>
  <c r="EA265" i="25"/>
  <c r="EA266" i="25"/>
  <c r="EA270" i="25"/>
  <c r="EA273" i="25"/>
  <c r="EA286" i="25"/>
  <c r="EA289" i="25"/>
  <c r="EA294" i="25"/>
  <c r="EA295" i="25"/>
  <c r="EA298" i="25"/>
  <c r="EA302" i="25"/>
  <c r="EA303" i="25"/>
  <c r="EA315" i="25"/>
  <c r="EA321" i="25"/>
  <c r="EA322" i="25"/>
  <c r="EA326" i="25"/>
  <c r="EA329" i="25"/>
  <c r="EA332" i="25"/>
  <c r="EA340" i="25"/>
  <c r="EA342" i="25"/>
  <c r="EA343" i="25"/>
  <c r="EA226" i="25"/>
  <c r="EA235" i="25"/>
  <c r="EA237" i="25"/>
  <c r="EA247" i="25"/>
  <c r="EA262" i="25"/>
  <c r="EA268" i="25"/>
  <c r="EA305" i="25"/>
  <c r="EA310" i="25"/>
  <c r="EA325" i="25"/>
  <c r="EA327" i="25"/>
  <c r="EA345" i="25"/>
  <c r="EA346" i="25"/>
  <c r="EA312" i="25"/>
  <c r="EA211" i="25"/>
  <c r="EA221" i="25"/>
  <c r="EA236" i="25"/>
  <c r="EA239" i="25"/>
  <c r="EA241" i="25"/>
  <c r="EA337" i="25"/>
  <c r="EA258" i="25"/>
  <c r="EA264" i="25"/>
  <c r="EA336" i="25"/>
  <c r="EA296" i="25"/>
  <c r="EA297" i="25"/>
  <c r="EA307" i="25"/>
  <c r="EA308" i="25"/>
  <c r="EA311" i="25"/>
  <c r="EA291" i="25"/>
  <c r="EA333" i="25"/>
  <c r="EA334" i="25"/>
  <c r="EA338" i="25"/>
  <c r="EA274" i="25"/>
  <c r="EA275" i="25"/>
  <c r="EA276" i="25"/>
  <c r="EA277" i="25"/>
  <c r="EA207" i="25"/>
  <c r="EA208" i="25"/>
  <c r="EA354" i="25"/>
  <c r="EA355" i="25"/>
  <c r="EA356" i="25"/>
  <c r="EA359" i="25"/>
  <c r="EA231" i="25"/>
  <c r="EA360" i="25"/>
  <c r="EA233" i="25"/>
  <c r="EA361" i="25"/>
  <c r="EA234" i="25"/>
  <c r="EA240" i="25"/>
  <c r="EA242" i="25"/>
  <c r="EA362" i="25"/>
  <c r="EA363" i="25"/>
  <c r="EA357" i="25"/>
  <c r="EA365" i="25"/>
  <c r="EA253" i="25"/>
  <c r="EA367" i="25"/>
  <c r="EA368" i="25"/>
  <c r="EA271" i="25"/>
  <c r="EA370" i="25"/>
  <c r="EA278" i="25"/>
  <c r="EA372" i="25"/>
  <c r="EA279" i="25"/>
  <c r="EA375" i="25"/>
  <c r="EA285" i="25"/>
  <c r="EA377" i="25"/>
  <c r="EA378" i="25"/>
  <c r="EA380" i="25"/>
  <c r="EA381" i="25"/>
  <c r="EA383" i="25"/>
  <c r="EA384" i="25"/>
  <c r="EA385" i="25"/>
  <c r="EA386" i="25"/>
  <c r="EA388" i="25"/>
  <c r="EA389" i="25"/>
  <c r="EA313" i="25"/>
  <c r="EA331" i="25"/>
  <c r="EA395" i="25"/>
  <c r="EA350" i="25"/>
  <c r="EA351" i="25"/>
  <c r="EA352" i="25"/>
  <c r="EA396" i="25"/>
  <c r="EA379" i="25"/>
  <c r="EA382" i="25"/>
  <c r="EA373" i="25"/>
  <c r="EA203" i="25"/>
  <c r="EA335" i="25"/>
  <c r="EA210" i="25"/>
  <c r="EA218" i="25"/>
  <c r="EA219" i="25"/>
  <c r="EA222" i="25"/>
  <c r="EA223" i="25"/>
  <c r="EA228" i="25"/>
  <c r="EA364" i="25"/>
  <c r="EA250" i="25"/>
  <c r="EA254" i="25"/>
  <c r="EA269" i="25"/>
  <c r="EA369" i="25"/>
  <c r="EA374" i="25"/>
  <c r="EA280" i="25"/>
  <c r="EA283" i="25"/>
  <c r="EA284" i="25"/>
  <c r="EA288" i="25"/>
  <c r="EA290" i="25"/>
  <c r="EA292" i="25"/>
  <c r="EA299" i="25"/>
  <c r="EA300" i="25"/>
  <c r="EA216" i="25"/>
  <c r="EA319" i="25"/>
  <c r="EA323" i="25"/>
  <c r="EA348" i="25"/>
  <c r="EA287" i="25"/>
  <c r="EA330" i="25"/>
  <c r="EA339" i="25"/>
  <c r="EA215" i="25"/>
  <c r="EA249" i="25"/>
  <c r="EA205" i="25"/>
  <c r="EA206" i="25"/>
  <c r="EA209" i="25"/>
  <c r="EA214" i="25"/>
  <c r="EA217" i="25"/>
  <c r="EA229" i="25"/>
  <c r="EA246" i="25"/>
  <c r="EA251" i="25"/>
  <c r="EA252" i="25"/>
  <c r="EA293" i="25"/>
  <c r="EA316" i="25"/>
  <c r="EA349" i="25"/>
  <c r="EA353" i="25"/>
  <c r="EA281" i="25"/>
  <c r="EA282" i="25"/>
  <c r="EA328" i="25"/>
  <c r="EA341" i="25"/>
  <c r="EA320" i="25"/>
  <c r="EA225" i="25"/>
  <c r="EA263" i="25"/>
  <c r="EA301" i="25"/>
  <c r="EA314" i="25"/>
  <c r="EA267" i="25"/>
  <c r="EA344" i="25"/>
  <c r="EA347" i="25"/>
  <c r="EA204" i="25"/>
  <c r="EA232" i="25"/>
  <c r="EA255" i="25"/>
  <c r="EA256" i="25"/>
  <c r="EA257" i="25"/>
  <c r="EA259" i="25"/>
  <c r="EA272" i="25"/>
  <c r="EA306" i="25"/>
  <c r="EA317" i="25"/>
  <c r="EA318" i="25"/>
  <c r="EA324" i="25"/>
  <c r="EA212" i="25"/>
  <c r="EA224" i="25"/>
  <c r="EA213" i="25"/>
  <c r="EA304" i="25"/>
  <c r="EA309" i="25"/>
  <c r="EA245" i="25"/>
  <c r="EB358" i="25"/>
  <c r="EB220" i="25"/>
  <c r="EB227" i="25"/>
  <c r="EB230" i="25"/>
  <c r="EB238" i="25"/>
  <c r="EB243" i="25"/>
  <c r="EB244" i="25"/>
  <c r="EB248" i="25"/>
  <c r="EB260" i="25"/>
  <c r="EB261" i="25"/>
  <c r="EB265" i="25"/>
  <c r="EB266" i="25"/>
  <c r="EB270" i="25"/>
  <c r="EB273" i="25"/>
  <c r="EB286" i="25"/>
  <c r="EB289" i="25"/>
  <c r="EB294" i="25"/>
  <c r="EB295" i="25"/>
  <c r="EB298" i="25"/>
  <c r="EB302" i="25"/>
  <c r="EB303" i="25"/>
  <c r="EB315" i="25"/>
  <c r="EB321" i="25"/>
  <c r="EB322" i="25"/>
  <c r="EB326" i="25"/>
  <c r="EB329" i="25"/>
  <c r="EB332" i="25"/>
  <c r="EB340" i="25"/>
  <c r="EB342" i="25"/>
  <c r="EB343" i="25"/>
  <c r="EB226" i="25"/>
  <c r="EB235" i="25"/>
  <c r="EB237" i="25"/>
  <c r="EB247" i="25"/>
  <c r="EB262" i="25"/>
  <c r="EB268" i="25"/>
  <c r="EB305" i="25"/>
  <c r="EB310" i="25"/>
  <c r="EB325" i="25"/>
  <c r="EB327" i="25"/>
  <c r="EB345" i="25"/>
  <c r="EB346" i="25"/>
  <c r="EB312" i="25"/>
  <c r="EB211" i="25"/>
  <c r="EB221" i="25"/>
  <c r="EB236" i="25"/>
  <c r="EB239" i="25"/>
  <c r="EB241" i="25"/>
  <c r="EB337" i="25"/>
  <c r="EB258" i="25"/>
  <c r="EB264" i="25"/>
  <c r="EB336" i="25"/>
  <c r="EB296" i="25"/>
  <c r="EB297" i="25"/>
  <c r="EB307" i="25"/>
  <c r="EB308" i="25"/>
  <c r="EB311" i="25"/>
  <c r="EB291" i="25"/>
  <c r="EB333" i="25"/>
  <c r="EB334" i="25"/>
  <c r="EB338" i="25"/>
  <c r="EB274" i="25"/>
  <c r="EB275" i="25"/>
  <c r="EB276" i="25"/>
  <c r="EB277" i="25"/>
  <c r="EB207" i="25"/>
  <c r="EB208" i="25"/>
  <c r="EB354" i="25"/>
  <c r="EB355" i="25"/>
  <c r="EB356" i="25"/>
  <c r="EB359" i="25"/>
  <c r="EB231" i="25"/>
  <c r="EB360" i="25"/>
  <c r="EB233" i="25"/>
  <c r="EB361" i="25"/>
  <c r="EB234" i="25"/>
  <c r="EB240" i="25"/>
  <c r="EB242" i="25"/>
  <c r="EB362" i="25"/>
  <c r="EB363" i="25"/>
  <c r="EB357" i="25"/>
  <c r="EB365" i="25"/>
  <c r="EB253" i="25"/>
  <c r="EB367" i="25"/>
  <c r="EB368" i="25"/>
  <c r="EB271" i="25"/>
  <c r="EB370" i="25"/>
  <c r="EB278" i="25"/>
  <c r="EB372" i="25"/>
  <c r="EB279" i="25"/>
  <c r="EB375" i="25"/>
  <c r="EB285" i="25"/>
  <c r="EB377" i="25"/>
  <c r="EB378" i="25"/>
  <c r="EB380" i="25"/>
  <c r="EB381" i="25"/>
  <c r="EB383" i="25"/>
  <c r="EB384" i="25"/>
  <c r="EB385" i="25"/>
  <c r="EB386" i="25"/>
  <c r="EB388" i="25"/>
  <c r="EB389" i="25"/>
  <c r="EB313" i="25"/>
  <c r="EB331" i="25"/>
  <c r="EB395" i="25"/>
  <c r="EB350" i="25"/>
  <c r="EB351" i="25"/>
  <c r="EB352" i="25"/>
  <c r="EB396" i="25"/>
  <c r="EB379" i="25"/>
  <c r="EB382" i="25"/>
  <c r="EB373" i="25"/>
  <c r="EB203" i="25"/>
  <c r="EB335" i="25"/>
  <c r="EB210" i="25"/>
  <c r="EB218" i="25"/>
  <c r="EB219" i="25"/>
  <c r="EB222" i="25"/>
  <c r="EB223" i="25"/>
  <c r="EB228" i="25"/>
  <c r="EB364" i="25"/>
  <c r="EB250" i="25"/>
  <c r="EB254" i="25"/>
  <c r="EB269" i="25"/>
  <c r="EB369" i="25"/>
  <c r="EB374" i="25"/>
  <c r="EB280" i="25"/>
  <c r="EB283" i="25"/>
  <c r="EB284" i="25"/>
  <c r="EB288" i="25"/>
  <c r="EB290" i="25"/>
  <c r="EB292" i="25"/>
  <c r="EB299" i="25"/>
  <c r="EB300" i="25"/>
  <c r="EB216" i="25"/>
  <c r="EB319" i="25"/>
  <c r="EB323" i="25"/>
  <c r="EB348" i="25"/>
  <c r="EB287" i="25"/>
  <c r="EB330" i="25"/>
  <c r="EB339" i="25"/>
  <c r="EB215" i="25"/>
  <c r="EB249" i="25"/>
  <c r="EB205" i="25"/>
  <c r="EB206" i="25"/>
  <c r="EB209" i="25"/>
  <c r="EB214" i="25"/>
  <c r="EB217" i="25"/>
  <c r="EB229" i="25"/>
  <c r="EB246" i="25"/>
  <c r="EB251" i="25"/>
  <c r="EB252" i="25"/>
  <c r="EB293" i="25"/>
  <c r="EB316" i="25"/>
  <c r="EB349" i="25"/>
  <c r="EB353" i="25"/>
  <c r="EB281" i="25"/>
  <c r="EB282" i="25"/>
  <c r="EB328" i="25"/>
  <c r="EB341" i="25"/>
  <c r="EB320" i="25"/>
  <c r="EB225" i="25"/>
  <c r="EB263" i="25"/>
  <c r="EB301" i="25"/>
  <c r="EB314" i="25"/>
  <c r="EB267" i="25"/>
  <c r="EB344" i="25"/>
  <c r="EB347" i="25"/>
  <c r="EB204" i="25"/>
  <c r="EB232" i="25"/>
  <c r="EB255" i="25"/>
  <c r="EB256" i="25"/>
  <c r="EB257" i="25"/>
  <c r="EB259" i="25"/>
  <c r="EB272" i="25"/>
  <c r="EB306" i="25"/>
  <c r="EB317" i="25"/>
  <c r="EB318" i="25"/>
  <c r="EB324" i="25"/>
  <c r="EB212" i="25"/>
  <c r="EB224" i="25"/>
  <c r="EB213" i="25"/>
  <c r="EB304" i="25"/>
  <c r="EB309" i="25"/>
  <c r="EB245" i="25"/>
  <c r="EE358" i="25"/>
  <c r="EE220" i="25"/>
  <c r="EE227" i="25"/>
  <c r="EE230" i="25"/>
  <c r="EE238" i="25"/>
  <c r="EE243" i="25"/>
  <c r="EE244" i="25"/>
  <c r="EE248" i="25"/>
  <c r="EE260" i="25"/>
  <c r="EE261" i="25"/>
  <c r="EE265" i="25"/>
  <c r="EE266" i="25"/>
  <c r="EE270" i="25"/>
  <c r="EE273" i="25"/>
  <c r="EE286" i="25"/>
  <c r="EE289" i="25"/>
  <c r="EE294" i="25"/>
  <c r="EE295" i="25"/>
  <c r="EE298" i="25"/>
  <c r="EE302" i="25"/>
  <c r="EE303" i="25"/>
  <c r="EE315" i="25"/>
  <c r="EE321" i="25"/>
  <c r="EE322" i="25"/>
  <c r="EE326" i="25"/>
  <c r="EE329" i="25"/>
  <c r="EE332" i="25"/>
  <c r="EE340" i="25"/>
  <c r="EE342" i="25"/>
  <c r="EE343" i="25"/>
  <c r="EE226" i="25"/>
  <c r="EE235" i="25"/>
  <c r="EE237" i="25"/>
  <c r="EE247" i="25"/>
  <c r="EE262" i="25"/>
  <c r="EE268" i="25"/>
  <c r="EE305" i="25"/>
  <c r="EE310" i="25"/>
  <c r="EE325" i="25"/>
  <c r="EE327" i="25"/>
  <c r="EE345" i="25"/>
  <c r="EE346" i="25"/>
  <c r="EE312" i="25"/>
  <c r="EE211" i="25"/>
  <c r="EE221" i="25"/>
  <c r="EE236" i="25"/>
  <c r="EE239" i="25"/>
  <c r="EE241" i="25"/>
  <c r="EE337" i="25"/>
  <c r="EE258" i="25"/>
  <c r="EE264" i="25"/>
  <c r="EE336" i="25"/>
  <c r="EE296" i="25"/>
  <c r="EE297" i="25"/>
  <c r="EE307" i="25"/>
  <c r="EE308" i="25"/>
  <c r="EE311" i="25"/>
  <c r="EE291" i="25"/>
  <c r="EE333" i="25"/>
  <c r="EE334" i="25"/>
  <c r="EE338" i="25"/>
  <c r="EE274" i="25"/>
  <c r="EE275" i="25"/>
  <c r="EE276" i="25"/>
  <c r="EE277" i="25"/>
  <c r="EE207" i="25"/>
  <c r="EE208" i="25"/>
  <c r="EE354" i="25"/>
  <c r="EE355" i="25"/>
  <c r="EE356" i="25"/>
  <c r="EE359" i="25"/>
  <c r="EE231" i="25"/>
  <c r="EE360" i="25"/>
  <c r="EE233" i="25"/>
  <c r="EE361" i="25"/>
  <c r="EE234" i="25"/>
  <c r="EE240" i="25"/>
  <c r="EE242" i="25"/>
  <c r="EE362" i="25"/>
  <c r="EE363" i="25"/>
  <c r="EE357" i="25"/>
  <c r="EE365" i="25"/>
  <c r="EE253" i="25"/>
  <c r="EE367" i="25"/>
  <c r="EE368" i="25"/>
  <c r="EE271" i="25"/>
  <c r="EE370" i="25"/>
  <c r="EE278" i="25"/>
  <c r="EE372" i="25"/>
  <c r="EE279" i="25"/>
  <c r="EE375" i="25"/>
  <c r="EE285" i="25"/>
  <c r="EE377" i="25"/>
  <c r="EE378" i="25"/>
  <c r="EE380" i="25"/>
  <c r="EE381" i="25"/>
  <c r="EE383" i="25"/>
  <c r="EE384" i="25"/>
  <c r="EE385" i="25"/>
  <c r="EE386" i="25"/>
  <c r="EE388" i="25"/>
  <c r="EE389" i="25"/>
  <c r="EE313" i="25"/>
  <c r="EE331" i="25"/>
  <c r="EE395" i="25"/>
  <c r="EE350" i="25"/>
  <c r="EE351" i="25"/>
  <c r="EE352" i="25"/>
  <c r="EE396" i="25"/>
  <c r="EE379" i="25"/>
  <c r="EE382" i="25"/>
  <c r="EE373" i="25"/>
  <c r="EE203" i="25"/>
  <c r="EE335" i="25"/>
  <c r="EE210" i="25"/>
  <c r="EE218" i="25"/>
  <c r="EE219" i="25"/>
  <c r="EE222" i="25"/>
  <c r="EE223" i="25"/>
  <c r="EE228" i="25"/>
  <c r="EE364" i="25"/>
  <c r="EE250" i="25"/>
  <c r="EE254" i="25"/>
  <c r="EE269" i="25"/>
  <c r="EE369" i="25"/>
  <c r="EE374" i="25"/>
  <c r="EE280" i="25"/>
  <c r="EE283" i="25"/>
  <c r="EE284" i="25"/>
  <c r="EE288" i="25"/>
  <c r="EE290" i="25"/>
  <c r="EE292" i="25"/>
  <c r="EE299" i="25"/>
  <c r="EE300" i="25"/>
  <c r="EE216" i="25"/>
  <c r="EE319" i="25"/>
  <c r="EE323" i="25"/>
  <c r="EE348" i="25"/>
  <c r="EE287" i="25"/>
  <c r="EE330" i="25"/>
  <c r="EE339" i="25"/>
  <c r="EE215" i="25"/>
  <c r="EE249" i="25"/>
  <c r="EE205" i="25"/>
  <c r="EE206" i="25"/>
  <c r="EE209" i="25"/>
  <c r="EE214" i="25"/>
  <c r="EE217" i="25"/>
  <c r="EE229" i="25"/>
  <c r="EE246" i="25"/>
  <c r="EE251" i="25"/>
  <c r="EE252" i="25"/>
  <c r="EE293" i="25"/>
  <c r="EE316" i="25"/>
  <c r="EE349" i="25"/>
  <c r="EE353" i="25"/>
  <c r="EE281" i="25"/>
  <c r="EE282" i="25"/>
  <c r="EE328" i="25"/>
  <c r="EE341" i="25"/>
  <c r="EE320" i="25"/>
  <c r="EE225" i="25"/>
  <c r="EE263" i="25"/>
  <c r="EE301" i="25"/>
  <c r="EE314" i="25"/>
  <c r="EE267" i="25"/>
  <c r="EE344" i="25"/>
  <c r="EE347" i="25"/>
  <c r="EE204" i="25"/>
  <c r="EE232" i="25"/>
  <c r="EE255" i="25"/>
  <c r="EE256" i="25"/>
  <c r="EE257" i="25"/>
  <c r="EE259" i="25"/>
  <c r="EE272" i="25"/>
  <c r="EE306" i="25"/>
  <c r="EE317" i="25"/>
  <c r="EE318" i="25"/>
  <c r="EE324" i="25"/>
  <c r="EE212" i="25"/>
  <c r="EE224" i="25"/>
  <c r="EE213" i="25"/>
  <c r="EE304" i="25"/>
  <c r="EE309" i="25"/>
  <c r="EE245" i="25"/>
  <c r="EF358" i="25"/>
  <c r="EF220" i="25"/>
  <c r="EF227" i="25"/>
  <c r="EF230" i="25"/>
  <c r="EF238" i="25"/>
  <c r="EF243" i="25"/>
  <c r="EF244" i="25"/>
  <c r="EF248" i="25"/>
  <c r="EF260" i="25"/>
  <c r="EF261" i="25"/>
  <c r="EF265" i="25"/>
  <c r="EF266" i="25"/>
  <c r="EF270" i="25"/>
  <c r="EF273" i="25"/>
  <c r="EF286" i="25"/>
  <c r="EF289" i="25"/>
  <c r="EF294" i="25"/>
  <c r="EF295" i="25"/>
  <c r="EF298" i="25"/>
  <c r="EF302" i="25"/>
  <c r="EF303" i="25"/>
  <c r="EF315" i="25"/>
  <c r="EF321" i="25"/>
  <c r="EF322" i="25"/>
  <c r="EF326" i="25"/>
  <c r="EF329" i="25"/>
  <c r="EF332" i="25"/>
  <c r="EF340" i="25"/>
  <c r="EF342" i="25"/>
  <c r="EF343" i="25"/>
  <c r="EF226" i="25"/>
  <c r="EF235" i="25"/>
  <c r="EF237" i="25"/>
  <c r="EF247" i="25"/>
  <c r="EF262" i="25"/>
  <c r="EF268" i="25"/>
  <c r="EF305" i="25"/>
  <c r="EF310" i="25"/>
  <c r="EF325" i="25"/>
  <c r="EF327" i="25"/>
  <c r="EF345" i="25"/>
  <c r="EF346" i="25"/>
  <c r="EF312" i="25"/>
  <c r="EF211" i="25"/>
  <c r="EF221" i="25"/>
  <c r="EF236" i="25"/>
  <c r="EF239" i="25"/>
  <c r="EF241" i="25"/>
  <c r="EF337" i="25"/>
  <c r="EF258" i="25"/>
  <c r="EF264" i="25"/>
  <c r="EF336" i="25"/>
  <c r="EF296" i="25"/>
  <c r="EF297" i="25"/>
  <c r="EF307" i="25"/>
  <c r="EF308" i="25"/>
  <c r="EF311" i="25"/>
  <c r="EF291" i="25"/>
  <c r="EF333" i="25"/>
  <c r="EF334" i="25"/>
  <c r="EF338" i="25"/>
  <c r="EF274" i="25"/>
  <c r="EF275" i="25"/>
  <c r="EF276" i="25"/>
  <c r="EF277" i="25"/>
  <c r="EF207" i="25"/>
  <c r="EF208" i="25"/>
  <c r="EF354" i="25"/>
  <c r="EF355" i="25"/>
  <c r="EF356" i="25"/>
  <c r="EF359" i="25"/>
  <c r="EF231" i="25"/>
  <c r="EF360" i="25"/>
  <c r="EF233" i="25"/>
  <c r="EF361" i="25"/>
  <c r="EF234" i="25"/>
  <c r="EF240" i="25"/>
  <c r="EF242" i="25"/>
  <c r="EF362" i="25"/>
  <c r="EF363" i="25"/>
  <c r="EF357" i="25"/>
  <c r="EF365" i="25"/>
  <c r="EF253" i="25"/>
  <c r="EF367" i="25"/>
  <c r="EF368" i="25"/>
  <c r="EF271" i="25"/>
  <c r="EF370" i="25"/>
  <c r="EF278" i="25"/>
  <c r="EF372" i="25"/>
  <c r="EF279" i="25"/>
  <c r="EF375" i="25"/>
  <c r="EF285" i="25"/>
  <c r="EF377" i="25"/>
  <c r="EF378" i="25"/>
  <c r="EF380" i="25"/>
  <c r="EF381" i="25"/>
  <c r="EF383" i="25"/>
  <c r="EF384" i="25"/>
  <c r="EF385" i="25"/>
  <c r="EF386" i="25"/>
  <c r="EF388" i="25"/>
  <c r="EF389" i="25"/>
  <c r="EF313" i="25"/>
  <c r="EF331" i="25"/>
  <c r="EF395" i="25"/>
  <c r="EF350" i="25"/>
  <c r="EF351" i="25"/>
  <c r="EF352" i="25"/>
  <c r="EF396" i="25"/>
  <c r="EF379" i="25"/>
  <c r="EF382" i="25"/>
  <c r="EF373" i="25"/>
  <c r="EF203" i="25"/>
  <c r="EF335" i="25"/>
  <c r="EF210" i="25"/>
  <c r="EF218" i="25"/>
  <c r="EF219" i="25"/>
  <c r="EF222" i="25"/>
  <c r="EF223" i="25"/>
  <c r="EF228" i="25"/>
  <c r="EF364" i="25"/>
  <c r="EF250" i="25"/>
  <c r="EF254" i="25"/>
  <c r="EF269" i="25"/>
  <c r="EF369" i="25"/>
  <c r="EF374" i="25"/>
  <c r="EF280" i="25"/>
  <c r="EF283" i="25"/>
  <c r="EF284" i="25"/>
  <c r="EF288" i="25"/>
  <c r="EF290" i="25"/>
  <c r="EF292" i="25"/>
  <c r="EF299" i="25"/>
  <c r="EF300" i="25"/>
  <c r="EF216" i="25"/>
  <c r="EF319" i="25"/>
  <c r="EF323" i="25"/>
  <c r="EF348" i="25"/>
  <c r="EF287" i="25"/>
  <c r="EF330" i="25"/>
  <c r="EF339" i="25"/>
  <c r="EF215" i="25"/>
  <c r="EF249" i="25"/>
  <c r="EF205" i="25"/>
  <c r="EF206" i="25"/>
  <c r="EF209" i="25"/>
  <c r="EF214" i="25"/>
  <c r="EF217" i="25"/>
  <c r="EF229" i="25"/>
  <c r="EF246" i="25"/>
  <c r="EF251" i="25"/>
  <c r="EF252" i="25"/>
  <c r="EF293" i="25"/>
  <c r="EF316" i="25"/>
  <c r="EF349" i="25"/>
  <c r="EF353" i="25"/>
  <c r="EF281" i="25"/>
  <c r="EF282" i="25"/>
  <c r="EF328" i="25"/>
  <c r="EF341" i="25"/>
  <c r="EF320" i="25"/>
  <c r="EF225" i="25"/>
  <c r="EF263" i="25"/>
  <c r="EF301" i="25"/>
  <c r="EF314" i="25"/>
  <c r="EF267" i="25"/>
  <c r="EF344" i="25"/>
  <c r="EF347" i="25"/>
  <c r="EF204" i="25"/>
  <c r="EF232" i="25"/>
  <c r="EF255" i="25"/>
  <c r="EF256" i="25"/>
  <c r="EF257" i="25"/>
  <c r="EF259" i="25"/>
  <c r="EF272" i="25"/>
  <c r="EF306" i="25"/>
  <c r="EF317" i="25"/>
  <c r="EF318" i="25"/>
  <c r="EF324" i="25"/>
  <c r="EF212" i="25"/>
  <c r="EF224" i="25"/>
  <c r="EF213" i="25"/>
  <c r="EF304" i="25"/>
  <c r="EF309" i="25"/>
  <c r="EF245" i="25"/>
  <c r="EG358" i="25"/>
  <c r="EG220" i="25"/>
  <c r="EG227" i="25"/>
  <c r="EG230" i="25"/>
  <c r="EG238" i="25"/>
  <c r="DH238" i="25" s="1"/>
  <c r="DI238" i="25" s="1"/>
  <c r="EG243" i="25"/>
  <c r="EG244" i="25"/>
  <c r="EG248" i="25"/>
  <c r="EG260" i="25"/>
  <c r="EG261" i="25"/>
  <c r="EG265" i="25"/>
  <c r="EG266" i="25"/>
  <c r="DE266" i="25" s="1"/>
  <c r="EG270" i="25"/>
  <c r="DH270" i="25" s="1"/>
  <c r="DI270" i="25" s="1"/>
  <c r="EG273" i="25"/>
  <c r="EG286" i="25"/>
  <c r="DH286" i="25" s="1"/>
  <c r="DI286" i="25" s="1"/>
  <c r="EG289" i="25"/>
  <c r="EG294" i="25"/>
  <c r="EG295" i="25"/>
  <c r="EG298" i="25"/>
  <c r="EG302" i="25"/>
  <c r="EG303" i="25"/>
  <c r="EG315" i="25"/>
  <c r="EG321" i="25"/>
  <c r="EG322" i="25"/>
  <c r="EG326" i="25"/>
  <c r="EG329" i="25"/>
  <c r="EG332" i="25"/>
  <c r="EG340" i="25"/>
  <c r="EG342" i="25"/>
  <c r="EG343" i="25"/>
  <c r="EG226" i="25"/>
  <c r="EG235" i="25"/>
  <c r="EG237" i="25"/>
  <c r="EG247" i="25"/>
  <c r="EG262" i="25"/>
  <c r="EG268" i="25"/>
  <c r="EG305" i="25"/>
  <c r="EG310" i="25"/>
  <c r="DE310" i="25" s="1"/>
  <c r="EG325" i="25"/>
  <c r="EG327" i="25"/>
  <c r="EG345" i="25"/>
  <c r="EG346" i="25"/>
  <c r="DE346" i="25" s="1"/>
  <c r="EG312" i="25"/>
  <c r="EG211" i="25"/>
  <c r="EG221" i="25"/>
  <c r="EG236" i="25"/>
  <c r="EG239" i="25"/>
  <c r="EG241" i="25"/>
  <c r="EG337" i="25"/>
  <c r="EG258" i="25"/>
  <c r="EG264" i="25"/>
  <c r="EG336" i="25"/>
  <c r="DH336" i="25" s="1"/>
  <c r="DI336" i="25" s="1"/>
  <c r="EG296" i="25"/>
  <c r="EG297" i="25"/>
  <c r="EG307" i="25"/>
  <c r="EG308" i="25"/>
  <c r="EG311" i="25"/>
  <c r="EG291" i="25"/>
  <c r="EG333" i="25"/>
  <c r="EG334" i="25"/>
  <c r="EG338" i="25"/>
  <c r="DH338" i="25" s="1"/>
  <c r="DI338" i="25" s="1"/>
  <c r="EG274" i="25"/>
  <c r="EG275" i="25"/>
  <c r="DH275" i="25" s="1"/>
  <c r="DI275" i="25" s="1"/>
  <c r="EG276" i="25"/>
  <c r="EG277" i="25"/>
  <c r="EG207" i="25"/>
  <c r="EG208" i="25"/>
  <c r="EG354" i="25"/>
  <c r="DH354" i="25" s="1"/>
  <c r="DI354" i="25" s="1"/>
  <c r="EG355" i="25"/>
  <c r="EG356" i="25"/>
  <c r="EG359" i="25"/>
  <c r="EG231" i="25"/>
  <c r="EG360" i="25"/>
  <c r="EG233" i="25"/>
  <c r="EG361" i="25"/>
  <c r="EG234" i="25"/>
  <c r="EG240" i="25"/>
  <c r="DH240" i="25" s="1"/>
  <c r="DI240" i="25" s="1"/>
  <c r="EG242" i="25"/>
  <c r="EG362" i="25"/>
  <c r="EG363" i="25"/>
  <c r="EG357" i="25"/>
  <c r="EG365" i="25"/>
  <c r="EG253" i="25"/>
  <c r="EG367" i="25"/>
  <c r="DH367" i="25" s="1"/>
  <c r="DI367" i="25" s="1"/>
  <c r="EG368" i="25"/>
  <c r="EG271" i="25"/>
  <c r="EG370" i="25"/>
  <c r="EG278" i="25"/>
  <c r="DE278" i="25" s="1"/>
  <c r="EG372" i="25"/>
  <c r="EG279" i="25"/>
  <c r="EG375" i="25"/>
  <c r="EG285" i="25"/>
  <c r="EG377" i="25"/>
  <c r="DH377" i="25" s="1"/>
  <c r="DI377" i="25" s="1"/>
  <c r="EG378" i="25"/>
  <c r="EG380" i="25"/>
  <c r="EG381" i="25"/>
  <c r="EG383" i="25"/>
  <c r="EG384" i="25"/>
  <c r="EG385" i="25"/>
  <c r="EG386" i="25"/>
  <c r="DH386" i="25" s="1"/>
  <c r="DI386" i="25" s="1"/>
  <c r="EG388" i="25"/>
  <c r="EG389" i="25"/>
  <c r="EG313" i="25"/>
  <c r="EG331" i="25"/>
  <c r="EG395" i="25"/>
  <c r="EG350" i="25"/>
  <c r="EG351" i="25"/>
  <c r="EG352" i="25"/>
  <c r="DH352" i="25" s="1"/>
  <c r="DI352" i="25" s="1"/>
  <c r="EG396" i="25"/>
  <c r="EG379" i="25"/>
  <c r="DH379" i="25" s="1"/>
  <c r="DI379" i="25" s="1"/>
  <c r="EG382" i="25"/>
  <c r="EG373" i="25"/>
  <c r="EG203" i="25"/>
  <c r="EG335" i="25"/>
  <c r="EG210" i="25"/>
  <c r="DH210" i="25" s="1"/>
  <c r="DI210" i="25" s="1"/>
  <c r="EG218" i="25"/>
  <c r="EG219" i="25"/>
  <c r="EG222" i="25"/>
  <c r="EG223" i="25"/>
  <c r="EG228" i="25"/>
  <c r="EG364" i="25"/>
  <c r="EG250" i="25"/>
  <c r="EG254" i="25"/>
  <c r="EG269" i="25"/>
  <c r="EG369" i="25"/>
  <c r="EG374" i="25"/>
  <c r="EG280" i="25"/>
  <c r="EG283" i="25"/>
  <c r="DE283" i="25" s="1"/>
  <c r="EG284" i="25"/>
  <c r="DH284" i="25" s="1"/>
  <c r="DI284" i="25" s="1"/>
  <c r="EG288" i="25"/>
  <c r="EG290" i="25"/>
  <c r="EG292" i="25"/>
  <c r="DE292" i="25" s="1"/>
  <c r="EG299" i="25"/>
  <c r="EG300" i="25"/>
  <c r="EG216" i="25"/>
  <c r="EG319" i="25"/>
  <c r="DH319" i="25" s="1"/>
  <c r="DI319" i="25" s="1"/>
  <c r="EG323" i="25"/>
  <c r="EG348" i="25"/>
  <c r="EG287" i="25"/>
  <c r="EG330" i="25"/>
  <c r="EG339" i="25"/>
  <c r="DH339" i="25" s="1"/>
  <c r="DI339" i="25" s="1"/>
  <c r="EG215" i="25"/>
  <c r="EG249" i="25"/>
  <c r="EG205" i="25"/>
  <c r="EG206" i="25"/>
  <c r="EG209" i="25"/>
  <c r="EG214" i="25"/>
  <c r="EG217" i="25"/>
  <c r="EG229" i="25"/>
  <c r="EG246" i="25"/>
  <c r="DH246" i="25" s="1"/>
  <c r="DI246" i="25" s="1"/>
  <c r="EG251" i="25"/>
  <c r="EG252" i="25"/>
  <c r="DH252" i="25" s="1"/>
  <c r="DI252" i="25" s="1"/>
  <c r="EG293" i="25"/>
  <c r="EG316" i="25"/>
  <c r="EG349" i="25"/>
  <c r="EG353" i="25"/>
  <c r="EG281" i="25"/>
  <c r="EG282" i="25"/>
  <c r="EG328" i="25"/>
  <c r="EG341" i="25"/>
  <c r="EG320" i="25"/>
  <c r="EG225" i="25"/>
  <c r="EG263" i="25"/>
  <c r="EG301" i="25"/>
  <c r="EG314" i="25"/>
  <c r="EG267" i="25"/>
  <c r="EG344" i="25"/>
  <c r="EG347" i="25"/>
  <c r="EG204" i="25"/>
  <c r="EG232" i="25"/>
  <c r="EG255" i="25"/>
  <c r="DH255" i="25" s="1"/>
  <c r="DI255" i="25" s="1"/>
  <c r="EG256" i="25"/>
  <c r="EG257" i="25"/>
  <c r="EG259" i="25"/>
  <c r="EG272" i="25"/>
  <c r="DE272" i="25" s="1"/>
  <c r="EG306" i="25"/>
  <c r="EG317" i="25"/>
  <c r="EG318" i="25"/>
  <c r="EG324" i="25"/>
  <c r="EG212" i="25"/>
  <c r="DH212" i="25" s="1"/>
  <c r="DI212" i="25" s="1"/>
  <c r="EG224" i="25"/>
  <c r="EG213" i="25"/>
  <c r="DH213" i="25" s="1"/>
  <c r="DI213" i="25" s="1"/>
  <c r="EG304" i="25"/>
  <c r="EG309" i="25"/>
  <c r="EG245" i="25"/>
  <c r="EH358" i="25"/>
  <c r="EH220" i="25"/>
  <c r="EH227" i="25"/>
  <c r="EH230" i="25"/>
  <c r="EH238" i="25"/>
  <c r="EH243" i="25"/>
  <c r="EH244" i="25"/>
  <c r="EH248" i="25"/>
  <c r="EH260" i="25"/>
  <c r="EH261" i="25"/>
  <c r="EH265" i="25"/>
  <c r="EH266" i="25"/>
  <c r="EH270" i="25"/>
  <c r="EH273" i="25"/>
  <c r="EH286" i="25"/>
  <c r="EH289" i="25"/>
  <c r="EH294" i="25"/>
  <c r="EH295" i="25"/>
  <c r="EH298" i="25"/>
  <c r="EH302" i="25"/>
  <c r="EH303" i="25"/>
  <c r="EH315" i="25"/>
  <c r="EH321" i="25"/>
  <c r="EH322" i="25"/>
  <c r="EH326" i="25"/>
  <c r="EH329" i="25"/>
  <c r="EH332" i="25"/>
  <c r="EH340" i="25"/>
  <c r="EH342" i="25"/>
  <c r="EH343" i="25"/>
  <c r="EH226" i="25"/>
  <c r="EH235" i="25"/>
  <c r="EH237" i="25"/>
  <c r="EH247" i="25"/>
  <c r="EH262" i="25"/>
  <c r="EH268" i="25"/>
  <c r="EH305" i="25"/>
  <c r="EH310" i="25"/>
  <c r="EH325" i="25"/>
  <c r="EH327" i="25"/>
  <c r="EH345" i="25"/>
  <c r="EH346" i="25"/>
  <c r="EH312" i="25"/>
  <c r="EH211" i="25"/>
  <c r="EH221" i="25"/>
  <c r="EH236" i="25"/>
  <c r="EH239" i="25"/>
  <c r="EH241" i="25"/>
  <c r="EH337" i="25"/>
  <c r="EH258" i="25"/>
  <c r="EH264" i="25"/>
  <c r="EH336" i="25"/>
  <c r="EH296" i="25"/>
  <c r="EH297" i="25"/>
  <c r="EH307" i="25"/>
  <c r="EH308" i="25"/>
  <c r="EH311" i="25"/>
  <c r="EH291" i="25"/>
  <c r="EH333" i="25"/>
  <c r="EH334" i="25"/>
  <c r="EH338" i="25"/>
  <c r="EH274" i="25"/>
  <c r="EH275" i="25"/>
  <c r="EH276" i="25"/>
  <c r="EH277" i="25"/>
  <c r="EH207" i="25"/>
  <c r="EH208" i="25"/>
  <c r="EH354" i="25"/>
  <c r="EH355" i="25"/>
  <c r="EH356" i="25"/>
  <c r="EH359" i="25"/>
  <c r="EH231" i="25"/>
  <c r="EH360" i="25"/>
  <c r="EH233" i="25"/>
  <c r="EH361" i="25"/>
  <c r="EH234" i="25"/>
  <c r="EH240" i="25"/>
  <c r="EH242" i="25"/>
  <c r="EH362" i="25"/>
  <c r="EH363" i="25"/>
  <c r="EH357" i="25"/>
  <c r="EH365" i="25"/>
  <c r="EH253" i="25"/>
  <c r="EH367" i="25"/>
  <c r="EH368" i="25"/>
  <c r="EH271" i="25"/>
  <c r="EH370" i="25"/>
  <c r="EH278" i="25"/>
  <c r="EH372" i="25"/>
  <c r="EH279" i="25"/>
  <c r="EH375" i="25"/>
  <c r="EH285" i="25"/>
  <c r="EH377" i="25"/>
  <c r="EH378" i="25"/>
  <c r="EH380" i="25"/>
  <c r="EH381" i="25"/>
  <c r="EH383" i="25"/>
  <c r="EH384" i="25"/>
  <c r="EH385" i="25"/>
  <c r="EH386" i="25"/>
  <c r="EH388" i="25"/>
  <c r="EH389" i="25"/>
  <c r="EH313" i="25"/>
  <c r="EH331" i="25"/>
  <c r="EH395" i="25"/>
  <c r="EH350" i="25"/>
  <c r="EH351" i="25"/>
  <c r="EH352" i="25"/>
  <c r="EH396" i="25"/>
  <c r="EH379" i="25"/>
  <c r="EH382" i="25"/>
  <c r="EH373" i="25"/>
  <c r="EH203" i="25"/>
  <c r="EH335" i="25"/>
  <c r="EH210" i="25"/>
  <c r="EH218" i="25"/>
  <c r="EH219" i="25"/>
  <c r="EH222" i="25"/>
  <c r="EH223" i="25"/>
  <c r="EH228" i="25"/>
  <c r="EH364" i="25"/>
  <c r="EH250" i="25"/>
  <c r="EH254" i="25"/>
  <c r="EH269" i="25"/>
  <c r="EH369" i="25"/>
  <c r="EH374" i="25"/>
  <c r="EH280" i="25"/>
  <c r="EH283" i="25"/>
  <c r="EH284" i="25"/>
  <c r="EH288" i="25"/>
  <c r="EH290" i="25"/>
  <c r="EH292" i="25"/>
  <c r="EH299" i="25"/>
  <c r="EH300" i="25"/>
  <c r="EH216" i="25"/>
  <c r="EH319" i="25"/>
  <c r="EH323" i="25"/>
  <c r="EH348" i="25"/>
  <c r="EH287" i="25"/>
  <c r="EH330" i="25"/>
  <c r="EH339" i="25"/>
  <c r="EH215" i="25"/>
  <c r="EH249" i="25"/>
  <c r="EH205" i="25"/>
  <c r="EH206" i="25"/>
  <c r="EH209" i="25"/>
  <c r="EH214" i="25"/>
  <c r="EH217" i="25"/>
  <c r="EH229" i="25"/>
  <c r="EH246" i="25"/>
  <c r="EH251" i="25"/>
  <c r="EH252" i="25"/>
  <c r="EH293" i="25"/>
  <c r="EH316" i="25"/>
  <c r="EH349" i="25"/>
  <c r="EH353" i="25"/>
  <c r="EH281" i="25"/>
  <c r="EH282" i="25"/>
  <c r="EH328" i="25"/>
  <c r="EH341" i="25"/>
  <c r="EH320" i="25"/>
  <c r="EH225" i="25"/>
  <c r="EH263" i="25"/>
  <c r="EH301" i="25"/>
  <c r="EH314" i="25"/>
  <c r="EH267" i="25"/>
  <c r="EH344" i="25"/>
  <c r="EH347" i="25"/>
  <c r="EH204" i="25"/>
  <c r="EH232" i="25"/>
  <c r="EH255" i="25"/>
  <c r="EH256" i="25"/>
  <c r="EH257" i="25"/>
  <c r="EH259" i="25"/>
  <c r="EH272" i="25"/>
  <c r="EH306" i="25"/>
  <c r="EH317" i="25"/>
  <c r="EH318" i="25"/>
  <c r="EH324" i="25"/>
  <c r="EH212" i="25"/>
  <c r="EH224" i="25"/>
  <c r="EH213" i="25"/>
  <c r="EH304" i="25"/>
  <c r="EH309" i="25"/>
  <c r="EH245" i="25"/>
  <c r="EI358" i="25"/>
  <c r="DT358" i="25" s="1"/>
  <c r="EI220" i="25"/>
  <c r="DT220" i="25" s="1"/>
  <c r="EI227" i="25"/>
  <c r="DT227" i="25" s="1"/>
  <c r="EI230" i="25"/>
  <c r="DT230" i="25" s="1"/>
  <c r="EI238" i="25"/>
  <c r="DT238" i="25" s="1"/>
  <c r="EI243" i="25"/>
  <c r="DT243" i="25" s="1"/>
  <c r="EI244" i="25"/>
  <c r="DT244" i="25" s="1"/>
  <c r="EI248" i="25"/>
  <c r="DT248" i="25" s="1"/>
  <c r="EI260" i="25"/>
  <c r="DT260" i="25" s="1"/>
  <c r="EI261" i="25"/>
  <c r="DT261" i="25" s="1"/>
  <c r="EI265" i="25"/>
  <c r="DT265" i="25" s="1"/>
  <c r="EI266" i="25"/>
  <c r="DT266" i="25" s="1"/>
  <c r="EI270" i="25"/>
  <c r="DT270" i="25" s="1"/>
  <c r="EI273" i="25"/>
  <c r="DT273" i="25" s="1"/>
  <c r="EI286" i="25"/>
  <c r="DT286" i="25" s="1"/>
  <c r="EI289" i="25"/>
  <c r="DT289" i="25" s="1"/>
  <c r="EI294" i="25"/>
  <c r="DT294" i="25" s="1"/>
  <c r="EI295" i="25"/>
  <c r="DT295" i="25" s="1"/>
  <c r="EI298" i="25"/>
  <c r="DT298" i="25" s="1"/>
  <c r="EI302" i="25"/>
  <c r="DT302" i="25" s="1"/>
  <c r="EI303" i="25"/>
  <c r="DT303" i="25" s="1"/>
  <c r="EI315" i="25"/>
  <c r="DT315" i="25" s="1"/>
  <c r="EI321" i="25"/>
  <c r="DT321" i="25" s="1"/>
  <c r="EI322" i="25"/>
  <c r="DT322" i="25" s="1"/>
  <c r="EI326" i="25"/>
  <c r="DT326" i="25" s="1"/>
  <c r="EI329" i="25"/>
  <c r="DT329" i="25" s="1"/>
  <c r="EI332" i="25"/>
  <c r="DT332" i="25" s="1"/>
  <c r="EI340" i="25"/>
  <c r="DT340" i="25" s="1"/>
  <c r="EI342" i="25"/>
  <c r="DT342" i="25" s="1"/>
  <c r="EI343" i="25"/>
  <c r="DT343" i="25" s="1"/>
  <c r="EI226" i="25"/>
  <c r="DT226" i="25" s="1"/>
  <c r="EI235" i="25"/>
  <c r="DT235" i="25" s="1"/>
  <c r="EI237" i="25"/>
  <c r="DT237" i="25" s="1"/>
  <c r="EI247" i="25"/>
  <c r="DT247" i="25" s="1"/>
  <c r="EI262" i="25"/>
  <c r="DT262" i="25" s="1"/>
  <c r="EI268" i="25"/>
  <c r="DT268" i="25" s="1"/>
  <c r="EI305" i="25"/>
  <c r="DT305" i="25" s="1"/>
  <c r="EI310" i="25"/>
  <c r="DT310" i="25" s="1"/>
  <c r="EI325" i="25"/>
  <c r="DT325" i="25" s="1"/>
  <c r="EI327" i="25"/>
  <c r="DT327" i="25" s="1"/>
  <c r="EI345" i="25"/>
  <c r="DT345" i="25" s="1"/>
  <c r="EI346" i="25"/>
  <c r="DT346" i="25" s="1"/>
  <c r="EI312" i="25"/>
  <c r="DT312" i="25" s="1"/>
  <c r="EI211" i="25"/>
  <c r="DT211" i="25" s="1"/>
  <c r="EI221" i="25"/>
  <c r="DT221" i="25" s="1"/>
  <c r="EI236" i="25"/>
  <c r="DT236" i="25" s="1"/>
  <c r="EI239" i="25"/>
  <c r="DT239" i="25" s="1"/>
  <c r="EI241" i="25"/>
  <c r="DT241" i="25" s="1"/>
  <c r="EI337" i="25"/>
  <c r="DT337" i="25" s="1"/>
  <c r="EI258" i="25"/>
  <c r="DT258" i="25" s="1"/>
  <c r="EI264" i="25"/>
  <c r="DT264" i="25" s="1"/>
  <c r="EI336" i="25"/>
  <c r="DT336" i="25" s="1"/>
  <c r="EI296" i="25"/>
  <c r="DT296" i="25" s="1"/>
  <c r="EI297" i="25"/>
  <c r="DT297" i="25" s="1"/>
  <c r="EI307" i="25"/>
  <c r="DT307" i="25" s="1"/>
  <c r="EI308" i="25"/>
  <c r="DT308" i="25" s="1"/>
  <c r="EI311" i="25"/>
  <c r="DT311" i="25" s="1"/>
  <c r="EI291" i="25"/>
  <c r="DT291" i="25" s="1"/>
  <c r="EI333" i="25"/>
  <c r="DT333" i="25" s="1"/>
  <c r="EI334" i="25"/>
  <c r="DT334" i="25" s="1"/>
  <c r="EI338" i="25"/>
  <c r="DT338" i="25" s="1"/>
  <c r="EI274" i="25"/>
  <c r="DT274" i="25" s="1"/>
  <c r="EI275" i="25"/>
  <c r="DT275" i="25" s="1"/>
  <c r="EI276" i="25"/>
  <c r="DT276" i="25" s="1"/>
  <c r="EI277" i="25"/>
  <c r="DT277" i="25" s="1"/>
  <c r="EI207" i="25"/>
  <c r="DT207" i="25" s="1"/>
  <c r="EI208" i="25"/>
  <c r="DT208" i="25" s="1"/>
  <c r="EI354" i="25"/>
  <c r="DT354" i="25" s="1"/>
  <c r="EI355" i="25"/>
  <c r="DT355" i="25" s="1"/>
  <c r="EI356" i="25"/>
  <c r="DT356" i="25" s="1"/>
  <c r="EI359" i="25"/>
  <c r="DT359" i="25" s="1"/>
  <c r="EI231" i="25"/>
  <c r="DT231" i="25" s="1"/>
  <c r="EI360" i="25"/>
  <c r="DT360" i="25" s="1"/>
  <c r="EI233" i="25"/>
  <c r="DT233" i="25" s="1"/>
  <c r="EI361" i="25"/>
  <c r="DT361" i="25" s="1"/>
  <c r="EI234" i="25"/>
  <c r="DT234" i="25" s="1"/>
  <c r="EI240" i="25"/>
  <c r="DT240" i="25" s="1"/>
  <c r="EI242" i="25"/>
  <c r="DT242" i="25" s="1"/>
  <c r="EI362" i="25"/>
  <c r="DT362" i="25" s="1"/>
  <c r="EI363" i="25"/>
  <c r="DT363" i="25" s="1"/>
  <c r="EI357" i="25"/>
  <c r="DT357" i="25" s="1"/>
  <c r="EI365" i="25"/>
  <c r="DT365" i="25" s="1"/>
  <c r="EI253" i="25"/>
  <c r="DT253" i="25" s="1"/>
  <c r="EI367" i="25"/>
  <c r="DT367" i="25" s="1"/>
  <c r="EI368" i="25"/>
  <c r="DT368" i="25" s="1"/>
  <c r="EI271" i="25"/>
  <c r="DT271" i="25" s="1"/>
  <c r="EI370" i="25"/>
  <c r="DT370" i="25" s="1"/>
  <c r="EI278" i="25"/>
  <c r="DT278" i="25" s="1"/>
  <c r="EI372" i="25"/>
  <c r="DT372" i="25" s="1"/>
  <c r="EI279" i="25"/>
  <c r="DT279" i="25" s="1"/>
  <c r="EI375" i="25"/>
  <c r="DT375" i="25" s="1"/>
  <c r="EI285" i="25"/>
  <c r="DT285" i="25" s="1"/>
  <c r="EI377" i="25"/>
  <c r="DT377" i="25" s="1"/>
  <c r="EI378" i="25"/>
  <c r="DT378" i="25" s="1"/>
  <c r="EI380" i="25"/>
  <c r="DT380" i="25" s="1"/>
  <c r="EI381" i="25"/>
  <c r="DT381" i="25" s="1"/>
  <c r="EI383" i="25"/>
  <c r="DT383" i="25" s="1"/>
  <c r="EI384" i="25"/>
  <c r="DT384" i="25" s="1"/>
  <c r="EI385" i="25"/>
  <c r="DT385" i="25" s="1"/>
  <c r="EI386" i="25"/>
  <c r="DT386" i="25" s="1"/>
  <c r="EI388" i="25"/>
  <c r="DT388" i="25" s="1"/>
  <c r="EI389" i="25"/>
  <c r="DT389" i="25" s="1"/>
  <c r="EI313" i="25"/>
  <c r="DT313" i="25" s="1"/>
  <c r="EI331" i="25"/>
  <c r="DT331" i="25" s="1"/>
  <c r="EI395" i="25"/>
  <c r="DT395" i="25" s="1"/>
  <c r="EI350" i="25"/>
  <c r="DT350" i="25" s="1"/>
  <c r="EI351" i="25"/>
  <c r="DT351" i="25" s="1"/>
  <c r="EI352" i="25"/>
  <c r="DT352" i="25" s="1"/>
  <c r="EI396" i="25"/>
  <c r="DT396" i="25" s="1"/>
  <c r="EI379" i="25"/>
  <c r="DT379" i="25" s="1"/>
  <c r="EI382" i="25"/>
  <c r="DT382" i="25" s="1"/>
  <c r="EI373" i="25"/>
  <c r="DT373" i="25" s="1"/>
  <c r="EI203" i="25"/>
  <c r="DT203" i="25" s="1"/>
  <c r="EI335" i="25"/>
  <c r="DT335" i="25" s="1"/>
  <c r="EI210" i="25"/>
  <c r="DT210" i="25" s="1"/>
  <c r="EI218" i="25"/>
  <c r="DT218" i="25" s="1"/>
  <c r="EI219" i="25"/>
  <c r="DT219" i="25" s="1"/>
  <c r="EI222" i="25"/>
  <c r="DT222" i="25" s="1"/>
  <c r="EI223" i="25"/>
  <c r="DT223" i="25" s="1"/>
  <c r="EI228" i="25"/>
  <c r="DT228" i="25" s="1"/>
  <c r="EI364" i="25"/>
  <c r="DT364" i="25" s="1"/>
  <c r="EI250" i="25"/>
  <c r="DT250" i="25" s="1"/>
  <c r="EI254" i="25"/>
  <c r="DT254" i="25" s="1"/>
  <c r="EI269" i="25"/>
  <c r="DT269" i="25" s="1"/>
  <c r="EI369" i="25"/>
  <c r="DT369" i="25" s="1"/>
  <c r="EI374" i="25"/>
  <c r="DT374" i="25" s="1"/>
  <c r="EI280" i="25"/>
  <c r="DT280" i="25" s="1"/>
  <c r="EI283" i="25"/>
  <c r="DT283" i="25" s="1"/>
  <c r="EI284" i="25"/>
  <c r="DT284" i="25" s="1"/>
  <c r="EI288" i="25"/>
  <c r="DT288" i="25" s="1"/>
  <c r="EI290" i="25"/>
  <c r="DT290" i="25" s="1"/>
  <c r="EI292" i="25"/>
  <c r="DT292" i="25" s="1"/>
  <c r="EI299" i="25"/>
  <c r="DT299" i="25" s="1"/>
  <c r="EI300" i="25"/>
  <c r="DT300" i="25" s="1"/>
  <c r="EI216" i="25"/>
  <c r="DT216" i="25" s="1"/>
  <c r="EI319" i="25"/>
  <c r="DT319" i="25" s="1"/>
  <c r="EI323" i="25"/>
  <c r="DT323" i="25" s="1"/>
  <c r="EI348" i="25"/>
  <c r="DT348" i="25" s="1"/>
  <c r="EI287" i="25"/>
  <c r="DT287" i="25" s="1"/>
  <c r="EI330" i="25"/>
  <c r="DT330" i="25" s="1"/>
  <c r="EI339" i="25"/>
  <c r="DT339" i="25" s="1"/>
  <c r="EI215" i="25"/>
  <c r="DT215" i="25" s="1"/>
  <c r="EI249" i="25"/>
  <c r="DT249" i="25" s="1"/>
  <c r="EI205" i="25"/>
  <c r="DT205" i="25" s="1"/>
  <c r="EI206" i="25"/>
  <c r="DT206" i="25" s="1"/>
  <c r="EI209" i="25"/>
  <c r="DT209" i="25" s="1"/>
  <c r="EI214" i="25"/>
  <c r="DT214" i="25" s="1"/>
  <c r="EI217" i="25"/>
  <c r="DT217" i="25" s="1"/>
  <c r="EI229" i="25"/>
  <c r="DT229" i="25" s="1"/>
  <c r="EI246" i="25"/>
  <c r="DT246" i="25" s="1"/>
  <c r="EI251" i="25"/>
  <c r="DT251" i="25" s="1"/>
  <c r="EI252" i="25"/>
  <c r="DT252" i="25" s="1"/>
  <c r="EI293" i="25"/>
  <c r="DT293" i="25" s="1"/>
  <c r="EI316" i="25"/>
  <c r="DT316" i="25" s="1"/>
  <c r="EI349" i="25"/>
  <c r="DT349" i="25" s="1"/>
  <c r="EI353" i="25"/>
  <c r="DT353" i="25" s="1"/>
  <c r="EI281" i="25"/>
  <c r="DT281" i="25" s="1"/>
  <c r="EI282" i="25"/>
  <c r="DT282" i="25" s="1"/>
  <c r="EI328" i="25"/>
  <c r="DT328" i="25" s="1"/>
  <c r="EI341" i="25"/>
  <c r="DT341" i="25" s="1"/>
  <c r="EI320" i="25"/>
  <c r="DT320" i="25" s="1"/>
  <c r="EI225" i="25"/>
  <c r="DT225" i="25" s="1"/>
  <c r="EI263" i="25"/>
  <c r="DT263" i="25" s="1"/>
  <c r="EI301" i="25"/>
  <c r="DT301" i="25" s="1"/>
  <c r="EI314" i="25"/>
  <c r="DT314" i="25" s="1"/>
  <c r="EI267" i="25"/>
  <c r="DT267" i="25" s="1"/>
  <c r="EI344" i="25"/>
  <c r="DT344" i="25" s="1"/>
  <c r="EI347" i="25"/>
  <c r="DT347" i="25" s="1"/>
  <c r="EI204" i="25"/>
  <c r="DT204" i="25" s="1"/>
  <c r="EI232" i="25"/>
  <c r="DT232" i="25" s="1"/>
  <c r="EI255" i="25"/>
  <c r="DT255" i="25" s="1"/>
  <c r="EI256" i="25"/>
  <c r="DT256" i="25" s="1"/>
  <c r="EI257" i="25"/>
  <c r="DT257" i="25" s="1"/>
  <c r="EI259" i="25"/>
  <c r="EI272" i="25"/>
  <c r="DT272" i="25" s="1"/>
  <c r="EI306" i="25"/>
  <c r="DT306" i="25" s="1"/>
  <c r="EI317" i="25"/>
  <c r="DT317" i="25" s="1"/>
  <c r="EI318" i="25"/>
  <c r="EI324" i="25"/>
  <c r="DT324" i="25" s="1"/>
  <c r="EI212" i="25"/>
  <c r="DT212" i="25" s="1"/>
  <c r="EI224" i="25"/>
  <c r="DT224" i="25" s="1"/>
  <c r="EI213" i="25"/>
  <c r="DT213" i="25" s="1"/>
  <c r="EI304" i="25"/>
  <c r="DT304" i="25" s="1"/>
  <c r="EI309" i="25"/>
  <c r="DT309" i="25" s="1"/>
  <c r="EI245" i="25"/>
  <c r="DT245" i="25" s="1"/>
  <c r="EJ358" i="25"/>
  <c r="EJ220" i="25"/>
  <c r="EJ227" i="25"/>
  <c r="EJ230" i="25"/>
  <c r="EJ238" i="25"/>
  <c r="EJ243" i="25"/>
  <c r="EJ244" i="25"/>
  <c r="EJ248" i="25"/>
  <c r="EJ260" i="25"/>
  <c r="EJ261" i="25"/>
  <c r="EJ265" i="25"/>
  <c r="EJ266" i="25"/>
  <c r="EJ270" i="25"/>
  <c r="EJ273" i="25"/>
  <c r="EJ286" i="25"/>
  <c r="EJ289" i="25"/>
  <c r="EJ294" i="25"/>
  <c r="EJ295" i="25"/>
  <c r="EJ298" i="25"/>
  <c r="EJ302" i="25"/>
  <c r="EJ303" i="25"/>
  <c r="EJ315" i="25"/>
  <c r="EJ321" i="25"/>
  <c r="EJ322" i="25"/>
  <c r="EJ326" i="25"/>
  <c r="EJ329" i="25"/>
  <c r="EJ332" i="25"/>
  <c r="EJ340" i="25"/>
  <c r="EJ342" i="25"/>
  <c r="EJ343" i="25"/>
  <c r="EJ226" i="25"/>
  <c r="EJ235" i="25"/>
  <c r="EJ237" i="25"/>
  <c r="EJ247" i="25"/>
  <c r="EJ262" i="25"/>
  <c r="EJ268" i="25"/>
  <c r="EJ305" i="25"/>
  <c r="EJ310" i="25"/>
  <c r="EJ325" i="25"/>
  <c r="EJ327" i="25"/>
  <c r="EJ345" i="25"/>
  <c r="EJ346" i="25"/>
  <c r="EJ312" i="25"/>
  <c r="EJ211" i="25"/>
  <c r="EJ221" i="25"/>
  <c r="EJ236" i="25"/>
  <c r="EJ239" i="25"/>
  <c r="EJ241" i="25"/>
  <c r="EJ337" i="25"/>
  <c r="EJ258" i="25"/>
  <c r="EJ264" i="25"/>
  <c r="EJ336" i="25"/>
  <c r="EJ296" i="25"/>
  <c r="EJ297" i="25"/>
  <c r="EJ307" i="25"/>
  <c r="EJ308" i="25"/>
  <c r="EJ311" i="25"/>
  <c r="EJ291" i="25"/>
  <c r="EJ333" i="25"/>
  <c r="EJ334" i="25"/>
  <c r="EJ338" i="25"/>
  <c r="EJ274" i="25"/>
  <c r="EJ275" i="25"/>
  <c r="EJ276" i="25"/>
  <c r="EJ277" i="25"/>
  <c r="EJ207" i="25"/>
  <c r="EJ208" i="25"/>
  <c r="EJ354" i="25"/>
  <c r="EJ355" i="25"/>
  <c r="EJ356" i="25"/>
  <c r="EJ359" i="25"/>
  <c r="EJ231" i="25"/>
  <c r="EJ360" i="25"/>
  <c r="EJ233" i="25"/>
  <c r="EJ361" i="25"/>
  <c r="EJ234" i="25"/>
  <c r="EJ240" i="25"/>
  <c r="EJ242" i="25"/>
  <c r="EJ362" i="25"/>
  <c r="EJ363" i="25"/>
  <c r="EJ357" i="25"/>
  <c r="EJ365" i="25"/>
  <c r="EJ253" i="25"/>
  <c r="EJ367" i="25"/>
  <c r="EJ368" i="25"/>
  <c r="EJ271" i="25"/>
  <c r="EJ370" i="25"/>
  <c r="EJ278" i="25"/>
  <c r="EJ372" i="25"/>
  <c r="EJ279" i="25"/>
  <c r="EJ375" i="25"/>
  <c r="EJ285" i="25"/>
  <c r="EJ377" i="25"/>
  <c r="EJ378" i="25"/>
  <c r="EJ380" i="25"/>
  <c r="EJ381" i="25"/>
  <c r="EJ383" i="25"/>
  <c r="EJ384" i="25"/>
  <c r="EJ385" i="25"/>
  <c r="EJ386" i="25"/>
  <c r="EJ388" i="25"/>
  <c r="EJ389" i="25"/>
  <c r="EJ313" i="25"/>
  <c r="EJ331" i="25"/>
  <c r="EJ395" i="25"/>
  <c r="EJ350" i="25"/>
  <c r="EJ351" i="25"/>
  <c r="EJ352" i="25"/>
  <c r="EJ396" i="25"/>
  <c r="EJ379" i="25"/>
  <c r="EJ382" i="25"/>
  <c r="EJ373" i="25"/>
  <c r="EJ203" i="25"/>
  <c r="EJ335" i="25"/>
  <c r="EJ210" i="25"/>
  <c r="EJ218" i="25"/>
  <c r="EJ219" i="25"/>
  <c r="EJ222" i="25"/>
  <c r="EJ223" i="25"/>
  <c r="EJ228" i="25"/>
  <c r="EJ364" i="25"/>
  <c r="EJ250" i="25"/>
  <c r="EJ254" i="25"/>
  <c r="EJ269" i="25"/>
  <c r="EJ369" i="25"/>
  <c r="EJ374" i="25"/>
  <c r="EJ280" i="25"/>
  <c r="EJ283" i="25"/>
  <c r="EJ284" i="25"/>
  <c r="EJ288" i="25"/>
  <c r="EJ290" i="25"/>
  <c r="EJ292" i="25"/>
  <c r="EJ299" i="25"/>
  <c r="EJ300" i="25"/>
  <c r="EJ216" i="25"/>
  <c r="EJ319" i="25"/>
  <c r="EJ323" i="25"/>
  <c r="EJ348" i="25"/>
  <c r="EJ287" i="25"/>
  <c r="EJ330" i="25"/>
  <c r="EJ339" i="25"/>
  <c r="EJ215" i="25"/>
  <c r="EJ249" i="25"/>
  <c r="EJ205" i="25"/>
  <c r="EJ206" i="25"/>
  <c r="EJ209" i="25"/>
  <c r="EJ214" i="25"/>
  <c r="EJ217" i="25"/>
  <c r="EJ229" i="25"/>
  <c r="EJ246" i="25"/>
  <c r="EJ251" i="25"/>
  <c r="EJ252" i="25"/>
  <c r="EJ293" i="25"/>
  <c r="EJ316" i="25"/>
  <c r="EJ349" i="25"/>
  <c r="EJ353" i="25"/>
  <c r="EJ281" i="25"/>
  <c r="EJ282" i="25"/>
  <c r="EJ328" i="25"/>
  <c r="EJ341" i="25"/>
  <c r="EJ320" i="25"/>
  <c r="EJ225" i="25"/>
  <c r="EJ263" i="25"/>
  <c r="EJ301" i="25"/>
  <c r="EJ314" i="25"/>
  <c r="EJ267" i="25"/>
  <c r="EJ344" i="25"/>
  <c r="EJ347" i="25"/>
  <c r="EJ204" i="25"/>
  <c r="EJ232" i="25"/>
  <c r="EJ255" i="25"/>
  <c r="EJ256" i="25"/>
  <c r="EJ257" i="25"/>
  <c r="EJ259" i="25"/>
  <c r="EJ272" i="25"/>
  <c r="EJ306" i="25"/>
  <c r="EJ317" i="25"/>
  <c r="EJ318" i="25"/>
  <c r="EJ324" i="25"/>
  <c r="EJ212" i="25"/>
  <c r="EJ224" i="25"/>
  <c r="EJ213" i="25"/>
  <c r="EJ304" i="25"/>
  <c r="EJ309" i="25"/>
  <c r="EJ245" i="25"/>
  <c r="EK358" i="25"/>
  <c r="EK220" i="25"/>
  <c r="EK227" i="25"/>
  <c r="EK230" i="25"/>
  <c r="EK238" i="25"/>
  <c r="EK243" i="25"/>
  <c r="EK244" i="25"/>
  <c r="EK248" i="25"/>
  <c r="EK260" i="25"/>
  <c r="EK261" i="25"/>
  <c r="EK265" i="25"/>
  <c r="EK266" i="25"/>
  <c r="EK270" i="25"/>
  <c r="EK273" i="25"/>
  <c r="EK286" i="25"/>
  <c r="EK289" i="25"/>
  <c r="EK294" i="25"/>
  <c r="EK295" i="25"/>
  <c r="EK298" i="25"/>
  <c r="EK302" i="25"/>
  <c r="EK303" i="25"/>
  <c r="EK315" i="25"/>
  <c r="EK321" i="25"/>
  <c r="EK322" i="25"/>
  <c r="EK326" i="25"/>
  <c r="EK329" i="25"/>
  <c r="EK332" i="25"/>
  <c r="EK340" i="25"/>
  <c r="EK342" i="25"/>
  <c r="EK343" i="25"/>
  <c r="EK226" i="25"/>
  <c r="EK235" i="25"/>
  <c r="EK237" i="25"/>
  <c r="EK247" i="25"/>
  <c r="EK262" i="25"/>
  <c r="EK268" i="25"/>
  <c r="EK305" i="25"/>
  <c r="EK310" i="25"/>
  <c r="EK325" i="25"/>
  <c r="EK327" i="25"/>
  <c r="EK345" i="25"/>
  <c r="EK346" i="25"/>
  <c r="EK312" i="25"/>
  <c r="EK211" i="25"/>
  <c r="EK221" i="25"/>
  <c r="EK236" i="25"/>
  <c r="EK239" i="25"/>
  <c r="EK241" i="25"/>
  <c r="EK337" i="25"/>
  <c r="EK258" i="25"/>
  <c r="EK264" i="25"/>
  <c r="EK336" i="25"/>
  <c r="EK296" i="25"/>
  <c r="EK297" i="25"/>
  <c r="EK307" i="25"/>
  <c r="EK308" i="25"/>
  <c r="EK311" i="25"/>
  <c r="EK291" i="25"/>
  <c r="EK333" i="25"/>
  <c r="EK334" i="25"/>
  <c r="EK338" i="25"/>
  <c r="EK274" i="25"/>
  <c r="EK275" i="25"/>
  <c r="EK276" i="25"/>
  <c r="EK277" i="25"/>
  <c r="EK207" i="25"/>
  <c r="EK208" i="25"/>
  <c r="EK354" i="25"/>
  <c r="EK355" i="25"/>
  <c r="EK356" i="25"/>
  <c r="EK359" i="25"/>
  <c r="EK231" i="25"/>
  <c r="EK360" i="25"/>
  <c r="EK233" i="25"/>
  <c r="EK361" i="25"/>
  <c r="EK234" i="25"/>
  <c r="EK240" i="25"/>
  <c r="EK242" i="25"/>
  <c r="EK362" i="25"/>
  <c r="EK363" i="25"/>
  <c r="EK357" i="25"/>
  <c r="EK365" i="25"/>
  <c r="EK253" i="25"/>
  <c r="EK367" i="25"/>
  <c r="EK368" i="25"/>
  <c r="EK271" i="25"/>
  <c r="EK370" i="25"/>
  <c r="EK278" i="25"/>
  <c r="EK372" i="25"/>
  <c r="EK279" i="25"/>
  <c r="EK375" i="25"/>
  <c r="EK285" i="25"/>
  <c r="EK377" i="25"/>
  <c r="EK378" i="25"/>
  <c r="EK380" i="25"/>
  <c r="EK381" i="25"/>
  <c r="EK383" i="25"/>
  <c r="EK384" i="25"/>
  <c r="EK385" i="25"/>
  <c r="EK386" i="25"/>
  <c r="EK388" i="25"/>
  <c r="EK389" i="25"/>
  <c r="EK313" i="25"/>
  <c r="EK331" i="25"/>
  <c r="EK395" i="25"/>
  <c r="EK350" i="25"/>
  <c r="EK351" i="25"/>
  <c r="EK352" i="25"/>
  <c r="EK396" i="25"/>
  <c r="EK379" i="25"/>
  <c r="EK382" i="25"/>
  <c r="EK373" i="25"/>
  <c r="EK203" i="25"/>
  <c r="EK335" i="25"/>
  <c r="EK210" i="25"/>
  <c r="EK218" i="25"/>
  <c r="EK219" i="25"/>
  <c r="EK222" i="25"/>
  <c r="EK223" i="25"/>
  <c r="EK228" i="25"/>
  <c r="EK364" i="25"/>
  <c r="EK250" i="25"/>
  <c r="EK254" i="25"/>
  <c r="EK269" i="25"/>
  <c r="EK369" i="25"/>
  <c r="EK374" i="25"/>
  <c r="EK280" i="25"/>
  <c r="EK283" i="25"/>
  <c r="EK284" i="25"/>
  <c r="EK288" i="25"/>
  <c r="EK290" i="25"/>
  <c r="EK292" i="25"/>
  <c r="EK299" i="25"/>
  <c r="EK300" i="25"/>
  <c r="EK216" i="25"/>
  <c r="EK319" i="25"/>
  <c r="EK323" i="25"/>
  <c r="EK348" i="25"/>
  <c r="EK287" i="25"/>
  <c r="EK330" i="25"/>
  <c r="EK339" i="25"/>
  <c r="EK215" i="25"/>
  <c r="EK249" i="25"/>
  <c r="EK205" i="25"/>
  <c r="EK206" i="25"/>
  <c r="EK209" i="25"/>
  <c r="EK214" i="25"/>
  <c r="EK217" i="25"/>
  <c r="EK229" i="25"/>
  <c r="EK246" i="25"/>
  <c r="EK251" i="25"/>
  <c r="EK252" i="25"/>
  <c r="EK293" i="25"/>
  <c r="EK316" i="25"/>
  <c r="EK349" i="25"/>
  <c r="EK353" i="25"/>
  <c r="EK281" i="25"/>
  <c r="EK282" i="25"/>
  <c r="EK328" i="25"/>
  <c r="EK341" i="25"/>
  <c r="EK320" i="25"/>
  <c r="EK225" i="25"/>
  <c r="EK263" i="25"/>
  <c r="EK301" i="25"/>
  <c r="EK314" i="25"/>
  <c r="EK267" i="25"/>
  <c r="EK344" i="25"/>
  <c r="EK347" i="25"/>
  <c r="EK204" i="25"/>
  <c r="EK232" i="25"/>
  <c r="EK255" i="25"/>
  <c r="EK256" i="25"/>
  <c r="EK257" i="25"/>
  <c r="EK259" i="25"/>
  <c r="EK272" i="25"/>
  <c r="EK306" i="25"/>
  <c r="EK317" i="25"/>
  <c r="EK318" i="25"/>
  <c r="EK324" i="25"/>
  <c r="EK212" i="25"/>
  <c r="EK224" i="25"/>
  <c r="EK213" i="25"/>
  <c r="EK304" i="25"/>
  <c r="EK309" i="25"/>
  <c r="EK245" i="25"/>
  <c r="EL358" i="25"/>
  <c r="EL220" i="25"/>
  <c r="EL227" i="25"/>
  <c r="EL230" i="25"/>
  <c r="EL238" i="25"/>
  <c r="EL243" i="25"/>
  <c r="EL244" i="25"/>
  <c r="EL248" i="25"/>
  <c r="EL260" i="25"/>
  <c r="EL261" i="25"/>
  <c r="EL265" i="25"/>
  <c r="EL266" i="25"/>
  <c r="EL270" i="25"/>
  <c r="EL273" i="25"/>
  <c r="EL286" i="25"/>
  <c r="EL289" i="25"/>
  <c r="EL294" i="25"/>
  <c r="EL295" i="25"/>
  <c r="EL298" i="25"/>
  <c r="EL302" i="25"/>
  <c r="EL303" i="25"/>
  <c r="EL315" i="25"/>
  <c r="EL321" i="25"/>
  <c r="EL322" i="25"/>
  <c r="EL326" i="25"/>
  <c r="EL329" i="25"/>
  <c r="EL332" i="25"/>
  <c r="EL340" i="25"/>
  <c r="EL342" i="25"/>
  <c r="EL343" i="25"/>
  <c r="EL226" i="25"/>
  <c r="EL235" i="25"/>
  <c r="EL237" i="25"/>
  <c r="EL247" i="25"/>
  <c r="EL262" i="25"/>
  <c r="EL268" i="25"/>
  <c r="EL305" i="25"/>
  <c r="EL310" i="25"/>
  <c r="EL325" i="25"/>
  <c r="EL327" i="25"/>
  <c r="EL345" i="25"/>
  <c r="EL346" i="25"/>
  <c r="EL312" i="25"/>
  <c r="EL211" i="25"/>
  <c r="EL221" i="25"/>
  <c r="EL236" i="25"/>
  <c r="EL239" i="25"/>
  <c r="EL241" i="25"/>
  <c r="EL337" i="25"/>
  <c r="EL258" i="25"/>
  <c r="EL264" i="25"/>
  <c r="EL336" i="25"/>
  <c r="EL296" i="25"/>
  <c r="EL297" i="25"/>
  <c r="EL307" i="25"/>
  <c r="EL308" i="25"/>
  <c r="EL311" i="25"/>
  <c r="EL291" i="25"/>
  <c r="EL333" i="25"/>
  <c r="EL334" i="25"/>
  <c r="EL338" i="25"/>
  <c r="EL274" i="25"/>
  <c r="EL275" i="25"/>
  <c r="EL276" i="25"/>
  <c r="EL277" i="25"/>
  <c r="EL207" i="25"/>
  <c r="EL208" i="25"/>
  <c r="EL354" i="25"/>
  <c r="EL355" i="25"/>
  <c r="EL356" i="25"/>
  <c r="EL359" i="25"/>
  <c r="EL231" i="25"/>
  <c r="EL360" i="25"/>
  <c r="EL233" i="25"/>
  <c r="EL361" i="25"/>
  <c r="EL234" i="25"/>
  <c r="EL240" i="25"/>
  <c r="EL242" i="25"/>
  <c r="EL362" i="25"/>
  <c r="EL363" i="25"/>
  <c r="EL357" i="25"/>
  <c r="EL365" i="25"/>
  <c r="EL253" i="25"/>
  <c r="EL367" i="25"/>
  <c r="EL368" i="25"/>
  <c r="EL271" i="25"/>
  <c r="EL370" i="25"/>
  <c r="EL278" i="25"/>
  <c r="EL372" i="25"/>
  <c r="EL279" i="25"/>
  <c r="EL375" i="25"/>
  <c r="EL285" i="25"/>
  <c r="EL377" i="25"/>
  <c r="EL378" i="25"/>
  <c r="EL380" i="25"/>
  <c r="EL381" i="25"/>
  <c r="EL383" i="25"/>
  <c r="EL384" i="25"/>
  <c r="EL385" i="25"/>
  <c r="EL386" i="25"/>
  <c r="EL388" i="25"/>
  <c r="EL389" i="25"/>
  <c r="EL313" i="25"/>
  <c r="EL331" i="25"/>
  <c r="EL395" i="25"/>
  <c r="EL350" i="25"/>
  <c r="EL351" i="25"/>
  <c r="EL352" i="25"/>
  <c r="EL396" i="25"/>
  <c r="EL379" i="25"/>
  <c r="EL382" i="25"/>
  <c r="EL373" i="25"/>
  <c r="EL203" i="25"/>
  <c r="EL335" i="25"/>
  <c r="EL210" i="25"/>
  <c r="EL218" i="25"/>
  <c r="EL219" i="25"/>
  <c r="EL222" i="25"/>
  <c r="EL223" i="25"/>
  <c r="EL228" i="25"/>
  <c r="EL364" i="25"/>
  <c r="EL250" i="25"/>
  <c r="EL254" i="25"/>
  <c r="EL269" i="25"/>
  <c r="EL369" i="25"/>
  <c r="EL374" i="25"/>
  <c r="EL280" i="25"/>
  <c r="EL283" i="25"/>
  <c r="EL284" i="25"/>
  <c r="EL288" i="25"/>
  <c r="EL290" i="25"/>
  <c r="EL292" i="25"/>
  <c r="EL299" i="25"/>
  <c r="EL300" i="25"/>
  <c r="EL216" i="25"/>
  <c r="EL319" i="25"/>
  <c r="EL323" i="25"/>
  <c r="EL348" i="25"/>
  <c r="EL287" i="25"/>
  <c r="EL330" i="25"/>
  <c r="EL339" i="25"/>
  <c r="EL215" i="25"/>
  <c r="EL249" i="25"/>
  <c r="EL205" i="25"/>
  <c r="EL206" i="25"/>
  <c r="EL209" i="25"/>
  <c r="EL214" i="25"/>
  <c r="EL217" i="25"/>
  <c r="EL229" i="25"/>
  <c r="EL246" i="25"/>
  <c r="EL251" i="25"/>
  <c r="EL252" i="25"/>
  <c r="EL293" i="25"/>
  <c r="EL316" i="25"/>
  <c r="EL349" i="25"/>
  <c r="EL353" i="25"/>
  <c r="EL281" i="25"/>
  <c r="EL282" i="25"/>
  <c r="EL328" i="25"/>
  <c r="EL341" i="25"/>
  <c r="EL320" i="25"/>
  <c r="EL225" i="25"/>
  <c r="EL263" i="25"/>
  <c r="EL301" i="25"/>
  <c r="EL314" i="25"/>
  <c r="EL267" i="25"/>
  <c r="EL344" i="25"/>
  <c r="EL347" i="25"/>
  <c r="EL204" i="25"/>
  <c r="EL232" i="25"/>
  <c r="EL255" i="25"/>
  <c r="EL256" i="25"/>
  <c r="EL257" i="25"/>
  <c r="EL259" i="25"/>
  <c r="EL272" i="25"/>
  <c r="EL306" i="25"/>
  <c r="EL317" i="25"/>
  <c r="EL318" i="25"/>
  <c r="EL324" i="25"/>
  <c r="EL212" i="25"/>
  <c r="EL224" i="25"/>
  <c r="EL213" i="25"/>
  <c r="EL304" i="25"/>
  <c r="EL309" i="25"/>
  <c r="EL245" i="25"/>
  <c r="EM358" i="25"/>
  <c r="EM220" i="25"/>
  <c r="EM227" i="25"/>
  <c r="EM230" i="25"/>
  <c r="EM238" i="25"/>
  <c r="EM243" i="25"/>
  <c r="EM244" i="25"/>
  <c r="EM248" i="25"/>
  <c r="EM260" i="25"/>
  <c r="EM261" i="25"/>
  <c r="EM265" i="25"/>
  <c r="EM266" i="25"/>
  <c r="EM270" i="25"/>
  <c r="EM273" i="25"/>
  <c r="EM286" i="25"/>
  <c r="EM289" i="25"/>
  <c r="EM294" i="25"/>
  <c r="EM295" i="25"/>
  <c r="EM298" i="25"/>
  <c r="EM302" i="25"/>
  <c r="EM303" i="25"/>
  <c r="EM315" i="25"/>
  <c r="EM321" i="25"/>
  <c r="EM322" i="25"/>
  <c r="EM326" i="25"/>
  <c r="EM329" i="25"/>
  <c r="EM332" i="25"/>
  <c r="EM340" i="25"/>
  <c r="EM342" i="25"/>
  <c r="EM343" i="25"/>
  <c r="EM226" i="25"/>
  <c r="EM235" i="25"/>
  <c r="EM237" i="25"/>
  <c r="EM247" i="25"/>
  <c r="EM262" i="25"/>
  <c r="EM268" i="25"/>
  <c r="EM305" i="25"/>
  <c r="EM310" i="25"/>
  <c r="EM325" i="25"/>
  <c r="EM327" i="25"/>
  <c r="EM345" i="25"/>
  <c r="EM346" i="25"/>
  <c r="EM312" i="25"/>
  <c r="EM211" i="25"/>
  <c r="EM221" i="25"/>
  <c r="EM236" i="25"/>
  <c r="EM239" i="25"/>
  <c r="EM241" i="25"/>
  <c r="EM337" i="25"/>
  <c r="EM258" i="25"/>
  <c r="EM264" i="25"/>
  <c r="EM336" i="25"/>
  <c r="EM296" i="25"/>
  <c r="EM297" i="25"/>
  <c r="EM307" i="25"/>
  <c r="EM308" i="25"/>
  <c r="EM311" i="25"/>
  <c r="EM291" i="25"/>
  <c r="EM333" i="25"/>
  <c r="EM334" i="25"/>
  <c r="EM338" i="25"/>
  <c r="EM274" i="25"/>
  <c r="EM275" i="25"/>
  <c r="EM276" i="25"/>
  <c r="EM277" i="25"/>
  <c r="EM207" i="25"/>
  <c r="EM208" i="25"/>
  <c r="EM354" i="25"/>
  <c r="EM355" i="25"/>
  <c r="EM356" i="25"/>
  <c r="EM359" i="25"/>
  <c r="EM231" i="25"/>
  <c r="EM360" i="25"/>
  <c r="EM233" i="25"/>
  <c r="EM361" i="25"/>
  <c r="EM234" i="25"/>
  <c r="EM240" i="25"/>
  <c r="EM242" i="25"/>
  <c r="EM362" i="25"/>
  <c r="EM363" i="25"/>
  <c r="EM357" i="25"/>
  <c r="EM365" i="25"/>
  <c r="EM253" i="25"/>
  <c r="EM367" i="25"/>
  <c r="EM368" i="25"/>
  <c r="EM271" i="25"/>
  <c r="EM370" i="25"/>
  <c r="EM278" i="25"/>
  <c r="EM372" i="25"/>
  <c r="EM279" i="25"/>
  <c r="EM375" i="25"/>
  <c r="EM285" i="25"/>
  <c r="EM377" i="25"/>
  <c r="EM378" i="25"/>
  <c r="EM380" i="25"/>
  <c r="EM381" i="25"/>
  <c r="EM383" i="25"/>
  <c r="EM384" i="25"/>
  <c r="EM385" i="25"/>
  <c r="EM386" i="25"/>
  <c r="EM388" i="25"/>
  <c r="EM389" i="25"/>
  <c r="EM313" i="25"/>
  <c r="EM331" i="25"/>
  <c r="EM395" i="25"/>
  <c r="EM350" i="25"/>
  <c r="EM351" i="25"/>
  <c r="EM352" i="25"/>
  <c r="EM396" i="25"/>
  <c r="EM379" i="25"/>
  <c r="EM382" i="25"/>
  <c r="EM373" i="25"/>
  <c r="EM203" i="25"/>
  <c r="EM335" i="25"/>
  <c r="EM210" i="25"/>
  <c r="EM218" i="25"/>
  <c r="EM219" i="25"/>
  <c r="EM222" i="25"/>
  <c r="EM223" i="25"/>
  <c r="EM228" i="25"/>
  <c r="EM364" i="25"/>
  <c r="EM250" i="25"/>
  <c r="EM254" i="25"/>
  <c r="EM269" i="25"/>
  <c r="EM369" i="25"/>
  <c r="EM374" i="25"/>
  <c r="EM280" i="25"/>
  <c r="EM283" i="25"/>
  <c r="EM284" i="25"/>
  <c r="EM288" i="25"/>
  <c r="EM290" i="25"/>
  <c r="EM292" i="25"/>
  <c r="EM299" i="25"/>
  <c r="EM300" i="25"/>
  <c r="EM216" i="25"/>
  <c r="EM319" i="25"/>
  <c r="EM323" i="25"/>
  <c r="EM348" i="25"/>
  <c r="EM287" i="25"/>
  <c r="EM330" i="25"/>
  <c r="EM339" i="25"/>
  <c r="EM215" i="25"/>
  <c r="EM249" i="25"/>
  <c r="EM205" i="25"/>
  <c r="EM206" i="25"/>
  <c r="EM209" i="25"/>
  <c r="EM214" i="25"/>
  <c r="EM217" i="25"/>
  <c r="EM229" i="25"/>
  <c r="EM246" i="25"/>
  <c r="EM251" i="25"/>
  <c r="EM252" i="25"/>
  <c r="EM293" i="25"/>
  <c r="EM316" i="25"/>
  <c r="EM349" i="25"/>
  <c r="EM353" i="25"/>
  <c r="EM281" i="25"/>
  <c r="EM282" i="25"/>
  <c r="EM328" i="25"/>
  <c r="EM341" i="25"/>
  <c r="EM320" i="25"/>
  <c r="EM225" i="25"/>
  <c r="EM263" i="25"/>
  <c r="EM301" i="25"/>
  <c r="EM314" i="25"/>
  <c r="EM267" i="25"/>
  <c r="EM344" i="25"/>
  <c r="EM347" i="25"/>
  <c r="EM204" i="25"/>
  <c r="EM232" i="25"/>
  <c r="EM255" i="25"/>
  <c r="EM256" i="25"/>
  <c r="EM257" i="25"/>
  <c r="EM259" i="25"/>
  <c r="EM272" i="25"/>
  <c r="EM306" i="25"/>
  <c r="EM317" i="25"/>
  <c r="EM318" i="25"/>
  <c r="EM324" i="25"/>
  <c r="EM212" i="25"/>
  <c r="EM224" i="25"/>
  <c r="EM213" i="25"/>
  <c r="EM304" i="25"/>
  <c r="EM309" i="25"/>
  <c r="EM245" i="25"/>
  <c r="EO358" i="25"/>
  <c r="EO220" i="25"/>
  <c r="EO227" i="25"/>
  <c r="EO230" i="25"/>
  <c r="EO238" i="25"/>
  <c r="EO243" i="25"/>
  <c r="EO244" i="25"/>
  <c r="EO248" i="25"/>
  <c r="EO260" i="25"/>
  <c r="EO261" i="25"/>
  <c r="EO265" i="25"/>
  <c r="EO266" i="25"/>
  <c r="EO270" i="25"/>
  <c r="EO273" i="25"/>
  <c r="EO286" i="25"/>
  <c r="EO289" i="25"/>
  <c r="EO294" i="25"/>
  <c r="EO295" i="25"/>
  <c r="EO298" i="25"/>
  <c r="EO302" i="25"/>
  <c r="EO303" i="25"/>
  <c r="EO315" i="25"/>
  <c r="EO321" i="25"/>
  <c r="EO322" i="25"/>
  <c r="EO326" i="25"/>
  <c r="EO329" i="25"/>
  <c r="EO332" i="25"/>
  <c r="EO340" i="25"/>
  <c r="EO342" i="25"/>
  <c r="EO343" i="25"/>
  <c r="EO226" i="25"/>
  <c r="EO235" i="25"/>
  <c r="EO237" i="25"/>
  <c r="EO247" i="25"/>
  <c r="EO262" i="25"/>
  <c r="EO268" i="25"/>
  <c r="EO305" i="25"/>
  <c r="EO310" i="25"/>
  <c r="EO325" i="25"/>
  <c r="EO327" i="25"/>
  <c r="EO345" i="25"/>
  <c r="EO346" i="25"/>
  <c r="EO312" i="25"/>
  <c r="EO211" i="25"/>
  <c r="EO221" i="25"/>
  <c r="EO236" i="25"/>
  <c r="EO239" i="25"/>
  <c r="EO241" i="25"/>
  <c r="EO337" i="25"/>
  <c r="EO258" i="25"/>
  <c r="EO264" i="25"/>
  <c r="EO336" i="25"/>
  <c r="EO296" i="25"/>
  <c r="EO297" i="25"/>
  <c r="EO307" i="25"/>
  <c r="EO308" i="25"/>
  <c r="EO311" i="25"/>
  <c r="EO291" i="25"/>
  <c r="EO333" i="25"/>
  <c r="EO334" i="25"/>
  <c r="EO338" i="25"/>
  <c r="EO274" i="25"/>
  <c r="EO275" i="25"/>
  <c r="EO276" i="25"/>
  <c r="EO277" i="25"/>
  <c r="EO207" i="25"/>
  <c r="EO208" i="25"/>
  <c r="EO354" i="25"/>
  <c r="EO355" i="25"/>
  <c r="EO356" i="25"/>
  <c r="EO359" i="25"/>
  <c r="EO231" i="25"/>
  <c r="EO360" i="25"/>
  <c r="EO233" i="25"/>
  <c r="EO361" i="25"/>
  <c r="EO234" i="25"/>
  <c r="EO240" i="25"/>
  <c r="EO242" i="25"/>
  <c r="EO362" i="25"/>
  <c r="EO363" i="25"/>
  <c r="EO357" i="25"/>
  <c r="EO365" i="25"/>
  <c r="EO253" i="25"/>
  <c r="EO367" i="25"/>
  <c r="EO368" i="25"/>
  <c r="EO271" i="25"/>
  <c r="EO370" i="25"/>
  <c r="EO278" i="25"/>
  <c r="EO372" i="25"/>
  <c r="EO279" i="25"/>
  <c r="EO375" i="25"/>
  <c r="EO285" i="25"/>
  <c r="EO377" i="25"/>
  <c r="EO378" i="25"/>
  <c r="EO380" i="25"/>
  <c r="EO381" i="25"/>
  <c r="EO383" i="25"/>
  <c r="EO384" i="25"/>
  <c r="EO385" i="25"/>
  <c r="EO386" i="25"/>
  <c r="EO388" i="25"/>
  <c r="EO389" i="25"/>
  <c r="EO313" i="25"/>
  <c r="EO331" i="25"/>
  <c r="EO395" i="25"/>
  <c r="EO350" i="25"/>
  <c r="EO351" i="25"/>
  <c r="EO352" i="25"/>
  <c r="EO396" i="25"/>
  <c r="EO379" i="25"/>
  <c r="EO382" i="25"/>
  <c r="EO373" i="25"/>
  <c r="EO203" i="25"/>
  <c r="EO335" i="25"/>
  <c r="EO210" i="25"/>
  <c r="EO218" i="25"/>
  <c r="EO219" i="25"/>
  <c r="EO222" i="25"/>
  <c r="EO223" i="25"/>
  <c r="EO228" i="25"/>
  <c r="EO364" i="25"/>
  <c r="EO250" i="25"/>
  <c r="EO254" i="25"/>
  <c r="EO269" i="25"/>
  <c r="EO369" i="25"/>
  <c r="EO374" i="25"/>
  <c r="EO280" i="25"/>
  <c r="EO283" i="25"/>
  <c r="EO284" i="25"/>
  <c r="EO288" i="25"/>
  <c r="EO290" i="25"/>
  <c r="EO292" i="25"/>
  <c r="EO299" i="25"/>
  <c r="EO300" i="25"/>
  <c r="EO216" i="25"/>
  <c r="EO319" i="25"/>
  <c r="EO323" i="25"/>
  <c r="EO348" i="25"/>
  <c r="EO287" i="25"/>
  <c r="EO330" i="25"/>
  <c r="EO339" i="25"/>
  <c r="EO215" i="25"/>
  <c r="EO249" i="25"/>
  <c r="EO205" i="25"/>
  <c r="EO206" i="25"/>
  <c r="EO209" i="25"/>
  <c r="EO214" i="25"/>
  <c r="EO217" i="25"/>
  <c r="EO229" i="25"/>
  <c r="EO246" i="25"/>
  <c r="EO251" i="25"/>
  <c r="EO252" i="25"/>
  <c r="EO293" i="25"/>
  <c r="EO316" i="25"/>
  <c r="EO349" i="25"/>
  <c r="EO353" i="25"/>
  <c r="EO281" i="25"/>
  <c r="EO282" i="25"/>
  <c r="EO328" i="25"/>
  <c r="EO341" i="25"/>
  <c r="EO320" i="25"/>
  <c r="EO225" i="25"/>
  <c r="EO263" i="25"/>
  <c r="EO301" i="25"/>
  <c r="EO314" i="25"/>
  <c r="EO267" i="25"/>
  <c r="EO344" i="25"/>
  <c r="EO347" i="25"/>
  <c r="EO204" i="25"/>
  <c r="EO232" i="25"/>
  <c r="EO255" i="25"/>
  <c r="EO256" i="25"/>
  <c r="EO257" i="25"/>
  <c r="EO259" i="25"/>
  <c r="EO272" i="25"/>
  <c r="EO306" i="25"/>
  <c r="EO317" i="25"/>
  <c r="EO318" i="25"/>
  <c r="EO324" i="25"/>
  <c r="EO212" i="25"/>
  <c r="EO224" i="25"/>
  <c r="EO213" i="25"/>
  <c r="EO304" i="25"/>
  <c r="EO309" i="25"/>
  <c r="EO245" i="25"/>
  <c r="EP358" i="25"/>
  <c r="EP220" i="25"/>
  <c r="EP227" i="25"/>
  <c r="EP230" i="25"/>
  <c r="EP238" i="25"/>
  <c r="EP243" i="25"/>
  <c r="EP244" i="25"/>
  <c r="EP248" i="25"/>
  <c r="EP260" i="25"/>
  <c r="EP261" i="25"/>
  <c r="EP265" i="25"/>
  <c r="EP266" i="25"/>
  <c r="EP270" i="25"/>
  <c r="EP273" i="25"/>
  <c r="EP286" i="25"/>
  <c r="EP289" i="25"/>
  <c r="EP294" i="25"/>
  <c r="EP295" i="25"/>
  <c r="EP298" i="25"/>
  <c r="EP302" i="25"/>
  <c r="EP303" i="25"/>
  <c r="EP315" i="25"/>
  <c r="EP321" i="25"/>
  <c r="EP322" i="25"/>
  <c r="EP326" i="25"/>
  <c r="EP329" i="25"/>
  <c r="EP332" i="25"/>
  <c r="EP340" i="25"/>
  <c r="EP342" i="25"/>
  <c r="EP343" i="25"/>
  <c r="EP226" i="25"/>
  <c r="EP235" i="25"/>
  <c r="EP237" i="25"/>
  <c r="EP247" i="25"/>
  <c r="EP262" i="25"/>
  <c r="EP268" i="25"/>
  <c r="EP305" i="25"/>
  <c r="EP310" i="25"/>
  <c r="EP325" i="25"/>
  <c r="EP327" i="25"/>
  <c r="EP345" i="25"/>
  <c r="EP346" i="25"/>
  <c r="EP312" i="25"/>
  <c r="EP211" i="25"/>
  <c r="EP221" i="25"/>
  <c r="EP236" i="25"/>
  <c r="EP239" i="25"/>
  <c r="EP241" i="25"/>
  <c r="EP337" i="25"/>
  <c r="EP258" i="25"/>
  <c r="EP264" i="25"/>
  <c r="EP336" i="25"/>
  <c r="EP296" i="25"/>
  <c r="EP297" i="25"/>
  <c r="EP307" i="25"/>
  <c r="EP308" i="25"/>
  <c r="EP311" i="25"/>
  <c r="EP291" i="25"/>
  <c r="EP333" i="25"/>
  <c r="EP334" i="25"/>
  <c r="EP338" i="25"/>
  <c r="EP274" i="25"/>
  <c r="EP275" i="25"/>
  <c r="EP276" i="25"/>
  <c r="EP277" i="25"/>
  <c r="EP207" i="25"/>
  <c r="EP208" i="25"/>
  <c r="EP354" i="25"/>
  <c r="EP355" i="25"/>
  <c r="EP356" i="25"/>
  <c r="EP359" i="25"/>
  <c r="EP231" i="25"/>
  <c r="EP360" i="25"/>
  <c r="EP233" i="25"/>
  <c r="EP361" i="25"/>
  <c r="EP234" i="25"/>
  <c r="EP240" i="25"/>
  <c r="EP242" i="25"/>
  <c r="EP362" i="25"/>
  <c r="EP363" i="25"/>
  <c r="EP357" i="25"/>
  <c r="EP365" i="25"/>
  <c r="EP253" i="25"/>
  <c r="EP367" i="25"/>
  <c r="EP368" i="25"/>
  <c r="EP271" i="25"/>
  <c r="EP370" i="25"/>
  <c r="EP278" i="25"/>
  <c r="EP372" i="25"/>
  <c r="EP279" i="25"/>
  <c r="EP375" i="25"/>
  <c r="EP285" i="25"/>
  <c r="EP377" i="25"/>
  <c r="EP378" i="25"/>
  <c r="EP380" i="25"/>
  <c r="EP381" i="25"/>
  <c r="EP383" i="25"/>
  <c r="EP384" i="25"/>
  <c r="EP385" i="25"/>
  <c r="EP386" i="25"/>
  <c r="EP388" i="25"/>
  <c r="EP389" i="25"/>
  <c r="EP313" i="25"/>
  <c r="EP331" i="25"/>
  <c r="EP395" i="25"/>
  <c r="EP350" i="25"/>
  <c r="EP351" i="25"/>
  <c r="EP352" i="25"/>
  <c r="EP396" i="25"/>
  <c r="EP379" i="25"/>
  <c r="EP382" i="25"/>
  <c r="EP373" i="25"/>
  <c r="EP203" i="25"/>
  <c r="EP335" i="25"/>
  <c r="EP210" i="25"/>
  <c r="EP218" i="25"/>
  <c r="EP219" i="25"/>
  <c r="EP222" i="25"/>
  <c r="EP223" i="25"/>
  <c r="EP228" i="25"/>
  <c r="EP364" i="25"/>
  <c r="EP250" i="25"/>
  <c r="EP254" i="25"/>
  <c r="EP269" i="25"/>
  <c r="EP369" i="25"/>
  <c r="EP374" i="25"/>
  <c r="EP280" i="25"/>
  <c r="EP283" i="25"/>
  <c r="EP284" i="25"/>
  <c r="EP288" i="25"/>
  <c r="EP290" i="25"/>
  <c r="EP292" i="25"/>
  <c r="EP299" i="25"/>
  <c r="EP300" i="25"/>
  <c r="EP216" i="25"/>
  <c r="EP319" i="25"/>
  <c r="EP323" i="25"/>
  <c r="EP348" i="25"/>
  <c r="EP287" i="25"/>
  <c r="EP330" i="25"/>
  <c r="EP339" i="25"/>
  <c r="EP215" i="25"/>
  <c r="EP249" i="25"/>
  <c r="EP205" i="25"/>
  <c r="EP206" i="25"/>
  <c r="EP209" i="25"/>
  <c r="EP214" i="25"/>
  <c r="EP217" i="25"/>
  <c r="EP229" i="25"/>
  <c r="EP246" i="25"/>
  <c r="EP251" i="25"/>
  <c r="EP252" i="25"/>
  <c r="EP293" i="25"/>
  <c r="EP316" i="25"/>
  <c r="EP349" i="25"/>
  <c r="EP353" i="25"/>
  <c r="EP281" i="25"/>
  <c r="EP282" i="25"/>
  <c r="EP328" i="25"/>
  <c r="EP341" i="25"/>
  <c r="EP320" i="25"/>
  <c r="EP225" i="25"/>
  <c r="EP263" i="25"/>
  <c r="EP301" i="25"/>
  <c r="EP314" i="25"/>
  <c r="EP267" i="25"/>
  <c r="EP344" i="25"/>
  <c r="EP347" i="25"/>
  <c r="EP204" i="25"/>
  <c r="EP232" i="25"/>
  <c r="EP255" i="25"/>
  <c r="EP256" i="25"/>
  <c r="EP257" i="25"/>
  <c r="EP259" i="25"/>
  <c r="EP272" i="25"/>
  <c r="EP306" i="25"/>
  <c r="EP317" i="25"/>
  <c r="EP318" i="25"/>
  <c r="EP324" i="25"/>
  <c r="EP212" i="25"/>
  <c r="EP224" i="25"/>
  <c r="EP213" i="25"/>
  <c r="EP304" i="25"/>
  <c r="EP309" i="25"/>
  <c r="EP245" i="25"/>
  <c r="R220" i="89"/>
  <c r="R221" i="89"/>
  <c r="R222" i="89"/>
  <c r="R223" i="89"/>
  <c r="R224" i="89"/>
  <c r="R225" i="89"/>
  <c r="D221" i="89"/>
  <c r="D220" i="89"/>
  <c r="D222" i="89"/>
  <c r="D223" i="89"/>
  <c r="D224" i="89"/>
  <c r="D225" i="89"/>
  <c r="O164" i="89"/>
  <c r="N164" i="89"/>
  <c r="X163" i="89"/>
  <c r="T162" i="89"/>
  <c r="V161" i="89"/>
  <c r="Y159" i="89"/>
  <c r="T158" i="89"/>
  <c r="V157" i="89"/>
  <c r="X156" i="89"/>
  <c r="Y155" i="89"/>
  <c r="T154" i="89"/>
  <c r="V153" i="89"/>
  <c r="X152" i="89"/>
  <c r="T150" i="89"/>
  <c r="V149" i="89"/>
  <c r="X148" i="89"/>
  <c r="X147" i="89"/>
  <c r="T146" i="89"/>
  <c r="N145" i="89"/>
  <c r="N126" i="89"/>
  <c r="N113" i="89"/>
  <c r="N81" i="89"/>
  <c r="N43" i="89"/>
  <c r="DD282" i="25" l="1"/>
  <c r="DC282" i="25" s="1"/>
  <c r="DJ282" i="25" s="1"/>
  <c r="DD380" i="25"/>
  <c r="DC380" i="25" s="1"/>
  <c r="DJ380" i="25" s="1"/>
  <c r="DD301" i="25"/>
  <c r="DC301" i="25" s="1"/>
  <c r="DJ301" i="25" s="1"/>
  <c r="DD307" i="25"/>
  <c r="DC307" i="25" s="1"/>
  <c r="DJ307" i="25" s="1"/>
  <c r="DD226" i="25"/>
  <c r="DC226" i="25" s="1"/>
  <c r="DJ226" i="25" s="1"/>
  <c r="EC365" i="25"/>
  <c r="EC329" i="25"/>
  <c r="ED260" i="25"/>
  <c r="EC246" i="25"/>
  <c r="DD250" i="25"/>
  <c r="DC250" i="25" s="1"/>
  <c r="DJ250" i="25" s="1"/>
  <c r="DW260" i="25"/>
  <c r="ED237" i="25"/>
  <c r="ED251" i="25"/>
  <c r="EC213" i="25"/>
  <c r="EC347" i="25"/>
  <c r="EC341" i="25"/>
  <c r="ED383" i="25"/>
  <c r="ED357" i="25"/>
  <c r="ED360" i="25"/>
  <c r="ED311" i="25"/>
  <c r="ED294" i="25"/>
  <c r="EC282" i="25"/>
  <c r="EC215" i="25"/>
  <c r="EC395" i="25"/>
  <c r="EC279" i="25"/>
  <c r="EC346" i="25"/>
  <c r="EC247" i="25"/>
  <c r="DY245" i="25"/>
  <c r="ED232" i="25"/>
  <c r="ED353" i="25"/>
  <c r="ED330" i="25"/>
  <c r="ED300" i="25"/>
  <c r="ED280" i="25"/>
  <c r="ED223" i="25"/>
  <c r="ED382" i="25"/>
  <c r="ED313" i="25"/>
  <c r="ED381" i="25"/>
  <c r="ED278" i="25"/>
  <c r="ED363" i="25"/>
  <c r="ED231" i="25"/>
  <c r="ED276" i="25"/>
  <c r="ED308" i="25"/>
  <c r="ED241" i="25"/>
  <c r="ED327" i="25"/>
  <c r="ED235" i="25"/>
  <c r="ED322" i="25"/>
  <c r="ED289" i="25"/>
  <c r="EC324" i="25"/>
  <c r="EC255" i="25"/>
  <c r="EC314" i="25"/>
  <c r="EC281" i="25"/>
  <c r="EC229" i="25"/>
  <c r="EC339" i="25"/>
  <c r="EC216" i="25"/>
  <c r="EC383" i="25"/>
  <c r="EC237" i="25"/>
  <c r="DD342" i="25"/>
  <c r="DC342" i="25" s="1"/>
  <c r="DJ342" i="25" s="1"/>
  <c r="ED245" i="25"/>
  <c r="ED317" i="25"/>
  <c r="ED214" i="25"/>
  <c r="ED287" i="25"/>
  <c r="ED299" i="25"/>
  <c r="ED380" i="25"/>
  <c r="ED370" i="25"/>
  <c r="ED239" i="25"/>
  <c r="EC318" i="25"/>
  <c r="EC217" i="25"/>
  <c r="EC300" i="25"/>
  <c r="EC280" i="25"/>
  <c r="EC313" i="25"/>
  <c r="EC381" i="25"/>
  <c r="EC363" i="25"/>
  <c r="EC231" i="25"/>
  <c r="EC276" i="25"/>
  <c r="EC241" i="25"/>
  <c r="EC327" i="25"/>
  <c r="EC322" i="25"/>
  <c r="EC289" i="25"/>
  <c r="EC342" i="25"/>
  <c r="DY271" i="25"/>
  <c r="DY343" i="25"/>
  <c r="DY230" i="25"/>
  <c r="ED356" i="25"/>
  <c r="ED273" i="25"/>
  <c r="EC226" i="25"/>
  <c r="EC286" i="25"/>
  <c r="EC306" i="25"/>
  <c r="EC271" i="25"/>
  <c r="ED213" i="25"/>
  <c r="ED259" i="25"/>
  <c r="ED290" i="25"/>
  <c r="ED210" i="25"/>
  <c r="ED351" i="25"/>
  <c r="ED386" i="25"/>
  <c r="ED285" i="25"/>
  <c r="ED367" i="25"/>
  <c r="ED234" i="25"/>
  <c r="ED354" i="25"/>
  <c r="ED334" i="25"/>
  <c r="ED336" i="25"/>
  <c r="ED211" i="25"/>
  <c r="ED268" i="25"/>
  <c r="ED340" i="25"/>
  <c r="ED302" i="25"/>
  <c r="ED266" i="25"/>
  <c r="ED238" i="25"/>
  <c r="EC304" i="25"/>
  <c r="EC272" i="25"/>
  <c r="EC320" i="25"/>
  <c r="EC293" i="25"/>
  <c r="EC206" i="25"/>
  <c r="EC348" i="25"/>
  <c r="EC269" i="25"/>
  <c r="EC388" i="25"/>
  <c r="EC338" i="25"/>
  <c r="EC296" i="25"/>
  <c r="EC221" i="25"/>
  <c r="EC305" i="25"/>
  <c r="EC303" i="25"/>
  <c r="EC270" i="25"/>
  <c r="EC243" i="25"/>
  <c r="EC250" i="25"/>
  <c r="ED263" i="25"/>
  <c r="DY292" i="25"/>
  <c r="ED269" i="25"/>
  <c r="ED368" i="25"/>
  <c r="EC292" i="25"/>
  <c r="EC369" i="25"/>
  <c r="EC219" i="25"/>
  <c r="EC396" i="25"/>
  <c r="EC356" i="25"/>
  <c r="EC274" i="25"/>
  <c r="EC297" i="25"/>
  <c r="EC236" i="25"/>
  <c r="EC343" i="25"/>
  <c r="EC315" i="25"/>
  <c r="DY329" i="25"/>
  <c r="ED229" i="25"/>
  <c r="ED283" i="25"/>
  <c r="ED228" i="25"/>
  <c r="ED372" i="25"/>
  <c r="ED326" i="25"/>
  <c r="EC203" i="25"/>
  <c r="EC384" i="25"/>
  <c r="EC207" i="25"/>
  <c r="EC291" i="25"/>
  <c r="EC295" i="25"/>
  <c r="EC227" i="25"/>
  <c r="DO219" i="25"/>
  <c r="DP219" i="25" s="1"/>
  <c r="DQ219" i="25" s="1"/>
  <c r="DR219" i="25" s="1"/>
  <c r="ED203" i="25"/>
  <c r="ED384" i="25"/>
  <c r="ED279" i="25"/>
  <c r="ED207" i="25"/>
  <c r="ED346" i="25"/>
  <c r="ED329" i="25"/>
  <c r="EC224" i="25"/>
  <c r="EC344" i="25"/>
  <c r="EC319" i="25"/>
  <c r="EC350" i="25"/>
  <c r="EC385" i="25"/>
  <c r="EC375" i="25"/>
  <c r="EC361" i="25"/>
  <c r="EC208" i="25"/>
  <c r="EC264" i="25"/>
  <c r="EC312" i="25"/>
  <c r="EC262" i="25"/>
  <c r="EC332" i="25"/>
  <c r="EC265" i="25"/>
  <c r="EC230" i="25"/>
  <c r="ED358" i="25"/>
  <c r="EC330" i="25"/>
  <c r="EC382" i="25"/>
  <c r="EC278" i="25"/>
  <c r="EC308" i="25"/>
  <c r="EC235" i="25"/>
  <c r="DW310" i="25"/>
  <c r="DY363" i="25"/>
  <c r="DO224" i="25"/>
  <c r="DP224" i="25" s="1"/>
  <c r="DQ224" i="25" s="1"/>
  <c r="DR224" i="25" s="1"/>
  <c r="DO333" i="25"/>
  <c r="DP333" i="25" s="1"/>
  <c r="DQ333" i="25" s="1"/>
  <c r="DR333" i="25" s="1"/>
  <c r="ED271" i="25"/>
  <c r="ED274" i="25"/>
  <c r="ED297" i="25"/>
  <c r="ED343" i="25"/>
  <c r="EC380" i="25"/>
  <c r="EC359" i="25"/>
  <c r="EC378" i="25"/>
  <c r="EC244" i="25"/>
  <c r="DY241" i="25"/>
  <c r="ED335" i="25"/>
  <c r="ED253" i="25"/>
  <c r="CG212" i="25"/>
  <c r="CG256" i="25"/>
  <c r="CG267" i="25"/>
  <c r="CG246" i="25"/>
  <c r="DY373" i="25"/>
  <c r="DY244" i="25"/>
  <c r="DD203" i="25"/>
  <c r="DC203" i="25" s="1"/>
  <c r="DJ203" i="25" s="1"/>
  <c r="DY396" i="25"/>
  <c r="ED344" i="25"/>
  <c r="ED249" i="25"/>
  <c r="ED350" i="25"/>
  <c r="ED375" i="25"/>
  <c r="ED208" i="25"/>
  <c r="ED333" i="25"/>
  <c r="ED264" i="25"/>
  <c r="ED312" i="25"/>
  <c r="ED332" i="25"/>
  <c r="ED298" i="25"/>
  <c r="ED265" i="25"/>
  <c r="ED230" i="25"/>
  <c r="EC259" i="25"/>
  <c r="EC252" i="25"/>
  <c r="EC290" i="25"/>
  <c r="DW263" i="25"/>
  <c r="ED324" i="25"/>
  <c r="ED255" i="25"/>
  <c r="ED314" i="25"/>
  <c r="ED281" i="25"/>
  <c r="ED339" i="25"/>
  <c r="DY274" i="25"/>
  <c r="DW219" i="25"/>
  <c r="DW378" i="25"/>
  <c r="CG374" i="25"/>
  <c r="ED306" i="25"/>
  <c r="ED316" i="25"/>
  <c r="ED209" i="25"/>
  <c r="ED396" i="25"/>
  <c r="ED242" i="25"/>
  <c r="ED310" i="25"/>
  <c r="EC245" i="25"/>
  <c r="EC317" i="25"/>
  <c r="EC204" i="25"/>
  <c r="EC263" i="25"/>
  <c r="EC349" i="25"/>
  <c r="EC287" i="25"/>
  <c r="EC299" i="25"/>
  <c r="EC222" i="25"/>
  <c r="EC379" i="25"/>
  <c r="EC362" i="25"/>
  <c r="EC275" i="25"/>
  <c r="EC307" i="25"/>
  <c r="EC325" i="25"/>
  <c r="EC248" i="25"/>
  <c r="EC358" i="25"/>
  <c r="ED257" i="25"/>
  <c r="EC323" i="25"/>
  <c r="EC254" i="25"/>
  <c r="EC210" i="25"/>
  <c r="EC351" i="25"/>
  <c r="EC386" i="25"/>
  <c r="EC285" i="25"/>
  <c r="EC367" i="25"/>
  <c r="EC234" i="25"/>
  <c r="EC354" i="25"/>
  <c r="EC334" i="25"/>
  <c r="EC336" i="25"/>
  <c r="EC211" i="25"/>
  <c r="EC268" i="25"/>
  <c r="EC340" i="25"/>
  <c r="EC302" i="25"/>
  <c r="EC266" i="25"/>
  <c r="EC238" i="25"/>
  <c r="CG213" i="25"/>
  <c r="CG259" i="25"/>
  <c r="CG341" i="25"/>
  <c r="DY236" i="25"/>
  <c r="DW335" i="25"/>
  <c r="DO218" i="25"/>
  <c r="DP218" i="25" s="1"/>
  <c r="DQ218" i="25" s="1"/>
  <c r="DR218" i="25" s="1"/>
  <c r="DO352" i="25"/>
  <c r="DP352" i="25" s="1"/>
  <c r="DQ352" i="25" s="1"/>
  <c r="DR352" i="25" s="1"/>
  <c r="DO388" i="25"/>
  <c r="DP388" i="25" s="1"/>
  <c r="DQ388" i="25" s="1"/>
  <c r="DR388" i="25" s="1"/>
  <c r="DO377" i="25"/>
  <c r="DP377" i="25" s="1"/>
  <c r="DQ377" i="25" s="1"/>
  <c r="DR377" i="25" s="1"/>
  <c r="DO368" i="25"/>
  <c r="DP368" i="25" s="1"/>
  <c r="DQ368" i="25" s="1"/>
  <c r="DR368" i="25" s="1"/>
  <c r="DO240" i="25"/>
  <c r="DP240" i="25" s="1"/>
  <c r="DQ240" i="25" s="1"/>
  <c r="DR240" i="25" s="1"/>
  <c r="DO355" i="25"/>
  <c r="DP355" i="25" s="1"/>
  <c r="DQ355" i="25" s="1"/>
  <c r="DR355" i="25" s="1"/>
  <c r="DO338" i="25"/>
  <c r="DP338" i="25" s="1"/>
  <c r="DQ338" i="25" s="1"/>
  <c r="DR338" i="25" s="1"/>
  <c r="DO296" i="25"/>
  <c r="DP296" i="25" s="1"/>
  <c r="DQ296" i="25" s="1"/>
  <c r="DR296" i="25" s="1"/>
  <c r="DO221" i="25"/>
  <c r="DP221" i="25" s="1"/>
  <c r="DQ221" i="25" s="1"/>
  <c r="DR221" i="25" s="1"/>
  <c r="DO305" i="25"/>
  <c r="DP305" i="25" s="1"/>
  <c r="DQ305" i="25" s="1"/>
  <c r="DR305" i="25" s="1"/>
  <c r="DO342" i="25"/>
  <c r="DP342" i="25" s="1"/>
  <c r="DQ342" i="25" s="1"/>
  <c r="DR342" i="25" s="1"/>
  <c r="DO303" i="25"/>
  <c r="DP303" i="25" s="1"/>
  <c r="DQ303" i="25" s="1"/>
  <c r="DR303" i="25" s="1"/>
  <c r="DO270" i="25"/>
  <c r="DP270" i="25" s="1"/>
  <c r="DQ270" i="25" s="1"/>
  <c r="DR270" i="25" s="1"/>
  <c r="DO243" i="25"/>
  <c r="DP243" i="25" s="1"/>
  <c r="DQ243" i="25" s="1"/>
  <c r="DR243" i="25" s="1"/>
  <c r="EC212" i="25"/>
  <c r="EC284" i="25"/>
  <c r="ED284" i="25"/>
  <c r="ED395" i="25"/>
  <c r="ED365" i="25"/>
  <c r="ED233" i="25"/>
  <c r="ED291" i="25"/>
  <c r="ED258" i="25"/>
  <c r="ED247" i="25"/>
  <c r="ED295" i="25"/>
  <c r="ED261" i="25"/>
  <c r="ED227" i="25"/>
  <c r="EC257" i="25"/>
  <c r="EC328" i="25"/>
  <c r="EC251" i="25"/>
  <c r="EC249" i="25"/>
  <c r="CG288" i="25"/>
  <c r="ED204" i="25"/>
  <c r="ED349" i="25"/>
  <c r="DY356" i="25"/>
  <c r="ED347" i="25"/>
  <c r="ED341" i="25"/>
  <c r="ED252" i="25"/>
  <c r="ED254" i="25"/>
  <c r="DY294" i="25"/>
  <c r="ED217" i="25"/>
  <c r="DY328" i="25"/>
  <c r="DY360" i="25"/>
  <c r="DW277" i="25"/>
  <c r="EC233" i="25"/>
  <c r="EC258" i="25"/>
  <c r="EC261" i="25"/>
  <c r="ED222" i="25"/>
  <c r="ED359" i="25"/>
  <c r="ED307" i="25"/>
  <c r="ED226" i="25"/>
  <c r="ED248" i="25"/>
  <c r="EC232" i="25"/>
  <c r="EC353" i="25"/>
  <c r="EC283" i="25"/>
  <c r="CG222" i="25"/>
  <c r="CG379" i="25"/>
  <c r="CG370" i="25"/>
  <c r="CG359" i="25"/>
  <c r="CG307" i="25"/>
  <c r="CG325" i="25"/>
  <c r="CG226" i="25"/>
  <c r="CG286" i="25"/>
  <c r="CG358" i="25"/>
  <c r="DW295" i="25"/>
  <c r="DO378" i="25"/>
  <c r="DP378" i="25" s="1"/>
  <c r="DQ378" i="25" s="1"/>
  <c r="DR378" i="25" s="1"/>
  <c r="DO271" i="25"/>
  <c r="DP271" i="25" s="1"/>
  <c r="DQ271" i="25" s="1"/>
  <c r="DR271" i="25" s="1"/>
  <c r="DO356" i="25"/>
  <c r="DP356" i="25" s="1"/>
  <c r="DQ356" i="25" s="1"/>
  <c r="DR356" i="25" s="1"/>
  <c r="DO297" i="25"/>
  <c r="DP297" i="25" s="1"/>
  <c r="DQ297" i="25" s="1"/>
  <c r="DR297" i="25" s="1"/>
  <c r="DO236" i="25"/>
  <c r="DP236" i="25" s="1"/>
  <c r="DQ236" i="25" s="1"/>
  <c r="DR236" i="25" s="1"/>
  <c r="DO273" i="25"/>
  <c r="DP273" i="25" s="1"/>
  <c r="DQ273" i="25" s="1"/>
  <c r="DR273" i="25" s="1"/>
  <c r="ED219" i="25"/>
  <c r="ED378" i="25"/>
  <c r="ED236" i="25"/>
  <c r="ED244" i="25"/>
  <c r="DO290" i="25"/>
  <c r="DP290" i="25" s="1"/>
  <c r="DQ290" i="25" s="1"/>
  <c r="DR290" i="25" s="1"/>
  <c r="DY395" i="25"/>
  <c r="ED385" i="25"/>
  <c r="ED361" i="25"/>
  <c r="ED262" i="25"/>
  <c r="EC205" i="25"/>
  <c r="EC377" i="25"/>
  <c r="EC368" i="25"/>
  <c r="EC240" i="25"/>
  <c r="EC355" i="25"/>
  <c r="CG342" i="25"/>
  <c r="DY257" i="25"/>
  <c r="DY228" i="25"/>
  <c r="DW309" i="25"/>
  <c r="DW383" i="25"/>
  <c r="DO396" i="25"/>
  <c r="DP396" i="25" s="1"/>
  <c r="DQ396" i="25" s="1"/>
  <c r="DR396" i="25" s="1"/>
  <c r="DO242" i="25"/>
  <c r="DP242" i="25" s="1"/>
  <c r="DQ242" i="25" s="1"/>
  <c r="DR242" i="25" s="1"/>
  <c r="DO310" i="25"/>
  <c r="DP310" i="25" s="1"/>
  <c r="DQ310" i="25" s="1"/>
  <c r="DR310" i="25" s="1"/>
  <c r="ED304" i="25"/>
  <c r="ED272" i="25"/>
  <c r="ED320" i="25"/>
  <c r="ED293" i="25"/>
  <c r="ED206" i="25"/>
  <c r="ED348" i="25"/>
  <c r="ED292" i="25"/>
  <c r="ED369" i="25"/>
  <c r="ED379" i="25"/>
  <c r="ED362" i="25"/>
  <c r="ED275" i="25"/>
  <c r="ED325" i="25"/>
  <c r="ED321" i="25"/>
  <c r="ED286" i="25"/>
  <c r="EC301" i="25"/>
  <c r="EC364" i="25"/>
  <c r="EC335" i="25"/>
  <c r="EC253" i="25"/>
  <c r="EC333" i="25"/>
  <c r="EC298" i="25"/>
  <c r="CG306" i="25"/>
  <c r="CG316" i="25"/>
  <c r="CG209" i="25"/>
  <c r="CG299" i="25"/>
  <c r="CG223" i="25"/>
  <c r="DY344" i="25"/>
  <c r="CG207" i="25"/>
  <c r="ED205" i="25"/>
  <c r="ED389" i="25"/>
  <c r="ED315" i="25"/>
  <c r="EC214" i="25"/>
  <c r="EC228" i="25"/>
  <c r="EC373" i="25"/>
  <c r="EC331" i="25"/>
  <c r="EC372" i="25"/>
  <c r="EC357" i="25"/>
  <c r="EC360" i="25"/>
  <c r="EC277" i="25"/>
  <c r="EC311" i="25"/>
  <c r="EC337" i="25"/>
  <c r="EC345" i="25"/>
  <c r="EC326" i="25"/>
  <c r="EC294" i="25"/>
  <c r="EC260" i="25"/>
  <c r="EC220" i="25"/>
  <c r="DY251" i="25"/>
  <c r="DW345" i="25"/>
  <c r="DO313" i="25"/>
  <c r="DP313" i="25" s="1"/>
  <c r="DQ313" i="25" s="1"/>
  <c r="DR313" i="25" s="1"/>
  <c r="DO235" i="25"/>
  <c r="DP235" i="25" s="1"/>
  <c r="DQ235" i="25" s="1"/>
  <c r="DR235" i="25" s="1"/>
  <c r="ED224" i="25"/>
  <c r="ED328" i="25"/>
  <c r="ED323" i="25"/>
  <c r="ED218" i="25"/>
  <c r="ED352" i="25"/>
  <c r="ED388" i="25"/>
  <c r="ED377" i="25"/>
  <c r="ED240" i="25"/>
  <c r="ED355" i="25"/>
  <c r="ED338" i="25"/>
  <c r="ED296" i="25"/>
  <c r="ED221" i="25"/>
  <c r="ED305" i="25"/>
  <c r="ED342" i="25"/>
  <c r="ED303" i="25"/>
  <c r="ED270" i="25"/>
  <c r="ED243" i="25"/>
  <c r="EC309" i="25"/>
  <c r="EC225" i="25"/>
  <c r="EC316" i="25"/>
  <c r="EC209" i="25"/>
  <c r="EC374" i="25"/>
  <c r="EC223" i="25"/>
  <c r="DY323" i="25"/>
  <c r="DY237" i="25"/>
  <c r="DO320" i="25"/>
  <c r="DP320" i="25" s="1"/>
  <c r="DQ320" i="25" s="1"/>
  <c r="DR320" i="25" s="1"/>
  <c r="DO292" i="25"/>
  <c r="DP292" i="25" s="1"/>
  <c r="DQ292" i="25" s="1"/>
  <c r="DR292" i="25" s="1"/>
  <c r="EC389" i="25"/>
  <c r="EC242" i="25"/>
  <c r="EC310" i="25"/>
  <c r="EC273" i="25"/>
  <c r="ED212" i="25"/>
  <c r="ED256" i="25"/>
  <c r="ED267" i="25"/>
  <c r="ED282" i="25"/>
  <c r="ED246" i="25"/>
  <c r="ED215" i="25"/>
  <c r="ED319" i="25"/>
  <c r="ED288" i="25"/>
  <c r="ED250" i="25"/>
  <c r="EC370" i="25"/>
  <c r="EC239" i="25"/>
  <c r="EC321" i="25"/>
  <c r="DY299" i="25"/>
  <c r="CP234" i="25"/>
  <c r="CP238" i="25"/>
  <c r="ED318" i="25"/>
  <c r="ED301" i="25"/>
  <c r="ED216" i="25"/>
  <c r="ED364" i="25"/>
  <c r="DY254" i="25"/>
  <c r="DO212" i="25"/>
  <c r="DP212" i="25" s="1"/>
  <c r="DQ212" i="25" s="1"/>
  <c r="DR212" i="25" s="1"/>
  <c r="DO256" i="25"/>
  <c r="DP256" i="25" s="1"/>
  <c r="DQ256" i="25" s="1"/>
  <c r="DR256" i="25" s="1"/>
  <c r="DO267" i="25"/>
  <c r="DP267" i="25" s="1"/>
  <c r="DQ267" i="25" s="1"/>
  <c r="DR267" i="25" s="1"/>
  <c r="DO282" i="25"/>
  <c r="DP282" i="25" s="1"/>
  <c r="DQ282" i="25" s="1"/>
  <c r="DR282" i="25" s="1"/>
  <c r="DO246" i="25"/>
  <c r="DP246" i="25" s="1"/>
  <c r="DQ246" i="25" s="1"/>
  <c r="DR246" i="25" s="1"/>
  <c r="DO215" i="25"/>
  <c r="DP215" i="25" s="1"/>
  <c r="DQ215" i="25" s="1"/>
  <c r="DR215" i="25" s="1"/>
  <c r="DO319" i="25"/>
  <c r="DP319" i="25" s="1"/>
  <c r="DQ319" i="25" s="1"/>
  <c r="DR319" i="25" s="1"/>
  <c r="DO288" i="25"/>
  <c r="DP288" i="25" s="1"/>
  <c r="DQ288" i="25" s="1"/>
  <c r="DR288" i="25" s="1"/>
  <c r="DO250" i="25"/>
  <c r="DP250" i="25" s="1"/>
  <c r="DQ250" i="25" s="1"/>
  <c r="DR250" i="25" s="1"/>
  <c r="CG331" i="25"/>
  <c r="CG383" i="25"/>
  <c r="CG372" i="25"/>
  <c r="CG357" i="25"/>
  <c r="CG360" i="25"/>
  <c r="CG277" i="25"/>
  <c r="CG311" i="25"/>
  <c r="CG337" i="25"/>
  <c r="CG345" i="25"/>
  <c r="CG237" i="25"/>
  <c r="CG294" i="25"/>
  <c r="CG260" i="25"/>
  <c r="CG220" i="25"/>
  <c r="DY316" i="25"/>
  <c r="DY290" i="25"/>
  <c r="DW225" i="25"/>
  <c r="DW389" i="25"/>
  <c r="DW327" i="25"/>
  <c r="DY375" i="25"/>
  <c r="DY298" i="25"/>
  <c r="DY209" i="25"/>
  <c r="DY333" i="25"/>
  <c r="DO245" i="25"/>
  <c r="DP245" i="25" s="1"/>
  <c r="DQ245" i="25" s="1"/>
  <c r="DR245" i="25" s="1"/>
  <c r="DO317" i="25"/>
  <c r="DP317" i="25" s="1"/>
  <c r="DQ317" i="25" s="1"/>
  <c r="DR317" i="25" s="1"/>
  <c r="DO204" i="25"/>
  <c r="DP204" i="25" s="1"/>
  <c r="DQ204" i="25" s="1"/>
  <c r="DR204" i="25" s="1"/>
  <c r="DO263" i="25"/>
  <c r="DP263" i="25" s="1"/>
  <c r="DQ263" i="25" s="1"/>
  <c r="DR263" i="25" s="1"/>
  <c r="DO349" i="25"/>
  <c r="DP349" i="25" s="1"/>
  <c r="DQ349" i="25" s="1"/>
  <c r="DR349" i="25" s="1"/>
  <c r="DO214" i="25"/>
  <c r="DP214" i="25" s="1"/>
  <c r="DQ214" i="25" s="1"/>
  <c r="DR214" i="25" s="1"/>
  <c r="DO287" i="25"/>
  <c r="DP287" i="25" s="1"/>
  <c r="DQ287" i="25" s="1"/>
  <c r="DR287" i="25" s="1"/>
  <c r="DO300" i="25"/>
  <c r="DP300" i="25" s="1"/>
  <c r="DQ300" i="25" s="1"/>
  <c r="DR300" i="25" s="1"/>
  <c r="DO280" i="25"/>
  <c r="DP280" i="25" s="1"/>
  <c r="DQ280" i="25" s="1"/>
  <c r="DR280" i="25" s="1"/>
  <c r="DO228" i="25"/>
  <c r="DP228" i="25" s="1"/>
  <c r="DQ228" i="25" s="1"/>
  <c r="DR228" i="25" s="1"/>
  <c r="DO203" i="25"/>
  <c r="DP203" i="25" s="1"/>
  <c r="DQ203" i="25" s="1"/>
  <c r="DR203" i="25" s="1"/>
  <c r="DO395" i="25"/>
  <c r="DP395" i="25" s="1"/>
  <c r="DQ395" i="25" s="1"/>
  <c r="DR395" i="25" s="1"/>
  <c r="DO384" i="25"/>
  <c r="DP384" i="25" s="1"/>
  <c r="DQ384" i="25" s="1"/>
  <c r="DR384" i="25" s="1"/>
  <c r="DO279" i="25"/>
  <c r="DP279" i="25" s="1"/>
  <c r="DQ279" i="25" s="1"/>
  <c r="DR279" i="25" s="1"/>
  <c r="DO365" i="25"/>
  <c r="DP365" i="25" s="1"/>
  <c r="DQ365" i="25" s="1"/>
  <c r="DR365" i="25" s="1"/>
  <c r="DO233" i="25"/>
  <c r="DP233" i="25" s="1"/>
  <c r="DQ233" i="25" s="1"/>
  <c r="DR233" i="25" s="1"/>
  <c r="DO207" i="25"/>
  <c r="DP207" i="25" s="1"/>
  <c r="DQ207" i="25" s="1"/>
  <c r="DR207" i="25" s="1"/>
  <c r="DO291" i="25"/>
  <c r="DP291" i="25" s="1"/>
  <c r="DQ291" i="25" s="1"/>
  <c r="DR291" i="25" s="1"/>
  <c r="DO258" i="25"/>
  <c r="DP258" i="25" s="1"/>
  <c r="DQ258" i="25" s="1"/>
  <c r="DR258" i="25" s="1"/>
  <c r="DO346" i="25"/>
  <c r="DP346" i="25" s="1"/>
  <c r="DQ346" i="25" s="1"/>
  <c r="DR346" i="25" s="1"/>
  <c r="DO247" i="25"/>
  <c r="DP247" i="25" s="1"/>
  <c r="DQ247" i="25" s="1"/>
  <c r="DR247" i="25" s="1"/>
  <c r="DO329" i="25"/>
  <c r="DP329" i="25" s="1"/>
  <c r="DQ329" i="25" s="1"/>
  <c r="DR329" i="25" s="1"/>
  <c r="DO295" i="25"/>
  <c r="DP295" i="25" s="1"/>
  <c r="DQ295" i="25" s="1"/>
  <c r="DR295" i="25" s="1"/>
  <c r="DO261" i="25"/>
  <c r="DP261" i="25" s="1"/>
  <c r="DQ261" i="25" s="1"/>
  <c r="DR261" i="25" s="1"/>
  <c r="DO227" i="25"/>
  <c r="DP227" i="25" s="1"/>
  <c r="DQ227" i="25" s="1"/>
  <c r="DR227" i="25" s="1"/>
  <c r="DY224" i="25"/>
  <c r="DY249" i="25"/>
  <c r="DY223" i="25"/>
  <c r="DY365" i="25"/>
  <c r="DY297" i="25"/>
  <c r="DY273" i="25"/>
  <c r="DW361" i="25"/>
  <c r="DW326" i="25"/>
  <c r="DD327" i="25"/>
  <c r="DC327" i="25" s="1"/>
  <c r="DJ327" i="25" s="1"/>
  <c r="DY306" i="25"/>
  <c r="DY357" i="25"/>
  <c r="DW330" i="25"/>
  <c r="DY216" i="25"/>
  <c r="DW264" i="25"/>
  <c r="DY318" i="25"/>
  <c r="DY262" i="25"/>
  <c r="DW350" i="25"/>
  <c r="DW208" i="25"/>
  <c r="DY217" i="25"/>
  <c r="DY253" i="25"/>
  <c r="DY320" i="25"/>
  <c r="DW320" i="25"/>
  <c r="DY381" i="25"/>
  <c r="DW381" i="25"/>
  <c r="DY283" i="25"/>
  <c r="DY332" i="25"/>
  <c r="DW312" i="25"/>
  <c r="DW265" i="25"/>
  <c r="CG249" i="25"/>
  <c r="DY301" i="25"/>
  <c r="DY331" i="25"/>
  <c r="DY242" i="25"/>
  <c r="DY337" i="25"/>
  <c r="DY315" i="25"/>
  <c r="DW364" i="25"/>
  <c r="ED309" i="25"/>
  <c r="ED225" i="25"/>
  <c r="ED374" i="25"/>
  <c r="ED373" i="25"/>
  <c r="ED331" i="25"/>
  <c r="ED277" i="25"/>
  <c r="ED337" i="25"/>
  <c r="ED345" i="25"/>
  <c r="ED220" i="25"/>
  <c r="EC256" i="25"/>
  <c r="EC267" i="25"/>
  <c r="EC288" i="25"/>
  <c r="EC218" i="25"/>
  <c r="EC352" i="25"/>
  <c r="CO237" i="25"/>
  <c r="CQ237" i="25" s="1"/>
  <c r="CP294" i="25"/>
  <c r="CG348" i="25"/>
  <c r="CG241" i="25"/>
  <c r="CG269" i="25"/>
  <c r="CG380" i="25"/>
  <c r="DO213" i="25"/>
  <c r="DP213" i="25" s="1"/>
  <c r="DQ213" i="25" s="1"/>
  <c r="DR213" i="25" s="1"/>
  <c r="DO259" i="25"/>
  <c r="DP259" i="25" s="1"/>
  <c r="DO347" i="25"/>
  <c r="DP347" i="25" s="1"/>
  <c r="DQ347" i="25" s="1"/>
  <c r="DR347" i="25" s="1"/>
  <c r="DO341" i="25"/>
  <c r="DP341" i="25" s="1"/>
  <c r="DQ341" i="25" s="1"/>
  <c r="DR341" i="25" s="1"/>
  <c r="DO252" i="25"/>
  <c r="DP252" i="25" s="1"/>
  <c r="DQ252" i="25" s="1"/>
  <c r="DR252" i="25" s="1"/>
  <c r="DO205" i="25"/>
  <c r="DP205" i="25" s="1"/>
  <c r="DQ205" i="25" s="1"/>
  <c r="DR205" i="25" s="1"/>
  <c r="DO269" i="25"/>
  <c r="DP269" i="25" s="1"/>
  <c r="DQ269" i="25" s="1"/>
  <c r="DR269" i="25" s="1"/>
  <c r="DO222" i="25"/>
  <c r="DP222" i="25" s="1"/>
  <c r="DQ222" i="25" s="1"/>
  <c r="DR222" i="25" s="1"/>
  <c r="DO379" i="25"/>
  <c r="DP379" i="25" s="1"/>
  <c r="DQ379" i="25" s="1"/>
  <c r="DR379" i="25" s="1"/>
  <c r="DO380" i="25"/>
  <c r="DP380" i="25" s="1"/>
  <c r="DQ380" i="25" s="1"/>
  <c r="DR380" i="25" s="1"/>
  <c r="DO370" i="25"/>
  <c r="DP370" i="25" s="1"/>
  <c r="DQ370" i="25" s="1"/>
  <c r="DR370" i="25" s="1"/>
  <c r="DO362" i="25"/>
  <c r="DP362" i="25" s="1"/>
  <c r="DQ362" i="25" s="1"/>
  <c r="DR362" i="25" s="1"/>
  <c r="DO359" i="25"/>
  <c r="DP359" i="25" s="1"/>
  <c r="DQ359" i="25" s="1"/>
  <c r="DR359" i="25" s="1"/>
  <c r="DO275" i="25"/>
  <c r="DP275" i="25" s="1"/>
  <c r="DQ275" i="25" s="1"/>
  <c r="DR275" i="25" s="1"/>
  <c r="DO307" i="25"/>
  <c r="DP307" i="25" s="1"/>
  <c r="DQ307" i="25" s="1"/>
  <c r="DR307" i="25" s="1"/>
  <c r="DO239" i="25"/>
  <c r="DP239" i="25" s="1"/>
  <c r="DQ239" i="25" s="1"/>
  <c r="DR239" i="25" s="1"/>
  <c r="DO325" i="25"/>
  <c r="DP325" i="25" s="1"/>
  <c r="DQ325" i="25" s="1"/>
  <c r="DR325" i="25" s="1"/>
  <c r="DO226" i="25"/>
  <c r="DP226" i="25" s="1"/>
  <c r="DQ226" i="25" s="1"/>
  <c r="DR226" i="25" s="1"/>
  <c r="DO321" i="25"/>
  <c r="DP321" i="25" s="1"/>
  <c r="DQ321" i="25" s="1"/>
  <c r="DR321" i="25" s="1"/>
  <c r="DO286" i="25"/>
  <c r="DP286" i="25" s="1"/>
  <c r="DQ286" i="25" s="1"/>
  <c r="DR286" i="25" s="1"/>
  <c r="DO248" i="25"/>
  <c r="DP248" i="25" s="1"/>
  <c r="DQ248" i="25" s="1"/>
  <c r="DR248" i="25" s="1"/>
  <c r="DO358" i="25"/>
  <c r="DP358" i="25" s="1"/>
  <c r="DQ358" i="25" s="1"/>
  <c r="DR358" i="25" s="1"/>
  <c r="CP257" i="25"/>
  <c r="CP251" i="25"/>
  <c r="CO290" i="25"/>
  <c r="CQ290" i="25" s="1"/>
  <c r="CP271" i="25"/>
  <c r="CP356" i="25"/>
  <c r="CP297" i="25"/>
  <c r="CP236" i="25"/>
  <c r="CP310" i="25"/>
  <c r="CP343" i="25"/>
  <c r="CP273" i="25"/>
  <c r="CP244" i="25"/>
  <c r="CG245" i="25"/>
  <c r="CG317" i="25"/>
  <c r="CG204" i="25"/>
  <c r="CG263" i="25"/>
  <c r="CG349" i="25"/>
  <c r="CG214" i="25"/>
  <c r="CG287" i="25"/>
  <c r="CG300" i="25"/>
  <c r="CG280" i="25"/>
  <c r="CG228" i="25"/>
  <c r="CG203" i="25"/>
  <c r="CG395" i="25"/>
  <c r="CG384" i="25"/>
  <c r="CG279" i="25"/>
  <c r="CG365" i="25"/>
  <c r="CG233" i="25"/>
  <c r="CG291" i="25"/>
  <c r="CG258" i="25"/>
  <c r="CG346" i="25"/>
  <c r="CG247" i="25"/>
  <c r="CG329" i="25"/>
  <c r="CG295" i="25"/>
  <c r="CG261" i="25"/>
  <c r="CG227" i="25"/>
  <c r="CG224" i="25"/>
  <c r="CG257" i="25"/>
  <c r="CG344" i="25"/>
  <c r="CG328" i="25"/>
  <c r="CG251" i="25"/>
  <c r="CG323" i="25"/>
  <c r="CG290" i="25"/>
  <c r="CG254" i="25"/>
  <c r="CG219" i="25"/>
  <c r="CG396" i="25"/>
  <c r="CG389" i="25"/>
  <c r="CG378" i="25"/>
  <c r="CG271" i="25"/>
  <c r="CG242" i="25"/>
  <c r="CG356" i="25"/>
  <c r="CG274" i="25"/>
  <c r="CG297" i="25"/>
  <c r="CG236" i="25"/>
  <c r="CG310" i="25"/>
  <c r="CG343" i="25"/>
  <c r="CG315" i="25"/>
  <c r="CG273" i="25"/>
  <c r="CG244" i="25"/>
  <c r="CG282" i="25"/>
  <c r="CG215" i="25"/>
  <c r="CG319" i="25"/>
  <c r="CG250" i="25"/>
  <c r="CG218" i="25"/>
  <c r="CG352" i="25"/>
  <c r="CG388" i="25"/>
  <c r="CG377" i="25"/>
  <c r="CG368" i="25"/>
  <c r="CG240" i="25"/>
  <c r="CG355" i="25"/>
  <c r="CG338" i="25"/>
  <c r="CG296" i="25"/>
  <c r="CG221" i="25"/>
  <c r="CG305" i="25"/>
  <c r="CG303" i="25"/>
  <c r="CG270" i="25"/>
  <c r="CG243" i="25"/>
  <c r="DO299" i="25"/>
  <c r="DP299" i="25" s="1"/>
  <c r="DQ299" i="25" s="1"/>
  <c r="DR299" i="25" s="1"/>
  <c r="DO373" i="25"/>
  <c r="DP373" i="25" s="1"/>
  <c r="DQ373" i="25" s="1"/>
  <c r="DR373" i="25" s="1"/>
  <c r="DO331" i="25"/>
  <c r="DP331" i="25" s="1"/>
  <c r="DQ331" i="25" s="1"/>
  <c r="DR331" i="25" s="1"/>
  <c r="DO383" i="25"/>
  <c r="DP383" i="25" s="1"/>
  <c r="DQ383" i="25" s="1"/>
  <c r="DR383" i="25" s="1"/>
  <c r="DO372" i="25"/>
  <c r="DP372" i="25" s="1"/>
  <c r="DQ372" i="25" s="1"/>
  <c r="DR372" i="25" s="1"/>
  <c r="DO357" i="25"/>
  <c r="DP357" i="25" s="1"/>
  <c r="DQ357" i="25" s="1"/>
  <c r="DR357" i="25" s="1"/>
  <c r="DO360" i="25"/>
  <c r="DP360" i="25" s="1"/>
  <c r="DQ360" i="25" s="1"/>
  <c r="DR360" i="25" s="1"/>
  <c r="DO277" i="25"/>
  <c r="DP277" i="25" s="1"/>
  <c r="DQ277" i="25" s="1"/>
  <c r="DR277" i="25" s="1"/>
  <c r="DO311" i="25"/>
  <c r="DP311" i="25" s="1"/>
  <c r="DQ311" i="25" s="1"/>
  <c r="DR311" i="25" s="1"/>
  <c r="DO337" i="25"/>
  <c r="DP337" i="25" s="1"/>
  <c r="DQ337" i="25" s="1"/>
  <c r="DR337" i="25" s="1"/>
  <c r="DO345" i="25"/>
  <c r="DP345" i="25" s="1"/>
  <c r="DQ345" i="25" s="1"/>
  <c r="DR345" i="25" s="1"/>
  <c r="DO237" i="25"/>
  <c r="DP237" i="25" s="1"/>
  <c r="DQ237" i="25" s="1"/>
  <c r="DR237" i="25" s="1"/>
  <c r="DO326" i="25"/>
  <c r="DP326" i="25" s="1"/>
  <c r="DQ326" i="25" s="1"/>
  <c r="DR326" i="25" s="1"/>
  <c r="DO294" i="25"/>
  <c r="DP294" i="25" s="1"/>
  <c r="DQ294" i="25" s="1"/>
  <c r="DR294" i="25" s="1"/>
  <c r="DO260" i="25"/>
  <c r="DP260" i="25" s="1"/>
  <c r="DQ260" i="25" s="1"/>
  <c r="DR260" i="25" s="1"/>
  <c r="DO220" i="25"/>
  <c r="DP220" i="25" s="1"/>
  <c r="DQ220" i="25" s="1"/>
  <c r="DR220" i="25" s="1"/>
  <c r="DO324" i="25"/>
  <c r="DP324" i="25" s="1"/>
  <c r="DQ324" i="25" s="1"/>
  <c r="DR324" i="25" s="1"/>
  <c r="DO255" i="25"/>
  <c r="DP255" i="25" s="1"/>
  <c r="DQ255" i="25" s="1"/>
  <c r="DR255" i="25" s="1"/>
  <c r="DO314" i="25"/>
  <c r="DP314" i="25" s="1"/>
  <c r="DQ314" i="25" s="1"/>
  <c r="DR314" i="25" s="1"/>
  <c r="DO281" i="25"/>
  <c r="DP281" i="25" s="1"/>
  <c r="DQ281" i="25" s="1"/>
  <c r="DR281" i="25" s="1"/>
  <c r="DO229" i="25"/>
  <c r="DP229" i="25" s="1"/>
  <c r="DQ229" i="25" s="1"/>
  <c r="DR229" i="25" s="1"/>
  <c r="DO339" i="25"/>
  <c r="DP339" i="25" s="1"/>
  <c r="DQ339" i="25" s="1"/>
  <c r="DR339" i="25" s="1"/>
  <c r="DO284" i="25"/>
  <c r="DP284" i="25" s="1"/>
  <c r="DQ284" i="25" s="1"/>
  <c r="DR284" i="25" s="1"/>
  <c r="DO210" i="25"/>
  <c r="DP210" i="25" s="1"/>
  <c r="DQ210" i="25" s="1"/>
  <c r="DR210" i="25" s="1"/>
  <c r="DO351" i="25"/>
  <c r="DP351" i="25" s="1"/>
  <c r="DQ351" i="25" s="1"/>
  <c r="DR351" i="25" s="1"/>
  <c r="DO386" i="25"/>
  <c r="DP386" i="25" s="1"/>
  <c r="DQ386" i="25" s="1"/>
  <c r="DR386" i="25" s="1"/>
  <c r="DO285" i="25"/>
  <c r="DP285" i="25" s="1"/>
  <c r="DQ285" i="25" s="1"/>
  <c r="DR285" i="25" s="1"/>
  <c r="DO367" i="25"/>
  <c r="DP367" i="25" s="1"/>
  <c r="DQ367" i="25" s="1"/>
  <c r="DR367" i="25" s="1"/>
  <c r="DO234" i="25"/>
  <c r="DP234" i="25" s="1"/>
  <c r="DQ234" i="25" s="1"/>
  <c r="DR234" i="25" s="1"/>
  <c r="DO354" i="25"/>
  <c r="DP354" i="25" s="1"/>
  <c r="DQ354" i="25" s="1"/>
  <c r="DR354" i="25" s="1"/>
  <c r="DO334" i="25"/>
  <c r="DP334" i="25" s="1"/>
  <c r="DQ334" i="25" s="1"/>
  <c r="DR334" i="25" s="1"/>
  <c r="DO336" i="25"/>
  <c r="DP336" i="25" s="1"/>
  <c r="DQ336" i="25" s="1"/>
  <c r="DR336" i="25" s="1"/>
  <c r="DO211" i="25"/>
  <c r="DP211" i="25" s="1"/>
  <c r="DQ211" i="25" s="1"/>
  <c r="DR211" i="25" s="1"/>
  <c r="DO268" i="25"/>
  <c r="DP268" i="25" s="1"/>
  <c r="DQ268" i="25" s="1"/>
  <c r="DR268" i="25" s="1"/>
  <c r="DO340" i="25"/>
  <c r="DP340" i="25" s="1"/>
  <c r="DQ340" i="25" s="1"/>
  <c r="DR340" i="25" s="1"/>
  <c r="DO302" i="25"/>
  <c r="DP302" i="25" s="1"/>
  <c r="DQ302" i="25" s="1"/>
  <c r="DR302" i="25" s="1"/>
  <c r="DO266" i="25"/>
  <c r="DP266" i="25" s="1"/>
  <c r="DQ266" i="25" s="1"/>
  <c r="DR266" i="25" s="1"/>
  <c r="DO238" i="25"/>
  <c r="DP238" i="25" s="1"/>
  <c r="DQ238" i="25" s="1"/>
  <c r="DR238" i="25" s="1"/>
  <c r="DO304" i="25"/>
  <c r="DP304" i="25" s="1"/>
  <c r="DQ304" i="25" s="1"/>
  <c r="DR304" i="25" s="1"/>
  <c r="DO272" i="25"/>
  <c r="DP272" i="25" s="1"/>
  <c r="DQ272" i="25" s="1"/>
  <c r="DR272" i="25" s="1"/>
  <c r="DO293" i="25"/>
  <c r="DP293" i="25" s="1"/>
  <c r="DQ293" i="25" s="1"/>
  <c r="DR293" i="25" s="1"/>
  <c r="DO206" i="25"/>
  <c r="DP206" i="25" s="1"/>
  <c r="DQ206" i="25" s="1"/>
  <c r="DR206" i="25" s="1"/>
  <c r="DO348" i="25"/>
  <c r="DP348" i="25" s="1"/>
  <c r="DQ348" i="25" s="1"/>
  <c r="DR348" i="25" s="1"/>
  <c r="DO369" i="25"/>
  <c r="DP369" i="25" s="1"/>
  <c r="DQ369" i="25" s="1"/>
  <c r="DR369" i="25" s="1"/>
  <c r="DO382" i="25"/>
  <c r="DP382" i="25" s="1"/>
  <c r="DQ382" i="25" s="1"/>
  <c r="DR382" i="25" s="1"/>
  <c r="DO381" i="25"/>
  <c r="DP381" i="25" s="1"/>
  <c r="DQ381" i="25" s="1"/>
  <c r="DR381" i="25" s="1"/>
  <c r="DO278" i="25"/>
  <c r="DP278" i="25" s="1"/>
  <c r="DQ278" i="25" s="1"/>
  <c r="DR278" i="25" s="1"/>
  <c r="DO363" i="25"/>
  <c r="DP363" i="25" s="1"/>
  <c r="DQ363" i="25" s="1"/>
  <c r="DR363" i="25" s="1"/>
  <c r="DO231" i="25"/>
  <c r="DP231" i="25" s="1"/>
  <c r="DQ231" i="25" s="1"/>
  <c r="DR231" i="25" s="1"/>
  <c r="DO276" i="25"/>
  <c r="DP276" i="25" s="1"/>
  <c r="DQ276" i="25" s="1"/>
  <c r="DR276" i="25" s="1"/>
  <c r="DO308" i="25"/>
  <c r="DP308" i="25" s="1"/>
  <c r="DQ308" i="25" s="1"/>
  <c r="DR308" i="25" s="1"/>
  <c r="DO241" i="25"/>
  <c r="DP241" i="25" s="1"/>
  <c r="DQ241" i="25" s="1"/>
  <c r="DR241" i="25" s="1"/>
  <c r="DO327" i="25"/>
  <c r="DP327" i="25" s="1"/>
  <c r="DQ327" i="25" s="1"/>
  <c r="DR327" i="25" s="1"/>
  <c r="DO322" i="25"/>
  <c r="DP322" i="25" s="1"/>
  <c r="DQ322" i="25" s="1"/>
  <c r="DR322" i="25" s="1"/>
  <c r="CP264" i="25"/>
  <c r="CO312" i="25"/>
  <c r="CQ312" i="25" s="1"/>
  <c r="CR312" i="25" s="1"/>
  <c r="CO262" i="25"/>
  <c r="CQ262" i="25" s="1"/>
  <c r="CR262" i="25" s="1"/>
  <c r="CP298" i="25"/>
  <c r="CP230" i="25"/>
  <c r="DO289" i="25"/>
  <c r="DP289" i="25" s="1"/>
  <c r="DQ289" i="25" s="1"/>
  <c r="DR289" i="25" s="1"/>
  <c r="DO257" i="25"/>
  <c r="DP257" i="25" s="1"/>
  <c r="DQ257" i="25" s="1"/>
  <c r="DR257" i="25" s="1"/>
  <c r="DO344" i="25"/>
  <c r="DP344" i="25" s="1"/>
  <c r="DQ344" i="25" s="1"/>
  <c r="DR344" i="25" s="1"/>
  <c r="DO328" i="25"/>
  <c r="DP328" i="25" s="1"/>
  <c r="DQ328" i="25" s="1"/>
  <c r="DR328" i="25" s="1"/>
  <c r="DO251" i="25"/>
  <c r="DP251" i="25" s="1"/>
  <c r="DQ251" i="25" s="1"/>
  <c r="DR251" i="25" s="1"/>
  <c r="DO249" i="25"/>
  <c r="DP249" i="25" s="1"/>
  <c r="DQ249" i="25" s="1"/>
  <c r="DR249" i="25" s="1"/>
  <c r="DO323" i="25"/>
  <c r="DP323" i="25" s="1"/>
  <c r="DQ323" i="25" s="1"/>
  <c r="DR323" i="25" s="1"/>
  <c r="DO254" i="25"/>
  <c r="DP254" i="25" s="1"/>
  <c r="DQ254" i="25" s="1"/>
  <c r="DR254" i="25" s="1"/>
  <c r="DO389" i="25"/>
  <c r="DP389" i="25" s="1"/>
  <c r="DQ389" i="25" s="1"/>
  <c r="DR389" i="25" s="1"/>
  <c r="DO274" i="25"/>
  <c r="DP274" i="25" s="1"/>
  <c r="DQ274" i="25" s="1"/>
  <c r="DR274" i="25" s="1"/>
  <c r="DO343" i="25"/>
  <c r="DP343" i="25" s="1"/>
  <c r="DQ343" i="25" s="1"/>
  <c r="DR343" i="25" s="1"/>
  <c r="DO315" i="25"/>
  <c r="DP315" i="25" s="1"/>
  <c r="DQ315" i="25" s="1"/>
  <c r="DR315" i="25" s="1"/>
  <c r="DO244" i="25"/>
  <c r="DP244" i="25" s="1"/>
  <c r="DQ244" i="25" s="1"/>
  <c r="DR244" i="25" s="1"/>
  <c r="DO318" i="25"/>
  <c r="DP318" i="25" s="1"/>
  <c r="DO232" i="25"/>
  <c r="DP232" i="25" s="1"/>
  <c r="DQ232" i="25" s="1"/>
  <c r="DR232" i="25" s="1"/>
  <c r="DO301" i="25"/>
  <c r="DP301" i="25" s="1"/>
  <c r="DQ301" i="25" s="1"/>
  <c r="DR301" i="25" s="1"/>
  <c r="DO353" i="25"/>
  <c r="DP353" i="25" s="1"/>
  <c r="DQ353" i="25" s="1"/>
  <c r="DR353" i="25" s="1"/>
  <c r="DO217" i="25"/>
  <c r="DP217" i="25" s="1"/>
  <c r="DQ217" i="25" s="1"/>
  <c r="DR217" i="25" s="1"/>
  <c r="DO330" i="25"/>
  <c r="DP330" i="25" s="1"/>
  <c r="DQ330" i="25" s="1"/>
  <c r="DR330" i="25" s="1"/>
  <c r="DO216" i="25"/>
  <c r="DP216" i="25" s="1"/>
  <c r="DQ216" i="25" s="1"/>
  <c r="DR216" i="25" s="1"/>
  <c r="DO283" i="25"/>
  <c r="DP283" i="25" s="1"/>
  <c r="DQ283" i="25" s="1"/>
  <c r="DR283" i="25" s="1"/>
  <c r="DO364" i="25"/>
  <c r="DP364" i="25" s="1"/>
  <c r="DQ364" i="25" s="1"/>
  <c r="DR364" i="25" s="1"/>
  <c r="DO335" i="25"/>
  <c r="DP335" i="25" s="1"/>
  <c r="DQ335" i="25" s="1"/>
  <c r="DR335" i="25" s="1"/>
  <c r="DO350" i="25"/>
  <c r="DP350" i="25" s="1"/>
  <c r="DQ350" i="25" s="1"/>
  <c r="DR350" i="25" s="1"/>
  <c r="DO385" i="25"/>
  <c r="DP385" i="25" s="1"/>
  <c r="DQ385" i="25" s="1"/>
  <c r="DR385" i="25" s="1"/>
  <c r="DO375" i="25"/>
  <c r="DP375" i="25" s="1"/>
  <c r="DQ375" i="25" s="1"/>
  <c r="DR375" i="25" s="1"/>
  <c r="DO253" i="25"/>
  <c r="DP253" i="25" s="1"/>
  <c r="DQ253" i="25" s="1"/>
  <c r="DR253" i="25" s="1"/>
  <c r="DO361" i="25"/>
  <c r="DP361" i="25" s="1"/>
  <c r="DQ361" i="25" s="1"/>
  <c r="DR361" i="25" s="1"/>
  <c r="DO208" i="25"/>
  <c r="DP208" i="25" s="1"/>
  <c r="DQ208" i="25" s="1"/>
  <c r="DR208" i="25" s="1"/>
  <c r="DO264" i="25"/>
  <c r="DP264" i="25" s="1"/>
  <c r="DQ264" i="25" s="1"/>
  <c r="DR264" i="25" s="1"/>
  <c r="DO312" i="25"/>
  <c r="DP312" i="25" s="1"/>
  <c r="DQ312" i="25" s="1"/>
  <c r="DR312" i="25" s="1"/>
  <c r="DO262" i="25"/>
  <c r="DP262" i="25" s="1"/>
  <c r="DQ262" i="25" s="1"/>
  <c r="DR262" i="25" s="1"/>
  <c r="DO332" i="25"/>
  <c r="DP332" i="25" s="1"/>
  <c r="DQ332" i="25" s="1"/>
  <c r="DR332" i="25" s="1"/>
  <c r="DO298" i="25"/>
  <c r="DP298" i="25" s="1"/>
  <c r="DQ298" i="25" s="1"/>
  <c r="DR298" i="25" s="1"/>
  <c r="DO265" i="25"/>
  <c r="DP265" i="25" s="1"/>
  <c r="DQ265" i="25" s="1"/>
  <c r="DR265" i="25" s="1"/>
  <c r="DO230" i="25"/>
  <c r="DP230" i="25" s="1"/>
  <c r="DQ230" i="25" s="1"/>
  <c r="DR230" i="25" s="1"/>
  <c r="DY214" i="25"/>
  <c r="DY300" i="25"/>
  <c r="DW233" i="25"/>
  <c r="DW247" i="25"/>
  <c r="DY384" i="25"/>
  <c r="DY346" i="25"/>
  <c r="DW317" i="25"/>
  <c r="DW280" i="25"/>
  <c r="DW258" i="25"/>
  <c r="DY291" i="25"/>
  <c r="DY227" i="25"/>
  <c r="DW287" i="25"/>
  <c r="DW279" i="25"/>
  <c r="DW261" i="25"/>
  <c r="DY203" i="25"/>
  <c r="DW232" i="25"/>
  <c r="DW349" i="25"/>
  <c r="DY272" i="25"/>
  <c r="DW204" i="25"/>
  <c r="DW207" i="25"/>
  <c r="CG293" i="25"/>
  <c r="CG313" i="25"/>
  <c r="CG289" i="25"/>
  <c r="CG309" i="25"/>
  <c r="CG225" i="25"/>
  <c r="CG373" i="25"/>
  <c r="CG326" i="25"/>
  <c r="CO204" i="25"/>
  <c r="CQ204" i="25" s="1"/>
  <c r="CR204" i="25" s="1"/>
  <c r="CP214" i="25"/>
  <c r="CP280" i="25"/>
  <c r="CP207" i="25"/>
  <c r="CO295" i="25"/>
  <c r="CQ295" i="25" s="1"/>
  <c r="CO363" i="25"/>
  <c r="CQ363" i="25" s="1"/>
  <c r="CP229" i="25"/>
  <c r="CP285" i="25"/>
  <c r="CP354" i="25"/>
  <c r="CP334" i="25"/>
  <c r="CP268" i="25"/>
  <c r="CO320" i="25"/>
  <c r="CQ320" i="25" s="1"/>
  <c r="CP344" i="25"/>
  <c r="CO323" i="25"/>
  <c r="CQ323" i="25" s="1"/>
  <c r="CO242" i="25"/>
  <c r="CQ242" i="25" s="1"/>
  <c r="CP338" i="25"/>
  <c r="CO292" i="25"/>
  <c r="CQ292" i="25" s="1"/>
  <c r="CO313" i="25"/>
  <c r="CQ313" i="25" s="1"/>
  <c r="CO381" i="25"/>
  <c r="CQ381" i="25" s="1"/>
  <c r="CO231" i="25"/>
  <c r="CQ231" i="25" s="1"/>
  <c r="CO276" i="25"/>
  <c r="CQ276" i="25" s="1"/>
  <c r="CO289" i="25"/>
  <c r="CQ289" i="25" s="1"/>
  <c r="CO317" i="25"/>
  <c r="CQ317" i="25" s="1"/>
  <c r="CP204" i="25"/>
  <c r="CP263" i="25"/>
  <c r="CP349" i="25"/>
  <c r="CO287" i="25"/>
  <c r="CQ287" i="25" s="1"/>
  <c r="CO300" i="25"/>
  <c r="CQ300" i="25" s="1"/>
  <c r="CO280" i="25"/>
  <c r="CQ280" i="25" s="1"/>
  <c r="CP228" i="25"/>
  <c r="CO203" i="25"/>
  <c r="CQ203" i="25" s="1"/>
  <c r="CP395" i="25"/>
  <c r="CP384" i="25"/>
  <c r="CP279" i="25"/>
  <c r="CP365" i="25"/>
  <c r="CO233" i="25"/>
  <c r="CQ233" i="25" s="1"/>
  <c r="CO207" i="25"/>
  <c r="CQ207" i="25" s="1"/>
  <c r="CP258" i="25"/>
  <c r="CP247" i="25"/>
  <c r="CP329" i="25"/>
  <c r="CP295" i="25"/>
  <c r="CP261" i="25"/>
  <c r="CO358" i="25"/>
  <c r="CQ358" i="25" s="1"/>
  <c r="CO214" i="25"/>
  <c r="CQ214" i="25" s="1"/>
  <c r="CO365" i="25"/>
  <c r="CQ365" i="25" s="1"/>
  <c r="CP233" i="25"/>
  <c r="CO258" i="25"/>
  <c r="CQ258" i="25" s="1"/>
  <c r="CO346" i="25"/>
  <c r="CQ346" i="25" s="1"/>
  <c r="CP341" i="25"/>
  <c r="CP380" i="25"/>
  <c r="CO359" i="25"/>
  <c r="CQ359" i="25" s="1"/>
  <c r="CP325" i="25"/>
  <c r="CP226" i="25"/>
  <c r="CO248" i="25"/>
  <c r="CQ248" i="25" s="1"/>
  <c r="CP358" i="25"/>
  <c r="DS213" i="25"/>
  <c r="DS347" i="25"/>
  <c r="DS341" i="25"/>
  <c r="DS252" i="25"/>
  <c r="DS205" i="25"/>
  <c r="DS269" i="25"/>
  <c r="DS222" i="25"/>
  <c r="DS379" i="25"/>
  <c r="DS380" i="25"/>
  <c r="DS370" i="25"/>
  <c r="DS362" i="25"/>
  <c r="DS359" i="25"/>
  <c r="DS307" i="25"/>
  <c r="DS239" i="25"/>
  <c r="DS325" i="25"/>
  <c r="DS321" i="25"/>
  <c r="DS286" i="25"/>
  <c r="DS248" i="25"/>
  <c r="CP212" i="25"/>
  <c r="CO212" i="25"/>
  <c r="CQ212" i="25" s="1"/>
  <c r="CO256" i="25"/>
  <c r="CQ256" i="25" s="1"/>
  <c r="CP256" i="25"/>
  <c r="CP267" i="25"/>
  <c r="CO267" i="25"/>
  <c r="CQ267" i="25" s="1"/>
  <c r="CP282" i="25"/>
  <c r="CO282" i="25"/>
  <c r="CQ282" i="25" s="1"/>
  <c r="CP246" i="25"/>
  <c r="CO246" i="25"/>
  <c r="CQ246" i="25" s="1"/>
  <c r="CP215" i="25"/>
  <c r="CO215" i="25"/>
  <c r="CQ215" i="25" s="1"/>
  <c r="CP319" i="25"/>
  <c r="CO319" i="25"/>
  <c r="CQ319" i="25" s="1"/>
  <c r="CO288" i="25"/>
  <c r="CQ288" i="25" s="1"/>
  <c r="CP288" i="25"/>
  <c r="CO250" i="25"/>
  <c r="CQ250" i="25" s="1"/>
  <c r="CP250" i="25"/>
  <c r="CO218" i="25"/>
  <c r="CQ218" i="25" s="1"/>
  <c r="CP218" i="25"/>
  <c r="CP352" i="25"/>
  <c r="CO352" i="25"/>
  <c r="CQ352" i="25" s="1"/>
  <c r="CO388" i="25"/>
  <c r="CQ388" i="25" s="1"/>
  <c r="CP388" i="25"/>
  <c r="CO377" i="25"/>
  <c r="CQ377" i="25" s="1"/>
  <c r="CP377" i="25"/>
  <c r="CO368" i="25"/>
  <c r="CQ368" i="25" s="1"/>
  <c r="CP368" i="25"/>
  <c r="CP240" i="25"/>
  <c r="CO240" i="25"/>
  <c r="CQ240" i="25" s="1"/>
  <c r="CP355" i="25"/>
  <c r="CO355" i="25"/>
  <c r="CQ355" i="25" s="1"/>
  <c r="CO338" i="25"/>
  <c r="CQ338" i="25" s="1"/>
  <c r="CO296" i="25"/>
  <c r="CQ296" i="25" s="1"/>
  <c r="CP296" i="25"/>
  <c r="CO221" i="25"/>
  <c r="CQ221" i="25" s="1"/>
  <c r="CP221" i="25"/>
  <c r="CO305" i="25"/>
  <c r="CQ305" i="25" s="1"/>
  <c r="CP305" i="25"/>
  <c r="CO342" i="25"/>
  <c r="CQ342" i="25" s="1"/>
  <c r="CP342" i="25"/>
  <c r="CP303" i="25"/>
  <c r="CO303" i="25"/>
  <c r="CQ303" i="25" s="1"/>
  <c r="CO270" i="25"/>
  <c r="CQ270" i="25" s="1"/>
  <c r="CP270" i="25"/>
  <c r="CP243" i="25"/>
  <c r="CO243" i="25"/>
  <c r="CQ243" i="25" s="1"/>
  <c r="CO309" i="25"/>
  <c r="CQ309" i="25" s="1"/>
  <c r="CP309" i="25"/>
  <c r="CO306" i="25"/>
  <c r="CQ306" i="25" s="1"/>
  <c r="CP306" i="25"/>
  <c r="CO225" i="25"/>
  <c r="CQ225" i="25" s="1"/>
  <c r="CR225" i="25" s="1"/>
  <c r="CV225" i="25" s="1"/>
  <c r="CW225" i="25" s="1"/>
  <c r="CZ225" i="25" s="1"/>
  <c r="CP225" i="25"/>
  <c r="CO316" i="25"/>
  <c r="CQ316" i="25" s="1"/>
  <c r="CP316" i="25"/>
  <c r="CO209" i="25"/>
  <c r="CQ209" i="25" s="1"/>
  <c r="CR209" i="25" s="1"/>
  <c r="CP209" i="25"/>
  <c r="CP299" i="25"/>
  <c r="CO299" i="25"/>
  <c r="CQ299" i="25" s="1"/>
  <c r="CR299" i="25" s="1"/>
  <c r="CV299" i="25" s="1"/>
  <c r="CW299" i="25" s="1"/>
  <c r="CZ299" i="25" s="1"/>
  <c r="CP374" i="25"/>
  <c r="CO374" i="25"/>
  <c r="CQ374" i="25" s="1"/>
  <c r="CP223" i="25"/>
  <c r="CO223" i="25"/>
  <c r="CQ223" i="25" s="1"/>
  <c r="CP373" i="25"/>
  <c r="CO373" i="25"/>
  <c r="CQ373" i="25" s="1"/>
  <c r="CR373" i="25" s="1"/>
  <c r="CP331" i="25"/>
  <c r="CO331" i="25"/>
  <c r="CQ331" i="25" s="1"/>
  <c r="CR331" i="25" s="1"/>
  <c r="CP383" i="25"/>
  <c r="CO383" i="25"/>
  <c r="CQ383" i="25" s="1"/>
  <c r="CR383" i="25" s="1"/>
  <c r="CV383" i="25" s="1"/>
  <c r="CW383" i="25" s="1"/>
  <c r="CZ383" i="25" s="1"/>
  <c r="CO372" i="25"/>
  <c r="CQ372" i="25" s="1"/>
  <c r="CP372" i="25"/>
  <c r="CO357" i="25"/>
  <c r="CQ357" i="25" s="1"/>
  <c r="CP357" i="25"/>
  <c r="CO360" i="25"/>
  <c r="CQ360" i="25" s="1"/>
  <c r="CR360" i="25" s="1"/>
  <c r="CP360" i="25"/>
  <c r="CP326" i="25"/>
  <c r="CO294" i="25"/>
  <c r="CQ294" i="25" s="1"/>
  <c r="CP277" i="25"/>
  <c r="CP311" i="25"/>
  <c r="CP337" i="25"/>
  <c r="CO337" i="25"/>
  <c r="CQ337" i="25" s="1"/>
  <c r="CR337" i="25" s="1"/>
  <c r="CP345" i="25"/>
  <c r="CP237" i="25"/>
  <c r="CP260" i="25"/>
  <c r="CO220" i="25"/>
  <c r="CQ220" i="25" s="1"/>
  <c r="DE302" i="25"/>
  <c r="DH302" i="25"/>
  <c r="DI302" i="25" s="1"/>
  <c r="DY293" i="25"/>
  <c r="CO326" i="25"/>
  <c r="CQ326" i="25" s="1"/>
  <c r="CO277" i="25"/>
  <c r="CQ277" i="25" s="1"/>
  <c r="CR277" i="25" s="1"/>
  <c r="CV277" i="25" s="1"/>
  <c r="CW277" i="25" s="1"/>
  <c r="CZ277" i="25" s="1"/>
  <c r="DY348" i="25"/>
  <c r="DY313" i="25"/>
  <c r="DY278" i="25"/>
  <c r="DY235" i="25"/>
  <c r="DW304" i="25"/>
  <c r="DW276" i="25"/>
  <c r="CP220" i="25"/>
  <c r="CO245" i="25"/>
  <c r="CQ245" i="25" s="1"/>
  <c r="CP317" i="25"/>
  <c r="CO263" i="25"/>
  <c r="CQ263" i="25" s="1"/>
  <c r="CP287" i="25"/>
  <c r="CP300" i="25"/>
  <c r="CP203" i="25"/>
  <c r="CO384" i="25"/>
  <c r="CQ384" i="25" s="1"/>
  <c r="CO279" i="25"/>
  <c r="CQ279" i="25" s="1"/>
  <c r="CO291" i="25"/>
  <c r="CQ291" i="25" s="1"/>
  <c r="CP291" i="25"/>
  <c r="CO247" i="25"/>
  <c r="CQ247" i="25" s="1"/>
  <c r="CO329" i="25"/>
  <c r="CQ329" i="25" s="1"/>
  <c r="CO261" i="25"/>
  <c r="CQ261" i="25" s="1"/>
  <c r="CP227" i="25"/>
  <c r="CP224" i="25"/>
  <c r="CO257" i="25"/>
  <c r="CQ257" i="25" s="1"/>
  <c r="CO344" i="25"/>
  <c r="CQ344" i="25" s="1"/>
  <c r="CO328" i="25"/>
  <c r="CQ328" i="25" s="1"/>
  <c r="CO251" i="25"/>
  <c r="CQ251" i="25" s="1"/>
  <c r="CP249" i="25"/>
  <c r="CO249" i="25"/>
  <c r="CQ249" i="25" s="1"/>
  <c r="CP323" i="25"/>
  <c r="CP290" i="25"/>
  <c r="CP254" i="25"/>
  <c r="CO254" i="25"/>
  <c r="CQ254" i="25" s="1"/>
  <c r="CO219" i="25"/>
  <c r="CQ219" i="25" s="1"/>
  <c r="CP219" i="25"/>
  <c r="CO396" i="25"/>
  <c r="CQ396" i="25" s="1"/>
  <c r="CO389" i="25"/>
  <c r="CQ389" i="25" s="1"/>
  <c r="CP389" i="25"/>
  <c r="CO378" i="25"/>
  <c r="CQ378" i="25" s="1"/>
  <c r="CP378" i="25"/>
  <c r="CO271" i="25"/>
  <c r="CQ271" i="25" s="1"/>
  <c r="CP242" i="25"/>
  <c r="CO356" i="25"/>
  <c r="CQ356" i="25" s="1"/>
  <c r="CP274" i="25"/>
  <c r="CO274" i="25"/>
  <c r="CQ274" i="25" s="1"/>
  <c r="CO297" i="25"/>
  <c r="CQ297" i="25" s="1"/>
  <c r="CO236" i="25"/>
  <c r="CQ236" i="25" s="1"/>
  <c r="CO310" i="25"/>
  <c r="CQ310" i="25" s="1"/>
  <c r="CO343" i="25"/>
  <c r="CQ343" i="25" s="1"/>
  <c r="CO315" i="25"/>
  <c r="CQ315" i="25" s="1"/>
  <c r="CP315" i="25"/>
  <c r="CO273" i="25"/>
  <c r="CQ273" i="25" s="1"/>
  <c r="CO244" i="25"/>
  <c r="CQ244" i="25" s="1"/>
  <c r="DY374" i="25"/>
  <c r="DY385" i="25"/>
  <c r="DY231" i="25"/>
  <c r="DY311" i="25"/>
  <c r="DY289" i="25"/>
  <c r="DY220" i="25"/>
  <c r="DW372" i="25"/>
  <c r="CP245" i="25"/>
  <c r="CP328" i="25"/>
  <c r="CP346" i="25"/>
  <c r="CO224" i="25"/>
  <c r="CQ224" i="25" s="1"/>
  <c r="CO311" i="25"/>
  <c r="CQ311" i="25" s="1"/>
  <c r="CR311" i="25" s="1"/>
  <c r="CV311" i="25" s="1"/>
  <c r="CW311" i="25" s="1"/>
  <c r="CZ311" i="25" s="1"/>
  <c r="CO260" i="25"/>
  <c r="CQ260" i="25" s="1"/>
  <c r="CR260" i="25" s="1"/>
  <c r="DY308" i="25"/>
  <c r="DS256" i="25"/>
  <c r="DS246" i="25"/>
  <c r="DS215" i="25"/>
  <c r="DS218" i="25"/>
  <c r="DS377" i="25"/>
  <c r="DS368" i="25"/>
  <c r="DS221" i="25"/>
  <c r="DS342" i="25"/>
  <c r="DS270" i="25"/>
  <c r="CO227" i="25"/>
  <c r="CQ227" i="25" s="1"/>
  <c r="CG369" i="25"/>
  <c r="CG231" i="25"/>
  <c r="CG276" i="25"/>
  <c r="DY353" i="25"/>
  <c r="DY206" i="25"/>
  <c r="DY382" i="25"/>
  <c r="DS314" i="25"/>
  <c r="DS339" i="25"/>
  <c r="DS234" i="25"/>
  <c r="DS354" i="25"/>
  <c r="DS334" i="25"/>
  <c r="DS336" i="25"/>
  <c r="DS266" i="25"/>
  <c r="DS238" i="25"/>
  <c r="CP396" i="25"/>
  <c r="DY322" i="25"/>
  <c r="DW369" i="25"/>
  <c r="DH226" i="25"/>
  <c r="DI226" i="25" s="1"/>
  <c r="CO345" i="25"/>
  <c r="CQ345" i="25" s="1"/>
  <c r="CR345" i="25" s="1"/>
  <c r="CG324" i="25"/>
  <c r="CG255" i="25"/>
  <c r="CG314" i="25"/>
  <c r="CG281" i="25"/>
  <c r="CG229" i="25"/>
  <c r="CG339" i="25"/>
  <c r="CG284" i="25"/>
  <c r="CG210" i="25"/>
  <c r="CG351" i="25"/>
  <c r="CG386" i="25"/>
  <c r="CG285" i="25"/>
  <c r="CG367" i="25"/>
  <c r="CG234" i="25"/>
  <c r="CG354" i="25"/>
  <c r="CG334" i="25"/>
  <c r="CG336" i="25"/>
  <c r="CG211" i="25"/>
  <c r="CG268" i="25"/>
  <c r="CG340" i="25"/>
  <c r="CG302" i="25"/>
  <c r="CG266" i="25"/>
  <c r="CG238" i="25"/>
  <c r="CG304" i="25"/>
  <c r="CG272" i="25"/>
  <c r="CG320" i="25"/>
  <c r="CG206" i="25"/>
  <c r="CG292" i="25"/>
  <c r="CG382" i="25"/>
  <c r="CG381" i="25"/>
  <c r="CG278" i="25"/>
  <c r="CG363" i="25"/>
  <c r="CG308" i="25"/>
  <c r="CG327" i="25"/>
  <c r="CG235" i="25"/>
  <c r="CG322" i="25"/>
  <c r="CG252" i="25"/>
  <c r="CG205" i="25"/>
  <c r="CG362" i="25"/>
  <c r="CG275" i="25"/>
  <c r="CG239" i="25"/>
  <c r="CG321" i="25"/>
  <c r="CG248" i="25"/>
  <c r="CO228" i="25"/>
  <c r="CQ228" i="25" s="1"/>
  <c r="CO395" i="25"/>
  <c r="CQ395" i="25" s="1"/>
  <c r="DO309" i="25"/>
  <c r="DP309" i="25" s="1"/>
  <c r="DQ309" i="25" s="1"/>
  <c r="DR309" i="25" s="1"/>
  <c r="DO306" i="25"/>
  <c r="DP306" i="25" s="1"/>
  <c r="DQ306" i="25" s="1"/>
  <c r="DR306" i="25" s="1"/>
  <c r="DO225" i="25"/>
  <c r="DP225" i="25" s="1"/>
  <c r="DQ225" i="25" s="1"/>
  <c r="DR225" i="25" s="1"/>
  <c r="DO316" i="25"/>
  <c r="DP316" i="25" s="1"/>
  <c r="DQ316" i="25" s="1"/>
  <c r="DR316" i="25" s="1"/>
  <c r="DO209" i="25"/>
  <c r="DP209" i="25" s="1"/>
  <c r="DQ209" i="25" s="1"/>
  <c r="DR209" i="25" s="1"/>
  <c r="DO374" i="25"/>
  <c r="DP374" i="25" s="1"/>
  <c r="DQ374" i="25" s="1"/>
  <c r="DR374" i="25" s="1"/>
  <c r="DO223" i="25"/>
  <c r="DP223" i="25" s="1"/>
  <c r="DQ223" i="25" s="1"/>
  <c r="DR223" i="25" s="1"/>
  <c r="CO349" i="25"/>
  <c r="CQ349" i="25" s="1"/>
  <c r="CR349" i="25" s="1"/>
  <c r="CP281" i="25"/>
  <c r="CP284" i="25"/>
  <c r="CP386" i="25"/>
  <c r="CP340" i="25"/>
  <c r="CP266" i="25"/>
  <c r="CO304" i="25"/>
  <c r="CQ304" i="25" s="1"/>
  <c r="CO293" i="25"/>
  <c r="CQ293" i="25" s="1"/>
  <c r="CO348" i="25"/>
  <c r="CQ348" i="25" s="1"/>
  <c r="CO369" i="25"/>
  <c r="CQ369" i="25" s="1"/>
  <c r="CG318" i="25"/>
  <c r="CG232" i="25"/>
  <c r="CG301" i="25"/>
  <c r="CG353" i="25"/>
  <c r="CG217" i="25"/>
  <c r="CG330" i="25"/>
  <c r="CG216" i="25"/>
  <c r="CG283" i="25"/>
  <c r="CG364" i="25"/>
  <c r="CG335" i="25"/>
  <c r="CG350" i="25"/>
  <c r="CG385" i="25"/>
  <c r="CG375" i="25"/>
  <c r="CG253" i="25"/>
  <c r="CG361" i="25"/>
  <c r="CG208" i="25"/>
  <c r="CG333" i="25"/>
  <c r="CG264" i="25"/>
  <c r="CG312" i="25"/>
  <c r="CG262" i="25"/>
  <c r="CG332" i="25"/>
  <c r="CG298" i="25"/>
  <c r="CG265" i="25"/>
  <c r="CG230" i="25"/>
  <c r="CG347" i="25"/>
  <c r="DW212" i="25"/>
  <c r="DY212" i="25"/>
  <c r="DW256" i="25"/>
  <c r="DY256" i="25"/>
  <c r="DW267" i="25"/>
  <c r="DY267" i="25"/>
  <c r="DW282" i="25"/>
  <c r="DY282" i="25"/>
  <c r="DW246" i="25"/>
  <c r="DY246" i="25"/>
  <c r="DW215" i="25"/>
  <c r="DY215" i="25"/>
  <c r="DW319" i="25"/>
  <c r="DY319" i="25"/>
  <c r="DW288" i="25"/>
  <c r="DY288" i="25"/>
  <c r="DW250" i="25"/>
  <c r="DY250" i="25"/>
  <c r="DW218" i="25"/>
  <c r="DY218" i="25"/>
  <c r="DW352" i="25"/>
  <c r="DY352" i="25"/>
  <c r="DW388" i="25"/>
  <c r="DY388" i="25"/>
  <c r="DW377" i="25"/>
  <c r="DY377" i="25"/>
  <c r="DW368" i="25"/>
  <c r="DY368" i="25"/>
  <c r="DW240" i="25"/>
  <c r="DY240" i="25"/>
  <c r="DW355" i="25"/>
  <c r="DY355" i="25"/>
  <c r="DW338" i="25"/>
  <c r="DY338" i="25"/>
  <c r="DW296" i="25"/>
  <c r="DY296" i="25"/>
  <c r="DW221" i="25"/>
  <c r="DY221" i="25"/>
  <c r="DW305" i="25"/>
  <c r="DY305" i="25"/>
  <c r="DW342" i="25"/>
  <c r="DY342" i="25"/>
  <c r="DW303" i="25"/>
  <c r="DY303" i="25"/>
  <c r="DW270" i="25"/>
  <c r="DY270" i="25"/>
  <c r="DW243" i="25"/>
  <c r="DY243" i="25"/>
  <c r="DD316" i="25"/>
  <c r="DC316" i="25" s="1"/>
  <c r="DJ316" i="25" s="1"/>
  <c r="DH316" i="25"/>
  <c r="DI316" i="25" s="1"/>
  <c r="DE316" i="25"/>
  <c r="DD373" i="25"/>
  <c r="DC373" i="25" s="1"/>
  <c r="DJ373" i="25" s="1"/>
  <c r="DH373" i="25"/>
  <c r="DI373" i="25" s="1"/>
  <c r="DE373" i="25"/>
  <c r="DE331" i="25"/>
  <c r="DD331" i="25"/>
  <c r="DC331" i="25" s="1"/>
  <c r="DJ331" i="25" s="1"/>
  <c r="DH331" i="25"/>
  <c r="DI331" i="25" s="1"/>
  <c r="DH277" i="25"/>
  <c r="DI277" i="25" s="1"/>
  <c r="DD277" i="25"/>
  <c r="DC277" i="25" s="1"/>
  <c r="DJ277" i="25" s="1"/>
  <c r="DE277" i="25"/>
  <c r="DD237" i="25"/>
  <c r="DC237" i="25" s="1"/>
  <c r="DJ237" i="25" s="1"/>
  <c r="DH237" i="25"/>
  <c r="DI237" i="25" s="1"/>
  <c r="DE237" i="25"/>
  <c r="DE299" i="25"/>
  <c r="DH299" i="25"/>
  <c r="DI299" i="25" s="1"/>
  <c r="DD299" i="25"/>
  <c r="DC299" i="25" s="1"/>
  <c r="DJ299" i="25" s="1"/>
  <c r="DD357" i="25"/>
  <c r="DC357" i="25" s="1"/>
  <c r="DJ357" i="25" s="1"/>
  <c r="DH357" i="25"/>
  <c r="DI357" i="25" s="1"/>
  <c r="DE357" i="25"/>
  <c r="DD311" i="25"/>
  <c r="DC311" i="25" s="1"/>
  <c r="DJ311" i="25" s="1"/>
  <c r="DH311" i="25"/>
  <c r="DI311" i="25" s="1"/>
  <c r="DE311" i="25"/>
  <c r="DD309" i="25"/>
  <c r="DC309" i="25" s="1"/>
  <c r="DJ309" i="25" s="1"/>
  <c r="DH309" i="25"/>
  <c r="DI309" i="25" s="1"/>
  <c r="DE309" i="25"/>
  <c r="DD225" i="25"/>
  <c r="DC225" i="25" s="1"/>
  <c r="DJ225" i="25" s="1"/>
  <c r="DE225" i="25"/>
  <c r="DH225" i="25"/>
  <c r="DI225" i="25" s="1"/>
  <c r="DE209" i="25"/>
  <c r="DD209" i="25"/>
  <c r="DC209" i="25" s="1"/>
  <c r="DJ209" i="25" s="1"/>
  <c r="DH209" i="25"/>
  <c r="DI209" i="25" s="1"/>
  <c r="DD223" i="25"/>
  <c r="DC223" i="25" s="1"/>
  <c r="DJ223" i="25" s="1"/>
  <c r="DE223" i="25"/>
  <c r="DH223" i="25"/>
  <c r="DI223" i="25" s="1"/>
  <c r="DD383" i="25"/>
  <c r="DC383" i="25" s="1"/>
  <c r="DJ383" i="25" s="1"/>
  <c r="DH383" i="25"/>
  <c r="DI383" i="25" s="1"/>
  <c r="DE383" i="25"/>
  <c r="DD337" i="25"/>
  <c r="DC337" i="25" s="1"/>
  <c r="DJ337" i="25" s="1"/>
  <c r="DE337" i="25"/>
  <c r="DH337" i="25"/>
  <c r="DI337" i="25" s="1"/>
  <c r="DD306" i="25"/>
  <c r="DC306" i="25" s="1"/>
  <c r="DJ306" i="25" s="1"/>
  <c r="DE306" i="25"/>
  <c r="DH306" i="25"/>
  <c r="DI306" i="25" s="1"/>
  <c r="DD374" i="25"/>
  <c r="DC374" i="25" s="1"/>
  <c r="DJ374" i="25" s="1"/>
  <c r="DH374" i="25"/>
  <c r="DI374" i="25" s="1"/>
  <c r="DE374" i="25"/>
  <c r="DD360" i="25"/>
  <c r="DC360" i="25" s="1"/>
  <c r="DJ360" i="25" s="1"/>
  <c r="DE360" i="25"/>
  <c r="DH360" i="25"/>
  <c r="DI360" i="25" s="1"/>
  <c r="DE326" i="25"/>
  <c r="DD326" i="25"/>
  <c r="DC326" i="25" s="1"/>
  <c r="DJ326" i="25" s="1"/>
  <c r="DH326" i="25"/>
  <c r="DI326" i="25" s="1"/>
  <c r="DE260" i="25"/>
  <c r="DH260" i="25"/>
  <c r="DI260" i="25" s="1"/>
  <c r="DD260" i="25"/>
  <c r="DC260" i="25" s="1"/>
  <c r="DJ260" i="25" s="1"/>
  <c r="DE220" i="25"/>
  <c r="DH220" i="25"/>
  <c r="DI220" i="25" s="1"/>
  <c r="DD220" i="25"/>
  <c r="DC220" i="25" s="1"/>
  <c r="DJ220" i="25" s="1"/>
  <c r="DD372" i="25"/>
  <c r="DC372" i="25" s="1"/>
  <c r="DJ372" i="25" s="1"/>
  <c r="DE372" i="25"/>
  <c r="DH372" i="25"/>
  <c r="DI372" i="25" s="1"/>
  <c r="DE345" i="25"/>
  <c r="DD345" i="25"/>
  <c r="DC345" i="25" s="1"/>
  <c r="DJ345" i="25" s="1"/>
  <c r="DH345" i="25"/>
  <c r="DI345" i="25" s="1"/>
  <c r="DE294" i="25"/>
  <c r="DD294" i="25"/>
  <c r="DC294" i="25" s="1"/>
  <c r="DJ294" i="25" s="1"/>
  <c r="DH294" i="25"/>
  <c r="DI294" i="25" s="1"/>
  <c r="CQ318" i="25"/>
  <c r="CV318" i="25" s="1"/>
  <c r="CW318" i="25" s="1"/>
  <c r="CZ318" i="25" s="1"/>
  <c r="DH318" i="25"/>
  <c r="DI318" i="25" s="1"/>
  <c r="DE318" i="25"/>
  <c r="DH232" i="25"/>
  <c r="DI232" i="25" s="1"/>
  <c r="DD232" i="25"/>
  <c r="DC232" i="25" s="1"/>
  <c r="DJ232" i="25" s="1"/>
  <c r="DH301" i="25"/>
  <c r="DI301" i="25" s="1"/>
  <c r="DE301" i="25"/>
  <c r="DH353" i="25"/>
  <c r="DI353" i="25" s="1"/>
  <c r="DD353" i="25"/>
  <c r="DC353" i="25" s="1"/>
  <c r="DJ353" i="25" s="1"/>
  <c r="DH217" i="25"/>
  <c r="DI217" i="25" s="1"/>
  <c r="DE217" i="25"/>
  <c r="DD217" i="25"/>
  <c r="DC217" i="25" s="1"/>
  <c r="DJ217" i="25" s="1"/>
  <c r="DD330" i="25"/>
  <c r="DC330" i="25" s="1"/>
  <c r="DJ330" i="25" s="1"/>
  <c r="DH330" i="25"/>
  <c r="DI330" i="25" s="1"/>
  <c r="DD216" i="25"/>
  <c r="DC216" i="25" s="1"/>
  <c r="DJ216" i="25" s="1"/>
  <c r="DH216" i="25"/>
  <c r="DI216" i="25" s="1"/>
  <c r="DE216" i="25"/>
  <c r="DD283" i="25"/>
  <c r="DC283" i="25" s="1"/>
  <c r="DJ283" i="25" s="1"/>
  <c r="DH283" i="25"/>
  <c r="DI283" i="25" s="1"/>
  <c r="DD364" i="25"/>
  <c r="DC364" i="25" s="1"/>
  <c r="DJ364" i="25" s="1"/>
  <c r="DH364" i="25"/>
  <c r="DI364" i="25" s="1"/>
  <c r="DE364" i="25"/>
  <c r="DH335" i="25"/>
  <c r="DI335" i="25" s="1"/>
  <c r="DH350" i="25"/>
  <c r="DI350" i="25" s="1"/>
  <c r="DE350" i="25"/>
  <c r="DD350" i="25"/>
  <c r="DC350" i="25" s="1"/>
  <c r="DJ350" i="25" s="1"/>
  <c r="DD385" i="25"/>
  <c r="DC385" i="25" s="1"/>
  <c r="DJ385" i="25" s="1"/>
  <c r="DH385" i="25"/>
  <c r="DI385" i="25" s="1"/>
  <c r="DD375" i="25"/>
  <c r="DC375" i="25" s="1"/>
  <c r="DJ375" i="25" s="1"/>
  <c r="DH375" i="25"/>
  <c r="DI375" i="25" s="1"/>
  <c r="DE375" i="25"/>
  <c r="DH253" i="25"/>
  <c r="DI253" i="25" s="1"/>
  <c r="DE253" i="25"/>
  <c r="DH361" i="25"/>
  <c r="DI361" i="25" s="1"/>
  <c r="DD361" i="25"/>
  <c r="DC361" i="25" s="1"/>
  <c r="DJ361" i="25" s="1"/>
  <c r="DE361" i="25"/>
  <c r="DD208" i="25"/>
  <c r="DC208" i="25" s="1"/>
  <c r="DJ208" i="25" s="1"/>
  <c r="DH208" i="25"/>
  <c r="DI208" i="25" s="1"/>
  <c r="DE208" i="25"/>
  <c r="DD333" i="25"/>
  <c r="DC333" i="25" s="1"/>
  <c r="DJ333" i="25" s="1"/>
  <c r="DH333" i="25"/>
  <c r="DI333" i="25" s="1"/>
  <c r="DH264" i="25"/>
  <c r="DI264" i="25" s="1"/>
  <c r="DE264" i="25"/>
  <c r="DD264" i="25"/>
  <c r="DC264" i="25" s="1"/>
  <c r="DJ264" i="25" s="1"/>
  <c r="DE312" i="25"/>
  <c r="DH312" i="25"/>
  <c r="DI312" i="25" s="1"/>
  <c r="DD312" i="25"/>
  <c r="DC312" i="25" s="1"/>
  <c r="DJ312" i="25" s="1"/>
  <c r="DD262" i="25"/>
  <c r="DC262" i="25" s="1"/>
  <c r="DJ262" i="25" s="1"/>
  <c r="DE262" i="25"/>
  <c r="DH262" i="25"/>
  <c r="DI262" i="25" s="1"/>
  <c r="DE332" i="25"/>
  <c r="DD332" i="25"/>
  <c r="DC332" i="25" s="1"/>
  <c r="DJ332" i="25" s="1"/>
  <c r="DH332" i="25"/>
  <c r="DI332" i="25" s="1"/>
  <c r="DE298" i="25"/>
  <c r="DH298" i="25"/>
  <c r="DI298" i="25" s="1"/>
  <c r="DD298" i="25"/>
  <c r="DC298" i="25" s="1"/>
  <c r="DJ298" i="25" s="1"/>
  <c r="DH265" i="25"/>
  <c r="DI265" i="25" s="1"/>
  <c r="DD265" i="25"/>
  <c r="DC265" i="25" s="1"/>
  <c r="DJ265" i="25" s="1"/>
  <c r="DD230" i="25"/>
  <c r="DC230" i="25" s="1"/>
  <c r="DJ230" i="25" s="1"/>
  <c r="DH230" i="25"/>
  <c r="DI230" i="25" s="1"/>
  <c r="DE230" i="25"/>
  <c r="DE385" i="25"/>
  <c r="DD245" i="25"/>
  <c r="DC245" i="25" s="1"/>
  <c r="DJ245" i="25" s="1"/>
  <c r="DH245" i="25"/>
  <c r="DI245" i="25" s="1"/>
  <c r="DE245" i="25"/>
  <c r="DD317" i="25"/>
  <c r="DC317" i="25" s="1"/>
  <c r="DJ317" i="25" s="1"/>
  <c r="DH317" i="25"/>
  <c r="DI317" i="25" s="1"/>
  <c r="DE317" i="25"/>
  <c r="DH204" i="25"/>
  <c r="DI204" i="25" s="1"/>
  <c r="DD204" i="25"/>
  <c r="DC204" i="25" s="1"/>
  <c r="DJ204" i="25" s="1"/>
  <c r="DE204" i="25"/>
  <c r="DH263" i="25"/>
  <c r="DI263" i="25" s="1"/>
  <c r="DE263" i="25"/>
  <c r="DD263" i="25"/>
  <c r="DC263" i="25" s="1"/>
  <c r="DJ263" i="25" s="1"/>
  <c r="DH349" i="25"/>
  <c r="DI349" i="25" s="1"/>
  <c r="DE349" i="25"/>
  <c r="DH214" i="25"/>
  <c r="DI214" i="25" s="1"/>
  <c r="DD214" i="25"/>
  <c r="DC214" i="25" s="1"/>
  <c r="DJ214" i="25" s="1"/>
  <c r="DE214" i="25"/>
  <c r="DH287" i="25"/>
  <c r="DI287" i="25" s="1"/>
  <c r="DE287" i="25"/>
  <c r="DD300" i="25"/>
  <c r="DC300" i="25" s="1"/>
  <c r="DJ300" i="25" s="1"/>
  <c r="DH300" i="25"/>
  <c r="DI300" i="25" s="1"/>
  <c r="DE300" i="25"/>
  <c r="DD280" i="25"/>
  <c r="DC280" i="25" s="1"/>
  <c r="DJ280" i="25" s="1"/>
  <c r="DH280" i="25"/>
  <c r="DI280" i="25" s="1"/>
  <c r="DE280" i="25"/>
  <c r="DD228" i="25"/>
  <c r="DC228" i="25" s="1"/>
  <c r="DJ228" i="25" s="1"/>
  <c r="DH228" i="25"/>
  <c r="DI228" i="25" s="1"/>
  <c r="DE228" i="25"/>
  <c r="DH203" i="25"/>
  <c r="DI203" i="25" s="1"/>
  <c r="DE203" i="25"/>
  <c r="DH395" i="25"/>
  <c r="DI395" i="25" s="1"/>
  <c r="DD395" i="25"/>
  <c r="DC395" i="25" s="1"/>
  <c r="DJ395" i="25" s="1"/>
  <c r="DE395" i="25"/>
  <c r="DD384" i="25"/>
  <c r="DC384" i="25" s="1"/>
  <c r="DJ384" i="25" s="1"/>
  <c r="DH384" i="25"/>
  <c r="DI384" i="25" s="1"/>
  <c r="DE384" i="25"/>
  <c r="DD279" i="25"/>
  <c r="DC279" i="25" s="1"/>
  <c r="DJ279" i="25" s="1"/>
  <c r="DH279" i="25"/>
  <c r="DI279" i="25" s="1"/>
  <c r="DE279" i="25"/>
  <c r="DH365" i="25"/>
  <c r="DI365" i="25" s="1"/>
  <c r="DE365" i="25"/>
  <c r="DD365" i="25"/>
  <c r="DC365" i="25" s="1"/>
  <c r="DJ365" i="25" s="1"/>
  <c r="DH233" i="25"/>
  <c r="DI233" i="25" s="1"/>
  <c r="DD233" i="25"/>
  <c r="DC233" i="25" s="1"/>
  <c r="DJ233" i="25" s="1"/>
  <c r="DE233" i="25"/>
  <c r="DD207" i="25"/>
  <c r="DC207" i="25" s="1"/>
  <c r="DJ207" i="25" s="1"/>
  <c r="DH207" i="25"/>
  <c r="DI207" i="25" s="1"/>
  <c r="DE207" i="25"/>
  <c r="DD291" i="25"/>
  <c r="DC291" i="25" s="1"/>
  <c r="DJ291" i="25" s="1"/>
  <c r="DH291" i="25"/>
  <c r="DI291" i="25" s="1"/>
  <c r="DE291" i="25"/>
  <c r="DH258" i="25"/>
  <c r="DI258" i="25" s="1"/>
  <c r="DE258" i="25"/>
  <c r="DD258" i="25"/>
  <c r="DC258" i="25" s="1"/>
  <c r="DJ258" i="25" s="1"/>
  <c r="DH346" i="25"/>
  <c r="DI346" i="25" s="1"/>
  <c r="DD346" i="25"/>
  <c r="DC346" i="25" s="1"/>
  <c r="DJ346" i="25" s="1"/>
  <c r="DD247" i="25"/>
  <c r="DC247" i="25" s="1"/>
  <c r="DJ247" i="25" s="1"/>
  <c r="DE247" i="25"/>
  <c r="DH247" i="25"/>
  <c r="DI247" i="25" s="1"/>
  <c r="DE329" i="25"/>
  <c r="DD329" i="25"/>
  <c r="DC329" i="25" s="1"/>
  <c r="DJ329" i="25" s="1"/>
  <c r="DH329" i="25"/>
  <c r="DI329" i="25" s="1"/>
  <c r="DE295" i="25"/>
  <c r="DH295" i="25"/>
  <c r="DI295" i="25" s="1"/>
  <c r="DD295" i="25"/>
  <c r="DC295" i="25" s="1"/>
  <c r="DJ295" i="25" s="1"/>
  <c r="DH261" i="25"/>
  <c r="DI261" i="25" s="1"/>
  <c r="DE261" i="25"/>
  <c r="DD261" i="25"/>
  <c r="DC261" i="25" s="1"/>
  <c r="DJ261" i="25" s="1"/>
  <c r="DD227" i="25"/>
  <c r="DC227" i="25" s="1"/>
  <c r="DJ227" i="25" s="1"/>
  <c r="DH227" i="25"/>
  <c r="DI227" i="25" s="1"/>
  <c r="DE227" i="25"/>
  <c r="DH342" i="25"/>
  <c r="DI342" i="25" s="1"/>
  <c r="DE232" i="25"/>
  <c r="DD335" i="25"/>
  <c r="DC335" i="25" s="1"/>
  <c r="DJ335" i="25" s="1"/>
  <c r="DH304" i="25"/>
  <c r="DI304" i="25" s="1"/>
  <c r="DD304" i="25"/>
  <c r="DC304" i="25" s="1"/>
  <c r="DJ304" i="25" s="1"/>
  <c r="DE304" i="25"/>
  <c r="DD272" i="25"/>
  <c r="DC272" i="25" s="1"/>
  <c r="DJ272" i="25" s="1"/>
  <c r="DH272" i="25"/>
  <c r="DI272" i="25" s="1"/>
  <c r="DH320" i="25"/>
  <c r="DI320" i="25" s="1"/>
  <c r="DD320" i="25"/>
  <c r="DC320" i="25" s="1"/>
  <c r="DJ320" i="25" s="1"/>
  <c r="DH293" i="25"/>
  <c r="DI293" i="25" s="1"/>
  <c r="DD293" i="25"/>
  <c r="DC293" i="25" s="1"/>
  <c r="DJ293" i="25" s="1"/>
  <c r="DE293" i="25"/>
  <c r="DH206" i="25"/>
  <c r="DI206" i="25" s="1"/>
  <c r="DD206" i="25"/>
  <c r="DC206" i="25" s="1"/>
  <c r="DJ206" i="25" s="1"/>
  <c r="DH348" i="25"/>
  <c r="DI348" i="25" s="1"/>
  <c r="DE348" i="25"/>
  <c r="DD348" i="25"/>
  <c r="DC348" i="25" s="1"/>
  <c r="DJ348" i="25" s="1"/>
  <c r="DH292" i="25"/>
  <c r="DI292" i="25" s="1"/>
  <c r="DD292" i="25"/>
  <c r="DC292" i="25" s="1"/>
  <c r="DJ292" i="25" s="1"/>
  <c r="DH369" i="25"/>
  <c r="DI369" i="25" s="1"/>
  <c r="DD369" i="25"/>
  <c r="DC369" i="25" s="1"/>
  <c r="DJ369" i="25" s="1"/>
  <c r="DE369" i="25"/>
  <c r="DH382" i="25"/>
  <c r="DI382" i="25" s="1"/>
  <c r="DD382" i="25"/>
  <c r="DC382" i="25" s="1"/>
  <c r="DJ382" i="25" s="1"/>
  <c r="DE382" i="25"/>
  <c r="DH313" i="25"/>
  <c r="DI313" i="25" s="1"/>
  <c r="DD313" i="25"/>
  <c r="DC313" i="25" s="1"/>
  <c r="DJ313" i="25" s="1"/>
  <c r="DH381" i="25"/>
  <c r="DI381" i="25" s="1"/>
  <c r="DD381" i="25"/>
  <c r="DC381" i="25" s="1"/>
  <c r="DJ381" i="25" s="1"/>
  <c r="DE381" i="25"/>
  <c r="DD278" i="25"/>
  <c r="DC278" i="25" s="1"/>
  <c r="DJ278" i="25" s="1"/>
  <c r="DH278" i="25"/>
  <c r="DI278" i="25" s="1"/>
  <c r="DH363" i="25"/>
  <c r="DI363" i="25" s="1"/>
  <c r="DD363" i="25"/>
  <c r="DC363" i="25" s="1"/>
  <c r="DJ363" i="25" s="1"/>
  <c r="DH231" i="25"/>
  <c r="DI231" i="25" s="1"/>
  <c r="DD231" i="25"/>
  <c r="DC231" i="25" s="1"/>
  <c r="DJ231" i="25" s="1"/>
  <c r="DE231" i="25"/>
  <c r="DH276" i="25"/>
  <c r="DI276" i="25" s="1"/>
  <c r="DD276" i="25"/>
  <c r="DC276" i="25" s="1"/>
  <c r="DJ276" i="25" s="1"/>
  <c r="DE276" i="25"/>
  <c r="DD308" i="25"/>
  <c r="DC308" i="25" s="1"/>
  <c r="DJ308" i="25" s="1"/>
  <c r="DH308" i="25"/>
  <c r="DI308" i="25" s="1"/>
  <c r="DE308" i="25"/>
  <c r="DE241" i="25"/>
  <c r="DH241" i="25"/>
  <c r="DI241" i="25" s="1"/>
  <c r="DD241" i="25"/>
  <c r="DC241" i="25" s="1"/>
  <c r="DJ241" i="25" s="1"/>
  <c r="DE327" i="25"/>
  <c r="DH327" i="25"/>
  <c r="DI327" i="25" s="1"/>
  <c r="DE235" i="25"/>
  <c r="DH235" i="25"/>
  <c r="DI235" i="25" s="1"/>
  <c r="DD235" i="25"/>
  <c r="DC235" i="25" s="1"/>
  <c r="DJ235" i="25" s="1"/>
  <c r="DE322" i="25"/>
  <c r="DD322" i="25"/>
  <c r="DC322" i="25" s="1"/>
  <c r="DJ322" i="25" s="1"/>
  <c r="DH322" i="25"/>
  <c r="DI322" i="25" s="1"/>
  <c r="DE289" i="25"/>
  <c r="DH289" i="25"/>
  <c r="DI289" i="25" s="1"/>
  <c r="DD289" i="25"/>
  <c r="DC289" i="25" s="1"/>
  <c r="DJ289" i="25" s="1"/>
  <c r="DE320" i="25"/>
  <c r="DE213" i="25"/>
  <c r="DD213" i="25"/>
  <c r="DC213" i="25" s="1"/>
  <c r="DJ213" i="25" s="1"/>
  <c r="CQ259" i="25"/>
  <c r="DE259" i="25"/>
  <c r="DH259" i="25"/>
  <c r="DI259" i="25" s="1"/>
  <c r="DD347" i="25"/>
  <c r="DC347" i="25" s="1"/>
  <c r="DJ347" i="25" s="1"/>
  <c r="DE347" i="25"/>
  <c r="DD341" i="25"/>
  <c r="DC341" i="25" s="1"/>
  <c r="DJ341" i="25" s="1"/>
  <c r="DE341" i="25"/>
  <c r="DH341" i="25"/>
  <c r="DI341" i="25" s="1"/>
  <c r="DD252" i="25"/>
  <c r="DC252" i="25" s="1"/>
  <c r="DJ252" i="25" s="1"/>
  <c r="DE252" i="25"/>
  <c r="DD205" i="25"/>
  <c r="DC205" i="25" s="1"/>
  <c r="DJ205" i="25" s="1"/>
  <c r="DE205" i="25"/>
  <c r="DH205" i="25"/>
  <c r="DI205" i="25" s="1"/>
  <c r="DE269" i="25"/>
  <c r="DD269" i="25"/>
  <c r="DC269" i="25" s="1"/>
  <c r="DJ269" i="25" s="1"/>
  <c r="DE222" i="25"/>
  <c r="DH222" i="25"/>
  <c r="DI222" i="25" s="1"/>
  <c r="DD222" i="25"/>
  <c r="DC222" i="25" s="1"/>
  <c r="DJ222" i="25" s="1"/>
  <c r="DD379" i="25"/>
  <c r="DC379" i="25" s="1"/>
  <c r="DJ379" i="25" s="1"/>
  <c r="DE379" i="25"/>
  <c r="DE380" i="25"/>
  <c r="DE370" i="25"/>
  <c r="DH370" i="25"/>
  <c r="DI370" i="25" s="1"/>
  <c r="DD362" i="25"/>
  <c r="DC362" i="25" s="1"/>
  <c r="DJ362" i="25" s="1"/>
  <c r="DE362" i="25"/>
  <c r="DD359" i="25"/>
  <c r="DC359" i="25" s="1"/>
  <c r="DJ359" i="25" s="1"/>
  <c r="DE359" i="25"/>
  <c r="DH359" i="25"/>
  <c r="DI359" i="25" s="1"/>
  <c r="DE275" i="25"/>
  <c r="DD275" i="25"/>
  <c r="DC275" i="25" s="1"/>
  <c r="DJ275" i="25" s="1"/>
  <c r="DE307" i="25"/>
  <c r="DH307" i="25"/>
  <c r="DI307" i="25" s="1"/>
  <c r="DD239" i="25"/>
  <c r="DC239" i="25" s="1"/>
  <c r="DJ239" i="25" s="1"/>
  <c r="DE239" i="25"/>
  <c r="DD325" i="25"/>
  <c r="DC325" i="25" s="1"/>
  <c r="DJ325" i="25" s="1"/>
  <c r="DH325" i="25"/>
  <c r="DI325" i="25" s="1"/>
  <c r="DE325" i="25"/>
  <c r="DE226" i="25"/>
  <c r="DE321" i="25"/>
  <c r="DH321" i="25"/>
  <c r="DI321" i="25" s="1"/>
  <c r="DD321" i="25"/>
  <c r="DC321" i="25" s="1"/>
  <c r="DJ321" i="25" s="1"/>
  <c r="DE286" i="25"/>
  <c r="DD286" i="25"/>
  <c r="DC286" i="25" s="1"/>
  <c r="DJ286" i="25" s="1"/>
  <c r="DE248" i="25"/>
  <c r="DD248" i="25"/>
  <c r="DC248" i="25" s="1"/>
  <c r="DJ248" i="25" s="1"/>
  <c r="DH248" i="25"/>
  <c r="DI248" i="25" s="1"/>
  <c r="DE358" i="25"/>
  <c r="DY213" i="25"/>
  <c r="DY259" i="25"/>
  <c r="DY347" i="25"/>
  <c r="DY341" i="25"/>
  <c r="DY252" i="25"/>
  <c r="DY205" i="25"/>
  <c r="DY269" i="25"/>
  <c r="DY222" i="25"/>
  <c r="DY379" i="25"/>
  <c r="DY380" i="25"/>
  <c r="DY370" i="25"/>
  <c r="DY362" i="25"/>
  <c r="DY359" i="25"/>
  <c r="DY275" i="25"/>
  <c r="DY307" i="25"/>
  <c r="DY239" i="25"/>
  <c r="DY325" i="25"/>
  <c r="DY226" i="25"/>
  <c r="DY321" i="25"/>
  <c r="DY286" i="25"/>
  <c r="DY248" i="25"/>
  <c r="DY358" i="25"/>
  <c r="DH380" i="25"/>
  <c r="DI380" i="25" s="1"/>
  <c r="DE353" i="25"/>
  <c r="DE363" i="25"/>
  <c r="DD349" i="25"/>
  <c r="DC349" i="25" s="1"/>
  <c r="DJ349" i="25" s="1"/>
  <c r="DD370" i="25"/>
  <c r="DC370" i="25" s="1"/>
  <c r="DJ370" i="25" s="1"/>
  <c r="DE224" i="25"/>
  <c r="DH224" i="25"/>
  <c r="DI224" i="25" s="1"/>
  <c r="DE257" i="25"/>
  <c r="DD257" i="25"/>
  <c r="DC257" i="25" s="1"/>
  <c r="DJ257" i="25" s="1"/>
  <c r="DH257" i="25"/>
  <c r="DI257" i="25" s="1"/>
  <c r="DE344" i="25"/>
  <c r="DH344" i="25"/>
  <c r="DI344" i="25" s="1"/>
  <c r="DD344" i="25"/>
  <c r="DC344" i="25" s="1"/>
  <c r="DJ344" i="25" s="1"/>
  <c r="DD328" i="25"/>
  <c r="DC328" i="25" s="1"/>
  <c r="DJ328" i="25" s="1"/>
  <c r="DE328" i="25"/>
  <c r="DH328" i="25"/>
  <c r="DI328" i="25" s="1"/>
  <c r="DD251" i="25"/>
  <c r="DC251" i="25" s="1"/>
  <c r="DJ251" i="25" s="1"/>
  <c r="DE251" i="25"/>
  <c r="DH251" i="25"/>
  <c r="DI251" i="25" s="1"/>
  <c r="DD249" i="25"/>
  <c r="DC249" i="25" s="1"/>
  <c r="DJ249" i="25" s="1"/>
  <c r="DE249" i="25"/>
  <c r="DH249" i="25"/>
  <c r="DI249" i="25" s="1"/>
  <c r="DE323" i="25"/>
  <c r="DD323" i="25"/>
  <c r="DC323" i="25" s="1"/>
  <c r="DJ323" i="25" s="1"/>
  <c r="DH323" i="25"/>
  <c r="DI323" i="25" s="1"/>
  <c r="DE290" i="25"/>
  <c r="DH290" i="25"/>
  <c r="DI290" i="25" s="1"/>
  <c r="DD290" i="25"/>
  <c r="DC290" i="25" s="1"/>
  <c r="DJ290" i="25" s="1"/>
  <c r="DE254" i="25"/>
  <c r="DH254" i="25"/>
  <c r="DI254" i="25" s="1"/>
  <c r="DD254" i="25"/>
  <c r="DC254" i="25" s="1"/>
  <c r="DJ254" i="25" s="1"/>
  <c r="DD219" i="25"/>
  <c r="DC219" i="25" s="1"/>
  <c r="DJ219" i="25" s="1"/>
  <c r="DE219" i="25"/>
  <c r="DH219" i="25"/>
  <c r="DI219" i="25" s="1"/>
  <c r="DD396" i="25"/>
  <c r="DC396" i="25" s="1"/>
  <c r="DJ396" i="25" s="1"/>
  <c r="DE396" i="25"/>
  <c r="DH396" i="25"/>
  <c r="DI396" i="25" s="1"/>
  <c r="DD389" i="25"/>
  <c r="DC389" i="25" s="1"/>
  <c r="DJ389" i="25" s="1"/>
  <c r="DE389" i="25"/>
  <c r="DH389" i="25"/>
  <c r="DI389" i="25" s="1"/>
  <c r="DD378" i="25"/>
  <c r="DC378" i="25" s="1"/>
  <c r="DJ378" i="25" s="1"/>
  <c r="DE378" i="25"/>
  <c r="DH378" i="25"/>
  <c r="DI378" i="25" s="1"/>
  <c r="DD271" i="25"/>
  <c r="DC271" i="25" s="1"/>
  <c r="DJ271" i="25" s="1"/>
  <c r="DE271" i="25"/>
  <c r="DH271" i="25"/>
  <c r="DI271" i="25" s="1"/>
  <c r="DD242" i="25"/>
  <c r="DC242" i="25" s="1"/>
  <c r="DJ242" i="25" s="1"/>
  <c r="DE242" i="25"/>
  <c r="DH242" i="25"/>
  <c r="DI242" i="25" s="1"/>
  <c r="DD356" i="25"/>
  <c r="DC356" i="25" s="1"/>
  <c r="DJ356" i="25" s="1"/>
  <c r="DE356" i="25"/>
  <c r="DH356" i="25"/>
  <c r="DI356" i="25" s="1"/>
  <c r="DD274" i="25"/>
  <c r="DC274" i="25" s="1"/>
  <c r="DJ274" i="25" s="1"/>
  <c r="DE274" i="25"/>
  <c r="DH274" i="25"/>
  <c r="DI274" i="25" s="1"/>
  <c r="DD297" i="25"/>
  <c r="DC297" i="25" s="1"/>
  <c r="DJ297" i="25" s="1"/>
  <c r="DE297" i="25"/>
  <c r="DH297" i="25"/>
  <c r="DI297" i="25" s="1"/>
  <c r="DD236" i="25"/>
  <c r="DC236" i="25" s="1"/>
  <c r="DJ236" i="25" s="1"/>
  <c r="DE236" i="25"/>
  <c r="DH236" i="25"/>
  <c r="DI236" i="25" s="1"/>
  <c r="DD310" i="25"/>
  <c r="DC310" i="25" s="1"/>
  <c r="DJ310" i="25" s="1"/>
  <c r="DH310" i="25"/>
  <c r="DI310" i="25" s="1"/>
  <c r="DD343" i="25"/>
  <c r="DC343" i="25" s="1"/>
  <c r="DJ343" i="25" s="1"/>
  <c r="DH343" i="25"/>
  <c r="DI343" i="25" s="1"/>
  <c r="DE343" i="25"/>
  <c r="DD315" i="25"/>
  <c r="DC315" i="25" s="1"/>
  <c r="DJ315" i="25" s="1"/>
  <c r="DE315" i="25"/>
  <c r="DH315" i="25"/>
  <c r="DI315" i="25" s="1"/>
  <c r="DD273" i="25"/>
  <c r="DC273" i="25" s="1"/>
  <c r="DJ273" i="25" s="1"/>
  <c r="DH273" i="25"/>
  <c r="DI273" i="25" s="1"/>
  <c r="DE273" i="25"/>
  <c r="DD244" i="25"/>
  <c r="DC244" i="25" s="1"/>
  <c r="DJ244" i="25" s="1"/>
  <c r="DE244" i="25"/>
  <c r="DH244" i="25"/>
  <c r="DI244" i="25" s="1"/>
  <c r="DH347" i="25"/>
  <c r="DI347" i="25" s="1"/>
  <c r="DH239" i="25"/>
  <c r="DI239" i="25" s="1"/>
  <c r="DE335" i="25"/>
  <c r="DE265" i="25"/>
  <c r="DD287" i="25"/>
  <c r="DC287" i="25" s="1"/>
  <c r="DJ287" i="25" s="1"/>
  <c r="DD253" i="25"/>
  <c r="DC253" i="25" s="1"/>
  <c r="DJ253" i="25" s="1"/>
  <c r="DE212" i="25"/>
  <c r="DD212" i="25"/>
  <c r="DC212" i="25" s="1"/>
  <c r="DJ212" i="25" s="1"/>
  <c r="DH256" i="25"/>
  <c r="DI256" i="25" s="1"/>
  <c r="DD256" i="25"/>
  <c r="DC256" i="25" s="1"/>
  <c r="DJ256" i="25" s="1"/>
  <c r="DE256" i="25"/>
  <c r="DD267" i="25"/>
  <c r="DC267" i="25" s="1"/>
  <c r="DJ267" i="25" s="1"/>
  <c r="DE267" i="25"/>
  <c r="DH282" i="25"/>
  <c r="DI282" i="25" s="1"/>
  <c r="DE282" i="25"/>
  <c r="DD246" i="25"/>
  <c r="DC246" i="25" s="1"/>
  <c r="DJ246" i="25" s="1"/>
  <c r="DE246" i="25"/>
  <c r="DD215" i="25"/>
  <c r="DC215" i="25" s="1"/>
  <c r="DJ215" i="25" s="1"/>
  <c r="DH215" i="25"/>
  <c r="DI215" i="25" s="1"/>
  <c r="DE215" i="25"/>
  <c r="DD319" i="25"/>
  <c r="DC319" i="25" s="1"/>
  <c r="DJ319" i="25" s="1"/>
  <c r="DE319" i="25"/>
  <c r="DD288" i="25"/>
  <c r="DC288" i="25" s="1"/>
  <c r="DJ288" i="25" s="1"/>
  <c r="DH288" i="25"/>
  <c r="DI288" i="25" s="1"/>
  <c r="DE288" i="25"/>
  <c r="DE250" i="25"/>
  <c r="DD218" i="25"/>
  <c r="DC218" i="25" s="1"/>
  <c r="DJ218" i="25" s="1"/>
  <c r="DH218" i="25"/>
  <c r="DI218" i="25" s="1"/>
  <c r="DE218" i="25"/>
  <c r="DD352" i="25"/>
  <c r="DC352" i="25" s="1"/>
  <c r="DJ352" i="25" s="1"/>
  <c r="DE352" i="25"/>
  <c r="DD388" i="25"/>
  <c r="DC388" i="25" s="1"/>
  <c r="DJ388" i="25" s="1"/>
  <c r="DH388" i="25"/>
  <c r="DI388" i="25" s="1"/>
  <c r="DE388" i="25"/>
  <c r="DE377" i="25"/>
  <c r="DD377" i="25"/>
  <c r="DC377" i="25" s="1"/>
  <c r="DJ377" i="25" s="1"/>
  <c r="DE368" i="25"/>
  <c r="DD368" i="25"/>
  <c r="DC368" i="25" s="1"/>
  <c r="DJ368" i="25" s="1"/>
  <c r="DH368" i="25"/>
  <c r="DI368" i="25" s="1"/>
  <c r="DD240" i="25"/>
  <c r="DC240" i="25" s="1"/>
  <c r="DJ240" i="25" s="1"/>
  <c r="DE240" i="25"/>
  <c r="DE355" i="25"/>
  <c r="DD355" i="25"/>
  <c r="DC355" i="25" s="1"/>
  <c r="DJ355" i="25" s="1"/>
  <c r="DH355" i="25"/>
  <c r="DI355" i="25" s="1"/>
  <c r="DE338" i="25"/>
  <c r="DE296" i="25"/>
  <c r="DD296" i="25"/>
  <c r="DC296" i="25" s="1"/>
  <c r="DJ296" i="25" s="1"/>
  <c r="DH296" i="25"/>
  <c r="DI296" i="25" s="1"/>
  <c r="DD221" i="25"/>
  <c r="DC221" i="25" s="1"/>
  <c r="DJ221" i="25" s="1"/>
  <c r="DE221" i="25"/>
  <c r="DD305" i="25"/>
  <c r="DC305" i="25" s="1"/>
  <c r="DJ305" i="25" s="1"/>
  <c r="DE305" i="25"/>
  <c r="DH305" i="25"/>
  <c r="DI305" i="25" s="1"/>
  <c r="DE342" i="25"/>
  <c r="DD303" i="25"/>
  <c r="DC303" i="25" s="1"/>
  <c r="DJ303" i="25" s="1"/>
  <c r="DE303" i="25"/>
  <c r="DH303" i="25"/>
  <c r="DI303" i="25" s="1"/>
  <c r="DD270" i="25"/>
  <c r="DC270" i="25" s="1"/>
  <c r="DJ270" i="25" s="1"/>
  <c r="DE270" i="25"/>
  <c r="DD243" i="25"/>
  <c r="DC243" i="25" s="1"/>
  <c r="DJ243" i="25" s="1"/>
  <c r="DH243" i="25"/>
  <c r="DI243" i="25" s="1"/>
  <c r="DE243" i="25"/>
  <c r="DH267" i="25"/>
  <c r="DI267" i="25" s="1"/>
  <c r="DH269" i="25"/>
  <c r="DI269" i="25" s="1"/>
  <c r="DH221" i="25"/>
  <c r="DI221" i="25" s="1"/>
  <c r="DH358" i="25"/>
  <c r="DI358" i="25" s="1"/>
  <c r="DE206" i="25"/>
  <c r="DE333" i="25"/>
  <c r="DD224" i="25"/>
  <c r="DC224" i="25" s="1"/>
  <c r="DJ224" i="25" s="1"/>
  <c r="DD358" i="25"/>
  <c r="DC358" i="25" s="1"/>
  <c r="DJ358" i="25" s="1"/>
  <c r="DD324" i="25"/>
  <c r="DC324" i="25" s="1"/>
  <c r="DJ324" i="25" s="1"/>
  <c r="DE324" i="25"/>
  <c r="DH324" i="25"/>
  <c r="DI324" i="25" s="1"/>
  <c r="DD255" i="25"/>
  <c r="DC255" i="25" s="1"/>
  <c r="DJ255" i="25" s="1"/>
  <c r="DE255" i="25"/>
  <c r="DD314" i="25"/>
  <c r="DC314" i="25" s="1"/>
  <c r="DJ314" i="25" s="1"/>
  <c r="DE314" i="25"/>
  <c r="DH314" i="25"/>
  <c r="DI314" i="25" s="1"/>
  <c r="DD281" i="25"/>
  <c r="DC281" i="25" s="1"/>
  <c r="DJ281" i="25" s="1"/>
  <c r="DE281" i="25"/>
  <c r="DD229" i="25"/>
  <c r="DC229" i="25" s="1"/>
  <c r="DJ229" i="25" s="1"/>
  <c r="DE229" i="25"/>
  <c r="DH229" i="25"/>
  <c r="DI229" i="25" s="1"/>
  <c r="DD339" i="25"/>
  <c r="DC339" i="25" s="1"/>
  <c r="DJ339" i="25" s="1"/>
  <c r="DE339" i="25"/>
  <c r="DD284" i="25"/>
  <c r="DC284" i="25" s="1"/>
  <c r="DJ284" i="25" s="1"/>
  <c r="DE284" i="25"/>
  <c r="DD210" i="25"/>
  <c r="DC210" i="25" s="1"/>
  <c r="DJ210" i="25" s="1"/>
  <c r="DE210" i="25"/>
  <c r="DD351" i="25"/>
  <c r="DC351" i="25" s="1"/>
  <c r="DJ351" i="25" s="1"/>
  <c r="DE351" i="25"/>
  <c r="DH351" i="25"/>
  <c r="DI351" i="25" s="1"/>
  <c r="DD386" i="25"/>
  <c r="DC386" i="25" s="1"/>
  <c r="DJ386" i="25" s="1"/>
  <c r="DE386" i="25"/>
  <c r="DD285" i="25"/>
  <c r="DC285" i="25" s="1"/>
  <c r="DJ285" i="25" s="1"/>
  <c r="DE285" i="25"/>
  <c r="DH285" i="25"/>
  <c r="DI285" i="25" s="1"/>
  <c r="DD367" i="25"/>
  <c r="DC367" i="25" s="1"/>
  <c r="DJ367" i="25" s="1"/>
  <c r="DE367" i="25"/>
  <c r="DD234" i="25"/>
  <c r="DC234" i="25" s="1"/>
  <c r="DJ234" i="25" s="1"/>
  <c r="DE234" i="25"/>
  <c r="DH234" i="25"/>
  <c r="DI234" i="25" s="1"/>
  <c r="DD354" i="25"/>
  <c r="DC354" i="25" s="1"/>
  <c r="DJ354" i="25" s="1"/>
  <c r="DE354" i="25"/>
  <c r="DD334" i="25"/>
  <c r="DC334" i="25" s="1"/>
  <c r="DJ334" i="25" s="1"/>
  <c r="DE334" i="25"/>
  <c r="DH334" i="25"/>
  <c r="DI334" i="25" s="1"/>
  <c r="DD336" i="25"/>
  <c r="DC336" i="25" s="1"/>
  <c r="DJ336" i="25" s="1"/>
  <c r="DE336" i="25"/>
  <c r="DD211" i="25"/>
  <c r="DC211" i="25" s="1"/>
  <c r="DJ211" i="25" s="1"/>
  <c r="DE211" i="25"/>
  <c r="DH211" i="25"/>
  <c r="DI211" i="25" s="1"/>
  <c r="DD268" i="25"/>
  <c r="DC268" i="25" s="1"/>
  <c r="DJ268" i="25" s="1"/>
  <c r="DE268" i="25"/>
  <c r="DD340" i="25"/>
  <c r="DC340" i="25" s="1"/>
  <c r="DJ340" i="25" s="1"/>
  <c r="DE340" i="25"/>
  <c r="DH340" i="25"/>
  <c r="DI340" i="25" s="1"/>
  <c r="DD302" i="25"/>
  <c r="DC302" i="25" s="1"/>
  <c r="DJ302" i="25" s="1"/>
  <c r="DD266" i="25"/>
  <c r="DC266" i="25" s="1"/>
  <c r="DJ266" i="25" s="1"/>
  <c r="DH266" i="25"/>
  <c r="DI266" i="25" s="1"/>
  <c r="DD238" i="25"/>
  <c r="DC238" i="25" s="1"/>
  <c r="DJ238" i="25" s="1"/>
  <c r="DE238" i="25"/>
  <c r="DY324" i="25"/>
  <c r="DY255" i="25"/>
  <c r="DY314" i="25"/>
  <c r="DY281" i="25"/>
  <c r="DY229" i="25"/>
  <c r="DY339" i="25"/>
  <c r="DY284" i="25"/>
  <c r="DY210" i="25"/>
  <c r="DY351" i="25"/>
  <c r="DY386" i="25"/>
  <c r="DY285" i="25"/>
  <c r="DY367" i="25"/>
  <c r="DY234" i="25"/>
  <c r="DY354" i="25"/>
  <c r="DY334" i="25"/>
  <c r="DY336" i="25"/>
  <c r="DY211" i="25"/>
  <c r="DY268" i="25"/>
  <c r="DY340" i="25"/>
  <c r="DY302" i="25"/>
  <c r="DY266" i="25"/>
  <c r="DY238" i="25"/>
  <c r="DH281" i="25"/>
  <c r="DI281" i="25" s="1"/>
  <c r="DH250" i="25"/>
  <c r="DI250" i="25" s="1"/>
  <c r="DH362" i="25"/>
  <c r="DI362" i="25" s="1"/>
  <c r="DH268" i="25"/>
  <c r="DI268" i="25" s="1"/>
  <c r="DE330" i="25"/>
  <c r="DE313" i="25"/>
  <c r="DD338" i="25"/>
  <c r="DC338" i="25" s="1"/>
  <c r="DJ338" i="25" s="1"/>
  <c r="CO332" i="25"/>
  <c r="CQ332" i="25" s="1"/>
  <c r="CR332" i="25" s="1"/>
  <c r="CP332" i="25"/>
  <c r="CO213" i="25"/>
  <c r="CQ213" i="25" s="1"/>
  <c r="CP213" i="25"/>
  <c r="CP252" i="25"/>
  <c r="CO252" i="25"/>
  <c r="CQ252" i="25" s="1"/>
  <c r="CP205" i="25"/>
  <c r="CO205" i="25"/>
  <c r="CQ205" i="25" s="1"/>
  <c r="CO269" i="25"/>
  <c r="CQ269" i="25" s="1"/>
  <c r="CP269" i="25"/>
  <c r="CO222" i="25"/>
  <c r="CQ222" i="25" s="1"/>
  <c r="CP222" i="25"/>
  <c r="CO370" i="25"/>
  <c r="CQ370" i="25" s="1"/>
  <c r="CP370" i="25"/>
  <c r="CO275" i="25"/>
  <c r="CQ275" i="25" s="1"/>
  <c r="CP275" i="25"/>
  <c r="CO307" i="25"/>
  <c r="CQ307" i="25" s="1"/>
  <c r="CP307" i="25"/>
  <c r="CP321" i="25"/>
  <c r="CO321" i="25"/>
  <c r="CQ321" i="25" s="1"/>
  <c r="CO301" i="25"/>
  <c r="CQ301" i="25" s="1"/>
  <c r="CR301" i="25" s="1"/>
  <c r="CO353" i="25"/>
  <c r="CQ353" i="25" s="1"/>
  <c r="CP217" i="25"/>
  <c r="CO217" i="25"/>
  <c r="CQ217" i="25" s="1"/>
  <c r="CP330" i="25"/>
  <c r="CO283" i="25"/>
  <c r="CQ283" i="25" s="1"/>
  <c r="CR283" i="25" s="1"/>
  <c r="CV283" i="25" s="1"/>
  <c r="CW283" i="25" s="1"/>
  <c r="CZ283" i="25" s="1"/>
  <c r="CP283" i="25"/>
  <c r="CP364" i="25"/>
  <c r="CO364" i="25"/>
  <c r="CQ364" i="25" s="1"/>
  <c r="CP335" i="25"/>
  <c r="CO350" i="25"/>
  <c r="CQ350" i="25" s="1"/>
  <c r="CO385" i="25"/>
  <c r="CQ385" i="25" s="1"/>
  <c r="CP375" i="25"/>
  <c r="CO375" i="25"/>
  <c r="CQ375" i="25" s="1"/>
  <c r="CR375" i="25" s="1"/>
  <c r="CP253" i="25"/>
  <c r="CP208" i="25"/>
  <c r="CP333" i="25"/>
  <c r="CO333" i="25"/>
  <c r="CQ333" i="25" s="1"/>
  <c r="CO347" i="25"/>
  <c r="CQ347" i="25" s="1"/>
  <c r="CO341" i="25"/>
  <c r="CQ341" i="25" s="1"/>
  <c r="CO379" i="25"/>
  <c r="CQ379" i="25" s="1"/>
  <c r="CO380" i="25"/>
  <c r="CQ380" i="25" s="1"/>
  <c r="CT309" i="25"/>
  <c r="CP362" i="25"/>
  <c r="CP359" i="25"/>
  <c r="CO239" i="25"/>
  <c r="CQ239" i="25" s="1"/>
  <c r="CO325" i="25"/>
  <c r="CQ325" i="25" s="1"/>
  <c r="CO226" i="25"/>
  <c r="CQ226" i="25" s="1"/>
  <c r="CP286" i="25"/>
  <c r="CP248" i="25"/>
  <c r="CP232" i="25"/>
  <c r="CP301" i="25"/>
  <c r="CP353" i="25"/>
  <c r="CO330" i="25"/>
  <c r="CQ330" i="25" s="1"/>
  <c r="CO216" i="25"/>
  <c r="CQ216" i="25" s="1"/>
  <c r="CO335" i="25"/>
  <c r="CQ335" i="25" s="1"/>
  <c r="CR335" i="25" s="1"/>
  <c r="CV335" i="25" s="1"/>
  <c r="CW335" i="25" s="1"/>
  <c r="CZ335" i="25" s="1"/>
  <c r="CP350" i="25"/>
  <c r="CP385" i="25"/>
  <c r="CO253" i="25"/>
  <c r="CQ253" i="25" s="1"/>
  <c r="CO361" i="25"/>
  <c r="CQ361" i="25" s="1"/>
  <c r="CO208" i="25"/>
  <c r="CQ208" i="25" s="1"/>
  <c r="CO264" i="25"/>
  <c r="CQ264" i="25" s="1"/>
  <c r="CP312" i="25"/>
  <c r="CP262" i="25"/>
  <c r="CO298" i="25"/>
  <c r="CQ298" i="25" s="1"/>
  <c r="CO265" i="25"/>
  <c r="CQ265" i="25" s="1"/>
  <c r="CO230" i="25"/>
  <c r="CQ230" i="25" s="1"/>
  <c r="CT204" i="25"/>
  <c r="CT263" i="25"/>
  <c r="CT349" i="25"/>
  <c r="CT316" i="25"/>
  <c r="CT209" i="25"/>
  <c r="CT374" i="25"/>
  <c r="CT373" i="25"/>
  <c r="CT331" i="25"/>
  <c r="CT337" i="25"/>
  <c r="CT345" i="25"/>
  <c r="CT260" i="25"/>
  <c r="CT360" i="25"/>
  <c r="CT350" i="25"/>
  <c r="CT385" i="25"/>
  <c r="CT375" i="25"/>
  <c r="CT253" i="25"/>
  <c r="CT361" i="25"/>
  <c r="CT208" i="25"/>
  <c r="CT333" i="25"/>
  <c r="CT264" i="25"/>
  <c r="CT312" i="25"/>
  <c r="CT262" i="25"/>
  <c r="CT332" i="25"/>
  <c r="CT298" i="25"/>
  <c r="CT265" i="25"/>
  <c r="CT230" i="25"/>
  <c r="CT301" i="25"/>
  <c r="CP304" i="25"/>
  <c r="CP272" i="25"/>
  <c r="CO272" i="25"/>
  <c r="CQ272" i="25" s="1"/>
  <c r="CP320" i="25"/>
  <c r="CP293" i="25"/>
  <c r="CP206" i="25"/>
  <c r="CO206" i="25"/>
  <c r="CQ206" i="25" s="1"/>
  <c r="CP348" i="25"/>
  <c r="CP292" i="25"/>
  <c r="CP369" i="25"/>
  <c r="CP382" i="25"/>
  <c r="CO382" i="25"/>
  <c r="CQ382" i="25" s="1"/>
  <c r="CP313" i="25"/>
  <c r="CP381" i="25"/>
  <c r="CP278" i="25"/>
  <c r="CO278" i="25"/>
  <c r="CQ278" i="25" s="1"/>
  <c r="CP363" i="25"/>
  <c r="CP231" i="25"/>
  <c r="CP276" i="25"/>
  <c r="CP308" i="25"/>
  <c r="CO308" i="25"/>
  <c r="CQ308" i="25" s="1"/>
  <c r="CP241" i="25"/>
  <c r="CO241" i="25"/>
  <c r="CQ241" i="25" s="1"/>
  <c r="CP327" i="25"/>
  <c r="CO327" i="25"/>
  <c r="CQ327" i="25" s="1"/>
  <c r="CP235" i="25"/>
  <c r="CP322" i="25"/>
  <c r="CO322" i="25"/>
  <c r="CQ322" i="25" s="1"/>
  <c r="CP289" i="25"/>
  <c r="CO324" i="25"/>
  <c r="CQ324" i="25" s="1"/>
  <c r="CP324" i="25"/>
  <c r="CO255" i="25"/>
  <c r="CQ255" i="25" s="1"/>
  <c r="CP255" i="25"/>
  <c r="CP314" i="25"/>
  <c r="CP339" i="25"/>
  <c r="CP210" i="25"/>
  <c r="CP351" i="25"/>
  <c r="CP367" i="25"/>
  <c r="CP336" i="25"/>
  <c r="CP211" i="25"/>
  <c r="CP302" i="25"/>
  <c r="CO235" i="25"/>
  <c r="CQ235" i="25" s="1"/>
  <c r="CP347" i="25"/>
  <c r="CP216" i="25"/>
  <c r="CP379" i="25"/>
  <c r="CP361" i="25"/>
  <c r="CP239" i="25"/>
  <c r="CP265" i="25"/>
  <c r="CO232" i="25"/>
  <c r="CQ232" i="25" s="1"/>
  <c r="CO362" i="25"/>
  <c r="CQ362" i="25" s="1"/>
  <c r="CO286" i="25"/>
  <c r="CQ286" i="25" s="1"/>
  <c r="CO314" i="25"/>
  <c r="CQ314" i="25" s="1"/>
  <c r="CO281" i="25"/>
  <c r="CQ281" i="25" s="1"/>
  <c r="CO229" i="25"/>
  <c r="CQ229" i="25" s="1"/>
  <c r="CO339" i="25"/>
  <c r="CQ339" i="25" s="1"/>
  <c r="CO284" i="25"/>
  <c r="CQ284" i="25" s="1"/>
  <c r="CO210" i="25"/>
  <c r="CQ210" i="25" s="1"/>
  <c r="CO351" i="25"/>
  <c r="CQ351" i="25" s="1"/>
  <c r="CO386" i="25"/>
  <c r="CQ386" i="25" s="1"/>
  <c r="CO285" i="25"/>
  <c r="CQ285" i="25" s="1"/>
  <c r="CO367" i="25"/>
  <c r="CQ367" i="25" s="1"/>
  <c r="CO234" i="25"/>
  <c r="CQ234" i="25" s="1"/>
  <c r="CO354" i="25"/>
  <c r="CQ354" i="25" s="1"/>
  <c r="CO334" i="25"/>
  <c r="CQ334" i="25" s="1"/>
  <c r="CO336" i="25"/>
  <c r="CQ336" i="25" s="1"/>
  <c r="CO211" i="25"/>
  <c r="CQ211" i="25" s="1"/>
  <c r="CO268" i="25"/>
  <c r="CQ268" i="25" s="1"/>
  <c r="CO340" i="25"/>
  <c r="CQ340" i="25" s="1"/>
  <c r="CO302" i="25"/>
  <c r="CQ302" i="25" s="1"/>
  <c r="CO266" i="25"/>
  <c r="CQ266" i="25" s="1"/>
  <c r="CO238" i="25"/>
  <c r="CQ238" i="25" s="1"/>
  <c r="Y156" i="89"/>
  <c r="V162" i="89"/>
  <c r="V148" i="89"/>
  <c r="V152" i="89"/>
  <c r="W162" i="89"/>
  <c r="Y148" i="89"/>
  <c r="Y152" i="89"/>
  <c r="T147" i="89"/>
  <c r="W150" i="89"/>
  <c r="W154" i="89"/>
  <c r="V158" i="89"/>
  <c r="U147" i="89"/>
  <c r="W158" i="89"/>
  <c r="U158" i="89"/>
  <c r="T148" i="89"/>
  <c r="T152" i="89"/>
  <c r="T156" i="89"/>
  <c r="V156" i="89"/>
  <c r="T155" i="89"/>
  <c r="W149" i="89"/>
  <c r="W153" i="89"/>
  <c r="U155" i="89"/>
  <c r="W157" i="89"/>
  <c r="T159" i="89"/>
  <c r="T163" i="89"/>
  <c r="U163" i="89"/>
  <c r="U146" i="89"/>
  <c r="X157" i="89"/>
  <c r="W161" i="89"/>
  <c r="V146" i="89"/>
  <c r="U150" i="89"/>
  <c r="Q152" i="89"/>
  <c r="R152" i="89" s="1"/>
  <c r="U154" i="89"/>
  <c r="Q156" i="89"/>
  <c r="R156" i="89" s="1"/>
  <c r="V147" i="89"/>
  <c r="U159" i="89"/>
  <c r="Q148" i="89"/>
  <c r="R148" i="89" s="1"/>
  <c r="W146" i="89"/>
  <c r="V150" i="89"/>
  <c r="V154" i="89"/>
  <c r="U162" i="89"/>
  <c r="X153" i="89"/>
  <c r="Y149" i="89"/>
  <c r="Y153" i="89"/>
  <c r="X150" i="89"/>
  <c r="X154" i="89"/>
  <c r="V155" i="89"/>
  <c r="X158" i="89"/>
  <c r="V159" i="89"/>
  <c r="X162" i="89"/>
  <c r="V163" i="89"/>
  <c r="Q146" i="89"/>
  <c r="R146" i="89" s="1"/>
  <c r="Y146" i="89"/>
  <c r="W147" i="89"/>
  <c r="U148" i="89"/>
  <c r="Q150" i="89"/>
  <c r="R150" i="89" s="1"/>
  <c r="Y150" i="89"/>
  <c r="U152" i="89"/>
  <c r="Q154" i="89"/>
  <c r="R154" i="89" s="1"/>
  <c r="Y154" i="89"/>
  <c r="W155" i="89"/>
  <c r="U156" i="89"/>
  <c r="Q158" i="89"/>
  <c r="R158" i="89" s="1"/>
  <c r="Y158" i="89"/>
  <c r="W159" i="89"/>
  <c r="Q162" i="89"/>
  <c r="R162" i="89" s="1"/>
  <c r="Y162" i="89"/>
  <c r="W163" i="89"/>
  <c r="Q157" i="89"/>
  <c r="R157" i="89" s="1"/>
  <c r="Q161" i="89"/>
  <c r="R161" i="89" s="1"/>
  <c r="X155" i="89"/>
  <c r="T157" i="89"/>
  <c r="X159" i="89"/>
  <c r="Q147" i="89"/>
  <c r="R147" i="89" s="1"/>
  <c r="Y147" i="89"/>
  <c r="W148" i="89"/>
  <c r="U149" i="89"/>
  <c r="W152" i="89"/>
  <c r="U153" i="89"/>
  <c r="Q155" i="89"/>
  <c r="R155" i="89" s="1"/>
  <c r="W156" i="89"/>
  <c r="U157" i="89"/>
  <c r="Q159" i="89"/>
  <c r="R159" i="89" s="1"/>
  <c r="U161" i="89"/>
  <c r="Q163" i="89"/>
  <c r="R163" i="89" s="1"/>
  <c r="Y163" i="89"/>
  <c r="X149" i="89"/>
  <c r="X161" i="89"/>
  <c r="Q149" i="89"/>
  <c r="R149" i="89" s="1"/>
  <c r="Q153" i="89"/>
  <c r="R153" i="89" s="1"/>
  <c r="Y157" i="89"/>
  <c r="Y161" i="89"/>
  <c r="X146" i="89"/>
  <c r="T149" i="89"/>
  <c r="T153" i="89"/>
  <c r="T161" i="89"/>
  <c r="AB172" i="89"/>
  <c r="AB173" i="89"/>
  <c r="AB174" i="89"/>
  <c r="AB175" i="89"/>
  <c r="AB176" i="89"/>
  <c r="AB177" i="89"/>
  <c r="I100" i="89"/>
  <c r="CV301" i="25" l="1"/>
  <c r="CW301" i="25" s="1"/>
  <c r="CZ301" i="25" s="1"/>
  <c r="CV375" i="25"/>
  <c r="CW375" i="25" s="1"/>
  <c r="CZ375" i="25" s="1"/>
  <c r="CV332" i="25"/>
  <c r="CW332" i="25" s="1"/>
  <c r="CZ332" i="25" s="1"/>
  <c r="CU331" i="25"/>
  <c r="CX331" i="25" s="1"/>
  <c r="CY331" i="25" s="1"/>
  <c r="CU225" i="25"/>
  <c r="CX225" i="25" s="1"/>
  <c r="CY225" i="25" s="1"/>
  <c r="CU262" i="25"/>
  <c r="CX262" i="25" s="1"/>
  <c r="CY262" i="25" s="1"/>
  <c r="CR223" i="25"/>
  <c r="CV223" i="25" s="1"/>
  <c r="CW223" i="25" s="1"/>
  <c r="CZ223" i="25" s="1"/>
  <c r="CU223" i="25"/>
  <c r="CX223" i="25" s="1"/>
  <c r="CY223" i="25" s="1"/>
  <c r="CU337" i="25"/>
  <c r="CX337" i="25" s="1"/>
  <c r="CY337" i="25" s="1"/>
  <c r="CR263" i="25"/>
  <c r="CV263" i="25" s="1"/>
  <c r="CW263" i="25" s="1"/>
  <c r="CZ263" i="25" s="1"/>
  <c r="CU263" i="25"/>
  <c r="CX263" i="25" s="1"/>
  <c r="CY263" i="25" s="1"/>
  <c r="CR294" i="25"/>
  <c r="CV294" i="25" s="1"/>
  <c r="CW294" i="25" s="1"/>
  <c r="CZ294" i="25" s="1"/>
  <c r="CU294" i="25"/>
  <c r="CX294" i="25" s="1"/>
  <c r="CY294" i="25" s="1"/>
  <c r="CR374" i="25"/>
  <c r="CV374" i="25" s="1"/>
  <c r="CW374" i="25" s="1"/>
  <c r="CZ374" i="25" s="1"/>
  <c r="CU374" i="25"/>
  <c r="CX374" i="25" s="1"/>
  <c r="CY374" i="25" s="1"/>
  <c r="CR316" i="25"/>
  <c r="CV316" i="25" s="1"/>
  <c r="CW316" i="25" s="1"/>
  <c r="CZ316" i="25" s="1"/>
  <c r="CU316" i="25"/>
  <c r="CX316" i="25" s="1"/>
  <c r="CY316" i="25" s="1"/>
  <c r="CR309" i="25"/>
  <c r="CV309" i="25" s="1"/>
  <c r="CW309" i="25" s="1"/>
  <c r="CZ309" i="25" s="1"/>
  <c r="CU309" i="25"/>
  <c r="CX309" i="25" s="1"/>
  <c r="CY309" i="25" s="1"/>
  <c r="CR224" i="25"/>
  <c r="CV224" i="25" s="1"/>
  <c r="CW224" i="25" s="1"/>
  <c r="CZ224" i="25" s="1"/>
  <c r="CU224" i="25"/>
  <c r="CX224" i="25" s="1"/>
  <c r="CY224" i="25" s="1"/>
  <c r="CU312" i="25"/>
  <c r="CX312" i="25" s="1"/>
  <c r="CY312" i="25" s="1"/>
  <c r="CR357" i="25"/>
  <c r="CV357" i="25" s="1"/>
  <c r="CW357" i="25" s="1"/>
  <c r="CZ357" i="25" s="1"/>
  <c r="CU357" i="25"/>
  <c r="CX357" i="25" s="1"/>
  <c r="CY357" i="25" s="1"/>
  <c r="CR361" i="25"/>
  <c r="CV361" i="25" s="1"/>
  <c r="CW361" i="25" s="1"/>
  <c r="CZ361" i="25" s="1"/>
  <c r="CU361" i="25"/>
  <c r="CX361" i="25" s="1"/>
  <c r="CY361" i="25" s="1"/>
  <c r="CU277" i="25"/>
  <c r="CX277" i="25" s="1"/>
  <c r="CY277" i="25" s="1"/>
  <c r="CU360" i="25"/>
  <c r="CX360" i="25" s="1"/>
  <c r="CY360" i="25" s="1"/>
  <c r="CV204" i="25"/>
  <c r="CW204" i="25" s="1"/>
  <c r="CZ204" i="25" s="1"/>
  <c r="CU209" i="25"/>
  <c r="CX209" i="25" s="1"/>
  <c r="CY209" i="25" s="1"/>
  <c r="CU383" i="25"/>
  <c r="CX383" i="25" s="1"/>
  <c r="CY383" i="25" s="1"/>
  <c r="CX318" i="25"/>
  <c r="CY318" i="25" s="1"/>
  <c r="CU260" i="25"/>
  <c r="CX260" i="25" s="1"/>
  <c r="CY260" i="25" s="1"/>
  <c r="CU299" i="25"/>
  <c r="CX299" i="25" s="1"/>
  <c r="CY299" i="25" s="1"/>
  <c r="CU311" i="25"/>
  <c r="CX311" i="25" s="1"/>
  <c r="CY311" i="25" s="1"/>
  <c r="CU345" i="25"/>
  <c r="CX345" i="25" s="1"/>
  <c r="CY345" i="25" s="1"/>
  <c r="CU373" i="25"/>
  <c r="CX373" i="25" s="1"/>
  <c r="CY373" i="25" s="1"/>
  <c r="CR325" i="25"/>
  <c r="CV325" i="25" s="1"/>
  <c r="CW325" i="25" s="1"/>
  <c r="CZ325" i="25" s="1"/>
  <c r="CU325" i="25"/>
  <c r="CX325" i="25" s="1"/>
  <c r="CY325" i="25" s="1"/>
  <c r="CR380" i="25"/>
  <c r="CV380" i="25" s="1"/>
  <c r="CW380" i="25" s="1"/>
  <c r="CZ380" i="25" s="1"/>
  <c r="CU380" i="25"/>
  <c r="CX380" i="25" s="1"/>
  <c r="CY380" i="25" s="1"/>
  <c r="CR336" i="25"/>
  <c r="CV336" i="25" s="1"/>
  <c r="CW336" i="25" s="1"/>
  <c r="CZ336" i="25" s="1"/>
  <c r="CU336" i="25"/>
  <c r="CX336" i="25" s="1"/>
  <c r="CY336" i="25" s="1"/>
  <c r="CR353" i="25"/>
  <c r="CV353" i="25" s="1"/>
  <c r="CW353" i="25" s="1"/>
  <c r="CZ353" i="25" s="1"/>
  <c r="CU353" i="25"/>
  <c r="CX353" i="25" s="1"/>
  <c r="CY353" i="25" s="1"/>
  <c r="CU362" i="25"/>
  <c r="CX362" i="25" s="1"/>
  <c r="CY362" i="25" s="1"/>
  <c r="CR362" i="25"/>
  <c r="CV362" i="25" s="1"/>
  <c r="CW362" i="25" s="1"/>
  <c r="CZ362" i="25" s="1"/>
  <c r="CR370" i="25"/>
  <c r="CV370" i="25" s="1"/>
  <c r="CW370" i="25" s="1"/>
  <c r="CZ370" i="25" s="1"/>
  <c r="CU370" i="25"/>
  <c r="CX370" i="25" s="1"/>
  <c r="CY370" i="25" s="1"/>
  <c r="CR354" i="25"/>
  <c r="CV354" i="25" s="1"/>
  <c r="CW354" i="25" s="1"/>
  <c r="CZ354" i="25" s="1"/>
  <c r="CU354" i="25"/>
  <c r="CX354" i="25" s="1"/>
  <c r="CY354" i="25" s="1"/>
  <c r="CR308" i="25"/>
  <c r="CV308" i="25" s="1"/>
  <c r="CW308" i="25" s="1"/>
  <c r="CZ308" i="25" s="1"/>
  <c r="CU308" i="25"/>
  <c r="CX308" i="25" s="1"/>
  <c r="CY308" i="25" s="1"/>
  <c r="CR208" i="25"/>
  <c r="CV208" i="25" s="1"/>
  <c r="CW208" i="25" s="1"/>
  <c r="CZ208" i="25" s="1"/>
  <c r="CU208" i="25"/>
  <c r="CX208" i="25" s="1"/>
  <c r="CY208" i="25" s="1"/>
  <c r="CR266" i="25"/>
  <c r="CV266" i="25" s="1"/>
  <c r="CW266" i="25" s="1"/>
  <c r="CZ266" i="25" s="1"/>
  <c r="CU266" i="25"/>
  <c r="CX266" i="25" s="1"/>
  <c r="CY266" i="25" s="1"/>
  <c r="CR234" i="25"/>
  <c r="CV234" i="25" s="1"/>
  <c r="CW234" i="25" s="1"/>
  <c r="CZ234" i="25" s="1"/>
  <c r="CU234" i="25"/>
  <c r="CX234" i="25" s="1"/>
  <c r="CY234" i="25" s="1"/>
  <c r="CR232" i="25"/>
  <c r="CV232" i="25" s="1"/>
  <c r="CW232" i="25" s="1"/>
  <c r="CZ232" i="25" s="1"/>
  <c r="CU232" i="25"/>
  <c r="CX232" i="25" s="1"/>
  <c r="CY232" i="25" s="1"/>
  <c r="CR235" i="25"/>
  <c r="CV235" i="25" s="1"/>
  <c r="CW235" i="25" s="1"/>
  <c r="CZ235" i="25" s="1"/>
  <c r="CU235" i="25"/>
  <c r="CX235" i="25" s="1"/>
  <c r="CY235" i="25" s="1"/>
  <c r="CR322" i="25"/>
  <c r="CV322" i="25" s="1"/>
  <c r="CW322" i="25" s="1"/>
  <c r="CZ322" i="25" s="1"/>
  <c r="CU322" i="25"/>
  <c r="CX322" i="25" s="1"/>
  <c r="CY322" i="25" s="1"/>
  <c r="CR382" i="25"/>
  <c r="CV382" i="25" s="1"/>
  <c r="CW382" i="25" s="1"/>
  <c r="CZ382" i="25" s="1"/>
  <c r="CU382" i="25"/>
  <c r="CX382" i="25" s="1"/>
  <c r="CY382" i="25" s="1"/>
  <c r="CU379" i="25"/>
  <c r="CX379" i="25" s="1"/>
  <c r="CY379" i="25" s="1"/>
  <c r="CR379" i="25"/>
  <c r="CV379" i="25" s="1"/>
  <c r="CW379" i="25" s="1"/>
  <c r="CZ379" i="25" s="1"/>
  <c r="CU222" i="25"/>
  <c r="CX222" i="25" s="1"/>
  <c r="CY222" i="25" s="1"/>
  <c r="CR222" i="25"/>
  <c r="CV222" i="25" s="1"/>
  <c r="CW222" i="25" s="1"/>
  <c r="CZ222" i="25" s="1"/>
  <c r="CR213" i="25"/>
  <c r="CV213" i="25" s="1"/>
  <c r="CW213" i="25" s="1"/>
  <c r="CZ213" i="25" s="1"/>
  <c r="CU213" i="25"/>
  <c r="CX213" i="25" s="1"/>
  <c r="CY213" i="25" s="1"/>
  <c r="CR286" i="25"/>
  <c r="CV286" i="25" s="1"/>
  <c r="CW286" i="25" s="1"/>
  <c r="CZ286" i="25" s="1"/>
  <c r="CU286" i="25"/>
  <c r="CX286" i="25" s="1"/>
  <c r="CY286" i="25" s="1"/>
  <c r="CR333" i="25"/>
  <c r="CV333" i="25" s="1"/>
  <c r="CW333" i="25" s="1"/>
  <c r="CZ333" i="25" s="1"/>
  <c r="CU333" i="25"/>
  <c r="CX333" i="25" s="1"/>
  <c r="CY333" i="25" s="1"/>
  <c r="CR330" i="25"/>
  <c r="CV330" i="25" s="1"/>
  <c r="CW330" i="25" s="1"/>
  <c r="CZ330" i="25" s="1"/>
  <c r="CU330" i="25"/>
  <c r="CX330" i="25" s="1"/>
  <c r="CY330" i="25" s="1"/>
  <c r="CU302" i="25"/>
  <c r="CX302" i="25" s="1"/>
  <c r="CY302" i="25" s="1"/>
  <c r="CR302" i="25"/>
  <c r="CV302" i="25" s="1"/>
  <c r="CW302" i="25" s="1"/>
  <c r="CZ302" i="25" s="1"/>
  <c r="CU367" i="25"/>
  <c r="CX367" i="25" s="1"/>
  <c r="CY367" i="25" s="1"/>
  <c r="CR367" i="25"/>
  <c r="CV367" i="25" s="1"/>
  <c r="CW367" i="25" s="1"/>
  <c r="CZ367" i="25" s="1"/>
  <c r="CU339" i="25"/>
  <c r="CX339" i="25" s="1"/>
  <c r="CY339" i="25" s="1"/>
  <c r="CR339" i="25"/>
  <c r="CV339" i="25" s="1"/>
  <c r="CW339" i="25" s="1"/>
  <c r="CZ339" i="25" s="1"/>
  <c r="CR230" i="25"/>
  <c r="CV230" i="25" s="1"/>
  <c r="CW230" i="25" s="1"/>
  <c r="CZ230" i="25" s="1"/>
  <c r="CU230" i="25"/>
  <c r="CX230" i="25" s="1"/>
  <c r="CY230" i="25" s="1"/>
  <c r="CR253" i="25"/>
  <c r="CV253" i="25" s="1"/>
  <c r="CW253" i="25" s="1"/>
  <c r="CZ253" i="25" s="1"/>
  <c r="CU253" i="25"/>
  <c r="CX253" i="25" s="1"/>
  <c r="CY253" i="25" s="1"/>
  <c r="CR284" i="25"/>
  <c r="CV284" i="25" s="1"/>
  <c r="CW284" i="25" s="1"/>
  <c r="CZ284" i="25" s="1"/>
  <c r="CU284" i="25"/>
  <c r="CX284" i="25" s="1"/>
  <c r="CY284" i="25" s="1"/>
  <c r="CU229" i="25"/>
  <c r="CX229" i="25" s="1"/>
  <c r="CY229" i="25" s="1"/>
  <c r="CR229" i="25"/>
  <c r="CV229" i="25" s="1"/>
  <c r="CW229" i="25" s="1"/>
  <c r="CZ229" i="25" s="1"/>
  <c r="CR255" i="25"/>
  <c r="CV255" i="25" s="1"/>
  <c r="CW255" i="25" s="1"/>
  <c r="CZ255" i="25" s="1"/>
  <c r="CU255" i="25"/>
  <c r="CX255" i="25" s="1"/>
  <c r="CY255" i="25" s="1"/>
  <c r="CR265" i="25"/>
  <c r="CV265" i="25" s="1"/>
  <c r="CW265" i="25" s="1"/>
  <c r="CZ265" i="25" s="1"/>
  <c r="CU265" i="25"/>
  <c r="CX265" i="25" s="1"/>
  <c r="CY265" i="25" s="1"/>
  <c r="CR307" i="25"/>
  <c r="CV307" i="25" s="1"/>
  <c r="CW307" i="25" s="1"/>
  <c r="CZ307" i="25" s="1"/>
  <c r="CU307" i="25"/>
  <c r="CX307" i="25" s="1"/>
  <c r="CY307" i="25" s="1"/>
  <c r="CR264" i="25"/>
  <c r="CV264" i="25" s="1"/>
  <c r="CW264" i="25" s="1"/>
  <c r="CZ264" i="25" s="1"/>
  <c r="CU264" i="25"/>
  <c r="CX264" i="25" s="1"/>
  <c r="CY264" i="25" s="1"/>
  <c r="CR340" i="25"/>
  <c r="CV340" i="25" s="1"/>
  <c r="CW340" i="25" s="1"/>
  <c r="CZ340" i="25" s="1"/>
  <c r="CU340" i="25"/>
  <c r="CX340" i="25" s="1"/>
  <c r="CY340" i="25" s="1"/>
  <c r="CU327" i="25"/>
  <c r="CX327" i="25" s="1"/>
  <c r="CY327" i="25" s="1"/>
  <c r="CR327" i="25"/>
  <c r="CV327" i="25" s="1"/>
  <c r="CW327" i="25" s="1"/>
  <c r="CZ327" i="25" s="1"/>
  <c r="CR298" i="25"/>
  <c r="CV298" i="25" s="1"/>
  <c r="CW298" i="25" s="1"/>
  <c r="CZ298" i="25" s="1"/>
  <c r="CU298" i="25"/>
  <c r="CX298" i="25" s="1"/>
  <c r="CY298" i="25" s="1"/>
  <c r="CR341" i="25"/>
  <c r="CV341" i="25" s="1"/>
  <c r="CW341" i="25" s="1"/>
  <c r="CZ341" i="25" s="1"/>
  <c r="CU341" i="25"/>
  <c r="CX341" i="25" s="1"/>
  <c r="CY341" i="25" s="1"/>
  <c r="CR385" i="25"/>
  <c r="CV385" i="25" s="1"/>
  <c r="CW385" i="25" s="1"/>
  <c r="CZ385" i="25" s="1"/>
  <c r="CU385" i="25"/>
  <c r="CX385" i="25" s="1"/>
  <c r="CY385" i="25" s="1"/>
  <c r="CR217" i="25"/>
  <c r="CV217" i="25" s="1"/>
  <c r="CW217" i="25" s="1"/>
  <c r="CZ217" i="25" s="1"/>
  <c r="CU217" i="25"/>
  <c r="CX217" i="25" s="1"/>
  <c r="CY217" i="25" s="1"/>
  <c r="CU205" i="25"/>
  <c r="CX205" i="25" s="1"/>
  <c r="CY205" i="25" s="1"/>
  <c r="CR205" i="25"/>
  <c r="CV205" i="25" s="1"/>
  <c r="CW205" i="25" s="1"/>
  <c r="CZ205" i="25" s="1"/>
  <c r="CR216" i="25"/>
  <c r="CV216" i="25" s="1"/>
  <c r="CW216" i="25" s="1"/>
  <c r="CZ216" i="25" s="1"/>
  <c r="CU216" i="25"/>
  <c r="CX216" i="25" s="1"/>
  <c r="CY216" i="25" s="1"/>
  <c r="CR252" i="25"/>
  <c r="CV252" i="25" s="1"/>
  <c r="CW252" i="25" s="1"/>
  <c r="CZ252" i="25" s="1"/>
  <c r="CU252" i="25"/>
  <c r="CX252" i="25" s="1"/>
  <c r="CY252" i="25" s="1"/>
  <c r="CR364" i="25"/>
  <c r="CV364" i="25" s="1"/>
  <c r="CW364" i="25" s="1"/>
  <c r="CZ364" i="25" s="1"/>
  <c r="CU364" i="25"/>
  <c r="CX364" i="25" s="1"/>
  <c r="CY364" i="25" s="1"/>
  <c r="CR206" i="25"/>
  <c r="CV206" i="25" s="1"/>
  <c r="CW206" i="25" s="1"/>
  <c r="CZ206" i="25" s="1"/>
  <c r="CU206" i="25"/>
  <c r="CX206" i="25" s="1"/>
  <c r="CY206" i="25" s="1"/>
  <c r="CU285" i="25"/>
  <c r="CX285" i="25" s="1"/>
  <c r="CY285" i="25" s="1"/>
  <c r="CR285" i="25"/>
  <c r="CV285" i="25" s="1"/>
  <c r="CW285" i="25" s="1"/>
  <c r="CZ285" i="25" s="1"/>
  <c r="CU268" i="25"/>
  <c r="CX268" i="25" s="1"/>
  <c r="CY268" i="25" s="1"/>
  <c r="CR268" i="25"/>
  <c r="CV268" i="25" s="1"/>
  <c r="CW268" i="25" s="1"/>
  <c r="CZ268" i="25" s="1"/>
  <c r="CR281" i="25"/>
  <c r="CV281" i="25" s="1"/>
  <c r="CW281" i="25" s="1"/>
  <c r="CZ281" i="25" s="1"/>
  <c r="CU281" i="25"/>
  <c r="CX281" i="25" s="1"/>
  <c r="CY281" i="25" s="1"/>
  <c r="CR272" i="25"/>
  <c r="CV272" i="25" s="1"/>
  <c r="CW272" i="25" s="1"/>
  <c r="CZ272" i="25" s="1"/>
  <c r="CU272" i="25"/>
  <c r="CX272" i="25" s="1"/>
  <c r="CY272" i="25" s="1"/>
  <c r="CR351" i="25"/>
  <c r="CV351" i="25" s="1"/>
  <c r="CW351" i="25" s="1"/>
  <c r="CZ351" i="25" s="1"/>
  <c r="CU351" i="25"/>
  <c r="CX351" i="25" s="1"/>
  <c r="CY351" i="25" s="1"/>
  <c r="CR226" i="25"/>
  <c r="CV226" i="25" s="1"/>
  <c r="CW226" i="25" s="1"/>
  <c r="CZ226" i="25" s="1"/>
  <c r="CU226" i="25"/>
  <c r="CX226" i="25" s="1"/>
  <c r="CY226" i="25" s="1"/>
  <c r="CU347" i="25"/>
  <c r="CX347" i="25" s="1"/>
  <c r="CY347" i="25" s="1"/>
  <c r="CR347" i="25"/>
  <c r="CV347" i="25" s="1"/>
  <c r="CW347" i="25" s="1"/>
  <c r="CZ347" i="25" s="1"/>
  <c r="CR350" i="25"/>
  <c r="CV350" i="25" s="1"/>
  <c r="CW350" i="25" s="1"/>
  <c r="CZ350" i="25" s="1"/>
  <c r="CU350" i="25"/>
  <c r="CX350" i="25" s="1"/>
  <c r="CY350" i="25" s="1"/>
  <c r="CR275" i="25"/>
  <c r="CV275" i="25" s="1"/>
  <c r="CW275" i="25" s="1"/>
  <c r="CZ275" i="25" s="1"/>
  <c r="CU275" i="25"/>
  <c r="CX275" i="25" s="1"/>
  <c r="CY275" i="25" s="1"/>
  <c r="CR270" i="25"/>
  <c r="CV270" i="25" s="1"/>
  <c r="CW270" i="25" s="1"/>
  <c r="CZ270" i="25" s="1"/>
  <c r="CU270" i="25"/>
  <c r="CX270" i="25" s="1"/>
  <c r="CY270" i="25" s="1"/>
  <c r="CR228" i="25"/>
  <c r="CV228" i="25" s="1"/>
  <c r="CW228" i="25" s="1"/>
  <c r="CZ228" i="25" s="1"/>
  <c r="CU228" i="25"/>
  <c r="CX228" i="25" s="1"/>
  <c r="CY228" i="25" s="1"/>
  <c r="CR212" i="25"/>
  <c r="CV212" i="25" s="1"/>
  <c r="CW212" i="25" s="1"/>
  <c r="CZ212" i="25" s="1"/>
  <c r="CU212" i="25"/>
  <c r="CX212" i="25" s="1"/>
  <c r="CY212" i="25" s="1"/>
  <c r="CV259" i="25"/>
  <c r="CW259" i="25" s="1"/>
  <c r="CZ259" i="25" s="1"/>
  <c r="CX259" i="25"/>
  <c r="CY259" i="25" s="1"/>
  <c r="CR233" i="25"/>
  <c r="CV233" i="25" s="1"/>
  <c r="CW233" i="25" s="1"/>
  <c r="CZ233" i="25" s="1"/>
  <c r="CU233" i="25"/>
  <c r="CX233" i="25" s="1"/>
  <c r="CY233" i="25" s="1"/>
  <c r="CU301" i="25"/>
  <c r="CX301" i="25" s="1"/>
  <c r="CY301" i="25" s="1"/>
  <c r="CR288" i="25"/>
  <c r="CV288" i="25" s="1"/>
  <c r="CW288" i="25" s="1"/>
  <c r="CZ288" i="25" s="1"/>
  <c r="CU288" i="25"/>
  <c r="CX288" i="25" s="1"/>
  <c r="CY288" i="25" s="1"/>
  <c r="CR267" i="25"/>
  <c r="CV267" i="25" s="1"/>
  <c r="CW267" i="25" s="1"/>
  <c r="CZ267" i="25" s="1"/>
  <c r="CU267" i="25"/>
  <c r="CX267" i="25" s="1"/>
  <c r="CY267" i="25" s="1"/>
  <c r="CR297" i="25"/>
  <c r="CV297" i="25" s="1"/>
  <c r="CW297" i="25" s="1"/>
  <c r="CZ297" i="25" s="1"/>
  <c r="CU297" i="25"/>
  <c r="CX297" i="25" s="1"/>
  <c r="CY297" i="25" s="1"/>
  <c r="CR290" i="25"/>
  <c r="CV290" i="25" s="1"/>
  <c r="CW290" i="25" s="1"/>
  <c r="CZ290" i="25" s="1"/>
  <c r="CU290" i="25"/>
  <c r="CX290" i="25" s="1"/>
  <c r="CY290" i="25" s="1"/>
  <c r="CR338" i="25"/>
  <c r="CV338" i="25" s="1"/>
  <c r="CW338" i="25" s="1"/>
  <c r="CZ338" i="25" s="1"/>
  <c r="CU338" i="25"/>
  <c r="CX338" i="25" s="1"/>
  <c r="CY338" i="25" s="1"/>
  <c r="CR244" i="25"/>
  <c r="CV244" i="25" s="1"/>
  <c r="CW244" i="25" s="1"/>
  <c r="CZ244" i="25" s="1"/>
  <c r="CU244" i="25"/>
  <c r="CX244" i="25" s="1"/>
  <c r="CY244" i="25" s="1"/>
  <c r="CR315" i="25"/>
  <c r="CV315" i="25" s="1"/>
  <c r="CW315" i="25" s="1"/>
  <c r="CZ315" i="25" s="1"/>
  <c r="CU315" i="25"/>
  <c r="CX315" i="25" s="1"/>
  <c r="CY315" i="25" s="1"/>
  <c r="CU348" i="25"/>
  <c r="CX348" i="25" s="1"/>
  <c r="CY348" i="25" s="1"/>
  <c r="CR348" i="25"/>
  <c r="CV348" i="25" s="1"/>
  <c r="CW348" i="25" s="1"/>
  <c r="CZ348" i="25" s="1"/>
  <c r="CR287" i="25"/>
  <c r="CV287" i="25" s="1"/>
  <c r="CW287" i="25" s="1"/>
  <c r="CZ287" i="25" s="1"/>
  <c r="CU287" i="25"/>
  <c r="CX287" i="25" s="1"/>
  <c r="CY287" i="25" s="1"/>
  <c r="CR372" i="25"/>
  <c r="CV372" i="25" s="1"/>
  <c r="CW372" i="25" s="1"/>
  <c r="CZ372" i="25" s="1"/>
  <c r="CU372" i="25"/>
  <c r="CX372" i="25" s="1"/>
  <c r="CY372" i="25" s="1"/>
  <c r="CR220" i="25"/>
  <c r="CV220" i="25" s="1"/>
  <c r="CW220" i="25" s="1"/>
  <c r="CZ220" i="25" s="1"/>
  <c r="CU220" i="25"/>
  <c r="CX220" i="25" s="1"/>
  <c r="CY220" i="25" s="1"/>
  <c r="CR326" i="25"/>
  <c r="CV326" i="25" s="1"/>
  <c r="CW326" i="25" s="1"/>
  <c r="CZ326" i="25" s="1"/>
  <c r="CU326" i="25"/>
  <c r="CX326" i="25" s="1"/>
  <c r="CY326" i="25" s="1"/>
  <c r="CV337" i="25"/>
  <c r="CW337" i="25" s="1"/>
  <c r="CZ337" i="25" s="1"/>
  <c r="CR237" i="25"/>
  <c r="CV237" i="25" s="1"/>
  <c r="CW237" i="25" s="1"/>
  <c r="CZ237" i="25" s="1"/>
  <c r="CU237" i="25"/>
  <c r="CX237" i="25" s="1"/>
  <c r="CY237" i="25" s="1"/>
  <c r="CV331" i="25"/>
  <c r="CW331" i="25" s="1"/>
  <c r="CZ331" i="25" s="1"/>
  <c r="CU334" i="25"/>
  <c r="CX334" i="25" s="1"/>
  <c r="CY334" i="25" s="1"/>
  <c r="CR334" i="25"/>
  <c r="CV334" i="25" s="1"/>
  <c r="CW334" i="25" s="1"/>
  <c r="CZ334" i="25" s="1"/>
  <c r="CR241" i="25"/>
  <c r="CV241" i="25" s="1"/>
  <c r="CW241" i="25" s="1"/>
  <c r="CZ241" i="25" s="1"/>
  <c r="CU241" i="25"/>
  <c r="CX241" i="25" s="1"/>
  <c r="CY241" i="25" s="1"/>
  <c r="CR215" i="25"/>
  <c r="CV215" i="25" s="1"/>
  <c r="CW215" i="25" s="1"/>
  <c r="CZ215" i="25" s="1"/>
  <c r="CU215" i="25"/>
  <c r="CX215" i="25" s="1"/>
  <c r="CY215" i="25" s="1"/>
  <c r="CR289" i="25"/>
  <c r="CV289" i="25" s="1"/>
  <c r="CW289" i="25" s="1"/>
  <c r="CZ289" i="25" s="1"/>
  <c r="CU289" i="25"/>
  <c r="CX289" i="25" s="1"/>
  <c r="CY289" i="25" s="1"/>
  <c r="CR313" i="25"/>
  <c r="CV313" i="25" s="1"/>
  <c r="CW313" i="25" s="1"/>
  <c r="CZ313" i="25" s="1"/>
  <c r="CU313" i="25"/>
  <c r="CX313" i="25" s="1"/>
  <c r="CY313" i="25" s="1"/>
  <c r="CR305" i="25"/>
  <c r="CV305" i="25" s="1"/>
  <c r="CW305" i="25" s="1"/>
  <c r="CZ305" i="25" s="1"/>
  <c r="CU305" i="25"/>
  <c r="CX305" i="25" s="1"/>
  <c r="CY305" i="25" s="1"/>
  <c r="CR271" i="25"/>
  <c r="CV271" i="25" s="1"/>
  <c r="CW271" i="25" s="1"/>
  <c r="CZ271" i="25" s="1"/>
  <c r="CU271" i="25"/>
  <c r="CX271" i="25" s="1"/>
  <c r="CY271" i="25" s="1"/>
  <c r="CR328" i="25"/>
  <c r="CV328" i="25" s="1"/>
  <c r="CW328" i="25" s="1"/>
  <c r="CZ328" i="25" s="1"/>
  <c r="CU328" i="25"/>
  <c r="CX328" i="25" s="1"/>
  <c r="CY328" i="25" s="1"/>
  <c r="CU293" i="25"/>
  <c r="CX293" i="25" s="1"/>
  <c r="CY293" i="25" s="1"/>
  <c r="CR293" i="25"/>
  <c r="CV293" i="25" s="1"/>
  <c r="CW293" i="25" s="1"/>
  <c r="CZ293" i="25" s="1"/>
  <c r="CR261" i="25"/>
  <c r="CV261" i="25" s="1"/>
  <c r="CW261" i="25" s="1"/>
  <c r="CZ261" i="25" s="1"/>
  <c r="CU261" i="25"/>
  <c r="CX261" i="25" s="1"/>
  <c r="CY261" i="25" s="1"/>
  <c r="CV349" i="25"/>
  <c r="CW349" i="25" s="1"/>
  <c r="CZ349" i="25" s="1"/>
  <c r="CU335" i="25"/>
  <c r="CX335" i="25" s="1"/>
  <c r="CY335" i="25" s="1"/>
  <c r="CU204" i="25"/>
  <c r="CX204" i="25" s="1"/>
  <c r="CY204" i="25" s="1"/>
  <c r="CR303" i="25"/>
  <c r="CV303" i="25" s="1"/>
  <c r="CW303" i="25" s="1"/>
  <c r="CZ303" i="25" s="1"/>
  <c r="CU303" i="25"/>
  <c r="CX303" i="25" s="1"/>
  <c r="CY303" i="25" s="1"/>
  <c r="CR218" i="25"/>
  <c r="CV218" i="25" s="1"/>
  <c r="CW218" i="25" s="1"/>
  <c r="CZ218" i="25" s="1"/>
  <c r="CU218" i="25"/>
  <c r="CX218" i="25" s="1"/>
  <c r="CY218" i="25" s="1"/>
  <c r="CR246" i="25"/>
  <c r="CV246" i="25" s="1"/>
  <c r="CW246" i="25" s="1"/>
  <c r="CZ246" i="25" s="1"/>
  <c r="CU246" i="25"/>
  <c r="CX246" i="25" s="1"/>
  <c r="CY246" i="25" s="1"/>
  <c r="CU359" i="25"/>
  <c r="CX359" i="25" s="1"/>
  <c r="CY359" i="25" s="1"/>
  <c r="CR359" i="25"/>
  <c r="CV359" i="25" s="1"/>
  <c r="CW359" i="25" s="1"/>
  <c r="CZ359" i="25" s="1"/>
  <c r="CR231" i="25"/>
  <c r="CV231" i="25" s="1"/>
  <c r="CW231" i="25" s="1"/>
  <c r="CZ231" i="25" s="1"/>
  <c r="CU231" i="25"/>
  <c r="CX231" i="25" s="1"/>
  <c r="CY231" i="25" s="1"/>
  <c r="CR369" i="25"/>
  <c r="CV369" i="25" s="1"/>
  <c r="CW369" i="25" s="1"/>
  <c r="CZ369" i="25" s="1"/>
  <c r="CU369" i="25"/>
  <c r="CX369" i="25" s="1"/>
  <c r="CY369" i="25" s="1"/>
  <c r="CR203" i="25"/>
  <c r="CV203" i="25" s="1"/>
  <c r="CW203" i="25" s="1"/>
  <c r="CZ203" i="25" s="1"/>
  <c r="CU203" i="25"/>
  <c r="CX203" i="25" s="1"/>
  <c r="CY203" i="25" s="1"/>
  <c r="CR280" i="25"/>
  <c r="CV280" i="25" s="1"/>
  <c r="CW280" i="25" s="1"/>
  <c r="CZ280" i="25" s="1"/>
  <c r="CU280" i="25"/>
  <c r="CX280" i="25" s="1"/>
  <c r="CY280" i="25" s="1"/>
  <c r="CR210" i="25"/>
  <c r="CV210" i="25" s="1"/>
  <c r="CW210" i="25" s="1"/>
  <c r="CZ210" i="25" s="1"/>
  <c r="CU210" i="25"/>
  <c r="CX210" i="25" s="1"/>
  <c r="CY210" i="25" s="1"/>
  <c r="CU324" i="25"/>
  <c r="CX324" i="25" s="1"/>
  <c r="CY324" i="25" s="1"/>
  <c r="CR324" i="25"/>
  <c r="CV324" i="25" s="1"/>
  <c r="CW324" i="25" s="1"/>
  <c r="CZ324" i="25" s="1"/>
  <c r="CR300" i="25"/>
  <c r="CV300" i="25" s="1"/>
  <c r="CW300" i="25" s="1"/>
  <c r="CZ300" i="25" s="1"/>
  <c r="CU300" i="25"/>
  <c r="CX300" i="25" s="1"/>
  <c r="CY300" i="25" s="1"/>
  <c r="CR238" i="25"/>
  <c r="CV238" i="25" s="1"/>
  <c r="CW238" i="25" s="1"/>
  <c r="CZ238" i="25" s="1"/>
  <c r="CU238" i="25"/>
  <c r="CX238" i="25" s="1"/>
  <c r="CY238" i="25" s="1"/>
  <c r="CR346" i="25"/>
  <c r="CV346" i="25" s="1"/>
  <c r="CW346" i="25" s="1"/>
  <c r="CZ346" i="25" s="1"/>
  <c r="CU346" i="25"/>
  <c r="CX346" i="25" s="1"/>
  <c r="CY346" i="25" s="1"/>
  <c r="CR395" i="25"/>
  <c r="CV395" i="25" s="1"/>
  <c r="CW395" i="25" s="1"/>
  <c r="CZ395" i="25" s="1"/>
  <c r="CU395" i="25"/>
  <c r="CX395" i="25" s="1"/>
  <c r="CY395" i="25" s="1"/>
  <c r="CR240" i="25"/>
  <c r="CV240" i="25" s="1"/>
  <c r="CW240" i="25" s="1"/>
  <c r="CZ240" i="25" s="1"/>
  <c r="CU240" i="25"/>
  <c r="CX240" i="25" s="1"/>
  <c r="CY240" i="25" s="1"/>
  <c r="CR356" i="25"/>
  <c r="CV356" i="25" s="1"/>
  <c r="CW356" i="25" s="1"/>
  <c r="CZ356" i="25" s="1"/>
  <c r="CU356" i="25"/>
  <c r="CX356" i="25" s="1"/>
  <c r="CY356" i="25" s="1"/>
  <c r="CR248" i="25"/>
  <c r="CV248" i="25" s="1"/>
  <c r="CW248" i="25" s="1"/>
  <c r="CZ248" i="25" s="1"/>
  <c r="CU248" i="25"/>
  <c r="CX248" i="25" s="1"/>
  <c r="CY248" i="25" s="1"/>
  <c r="CU332" i="25"/>
  <c r="CX332" i="25" s="1"/>
  <c r="CY332" i="25" s="1"/>
  <c r="CU375" i="25"/>
  <c r="CX375" i="25" s="1"/>
  <c r="CY375" i="25" s="1"/>
  <c r="CU283" i="25"/>
  <c r="CX283" i="25" s="1"/>
  <c r="CY283" i="25" s="1"/>
  <c r="CR243" i="25"/>
  <c r="CV243" i="25" s="1"/>
  <c r="CW243" i="25" s="1"/>
  <c r="CZ243" i="25" s="1"/>
  <c r="CU243" i="25"/>
  <c r="CX243" i="25" s="1"/>
  <c r="CY243" i="25" s="1"/>
  <c r="CU221" i="25"/>
  <c r="CX221" i="25" s="1"/>
  <c r="CY221" i="25" s="1"/>
  <c r="CR221" i="25"/>
  <c r="CV221" i="25" s="1"/>
  <c r="CW221" i="25" s="1"/>
  <c r="CZ221" i="25" s="1"/>
  <c r="CR388" i="25"/>
  <c r="CV388" i="25" s="1"/>
  <c r="CW388" i="25" s="1"/>
  <c r="CZ388" i="25" s="1"/>
  <c r="CU388" i="25"/>
  <c r="CX388" i="25" s="1"/>
  <c r="CY388" i="25" s="1"/>
  <c r="CR319" i="25"/>
  <c r="CV319" i="25" s="1"/>
  <c r="CW319" i="25" s="1"/>
  <c r="CZ319" i="25" s="1"/>
  <c r="CU319" i="25"/>
  <c r="CX319" i="25" s="1"/>
  <c r="CY319" i="25" s="1"/>
  <c r="CR320" i="25"/>
  <c r="CV320" i="25" s="1"/>
  <c r="CW320" i="25" s="1"/>
  <c r="CZ320" i="25" s="1"/>
  <c r="CU320" i="25"/>
  <c r="CX320" i="25" s="1"/>
  <c r="CY320" i="25" s="1"/>
  <c r="CR258" i="25"/>
  <c r="CV258" i="25" s="1"/>
  <c r="CW258" i="25" s="1"/>
  <c r="CZ258" i="25" s="1"/>
  <c r="CU258" i="25"/>
  <c r="CX258" i="25" s="1"/>
  <c r="CY258" i="25" s="1"/>
  <c r="CR207" i="25"/>
  <c r="CV207" i="25" s="1"/>
  <c r="CW207" i="25" s="1"/>
  <c r="CZ207" i="25" s="1"/>
  <c r="CU207" i="25"/>
  <c r="CX207" i="25" s="1"/>
  <c r="CY207" i="25" s="1"/>
  <c r="CR365" i="25"/>
  <c r="CV365" i="25" s="1"/>
  <c r="CW365" i="25" s="1"/>
  <c r="CZ365" i="25" s="1"/>
  <c r="CU365" i="25"/>
  <c r="CX365" i="25" s="1"/>
  <c r="CY365" i="25" s="1"/>
  <c r="CR384" i="25"/>
  <c r="CV384" i="25" s="1"/>
  <c r="CW384" i="25" s="1"/>
  <c r="CZ384" i="25" s="1"/>
  <c r="CU384" i="25"/>
  <c r="CX384" i="25" s="1"/>
  <c r="CY384" i="25" s="1"/>
  <c r="CR352" i="25"/>
  <c r="CV352" i="25" s="1"/>
  <c r="CW352" i="25" s="1"/>
  <c r="CZ352" i="25" s="1"/>
  <c r="CU352" i="25"/>
  <c r="CX352" i="25" s="1"/>
  <c r="CY352" i="25" s="1"/>
  <c r="CU386" i="25"/>
  <c r="CX386" i="25" s="1"/>
  <c r="CY386" i="25" s="1"/>
  <c r="CR386" i="25"/>
  <c r="CV386" i="25" s="1"/>
  <c r="CW386" i="25" s="1"/>
  <c r="CZ386" i="25" s="1"/>
  <c r="CR296" i="25"/>
  <c r="CV296" i="25" s="1"/>
  <c r="CW296" i="25" s="1"/>
  <c r="CZ296" i="25" s="1"/>
  <c r="CU296" i="25"/>
  <c r="CX296" i="25" s="1"/>
  <c r="CY296" i="25" s="1"/>
  <c r="CR377" i="25"/>
  <c r="CV377" i="25" s="1"/>
  <c r="CW377" i="25" s="1"/>
  <c r="CZ377" i="25" s="1"/>
  <c r="CU377" i="25"/>
  <c r="CX377" i="25" s="1"/>
  <c r="CY377" i="25" s="1"/>
  <c r="CR279" i="25"/>
  <c r="CV279" i="25" s="1"/>
  <c r="CW279" i="25" s="1"/>
  <c r="CZ279" i="25" s="1"/>
  <c r="CU279" i="25"/>
  <c r="CX279" i="25" s="1"/>
  <c r="CY279" i="25" s="1"/>
  <c r="CR219" i="25"/>
  <c r="CV219" i="25" s="1"/>
  <c r="CW219" i="25" s="1"/>
  <c r="CZ219" i="25" s="1"/>
  <c r="CU219" i="25"/>
  <c r="CX219" i="25" s="1"/>
  <c r="CY219" i="25" s="1"/>
  <c r="CR257" i="25"/>
  <c r="CV257" i="25" s="1"/>
  <c r="CW257" i="25" s="1"/>
  <c r="CZ257" i="25" s="1"/>
  <c r="CU257" i="25"/>
  <c r="CX257" i="25" s="1"/>
  <c r="CY257" i="25" s="1"/>
  <c r="CR239" i="25"/>
  <c r="CV239" i="25" s="1"/>
  <c r="CW239" i="25" s="1"/>
  <c r="CZ239" i="25" s="1"/>
  <c r="CU239" i="25"/>
  <c r="CX239" i="25" s="1"/>
  <c r="CY239" i="25" s="1"/>
  <c r="CR269" i="25"/>
  <c r="CV269" i="25" s="1"/>
  <c r="CW269" i="25" s="1"/>
  <c r="CZ269" i="25" s="1"/>
  <c r="CU269" i="25"/>
  <c r="CX269" i="25" s="1"/>
  <c r="CY269" i="25" s="1"/>
  <c r="CV312" i="25"/>
  <c r="CW312" i="25" s="1"/>
  <c r="CZ312" i="25" s="1"/>
  <c r="CU342" i="25"/>
  <c r="CX342" i="25" s="1"/>
  <c r="CY342" i="25" s="1"/>
  <c r="CR342" i="25"/>
  <c r="CV342" i="25" s="1"/>
  <c r="CW342" i="25" s="1"/>
  <c r="CZ342" i="25" s="1"/>
  <c r="CR368" i="25"/>
  <c r="CV368" i="25" s="1"/>
  <c r="CW368" i="25" s="1"/>
  <c r="CZ368" i="25" s="1"/>
  <c r="CU368" i="25"/>
  <c r="CX368" i="25" s="1"/>
  <c r="CY368" i="25" s="1"/>
  <c r="CR250" i="25"/>
  <c r="CV250" i="25" s="1"/>
  <c r="CW250" i="25" s="1"/>
  <c r="CZ250" i="25" s="1"/>
  <c r="CU250" i="25"/>
  <c r="CX250" i="25" s="1"/>
  <c r="CY250" i="25" s="1"/>
  <c r="CU256" i="25"/>
  <c r="CX256" i="25" s="1"/>
  <c r="CY256" i="25" s="1"/>
  <c r="CR256" i="25"/>
  <c r="CV256" i="25" s="1"/>
  <c r="CW256" i="25" s="1"/>
  <c r="CZ256" i="25" s="1"/>
  <c r="CR236" i="25"/>
  <c r="CV236" i="25" s="1"/>
  <c r="CW236" i="25" s="1"/>
  <c r="CZ236" i="25" s="1"/>
  <c r="CU236" i="25"/>
  <c r="CX236" i="25" s="1"/>
  <c r="CY236" i="25" s="1"/>
  <c r="CR274" i="25"/>
  <c r="CV274" i="25" s="1"/>
  <c r="CW274" i="25" s="1"/>
  <c r="CZ274" i="25" s="1"/>
  <c r="CU274" i="25"/>
  <c r="CX274" i="25" s="1"/>
  <c r="CY274" i="25" s="1"/>
  <c r="CR242" i="25"/>
  <c r="CV242" i="25" s="1"/>
  <c r="CW242" i="25" s="1"/>
  <c r="CZ242" i="25" s="1"/>
  <c r="CU242" i="25"/>
  <c r="CX242" i="25" s="1"/>
  <c r="CY242" i="25" s="1"/>
  <c r="CR378" i="25"/>
  <c r="CV378" i="25" s="1"/>
  <c r="CW378" i="25" s="1"/>
  <c r="CZ378" i="25" s="1"/>
  <c r="CU378" i="25"/>
  <c r="CX378" i="25" s="1"/>
  <c r="CY378" i="25" s="1"/>
  <c r="CR396" i="25"/>
  <c r="CV396" i="25" s="1"/>
  <c r="CW396" i="25" s="1"/>
  <c r="CZ396" i="25" s="1"/>
  <c r="CU396" i="25"/>
  <c r="CX396" i="25" s="1"/>
  <c r="CY396" i="25" s="1"/>
  <c r="CR254" i="25"/>
  <c r="CV254" i="25" s="1"/>
  <c r="CW254" i="25" s="1"/>
  <c r="CZ254" i="25" s="1"/>
  <c r="CU254" i="25"/>
  <c r="CX254" i="25" s="1"/>
  <c r="CY254" i="25" s="1"/>
  <c r="CR323" i="25"/>
  <c r="CV323" i="25" s="1"/>
  <c r="CW323" i="25" s="1"/>
  <c r="CZ323" i="25" s="1"/>
  <c r="CU323" i="25"/>
  <c r="CX323" i="25" s="1"/>
  <c r="CY323" i="25" s="1"/>
  <c r="CR251" i="25"/>
  <c r="CV251" i="25" s="1"/>
  <c r="CW251" i="25" s="1"/>
  <c r="CZ251" i="25" s="1"/>
  <c r="CU251" i="25"/>
  <c r="CX251" i="25" s="1"/>
  <c r="CY251" i="25" s="1"/>
  <c r="CR344" i="25"/>
  <c r="CV344" i="25" s="1"/>
  <c r="CW344" i="25" s="1"/>
  <c r="CZ344" i="25" s="1"/>
  <c r="CU344" i="25"/>
  <c r="CX344" i="25" s="1"/>
  <c r="CY344" i="25" s="1"/>
  <c r="CR358" i="25"/>
  <c r="CV358" i="25" s="1"/>
  <c r="CW358" i="25" s="1"/>
  <c r="CZ358" i="25" s="1"/>
  <c r="CU358" i="25"/>
  <c r="CX358" i="25" s="1"/>
  <c r="CY358" i="25" s="1"/>
  <c r="CR381" i="25"/>
  <c r="CV381" i="25" s="1"/>
  <c r="CW381" i="25" s="1"/>
  <c r="CZ381" i="25" s="1"/>
  <c r="CU381" i="25"/>
  <c r="CX381" i="25" s="1"/>
  <c r="CY381" i="25" s="1"/>
  <c r="CR227" i="25"/>
  <c r="CV227" i="25" s="1"/>
  <c r="CW227" i="25" s="1"/>
  <c r="CZ227" i="25" s="1"/>
  <c r="CU227" i="25"/>
  <c r="CX227" i="25" s="1"/>
  <c r="CY227" i="25" s="1"/>
  <c r="CR295" i="25"/>
  <c r="CV295" i="25" s="1"/>
  <c r="CW295" i="25" s="1"/>
  <c r="CZ295" i="25" s="1"/>
  <c r="CU295" i="25"/>
  <c r="CX295" i="25" s="1"/>
  <c r="CY295" i="25" s="1"/>
  <c r="CR247" i="25"/>
  <c r="CV247" i="25" s="1"/>
  <c r="CW247" i="25" s="1"/>
  <c r="CZ247" i="25" s="1"/>
  <c r="CU247" i="25"/>
  <c r="CX247" i="25" s="1"/>
  <c r="CY247" i="25" s="1"/>
  <c r="CR317" i="25"/>
  <c r="CV317" i="25" s="1"/>
  <c r="CW317" i="25" s="1"/>
  <c r="CZ317" i="25" s="1"/>
  <c r="CU317" i="25"/>
  <c r="CX317" i="25" s="1"/>
  <c r="CY317" i="25" s="1"/>
  <c r="CV262" i="25"/>
  <c r="CW262" i="25" s="1"/>
  <c r="CZ262" i="25" s="1"/>
  <c r="CR211" i="25"/>
  <c r="CV211" i="25" s="1"/>
  <c r="CW211" i="25" s="1"/>
  <c r="CZ211" i="25" s="1"/>
  <c r="CU211" i="25"/>
  <c r="CX211" i="25" s="1"/>
  <c r="CY211" i="25" s="1"/>
  <c r="CR314" i="25"/>
  <c r="CV314" i="25" s="1"/>
  <c r="CW314" i="25" s="1"/>
  <c r="CZ314" i="25" s="1"/>
  <c r="CU314" i="25"/>
  <c r="CX314" i="25" s="1"/>
  <c r="CY314" i="25" s="1"/>
  <c r="CR321" i="25"/>
  <c r="CV321" i="25" s="1"/>
  <c r="CW321" i="25" s="1"/>
  <c r="CZ321" i="25" s="1"/>
  <c r="CU321" i="25"/>
  <c r="CX321" i="25" s="1"/>
  <c r="CY321" i="25" s="1"/>
  <c r="CR291" i="25"/>
  <c r="CV291" i="25" s="1"/>
  <c r="CW291" i="25" s="1"/>
  <c r="CZ291" i="25" s="1"/>
  <c r="CU291" i="25"/>
  <c r="CX291" i="25" s="1"/>
  <c r="CY291" i="25" s="1"/>
  <c r="CR310" i="25"/>
  <c r="CV310" i="25" s="1"/>
  <c r="CW310" i="25" s="1"/>
  <c r="CZ310" i="25" s="1"/>
  <c r="CU310" i="25"/>
  <c r="CX310" i="25" s="1"/>
  <c r="CY310" i="25" s="1"/>
  <c r="CR389" i="25"/>
  <c r="CV389" i="25" s="1"/>
  <c r="CW389" i="25" s="1"/>
  <c r="CZ389" i="25" s="1"/>
  <c r="CU389" i="25"/>
  <c r="CX389" i="25" s="1"/>
  <c r="CY389" i="25" s="1"/>
  <c r="CR249" i="25"/>
  <c r="CV249" i="25" s="1"/>
  <c r="CW249" i="25" s="1"/>
  <c r="CZ249" i="25" s="1"/>
  <c r="CU249" i="25"/>
  <c r="CX249" i="25" s="1"/>
  <c r="CY249" i="25" s="1"/>
  <c r="CR278" i="25"/>
  <c r="CV278" i="25" s="1"/>
  <c r="CW278" i="25" s="1"/>
  <c r="CZ278" i="25" s="1"/>
  <c r="CU278" i="25"/>
  <c r="CX278" i="25" s="1"/>
  <c r="CY278" i="25" s="1"/>
  <c r="CR329" i="25"/>
  <c r="CV329" i="25" s="1"/>
  <c r="CW329" i="25" s="1"/>
  <c r="CZ329" i="25" s="1"/>
  <c r="CU329" i="25"/>
  <c r="CX329" i="25" s="1"/>
  <c r="CY329" i="25" s="1"/>
  <c r="CR245" i="25"/>
  <c r="CV245" i="25" s="1"/>
  <c r="CW245" i="25" s="1"/>
  <c r="CZ245" i="25" s="1"/>
  <c r="CU245" i="25"/>
  <c r="CX245" i="25" s="1"/>
  <c r="CY245" i="25" s="1"/>
  <c r="CU349" i="25"/>
  <c r="CX349" i="25" s="1"/>
  <c r="CY349" i="25" s="1"/>
  <c r="CR355" i="25"/>
  <c r="CV355" i="25" s="1"/>
  <c r="CW355" i="25" s="1"/>
  <c r="CZ355" i="25" s="1"/>
  <c r="CU355" i="25"/>
  <c r="CX355" i="25" s="1"/>
  <c r="CY355" i="25" s="1"/>
  <c r="CR282" i="25"/>
  <c r="CV282" i="25" s="1"/>
  <c r="CW282" i="25" s="1"/>
  <c r="CZ282" i="25" s="1"/>
  <c r="CU282" i="25"/>
  <c r="CX282" i="25" s="1"/>
  <c r="CY282" i="25" s="1"/>
  <c r="CR273" i="25"/>
  <c r="CV273" i="25" s="1"/>
  <c r="CW273" i="25" s="1"/>
  <c r="CZ273" i="25" s="1"/>
  <c r="CU273" i="25"/>
  <c r="CX273" i="25" s="1"/>
  <c r="CY273" i="25" s="1"/>
  <c r="CR343" i="25"/>
  <c r="CV343" i="25" s="1"/>
  <c r="CW343" i="25" s="1"/>
  <c r="CZ343" i="25" s="1"/>
  <c r="CU343" i="25"/>
  <c r="CX343" i="25" s="1"/>
  <c r="CY343" i="25" s="1"/>
  <c r="CR276" i="25"/>
  <c r="CV276" i="25" s="1"/>
  <c r="CW276" i="25" s="1"/>
  <c r="CZ276" i="25" s="1"/>
  <c r="CU276" i="25"/>
  <c r="CX276" i="25" s="1"/>
  <c r="CY276" i="25" s="1"/>
  <c r="CR363" i="25"/>
  <c r="CV363" i="25" s="1"/>
  <c r="CW363" i="25" s="1"/>
  <c r="CZ363" i="25" s="1"/>
  <c r="CU363" i="25"/>
  <c r="CX363" i="25" s="1"/>
  <c r="CY363" i="25" s="1"/>
  <c r="CR292" i="25"/>
  <c r="CV292" i="25" s="1"/>
  <c r="CW292" i="25" s="1"/>
  <c r="CZ292" i="25" s="1"/>
  <c r="CU292" i="25"/>
  <c r="CX292" i="25" s="1"/>
  <c r="CY292" i="25" s="1"/>
  <c r="CR304" i="25"/>
  <c r="CV304" i="25" s="1"/>
  <c r="CW304" i="25" s="1"/>
  <c r="CZ304" i="25" s="1"/>
  <c r="CU304" i="25"/>
  <c r="CX304" i="25" s="1"/>
  <c r="CY304" i="25" s="1"/>
  <c r="CR214" i="25"/>
  <c r="CV214" i="25" s="1"/>
  <c r="CW214" i="25" s="1"/>
  <c r="CZ214" i="25" s="1"/>
  <c r="CU214" i="25"/>
  <c r="CX214" i="25" s="1"/>
  <c r="CY214" i="25" s="1"/>
  <c r="CV345" i="25"/>
  <c r="CW345" i="25" s="1"/>
  <c r="CZ345" i="25" s="1"/>
  <c r="CV260" i="25"/>
  <c r="CW260" i="25" s="1"/>
  <c r="CZ260" i="25" s="1"/>
  <c r="CV360" i="25"/>
  <c r="CW360" i="25" s="1"/>
  <c r="CZ360" i="25" s="1"/>
  <c r="CR306" i="25"/>
  <c r="CV306" i="25" s="1"/>
  <c r="CW306" i="25" s="1"/>
  <c r="CZ306" i="25" s="1"/>
  <c r="CU306" i="25"/>
  <c r="CX306" i="25" s="1"/>
  <c r="CY306" i="25" s="1"/>
  <c r="CV209" i="25"/>
  <c r="CW209" i="25" s="1"/>
  <c r="CZ209" i="25" s="1"/>
  <c r="CV373" i="25"/>
  <c r="CW373" i="25" s="1"/>
  <c r="CZ373" i="25" s="1"/>
  <c r="D206" i="89" l="1"/>
  <c r="D207" i="89"/>
  <c r="D208" i="89"/>
  <c r="D209" i="89"/>
  <c r="D210" i="89"/>
  <c r="D211" i="89"/>
  <c r="D190" i="89"/>
  <c r="D191" i="89"/>
  <c r="D192" i="89"/>
  <c r="D193" i="89"/>
  <c r="D194" i="89"/>
  <c r="D195" i="89"/>
  <c r="DX12" i="25"/>
  <c r="DX23" i="25"/>
  <c r="DX8" i="25"/>
  <c r="I378" i="92"/>
  <c r="G378" i="92"/>
  <c r="H377" i="92"/>
  <c r="G377" i="92"/>
  <c r="I377" i="92"/>
  <c r="H378" i="92"/>
  <c r="F378" i="92"/>
  <c r="F377" i="92"/>
  <c r="C218" i="92"/>
  <c r="C221" i="92"/>
  <c r="Y144" i="89" l="1"/>
  <c r="AH42" i="89"/>
  <c r="AB25" i="89"/>
  <c r="S146" i="89" s="1"/>
  <c r="AB26" i="89"/>
  <c r="S147" i="89" s="1"/>
  <c r="AB27" i="89"/>
  <c r="S148" i="89" s="1"/>
  <c r="AB28" i="89"/>
  <c r="S149" i="89" s="1"/>
  <c r="AB29" i="89"/>
  <c r="S150" i="89" s="1"/>
  <c r="AB30" i="89"/>
  <c r="AB31" i="89"/>
  <c r="S152" i="89" s="1"/>
  <c r="AB32" i="89"/>
  <c r="S153" i="89" s="1"/>
  <c r="AB33" i="89"/>
  <c r="S154" i="89" s="1"/>
  <c r="AB34" i="89"/>
  <c r="S155" i="89" s="1"/>
  <c r="AB35" i="89"/>
  <c r="S156" i="89" s="1"/>
  <c r="AB36" i="89"/>
  <c r="S157" i="89" s="1"/>
  <c r="AB37" i="89"/>
  <c r="S158" i="89" s="1"/>
  <c r="AB38" i="89"/>
  <c r="S159" i="89" s="1"/>
  <c r="AB39" i="89"/>
  <c r="AB40" i="89"/>
  <c r="S161" i="89" s="1"/>
  <c r="AB41" i="89"/>
  <c r="S162" i="89" s="1"/>
  <c r="AB42" i="89"/>
  <c r="S163" i="89" s="1"/>
  <c r="W41" i="89"/>
  <c r="W38" i="89"/>
  <c r="U37" i="89"/>
  <c r="V35" i="89"/>
  <c r="Y34" i="89"/>
  <c r="V33" i="89"/>
  <c r="S225" i="89"/>
  <c r="T225" i="89" s="1"/>
  <c r="W28" i="89"/>
  <c r="W25" i="89"/>
  <c r="X25" i="89"/>
  <c r="V25" i="89"/>
  <c r="U25" i="89"/>
  <c r="AH25" i="89"/>
  <c r="DM8" i="25"/>
  <c r="DN8" i="25"/>
  <c r="DM9" i="25"/>
  <c r="DN9" i="25"/>
  <c r="DM10" i="25"/>
  <c r="DN10" i="25"/>
  <c r="DM14" i="25"/>
  <c r="DN14" i="25"/>
  <c r="DM16" i="25"/>
  <c r="DN16" i="25"/>
  <c r="DM39" i="25"/>
  <c r="DN39" i="25"/>
  <c r="DM60" i="25"/>
  <c r="DN60" i="25"/>
  <c r="DM94" i="25"/>
  <c r="DN94" i="25"/>
  <c r="DM122" i="25"/>
  <c r="DN122" i="25"/>
  <c r="DM127" i="25"/>
  <c r="DN127" i="25"/>
  <c r="DM128" i="25"/>
  <c r="DN128" i="25"/>
  <c r="DM21" i="25"/>
  <c r="DN21" i="25"/>
  <c r="DM36" i="25"/>
  <c r="DN36" i="25"/>
  <c r="DM56" i="25"/>
  <c r="DN56" i="25"/>
  <c r="DM22" i="25"/>
  <c r="DN22" i="25"/>
  <c r="DM145" i="25"/>
  <c r="DN145" i="25"/>
  <c r="DM11" i="25"/>
  <c r="DN11" i="25"/>
  <c r="DM12" i="25"/>
  <c r="DN12" i="25"/>
  <c r="DM15" i="25"/>
  <c r="DN15" i="25"/>
  <c r="DM20" i="25"/>
  <c r="DN20" i="25"/>
  <c r="DM23" i="25"/>
  <c r="DN23" i="25"/>
  <c r="DM33" i="25"/>
  <c r="DN33" i="25"/>
  <c r="DM35" i="25"/>
  <c r="DN35" i="25"/>
  <c r="DM47" i="25"/>
  <c r="DN47" i="25"/>
  <c r="DM53" i="25"/>
  <c r="DN53" i="25"/>
  <c r="DM58" i="25"/>
  <c r="DN58" i="25"/>
  <c r="DM59" i="25"/>
  <c r="DN59" i="25"/>
  <c r="DM65" i="25"/>
  <c r="DN65" i="25"/>
  <c r="DM91" i="25"/>
  <c r="DN91" i="25"/>
  <c r="DM97" i="25"/>
  <c r="DN97" i="25"/>
  <c r="DM101" i="25"/>
  <c r="DN101" i="25"/>
  <c r="DM106" i="25"/>
  <c r="DN106" i="25"/>
  <c r="DM126" i="25"/>
  <c r="DN126" i="25"/>
  <c r="DM136" i="25"/>
  <c r="DN136" i="25"/>
  <c r="DM160" i="25"/>
  <c r="DN160" i="25"/>
  <c r="DM164" i="25"/>
  <c r="DN164" i="25"/>
  <c r="DM19" i="25"/>
  <c r="DN19" i="25"/>
  <c r="DM51" i="25"/>
  <c r="DN51" i="25"/>
  <c r="DM77" i="25"/>
  <c r="DN77" i="25"/>
  <c r="DM82" i="25"/>
  <c r="DN82" i="25"/>
  <c r="DM83" i="25"/>
  <c r="DN83" i="25"/>
  <c r="DM84" i="25"/>
  <c r="DN84" i="25"/>
  <c r="DM85" i="25"/>
  <c r="DN85" i="25"/>
  <c r="DM86" i="25"/>
  <c r="DN86" i="25"/>
  <c r="DM87" i="25"/>
  <c r="DN87" i="25"/>
  <c r="DM88" i="25"/>
  <c r="DN88" i="25"/>
  <c r="DM28" i="25"/>
  <c r="DN28" i="25"/>
  <c r="DM49" i="25"/>
  <c r="DN49" i="25"/>
  <c r="DM147" i="25"/>
  <c r="DN147" i="25"/>
  <c r="DM68" i="25"/>
  <c r="DN68" i="25"/>
  <c r="DM146" i="25"/>
  <c r="DN146" i="25"/>
  <c r="DM32" i="25"/>
  <c r="DN32" i="25"/>
  <c r="DM102" i="25"/>
  <c r="DN102" i="25"/>
  <c r="DM103" i="25"/>
  <c r="DN103" i="25"/>
  <c r="DM107" i="25"/>
  <c r="DN107" i="25"/>
  <c r="DM34" i="25"/>
  <c r="DN34" i="25"/>
  <c r="DM92" i="25"/>
  <c r="DN92" i="25"/>
  <c r="DM111" i="25"/>
  <c r="DN111" i="25"/>
  <c r="DM144" i="25"/>
  <c r="DN144" i="25"/>
  <c r="DM13" i="25"/>
  <c r="DN13" i="25"/>
  <c r="DM27" i="25"/>
  <c r="DN27" i="25"/>
  <c r="DM37" i="25"/>
  <c r="DN37" i="25"/>
  <c r="DM38" i="25"/>
  <c r="DN38" i="25"/>
  <c r="DM44" i="25"/>
  <c r="DN44" i="25"/>
  <c r="DM46" i="25"/>
  <c r="DN46" i="25"/>
  <c r="DM48" i="25"/>
  <c r="DN48" i="25"/>
  <c r="DM50" i="25"/>
  <c r="DN50" i="25"/>
  <c r="DM62" i="25"/>
  <c r="DN62" i="25"/>
  <c r="DM63" i="25"/>
  <c r="DN63" i="25"/>
  <c r="DM64" i="25"/>
  <c r="DN64" i="25"/>
  <c r="DM67" i="25"/>
  <c r="DN67" i="25"/>
  <c r="DM79" i="25"/>
  <c r="DN79" i="25"/>
  <c r="DM80" i="25"/>
  <c r="DN80" i="25"/>
  <c r="DM93" i="25"/>
  <c r="DN93" i="25"/>
  <c r="DM96" i="25"/>
  <c r="DN96" i="25"/>
  <c r="DM98" i="25"/>
  <c r="DN98" i="25"/>
  <c r="DM113" i="25"/>
  <c r="DN113" i="25"/>
  <c r="DM115" i="25"/>
  <c r="DN115" i="25"/>
  <c r="DM118" i="25"/>
  <c r="DN118" i="25"/>
  <c r="DM134" i="25"/>
  <c r="DN134" i="25"/>
  <c r="DM26" i="25"/>
  <c r="DN26" i="25"/>
  <c r="DM42" i="25"/>
  <c r="DN42" i="25"/>
  <c r="DM41" i="25"/>
  <c r="DN41" i="25"/>
  <c r="DM45" i="25"/>
  <c r="DN45" i="25"/>
  <c r="DM43" i="25"/>
  <c r="DN43" i="25"/>
  <c r="DM54" i="25"/>
  <c r="DN54" i="25"/>
  <c r="DM55" i="25"/>
  <c r="DN55" i="25"/>
  <c r="DM89" i="25"/>
  <c r="DN89" i="25"/>
  <c r="DM90" i="25"/>
  <c r="DN90" i="25"/>
  <c r="DM105" i="25"/>
  <c r="DN105" i="25"/>
  <c r="DM78" i="25"/>
  <c r="DN78" i="25"/>
  <c r="DM116" i="25"/>
  <c r="DN116" i="25"/>
  <c r="DM117" i="25"/>
  <c r="DN117" i="25"/>
  <c r="DM120" i="25"/>
  <c r="DN120" i="25"/>
  <c r="DM133" i="25"/>
  <c r="DN133" i="25"/>
  <c r="DM138" i="25"/>
  <c r="DN138" i="25"/>
  <c r="DM114" i="25"/>
  <c r="DN114" i="25"/>
  <c r="DM137" i="25"/>
  <c r="DN137" i="25"/>
  <c r="DM151" i="25"/>
  <c r="DN151" i="25"/>
  <c r="DM130" i="25"/>
  <c r="DN130" i="25"/>
  <c r="DM142" i="25"/>
  <c r="DN142" i="25"/>
  <c r="DM150" i="25"/>
  <c r="DN150" i="25"/>
  <c r="DM81" i="25"/>
  <c r="DN81" i="25"/>
  <c r="DM66" i="25"/>
  <c r="DN66" i="25"/>
  <c r="DM121" i="25"/>
  <c r="DN121" i="25"/>
  <c r="DM141" i="25"/>
  <c r="DN141" i="25"/>
  <c r="DM29" i="25"/>
  <c r="DN29" i="25"/>
  <c r="DM112" i="25"/>
  <c r="DN112" i="25"/>
  <c r="DM131" i="25"/>
  <c r="DN131" i="25"/>
  <c r="DM143" i="25"/>
  <c r="DN143" i="25"/>
  <c r="DM148" i="25"/>
  <c r="DN148" i="25"/>
  <c r="DM140" i="25"/>
  <c r="DN140" i="25"/>
  <c r="DM17" i="25"/>
  <c r="DN17" i="25"/>
  <c r="DM30" i="25"/>
  <c r="DN30" i="25"/>
  <c r="DM31" i="25"/>
  <c r="DN31" i="25"/>
  <c r="DM40" i="25"/>
  <c r="DN40" i="25"/>
  <c r="DM69" i="25"/>
  <c r="DN69" i="25"/>
  <c r="DM70" i="25"/>
  <c r="DN70" i="25"/>
  <c r="DM71" i="25"/>
  <c r="DN71" i="25"/>
  <c r="DM72" i="25"/>
  <c r="DN72" i="25"/>
  <c r="DM73" i="25"/>
  <c r="DN73" i="25"/>
  <c r="DM110" i="25"/>
  <c r="DN110" i="25"/>
  <c r="DM74" i="25"/>
  <c r="DN74" i="25"/>
  <c r="DM99" i="25"/>
  <c r="DN99" i="25"/>
  <c r="DM124" i="25"/>
  <c r="DN124" i="25"/>
  <c r="DM76" i="25"/>
  <c r="DN76" i="25"/>
  <c r="DM75" i="25"/>
  <c r="DN75" i="25"/>
  <c r="DM129" i="25"/>
  <c r="DN129" i="25"/>
  <c r="DM119" i="25"/>
  <c r="DN119" i="25"/>
  <c r="DM154" i="25"/>
  <c r="DN154" i="25"/>
  <c r="DM125" i="25"/>
  <c r="DN125" i="25"/>
  <c r="DM157" i="25"/>
  <c r="DN157" i="25"/>
  <c r="DM161" i="25"/>
  <c r="DN161" i="25"/>
  <c r="DM162" i="25"/>
  <c r="DN162" i="25"/>
  <c r="DM163" i="25"/>
  <c r="DN163" i="25"/>
  <c r="DM167" i="25"/>
  <c r="DN167" i="25"/>
  <c r="DM171" i="25"/>
  <c r="DN171" i="25"/>
  <c r="DM181" i="25"/>
  <c r="DN181" i="25"/>
  <c r="DM166" i="25"/>
  <c r="DN166" i="25"/>
  <c r="DM168" i="25"/>
  <c r="DN168" i="25"/>
  <c r="DM174" i="25"/>
  <c r="DN174" i="25"/>
  <c r="DM175" i="25"/>
  <c r="DN175" i="25"/>
  <c r="DM176" i="25"/>
  <c r="DN176" i="25"/>
  <c r="DM169" i="25"/>
  <c r="DN169" i="25"/>
  <c r="DM180" i="25"/>
  <c r="DN180" i="25"/>
  <c r="DM182" i="25"/>
  <c r="DN182" i="25"/>
  <c r="DM186" i="25"/>
  <c r="DN186" i="25"/>
  <c r="DM188" i="25"/>
  <c r="DN188" i="25"/>
  <c r="DM193" i="25"/>
  <c r="DN193" i="25"/>
  <c r="DM194" i="25"/>
  <c r="DN194" i="25"/>
  <c r="DM197" i="25"/>
  <c r="DN197" i="25"/>
  <c r="DM198" i="25"/>
  <c r="DN198" i="25"/>
  <c r="DM202" i="25"/>
  <c r="DN202" i="25"/>
  <c r="DM195" i="25"/>
  <c r="DN195" i="25"/>
  <c r="DM200" i="25"/>
  <c r="DN200" i="25"/>
  <c r="DM201" i="25"/>
  <c r="DN201" i="25"/>
  <c r="DM172" i="25"/>
  <c r="DN172" i="25"/>
  <c r="DM183" i="25"/>
  <c r="DN183" i="25"/>
  <c r="DM184" i="25"/>
  <c r="DN184" i="25"/>
  <c r="DM187" i="25"/>
  <c r="DN187" i="25"/>
  <c r="DM189" i="25"/>
  <c r="DN189" i="25"/>
  <c r="DM190" i="25"/>
  <c r="DN190" i="25"/>
  <c r="DM191" i="25"/>
  <c r="DN191" i="25"/>
  <c r="DM192" i="25"/>
  <c r="DN192" i="25"/>
  <c r="DM173" i="25"/>
  <c r="DN173" i="25"/>
  <c r="DM178" i="25"/>
  <c r="DN178" i="25"/>
  <c r="DM179" i="25"/>
  <c r="DN179" i="25"/>
  <c r="DM196" i="25"/>
  <c r="DN196" i="25"/>
  <c r="DM199" i="25"/>
  <c r="DN199" i="25"/>
  <c r="DM7" i="25"/>
  <c r="DN7" i="25"/>
  <c r="DM18" i="25"/>
  <c r="DN18" i="25"/>
  <c r="DM185" i="25"/>
  <c r="DN185" i="25"/>
  <c r="DM170" i="25"/>
  <c r="DN170" i="25"/>
  <c r="DM177" i="25"/>
  <c r="DN177" i="25"/>
  <c r="DM100" i="25"/>
  <c r="DN100" i="25"/>
  <c r="DM109" i="25"/>
  <c r="DN109" i="25"/>
  <c r="DM159" i="25"/>
  <c r="DN159" i="25"/>
  <c r="DM61" i="25"/>
  <c r="DN61" i="25"/>
  <c r="DM123" i="25"/>
  <c r="DN123" i="25"/>
  <c r="DM165" i="25"/>
  <c r="DN165" i="25"/>
  <c r="DM57" i="25"/>
  <c r="DN57" i="25"/>
  <c r="DM24" i="25"/>
  <c r="DN24" i="25"/>
  <c r="DM25" i="25"/>
  <c r="DN25" i="25"/>
  <c r="DM108" i="25"/>
  <c r="DN108" i="25"/>
  <c r="DM132" i="25"/>
  <c r="DN132" i="25"/>
  <c r="DM152" i="25"/>
  <c r="DN152" i="25"/>
  <c r="DM153" i="25"/>
  <c r="DN153" i="25"/>
  <c r="DM155" i="25"/>
  <c r="DN155" i="25"/>
  <c r="DM149" i="25"/>
  <c r="DN149" i="25"/>
  <c r="DM135" i="25"/>
  <c r="DN135" i="25"/>
  <c r="DM139" i="25"/>
  <c r="DN139" i="25"/>
  <c r="DM156" i="25"/>
  <c r="DN156" i="25"/>
  <c r="DM95" i="25"/>
  <c r="DN95" i="25"/>
  <c r="W127" i="89"/>
  <c r="L164" i="89"/>
  <c r="K164" i="89"/>
  <c r="J164" i="89"/>
  <c r="I164" i="89"/>
  <c r="F164" i="89"/>
  <c r="E164" i="89"/>
  <c r="O145" i="89"/>
  <c r="L145" i="89"/>
  <c r="J145" i="89"/>
  <c r="I145" i="89"/>
  <c r="F145" i="89"/>
  <c r="E145" i="89"/>
  <c r="Y143" i="89"/>
  <c r="U140" i="89"/>
  <c r="Y139" i="89"/>
  <c r="Y138" i="89"/>
  <c r="W137" i="89"/>
  <c r="U136" i="89"/>
  <c r="Y135" i="89"/>
  <c r="Y134" i="89"/>
  <c r="W133" i="89"/>
  <c r="U131" i="89"/>
  <c r="Y130" i="89"/>
  <c r="Y129" i="89"/>
  <c r="W128" i="89"/>
  <c r="H145" i="89"/>
  <c r="Y125" i="89"/>
  <c r="Y124" i="89"/>
  <c r="W122" i="89"/>
  <c r="U121" i="89"/>
  <c r="Y120" i="89"/>
  <c r="U116" i="89"/>
  <c r="Y115" i="89"/>
  <c r="Y114" i="89"/>
  <c r="W112" i="89"/>
  <c r="T111" i="89"/>
  <c r="X109" i="89"/>
  <c r="V108" i="89"/>
  <c r="T107" i="89"/>
  <c r="X103" i="89"/>
  <c r="X102" i="89"/>
  <c r="V101" i="89"/>
  <c r="P99" i="89"/>
  <c r="T99" i="89" s="1"/>
  <c r="P98" i="89"/>
  <c r="Y98" i="89" s="1"/>
  <c r="P97" i="89"/>
  <c r="P95" i="89"/>
  <c r="V95" i="89" s="1"/>
  <c r="P94" i="89"/>
  <c r="T94" i="89" s="1"/>
  <c r="Y93" i="89"/>
  <c r="P92" i="89"/>
  <c r="X92" i="89" s="1"/>
  <c r="P91" i="89"/>
  <c r="V91" i="89" s="1"/>
  <c r="P90" i="89"/>
  <c r="T90" i="89" s="1"/>
  <c r="P88" i="89"/>
  <c r="P86" i="89"/>
  <c r="V86" i="89" s="1"/>
  <c r="P85" i="89"/>
  <c r="T85" i="89" s="1"/>
  <c r="P84" i="89"/>
  <c r="Y84" i="89" s="1"/>
  <c r="P83" i="89"/>
  <c r="Y83" i="89" s="1"/>
  <c r="T80" i="89"/>
  <c r="X79" i="89"/>
  <c r="X76" i="89"/>
  <c r="X75" i="89"/>
  <c r="U74" i="89"/>
  <c r="Y73" i="89"/>
  <c r="W72" i="89"/>
  <c r="T71" i="89"/>
  <c r="X66" i="89"/>
  <c r="U65" i="89"/>
  <c r="Y64" i="89"/>
  <c r="P63" i="89"/>
  <c r="X61" i="89"/>
  <c r="X60" i="89"/>
  <c r="V59" i="89"/>
  <c r="T57" i="89"/>
  <c r="X56" i="89"/>
  <c r="W55" i="89"/>
  <c r="Y54" i="89"/>
  <c r="U53" i="89"/>
  <c r="T52" i="89"/>
  <c r="U47" i="89"/>
  <c r="T46" i="89"/>
  <c r="X45" i="89"/>
  <c r="V78" i="89"/>
  <c r="I81" i="89"/>
  <c r="I43" i="89"/>
  <c r="J43" i="89"/>
  <c r="J81" i="89"/>
  <c r="F126" i="89"/>
  <c r="F113" i="89"/>
  <c r="H100" i="89"/>
  <c r="J100" i="89"/>
  <c r="L100" i="89"/>
  <c r="O100" i="89"/>
  <c r="F100" i="89"/>
  <c r="F81" i="89"/>
  <c r="F62" i="89"/>
  <c r="F43" i="89"/>
  <c r="AE4" i="129"/>
  <c r="O3" i="89" s="1"/>
  <c r="AD4" i="129"/>
  <c r="N3" i="89" s="1"/>
  <c r="AC4" i="129"/>
  <c r="M3" i="89" s="1"/>
  <c r="O4" i="129"/>
  <c r="O2" i="89" s="1"/>
  <c r="N4" i="129"/>
  <c r="N2" i="89" s="1"/>
  <c r="M4" i="129"/>
  <c r="M2" i="89" s="1"/>
  <c r="DF8" i="25"/>
  <c r="DF9" i="25"/>
  <c r="DF10" i="25"/>
  <c r="DF14" i="25"/>
  <c r="DF16" i="25"/>
  <c r="DF39" i="25"/>
  <c r="DF60" i="25"/>
  <c r="DF94" i="25"/>
  <c r="DF122" i="25"/>
  <c r="DF127" i="25"/>
  <c r="DF128" i="25"/>
  <c r="DF21" i="25"/>
  <c r="DF36" i="25"/>
  <c r="DF56" i="25"/>
  <c r="DF22" i="25"/>
  <c r="DF145" i="25"/>
  <c r="DF11" i="25"/>
  <c r="DF12" i="25"/>
  <c r="DF15" i="25"/>
  <c r="DF20" i="25"/>
  <c r="DF23" i="25"/>
  <c r="DF33" i="25"/>
  <c r="DF35" i="25"/>
  <c r="DF47" i="25"/>
  <c r="DF53" i="25"/>
  <c r="DF58" i="25"/>
  <c r="DF59" i="25"/>
  <c r="DF65" i="25"/>
  <c r="DF91" i="25"/>
  <c r="DF97" i="25"/>
  <c r="DF101" i="25"/>
  <c r="DF106" i="25"/>
  <c r="DF126" i="25"/>
  <c r="DF136" i="25"/>
  <c r="DF160" i="25"/>
  <c r="DF164" i="25"/>
  <c r="DF19" i="25"/>
  <c r="DF51" i="25"/>
  <c r="DF77" i="25"/>
  <c r="DF82" i="25"/>
  <c r="DF83" i="25"/>
  <c r="DF84" i="25"/>
  <c r="DF85" i="25"/>
  <c r="DF86" i="25"/>
  <c r="DF87" i="25"/>
  <c r="DF88" i="25"/>
  <c r="DF28" i="25"/>
  <c r="DF49" i="25"/>
  <c r="DF147" i="25"/>
  <c r="DF68" i="25"/>
  <c r="DF146" i="25"/>
  <c r="DF32" i="25"/>
  <c r="DF102" i="25"/>
  <c r="DF103" i="25"/>
  <c r="DF107" i="25"/>
  <c r="DF34" i="25"/>
  <c r="DF92" i="25"/>
  <c r="DF111" i="25"/>
  <c r="DF144" i="25"/>
  <c r="DF13" i="25"/>
  <c r="DF27" i="25"/>
  <c r="DF37" i="25"/>
  <c r="DF38" i="25"/>
  <c r="DF44" i="25"/>
  <c r="DF46" i="25"/>
  <c r="DF48" i="25"/>
  <c r="DF50" i="25"/>
  <c r="DF62" i="25"/>
  <c r="DF63" i="25"/>
  <c r="DF64" i="25"/>
  <c r="DF67" i="25"/>
  <c r="DF79" i="25"/>
  <c r="DF80" i="25"/>
  <c r="DF93" i="25"/>
  <c r="DF96" i="25"/>
  <c r="DF98" i="25"/>
  <c r="DF113" i="25"/>
  <c r="DF115" i="25"/>
  <c r="DF118" i="25"/>
  <c r="DF134" i="25"/>
  <c r="DF26" i="25"/>
  <c r="DF42" i="25"/>
  <c r="DF41" i="25"/>
  <c r="DF45" i="25"/>
  <c r="DF43" i="25"/>
  <c r="DF54" i="25"/>
  <c r="DF55" i="25"/>
  <c r="DF89" i="25"/>
  <c r="DF90" i="25"/>
  <c r="DF105" i="25"/>
  <c r="DF78" i="25"/>
  <c r="DF116" i="25"/>
  <c r="DF117" i="25"/>
  <c r="DF120" i="25"/>
  <c r="DF133" i="25"/>
  <c r="DF138" i="25"/>
  <c r="DF114" i="25"/>
  <c r="DF137" i="25"/>
  <c r="DF151" i="25"/>
  <c r="DF130" i="25"/>
  <c r="DF142" i="25"/>
  <c r="DF150" i="25"/>
  <c r="DF81" i="25"/>
  <c r="DF66" i="25"/>
  <c r="DF121" i="25"/>
  <c r="DF141" i="25"/>
  <c r="DF29" i="25"/>
  <c r="DF112" i="25"/>
  <c r="DF131" i="25"/>
  <c r="DF143" i="25"/>
  <c r="DF148" i="25"/>
  <c r="DF140" i="25"/>
  <c r="DF17" i="25"/>
  <c r="DF30" i="25"/>
  <c r="DF31" i="25"/>
  <c r="DF40" i="25"/>
  <c r="DF69" i="25"/>
  <c r="DF70" i="25"/>
  <c r="DF71" i="25"/>
  <c r="DF72" i="25"/>
  <c r="DF73" i="25"/>
  <c r="DF110" i="25"/>
  <c r="DF74" i="25"/>
  <c r="DF99" i="25"/>
  <c r="DF124" i="25"/>
  <c r="DF76" i="25"/>
  <c r="DF75" i="25"/>
  <c r="DF129" i="25"/>
  <c r="DF119" i="25"/>
  <c r="DF154" i="25"/>
  <c r="DF125" i="25"/>
  <c r="DF157" i="25"/>
  <c r="DF161" i="25"/>
  <c r="DF162" i="25"/>
  <c r="DF163" i="25"/>
  <c r="DF167" i="25"/>
  <c r="DF171" i="25"/>
  <c r="DF181" i="25"/>
  <c r="DF166" i="25"/>
  <c r="DF168" i="25"/>
  <c r="DF174" i="25"/>
  <c r="DF175" i="25"/>
  <c r="DF176" i="25"/>
  <c r="DF169" i="25"/>
  <c r="DF180" i="25"/>
  <c r="DF182" i="25"/>
  <c r="DF186" i="25"/>
  <c r="DF188" i="25"/>
  <c r="DF193" i="25"/>
  <c r="DF194" i="25"/>
  <c r="DF197" i="25"/>
  <c r="DF198" i="25"/>
  <c r="DF202" i="25"/>
  <c r="DF195" i="25"/>
  <c r="DF200" i="25"/>
  <c r="DF201" i="25"/>
  <c r="DF172" i="25"/>
  <c r="DF183" i="25"/>
  <c r="DF184" i="25"/>
  <c r="DF187" i="25"/>
  <c r="DF189" i="25"/>
  <c r="DF190" i="25"/>
  <c r="DF191" i="25"/>
  <c r="DF192" i="25"/>
  <c r="DF173" i="25"/>
  <c r="DF178" i="25"/>
  <c r="DF179" i="25"/>
  <c r="DF196" i="25"/>
  <c r="DF199" i="25"/>
  <c r="DF7" i="25"/>
  <c r="DF18" i="25"/>
  <c r="DF185" i="25"/>
  <c r="DF170" i="25"/>
  <c r="DF177" i="25"/>
  <c r="DF100" i="25"/>
  <c r="DF109" i="25"/>
  <c r="DF159" i="25"/>
  <c r="DF61" i="25"/>
  <c r="DF123" i="25"/>
  <c r="DF165" i="25"/>
  <c r="DF57" i="25"/>
  <c r="DF24" i="25"/>
  <c r="DF25" i="25"/>
  <c r="DF108" i="25"/>
  <c r="DF132" i="25"/>
  <c r="DF152" i="25"/>
  <c r="DF153" i="25"/>
  <c r="DF155" i="25"/>
  <c r="DF149" i="25"/>
  <c r="DF135" i="25"/>
  <c r="DF139" i="25"/>
  <c r="DF156" i="25"/>
  <c r="DF95" i="25"/>
  <c r="CM8" i="25"/>
  <c r="CM9" i="25"/>
  <c r="CM10" i="25"/>
  <c r="CM14" i="25"/>
  <c r="CM16" i="25"/>
  <c r="CM39" i="25"/>
  <c r="CM60" i="25"/>
  <c r="CM94" i="25"/>
  <c r="CM122" i="25"/>
  <c r="CM127" i="25"/>
  <c r="CM128" i="25"/>
  <c r="CM21" i="25"/>
  <c r="CM36" i="25"/>
  <c r="CM56" i="25"/>
  <c r="CM22" i="25"/>
  <c r="CM145" i="25"/>
  <c r="CM11" i="25"/>
  <c r="CM12" i="25"/>
  <c r="CM15" i="25"/>
  <c r="CM20" i="25"/>
  <c r="CM23" i="25"/>
  <c r="CM33" i="25"/>
  <c r="CM35" i="25"/>
  <c r="CM47" i="25"/>
  <c r="CM53" i="25"/>
  <c r="CM58" i="25"/>
  <c r="CM59" i="25"/>
  <c r="CM65" i="25"/>
  <c r="CM91" i="25"/>
  <c r="CM97" i="25"/>
  <c r="CM101" i="25"/>
  <c r="CM106" i="25"/>
  <c r="CM126" i="25"/>
  <c r="CM136" i="25"/>
  <c r="CM160" i="25"/>
  <c r="CM164" i="25"/>
  <c r="CM19" i="25"/>
  <c r="CM51" i="25"/>
  <c r="CM77" i="25"/>
  <c r="CM82" i="25"/>
  <c r="CM83" i="25"/>
  <c r="CM84" i="25"/>
  <c r="CM85" i="25"/>
  <c r="CM86" i="25"/>
  <c r="CM87" i="25"/>
  <c r="CM88" i="25"/>
  <c r="CM28" i="25"/>
  <c r="CM49" i="25"/>
  <c r="CM147" i="25"/>
  <c r="CM68" i="25"/>
  <c r="CM146" i="25"/>
  <c r="CM32" i="25"/>
  <c r="CM102" i="25"/>
  <c r="CM103" i="25"/>
  <c r="CM107" i="25"/>
  <c r="CM34" i="25"/>
  <c r="CM92" i="25"/>
  <c r="CM111" i="25"/>
  <c r="CM144" i="25"/>
  <c r="CM13" i="25"/>
  <c r="CM27" i="25"/>
  <c r="CM37" i="25"/>
  <c r="CM38" i="25"/>
  <c r="CM44" i="25"/>
  <c r="CM46" i="25"/>
  <c r="CM48" i="25"/>
  <c r="CM50" i="25"/>
  <c r="CM62" i="25"/>
  <c r="CM63" i="25"/>
  <c r="CM64" i="25"/>
  <c r="CM67" i="25"/>
  <c r="CM79" i="25"/>
  <c r="CM80" i="25"/>
  <c r="CM93" i="25"/>
  <c r="CM96" i="25"/>
  <c r="CM98" i="25"/>
  <c r="CM113" i="25"/>
  <c r="CM115" i="25"/>
  <c r="CM118" i="25"/>
  <c r="CM134" i="25"/>
  <c r="CM26" i="25"/>
  <c r="CM42" i="25"/>
  <c r="CM41" i="25"/>
  <c r="CM45" i="25"/>
  <c r="CM43" i="25"/>
  <c r="CM54" i="25"/>
  <c r="CM55" i="25"/>
  <c r="CM89" i="25"/>
  <c r="CM90" i="25"/>
  <c r="CM105" i="25"/>
  <c r="CM78" i="25"/>
  <c r="CM116" i="25"/>
  <c r="CM117" i="25"/>
  <c r="CM120" i="25"/>
  <c r="CM133" i="25"/>
  <c r="CM138" i="25"/>
  <c r="CM114" i="25"/>
  <c r="CM137" i="25"/>
  <c r="CM151" i="25"/>
  <c r="CM130" i="25"/>
  <c r="CM142" i="25"/>
  <c r="CM150" i="25"/>
  <c r="CM81" i="25"/>
  <c r="CM66" i="25"/>
  <c r="CM121" i="25"/>
  <c r="CM141" i="25"/>
  <c r="CM29" i="25"/>
  <c r="CM112" i="25"/>
  <c r="CM131" i="25"/>
  <c r="CM143" i="25"/>
  <c r="CM148" i="25"/>
  <c r="CM140" i="25"/>
  <c r="CM17" i="25"/>
  <c r="CM30" i="25"/>
  <c r="CM31" i="25"/>
  <c r="CM40" i="25"/>
  <c r="CM69" i="25"/>
  <c r="CM70" i="25"/>
  <c r="CM71" i="25"/>
  <c r="CM72" i="25"/>
  <c r="CM73" i="25"/>
  <c r="CM110" i="25"/>
  <c r="CM74" i="25"/>
  <c r="CM99" i="25"/>
  <c r="CM124" i="25"/>
  <c r="CM76" i="25"/>
  <c r="CM75" i="25"/>
  <c r="CM129" i="25"/>
  <c r="CM119" i="25"/>
  <c r="CM154" i="25"/>
  <c r="CM125" i="25"/>
  <c r="CM157" i="25"/>
  <c r="CM161" i="25"/>
  <c r="CM162" i="25"/>
  <c r="CM163" i="25"/>
  <c r="CM167" i="25"/>
  <c r="CM171" i="25"/>
  <c r="CM181" i="25"/>
  <c r="CM166" i="25"/>
  <c r="CM168" i="25"/>
  <c r="CM174" i="25"/>
  <c r="CM175" i="25"/>
  <c r="CM176" i="25"/>
  <c r="CM169" i="25"/>
  <c r="CM180" i="25"/>
  <c r="CM182" i="25"/>
  <c r="CM186" i="25"/>
  <c r="CM188" i="25"/>
  <c r="CM193" i="25"/>
  <c r="CM194" i="25"/>
  <c r="CM197" i="25"/>
  <c r="CM198" i="25"/>
  <c r="CM202" i="25"/>
  <c r="CM195" i="25"/>
  <c r="CM200" i="25"/>
  <c r="CM201" i="25"/>
  <c r="CM172" i="25"/>
  <c r="CM183" i="25"/>
  <c r="CM184" i="25"/>
  <c r="CM187" i="25"/>
  <c r="CM189" i="25"/>
  <c r="CM190" i="25"/>
  <c r="CM191" i="25"/>
  <c r="CM192" i="25"/>
  <c r="CM173" i="25"/>
  <c r="CM178" i="25"/>
  <c r="CM179" i="25"/>
  <c r="CM196" i="25"/>
  <c r="CM199" i="25"/>
  <c r="CM7" i="25"/>
  <c r="CM18" i="25"/>
  <c r="CM185" i="25"/>
  <c r="CM170" i="25"/>
  <c r="CM177" i="25"/>
  <c r="CM100" i="25"/>
  <c r="CM109" i="25"/>
  <c r="CM159" i="25"/>
  <c r="CM61" i="25"/>
  <c r="CM123" i="25"/>
  <c r="CM165" i="25"/>
  <c r="CM57" i="25"/>
  <c r="CM24" i="25"/>
  <c r="CM25" i="25"/>
  <c r="CM108" i="25"/>
  <c r="CM132" i="25"/>
  <c r="CM152" i="25"/>
  <c r="CM153" i="25"/>
  <c r="CM155" i="25"/>
  <c r="CM149" i="25"/>
  <c r="CM135" i="25"/>
  <c r="CM139" i="25"/>
  <c r="CM156" i="25"/>
  <c r="CM95" i="25"/>
  <c r="CN8" i="25"/>
  <c r="CN9" i="25"/>
  <c r="CN10" i="25"/>
  <c r="CN14" i="25"/>
  <c r="CN16" i="25"/>
  <c r="CN39" i="25"/>
  <c r="CN60" i="25"/>
  <c r="CN94" i="25"/>
  <c r="CN122" i="25"/>
  <c r="CN127" i="25"/>
  <c r="CN128" i="25"/>
  <c r="CN21" i="25"/>
  <c r="CN36" i="25"/>
  <c r="CN56" i="25"/>
  <c r="CN22" i="25"/>
  <c r="CN145" i="25"/>
  <c r="CN11" i="25"/>
  <c r="CN12" i="25"/>
  <c r="CN15" i="25"/>
  <c r="CN20" i="25"/>
  <c r="CN23" i="25"/>
  <c r="CN33" i="25"/>
  <c r="CN35" i="25"/>
  <c r="CN47" i="25"/>
  <c r="CN53" i="25"/>
  <c r="CN58" i="25"/>
  <c r="CN59" i="25"/>
  <c r="CN65" i="25"/>
  <c r="CN91" i="25"/>
  <c r="CN97" i="25"/>
  <c r="CN101" i="25"/>
  <c r="CN106" i="25"/>
  <c r="CN126" i="25"/>
  <c r="CN136" i="25"/>
  <c r="CN160" i="25"/>
  <c r="CN164" i="25"/>
  <c r="CN19" i="25"/>
  <c r="CN51" i="25"/>
  <c r="CN77" i="25"/>
  <c r="CN82" i="25"/>
  <c r="CN83" i="25"/>
  <c r="CN84" i="25"/>
  <c r="CN85" i="25"/>
  <c r="CN86" i="25"/>
  <c r="CN87" i="25"/>
  <c r="CN88" i="25"/>
  <c r="CN28" i="25"/>
  <c r="CN49" i="25"/>
  <c r="CN147" i="25"/>
  <c r="CN68" i="25"/>
  <c r="CN146" i="25"/>
  <c r="CN32" i="25"/>
  <c r="CN102" i="25"/>
  <c r="CN103" i="25"/>
  <c r="CN107" i="25"/>
  <c r="CN34" i="25"/>
  <c r="CN92" i="25"/>
  <c r="CN111" i="25"/>
  <c r="CN144" i="25"/>
  <c r="CN13" i="25"/>
  <c r="CN27" i="25"/>
  <c r="CN37" i="25"/>
  <c r="CN38" i="25"/>
  <c r="CN44" i="25"/>
  <c r="CN46" i="25"/>
  <c r="CN48" i="25"/>
  <c r="CN50" i="25"/>
  <c r="CN62" i="25"/>
  <c r="CN63" i="25"/>
  <c r="CN64" i="25"/>
  <c r="CN67" i="25"/>
  <c r="CN79" i="25"/>
  <c r="CN80" i="25"/>
  <c r="CN93" i="25"/>
  <c r="CN96" i="25"/>
  <c r="CN98" i="25"/>
  <c r="CN113" i="25"/>
  <c r="CN115" i="25"/>
  <c r="CN118" i="25"/>
  <c r="CN134" i="25"/>
  <c r="CN26" i="25"/>
  <c r="CN42" i="25"/>
  <c r="CN41" i="25"/>
  <c r="CN45" i="25"/>
  <c r="CN43" i="25"/>
  <c r="CN54" i="25"/>
  <c r="CN55" i="25"/>
  <c r="CN89" i="25"/>
  <c r="CN90" i="25"/>
  <c r="CN105" i="25"/>
  <c r="CN78" i="25"/>
  <c r="CN116" i="25"/>
  <c r="CN117" i="25"/>
  <c r="CN120" i="25"/>
  <c r="CN133" i="25"/>
  <c r="CN138" i="25"/>
  <c r="CN114" i="25"/>
  <c r="CN137" i="25"/>
  <c r="CN151" i="25"/>
  <c r="CN130" i="25"/>
  <c r="CN142" i="25"/>
  <c r="CN150" i="25"/>
  <c r="CN81" i="25"/>
  <c r="CN66" i="25"/>
  <c r="CN121" i="25"/>
  <c r="CN141" i="25"/>
  <c r="CN29" i="25"/>
  <c r="CN112" i="25"/>
  <c r="CN131" i="25"/>
  <c r="CN143" i="25"/>
  <c r="CN148" i="25"/>
  <c r="CN140" i="25"/>
  <c r="CN17" i="25"/>
  <c r="CN30" i="25"/>
  <c r="CN31" i="25"/>
  <c r="CN40" i="25"/>
  <c r="CN69" i="25"/>
  <c r="CN70" i="25"/>
  <c r="CN71" i="25"/>
  <c r="CN72" i="25"/>
  <c r="CN73" i="25"/>
  <c r="CN110" i="25"/>
  <c r="CN74" i="25"/>
  <c r="CN99" i="25"/>
  <c r="CN124" i="25"/>
  <c r="CN76" i="25"/>
  <c r="CN75" i="25"/>
  <c r="CN129" i="25"/>
  <c r="CN119" i="25"/>
  <c r="CN154" i="25"/>
  <c r="CN125" i="25"/>
  <c r="CN157" i="25"/>
  <c r="CN161" i="25"/>
  <c r="CN162" i="25"/>
  <c r="CN163" i="25"/>
  <c r="CN167" i="25"/>
  <c r="CN171" i="25"/>
  <c r="CN181" i="25"/>
  <c r="CN166" i="25"/>
  <c r="CN168" i="25"/>
  <c r="CN174" i="25"/>
  <c r="CN175" i="25"/>
  <c r="CN176" i="25"/>
  <c r="CN169" i="25"/>
  <c r="CN180" i="25"/>
  <c r="CN182" i="25"/>
  <c r="CN186" i="25"/>
  <c r="CN188" i="25"/>
  <c r="CN193" i="25"/>
  <c r="CN194" i="25"/>
  <c r="CN197" i="25"/>
  <c r="CN198" i="25"/>
  <c r="CN202" i="25"/>
  <c r="CN195" i="25"/>
  <c r="CN200" i="25"/>
  <c r="CN201" i="25"/>
  <c r="CN172" i="25"/>
  <c r="CN183" i="25"/>
  <c r="CN184" i="25"/>
  <c r="CN187" i="25"/>
  <c r="CN189" i="25"/>
  <c r="CN190" i="25"/>
  <c r="CN191" i="25"/>
  <c r="CN192" i="25"/>
  <c r="CN173" i="25"/>
  <c r="CN178" i="25"/>
  <c r="CN179" i="25"/>
  <c r="CN196" i="25"/>
  <c r="CN199" i="25"/>
  <c r="CN7" i="25"/>
  <c r="CN18" i="25"/>
  <c r="CN185" i="25"/>
  <c r="CN170" i="25"/>
  <c r="CN177" i="25"/>
  <c r="CN100" i="25"/>
  <c r="CN109" i="25"/>
  <c r="CN159" i="25"/>
  <c r="CN61" i="25"/>
  <c r="CN123" i="25"/>
  <c r="CN165" i="25"/>
  <c r="CN57" i="25"/>
  <c r="CN24" i="25"/>
  <c r="CN25" i="25"/>
  <c r="CN108" i="25"/>
  <c r="CN132" i="25"/>
  <c r="CN152" i="25"/>
  <c r="CN153" i="25"/>
  <c r="CN155" i="25"/>
  <c r="CN149" i="25"/>
  <c r="CN135" i="25"/>
  <c r="CN139" i="25"/>
  <c r="CN156" i="25"/>
  <c r="CN95" i="25"/>
  <c r="BV156" i="25"/>
  <c r="BV155" i="25"/>
  <c r="EA155" i="25" s="1"/>
  <c r="BV137" i="25"/>
  <c r="EA137" i="25" s="1"/>
  <c r="BV114" i="25"/>
  <c r="EA114" i="25" s="1"/>
  <c r="BV54" i="25"/>
  <c r="EA54" i="25" s="1"/>
  <c r="BV41" i="25"/>
  <c r="EA41" i="25" s="1"/>
  <c r="CE95" i="25"/>
  <c r="CF95" i="25"/>
  <c r="CH95" i="25"/>
  <c r="CI95" i="25"/>
  <c r="CJ95" i="25"/>
  <c r="CK95" i="25"/>
  <c r="CL95" i="25"/>
  <c r="CS95" i="25"/>
  <c r="CT95" i="25" s="1"/>
  <c r="DA95" i="25"/>
  <c r="DB95" i="25"/>
  <c r="DG95" i="25"/>
  <c r="DK95" i="25"/>
  <c r="DL95" i="25"/>
  <c r="DS95" i="25" s="1"/>
  <c r="DU95" i="25"/>
  <c r="DV95" i="25"/>
  <c r="DX95" i="25"/>
  <c r="DZ95" i="25"/>
  <c r="EA95" i="25"/>
  <c r="EB95" i="25"/>
  <c r="EE95" i="25"/>
  <c r="EF95" i="25"/>
  <c r="EG95" i="25"/>
  <c r="EH95" i="25"/>
  <c r="EI95" i="25"/>
  <c r="DT95" i="25" s="1"/>
  <c r="EJ95" i="25"/>
  <c r="EK95" i="25"/>
  <c r="EL95" i="25"/>
  <c r="EM95" i="25"/>
  <c r="EO95" i="25"/>
  <c r="EP95" i="25"/>
  <c r="BV76" i="25"/>
  <c r="EA76" i="25" s="1"/>
  <c r="G76" i="25"/>
  <c r="G137" i="25"/>
  <c r="G54" i="25"/>
  <c r="G41" i="25"/>
  <c r="G114" i="25"/>
  <c r="G43" i="25"/>
  <c r="G155" i="25"/>
  <c r="CE76" i="25"/>
  <c r="CE137" i="25"/>
  <c r="CE54" i="25"/>
  <c r="CE41" i="25"/>
  <c r="CE114" i="25"/>
  <c r="CE43" i="25"/>
  <c r="CE155" i="25"/>
  <c r="CF76" i="25"/>
  <c r="CF137" i="25"/>
  <c r="CF54" i="25"/>
  <c r="CF41" i="25"/>
  <c r="CF114" i="25"/>
  <c r="CF43" i="25"/>
  <c r="CF155" i="25"/>
  <c r="CH76" i="25"/>
  <c r="CH137" i="25"/>
  <c r="CH54" i="25"/>
  <c r="CH41" i="25"/>
  <c r="CH114" i="25"/>
  <c r="CH43" i="25"/>
  <c r="CH155" i="25"/>
  <c r="CI76" i="25"/>
  <c r="CI137" i="25"/>
  <c r="CI54" i="25"/>
  <c r="CI41" i="25"/>
  <c r="CI114" i="25"/>
  <c r="CI43" i="25"/>
  <c r="CI155" i="25"/>
  <c r="CJ76" i="25"/>
  <c r="CJ137" i="25"/>
  <c r="CJ54" i="25"/>
  <c r="CJ41" i="25"/>
  <c r="CJ114" i="25"/>
  <c r="CJ43" i="25"/>
  <c r="CJ155" i="25"/>
  <c r="CK76" i="25"/>
  <c r="CK137" i="25"/>
  <c r="CK54" i="25"/>
  <c r="CK41" i="25"/>
  <c r="CK114" i="25"/>
  <c r="CK43" i="25"/>
  <c r="CK155" i="25"/>
  <c r="CL76" i="25"/>
  <c r="CL137" i="25"/>
  <c r="CL54" i="25"/>
  <c r="CL41" i="25"/>
  <c r="CL114" i="25"/>
  <c r="CL43" i="25"/>
  <c r="CL155" i="25"/>
  <c r="CS76" i="25"/>
  <c r="CT76" i="25" s="1"/>
  <c r="CS137" i="25"/>
  <c r="CT137" i="25" s="1"/>
  <c r="CS54" i="25"/>
  <c r="CT54" i="25" s="1"/>
  <c r="CS41" i="25"/>
  <c r="CT41" i="25" s="1"/>
  <c r="CS114" i="25"/>
  <c r="CT114" i="25" s="1"/>
  <c r="CS43" i="25"/>
  <c r="CT43" i="25" s="1"/>
  <c r="CS155" i="25"/>
  <c r="DA76" i="25"/>
  <c r="DA137" i="25"/>
  <c r="DA54" i="25"/>
  <c r="DA41" i="25"/>
  <c r="DA114" i="25"/>
  <c r="DA43" i="25"/>
  <c r="DA155" i="25"/>
  <c r="DB76" i="25"/>
  <c r="DB137" i="25"/>
  <c r="DB54" i="25"/>
  <c r="DB41" i="25"/>
  <c r="DB114" i="25"/>
  <c r="DB43" i="25"/>
  <c r="DB155" i="25"/>
  <c r="DG76" i="25"/>
  <c r="DG137" i="25"/>
  <c r="DG54" i="25"/>
  <c r="DG41" i="25"/>
  <c r="DG114" i="25"/>
  <c r="DG43" i="25"/>
  <c r="DG155" i="25"/>
  <c r="DK76" i="25"/>
  <c r="DK137" i="25"/>
  <c r="DK54" i="25"/>
  <c r="DK41" i="25"/>
  <c r="DK114" i="25"/>
  <c r="DK43" i="25"/>
  <c r="DK155" i="25"/>
  <c r="DL76" i="25"/>
  <c r="DS76" i="25" s="1"/>
  <c r="DL137" i="25"/>
  <c r="DS137" i="25" s="1"/>
  <c r="DL54" i="25"/>
  <c r="DS54" i="25" s="1"/>
  <c r="DL41" i="25"/>
  <c r="DS41" i="25" s="1"/>
  <c r="DL114" i="25"/>
  <c r="DL43" i="25"/>
  <c r="DS43" i="25" s="1"/>
  <c r="DL155" i="25"/>
  <c r="DS155" i="25" s="1"/>
  <c r="DU76" i="25"/>
  <c r="DU137" i="25"/>
  <c r="DU54" i="25"/>
  <c r="DU41" i="25"/>
  <c r="DU114" i="25"/>
  <c r="DU43" i="25"/>
  <c r="DU155" i="25"/>
  <c r="DV76" i="25"/>
  <c r="DY76" i="25" s="1"/>
  <c r="DV137" i="25"/>
  <c r="DW137" i="25" s="1"/>
  <c r="DV54" i="25"/>
  <c r="DY54" i="25" s="1"/>
  <c r="DV41" i="25"/>
  <c r="DY41" i="25" s="1"/>
  <c r="DV114" i="25"/>
  <c r="DY114" i="25" s="1"/>
  <c r="DV43" i="25"/>
  <c r="DW43" i="25" s="1"/>
  <c r="DV155" i="25"/>
  <c r="DY155" i="25" s="1"/>
  <c r="DX76" i="25"/>
  <c r="DX137" i="25"/>
  <c r="DX54" i="25"/>
  <c r="DX41" i="25"/>
  <c r="DX114" i="25"/>
  <c r="DX43" i="25"/>
  <c r="DX155" i="25"/>
  <c r="DZ76" i="25"/>
  <c r="DZ137" i="25"/>
  <c r="DZ54" i="25"/>
  <c r="DZ41" i="25"/>
  <c r="DZ114" i="25"/>
  <c r="DZ43" i="25"/>
  <c r="DZ155" i="25"/>
  <c r="EA43" i="25"/>
  <c r="EB137" i="25"/>
  <c r="EB54" i="25"/>
  <c r="EB41" i="25"/>
  <c r="EB114" i="25"/>
  <c r="EB43" i="25"/>
  <c r="EB155" i="25"/>
  <c r="EE76" i="25"/>
  <c r="EE137" i="25"/>
  <c r="EE54" i="25"/>
  <c r="EE41" i="25"/>
  <c r="EE114" i="25"/>
  <c r="EE43" i="25"/>
  <c r="EE155" i="25"/>
  <c r="EF76" i="25"/>
  <c r="EF137" i="25"/>
  <c r="EF54" i="25"/>
  <c r="EF41" i="25"/>
  <c r="EF114" i="25"/>
  <c r="EF43" i="25"/>
  <c r="EF155" i="25"/>
  <c r="EG76" i="25"/>
  <c r="DE76" i="25" s="1"/>
  <c r="EG137" i="25"/>
  <c r="EG54" i="25"/>
  <c r="DE54" i="25" s="1"/>
  <c r="EG41" i="25"/>
  <c r="DE41" i="25" s="1"/>
  <c r="EG114" i="25"/>
  <c r="DE114" i="25" s="1"/>
  <c r="EG43" i="25"/>
  <c r="DE43" i="25" s="1"/>
  <c r="EG155" i="25"/>
  <c r="DH155" i="25" s="1"/>
  <c r="DI155" i="25" s="1"/>
  <c r="EH76" i="25"/>
  <c r="EH137" i="25"/>
  <c r="EH54" i="25"/>
  <c r="EH41" i="25"/>
  <c r="EH114" i="25"/>
  <c r="EH43" i="25"/>
  <c r="EH155" i="25"/>
  <c r="EI76" i="25"/>
  <c r="DT76" i="25" s="1"/>
  <c r="EI137" i="25"/>
  <c r="DT137" i="25" s="1"/>
  <c r="EI54" i="25"/>
  <c r="DT54" i="25" s="1"/>
  <c r="EI41" i="25"/>
  <c r="DT41" i="25" s="1"/>
  <c r="EI114" i="25"/>
  <c r="DT114" i="25" s="1"/>
  <c r="EI43" i="25"/>
  <c r="DT43" i="25" s="1"/>
  <c r="EI155" i="25"/>
  <c r="DT155" i="25" s="1"/>
  <c r="EJ76" i="25"/>
  <c r="EJ137" i="25"/>
  <c r="EJ54" i="25"/>
  <c r="EJ41" i="25"/>
  <c r="EJ114" i="25"/>
  <c r="EJ43" i="25"/>
  <c r="EJ155" i="25"/>
  <c r="EK76" i="25"/>
  <c r="EK137" i="25"/>
  <c r="EK54" i="25"/>
  <c r="EK41" i="25"/>
  <c r="EK114" i="25"/>
  <c r="EK43" i="25"/>
  <c r="EK155" i="25"/>
  <c r="EL76" i="25"/>
  <c r="EL137" i="25"/>
  <c r="EL54" i="25"/>
  <c r="EL41" i="25"/>
  <c r="EL114" i="25"/>
  <c r="EL43" i="25"/>
  <c r="EL155" i="25"/>
  <c r="EM76" i="25"/>
  <c r="EM137" i="25"/>
  <c r="EM54" i="25"/>
  <c r="EM41" i="25"/>
  <c r="EM114" i="25"/>
  <c r="EM43" i="25"/>
  <c r="EM155" i="25"/>
  <c r="CE100" i="25"/>
  <c r="CE109" i="25"/>
  <c r="CE159" i="25"/>
  <c r="CE61" i="25"/>
  <c r="CE123" i="25"/>
  <c r="CE165" i="25"/>
  <c r="CE57" i="25"/>
  <c r="CE24" i="25"/>
  <c r="CE25" i="25"/>
  <c r="CE108" i="25"/>
  <c r="CF100" i="25"/>
  <c r="CF109" i="25"/>
  <c r="CF159" i="25"/>
  <c r="CF61" i="25"/>
  <c r="CF123" i="25"/>
  <c r="CF165" i="25"/>
  <c r="CF57" i="25"/>
  <c r="CF24" i="25"/>
  <c r="CF25" i="25"/>
  <c r="CF108" i="25"/>
  <c r="CH100" i="25"/>
  <c r="CH109" i="25"/>
  <c r="CH159" i="25"/>
  <c r="CH61" i="25"/>
  <c r="CH123" i="25"/>
  <c r="CH165" i="25"/>
  <c r="CH57" i="25"/>
  <c r="CH24" i="25"/>
  <c r="CH25" i="25"/>
  <c r="CH108" i="25"/>
  <c r="CI100" i="25"/>
  <c r="CI109" i="25"/>
  <c r="CI159" i="25"/>
  <c r="CI61" i="25"/>
  <c r="CI123" i="25"/>
  <c r="CI165" i="25"/>
  <c r="CI57" i="25"/>
  <c r="CI24" i="25"/>
  <c r="CI25" i="25"/>
  <c r="CI108" i="25"/>
  <c r="CJ100" i="25"/>
  <c r="CJ109" i="25"/>
  <c r="CJ159" i="25"/>
  <c r="CJ61" i="25"/>
  <c r="CJ123" i="25"/>
  <c r="CJ165" i="25"/>
  <c r="CJ57" i="25"/>
  <c r="CJ24" i="25"/>
  <c r="CJ25" i="25"/>
  <c r="CJ108" i="25"/>
  <c r="CK100" i="25"/>
  <c r="CK109" i="25"/>
  <c r="CK159" i="25"/>
  <c r="CK61" i="25"/>
  <c r="CK123" i="25"/>
  <c r="CK165" i="25"/>
  <c r="CK57" i="25"/>
  <c r="CK24" i="25"/>
  <c r="CK25" i="25"/>
  <c r="CK108" i="25"/>
  <c r="CL100" i="25"/>
  <c r="CL109" i="25"/>
  <c r="CL159" i="25"/>
  <c r="CL61" i="25"/>
  <c r="CL123" i="25"/>
  <c r="CL165" i="25"/>
  <c r="CL57" i="25"/>
  <c r="CL24" i="25"/>
  <c r="CL25" i="25"/>
  <c r="CL108" i="25"/>
  <c r="CS100" i="25"/>
  <c r="CT100" i="25" s="1"/>
  <c r="CS109" i="25"/>
  <c r="CT109" i="25" s="1"/>
  <c r="CS159" i="25"/>
  <c r="CT159" i="25" s="1"/>
  <c r="CS61" i="25"/>
  <c r="CT61" i="25" s="1"/>
  <c r="CS123" i="25"/>
  <c r="CT123" i="25" s="1"/>
  <c r="CS165" i="25"/>
  <c r="CT165" i="25" s="1"/>
  <c r="CS57" i="25"/>
  <c r="CT57" i="25" s="1"/>
  <c r="CS24" i="25"/>
  <c r="CT24" i="25" s="1"/>
  <c r="CS25" i="25"/>
  <c r="CT25" i="25" s="1"/>
  <c r="CS108" i="25"/>
  <c r="CT108" i="25" s="1"/>
  <c r="DA100" i="25"/>
  <c r="DA109" i="25"/>
  <c r="DA159" i="25"/>
  <c r="DA61" i="25"/>
  <c r="DA123" i="25"/>
  <c r="DA165" i="25"/>
  <c r="DA57" i="25"/>
  <c r="DA24" i="25"/>
  <c r="DA25" i="25"/>
  <c r="DA108" i="25"/>
  <c r="DB100" i="25"/>
  <c r="DB109" i="25"/>
  <c r="DB159" i="25"/>
  <c r="DB61" i="25"/>
  <c r="DB123" i="25"/>
  <c r="DB165" i="25"/>
  <c r="DB57" i="25"/>
  <c r="DB24" i="25"/>
  <c r="DB25" i="25"/>
  <c r="DB108" i="25"/>
  <c r="DG100" i="25"/>
  <c r="DG109" i="25"/>
  <c r="DG159" i="25"/>
  <c r="DG61" i="25"/>
  <c r="DG123" i="25"/>
  <c r="DG165" i="25"/>
  <c r="DG57" i="25"/>
  <c r="DG24" i="25"/>
  <c r="DG25" i="25"/>
  <c r="DG108" i="25"/>
  <c r="DK100" i="25"/>
  <c r="DK109" i="25"/>
  <c r="DK159" i="25"/>
  <c r="DK61" i="25"/>
  <c r="DK123" i="25"/>
  <c r="DK165" i="25"/>
  <c r="DK57" i="25"/>
  <c r="DK24" i="25"/>
  <c r="DK25" i="25"/>
  <c r="DK108" i="25"/>
  <c r="DL100" i="25"/>
  <c r="DS100" i="25" s="1"/>
  <c r="DL109" i="25"/>
  <c r="DS109" i="25" s="1"/>
  <c r="DL159" i="25"/>
  <c r="DS159" i="25" s="1"/>
  <c r="DL61" i="25"/>
  <c r="DS61" i="25" s="1"/>
  <c r="DL123" i="25"/>
  <c r="DS123" i="25" s="1"/>
  <c r="DL165" i="25"/>
  <c r="DS165" i="25" s="1"/>
  <c r="DL57" i="25"/>
  <c r="DS57" i="25" s="1"/>
  <c r="DL24" i="25"/>
  <c r="DS24" i="25" s="1"/>
  <c r="DL25" i="25"/>
  <c r="DS25" i="25" s="1"/>
  <c r="DL108" i="25"/>
  <c r="DS108" i="25" s="1"/>
  <c r="DU100" i="25"/>
  <c r="DU109" i="25"/>
  <c r="DU159" i="25"/>
  <c r="DU61" i="25"/>
  <c r="DU123" i="25"/>
  <c r="DU165" i="25"/>
  <c r="DU57" i="25"/>
  <c r="DU24" i="25"/>
  <c r="DU25" i="25"/>
  <c r="DU108" i="25"/>
  <c r="DV100" i="25"/>
  <c r="DY100" i="25" s="1"/>
  <c r="DV109" i="25"/>
  <c r="DW109" i="25" s="1"/>
  <c r="DV159" i="25"/>
  <c r="DW159" i="25" s="1"/>
  <c r="DV61" i="25"/>
  <c r="DV123" i="25"/>
  <c r="DY123" i="25" s="1"/>
  <c r="DV165" i="25"/>
  <c r="DY165" i="25" s="1"/>
  <c r="DV57" i="25"/>
  <c r="DY57" i="25" s="1"/>
  <c r="DV24" i="25"/>
  <c r="DY24" i="25" s="1"/>
  <c r="DV25" i="25"/>
  <c r="DV108" i="25"/>
  <c r="DX100" i="25"/>
  <c r="DX109" i="25"/>
  <c r="DX159" i="25"/>
  <c r="DX61" i="25"/>
  <c r="DX123" i="25"/>
  <c r="DX165" i="25"/>
  <c r="DX57" i="25"/>
  <c r="DX24" i="25"/>
  <c r="DX25" i="25"/>
  <c r="DX108" i="25"/>
  <c r="DZ100" i="25"/>
  <c r="DZ109" i="25"/>
  <c r="DZ159" i="25"/>
  <c r="DZ61" i="25"/>
  <c r="DZ123" i="25"/>
  <c r="DZ165" i="25"/>
  <c r="DZ57" i="25"/>
  <c r="DZ24" i="25"/>
  <c r="DZ25" i="25"/>
  <c r="DZ108" i="25"/>
  <c r="EA100" i="25"/>
  <c r="EA109" i="25"/>
  <c r="EA159" i="25"/>
  <c r="EA61" i="25"/>
  <c r="EA123" i="25"/>
  <c r="EA165" i="25"/>
  <c r="EA57" i="25"/>
  <c r="EA24" i="25"/>
  <c r="EA25" i="25"/>
  <c r="EA108" i="25"/>
  <c r="EB100" i="25"/>
  <c r="EB109" i="25"/>
  <c r="EB159" i="25"/>
  <c r="EB61" i="25"/>
  <c r="EB123" i="25"/>
  <c r="EB165" i="25"/>
  <c r="EB57" i="25"/>
  <c r="EB24" i="25"/>
  <c r="EB25" i="25"/>
  <c r="EB108" i="25"/>
  <c r="EE100" i="25"/>
  <c r="EE109" i="25"/>
  <c r="EE159" i="25"/>
  <c r="EE61" i="25"/>
  <c r="EE123" i="25"/>
  <c r="EE165" i="25"/>
  <c r="EE57" i="25"/>
  <c r="EE24" i="25"/>
  <c r="EE25" i="25"/>
  <c r="EE108" i="25"/>
  <c r="EF100" i="25"/>
  <c r="EF109" i="25"/>
  <c r="EF159" i="25"/>
  <c r="EF61" i="25"/>
  <c r="EF123" i="25"/>
  <c r="EF165" i="25"/>
  <c r="EF57" i="25"/>
  <c r="EF24" i="25"/>
  <c r="EF25" i="25"/>
  <c r="EF108" i="25"/>
  <c r="EG100" i="25"/>
  <c r="DE100" i="25" s="1"/>
  <c r="EG109" i="25"/>
  <c r="DE109" i="25" s="1"/>
  <c r="EG159" i="25"/>
  <c r="DE159" i="25" s="1"/>
  <c r="EG61" i="25"/>
  <c r="EG123" i="25"/>
  <c r="EG165" i="25"/>
  <c r="DH165" i="25" s="1"/>
  <c r="DI165" i="25" s="1"/>
  <c r="EG57" i="25"/>
  <c r="DE57" i="25" s="1"/>
  <c r="EG24" i="25"/>
  <c r="DH24" i="25" s="1"/>
  <c r="DI24" i="25" s="1"/>
  <c r="EG25" i="25"/>
  <c r="DE25" i="25" s="1"/>
  <c r="EG108" i="25"/>
  <c r="EH100" i="25"/>
  <c r="EH109" i="25"/>
  <c r="EH159" i="25"/>
  <c r="EH61" i="25"/>
  <c r="EH123" i="25"/>
  <c r="EH165" i="25"/>
  <c r="EH57" i="25"/>
  <c r="EH24" i="25"/>
  <c r="EH25" i="25"/>
  <c r="EH108" i="25"/>
  <c r="EI100" i="25"/>
  <c r="DT100" i="25" s="1"/>
  <c r="EI109" i="25"/>
  <c r="DT109" i="25" s="1"/>
  <c r="EI159" i="25"/>
  <c r="DT159" i="25" s="1"/>
  <c r="EI61" i="25"/>
  <c r="DT61" i="25" s="1"/>
  <c r="EI123" i="25"/>
  <c r="DT123" i="25" s="1"/>
  <c r="EI165" i="25"/>
  <c r="DT165" i="25" s="1"/>
  <c r="EI57" i="25"/>
  <c r="DT57" i="25" s="1"/>
  <c r="EI24" i="25"/>
  <c r="DT24" i="25" s="1"/>
  <c r="EI25" i="25"/>
  <c r="DT25" i="25" s="1"/>
  <c r="EI108" i="25"/>
  <c r="DT108" i="25" s="1"/>
  <c r="EJ100" i="25"/>
  <c r="EJ109" i="25"/>
  <c r="EJ159" i="25"/>
  <c r="EJ61" i="25"/>
  <c r="EJ123" i="25"/>
  <c r="EJ165" i="25"/>
  <c r="EJ57" i="25"/>
  <c r="EJ24" i="25"/>
  <c r="EJ25" i="25"/>
  <c r="EJ108" i="25"/>
  <c r="EK100" i="25"/>
  <c r="EK109" i="25"/>
  <c r="EK159" i="25"/>
  <c r="EK61" i="25"/>
  <c r="EK123" i="25"/>
  <c r="EK165" i="25"/>
  <c r="EK57" i="25"/>
  <c r="EK24" i="25"/>
  <c r="EK25" i="25"/>
  <c r="EK108" i="25"/>
  <c r="EL100" i="25"/>
  <c r="EL109" i="25"/>
  <c r="EL159" i="25"/>
  <c r="EL61" i="25"/>
  <c r="EL123" i="25"/>
  <c r="EL165" i="25"/>
  <c r="EL57" i="25"/>
  <c r="EL24" i="25"/>
  <c r="EL25" i="25"/>
  <c r="EL108" i="25"/>
  <c r="EM100" i="25"/>
  <c r="EM109" i="25"/>
  <c r="EM159" i="25"/>
  <c r="EM61" i="25"/>
  <c r="EM123" i="25"/>
  <c r="EM165" i="25"/>
  <c r="EM57" i="25"/>
  <c r="EM24" i="25"/>
  <c r="EM25" i="25"/>
  <c r="EM108" i="25"/>
  <c r="EO100" i="25"/>
  <c r="EO109" i="25"/>
  <c r="EO159" i="25"/>
  <c r="EO61" i="25"/>
  <c r="EO123" i="25"/>
  <c r="EO165" i="25"/>
  <c r="EO57" i="25"/>
  <c r="EO24" i="25"/>
  <c r="EO25" i="25"/>
  <c r="EO108" i="25"/>
  <c r="EP100" i="25"/>
  <c r="EP109" i="25"/>
  <c r="EP159" i="25"/>
  <c r="EP61" i="25"/>
  <c r="EP123" i="25"/>
  <c r="EP165" i="25"/>
  <c r="EP57" i="25"/>
  <c r="EP24" i="25"/>
  <c r="EP25" i="25"/>
  <c r="EP108" i="25"/>
  <c r="EP155" i="25"/>
  <c r="EO155" i="25"/>
  <c r="EP137" i="25"/>
  <c r="EO137" i="25"/>
  <c r="EP114" i="25"/>
  <c r="EO114" i="25"/>
  <c r="EP54" i="25"/>
  <c r="EO54" i="25"/>
  <c r="EP43" i="25"/>
  <c r="EO43" i="25"/>
  <c r="EP41" i="25"/>
  <c r="EO41" i="25"/>
  <c r="EP76" i="25"/>
  <c r="EO76" i="25"/>
  <c r="O126" i="89"/>
  <c r="L126" i="89"/>
  <c r="K126" i="89"/>
  <c r="J126" i="89"/>
  <c r="H126" i="89"/>
  <c r="E126" i="89"/>
  <c r="H409" i="92"/>
  <c r="H408" i="92"/>
  <c r="H407" i="92"/>
  <c r="H406" i="92"/>
  <c r="CJ84" i="25"/>
  <c r="L113" i="89"/>
  <c r="K113" i="89"/>
  <c r="J113" i="89"/>
  <c r="H113" i="89"/>
  <c r="K100" i="89"/>
  <c r="O81" i="89"/>
  <c r="L81" i="89"/>
  <c r="K81" i="89"/>
  <c r="H81" i="89"/>
  <c r="O113" i="89"/>
  <c r="EJ200" i="25"/>
  <c r="L43" i="89"/>
  <c r="K43" i="89"/>
  <c r="H43" i="89"/>
  <c r="AB4" i="129"/>
  <c r="L3" i="89" s="1"/>
  <c r="AA4" i="129"/>
  <c r="K3" i="89" s="1"/>
  <c r="Z4" i="129"/>
  <c r="J3" i="89" s="1"/>
  <c r="G141" i="89" s="1"/>
  <c r="P141" i="89" s="1"/>
  <c r="Y4" i="129"/>
  <c r="I3" i="89" s="1"/>
  <c r="G160" i="89" s="1"/>
  <c r="P160" i="89" s="1"/>
  <c r="X4" i="129"/>
  <c r="H3" i="89" s="1"/>
  <c r="G123" i="89" s="1"/>
  <c r="W4" i="129"/>
  <c r="G3" i="89" s="1"/>
  <c r="G110" i="89" s="1"/>
  <c r="V4" i="129"/>
  <c r="F3" i="89" s="1"/>
  <c r="G96" i="89" s="1"/>
  <c r="P96" i="89" s="1"/>
  <c r="E208" i="89" s="1"/>
  <c r="F208" i="89" s="1"/>
  <c r="U4" i="129"/>
  <c r="E3" i="89" s="1"/>
  <c r="G77" i="89" s="1"/>
  <c r="T4" i="129"/>
  <c r="D3" i="89" s="1"/>
  <c r="G58" i="89" s="1"/>
  <c r="S4" i="129"/>
  <c r="C3" i="89" s="1"/>
  <c r="G39" i="89" s="1"/>
  <c r="P39" i="89" s="1"/>
  <c r="C2" i="89"/>
  <c r="G30" i="89" s="1"/>
  <c r="P30" i="89" s="1"/>
  <c r="G94" i="25"/>
  <c r="G36" i="25"/>
  <c r="G33" i="25"/>
  <c r="G97" i="25"/>
  <c r="G136" i="25"/>
  <c r="G49" i="25"/>
  <c r="G68" i="25"/>
  <c r="G102" i="25"/>
  <c r="G103" i="25"/>
  <c r="G107" i="25"/>
  <c r="G132" i="25"/>
  <c r="G111" i="25"/>
  <c r="G27" i="25"/>
  <c r="G44" i="25"/>
  <c r="G50" i="25"/>
  <c r="G26" i="25"/>
  <c r="G55" i="25"/>
  <c r="G78" i="25"/>
  <c r="G81" i="25"/>
  <c r="G142" i="25"/>
  <c r="G150" i="25"/>
  <c r="G152" i="25"/>
  <c r="G153" i="25"/>
  <c r="G66" i="25"/>
  <c r="G121" i="25"/>
  <c r="G112" i="25"/>
  <c r="G131" i="25"/>
  <c r="G17" i="25"/>
  <c r="G32" i="25"/>
  <c r="G69" i="25"/>
  <c r="G70" i="25"/>
  <c r="G73" i="25"/>
  <c r="G74" i="25"/>
  <c r="G119" i="25"/>
  <c r="G125" i="25"/>
  <c r="G135" i="25"/>
  <c r="G139" i="25"/>
  <c r="G156" i="25"/>
  <c r="G171" i="25"/>
  <c r="G200" i="25"/>
  <c r="CE7" i="25"/>
  <c r="CE18" i="25"/>
  <c r="CE185" i="25"/>
  <c r="CE170" i="25"/>
  <c r="CE177" i="25"/>
  <c r="CF7" i="25"/>
  <c r="CF18" i="25"/>
  <c r="CF185" i="25"/>
  <c r="CF170" i="25"/>
  <c r="CF177" i="25"/>
  <c r="CH7" i="25"/>
  <c r="CH18" i="25"/>
  <c r="CH185" i="25"/>
  <c r="CH170" i="25"/>
  <c r="CH177" i="25"/>
  <c r="CI7" i="25"/>
  <c r="CI18" i="25"/>
  <c r="CI185" i="25"/>
  <c r="CI170" i="25"/>
  <c r="CI177" i="25"/>
  <c r="CJ7" i="25"/>
  <c r="CJ18" i="25"/>
  <c r="CJ185" i="25"/>
  <c r="CJ170" i="25"/>
  <c r="CJ177" i="25"/>
  <c r="CK7" i="25"/>
  <c r="CK18" i="25"/>
  <c r="CK185" i="25"/>
  <c r="CK170" i="25"/>
  <c r="CK177" i="25"/>
  <c r="CL7" i="25"/>
  <c r="CL18" i="25"/>
  <c r="CL185" i="25"/>
  <c r="CL170" i="25"/>
  <c r="CL177" i="25"/>
  <c r="CS7" i="25"/>
  <c r="CT7" i="25" s="1"/>
  <c r="CS18" i="25"/>
  <c r="CS185" i="25"/>
  <c r="CT185" i="25" s="1"/>
  <c r="CS170" i="25"/>
  <c r="CT170" i="25" s="1"/>
  <c r="CS177" i="25"/>
  <c r="CT177" i="25" s="1"/>
  <c r="DA7" i="25"/>
  <c r="DA18" i="25"/>
  <c r="DA185" i="25"/>
  <c r="DA170" i="25"/>
  <c r="DA177" i="25"/>
  <c r="DB7" i="25"/>
  <c r="DB18" i="25"/>
  <c r="DB185" i="25"/>
  <c r="DB170" i="25"/>
  <c r="DB177" i="25"/>
  <c r="DG7" i="25"/>
  <c r="DG18" i="25"/>
  <c r="DG185" i="25"/>
  <c r="DG170" i="25"/>
  <c r="DG177" i="25"/>
  <c r="DK7" i="25"/>
  <c r="DK18" i="25"/>
  <c r="DK185" i="25"/>
  <c r="DK170" i="25"/>
  <c r="DK177" i="25"/>
  <c r="DL7" i="25"/>
  <c r="DS7" i="25" s="1"/>
  <c r="DL18" i="25"/>
  <c r="DL185" i="25"/>
  <c r="DL170" i="25"/>
  <c r="DL177" i="25"/>
  <c r="DS177" i="25" s="1"/>
  <c r="DU7" i="25"/>
  <c r="DU18" i="25"/>
  <c r="DU185" i="25"/>
  <c r="DU170" i="25"/>
  <c r="DU177" i="25"/>
  <c r="DV7" i="25"/>
  <c r="DV18" i="25"/>
  <c r="DY18" i="25" s="1"/>
  <c r="DV185" i="25"/>
  <c r="DY185" i="25" s="1"/>
  <c r="DV170" i="25"/>
  <c r="DW170" i="25" s="1"/>
  <c r="DV177" i="25"/>
  <c r="DX7" i="25"/>
  <c r="DX18" i="25"/>
  <c r="DX185" i="25"/>
  <c r="DX170" i="25"/>
  <c r="DX177" i="25"/>
  <c r="DZ7" i="25"/>
  <c r="DZ18" i="25"/>
  <c r="DZ185" i="25"/>
  <c r="DZ170" i="25"/>
  <c r="DZ177" i="25"/>
  <c r="EA7" i="25"/>
  <c r="EA18" i="25"/>
  <c r="EA185" i="25"/>
  <c r="EA170" i="25"/>
  <c r="EA177" i="25"/>
  <c r="EB7" i="25"/>
  <c r="EB18" i="25"/>
  <c r="EB185" i="25"/>
  <c r="EB170" i="25"/>
  <c r="EB177" i="25"/>
  <c r="EE7" i="25"/>
  <c r="EE18" i="25"/>
  <c r="EE185" i="25"/>
  <c r="EE170" i="25"/>
  <c r="EE177" i="25"/>
  <c r="EF7" i="25"/>
  <c r="EF18" i="25"/>
  <c r="EF185" i="25"/>
  <c r="EF170" i="25"/>
  <c r="EF177" i="25"/>
  <c r="EG7" i="25"/>
  <c r="EG18" i="25"/>
  <c r="DH18" i="25" s="1"/>
  <c r="DI18" i="25" s="1"/>
  <c r="EG185" i="25"/>
  <c r="DE185" i="25" s="1"/>
  <c r="EG170" i="25"/>
  <c r="DH170" i="25" s="1"/>
  <c r="DI170" i="25" s="1"/>
  <c r="EG177" i="25"/>
  <c r="EH7" i="25"/>
  <c r="EH18" i="25"/>
  <c r="EH185" i="25"/>
  <c r="EH170" i="25"/>
  <c r="EH177" i="25"/>
  <c r="EI7" i="25"/>
  <c r="DT7" i="25" s="1"/>
  <c r="EI18" i="25"/>
  <c r="DT18" i="25" s="1"/>
  <c r="EI185" i="25"/>
  <c r="DT185" i="25" s="1"/>
  <c r="EI170" i="25"/>
  <c r="DT170" i="25" s="1"/>
  <c r="EI177" i="25"/>
  <c r="DT177" i="25" s="1"/>
  <c r="EJ7" i="25"/>
  <c r="EJ18" i="25"/>
  <c r="EJ185" i="25"/>
  <c r="EJ170" i="25"/>
  <c r="EJ177" i="25"/>
  <c r="EK7" i="25"/>
  <c r="EK18" i="25"/>
  <c r="EK185" i="25"/>
  <c r="EK170" i="25"/>
  <c r="EK177" i="25"/>
  <c r="EL7" i="25"/>
  <c r="EL18" i="25"/>
  <c r="EL185" i="25"/>
  <c r="EL170" i="25"/>
  <c r="EL177" i="25"/>
  <c r="EM7" i="25"/>
  <c r="EM18" i="25"/>
  <c r="EM185" i="25"/>
  <c r="EM170" i="25"/>
  <c r="EM177" i="25"/>
  <c r="EO7" i="25"/>
  <c r="EO18" i="25"/>
  <c r="EO185" i="25"/>
  <c r="EO170" i="25"/>
  <c r="EO177" i="25"/>
  <c r="EP7" i="25"/>
  <c r="EP18" i="25"/>
  <c r="EP185" i="25"/>
  <c r="EP170" i="25"/>
  <c r="EP177" i="25"/>
  <c r="CE8" i="25"/>
  <c r="CE9" i="25"/>
  <c r="CE10" i="25"/>
  <c r="CE14" i="25"/>
  <c r="CE16" i="25"/>
  <c r="CE39" i="25"/>
  <c r="CE60" i="25"/>
  <c r="CE94" i="25"/>
  <c r="CE122" i="25"/>
  <c r="CE127" i="25"/>
  <c r="CE128" i="25"/>
  <c r="CE21" i="25"/>
  <c r="CE36" i="25"/>
  <c r="CE56" i="25"/>
  <c r="CE22" i="25"/>
  <c r="CE145" i="25"/>
  <c r="CE11" i="25"/>
  <c r="CE12" i="25"/>
  <c r="CE15" i="25"/>
  <c r="CE20" i="25"/>
  <c r="CE23" i="25"/>
  <c r="CE33" i="25"/>
  <c r="CE35" i="25"/>
  <c r="CE47" i="25"/>
  <c r="CE53" i="25"/>
  <c r="CE58" i="25"/>
  <c r="CE59" i="25"/>
  <c r="CE65" i="25"/>
  <c r="CE91" i="25"/>
  <c r="CE97" i="25"/>
  <c r="CE101" i="25"/>
  <c r="CE106" i="25"/>
  <c r="CE126" i="25"/>
  <c r="CE136" i="25"/>
  <c r="CE160" i="25"/>
  <c r="CE164" i="25"/>
  <c r="CE19" i="25"/>
  <c r="CE51" i="25"/>
  <c r="CE77" i="25"/>
  <c r="CE82" i="25"/>
  <c r="CE83" i="25"/>
  <c r="CE84" i="25"/>
  <c r="CE85" i="25"/>
  <c r="CE86" i="25"/>
  <c r="CE87" i="25"/>
  <c r="CE88" i="25"/>
  <c r="CE28" i="25"/>
  <c r="CE49" i="25"/>
  <c r="CE147" i="25"/>
  <c r="CE68" i="25"/>
  <c r="CE146" i="25"/>
  <c r="CE102" i="25"/>
  <c r="CE103" i="25"/>
  <c r="CE107" i="25"/>
  <c r="CE132" i="25"/>
  <c r="CE34" i="25"/>
  <c r="CE92" i="25"/>
  <c r="CE111" i="25"/>
  <c r="CE144" i="25"/>
  <c r="CE13" i="25"/>
  <c r="CE27" i="25"/>
  <c r="CE37" i="25"/>
  <c r="CE38" i="25"/>
  <c r="CE44" i="25"/>
  <c r="CE46" i="25"/>
  <c r="CE48" i="25"/>
  <c r="CE50" i="25"/>
  <c r="CE62" i="25"/>
  <c r="CE63" i="25"/>
  <c r="CE64" i="25"/>
  <c r="CE67" i="25"/>
  <c r="CE79" i="25"/>
  <c r="CE80" i="25"/>
  <c r="CE93" i="25"/>
  <c r="CE96" i="25"/>
  <c r="CE98" i="25"/>
  <c r="CE113" i="25"/>
  <c r="CE115" i="25"/>
  <c r="CE118" i="25"/>
  <c r="CE134" i="25"/>
  <c r="CE26" i="25"/>
  <c r="CE42" i="25"/>
  <c r="CE45" i="25"/>
  <c r="CE55" i="25"/>
  <c r="CE78" i="25"/>
  <c r="CE81" i="25"/>
  <c r="CE89" i="25"/>
  <c r="CE90" i="25"/>
  <c r="CE105" i="25"/>
  <c r="CE116" i="25"/>
  <c r="CE117" i="25"/>
  <c r="CE120" i="25"/>
  <c r="CE133" i="25"/>
  <c r="CE138" i="25"/>
  <c r="CE142" i="25"/>
  <c r="CE150" i="25"/>
  <c r="CE151" i="25"/>
  <c r="CE130" i="25"/>
  <c r="CE152" i="25"/>
  <c r="CE153" i="25"/>
  <c r="CE66" i="25"/>
  <c r="CE121" i="25"/>
  <c r="CE140" i="25"/>
  <c r="CE141" i="25"/>
  <c r="CE29" i="25"/>
  <c r="CE112" i="25"/>
  <c r="CE131" i="25"/>
  <c r="CE143" i="25"/>
  <c r="CE148" i="25"/>
  <c r="CE149" i="25"/>
  <c r="CE17" i="25"/>
  <c r="CE30" i="25"/>
  <c r="CE31" i="25"/>
  <c r="CE32" i="25"/>
  <c r="CE40" i="25"/>
  <c r="CE69" i="25"/>
  <c r="CE70" i="25"/>
  <c r="CE71" i="25"/>
  <c r="CE72" i="25"/>
  <c r="CE73" i="25"/>
  <c r="CE74" i="25"/>
  <c r="CE110" i="25"/>
  <c r="CE119" i="25"/>
  <c r="CE99" i="25"/>
  <c r="CE124" i="25"/>
  <c r="CE125" i="25"/>
  <c r="CE75" i="25"/>
  <c r="CE129" i="25"/>
  <c r="CE135" i="25"/>
  <c r="CE139" i="25"/>
  <c r="CE154" i="25"/>
  <c r="CE156" i="25"/>
  <c r="CE157" i="25"/>
  <c r="CE161" i="25"/>
  <c r="CE162" i="25"/>
  <c r="CE163" i="25"/>
  <c r="CE195" i="25"/>
  <c r="CE201" i="25"/>
  <c r="CE181" i="25"/>
  <c r="CE166" i="25"/>
  <c r="CE168" i="25"/>
  <c r="CE174" i="25"/>
  <c r="CE175" i="25"/>
  <c r="CE176" i="25"/>
  <c r="CE169" i="25"/>
  <c r="CE180" i="25"/>
  <c r="CE182" i="25"/>
  <c r="CE186" i="25"/>
  <c r="CE188" i="25"/>
  <c r="CE193" i="25"/>
  <c r="CE194" i="25"/>
  <c r="CE197" i="25"/>
  <c r="CE198" i="25"/>
  <c r="CE202" i="25"/>
  <c r="CE167" i="25"/>
  <c r="CE171" i="25"/>
  <c r="CE200" i="25"/>
  <c r="CE183" i="25"/>
  <c r="CE184" i="25"/>
  <c r="CE172" i="25"/>
  <c r="CE187" i="25"/>
  <c r="CE189" i="25"/>
  <c r="CE190" i="25"/>
  <c r="CE191" i="25"/>
  <c r="CE192" i="25"/>
  <c r="CE173" i="25"/>
  <c r="CE178" i="25"/>
  <c r="CE179" i="25"/>
  <c r="CE196" i="25"/>
  <c r="CE199" i="25"/>
  <c r="CF8" i="25"/>
  <c r="CF9" i="25"/>
  <c r="CF10" i="25"/>
  <c r="CF14" i="25"/>
  <c r="CF16" i="25"/>
  <c r="CF39" i="25"/>
  <c r="CF60" i="25"/>
  <c r="CF94" i="25"/>
  <c r="CF122" i="25"/>
  <c r="CF127" i="25"/>
  <c r="CF128" i="25"/>
  <c r="CF21" i="25"/>
  <c r="CF36" i="25"/>
  <c r="CF56" i="25"/>
  <c r="CF22" i="25"/>
  <c r="CF145" i="25"/>
  <c r="CF11" i="25"/>
  <c r="CF12" i="25"/>
  <c r="CF15" i="25"/>
  <c r="CF20" i="25"/>
  <c r="CF23" i="25"/>
  <c r="CF33" i="25"/>
  <c r="CF35" i="25"/>
  <c r="CF47" i="25"/>
  <c r="CF53" i="25"/>
  <c r="CF58" i="25"/>
  <c r="CF59" i="25"/>
  <c r="CF65" i="25"/>
  <c r="CF91" i="25"/>
  <c r="CF97" i="25"/>
  <c r="CF101" i="25"/>
  <c r="CF106" i="25"/>
  <c r="CF126" i="25"/>
  <c r="CF136" i="25"/>
  <c r="CF160" i="25"/>
  <c r="CF164" i="25"/>
  <c r="CF19" i="25"/>
  <c r="CF51" i="25"/>
  <c r="CF77" i="25"/>
  <c r="CF82" i="25"/>
  <c r="CF83" i="25"/>
  <c r="CF84" i="25"/>
  <c r="CF85" i="25"/>
  <c r="CF86" i="25"/>
  <c r="CF87" i="25"/>
  <c r="CF88" i="25"/>
  <c r="CF28" i="25"/>
  <c r="CF49" i="25"/>
  <c r="CF147" i="25"/>
  <c r="CF68" i="25"/>
  <c r="CF146" i="25"/>
  <c r="CF102" i="25"/>
  <c r="CF103" i="25"/>
  <c r="CF107" i="25"/>
  <c r="CF132" i="25"/>
  <c r="CF34" i="25"/>
  <c r="CF92" i="25"/>
  <c r="CF111" i="25"/>
  <c r="CF144" i="25"/>
  <c r="CF13" i="25"/>
  <c r="CF27" i="25"/>
  <c r="CF37" i="25"/>
  <c r="CF38" i="25"/>
  <c r="CF44" i="25"/>
  <c r="CF46" i="25"/>
  <c r="CF48" i="25"/>
  <c r="CF50" i="25"/>
  <c r="CF62" i="25"/>
  <c r="CF63" i="25"/>
  <c r="CF64" i="25"/>
  <c r="CF67" i="25"/>
  <c r="CF79" i="25"/>
  <c r="CF80" i="25"/>
  <c r="CF93" i="25"/>
  <c r="CF96" i="25"/>
  <c r="CF98" i="25"/>
  <c r="CF113" i="25"/>
  <c r="CF115" i="25"/>
  <c r="CF118" i="25"/>
  <c r="CF134" i="25"/>
  <c r="CF26" i="25"/>
  <c r="CF42" i="25"/>
  <c r="CF45" i="25"/>
  <c r="CF55" i="25"/>
  <c r="CF78" i="25"/>
  <c r="CF81" i="25"/>
  <c r="CF89" i="25"/>
  <c r="CF90" i="25"/>
  <c r="CF105" i="25"/>
  <c r="CF116" i="25"/>
  <c r="CF117" i="25"/>
  <c r="CF120" i="25"/>
  <c r="CF133" i="25"/>
  <c r="CF138" i="25"/>
  <c r="CF142" i="25"/>
  <c r="CF150" i="25"/>
  <c r="CF151" i="25"/>
  <c r="CF130" i="25"/>
  <c r="CF152" i="25"/>
  <c r="CF153" i="25"/>
  <c r="CF66" i="25"/>
  <c r="CF121" i="25"/>
  <c r="CF140" i="25"/>
  <c r="CF141" i="25"/>
  <c r="CF29" i="25"/>
  <c r="CF112" i="25"/>
  <c r="CF131" i="25"/>
  <c r="CF143" i="25"/>
  <c r="CF148" i="25"/>
  <c r="CF149" i="25"/>
  <c r="CF17" i="25"/>
  <c r="CF30" i="25"/>
  <c r="CF31" i="25"/>
  <c r="CF32" i="25"/>
  <c r="CF40" i="25"/>
  <c r="CF69" i="25"/>
  <c r="CF70" i="25"/>
  <c r="CF71" i="25"/>
  <c r="CF72" i="25"/>
  <c r="CF73" i="25"/>
  <c r="CF74" i="25"/>
  <c r="CF110" i="25"/>
  <c r="CF119" i="25"/>
  <c r="CF99" i="25"/>
  <c r="CF124" i="25"/>
  <c r="CF125" i="25"/>
  <c r="CF75" i="25"/>
  <c r="CF129" i="25"/>
  <c r="CF135" i="25"/>
  <c r="CF139" i="25"/>
  <c r="CF154" i="25"/>
  <c r="CF156" i="25"/>
  <c r="CF157" i="25"/>
  <c r="CF161" i="25"/>
  <c r="CF162" i="25"/>
  <c r="CF163" i="25"/>
  <c r="CF195" i="25"/>
  <c r="CF201" i="25"/>
  <c r="CF181" i="25"/>
  <c r="CF166" i="25"/>
  <c r="CF168" i="25"/>
  <c r="CF174" i="25"/>
  <c r="CF175" i="25"/>
  <c r="CF176" i="25"/>
  <c r="CF169" i="25"/>
  <c r="CF180" i="25"/>
  <c r="CF182" i="25"/>
  <c r="CF186" i="25"/>
  <c r="CF188" i="25"/>
  <c r="CF193" i="25"/>
  <c r="CF194" i="25"/>
  <c r="CF197" i="25"/>
  <c r="CF198" i="25"/>
  <c r="CF202" i="25"/>
  <c r="CF167" i="25"/>
  <c r="CF171" i="25"/>
  <c r="CF200" i="25"/>
  <c r="CF183" i="25"/>
  <c r="CF184" i="25"/>
  <c r="CF172" i="25"/>
  <c r="CF187" i="25"/>
  <c r="CF189" i="25"/>
  <c r="CF190" i="25"/>
  <c r="CF191" i="25"/>
  <c r="CF192" i="25"/>
  <c r="CF173" i="25"/>
  <c r="CF178" i="25"/>
  <c r="CF179" i="25"/>
  <c r="CF196" i="25"/>
  <c r="CF199" i="25"/>
  <c r="CH8" i="25"/>
  <c r="CH9" i="25"/>
  <c r="CH10" i="25"/>
  <c r="CH14" i="25"/>
  <c r="CH16" i="25"/>
  <c r="CH39" i="25"/>
  <c r="CH60" i="25"/>
  <c r="CH94" i="25"/>
  <c r="CH122" i="25"/>
  <c r="CH127" i="25"/>
  <c r="CH128" i="25"/>
  <c r="CH21" i="25"/>
  <c r="CH36" i="25"/>
  <c r="CH56" i="25"/>
  <c r="CH22" i="25"/>
  <c r="CH145" i="25"/>
  <c r="CH11" i="25"/>
  <c r="CH12" i="25"/>
  <c r="CH15" i="25"/>
  <c r="CH20" i="25"/>
  <c r="CH23" i="25"/>
  <c r="CH33" i="25"/>
  <c r="CH35" i="25"/>
  <c r="CH47" i="25"/>
  <c r="CH53" i="25"/>
  <c r="CH58" i="25"/>
  <c r="CH59" i="25"/>
  <c r="CH65" i="25"/>
  <c r="CH91" i="25"/>
  <c r="CH97" i="25"/>
  <c r="CH101" i="25"/>
  <c r="CH106" i="25"/>
  <c r="CH126" i="25"/>
  <c r="CH136" i="25"/>
  <c r="CH160" i="25"/>
  <c r="CH164" i="25"/>
  <c r="CH19" i="25"/>
  <c r="CH51" i="25"/>
  <c r="CH77" i="25"/>
  <c r="CH82" i="25"/>
  <c r="CH83" i="25"/>
  <c r="CH84" i="25"/>
  <c r="CH85" i="25"/>
  <c r="CH86" i="25"/>
  <c r="CH87" i="25"/>
  <c r="CH88" i="25"/>
  <c r="CH28" i="25"/>
  <c r="CH49" i="25"/>
  <c r="CH147" i="25"/>
  <c r="CH68" i="25"/>
  <c r="CH146" i="25"/>
  <c r="CH102" i="25"/>
  <c r="CH103" i="25"/>
  <c r="CH107" i="25"/>
  <c r="CH132" i="25"/>
  <c r="CH34" i="25"/>
  <c r="CH92" i="25"/>
  <c r="CH111" i="25"/>
  <c r="CH144" i="25"/>
  <c r="CH13" i="25"/>
  <c r="CH27" i="25"/>
  <c r="CH37" i="25"/>
  <c r="CH38" i="25"/>
  <c r="CH44" i="25"/>
  <c r="CH46" i="25"/>
  <c r="CH48" i="25"/>
  <c r="CH50" i="25"/>
  <c r="CH62" i="25"/>
  <c r="CH63" i="25"/>
  <c r="CH64" i="25"/>
  <c r="CH67" i="25"/>
  <c r="CH79" i="25"/>
  <c r="CH80" i="25"/>
  <c r="CH93" i="25"/>
  <c r="CH96" i="25"/>
  <c r="CH98" i="25"/>
  <c r="CH113" i="25"/>
  <c r="CH115" i="25"/>
  <c r="CH118" i="25"/>
  <c r="CH134" i="25"/>
  <c r="CH26" i="25"/>
  <c r="CH42" i="25"/>
  <c r="CH45" i="25"/>
  <c r="CH55" i="25"/>
  <c r="CH78" i="25"/>
  <c r="CH81" i="25"/>
  <c r="CH89" i="25"/>
  <c r="CH90" i="25"/>
  <c r="CH105" i="25"/>
  <c r="CH116" i="25"/>
  <c r="CH117" i="25"/>
  <c r="CH120" i="25"/>
  <c r="CH133" i="25"/>
  <c r="CH138" i="25"/>
  <c r="CH142" i="25"/>
  <c r="CH150" i="25"/>
  <c r="CH151" i="25"/>
  <c r="CH130" i="25"/>
  <c r="CH152" i="25"/>
  <c r="CH153" i="25"/>
  <c r="CH66" i="25"/>
  <c r="CH121" i="25"/>
  <c r="CH140" i="25"/>
  <c r="CH141" i="25"/>
  <c r="CH29" i="25"/>
  <c r="CH112" i="25"/>
  <c r="CH131" i="25"/>
  <c r="CH143" i="25"/>
  <c r="CH148" i="25"/>
  <c r="CH149" i="25"/>
  <c r="CH17" i="25"/>
  <c r="CH30" i="25"/>
  <c r="CH31" i="25"/>
  <c r="CH32" i="25"/>
  <c r="CH40" i="25"/>
  <c r="CH69" i="25"/>
  <c r="CH70" i="25"/>
  <c r="CH71" i="25"/>
  <c r="CH72" i="25"/>
  <c r="CH73" i="25"/>
  <c r="CH74" i="25"/>
  <c r="CH110" i="25"/>
  <c r="CH119" i="25"/>
  <c r="CH99" i="25"/>
  <c r="CH124" i="25"/>
  <c r="CH125" i="25"/>
  <c r="CH75" i="25"/>
  <c r="CH129" i="25"/>
  <c r="CH135" i="25"/>
  <c r="CH139" i="25"/>
  <c r="CH154" i="25"/>
  <c r="CH156" i="25"/>
  <c r="CH157" i="25"/>
  <c r="CH161" i="25"/>
  <c r="CH162" i="25"/>
  <c r="CH163" i="25"/>
  <c r="CH195" i="25"/>
  <c r="CH201" i="25"/>
  <c r="CH181" i="25"/>
  <c r="CH166" i="25"/>
  <c r="CH168" i="25"/>
  <c r="CH174" i="25"/>
  <c r="CH175" i="25"/>
  <c r="CH176" i="25"/>
  <c r="CH169" i="25"/>
  <c r="CH180" i="25"/>
  <c r="CH182" i="25"/>
  <c r="CH186" i="25"/>
  <c r="CH188" i="25"/>
  <c r="CH193" i="25"/>
  <c r="CH194" i="25"/>
  <c r="CH197" i="25"/>
  <c r="CH198" i="25"/>
  <c r="CH202" i="25"/>
  <c r="CH167" i="25"/>
  <c r="CH171" i="25"/>
  <c r="CH200" i="25"/>
  <c r="CH183" i="25"/>
  <c r="CH184" i="25"/>
  <c r="CH172" i="25"/>
  <c r="CH187" i="25"/>
  <c r="CH189" i="25"/>
  <c r="CH190" i="25"/>
  <c r="CH191" i="25"/>
  <c r="CH192" i="25"/>
  <c r="CH173" i="25"/>
  <c r="CH178" i="25"/>
  <c r="CH179" i="25"/>
  <c r="CH196" i="25"/>
  <c r="CH199" i="25"/>
  <c r="CI8" i="25"/>
  <c r="CI9" i="25"/>
  <c r="CI10" i="25"/>
  <c r="CI14" i="25"/>
  <c r="CI16" i="25"/>
  <c r="CI39" i="25"/>
  <c r="CI60" i="25"/>
  <c r="CI94" i="25"/>
  <c r="CI122" i="25"/>
  <c r="CI127" i="25"/>
  <c r="CI128" i="25"/>
  <c r="CI21" i="25"/>
  <c r="CI36" i="25"/>
  <c r="CI56" i="25"/>
  <c r="CI22" i="25"/>
  <c r="CI145" i="25"/>
  <c r="CI11" i="25"/>
  <c r="CI12" i="25"/>
  <c r="CI15" i="25"/>
  <c r="CI20" i="25"/>
  <c r="CI23" i="25"/>
  <c r="CI33" i="25"/>
  <c r="CI35" i="25"/>
  <c r="CI47" i="25"/>
  <c r="CI53" i="25"/>
  <c r="CI58" i="25"/>
  <c r="CI59" i="25"/>
  <c r="CI65" i="25"/>
  <c r="CI91" i="25"/>
  <c r="CI97" i="25"/>
  <c r="CI101" i="25"/>
  <c r="CI106" i="25"/>
  <c r="CI126" i="25"/>
  <c r="CI136" i="25"/>
  <c r="CI160" i="25"/>
  <c r="CI164" i="25"/>
  <c r="CI19" i="25"/>
  <c r="CI51" i="25"/>
  <c r="CI77" i="25"/>
  <c r="CI82" i="25"/>
  <c r="CI83" i="25"/>
  <c r="CI84" i="25"/>
  <c r="CI85" i="25"/>
  <c r="CI86" i="25"/>
  <c r="CI87" i="25"/>
  <c r="CI88" i="25"/>
  <c r="CI28" i="25"/>
  <c r="CI49" i="25"/>
  <c r="CI147" i="25"/>
  <c r="CI68" i="25"/>
  <c r="CI146" i="25"/>
  <c r="CI102" i="25"/>
  <c r="CI103" i="25"/>
  <c r="CI107" i="25"/>
  <c r="CI132" i="25"/>
  <c r="CI34" i="25"/>
  <c r="CI92" i="25"/>
  <c r="CI111" i="25"/>
  <c r="CI144" i="25"/>
  <c r="CI13" i="25"/>
  <c r="CI27" i="25"/>
  <c r="CI37" i="25"/>
  <c r="CI38" i="25"/>
  <c r="CI44" i="25"/>
  <c r="CI46" i="25"/>
  <c r="CI48" i="25"/>
  <c r="CI50" i="25"/>
  <c r="CI62" i="25"/>
  <c r="CI63" i="25"/>
  <c r="CI64" i="25"/>
  <c r="CI67" i="25"/>
  <c r="CI79" i="25"/>
  <c r="CI80" i="25"/>
  <c r="CI93" i="25"/>
  <c r="CI96" i="25"/>
  <c r="CI98" i="25"/>
  <c r="CI113" i="25"/>
  <c r="CI115" i="25"/>
  <c r="CI118" i="25"/>
  <c r="CI134" i="25"/>
  <c r="CI26" i="25"/>
  <c r="CI42" i="25"/>
  <c r="CI45" i="25"/>
  <c r="CI55" i="25"/>
  <c r="CI78" i="25"/>
  <c r="CI81" i="25"/>
  <c r="CI89" i="25"/>
  <c r="CI90" i="25"/>
  <c r="CI105" i="25"/>
  <c r="CI116" i="25"/>
  <c r="CI117" i="25"/>
  <c r="CI120" i="25"/>
  <c r="CI133" i="25"/>
  <c r="CI138" i="25"/>
  <c r="CI142" i="25"/>
  <c r="CI150" i="25"/>
  <c r="CI151" i="25"/>
  <c r="CI130" i="25"/>
  <c r="CI152" i="25"/>
  <c r="CI153" i="25"/>
  <c r="CI66" i="25"/>
  <c r="CI121" i="25"/>
  <c r="CI140" i="25"/>
  <c r="CI141" i="25"/>
  <c r="CI29" i="25"/>
  <c r="CI112" i="25"/>
  <c r="CI131" i="25"/>
  <c r="CI143" i="25"/>
  <c r="CI148" i="25"/>
  <c r="CI149" i="25"/>
  <c r="CI17" i="25"/>
  <c r="CI30" i="25"/>
  <c r="CI31" i="25"/>
  <c r="CI32" i="25"/>
  <c r="CI40" i="25"/>
  <c r="CI69" i="25"/>
  <c r="CI70" i="25"/>
  <c r="CI71" i="25"/>
  <c r="CI72" i="25"/>
  <c r="CI73" i="25"/>
  <c r="CI74" i="25"/>
  <c r="CI110" i="25"/>
  <c r="CI119" i="25"/>
  <c r="CI99" i="25"/>
  <c r="CI124" i="25"/>
  <c r="CI125" i="25"/>
  <c r="CI75" i="25"/>
  <c r="CI129" i="25"/>
  <c r="CI135" i="25"/>
  <c r="CI139" i="25"/>
  <c r="CI154" i="25"/>
  <c r="CI156" i="25"/>
  <c r="CI157" i="25"/>
  <c r="CI161" i="25"/>
  <c r="CI162" i="25"/>
  <c r="CI163" i="25"/>
  <c r="CI195" i="25"/>
  <c r="CI201" i="25"/>
  <c r="CI181" i="25"/>
  <c r="CI166" i="25"/>
  <c r="CI168" i="25"/>
  <c r="CI174" i="25"/>
  <c r="CI175" i="25"/>
  <c r="CI176" i="25"/>
  <c r="CI169" i="25"/>
  <c r="CI180" i="25"/>
  <c r="CI182" i="25"/>
  <c r="CI186" i="25"/>
  <c r="CI188" i="25"/>
  <c r="CI193" i="25"/>
  <c r="CI194" i="25"/>
  <c r="CI197" i="25"/>
  <c r="CI198" i="25"/>
  <c r="CI202" i="25"/>
  <c r="CI167" i="25"/>
  <c r="CI171" i="25"/>
  <c r="CI200" i="25"/>
  <c r="CI183" i="25"/>
  <c r="CI184" i="25"/>
  <c r="CI172" i="25"/>
  <c r="CI187" i="25"/>
  <c r="CI189" i="25"/>
  <c r="CI190" i="25"/>
  <c r="CI191" i="25"/>
  <c r="CI192" i="25"/>
  <c r="CI173" i="25"/>
  <c r="CI178" i="25"/>
  <c r="CI179" i="25"/>
  <c r="CI196" i="25"/>
  <c r="CI199" i="25"/>
  <c r="CJ8" i="25"/>
  <c r="CJ9" i="25"/>
  <c r="CJ10" i="25"/>
  <c r="CJ14" i="25"/>
  <c r="CJ16" i="25"/>
  <c r="CJ39" i="25"/>
  <c r="CJ60" i="25"/>
  <c r="CJ94" i="25"/>
  <c r="CJ122" i="25"/>
  <c r="CJ127" i="25"/>
  <c r="CJ128" i="25"/>
  <c r="CJ21" i="25"/>
  <c r="CJ36" i="25"/>
  <c r="CJ56" i="25"/>
  <c r="CJ22" i="25"/>
  <c r="CJ145" i="25"/>
  <c r="CJ11" i="25"/>
  <c r="CJ12" i="25"/>
  <c r="CJ15" i="25"/>
  <c r="CJ20" i="25"/>
  <c r="CJ23" i="25"/>
  <c r="CJ33" i="25"/>
  <c r="CJ35" i="25"/>
  <c r="CJ47" i="25"/>
  <c r="CJ53" i="25"/>
  <c r="CJ58" i="25"/>
  <c r="CJ59" i="25"/>
  <c r="CJ65" i="25"/>
  <c r="CJ91" i="25"/>
  <c r="CJ97" i="25"/>
  <c r="CJ101" i="25"/>
  <c r="CJ106" i="25"/>
  <c r="CJ126" i="25"/>
  <c r="CJ136" i="25"/>
  <c r="CJ160" i="25"/>
  <c r="CJ164" i="25"/>
  <c r="CJ19" i="25"/>
  <c r="CJ51" i="25"/>
  <c r="CJ77" i="25"/>
  <c r="CJ82" i="25"/>
  <c r="CJ83" i="25"/>
  <c r="CJ85" i="25"/>
  <c r="CJ86" i="25"/>
  <c r="CJ87" i="25"/>
  <c r="CJ88" i="25"/>
  <c r="CJ28" i="25"/>
  <c r="CJ49" i="25"/>
  <c r="CJ147" i="25"/>
  <c r="CJ68" i="25"/>
  <c r="CJ146" i="25"/>
  <c r="CJ102" i="25"/>
  <c r="CJ103" i="25"/>
  <c r="CJ107" i="25"/>
  <c r="CJ132" i="25"/>
  <c r="CJ34" i="25"/>
  <c r="CJ92" i="25"/>
  <c r="CJ111" i="25"/>
  <c r="CJ144" i="25"/>
  <c r="CJ13" i="25"/>
  <c r="CJ27" i="25"/>
  <c r="CJ37" i="25"/>
  <c r="CJ38" i="25"/>
  <c r="CJ44" i="25"/>
  <c r="CJ46" i="25"/>
  <c r="CJ48" i="25"/>
  <c r="CJ50" i="25"/>
  <c r="CJ62" i="25"/>
  <c r="CJ63" i="25"/>
  <c r="CJ64" i="25"/>
  <c r="CJ67" i="25"/>
  <c r="CJ79" i="25"/>
  <c r="CJ80" i="25"/>
  <c r="CJ93" i="25"/>
  <c r="CJ96" i="25"/>
  <c r="CJ98" i="25"/>
  <c r="CJ113" i="25"/>
  <c r="CJ115" i="25"/>
  <c r="CJ118" i="25"/>
  <c r="CJ134" i="25"/>
  <c r="CJ26" i="25"/>
  <c r="CJ42" i="25"/>
  <c r="CJ45" i="25"/>
  <c r="CJ55" i="25"/>
  <c r="CJ78" i="25"/>
  <c r="CJ81" i="25"/>
  <c r="CJ89" i="25"/>
  <c r="CJ90" i="25"/>
  <c r="CJ105" i="25"/>
  <c r="CJ116" i="25"/>
  <c r="CJ117" i="25"/>
  <c r="CJ120" i="25"/>
  <c r="CJ133" i="25"/>
  <c r="CJ138" i="25"/>
  <c r="CJ142" i="25"/>
  <c r="CJ150" i="25"/>
  <c r="CJ151" i="25"/>
  <c r="CJ130" i="25"/>
  <c r="CJ152" i="25"/>
  <c r="CJ153" i="25"/>
  <c r="CJ66" i="25"/>
  <c r="CJ121" i="25"/>
  <c r="CJ140" i="25"/>
  <c r="CJ141" i="25"/>
  <c r="CJ29" i="25"/>
  <c r="CJ112" i="25"/>
  <c r="CJ131" i="25"/>
  <c r="CJ143" i="25"/>
  <c r="CJ148" i="25"/>
  <c r="CJ149" i="25"/>
  <c r="CJ17" i="25"/>
  <c r="CJ30" i="25"/>
  <c r="CJ31" i="25"/>
  <c r="CJ32" i="25"/>
  <c r="CJ40" i="25"/>
  <c r="CJ69" i="25"/>
  <c r="CJ70" i="25"/>
  <c r="CJ71" i="25"/>
  <c r="CJ72" i="25"/>
  <c r="CJ73" i="25"/>
  <c r="CJ74" i="25"/>
  <c r="CJ110" i="25"/>
  <c r="CJ119" i="25"/>
  <c r="CJ99" i="25"/>
  <c r="CJ124" i="25"/>
  <c r="CJ125" i="25"/>
  <c r="CJ75" i="25"/>
  <c r="CJ129" i="25"/>
  <c r="CJ135" i="25"/>
  <c r="CJ139" i="25"/>
  <c r="CJ154" i="25"/>
  <c r="CJ156" i="25"/>
  <c r="CJ157" i="25"/>
  <c r="CJ161" i="25"/>
  <c r="CJ162" i="25"/>
  <c r="CJ163" i="25"/>
  <c r="CJ195" i="25"/>
  <c r="CJ201" i="25"/>
  <c r="CJ181" i="25"/>
  <c r="CJ166" i="25"/>
  <c r="CJ168" i="25"/>
  <c r="CJ174" i="25"/>
  <c r="CJ175" i="25"/>
  <c r="CJ176" i="25"/>
  <c r="CJ169" i="25"/>
  <c r="CJ180" i="25"/>
  <c r="CJ182" i="25"/>
  <c r="CJ186" i="25"/>
  <c r="CJ188" i="25"/>
  <c r="CJ193" i="25"/>
  <c r="CJ194" i="25"/>
  <c r="CJ197" i="25"/>
  <c r="CJ198" i="25"/>
  <c r="CJ202" i="25"/>
  <c r="CJ167" i="25"/>
  <c r="CJ171" i="25"/>
  <c r="CJ200" i="25"/>
  <c r="CJ183" i="25"/>
  <c r="CJ184" i="25"/>
  <c r="CJ172" i="25"/>
  <c r="CJ187" i="25"/>
  <c r="CJ189" i="25"/>
  <c r="CJ190" i="25"/>
  <c r="CJ191" i="25"/>
  <c r="CJ192" i="25"/>
  <c r="CJ173" i="25"/>
  <c r="CJ178" i="25"/>
  <c r="CJ179" i="25"/>
  <c r="CJ196" i="25"/>
  <c r="CJ199" i="25"/>
  <c r="CK8" i="25"/>
  <c r="CK9" i="25"/>
  <c r="CK10" i="25"/>
  <c r="CK14" i="25"/>
  <c r="CK16" i="25"/>
  <c r="CK39" i="25"/>
  <c r="CK60" i="25"/>
  <c r="CK94" i="25"/>
  <c r="CK122" i="25"/>
  <c r="CK127" i="25"/>
  <c r="CK128" i="25"/>
  <c r="CK21" i="25"/>
  <c r="CK36" i="25"/>
  <c r="CK56" i="25"/>
  <c r="CK22" i="25"/>
  <c r="CK145" i="25"/>
  <c r="CK11" i="25"/>
  <c r="CK12" i="25"/>
  <c r="CK15" i="25"/>
  <c r="CK20" i="25"/>
  <c r="CK23" i="25"/>
  <c r="CK33" i="25"/>
  <c r="CK35" i="25"/>
  <c r="CK47" i="25"/>
  <c r="CK53" i="25"/>
  <c r="CK58" i="25"/>
  <c r="CK59" i="25"/>
  <c r="CK65" i="25"/>
  <c r="CK91" i="25"/>
  <c r="CK97" i="25"/>
  <c r="CK101" i="25"/>
  <c r="CK106" i="25"/>
  <c r="CK126" i="25"/>
  <c r="CK136" i="25"/>
  <c r="CK160" i="25"/>
  <c r="CK164" i="25"/>
  <c r="CK19" i="25"/>
  <c r="CK51" i="25"/>
  <c r="CK77" i="25"/>
  <c r="CK82" i="25"/>
  <c r="CK83" i="25"/>
  <c r="CK84" i="25"/>
  <c r="CK85" i="25"/>
  <c r="CK86" i="25"/>
  <c r="CK87" i="25"/>
  <c r="CK88" i="25"/>
  <c r="CK28" i="25"/>
  <c r="CK49" i="25"/>
  <c r="CK147" i="25"/>
  <c r="CK68" i="25"/>
  <c r="CK146" i="25"/>
  <c r="CK102" i="25"/>
  <c r="CK103" i="25"/>
  <c r="CK107" i="25"/>
  <c r="CK132" i="25"/>
  <c r="CK34" i="25"/>
  <c r="CK92" i="25"/>
  <c r="CK111" i="25"/>
  <c r="CK144" i="25"/>
  <c r="CK13" i="25"/>
  <c r="CK27" i="25"/>
  <c r="CK37" i="25"/>
  <c r="CK38" i="25"/>
  <c r="CK44" i="25"/>
  <c r="CK46" i="25"/>
  <c r="CK48" i="25"/>
  <c r="CK50" i="25"/>
  <c r="CK62" i="25"/>
  <c r="CK63" i="25"/>
  <c r="CK64" i="25"/>
  <c r="CK67" i="25"/>
  <c r="CK79" i="25"/>
  <c r="CK80" i="25"/>
  <c r="CK93" i="25"/>
  <c r="CK96" i="25"/>
  <c r="CK98" i="25"/>
  <c r="CK113" i="25"/>
  <c r="CK115" i="25"/>
  <c r="CK118" i="25"/>
  <c r="CK134" i="25"/>
  <c r="CK26" i="25"/>
  <c r="CK42" i="25"/>
  <c r="CK45" i="25"/>
  <c r="CK55" i="25"/>
  <c r="CK78" i="25"/>
  <c r="CK81" i="25"/>
  <c r="CK89" i="25"/>
  <c r="CK90" i="25"/>
  <c r="CK105" i="25"/>
  <c r="CK116" i="25"/>
  <c r="CK117" i="25"/>
  <c r="CK120" i="25"/>
  <c r="CK133" i="25"/>
  <c r="CK138" i="25"/>
  <c r="CK142" i="25"/>
  <c r="CK150" i="25"/>
  <c r="CK151" i="25"/>
  <c r="CK130" i="25"/>
  <c r="CK152" i="25"/>
  <c r="CK153" i="25"/>
  <c r="CK66" i="25"/>
  <c r="CK121" i="25"/>
  <c r="CK140" i="25"/>
  <c r="CK141" i="25"/>
  <c r="CK29" i="25"/>
  <c r="CK112" i="25"/>
  <c r="CK131" i="25"/>
  <c r="CK143" i="25"/>
  <c r="CK148" i="25"/>
  <c r="CK149" i="25"/>
  <c r="CK17" i="25"/>
  <c r="CK30" i="25"/>
  <c r="CK31" i="25"/>
  <c r="CK32" i="25"/>
  <c r="CK40" i="25"/>
  <c r="CK69" i="25"/>
  <c r="CK70" i="25"/>
  <c r="CK71" i="25"/>
  <c r="CK72" i="25"/>
  <c r="CK73" i="25"/>
  <c r="CK74" i="25"/>
  <c r="CK110" i="25"/>
  <c r="CK119" i="25"/>
  <c r="CK99" i="25"/>
  <c r="CK124" i="25"/>
  <c r="CK125" i="25"/>
  <c r="CK75" i="25"/>
  <c r="CK129" i="25"/>
  <c r="CK135" i="25"/>
  <c r="CK139" i="25"/>
  <c r="CK154" i="25"/>
  <c r="CK156" i="25"/>
  <c r="CK157" i="25"/>
  <c r="CK161" i="25"/>
  <c r="CK162" i="25"/>
  <c r="CK163" i="25"/>
  <c r="CK195" i="25"/>
  <c r="CK201" i="25"/>
  <c r="CK181" i="25"/>
  <c r="CK166" i="25"/>
  <c r="CK168" i="25"/>
  <c r="CK174" i="25"/>
  <c r="CK175" i="25"/>
  <c r="CK176" i="25"/>
  <c r="CK169" i="25"/>
  <c r="CK180" i="25"/>
  <c r="CK182" i="25"/>
  <c r="CK186" i="25"/>
  <c r="CK188" i="25"/>
  <c r="CK193" i="25"/>
  <c r="CK194" i="25"/>
  <c r="CK197" i="25"/>
  <c r="CK198" i="25"/>
  <c r="CK202" i="25"/>
  <c r="CK167" i="25"/>
  <c r="CK171" i="25"/>
  <c r="CK200" i="25"/>
  <c r="CK183" i="25"/>
  <c r="CK184" i="25"/>
  <c r="CK172" i="25"/>
  <c r="CK187" i="25"/>
  <c r="CK189" i="25"/>
  <c r="CK190" i="25"/>
  <c r="CK191" i="25"/>
  <c r="CK192" i="25"/>
  <c r="CK173" i="25"/>
  <c r="CK178" i="25"/>
  <c r="CK179" i="25"/>
  <c r="CK196" i="25"/>
  <c r="CK199" i="25"/>
  <c r="CL8" i="25"/>
  <c r="CL9" i="25"/>
  <c r="CL10" i="25"/>
  <c r="CL14" i="25"/>
  <c r="CL16" i="25"/>
  <c r="CL39" i="25"/>
  <c r="CL60" i="25"/>
  <c r="CL94" i="25"/>
  <c r="CL122" i="25"/>
  <c r="CL127" i="25"/>
  <c r="CL128" i="25"/>
  <c r="CL21" i="25"/>
  <c r="CL36" i="25"/>
  <c r="CL56" i="25"/>
  <c r="CL22" i="25"/>
  <c r="CL145" i="25"/>
  <c r="CL11" i="25"/>
  <c r="CL12" i="25"/>
  <c r="CL15" i="25"/>
  <c r="CL20" i="25"/>
  <c r="CL23" i="25"/>
  <c r="CL33" i="25"/>
  <c r="CL35" i="25"/>
  <c r="CL47" i="25"/>
  <c r="CL53" i="25"/>
  <c r="CL58" i="25"/>
  <c r="CL59" i="25"/>
  <c r="CL65" i="25"/>
  <c r="CL91" i="25"/>
  <c r="CL97" i="25"/>
  <c r="CL101" i="25"/>
  <c r="CL106" i="25"/>
  <c r="CL126" i="25"/>
  <c r="CL136" i="25"/>
  <c r="CL160" i="25"/>
  <c r="CL164" i="25"/>
  <c r="CL19" i="25"/>
  <c r="CL51" i="25"/>
  <c r="CL77" i="25"/>
  <c r="CL82" i="25"/>
  <c r="CL83" i="25"/>
  <c r="CL84" i="25"/>
  <c r="CL85" i="25"/>
  <c r="CL86" i="25"/>
  <c r="CL87" i="25"/>
  <c r="CL88" i="25"/>
  <c r="CL28" i="25"/>
  <c r="CL49" i="25"/>
  <c r="CL147" i="25"/>
  <c r="CL68" i="25"/>
  <c r="CL146" i="25"/>
  <c r="CL102" i="25"/>
  <c r="CL103" i="25"/>
  <c r="CL107" i="25"/>
  <c r="CL132" i="25"/>
  <c r="CL34" i="25"/>
  <c r="CL92" i="25"/>
  <c r="CL111" i="25"/>
  <c r="CL144" i="25"/>
  <c r="CL13" i="25"/>
  <c r="CL27" i="25"/>
  <c r="CL37" i="25"/>
  <c r="CL38" i="25"/>
  <c r="CL44" i="25"/>
  <c r="CL46" i="25"/>
  <c r="CL48" i="25"/>
  <c r="CL50" i="25"/>
  <c r="CL62" i="25"/>
  <c r="CL63" i="25"/>
  <c r="CL64" i="25"/>
  <c r="CL67" i="25"/>
  <c r="CL79" i="25"/>
  <c r="CL80" i="25"/>
  <c r="CL93" i="25"/>
  <c r="CL96" i="25"/>
  <c r="CL98" i="25"/>
  <c r="CL113" i="25"/>
  <c r="CL115" i="25"/>
  <c r="CL118" i="25"/>
  <c r="CL134" i="25"/>
  <c r="CL26" i="25"/>
  <c r="CL42" i="25"/>
  <c r="CL45" i="25"/>
  <c r="CL55" i="25"/>
  <c r="CL78" i="25"/>
  <c r="CL81" i="25"/>
  <c r="CL89" i="25"/>
  <c r="CL90" i="25"/>
  <c r="CL105" i="25"/>
  <c r="CL116" i="25"/>
  <c r="CL117" i="25"/>
  <c r="CL120" i="25"/>
  <c r="CL133" i="25"/>
  <c r="CL138" i="25"/>
  <c r="CL142" i="25"/>
  <c r="CL150" i="25"/>
  <c r="CL151" i="25"/>
  <c r="CL130" i="25"/>
  <c r="CL152" i="25"/>
  <c r="CL153" i="25"/>
  <c r="CL66" i="25"/>
  <c r="CL121" i="25"/>
  <c r="CL140" i="25"/>
  <c r="CL141" i="25"/>
  <c r="CL29" i="25"/>
  <c r="CL112" i="25"/>
  <c r="CL131" i="25"/>
  <c r="CL143" i="25"/>
  <c r="CL148" i="25"/>
  <c r="CL149" i="25"/>
  <c r="CL17" i="25"/>
  <c r="CL30" i="25"/>
  <c r="CL31" i="25"/>
  <c r="CL32" i="25"/>
  <c r="CL40" i="25"/>
  <c r="CL69" i="25"/>
  <c r="CL70" i="25"/>
  <c r="CL71" i="25"/>
  <c r="CL72" i="25"/>
  <c r="CL73" i="25"/>
  <c r="CL74" i="25"/>
  <c r="CL110" i="25"/>
  <c r="CL119" i="25"/>
  <c r="CL99" i="25"/>
  <c r="CL124" i="25"/>
  <c r="CL125" i="25"/>
  <c r="CL75" i="25"/>
  <c r="CL129" i="25"/>
  <c r="CL135" i="25"/>
  <c r="CL139" i="25"/>
  <c r="CL154" i="25"/>
  <c r="CL156" i="25"/>
  <c r="CL157" i="25"/>
  <c r="CL161" i="25"/>
  <c r="CL162" i="25"/>
  <c r="CL163" i="25"/>
  <c r="CL195" i="25"/>
  <c r="CL201" i="25"/>
  <c r="CL181" i="25"/>
  <c r="CL166" i="25"/>
  <c r="CL168" i="25"/>
  <c r="CL174" i="25"/>
  <c r="CL175" i="25"/>
  <c r="CL176" i="25"/>
  <c r="CL169" i="25"/>
  <c r="CL180" i="25"/>
  <c r="CL182" i="25"/>
  <c r="CL186" i="25"/>
  <c r="CL188" i="25"/>
  <c r="CL193" i="25"/>
  <c r="CL194" i="25"/>
  <c r="CL197" i="25"/>
  <c r="CL198" i="25"/>
  <c r="CL202" i="25"/>
  <c r="CL167" i="25"/>
  <c r="CL171" i="25"/>
  <c r="CL200" i="25"/>
  <c r="CL183" i="25"/>
  <c r="CL184" i="25"/>
  <c r="CL172" i="25"/>
  <c r="CL187" i="25"/>
  <c r="CL189" i="25"/>
  <c r="CL190" i="25"/>
  <c r="CL191" i="25"/>
  <c r="CL192" i="25"/>
  <c r="CL173" i="25"/>
  <c r="CL178" i="25"/>
  <c r="CL179" i="25"/>
  <c r="CL196" i="25"/>
  <c r="CL199" i="25"/>
  <c r="CO8" i="25"/>
  <c r="CO128" i="25"/>
  <c r="CO67" i="25"/>
  <c r="CP8" i="25"/>
  <c r="CP128" i="25"/>
  <c r="CP67" i="25"/>
  <c r="CT8" i="25"/>
  <c r="CS9" i="25"/>
  <c r="CT9" i="25" s="1"/>
  <c r="CS10" i="25"/>
  <c r="CT10" i="25" s="1"/>
  <c r="CS14" i="25"/>
  <c r="CT14" i="25" s="1"/>
  <c r="CS16" i="25"/>
  <c r="CT16" i="25" s="1"/>
  <c r="CS39" i="25"/>
  <c r="CT39" i="25" s="1"/>
  <c r="CS60" i="25"/>
  <c r="CT60" i="25" s="1"/>
  <c r="CS94" i="25"/>
  <c r="CT94" i="25" s="1"/>
  <c r="CS122" i="25"/>
  <c r="CT122" i="25" s="1"/>
  <c r="CS127" i="25"/>
  <c r="CT127" i="25" s="1"/>
  <c r="CT128" i="25"/>
  <c r="CS21" i="25"/>
  <c r="CT21" i="25" s="1"/>
  <c r="CS36" i="25"/>
  <c r="CT36" i="25" s="1"/>
  <c r="CS56" i="25"/>
  <c r="CT56" i="25" s="1"/>
  <c r="CS22" i="25"/>
  <c r="CT22" i="25" s="1"/>
  <c r="CS145" i="25"/>
  <c r="CT145" i="25" s="1"/>
  <c r="CS11" i="25"/>
  <c r="CT11" i="25" s="1"/>
  <c r="CS12" i="25"/>
  <c r="CT12" i="25" s="1"/>
  <c r="CS15" i="25"/>
  <c r="CT15" i="25" s="1"/>
  <c r="CS20" i="25"/>
  <c r="CT20" i="25" s="1"/>
  <c r="CS23" i="25"/>
  <c r="CT23" i="25" s="1"/>
  <c r="CS33" i="25"/>
  <c r="CT33" i="25" s="1"/>
  <c r="CS35" i="25"/>
  <c r="CT35" i="25" s="1"/>
  <c r="CS47" i="25"/>
  <c r="CT47" i="25" s="1"/>
  <c r="CS53" i="25"/>
  <c r="CT53" i="25" s="1"/>
  <c r="CS58" i="25"/>
  <c r="CT58" i="25" s="1"/>
  <c r="CS59" i="25"/>
  <c r="CT59" i="25" s="1"/>
  <c r="CS65" i="25"/>
  <c r="CT65" i="25" s="1"/>
  <c r="CS91" i="25"/>
  <c r="CT91" i="25" s="1"/>
  <c r="CS97" i="25"/>
  <c r="CT97" i="25" s="1"/>
  <c r="CS101" i="25"/>
  <c r="CT101" i="25" s="1"/>
  <c r="CS106" i="25"/>
  <c r="CT106" i="25" s="1"/>
  <c r="CS126" i="25"/>
  <c r="CT126" i="25" s="1"/>
  <c r="CS136" i="25"/>
  <c r="CT136" i="25" s="1"/>
  <c r="CS160" i="25"/>
  <c r="CT160" i="25" s="1"/>
  <c r="CS164" i="25"/>
  <c r="CT164" i="25" s="1"/>
  <c r="CS19" i="25"/>
  <c r="CT19" i="25" s="1"/>
  <c r="CS51" i="25"/>
  <c r="CT51" i="25" s="1"/>
  <c r="CS77" i="25"/>
  <c r="CT77" i="25" s="1"/>
  <c r="CS82" i="25"/>
  <c r="CT82" i="25" s="1"/>
  <c r="CS83" i="25"/>
  <c r="CT83" i="25" s="1"/>
  <c r="CS84" i="25"/>
  <c r="CT84" i="25" s="1"/>
  <c r="CS85" i="25"/>
  <c r="CT85" i="25" s="1"/>
  <c r="CS86" i="25"/>
  <c r="CT86" i="25" s="1"/>
  <c r="CS87" i="25"/>
  <c r="CT87" i="25" s="1"/>
  <c r="CS88" i="25"/>
  <c r="CT88" i="25" s="1"/>
  <c r="CS28" i="25"/>
  <c r="CT28" i="25" s="1"/>
  <c r="CS49" i="25"/>
  <c r="CT49" i="25" s="1"/>
  <c r="CS147" i="25"/>
  <c r="CT147" i="25" s="1"/>
  <c r="CS68" i="25"/>
  <c r="CT68" i="25" s="1"/>
  <c r="CS146" i="25"/>
  <c r="CT146" i="25" s="1"/>
  <c r="CS102" i="25"/>
  <c r="CT102" i="25" s="1"/>
  <c r="CS103" i="25"/>
  <c r="CT103" i="25" s="1"/>
  <c r="CS107" i="25"/>
  <c r="CT107" i="25" s="1"/>
  <c r="CS132" i="25"/>
  <c r="CT132" i="25" s="1"/>
  <c r="CS34" i="25"/>
  <c r="CT34" i="25" s="1"/>
  <c r="CS92" i="25"/>
  <c r="CT92" i="25" s="1"/>
  <c r="CS111" i="25"/>
  <c r="CT111" i="25" s="1"/>
  <c r="CS144" i="25"/>
  <c r="CT144" i="25" s="1"/>
  <c r="CS13" i="25"/>
  <c r="CT13" i="25" s="1"/>
  <c r="CS27" i="25"/>
  <c r="CT27" i="25" s="1"/>
  <c r="CS37" i="25"/>
  <c r="CT37" i="25" s="1"/>
  <c r="CS38" i="25"/>
  <c r="CT38" i="25" s="1"/>
  <c r="CS44" i="25"/>
  <c r="CT44" i="25" s="1"/>
  <c r="CS46" i="25"/>
  <c r="CT46" i="25" s="1"/>
  <c r="CS48" i="25"/>
  <c r="CT48" i="25" s="1"/>
  <c r="CS50" i="25"/>
  <c r="CT50" i="25" s="1"/>
  <c r="CS62" i="25"/>
  <c r="CT62" i="25" s="1"/>
  <c r="CS63" i="25"/>
  <c r="CT63" i="25" s="1"/>
  <c r="CS64" i="25"/>
  <c r="CT64" i="25" s="1"/>
  <c r="CT67" i="25"/>
  <c r="CS79" i="25"/>
  <c r="CT79" i="25" s="1"/>
  <c r="CS80" i="25"/>
  <c r="CT80" i="25" s="1"/>
  <c r="CS93" i="25"/>
  <c r="CT93" i="25" s="1"/>
  <c r="CS96" i="25"/>
  <c r="CT96" i="25" s="1"/>
  <c r="CS98" i="25"/>
  <c r="CT98" i="25" s="1"/>
  <c r="CS113" i="25"/>
  <c r="CT113" i="25" s="1"/>
  <c r="CS115" i="25"/>
  <c r="CT115" i="25" s="1"/>
  <c r="CS118" i="25"/>
  <c r="CT118" i="25" s="1"/>
  <c r="CS134" i="25"/>
  <c r="CT134" i="25" s="1"/>
  <c r="CS26" i="25"/>
  <c r="CT26" i="25" s="1"/>
  <c r="CS42" i="25"/>
  <c r="CT42" i="25" s="1"/>
  <c r="CS45" i="25"/>
  <c r="CT45" i="25" s="1"/>
  <c r="CS55" i="25"/>
  <c r="CT55" i="25" s="1"/>
  <c r="CS78" i="25"/>
  <c r="CT78" i="25" s="1"/>
  <c r="CS81" i="25"/>
  <c r="CT81" i="25" s="1"/>
  <c r="CS89" i="25"/>
  <c r="CS90" i="25"/>
  <c r="CT90" i="25" s="1"/>
  <c r="CS105" i="25"/>
  <c r="CT105" i="25" s="1"/>
  <c r="CS116" i="25"/>
  <c r="CT116" i="25" s="1"/>
  <c r="CS117" i="25"/>
  <c r="CT117" i="25" s="1"/>
  <c r="CS120" i="25"/>
  <c r="CT120" i="25" s="1"/>
  <c r="CS133" i="25"/>
  <c r="CT133" i="25" s="1"/>
  <c r="CS138" i="25"/>
  <c r="CT138" i="25" s="1"/>
  <c r="CS142" i="25"/>
  <c r="CT142" i="25" s="1"/>
  <c r="CS150" i="25"/>
  <c r="CT150" i="25" s="1"/>
  <c r="CS151" i="25"/>
  <c r="CT151" i="25" s="1"/>
  <c r="CS130" i="25"/>
  <c r="CT130" i="25" s="1"/>
  <c r="CS152" i="25"/>
  <c r="CT152" i="25" s="1"/>
  <c r="CS153" i="25"/>
  <c r="CT153" i="25" s="1"/>
  <c r="CS66" i="25"/>
  <c r="CT66" i="25" s="1"/>
  <c r="CS121" i="25"/>
  <c r="CT121" i="25" s="1"/>
  <c r="CS140" i="25"/>
  <c r="CT140" i="25" s="1"/>
  <c r="CS141" i="25"/>
  <c r="CT141" i="25" s="1"/>
  <c r="CS29" i="25"/>
  <c r="CT29" i="25" s="1"/>
  <c r="CS112" i="25"/>
  <c r="CT112" i="25" s="1"/>
  <c r="CS131" i="25"/>
  <c r="CT131" i="25" s="1"/>
  <c r="CS143" i="25"/>
  <c r="CT143" i="25" s="1"/>
  <c r="CS148" i="25"/>
  <c r="CT148" i="25" s="1"/>
  <c r="CS149" i="25"/>
  <c r="CT149" i="25" s="1"/>
  <c r="CS17" i="25"/>
  <c r="CT17" i="25" s="1"/>
  <c r="CS30" i="25"/>
  <c r="CT30" i="25" s="1"/>
  <c r="CS31" i="25"/>
  <c r="CS32" i="25"/>
  <c r="CT32" i="25" s="1"/>
  <c r="CS40" i="25"/>
  <c r="CT40" i="25" s="1"/>
  <c r="CS69" i="25"/>
  <c r="CT69" i="25" s="1"/>
  <c r="CS70" i="25"/>
  <c r="CT70" i="25" s="1"/>
  <c r="CS71" i="25"/>
  <c r="CT71" i="25" s="1"/>
  <c r="CS72" i="25"/>
  <c r="CT72" i="25" s="1"/>
  <c r="CS73" i="25"/>
  <c r="CT73" i="25" s="1"/>
  <c r="CS74" i="25"/>
  <c r="CS110" i="25"/>
  <c r="CT110" i="25" s="1"/>
  <c r="CS119" i="25"/>
  <c r="CT119" i="25" s="1"/>
  <c r="CS99" i="25"/>
  <c r="CT99" i="25" s="1"/>
  <c r="CS124" i="25"/>
  <c r="CT124" i="25" s="1"/>
  <c r="CS125" i="25"/>
  <c r="CT125" i="25" s="1"/>
  <c r="CS75" i="25"/>
  <c r="CT75" i="25" s="1"/>
  <c r="CS129" i="25"/>
  <c r="CT129" i="25" s="1"/>
  <c r="CS135" i="25"/>
  <c r="CT135" i="25" s="1"/>
  <c r="CS139" i="25"/>
  <c r="CT139" i="25" s="1"/>
  <c r="CS154" i="25"/>
  <c r="CT154" i="25" s="1"/>
  <c r="CS156" i="25"/>
  <c r="CT156" i="25" s="1"/>
  <c r="CS157" i="25"/>
  <c r="CT157" i="25" s="1"/>
  <c r="CS161" i="25"/>
  <c r="CT161" i="25" s="1"/>
  <c r="CS162" i="25"/>
  <c r="CT162" i="25" s="1"/>
  <c r="CS163" i="25"/>
  <c r="CT163" i="25" s="1"/>
  <c r="CS195" i="25"/>
  <c r="CT195" i="25" s="1"/>
  <c r="CS201" i="25"/>
  <c r="CT201" i="25" s="1"/>
  <c r="CS181" i="25"/>
  <c r="CT181" i="25" s="1"/>
  <c r="CS166" i="25"/>
  <c r="CT166" i="25" s="1"/>
  <c r="CS168" i="25"/>
  <c r="CT168" i="25" s="1"/>
  <c r="CS174" i="25"/>
  <c r="CT174" i="25" s="1"/>
  <c r="CS175" i="25"/>
  <c r="CT175" i="25" s="1"/>
  <c r="CS176" i="25"/>
  <c r="CS169" i="25"/>
  <c r="CT169" i="25" s="1"/>
  <c r="CS180" i="25"/>
  <c r="CT180" i="25" s="1"/>
  <c r="CS182" i="25"/>
  <c r="CT182" i="25" s="1"/>
  <c r="CS186" i="25"/>
  <c r="CT186" i="25" s="1"/>
  <c r="CS188" i="25"/>
  <c r="CT188" i="25" s="1"/>
  <c r="CS193" i="25"/>
  <c r="CT193" i="25" s="1"/>
  <c r="CS194" i="25"/>
  <c r="CT194" i="25" s="1"/>
  <c r="CS197" i="25"/>
  <c r="CT197" i="25" s="1"/>
  <c r="CS198" i="25"/>
  <c r="CT198" i="25" s="1"/>
  <c r="CS202" i="25"/>
  <c r="CT202" i="25" s="1"/>
  <c r="CS167" i="25"/>
  <c r="CT167" i="25" s="1"/>
  <c r="CS171" i="25"/>
  <c r="CT171" i="25" s="1"/>
  <c r="CS200" i="25"/>
  <c r="CT200" i="25" s="1"/>
  <c r="CS183" i="25"/>
  <c r="CT183" i="25" s="1"/>
  <c r="CS184" i="25"/>
  <c r="CT184" i="25" s="1"/>
  <c r="CS172" i="25"/>
  <c r="CT172" i="25" s="1"/>
  <c r="CS187" i="25"/>
  <c r="CT187" i="25" s="1"/>
  <c r="CS189" i="25"/>
  <c r="CT189" i="25" s="1"/>
  <c r="CS190" i="25"/>
  <c r="CT190" i="25" s="1"/>
  <c r="CS191" i="25"/>
  <c r="CT191" i="25" s="1"/>
  <c r="CS192" i="25"/>
  <c r="CT192" i="25" s="1"/>
  <c r="CS173" i="25"/>
  <c r="CS178" i="25"/>
  <c r="CT178" i="25" s="1"/>
  <c r="CS179" i="25"/>
  <c r="CT179" i="25" s="1"/>
  <c r="CS196" i="25"/>
  <c r="CT196" i="25" s="1"/>
  <c r="CS199" i="25"/>
  <c r="CT199" i="25" s="1"/>
  <c r="DA8" i="25"/>
  <c r="DA9" i="25"/>
  <c r="DA10" i="25"/>
  <c r="DA14" i="25"/>
  <c r="DA16" i="25"/>
  <c r="DA39" i="25"/>
  <c r="DA60" i="25"/>
  <c r="DA94" i="25"/>
  <c r="DA122" i="25"/>
  <c r="DA127" i="25"/>
  <c r="DA128" i="25"/>
  <c r="DA21" i="25"/>
  <c r="DA36" i="25"/>
  <c r="DA56" i="25"/>
  <c r="DA22" i="25"/>
  <c r="DA145" i="25"/>
  <c r="DA11" i="25"/>
  <c r="DA12" i="25"/>
  <c r="DA15" i="25"/>
  <c r="DA20" i="25"/>
  <c r="DA23" i="25"/>
  <c r="DA33" i="25"/>
  <c r="DA35" i="25"/>
  <c r="DA47" i="25"/>
  <c r="DA53" i="25"/>
  <c r="DA58" i="25"/>
  <c r="DA59" i="25"/>
  <c r="DA65" i="25"/>
  <c r="DA91" i="25"/>
  <c r="DA97" i="25"/>
  <c r="DA101" i="25"/>
  <c r="DA106" i="25"/>
  <c r="DA126" i="25"/>
  <c r="DA136" i="25"/>
  <c r="DA160" i="25"/>
  <c r="DA164" i="25"/>
  <c r="DA19" i="25"/>
  <c r="DA51" i="25"/>
  <c r="DA77" i="25"/>
  <c r="DA82" i="25"/>
  <c r="DA83" i="25"/>
  <c r="DA84" i="25"/>
  <c r="DA85" i="25"/>
  <c r="DA86" i="25"/>
  <c r="DA87" i="25"/>
  <c r="DA88" i="25"/>
  <c r="DA28" i="25"/>
  <c r="DA49" i="25"/>
  <c r="DA147" i="25"/>
  <c r="DA68" i="25"/>
  <c r="DA146" i="25"/>
  <c r="DA102" i="25"/>
  <c r="DA103" i="25"/>
  <c r="DA107" i="25"/>
  <c r="DA132" i="25"/>
  <c r="DA34" i="25"/>
  <c r="DA92" i="25"/>
  <c r="DA111" i="25"/>
  <c r="DA144" i="25"/>
  <c r="DA13" i="25"/>
  <c r="DA27" i="25"/>
  <c r="DA37" i="25"/>
  <c r="DA38" i="25"/>
  <c r="DA44" i="25"/>
  <c r="DA46" i="25"/>
  <c r="DA48" i="25"/>
  <c r="DA50" i="25"/>
  <c r="DA62" i="25"/>
  <c r="DA63" i="25"/>
  <c r="DA64" i="25"/>
  <c r="DA67" i="25"/>
  <c r="DA79" i="25"/>
  <c r="DA80" i="25"/>
  <c r="DA93" i="25"/>
  <c r="DA96" i="25"/>
  <c r="DA98" i="25"/>
  <c r="DA113" i="25"/>
  <c r="DA115" i="25"/>
  <c r="DA118" i="25"/>
  <c r="DA134" i="25"/>
  <c r="DA26" i="25"/>
  <c r="DA42" i="25"/>
  <c r="DA45" i="25"/>
  <c r="DA55" i="25"/>
  <c r="DA78" i="25"/>
  <c r="DA81" i="25"/>
  <c r="DA89" i="25"/>
  <c r="DA90" i="25"/>
  <c r="DA105" i="25"/>
  <c r="DA116" i="25"/>
  <c r="DA117" i="25"/>
  <c r="DA120" i="25"/>
  <c r="DA133" i="25"/>
  <c r="DA138" i="25"/>
  <c r="DA142" i="25"/>
  <c r="DA150" i="25"/>
  <c r="DA151" i="25"/>
  <c r="DA130" i="25"/>
  <c r="DA152" i="25"/>
  <c r="DA153" i="25"/>
  <c r="DA66" i="25"/>
  <c r="DA121" i="25"/>
  <c r="DA140" i="25"/>
  <c r="DA141" i="25"/>
  <c r="DA29" i="25"/>
  <c r="DA112" i="25"/>
  <c r="DA131" i="25"/>
  <c r="DA143" i="25"/>
  <c r="DA148" i="25"/>
  <c r="DA149" i="25"/>
  <c r="DA17" i="25"/>
  <c r="DA30" i="25"/>
  <c r="DA31" i="25"/>
  <c r="DA32" i="25"/>
  <c r="DA40" i="25"/>
  <c r="DA69" i="25"/>
  <c r="DA70" i="25"/>
  <c r="DA71" i="25"/>
  <c r="DA72" i="25"/>
  <c r="DA73" i="25"/>
  <c r="DA74" i="25"/>
  <c r="DA110" i="25"/>
  <c r="DA119" i="25"/>
  <c r="DA99" i="25"/>
  <c r="DA124" i="25"/>
  <c r="DA125" i="25"/>
  <c r="DA75" i="25"/>
  <c r="DA129" i="25"/>
  <c r="DA135" i="25"/>
  <c r="DA139" i="25"/>
  <c r="DA154" i="25"/>
  <c r="DA156" i="25"/>
  <c r="DA157" i="25"/>
  <c r="DA161" i="25"/>
  <c r="DA162" i="25"/>
  <c r="DA163" i="25"/>
  <c r="DA195" i="25"/>
  <c r="DA201" i="25"/>
  <c r="DA181" i="25"/>
  <c r="DA166" i="25"/>
  <c r="DA168" i="25"/>
  <c r="DA174" i="25"/>
  <c r="DA175" i="25"/>
  <c r="DA176" i="25"/>
  <c r="DA169" i="25"/>
  <c r="DA180" i="25"/>
  <c r="DA182" i="25"/>
  <c r="DA186" i="25"/>
  <c r="DA188" i="25"/>
  <c r="DA193" i="25"/>
  <c r="DA194" i="25"/>
  <c r="DA197" i="25"/>
  <c r="DA198" i="25"/>
  <c r="DA202" i="25"/>
  <c r="DA167" i="25"/>
  <c r="DA171" i="25"/>
  <c r="DA200" i="25"/>
  <c r="DA183" i="25"/>
  <c r="DA184" i="25"/>
  <c r="DA172" i="25"/>
  <c r="DA187" i="25"/>
  <c r="DA189" i="25"/>
  <c r="DA190" i="25"/>
  <c r="DA191" i="25"/>
  <c r="DA192" i="25"/>
  <c r="DA173" i="25"/>
  <c r="DA178" i="25"/>
  <c r="DA179" i="25"/>
  <c r="DA196" i="25"/>
  <c r="DA199" i="25"/>
  <c r="DB8" i="25"/>
  <c r="DB9" i="25"/>
  <c r="DB10" i="25"/>
  <c r="DB14" i="25"/>
  <c r="DB16" i="25"/>
  <c r="DB39" i="25"/>
  <c r="DB60" i="25"/>
  <c r="DB94" i="25"/>
  <c r="DB122" i="25"/>
  <c r="DB127" i="25"/>
  <c r="DB128" i="25"/>
  <c r="DB21" i="25"/>
  <c r="DB36" i="25"/>
  <c r="DB56" i="25"/>
  <c r="DB22" i="25"/>
  <c r="DB145" i="25"/>
  <c r="DB11" i="25"/>
  <c r="DB12" i="25"/>
  <c r="DB15" i="25"/>
  <c r="DB20" i="25"/>
  <c r="DB23" i="25"/>
  <c r="DB33" i="25"/>
  <c r="DB35" i="25"/>
  <c r="DB47" i="25"/>
  <c r="DB53" i="25"/>
  <c r="DB58" i="25"/>
  <c r="DB59" i="25"/>
  <c r="DB65" i="25"/>
  <c r="DB91" i="25"/>
  <c r="DB97" i="25"/>
  <c r="DB101" i="25"/>
  <c r="DB106" i="25"/>
  <c r="DB126" i="25"/>
  <c r="DB136" i="25"/>
  <c r="DB160" i="25"/>
  <c r="DB164" i="25"/>
  <c r="DB19" i="25"/>
  <c r="DB51" i="25"/>
  <c r="DB77" i="25"/>
  <c r="DB82" i="25"/>
  <c r="DB83" i="25"/>
  <c r="DB84" i="25"/>
  <c r="DB85" i="25"/>
  <c r="DB86" i="25"/>
  <c r="DB87" i="25"/>
  <c r="DB88" i="25"/>
  <c r="DB28" i="25"/>
  <c r="DB49" i="25"/>
  <c r="DB147" i="25"/>
  <c r="DB68" i="25"/>
  <c r="DB146" i="25"/>
  <c r="DB102" i="25"/>
  <c r="DB103" i="25"/>
  <c r="DB107" i="25"/>
  <c r="DB132" i="25"/>
  <c r="DB34" i="25"/>
  <c r="DB92" i="25"/>
  <c r="DB111" i="25"/>
  <c r="DB144" i="25"/>
  <c r="DB13" i="25"/>
  <c r="DB27" i="25"/>
  <c r="DB37" i="25"/>
  <c r="DB38" i="25"/>
  <c r="DB44" i="25"/>
  <c r="DB46" i="25"/>
  <c r="DB48" i="25"/>
  <c r="DB50" i="25"/>
  <c r="DB62" i="25"/>
  <c r="DB63" i="25"/>
  <c r="DB64" i="25"/>
  <c r="DB67" i="25"/>
  <c r="DB79" i="25"/>
  <c r="DB80" i="25"/>
  <c r="DB93" i="25"/>
  <c r="DB96" i="25"/>
  <c r="DB98" i="25"/>
  <c r="DB113" i="25"/>
  <c r="DB115" i="25"/>
  <c r="DB118" i="25"/>
  <c r="DB134" i="25"/>
  <c r="DB26" i="25"/>
  <c r="DB42" i="25"/>
  <c r="DB45" i="25"/>
  <c r="DB55" i="25"/>
  <c r="DB78" i="25"/>
  <c r="DB81" i="25"/>
  <c r="DB89" i="25"/>
  <c r="DB90" i="25"/>
  <c r="DB105" i="25"/>
  <c r="DB116" i="25"/>
  <c r="DB117" i="25"/>
  <c r="DB120" i="25"/>
  <c r="DB133" i="25"/>
  <c r="DB138" i="25"/>
  <c r="DB142" i="25"/>
  <c r="DB150" i="25"/>
  <c r="DB151" i="25"/>
  <c r="DB130" i="25"/>
  <c r="DB152" i="25"/>
  <c r="DB153" i="25"/>
  <c r="DB66" i="25"/>
  <c r="DB121" i="25"/>
  <c r="DB140" i="25"/>
  <c r="DB141" i="25"/>
  <c r="DB29" i="25"/>
  <c r="DB112" i="25"/>
  <c r="DB131" i="25"/>
  <c r="DB143" i="25"/>
  <c r="DB148" i="25"/>
  <c r="DB149" i="25"/>
  <c r="DB17" i="25"/>
  <c r="DB30" i="25"/>
  <c r="DB31" i="25"/>
  <c r="DB32" i="25"/>
  <c r="DB40" i="25"/>
  <c r="DB69" i="25"/>
  <c r="DB70" i="25"/>
  <c r="DB71" i="25"/>
  <c r="DB72" i="25"/>
  <c r="DB73" i="25"/>
  <c r="DB74" i="25"/>
  <c r="DB110" i="25"/>
  <c r="DB119" i="25"/>
  <c r="DB99" i="25"/>
  <c r="DB124" i="25"/>
  <c r="DB125" i="25"/>
  <c r="DB75" i="25"/>
  <c r="DB129" i="25"/>
  <c r="DB135" i="25"/>
  <c r="DB139" i="25"/>
  <c r="DB154" i="25"/>
  <c r="DB156" i="25"/>
  <c r="DB157" i="25"/>
  <c r="DB161" i="25"/>
  <c r="DB162" i="25"/>
  <c r="DB163" i="25"/>
  <c r="DB195" i="25"/>
  <c r="DB201" i="25"/>
  <c r="DB181" i="25"/>
  <c r="DB166" i="25"/>
  <c r="DB168" i="25"/>
  <c r="DB174" i="25"/>
  <c r="DB175" i="25"/>
  <c r="DB176" i="25"/>
  <c r="DB169" i="25"/>
  <c r="DB180" i="25"/>
  <c r="DB182" i="25"/>
  <c r="DB186" i="25"/>
  <c r="DB188" i="25"/>
  <c r="DB193" i="25"/>
  <c r="DB194" i="25"/>
  <c r="DB197" i="25"/>
  <c r="DB198" i="25"/>
  <c r="DB202" i="25"/>
  <c r="DB167" i="25"/>
  <c r="DB171" i="25"/>
  <c r="DB200" i="25"/>
  <c r="DB183" i="25"/>
  <c r="DB184" i="25"/>
  <c r="DB172" i="25"/>
  <c r="DB187" i="25"/>
  <c r="DB189" i="25"/>
  <c r="DB190" i="25"/>
  <c r="DB191" i="25"/>
  <c r="DB192" i="25"/>
  <c r="DB173" i="25"/>
  <c r="DB178" i="25"/>
  <c r="DB179" i="25"/>
  <c r="DB196" i="25"/>
  <c r="DB199" i="25"/>
  <c r="DD8" i="25"/>
  <c r="DD128" i="25"/>
  <c r="DD67" i="25"/>
  <c r="DG8" i="25"/>
  <c r="DG9" i="25"/>
  <c r="DG10" i="25"/>
  <c r="DG14" i="25"/>
  <c r="DG16" i="25"/>
  <c r="DG39" i="25"/>
  <c r="DG60" i="25"/>
  <c r="DG94" i="25"/>
  <c r="DG122" i="25"/>
  <c r="DG127" i="25"/>
  <c r="DG128" i="25"/>
  <c r="DG21" i="25"/>
  <c r="DG36" i="25"/>
  <c r="DG56" i="25"/>
  <c r="DG22" i="25"/>
  <c r="DG145" i="25"/>
  <c r="DG11" i="25"/>
  <c r="DG12" i="25"/>
  <c r="DG15" i="25"/>
  <c r="DG20" i="25"/>
  <c r="DG23" i="25"/>
  <c r="DG33" i="25"/>
  <c r="DG35" i="25"/>
  <c r="DG47" i="25"/>
  <c r="DG53" i="25"/>
  <c r="DG58" i="25"/>
  <c r="DG59" i="25"/>
  <c r="DG65" i="25"/>
  <c r="DG91" i="25"/>
  <c r="DG97" i="25"/>
  <c r="DG101" i="25"/>
  <c r="DG106" i="25"/>
  <c r="DG126" i="25"/>
  <c r="DG136" i="25"/>
  <c r="DG160" i="25"/>
  <c r="DG164" i="25"/>
  <c r="DG19" i="25"/>
  <c r="DG51" i="25"/>
  <c r="DG77" i="25"/>
  <c r="DG82" i="25"/>
  <c r="DG83" i="25"/>
  <c r="DG84" i="25"/>
  <c r="DG85" i="25"/>
  <c r="DG86" i="25"/>
  <c r="DG87" i="25"/>
  <c r="DG88" i="25"/>
  <c r="DG28" i="25"/>
  <c r="DG49" i="25"/>
  <c r="DG147" i="25"/>
  <c r="DG68" i="25"/>
  <c r="DG146" i="25"/>
  <c r="DG102" i="25"/>
  <c r="DG103" i="25"/>
  <c r="DG107" i="25"/>
  <c r="DG132" i="25"/>
  <c r="DG34" i="25"/>
  <c r="DG92" i="25"/>
  <c r="DG111" i="25"/>
  <c r="DG144" i="25"/>
  <c r="DG13" i="25"/>
  <c r="DG27" i="25"/>
  <c r="DG37" i="25"/>
  <c r="DG38" i="25"/>
  <c r="DG44" i="25"/>
  <c r="DG46" i="25"/>
  <c r="DG48" i="25"/>
  <c r="DG50" i="25"/>
  <c r="DG62" i="25"/>
  <c r="DG63" i="25"/>
  <c r="DG64" i="25"/>
  <c r="DG67" i="25"/>
  <c r="DG79" i="25"/>
  <c r="DG80" i="25"/>
  <c r="DG93" i="25"/>
  <c r="DG96" i="25"/>
  <c r="DG98" i="25"/>
  <c r="DG113" i="25"/>
  <c r="DG115" i="25"/>
  <c r="DG118" i="25"/>
  <c r="DG134" i="25"/>
  <c r="DG26" i="25"/>
  <c r="DG42" i="25"/>
  <c r="DG45" i="25"/>
  <c r="DG55" i="25"/>
  <c r="DG78" i="25"/>
  <c r="DG81" i="25"/>
  <c r="DG89" i="25"/>
  <c r="DG90" i="25"/>
  <c r="DG105" i="25"/>
  <c r="DG116" i="25"/>
  <c r="DG117" i="25"/>
  <c r="DG120" i="25"/>
  <c r="DG133" i="25"/>
  <c r="DG138" i="25"/>
  <c r="DG142" i="25"/>
  <c r="DG150" i="25"/>
  <c r="DG151" i="25"/>
  <c r="DG130" i="25"/>
  <c r="DG152" i="25"/>
  <c r="DG153" i="25"/>
  <c r="DG66" i="25"/>
  <c r="DG121" i="25"/>
  <c r="DG140" i="25"/>
  <c r="DG141" i="25"/>
  <c r="DG29" i="25"/>
  <c r="DG112" i="25"/>
  <c r="DG131" i="25"/>
  <c r="DG143" i="25"/>
  <c r="DG148" i="25"/>
  <c r="DG149" i="25"/>
  <c r="DG17" i="25"/>
  <c r="DG30" i="25"/>
  <c r="DG31" i="25"/>
  <c r="DG32" i="25"/>
  <c r="DG40" i="25"/>
  <c r="DG69" i="25"/>
  <c r="DG70" i="25"/>
  <c r="DG71" i="25"/>
  <c r="DG72" i="25"/>
  <c r="DG73" i="25"/>
  <c r="DG74" i="25"/>
  <c r="DG110" i="25"/>
  <c r="DG119" i="25"/>
  <c r="DG99" i="25"/>
  <c r="DG124" i="25"/>
  <c r="DG125" i="25"/>
  <c r="DG75" i="25"/>
  <c r="DG129" i="25"/>
  <c r="DG135" i="25"/>
  <c r="ED135" i="25" s="1"/>
  <c r="DG139" i="25"/>
  <c r="DG154" i="25"/>
  <c r="DG156" i="25"/>
  <c r="DG157" i="25"/>
  <c r="DG161" i="25"/>
  <c r="DG162" i="25"/>
  <c r="DG163" i="25"/>
  <c r="DG195" i="25"/>
  <c r="DG201" i="25"/>
  <c r="DG181" i="25"/>
  <c r="DG166" i="25"/>
  <c r="DG168" i="25"/>
  <c r="DG174" i="25"/>
  <c r="DG175" i="25"/>
  <c r="DG176" i="25"/>
  <c r="DG169" i="25"/>
  <c r="DG180" i="25"/>
  <c r="DG182" i="25"/>
  <c r="DG186" i="25"/>
  <c r="DG188" i="25"/>
  <c r="DG193" i="25"/>
  <c r="DG194" i="25"/>
  <c r="DG197" i="25"/>
  <c r="DG198" i="25"/>
  <c r="DG202" i="25"/>
  <c r="DG167" i="25"/>
  <c r="DG171" i="25"/>
  <c r="DG200" i="25"/>
  <c r="DG183" i="25"/>
  <c r="DG184" i="25"/>
  <c r="DG172" i="25"/>
  <c r="DG187" i="25"/>
  <c r="DG189" i="25"/>
  <c r="DG190" i="25"/>
  <c r="DG191" i="25"/>
  <c r="DG192" i="25"/>
  <c r="DG173" i="25"/>
  <c r="DG178" i="25"/>
  <c r="DG179" i="25"/>
  <c r="DG196" i="25"/>
  <c r="DG199" i="25"/>
  <c r="DK9" i="25"/>
  <c r="DK10" i="25"/>
  <c r="DK14" i="25"/>
  <c r="DK16" i="25"/>
  <c r="DK39" i="25"/>
  <c r="DK60" i="25"/>
  <c r="DK94" i="25"/>
  <c r="DK122" i="25"/>
  <c r="DK127" i="25"/>
  <c r="DK21" i="25"/>
  <c r="DK36" i="25"/>
  <c r="DK56" i="25"/>
  <c r="DK22" i="25"/>
  <c r="DK145" i="25"/>
  <c r="DK11" i="25"/>
  <c r="DK12" i="25"/>
  <c r="DK15" i="25"/>
  <c r="DK20" i="25"/>
  <c r="DK23" i="25"/>
  <c r="DK33" i="25"/>
  <c r="DK35" i="25"/>
  <c r="DK47" i="25"/>
  <c r="DK53" i="25"/>
  <c r="DK58" i="25"/>
  <c r="DK59" i="25"/>
  <c r="DK65" i="25"/>
  <c r="DK91" i="25"/>
  <c r="DK97" i="25"/>
  <c r="DK101" i="25"/>
  <c r="DK106" i="25"/>
  <c r="DK126" i="25"/>
  <c r="DK136" i="25"/>
  <c r="DK160" i="25"/>
  <c r="DK164" i="25"/>
  <c r="DK19" i="25"/>
  <c r="DK51" i="25"/>
  <c r="DK77" i="25"/>
  <c r="DK82" i="25"/>
  <c r="DK83" i="25"/>
  <c r="DK84" i="25"/>
  <c r="DK85" i="25"/>
  <c r="DK86" i="25"/>
  <c r="DK87" i="25"/>
  <c r="DK88" i="25"/>
  <c r="DK28" i="25"/>
  <c r="DK49" i="25"/>
  <c r="DK147" i="25"/>
  <c r="DK68" i="25"/>
  <c r="DK146" i="25"/>
  <c r="DK102" i="25"/>
  <c r="DK103" i="25"/>
  <c r="DK107" i="25"/>
  <c r="DK132" i="25"/>
  <c r="DK34" i="25"/>
  <c r="DK92" i="25"/>
  <c r="DK111" i="25"/>
  <c r="DK144" i="25"/>
  <c r="DK13" i="25"/>
  <c r="DK27" i="25"/>
  <c r="DK37" i="25"/>
  <c r="DK38" i="25"/>
  <c r="DK44" i="25"/>
  <c r="DK46" i="25"/>
  <c r="DK48" i="25"/>
  <c r="DK50" i="25"/>
  <c r="DK62" i="25"/>
  <c r="DK63" i="25"/>
  <c r="DK64" i="25"/>
  <c r="DK79" i="25"/>
  <c r="DK80" i="25"/>
  <c r="DK93" i="25"/>
  <c r="DK96" i="25"/>
  <c r="DK98" i="25"/>
  <c r="DK113" i="25"/>
  <c r="DK115" i="25"/>
  <c r="DK118" i="25"/>
  <c r="DK134" i="25"/>
  <c r="DK26" i="25"/>
  <c r="DK42" i="25"/>
  <c r="DK45" i="25"/>
  <c r="DK55" i="25"/>
  <c r="DK78" i="25"/>
  <c r="DK81" i="25"/>
  <c r="DK89" i="25"/>
  <c r="DK90" i="25"/>
  <c r="DK105" i="25"/>
  <c r="DK116" i="25"/>
  <c r="DK117" i="25"/>
  <c r="DK120" i="25"/>
  <c r="DK133" i="25"/>
  <c r="DK138" i="25"/>
  <c r="DK142" i="25"/>
  <c r="DK150" i="25"/>
  <c r="DK151" i="25"/>
  <c r="DK130" i="25"/>
  <c r="DK152" i="25"/>
  <c r="DK153" i="25"/>
  <c r="DK66" i="25"/>
  <c r="DK121" i="25"/>
  <c r="DK140" i="25"/>
  <c r="DK141" i="25"/>
  <c r="DK29" i="25"/>
  <c r="DK112" i="25"/>
  <c r="DK131" i="25"/>
  <c r="DK143" i="25"/>
  <c r="DK148" i="25"/>
  <c r="DK149" i="25"/>
  <c r="DK17" i="25"/>
  <c r="DK30" i="25"/>
  <c r="DK31" i="25"/>
  <c r="DK32" i="25"/>
  <c r="DK40" i="25"/>
  <c r="DK69" i="25"/>
  <c r="DK70" i="25"/>
  <c r="DK71" i="25"/>
  <c r="DK72" i="25"/>
  <c r="DK73" i="25"/>
  <c r="DK74" i="25"/>
  <c r="DK110" i="25"/>
  <c r="DK119" i="25"/>
  <c r="DK99" i="25"/>
  <c r="DK124" i="25"/>
  <c r="DK125" i="25"/>
  <c r="DK75" i="25"/>
  <c r="DK129" i="25"/>
  <c r="DK135" i="25"/>
  <c r="DK139" i="25"/>
  <c r="DK154" i="25"/>
  <c r="DK156" i="25"/>
  <c r="DK157" i="25"/>
  <c r="DK161" i="25"/>
  <c r="DK162" i="25"/>
  <c r="DK163" i="25"/>
  <c r="DK195" i="25"/>
  <c r="DK201" i="25"/>
  <c r="DK181" i="25"/>
  <c r="DK166" i="25"/>
  <c r="DK168" i="25"/>
  <c r="DK174" i="25"/>
  <c r="DK175" i="25"/>
  <c r="DK176" i="25"/>
  <c r="DK169" i="25"/>
  <c r="DK180" i="25"/>
  <c r="DK182" i="25"/>
  <c r="DK186" i="25"/>
  <c r="DK188" i="25"/>
  <c r="DK193" i="25"/>
  <c r="DK194" i="25"/>
  <c r="DK197" i="25"/>
  <c r="DK198" i="25"/>
  <c r="DK202" i="25"/>
  <c r="DK167" i="25"/>
  <c r="DK171" i="25"/>
  <c r="DK200" i="25"/>
  <c r="DK183" i="25"/>
  <c r="DK184" i="25"/>
  <c r="DK172" i="25"/>
  <c r="DK187" i="25"/>
  <c r="DK189" i="25"/>
  <c r="DK190" i="25"/>
  <c r="DK191" i="25"/>
  <c r="DK192" i="25"/>
  <c r="DK173" i="25"/>
  <c r="DK178" i="25"/>
  <c r="DK179" i="25"/>
  <c r="DK196" i="25"/>
  <c r="DK199" i="25"/>
  <c r="DL8" i="25"/>
  <c r="DL9" i="25"/>
  <c r="DS9" i="25" s="1"/>
  <c r="DL10" i="25"/>
  <c r="DS10" i="25" s="1"/>
  <c r="DL14" i="25"/>
  <c r="DS14" i="25" s="1"/>
  <c r="DL16" i="25"/>
  <c r="DS16" i="25" s="1"/>
  <c r="DL39" i="25"/>
  <c r="DS39" i="25" s="1"/>
  <c r="DL60" i="25"/>
  <c r="DS60" i="25" s="1"/>
  <c r="DL94" i="25"/>
  <c r="DS94" i="25" s="1"/>
  <c r="DL122" i="25"/>
  <c r="DS122" i="25" s="1"/>
  <c r="DL127" i="25"/>
  <c r="DS127" i="25" s="1"/>
  <c r="DL128" i="25"/>
  <c r="DL21" i="25"/>
  <c r="DS21" i="25" s="1"/>
  <c r="DL36" i="25"/>
  <c r="DS36" i="25" s="1"/>
  <c r="DL56" i="25"/>
  <c r="DS56" i="25" s="1"/>
  <c r="DL22" i="25"/>
  <c r="DS22" i="25" s="1"/>
  <c r="DL145" i="25"/>
  <c r="DS145" i="25" s="1"/>
  <c r="DL11" i="25"/>
  <c r="DS11" i="25" s="1"/>
  <c r="DL12" i="25"/>
  <c r="DS12" i="25" s="1"/>
  <c r="DL15" i="25"/>
  <c r="DS15" i="25" s="1"/>
  <c r="DL20" i="25"/>
  <c r="DS20" i="25" s="1"/>
  <c r="DL23" i="25"/>
  <c r="DS23" i="25" s="1"/>
  <c r="DL33" i="25"/>
  <c r="DS33" i="25" s="1"/>
  <c r="DL35" i="25"/>
  <c r="DS35" i="25" s="1"/>
  <c r="DL47" i="25"/>
  <c r="DS47" i="25" s="1"/>
  <c r="DL53" i="25"/>
  <c r="DS53" i="25" s="1"/>
  <c r="DL58" i="25"/>
  <c r="DS58" i="25" s="1"/>
  <c r="DL59" i="25"/>
  <c r="DS59" i="25" s="1"/>
  <c r="DL65" i="25"/>
  <c r="DS65" i="25" s="1"/>
  <c r="DL91" i="25"/>
  <c r="DS91" i="25" s="1"/>
  <c r="DL97" i="25"/>
  <c r="DS97" i="25" s="1"/>
  <c r="DL101" i="25"/>
  <c r="DS101" i="25" s="1"/>
  <c r="DL106" i="25"/>
  <c r="DS106" i="25" s="1"/>
  <c r="DL126" i="25"/>
  <c r="DS126" i="25" s="1"/>
  <c r="DL136" i="25"/>
  <c r="DS136" i="25" s="1"/>
  <c r="DL160" i="25"/>
  <c r="DS160" i="25" s="1"/>
  <c r="DL164" i="25"/>
  <c r="DS164" i="25" s="1"/>
  <c r="DL19" i="25"/>
  <c r="DS19" i="25" s="1"/>
  <c r="DL51" i="25"/>
  <c r="DS51" i="25" s="1"/>
  <c r="DL77" i="25"/>
  <c r="DS77" i="25" s="1"/>
  <c r="DL82" i="25"/>
  <c r="DS82" i="25" s="1"/>
  <c r="DL83" i="25"/>
  <c r="DS83" i="25" s="1"/>
  <c r="DL84" i="25"/>
  <c r="DS84" i="25" s="1"/>
  <c r="DL85" i="25"/>
  <c r="DL86" i="25"/>
  <c r="DS86" i="25" s="1"/>
  <c r="DL87" i="25"/>
  <c r="DS87" i="25" s="1"/>
  <c r="DL88" i="25"/>
  <c r="DS88" i="25" s="1"/>
  <c r="DL28" i="25"/>
  <c r="DS28" i="25" s="1"/>
  <c r="DL49" i="25"/>
  <c r="DS49" i="25" s="1"/>
  <c r="DL147" i="25"/>
  <c r="DS147" i="25" s="1"/>
  <c r="DL68" i="25"/>
  <c r="DS68" i="25" s="1"/>
  <c r="DL146" i="25"/>
  <c r="DS146" i="25" s="1"/>
  <c r="DL102" i="25"/>
  <c r="DS102" i="25" s="1"/>
  <c r="DL103" i="25"/>
  <c r="DS103" i="25" s="1"/>
  <c r="DL107" i="25"/>
  <c r="DS107" i="25" s="1"/>
  <c r="DL132" i="25"/>
  <c r="DS132" i="25" s="1"/>
  <c r="DL34" i="25"/>
  <c r="DS34" i="25" s="1"/>
  <c r="DL92" i="25"/>
  <c r="DS92" i="25" s="1"/>
  <c r="DL111" i="25"/>
  <c r="DS111" i="25" s="1"/>
  <c r="DL144" i="25"/>
  <c r="DS144" i="25" s="1"/>
  <c r="DL13" i="25"/>
  <c r="DS13" i="25" s="1"/>
  <c r="DL27" i="25"/>
  <c r="DS27" i="25" s="1"/>
  <c r="DL37" i="25"/>
  <c r="DS37" i="25" s="1"/>
  <c r="DL38" i="25"/>
  <c r="DS38" i="25" s="1"/>
  <c r="DL44" i="25"/>
  <c r="DS44" i="25" s="1"/>
  <c r="DL46" i="25"/>
  <c r="DS46" i="25" s="1"/>
  <c r="DL48" i="25"/>
  <c r="DS48" i="25" s="1"/>
  <c r="DL50" i="25"/>
  <c r="DS50" i="25" s="1"/>
  <c r="DL62" i="25"/>
  <c r="DS62" i="25" s="1"/>
  <c r="DL63" i="25"/>
  <c r="DS63" i="25" s="1"/>
  <c r="DL64" i="25"/>
  <c r="DL67" i="25"/>
  <c r="DL79" i="25"/>
  <c r="DS79" i="25" s="1"/>
  <c r="DL80" i="25"/>
  <c r="DS80" i="25" s="1"/>
  <c r="DL93" i="25"/>
  <c r="DS93" i="25" s="1"/>
  <c r="DL96" i="25"/>
  <c r="DS96" i="25" s="1"/>
  <c r="DL98" i="25"/>
  <c r="DS98" i="25" s="1"/>
  <c r="DL113" i="25"/>
  <c r="DS113" i="25" s="1"/>
  <c r="DL115" i="25"/>
  <c r="DS115" i="25" s="1"/>
  <c r="DL118" i="25"/>
  <c r="DS118" i="25" s="1"/>
  <c r="DL134" i="25"/>
  <c r="DS134" i="25" s="1"/>
  <c r="DL26" i="25"/>
  <c r="DS26" i="25" s="1"/>
  <c r="DL42" i="25"/>
  <c r="DS42" i="25" s="1"/>
  <c r="DL45" i="25"/>
  <c r="DS45" i="25" s="1"/>
  <c r="DL55" i="25"/>
  <c r="DS55" i="25" s="1"/>
  <c r="DL78" i="25"/>
  <c r="DS78" i="25" s="1"/>
  <c r="DL81" i="25"/>
  <c r="DS81" i="25" s="1"/>
  <c r="DL89" i="25"/>
  <c r="DS89" i="25" s="1"/>
  <c r="DL90" i="25"/>
  <c r="DS90" i="25" s="1"/>
  <c r="DL105" i="25"/>
  <c r="DS105" i="25" s="1"/>
  <c r="DL116" i="25"/>
  <c r="DS116" i="25" s="1"/>
  <c r="DL117" i="25"/>
  <c r="DS117" i="25" s="1"/>
  <c r="DL120" i="25"/>
  <c r="DS120" i="25" s="1"/>
  <c r="DL133" i="25"/>
  <c r="DS133" i="25" s="1"/>
  <c r="DL138" i="25"/>
  <c r="DS138" i="25" s="1"/>
  <c r="DL142" i="25"/>
  <c r="DS142" i="25" s="1"/>
  <c r="DL150" i="25"/>
  <c r="DS150" i="25" s="1"/>
  <c r="DL151" i="25"/>
  <c r="DS151" i="25" s="1"/>
  <c r="DL130" i="25"/>
  <c r="DS130" i="25" s="1"/>
  <c r="DL152" i="25"/>
  <c r="DS152" i="25" s="1"/>
  <c r="DL153" i="25"/>
  <c r="DS153" i="25" s="1"/>
  <c r="DL66" i="25"/>
  <c r="DS66" i="25" s="1"/>
  <c r="DL121" i="25"/>
  <c r="DS121" i="25" s="1"/>
  <c r="DL140" i="25"/>
  <c r="DS140" i="25" s="1"/>
  <c r="DL141" i="25"/>
  <c r="DS141" i="25" s="1"/>
  <c r="DL29" i="25"/>
  <c r="DS29" i="25" s="1"/>
  <c r="DL112" i="25"/>
  <c r="DS112" i="25" s="1"/>
  <c r="DL131" i="25"/>
  <c r="DS131" i="25" s="1"/>
  <c r="DL143" i="25"/>
  <c r="DS143" i="25" s="1"/>
  <c r="DL148" i="25"/>
  <c r="DS148" i="25" s="1"/>
  <c r="DL149" i="25"/>
  <c r="DS149" i="25" s="1"/>
  <c r="DL17" i="25"/>
  <c r="DS17" i="25" s="1"/>
  <c r="DL30" i="25"/>
  <c r="DS30" i="25" s="1"/>
  <c r="DL31" i="25"/>
  <c r="DS31" i="25" s="1"/>
  <c r="DL32" i="25"/>
  <c r="DS32" i="25" s="1"/>
  <c r="DL40" i="25"/>
  <c r="DS40" i="25" s="1"/>
  <c r="DL69" i="25"/>
  <c r="DS69" i="25" s="1"/>
  <c r="DL70" i="25"/>
  <c r="DS70" i="25" s="1"/>
  <c r="DL71" i="25"/>
  <c r="DS71" i="25" s="1"/>
  <c r="DL72" i="25"/>
  <c r="DS72" i="25" s="1"/>
  <c r="DL73" i="25"/>
  <c r="DS73" i="25" s="1"/>
  <c r="DL74" i="25"/>
  <c r="DS74" i="25" s="1"/>
  <c r="DL110" i="25"/>
  <c r="DS110" i="25" s="1"/>
  <c r="DL119" i="25"/>
  <c r="DS119" i="25" s="1"/>
  <c r="DL99" i="25"/>
  <c r="DS99" i="25" s="1"/>
  <c r="DL124" i="25"/>
  <c r="DS124" i="25" s="1"/>
  <c r="DL125" i="25"/>
  <c r="DS125" i="25" s="1"/>
  <c r="DL75" i="25"/>
  <c r="DS75" i="25" s="1"/>
  <c r="DL129" i="25"/>
  <c r="DS129" i="25" s="1"/>
  <c r="DL135" i="25"/>
  <c r="DS135" i="25" s="1"/>
  <c r="DL139" i="25"/>
  <c r="DS139" i="25" s="1"/>
  <c r="DL154" i="25"/>
  <c r="DS154" i="25" s="1"/>
  <c r="DL156" i="25"/>
  <c r="DS156" i="25" s="1"/>
  <c r="DL157" i="25"/>
  <c r="DS157" i="25" s="1"/>
  <c r="DL161" i="25"/>
  <c r="DS161" i="25" s="1"/>
  <c r="DL162" i="25"/>
  <c r="DS162" i="25" s="1"/>
  <c r="DL163" i="25"/>
  <c r="DS163" i="25" s="1"/>
  <c r="DL195" i="25"/>
  <c r="DS195" i="25" s="1"/>
  <c r="DL201" i="25"/>
  <c r="DS201" i="25" s="1"/>
  <c r="DL181" i="25"/>
  <c r="DS181" i="25" s="1"/>
  <c r="DL166" i="25"/>
  <c r="DS166" i="25" s="1"/>
  <c r="DL168" i="25"/>
  <c r="DL174" i="25"/>
  <c r="DS174" i="25" s="1"/>
  <c r="DL175" i="25"/>
  <c r="DS175" i="25" s="1"/>
  <c r="DL176" i="25"/>
  <c r="DS176" i="25" s="1"/>
  <c r="DL169" i="25"/>
  <c r="DS169" i="25" s="1"/>
  <c r="DL180" i="25"/>
  <c r="DS180" i="25" s="1"/>
  <c r="DL182" i="25"/>
  <c r="DS182" i="25" s="1"/>
  <c r="DL186" i="25"/>
  <c r="DS186" i="25" s="1"/>
  <c r="DL188" i="25"/>
  <c r="DS188" i="25" s="1"/>
  <c r="DL193" i="25"/>
  <c r="DS193" i="25" s="1"/>
  <c r="DL194" i="25"/>
  <c r="DS194" i="25" s="1"/>
  <c r="DL197" i="25"/>
  <c r="DS197" i="25" s="1"/>
  <c r="DL198" i="25"/>
  <c r="DS198" i="25" s="1"/>
  <c r="DL202" i="25"/>
  <c r="DS202" i="25" s="1"/>
  <c r="DL167" i="25"/>
  <c r="DS167" i="25" s="1"/>
  <c r="DL171" i="25"/>
  <c r="DS171" i="25" s="1"/>
  <c r="DL200" i="25"/>
  <c r="DS200" i="25" s="1"/>
  <c r="DL183" i="25"/>
  <c r="DS183" i="25" s="1"/>
  <c r="DL184" i="25"/>
  <c r="DS184" i="25" s="1"/>
  <c r="DL172" i="25"/>
  <c r="DS172" i="25" s="1"/>
  <c r="DL187" i="25"/>
  <c r="DS187" i="25" s="1"/>
  <c r="DL189" i="25"/>
  <c r="DS189" i="25" s="1"/>
  <c r="DL190" i="25"/>
  <c r="DS190" i="25" s="1"/>
  <c r="DL191" i="25"/>
  <c r="DS191" i="25" s="1"/>
  <c r="DL192" i="25"/>
  <c r="DS192" i="25" s="1"/>
  <c r="DL173" i="25"/>
  <c r="DS173" i="25" s="1"/>
  <c r="DL178" i="25"/>
  <c r="DS178" i="25" s="1"/>
  <c r="DL179" i="25"/>
  <c r="DS179" i="25" s="1"/>
  <c r="DL196" i="25"/>
  <c r="DS196" i="25" s="1"/>
  <c r="DL199" i="25"/>
  <c r="DS199" i="25" s="1"/>
  <c r="DU9" i="25"/>
  <c r="DU10" i="25"/>
  <c r="DU14" i="25"/>
  <c r="DU16" i="25"/>
  <c r="DU39" i="25"/>
  <c r="DU60" i="25"/>
  <c r="DU94" i="25"/>
  <c r="DU122" i="25"/>
  <c r="DU127" i="25"/>
  <c r="DU21" i="25"/>
  <c r="DU36" i="25"/>
  <c r="DU56" i="25"/>
  <c r="DU22" i="25"/>
  <c r="DU145" i="25"/>
  <c r="DU11" i="25"/>
  <c r="DU12" i="25"/>
  <c r="DU15" i="25"/>
  <c r="DU20" i="25"/>
  <c r="DU23" i="25"/>
  <c r="DU33" i="25"/>
  <c r="DU35" i="25"/>
  <c r="DU47" i="25"/>
  <c r="DU53" i="25"/>
  <c r="DU58" i="25"/>
  <c r="DU59" i="25"/>
  <c r="DU65" i="25"/>
  <c r="DU91" i="25"/>
  <c r="DU97" i="25"/>
  <c r="DU101" i="25"/>
  <c r="DU106" i="25"/>
  <c r="DU126" i="25"/>
  <c r="DU136" i="25"/>
  <c r="DU160" i="25"/>
  <c r="DU164" i="25"/>
  <c r="DU19" i="25"/>
  <c r="DU51" i="25"/>
  <c r="DU77" i="25"/>
  <c r="DU82" i="25"/>
  <c r="DU83" i="25"/>
  <c r="DU84" i="25"/>
  <c r="DU85" i="25"/>
  <c r="DU86" i="25"/>
  <c r="DU87" i="25"/>
  <c r="DU88" i="25"/>
  <c r="DU28" i="25"/>
  <c r="DU49" i="25"/>
  <c r="DU147" i="25"/>
  <c r="DU68" i="25"/>
  <c r="DU146" i="25"/>
  <c r="DU102" i="25"/>
  <c r="DU103" i="25"/>
  <c r="DU107" i="25"/>
  <c r="DU132" i="25"/>
  <c r="DU34" i="25"/>
  <c r="DU92" i="25"/>
  <c r="DU111" i="25"/>
  <c r="DU144" i="25"/>
  <c r="DU13" i="25"/>
  <c r="DU27" i="25"/>
  <c r="DU37" i="25"/>
  <c r="DU38" i="25"/>
  <c r="DU44" i="25"/>
  <c r="DU46" i="25"/>
  <c r="DU48" i="25"/>
  <c r="DU50" i="25"/>
  <c r="DU62" i="25"/>
  <c r="DU63" i="25"/>
  <c r="DU64" i="25"/>
  <c r="DU79" i="25"/>
  <c r="DU80" i="25"/>
  <c r="DU93" i="25"/>
  <c r="DU96" i="25"/>
  <c r="DU98" i="25"/>
  <c r="DU113" i="25"/>
  <c r="DU115" i="25"/>
  <c r="DU118" i="25"/>
  <c r="DU134" i="25"/>
  <c r="DU26" i="25"/>
  <c r="DU42" i="25"/>
  <c r="DU45" i="25"/>
  <c r="DU55" i="25"/>
  <c r="DU78" i="25"/>
  <c r="DU81" i="25"/>
  <c r="DU89" i="25"/>
  <c r="DU90" i="25"/>
  <c r="DU105" i="25"/>
  <c r="DU116" i="25"/>
  <c r="DU117" i="25"/>
  <c r="DU120" i="25"/>
  <c r="DU133" i="25"/>
  <c r="DU138" i="25"/>
  <c r="DU142" i="25"/>
  <c r="DU150" i="25"/>
  <c r="DU151" i="25"/>
  <c r="DU130" i="25"/>
  <c r="DU152" i="25"/>
  <c r="DU153" i="25"/>
  <c r="DU66" i="25"/>
  <c r="DU121" i="25"/>
  <c r="DU140" i="25"/>
  <c r="DU141" i="25"/>
  <c r="DU29" i="25"/>
  <c r="DU112" i="25"/>
  <c r="DU131" i="25"/>
  <c r="DU143" i="25"/>
  <c r="DU148" i="25"/>
  <c r="DU149" i="25"/>
  <c r="DU17" i="25"/>
  <c r="DU30" i="25"/>
  <c r="DU31" i="25"/>
  <c r="DU32" i="25"/>
  <c r="DU40" i="25"/>
  <c r="DU69" i="25"/>
  <c r="DU70" i="25"/>
  <c r="DU71" i="25"/>
  <c r="DU72" i="25"/>
  <c r="DU73" i="25"/>
  <c r="DU74" i="25"/>
  <c r="DU110" i="25"/>
  <c r="DU119" i="25"/>
  <c r="DU99" i="25"/>
  <c r="DU124" i="25"/>
  <c r="DU125" i="25"/>
  <c r="DU75" i="25"/>
  <c r="DU129" i="25"/>
  <c r="DU135" i="25"/>
  <c r="DU139" i="25"/>
  <c r="DU154" i="25"/>
  <c r="DU156" i="25"/>
  <c r="DU157" i="25"/>
  <c r="DU161" i="25"/>
  <c r="DU162" i="25"/>
  <c r="DU163" i="25"/>
  <c r="DU195" i="25"/>
  <c r="DU201" i="25"/>
  <c r="DU181" i="25"/>
  <c r="DU166" i="25"/>
  <c r="DU168" i="25"/>
  <c r="DU174" i="25"/>
  <c r="DU175" i="25"/>
  <c r="DU176" i="25"/>
  <c r="DU169" i="25"/>
  <c r="DU180" i="25"/>
  <c r="DU182" i="25"/>
  <c r="DU186" i="25"/>
  <c r="DU188" i="25"/>
  <c r="DU193" i="25"/>
  <c r="DU194" i="25"/>
  <c r="DU197" i="25"/>
  <c r="DU198" i="25"/>
  <c r="DU202" i="25"/>
  <c r="DU167" i="25"/>
  <c r="DU171" i="25"/>
  <c r="DU200" i="25"/>
  <c r="DU183" i="25"/>
  <c r="DU184" i="25"/>
  <c r="DU172" i="25"/>
  <c r="DU187" i="25"/>
  <c r="DU189" i="25"/>
  <c r="DU190" i="25"/>
  <c r="DU191" i="25"/>
  <c r="DU192" i="25"/>
  <c r="DU173" i="25"/>
  <c r="DU178" i="25"/>
  <c r="DU179" i="25"/>
  <c r="DU196" i="25"/>
  <c r="DU199" i="25"/>
  <c r="DV8" i="25"/>
  <c r="DW8" i="25" s="1"/>
  <c r="DV9" i="25"/>
  <c r="DY9" i="25" s="1"/>
  <c r="DV10" i="25"/>
  <c r="DW10" i="25" s="1"/>
  <c r="DV14" i="25"/>
  <c r="DW14" i="25" s="1"/>
  <c r="DV16" i="25"/>
  <c r="DY16" i="25" s="1"/>
  <c r="DV39" i="25"/>
  <c r="DY39" i="25" s="1"/>
  <c r="DV60" i="25"/>
  <c r="DY60" i="25" s="1"/>
  <c r="DV94" i="25"/>
  <c r="DY94" i="25" s="1"/>
  <c r="DV122" i="25"/>
  <c r="DY122" i="25" s="1"/>
  <c r="DV127" i="25"/>
  <c r="DY127" i="25" s="1"/>
  <c r="DV128" i="25"/>
  <c r="DW128" i="25" s="1"/>
  <c r="DV21" i="25"/>
  <c r="DV36" i="25"/>
  <c r="DY36" i="25" s="1"/>
  <c r="DV56" i="25"/>
  <c r="DW56" i="25" s="1"/>
  <c r="DV22" i="25"/>
  <c r="DY22" i="25" s="1"/>
  <c r="DV145" i="25"/>
  <c r="DY145" i="25" s="1"/>
  <c r="DV11" i="25"/>
  <c r="DY11" i="25" s="1"/>
  <c r="DV12" i="25"/>
  <c r="DY12" i="25" s="1"/>
  <c r="DV15" i="25"/>
  <c r="DV20" i="25"/>
  <c r="DW20" i="25" s="1"/>
  <c r="DV23" i="25"/>
  <c r="DY23" i="25" s="1"/>
  <c r="DV33" i="25"/>
  <c r="DW33" i="25" s="1"/>
  <c r="DV35" i="25"/>
  <c r="DY35" i="25" s="1"/>
  <c r="DV47" i="25"/>
  <c r="DY47" i="25" s="1"/>
  <c r="DV53" i="25"/>
  <c r="DV58" i="25"/>
  <c r="DW58" i="25" s="1"/>
  <c r="DV59" i="25"/>
  <c r="DW59" i="25" s="1"/>
  <c r="DV65" i="25"/>
  <c r="DY65" i="25" s="1"/>
  <c r="DV91" i="25"/>
  <c r="DW91" i="25" s="1"/>
  <c r="DV97" i="25"/>
  <c r="DW97" i="25" s="1"/>
  <c r="DV101" i="25"/>
  <c r="DY101" i="25" s="1"/>
  <c r="DV106" i="25"/>
  <c r="DV126" i="25"/>
  <c r="DY126" i="25" s="1"/>
  <c r="DV136" i="25"/>
  <c r="DW136" i="25" s="1"/>
  <c r="DV160" i="25"/>
  <c r="DW160" i="25" s="1"/>
  <c r="DV164" i="25"/>
  <c r="DY164" i="25" s="1"/>
  <c r="DV19" i="25"/>
  <c r="DY19" i="25" s="1"/>
  <c r="DV51" i="25"/>
  <c r="DW51" i="25" s="1"/>
  <c r="DV77" i="25"/>
  <c r="DY77" i="25" s="1"/>
  <c r="DV82" i="25"/>
  <c r="DW82" i="25" s="1"/>
  <c r="DV83" i="25"/>
  <c r="DV84" i="25"/>
  <c r="DW84" i="25" s="1"/>
  <c r="DV85" i="25"/>
  <c r="DW85" i="25" s="1"/>
  <c r="DV86" i="25"/>
  <c r="DY86" i="25" s="1"/>
  <c r="DV87" i="25"/>
  <c r="DW87" i="25" s="1"/>
  <c r="DV88" i="25"/>
  <c r="DY88" i="25" s="1"/>
  <c r="DV28" i="25"/>
  <c r="DY28" i="25" s="1"/>
  <c r="DV49" i="25"/>
  <c r="DY49" i="25" s="1"/>
  <c r="DV147" i="25"/>
  <c r="DW147" i="25" s="1"/>
  <c r="DV68" i="25"/>
  <c r="DW68" i="25" s="1"/>
  <c r="DV146" i="25"/>
  <c r="DW146" i="25" s="1"/>
  <c r="DV102" i="25"/>
  <c r="DW102" i="25" s="1"/>
  <c r="DV103" i="25"/>
  <c r="DW103" i="25" s="1"/>
  <c r="DV107" i="25"/>
  <c r="DY107" i="25" s="1"/>
  <c r="DV132" i="25"/>
  <c r="DW132" i="25" s="1"/>
  <c r="DV34" i="25"/>
  <c r="DY34" i="25" s="1"/>
  <c r="DV92" i="25"/>
  <c r="DW92" i="25" s="1"/>
  <c r="DV111" i="25"/>
  <c r="DW111" i="25" s="1"/>
  <c r="DV144" i="25"/>
  <c r="DY144" i="25" s="1"/>
  <c r="DV13" i="25"/>
  <c r="DW13" i="25" s="1"/>
  <c r="DV27" i="25"/>
  <c r="DY27" i="25" s="1"/>
  <c r="DV37" i="25"/>
  <c r="DW37" i="25" s="1"/>
  <c r="DV38" i="25"/>
  <c r="DY38" i="25" s="1"/>
  <c r="DV44" i="25"/>
  <c r="DW44" i="25" s="1"/>
  <c r="DV46" i="25"/>
  <c r="DV48" i="25"/>
  <c r="DY48" i="25" s="1"/>
  <c r="DV50" i="25"/>
  <c r="DW50" i="25" s="1"/>
  <c r="DV62" i="25"/>
  <c r="DY62" i="25" s="1"/>
  <c r="DV63" i="25"/>
  <c r="DY63" i="25" s="1"/>
  <c r="DV64" i="25"/>
  <c r="DY64" i="25" s="1"/>
  <c r="DV67" i="25"/>
  <c r="DW67" i="25" s="1"/>
  <c r="DV79" i="25"/>
  <c r="DW79" i="25" s="1"/>
  <c r="DV80" i="25"/>
  <c r="DY80" i="25" s="1"/>
  <c r="DV93" i="25"/>
  <c r="DW93" i="25" s="1"/>
  <c r="DV96" i="25"/>
  <c r="DY96" i="25" s="1"/>
  <c r="DV98" i="25"/>
  <c r="DV113" i="25"/>
  <c r="DY113" i="25" s="1"/>
  <c r="DV115" i="25"/>
  <c r="DY115" i="25" s="1"/>
  <c r="DV118" i="25"/>
  <c r="DW118" i="25" s="1"/>
  <c r="DV134" i="25"/>
  <c r="DW134" i="25" s="1"/>
  <c r="DV26" i="25"/>
  <c r="DY26" i="25" s="1"/>
  <c r="DV42" i="25"/>
  <c r="DW42" i="25" s="1"/>
  <c r="DV45" i="25"/>
  <c r="DW45" i="25" s="1"/>
  <c r="DV55" i="25"/>
  <c r="DW55" i="25" s="1"/>
  <c r="DV78" i="25"/>
  <c r="DW78" i="25" s="1"/>
  <c r="DV81" i="25"/>
  <c r="DY81" i="25" s="1"/>
  <c r="DV89" i="25"/>
  <c r="DW89" i="25" s="1"/>
  <c r="DV90" i="25"/>
  <c r="DW90" i="25" s="1"/>
  <c r="DV105" i="25"/>
  <c r="DV116" i="25"/>
  <c r="DY116" i="25" s="1"/>
  <c r="DV117" i="25"/>
  <c r="DW117" i="25" s="1"/>
  <c r="DV120" i="25"/>
  <c r="DW120" i="25" s="1"/>
  <c r="DV133" i="25"/>
  <c r="DY133" i="25" s="1"/>
  <c r="DV138" i="25"/>
  <c r="DW138" i="25" s="1"/>
  <c r="DV142" i="25"/>
  <c r="DY142" i="25" s="1"/>
  <c r="DV150" i="25"/>
  <c r="DY150" i="25" s="1"/>
  <c r="DV151" i="25"/>
  <c r="DV130" i="25"/>
  <c r="DW130" i="25" s="1"/>
  <c r="DV152" i="25"/>
  <c r="DW152" i="25" s="1"/>
  <c r="DV153" i="25"/>
  <c r="DW153" i="25" s="1"/>
  <c r="DV66" i="25"/>
  <c r="DV121" i="25"/>
  <c r="DY121" i="25" s="1"/>
  <c r="DV140" i="25"/>
  <c r="DW140" i="25" s="1"/>
  <c r="DV141" i="25"/>
  <c r="DW141" i="25" s="1"/>
  <c r="DV29" i="25"/>
  <c r="DW29" i="25" s="1"/>
  <c r="DV112" i="25"/>
  <c r="DW112" i="25" s="1"/>
  <c r="DV131" i="25"/>
  <c r="DW131" i="25" s="1"/>
  <c r="DV143" i="25"/>
  <c r="DW143" i="25" s="1"/>
  <c r="DV148" i="25"/>
  <c r="DV149" i="25"/>
  <c r="DW149" i="25" s="1"/>
  <c r="DV17" i="25"/>
  <c r="DW17" i="25" s="1"/>
  <c r="DV30" i="25"/>
  <c r="DY30" i="25" s="1"/>
  <c r="DV31" i="25"/>
  <c r="DY31" i="25" s="1"/>
  <c r="DV32" i="25"/>
  <c r="DW32" i="25" s="1"/>
  <c r="DV40" i="25"/>
  <c r="DY40" i="25" s="1"/>
  <c r="DV69" i="25"/>
  <c r="DW69" i="25" s="1"/>
  <c r="DV70" i="25"/>
  <c r="DY70" i="25" s="1"/>
  <c r="DV71" i="25"/>
  <c r="DW71" i="25" s="1"/>
  <c r="DV72" i="25"/>
  <c r="DW72" i="25" s="1"/>
  <c r="DV73" i="25"/>
  <c r="DY73" i="25" s="1"/>
  <c r="DV74" i="25"/>
  <c r="DY74" i="25" s="1"/>
  <c r="DV110" i="25"/>
  <c r="DY110" i="25" s="1"/>
  <c r="DV119" i="25"/>
  <c r="DY119" i="25" s="1"/>
  <c r="DV99" i="25"/>
  <c r="DY99" i="25" s="1"/>
  <c r="DV124" i="25"/>
  <c r="DW124" i="25" s="1"/>
  <c r="DV125" i="25"/>
  <c r="DW125" i="25" s="1"/>
  <c r="DV75" i="25"/>
  <c r="DY75" i="25" s="1"/>
  <c r="DV129" i="25"/>
  <c r="DW129" i="25" s="1"/>
  <c r="DV135" i="25"/>
  <c r="DY135" i="25" s="1"/>
  <c r="DV139" i="25"/>
  <c r="DY139" i="25" s="1"/>
  <c r="DV154" i="25"/>
  <c r="DY154" i="25" s="1"/>
  <c r="DV156" i="25"/>
  <c r="DY156" i="25" s="1"/>
  <c r="DV157" i="25"/>
  <c r="DW157" i="25" s="1"/>
  <c r="DV161" i="25"/>
  <c r="DW161" i="25" s="1"/>
  <c r="DV162" i="25"/>
  <c r="DY162" i="25" s="1"/>
  <c r="DV163" i="25"/>
  <c r="DW163" i="25" s="1"/>
  <c r="DV195" i="25"/>
  <c r="DW195" i="25" s="1"/>
  <c r="DV201" i="25"/>
  <c r="DY201" i="25" s="1"/>
  <c r="DV181" i="25"/>
  <c r="DW181" i="25" s="1"/>
  <c r="DV166" i="25"/>
  <c r="DV168" i="25"/>
  <c r="DW168" i="25" s="1"/>
  <c r="DV174" i="25"/>
  <c r="DW174" i="25" s="1"/>
  <c r="DV175" i="25"/>
  <c r="DY175" i="25" s="1"/>
  <c r="DV176" i="25"/>
  <c r="DW176" i="25" s="1"/>
  <c r="DV169" i="25"/>
  <c r="DW169" i="25" s="1"/>
  <c r="DV180" i="25"/>
  <c r="DV182" i="25"/>
  <c r="DY182" i="25" s="1"/>
  <c r="DV186" i="25"/>
  <c r="DY186" i="25" s="1"/>
  <c r="DV188" i="25"/>
  <c r="DW188" i="25" s="1"/>
  <c r="DV193" i="25"/>
  <c r="DY193" i="25" s="1"/>
  <c r="DV194" i="25"/>
  <c r="DW194" i="25" s="1"/>
  <c r="DV197" i="25"/>
  <c r="DY197" i="25" s="1"/>
  <c r="DV198" i="25"/>
  <c r="DY198" i="25" s="1"/>
  <c r="DV202" i="25"/>
  <c r="DW202" i="25" s="1"/>
  <c r="DV167" i="25"/>
  <c r="DW167" i="25" s="1"/>
  <c r="DV171" i="25"/>
  <c r="DW171" i="25" s="1"/>
  <c r="DV200" i="25"/>
  <c r="DW200" i="25" s="1"/>
  <c r="DV183" i="25"/>
  <c r="DY183" i="25" s="1"/>
  <c r="DV184" i="25"/>
  <c r="DV172" i="25"/>
  <c r="DY172" i="25" s="1"/>
  <c r="DV187" i="25"/>
  <c r="DY187" i="25" s="1"/>
  <c r="DV189" i="25"/>
  <c r="DY189" i="25" s="1"/>
  <c r="DV190" i="25"/>
  <c r="DW190" i="25" s="1"/>
  <c r="DV191" i="25"/>
  <c r="DW191" i="25" s="1"/>
  <c r="DV192" i="25"/>
  <c r="DW192" i="25" s="1"/>
  <c r="DV173" i="25"/>
  <c r="DW173" i="25" s="1"/>
  <c r="DV178" i="25"/>
  <c r="DV179" i="25"/>
  <c r="DY179" i="25" s="1"/>
  <c r="DV196" i="25"/>
  <c r="DW196" i="25" s="1"/>
  <c r="DV199" i="25"/>
  <c r="DY199" i="25" s="1"/>
  <c r="DX9" i="25"/>
  <c r="DX10" i="25"/>
  <c r="DX14" i="25"/>
  <c r="DX16" i="25"/>
  <c r="DX39" i="25"/>
  <c r="DX60" i="25"/>
  <c r="DX94" i="25"/>
  <c r="DX122" i="25"/>
  <c r="DX127" i="25"/>
  <c r="DX128" i="25"/>
  <c r="DX21" i="25"/>
  <c r="DX36" i="25"/>
  <c r="DX56" i="25"/>
  <c r="DX22" i="25"/>
  <c r="DX145" i="25"/>
  <c r="DX11" i="25"/>
  <c r="DX15" i="25"/>
  <c r="DX20" i="25"/>
  <c r="DX33" i="25"/>
  <c r="DX35" i="25"/>
  <c r="DX47" i="25"/>
  <c r="DX53" i="25"/>
  <c r="DX58" i="25"/>
  <c r="DX59" i="25"/>
  <c r="DX65" i="25"/>
  <c r="DX91" i="25"/>
  <c r="DX97" i="25"/>
  <c r="DX101" i="25"/>
  <c r="DX106" i="25"/>
  <c r="DX126" i="25"/>
  <c r="DX136" i="25"/>
  <c r="DX160" i="25"/>
  <c r="DX164" i="25"/>
  <c r="DX19" i="25"/>
  <c r="DX51" i="25"/>
  <c r="DX77" i="25"/>
  <c r="DX82" i="25"/>
  <c r="DX83" i="25"/>
  <c r="DX84" i="25"/>
  <c r="DX85" i="25"/>
  <c r="DX86" i="25"/>
  <c r="DX87" i="25"/>
  <c r="DX88" i="25"/>
  <c r="DX28" i="25"/>
  <c r="DX49" i="25"/>
  <c r="DX147" i="25"/>
  <c r="DX68" i="25"/>
  <c r="DX146" i="25"/>
  <c r="DX102" i="25"/>
  <c r="DX103" i="25"/>
  <c r="DX107" i="25"/>
  <c r="DX132" i="25"/>
  <c r="DX34" i="25"/>
  <c r="DX92" i="25"/>
  <c r="DX111" i="25"/>
  <c r="DX144" i="25"/>
  <c r="DX13" i="25"/>
  <c r="DX27" i="25"/>
  <c r="DX37" i="25"/>
  <c r="DX38" i="25"/>
  <c r="DX44" i="25"/>
  <c r="DX46" i="25"/>
  <c r="DX48" i="25"/>
  <c r="DX50" i="25"/>
  <c r="DX62" i="25"/>
  <c r="DX63" i="25"/>
  <c r="DX64" i="25"/>
  <c r="DX67" i="25"/>
  <c r="DX79" i="25"/>
  <c r="DX80" i="25"/>
  <c r="DX93" i="25"/>
  <c r="DX96" i="25"/>
  <c r="DX98" i="25"/>
  <c r="DX113" i="25"/>
  <c r="DX115" i="25"/>
  <c r="DX118" i="25"/>
  <c r="DX134" i="25"/>
  <c r="DX26" i="25"/>
  <c r="DX42" i="25"/>
  <c r="DX45" i="25"/>
  <c r="DX55" i="25"/>
  <c r="DX78" i="25"/>
  <c r="DX81" i="25"/>
  <c r="DX89" i="25"/>
  <c r="DX90" i="25"/>
  <c r="DX105" i="25"/>
  <c r="DX116" i="25"/>
  <c r="DX117" i="25"/>
  <c r="DX120" i="25"/>
  <c r="DX133" i="25"/>
  <c r="DX138" i="25"/>
  <c r="DX142" i="25"/>
  <c r="DX150" i="25"/>
  <c r="DX151" i="25"/>
  <c r="DX130" i="25"/>
  <c r="DX152" i="25"/>
  <c r="DX153" i="25"/>
  <c r="DX66" i="25"/>
  <c r="DX121" i="25"/>
  <c r="DX140" i="25"/>
  <c r="DX141" i="25"/>
  <c r="DX29" i="25"/>
  <c r="DX112" i="25"/>
  <c r="DX131" i="25"/>
  <c r="DX143" i="25"/>
  <c r="DX148" i="25"/>
  <c r="DX149" i="25"/>
  <c r="DX17" i="25"/>
  <c r="DX30" i="25"/>
  <c r="DX31" i="25"/>
  <c r="DX32" i="25"/>
  <c r="DX40" i="25"/>
  <c r="DX69" i="25"/>
  <c r="DX70" i="25"/>
  <c r="DX71" i="25"/>
  <c r="DX72" i="25"/>
  <c r="DX73" i="25"/>
  <c r="DX74" i="25"/>
  <c r="DX110" i="25"/>
  <c r="DX119" i="25"/>
  <c r="DX99" i="25"/>
  <c r="DX124" i="25"/>
  <c r="DX125" i="25"/>
  <c r="DX75" i="25"/>
  <c r="DX129" i="25"/>
  <c r="DX135" i="25"/>
  <c r="DX139" i="25"/>
  <c r="DX154" i="25"/>
  <c r="DX156" i="25"/>
  <c r="DX157" i="25"/>
  <c r="DX161" i="25"/>
  <c r="DX162" i="25"/>
  <c r="DX163" i="25"/>
  <c r="DX195" i="25"/>
  <c r="DX201" i="25"/>
  <c r="DX181" i="25"/>
  <c r="DX166" i="25"/>
  <c r="DX168" i="25"/>
  <c r="DX174" i="25"/>
  <c r="DX175" i="25"/>
  <c r="DX176" i="25"/>
  <c r="DX169" i="25"/>
  <c r="DX180" i="25"/>
  <c r="DX182" i="25"/>
  <c r="DX186" i="25"/>
  <c r="DX188" i="25"/>
  <c r="DX193" i="25"/>
  <c r="DX194" i="25"/>
  <c r="DX197" i="25"/>
  <c r="DX198" i="25"/>
  <c r="DX202" i="25"/>
  <c r="DX167" i="25"/>
  <c r="DX171" i="25"/>
  <c r="DX200" i="25"/>
  <c r="DX183" i="25"/>
  <c r="DX184" i="25"/>
  <c r="DX172" i="25"/>
  <c r="DX187" i="25"/>
  <c r="DX189" i="25"/>
  <c r="DX190" i="25"/>
  <c r="DX191" i="25"/>
  <c r="DX192" i="25"/>
  <c r="DX173" i="25"/>
  <c r="DX178" i="25"/>
  <c r="DX179" i="25"/>
  <c r="DX196" i="25"/>
  <c r="DX199" i="25"/>
  <c r="DZ8" i="25"/>
  <c r="DZ9" i="25"/>
  <c r="DZ10" i="25"/>
  <c r="DZ14" i="25"/>
  <c r="DZ16" i="25"/>
  <c r="DZ39" i="25"/>
  <c r="DZ60" i="25"/>
  <c r="DZ94" i="25"/>
  <c r="DZ122" i="25"/>
  <c r="DZ127" i="25"/>
  <c r="DZ128" i="25"/>
  <c r="DZ21" i="25"/>
  <c r="DZ36" i="25"/>
  <c r="DZ56" i="25"/>
  <c r="DZ22" i="25"/>
  <c r="DZ145" i="25"/>
  <c r="DZ11" i="25"/>
  <c r="DZ12" i="25"/>
  <c r="DZ15" i="25"/>
  <c r="DZ20" i="25"/>
  <c r="DZ23" i="25"/>
  <c r="DZ33" i="25"/>
  <c r="DZ35" i="25"/>
  <c r="DZ47" i="25"/>
  <c r="DZ53" i="25"/>
  <c r="DZ58" i="25"/>
  <c r="DZ59" i="25"/>
  <c r="DZ65" i="25"/>
  <c r="DZ91" i="25"/>
  <c r="DZ97" i="25"/>
  <c r="DZ101" i="25"/>
  <c r="DZ106" i="25"/>
  <c r="DZ126" i="25"/>
  <c r="DZ136" i="25"/>
  <c r="DZ160" i="25"/>
  <c r="DZ164" i="25"/>
  <c r="DZ19" i="25"/>
  <c r="DZ51" i="25"/>
  <c r="DZ77" i="25"/>
  <c r="DZ82" i="25"/>
  <c r="DZ83" i="25"/>
  <c r="DZ84" i="25"/>
  <c r="DZ85" i="25"/>
  <c r="DZ86" i="25"/>
  <c r="DZ87" i="25"/>
  <c r="DZ88" i="25"/>
  <c r="DZ28" i="25"/>
  <c r="DZ49" i="25"/>
  <c r="DZ147" i="25"/>
  <c r="DZ68" i="25"/>
  <c r="DZ146" i="25"/>
  <c r="DZ102" i="25"/>
  <c r="DZ103" i="25"/>
  <c r="DZ107" i="25"/>
  <c r="DZ132" i="25"/>
  <c r="DZ34" i="25"/>
  <c r="DZ92" i="25"/>
  <c r="DZ111" i="25"/>
  <c r="DZ144" i="25"/>
  <c r="DZ13" i="25"/>
  <c r="DZ27" i="25"/>
  <c r="DZ37" i="25"/>
  <c r="DZ38" i="25"/>
  <c r="DZ44" i="25"/>
  <c r="DZ46" i="25"/>
  <c r="DZ48" i="25"/>
  <c r="DZ50" i="25"/>
  <c r="DZ62" i="25"/>
  <c r="DZ63" i="25"/>
  <c r="DZ64" i="25"/>
  <c r="DZ67" i="25"/>
  <c r="DZ79" i="25"/>
  <c r="DZ80" i="25"/>
  <c r="DZ93" i="25"/>
  <c r="DZ96" i="25"/>
  <c r="DZ98" i="25"/>
  <c r="DZ113" i="25"/>
  <c r="DZ115" i="25"/>
  <c r="DZ118" i="25"/>
  <c r="DZ134" i="25"/>
  <c r="DZ26" i="25"/>
  <c r="DZ42" i="25"/>
  <c r="DZ45" i="25"/>
  <c r="DZ55" i="25"/>
  <c r="DZ78" i="25"/>
  <c r="DZ81" i="25"/>
  <c r="DZ89" i="25"/>
  <c r="DZ90" i="25"/>
  <c r="DZ105" i="25"/>
  <c r="DZ116" i="25"/>
  <c r="DZ117" i="25"/>
  <c r="DZ120" i="25"/>
  <c r="DZ133" i="25"/>
  <c r="DZ138" i="25"/>
  <c r="DZ142" i="25"/>
  <c r="DZ150" i="25"/>
  <c r="DZ151" i="25"/>
  <c r="DZ130" i="25"/>
  <c r="DZ152" i="25"/>
  <c r="DZ153" i="25"/>
  <c r="DZ66" i="25"/>
  <c r="DZ121" i="25"/>
  <c r="DZ140" i="25"/>
  <c r="DZ141" i="25"/>
  <c r="DZ29" i="25"/>
  <c r="DZ112" i="25"/>
  <c r="DZ131" i="25"/>
  <c r="DZ143" i="25"/>
  <c r="DZ148" i="25"/>
  <c r="DZ149" i="25"/>
  <c r="DZ17" i="25"/>
  <c r="DZ30" i="25"/>
  <c r="DZ31" i="25"/>
  <c r="DZ32" i="25"/>
  <c r="DZ40" i="25"/>
  <c r="DZ69" i="25"/>
  <c r="DZ70" i="25"/>
  <c r="DZ71" i="25"/>
  <c r="DZ72" i="25"/>
  <c r="DZ73" i="25"/>
  <c r="DZ74" i="25"/>
  <c r="DZ110" i="25"/>
  <c r="DZ119" i="25"/>
  <c r="DZ99" i="25"/>
  <c r="DZ124" i="25"/>
  <c r="DZ125" i="25"/>
  <c r="DZ75" i="25"/>
  <c r="DZ129" i="25"/>
  <c r="DZ135" i="25"/>
  <c r="DZ139" i="25"/>
  <c r="DZ154" i="25"/>
  <c r="DZ156" i="25"/>
  <c r="DZ157" i="25"/>
  <c r="DZ161" i="25"/>
  <c r="DZ162" i="25"/>
  <c r="DZ163" i="25"/>
  <c r="DZ195" i="25"/>
  <c r="DZ201" i="25"/>
  <c r="DZ181" i="25"/>
  <c r="DZ166" i="25"/>
  <c r="DZ168" i="25"/>
  <c r="DZ174" i="25"/>
  <c r="DZ175" i="25"/>
  <c r="DZ176" i="25"/>
  <c r="DZ169" i="25"/>
  <c r="DZ180" i="25"/>
  <c r="DZ182" i="25"/>
  <c r="DZ186" i="25"/>
  <c r="DZ188" i="25"/>
  <c r="DZ193" i="25"/>
  <c r="DZ194" i="25"/>
  <c r="DZ197" i="25"/>
  <c r="DZ198" i="25"/>
  <c r="DZ202" i="25"/>
  <c r="DZ167" i="25"/>
  <c r="DZ171" i="25"/>
  <c r="DZ200" i="25"/>
  <c r="DZ183" i="25"/>
  <c r="DZ184" i="25"/>
  <c r="DZ172" i="25"/>
  <c r="DZ187" i="25"/>
  <c r="DZ189" i="25"/>
  <c r="DZ190" i="25"/>
  <c r="DZ191" i="25"/>
  <c r="DZ192" i="25"/>
  <c r="DZ173" i="25"/>
  <c r="DZ178" i="25"/>
  <c r="DZ179" i="25"/>
  <c r="DZ196" i="25"/>
  <c r="DZ199" i="25"/>
  <c r="EA8" i="25"/>
  <c r="EA9" i="25"/>
  <c r="EA10" i="25"/>
  <c r="EA14" i="25"/>
  <c r="EA16" i="25"/>
  <c r="EA39" i="25"/>
  <c r="EA60" i="25"/>
  <c r="EA94" i="25"/>
  <c r="EA122" i="25"/>
  <c r="EA127" i="25"/>
  <c r="EA128" i="25"/>
  <c r="EA21" i="25"/>
  <c r="EA36" i="25"/>
  <c r="EA56" i="25"/>
  <c r="EA22" i="25"/>
  <c r="EA145" i="25"/>
  <c r="EA11" i="25"/>
  <c r="EA12" i="25"/>
  <c r="EA15" i="25"/>
  <c r="EA20" i="25"/>
  <c r="EA23" i="25"/>
  <c r="EA33" i="25"/>
  <c r="EA35" i="25"/>
  <c r="EA47" i="25"/>
  <c r="EA53" i="25"/>
  <c r="EA58" i="25"/>
  <c r="EA59" i="25"/>
  <c r="EA65" i="25"/>
  <c r="EA91" i="25"/>
  <c r="EA97" i="25"/>
  <c r="EA101" i="25"/>
  <c r="EA106" i="25"/>
  <c r="EA126" i="25"/>
  <c r="EA136" i="25"/>
  <c r="EA160" i="25"/>
  <c r="EA164" i="25"/>
  <c r="EA19" i="25"/>
  <c r="EA51" i="25"/>
  <c r="EA77" i="25"/>
  <c r="EA82" i="25"/>
  <c r="EA83" i="25"/>
  <c r="EA84" i="25"/>
  <c r="EA85" i="25"/>
  <c r="EA86" i="25"/>
  <c r="EA87" i="25"/>
  <c r="EA88" i="25"/>
  <c r="EA28" i="25"/>
  <c r="EA49" i="25"/>
  <c r="EA147" i="25"/>
  <c r="EA68" i="25"/>
  <c r="EA146" i="25"/>
  <c r="EA102" i="25"/>
  <c r="EA103" i="25"/>
  <c r="EA107" i="25"/>
  <c r="EA132" i="25"/>
  <c r="EA34" i="25"/>
  <c r="EA92" i="25"/>
  <c r="EA111" i="25"/>
  <c r="EA144" i="25"/>
  <c r="EA13" i="25"/>
  <c r="EA27" i="25"/>
  <c r="EA37" i="25"/>
  <c r="EA38" i="25"/>
  <c r="EA44" i="25"/>
  <c r="EA46" i="25"/>
  <c r="EA48" i="25"/>
  <c r="EA50" i="25"/>
  <c r="EA62" i="25"/>
  <c r="EA63" i="25"/>
  <c r="EA64" i="25"/>
  <c r="EA67" i="25"/>
  <c r="EA79" i="25"/>
  <c r="EA80" i="25"/>
  <c r="EA93" i="25"/>
  <c r="EA96" i="25"/>
  <c r="EA98" i="25"/>
  <c r="EA113" i="25"/>
  <c r="EA115" i="25"/>
  <c r="EA118" i="25"/>
  <c r="EA134" i="25"/>
  <c r="EA26" i="25"/>
  <c r="EA42" i="25"/>
  <c r="EA45" i="25"/>
  <c r="EA55" i="25"/>
  <c r="EA78" i="25"/>
  <c r="EA81" i="25"/>
  <c r="EA89" i="25"/>
  <c r="EA90" i="25"/>
  <c r="EA105" i="25"/>
  <c r="EA116" i="25"/>
  <c r="EA117" i="25"/>
  <c r="EA120" i="25"/>
  <c r="EA133" i="25"/>
  <c r="EA138" i="25"/>
  <c r="EA142" i="25"/>
  <c r="EA150" i="25"/>
  <c r="EA151" i="25"/>
  <c r="EA130" i="25"/>
  <c r="EA152" i="25"/>
  <c r="EA153" i="25"/>
  <c r="EA66" i="25"/>
  <c r="EA121" i="25"/>
  <c r="EA140" i="25"/>
  <c r="EA141" i="25"/>
  <c r="EA29" i="25"/>
  <c r="EA112" i="25"/>
  <c r="EA131" i="25"/>
  <c r="EA143" i="25"/>
  <c r="EA148" i="25"/>
  <c r="EA149" i="25"/>
  <c r="EA17" i="25"/>
  <c r="EA30" i="25"/>
  <c r="EA31" i="25"/>
  <c r="EA32" i="25"/>
  <c r="EA40" i="25"/>
  <c r="EA69" i="25"/>
  <c r="EA70" i="25"/>
  <c r="EA71" i="25"/>
  <c r="EA72" i="25"/>
  <c r="EA73" i="25"/>
  <c r="EA74" i="25"/>
  <c r="EA110" i="25"/>
  <c r="EA119" i="25"/>
  <c r="EA99" i="25"/>
  <c r="EA124" i="25"/>
  <c r="EA125" i="25"/>
  <c r="EA75" i="25"/>
  <c r="EA129" i="25"/>
  <c r="EA135" i="25"/>
  <c r="EA139" i="25"/>
  <c r="EA154" i="25"/>
  <c r="EA156" i="25"/>
  <c r="EA157" i="25"/>
  <c r="EA161" i="25"/>
  <c r="EA162" i="25"/>
  <c r="EA163" i="25"/>
  <c r="EA195" i="25"/>
  <c r="EA201" i="25"/>
  <c r="EA181" i="25"/>
  <c r="EA166" i="25"/>
  <c r="EA168" i="25"/>
  <c r="EA174" i="25"/>
  <c r="EA175" i="25"/>
  <c r="EA176" i="25"/>
  <c r="EA169" i="25"/>
  <c r="EA180" i="25"/>
  <c r="EA182" i="25"/>
  <c r="EA186" i="25"/>
  <c r="EA188" i="25"/>
  <c r="EA193" i="25"/>
  <c r="EA194" i="25"/>
  <c r="EA197" i="25"/>
  <c r="EA198" i="25"/>
  <c r="EA202" i="25"/>
  <c r="EA167" i="25"/>
  <c r="EA171" i="25"/>
  <c r="EA200" i="25"/>
  <c r="EA183" i="25"/>
  <c r="EA184" i="25"/>
  <c r="EA172" i="25"/>
  <c r="EA187" i="25"/>
  <c r="EA189" i="25"/>
  <c r="EA190" i="25"/>
  <c r="EA191" i="25"/>
  <c r="EA192" i="25"/>
  <c r="EA173" i="25"/>
  <c r="EA178" i="25"/>
  <c r="EA179" i="25"/>
  <c r="EA196" i="25"/>
  <c r="EA199" i="25"/>
  <c r="EB8" i="25"/>
  <c r="EB9" i="25"/>
  <c r="EB10" i="25"/>
  <c r="EB14" i="25"/>
  <c r="EB16" i="25"/>
  <c r="EB39" i="25"/>
  <c r="EB60" i="25"/>
  <c r="EB94" i="25"/>
  <c r="EB122" i="25"/>
  <c r="EB127" i="25"/>
  <c r="EB128" i="25"/>
  <c r="EB21" i="25"/>
  <c r="EB36" i="25"/>
  <c r="EB56" i="25"/>
  <c r="EB22" i="25"/>
  <c r="EB145" i="25"/>
  <c r="EB11" i="25"/>
  <c r="EB12" i="25"/>
  <c r="EB15" i="25"/>
  <c r="EB20" i="25"/>
  <c r="EB23" i="25"/>
  <c r="EB33" i="25"/>
  <c r="EB35" i="25"/>
  <c r="EB47" i="25"/>
  <c r="EB53" i="25"/>
  <c r="EB58" i="25"/>
  <c r="EB59" i="25"/>
  <c r="EB65" i="25"/>
  <c r="EB91" i="25"/>
  <c r="EB97" i="25"/>
  <c r="EB101" i="25"/>
  <c r="EB106" i="25"/>
  <c r="EB126" i="25"/>
  <c r="EB160" i="25"/>
  <c r="EB164" i="25"/>
  <c r="EB19" i="25"/>
  <c r="EB51" i="25"/>
  <c r="EB77" i="25"/>
  <c r="EB82" i="25"/>
  <c r="EB83" i="25"/>
  <c r="EB84" i="25"/>
  <c r="EB85" i="25"/>
  <c r="EB86" i="25"/>
  <c r="EB87" i="25"/>
  <c r="EB88" i="25"/>
  <c r="EB28" i="25"/>
  <c r="EB49" i="25"/>
  <c r="EB147" i="25"/>
  <c r="EB68" i="25"/>
  <c r="EB146" i="25"/>
  <c r="EB102" i="25"/>
  <c r="EB103" i="25"/>
  <c r="EB107" i="25"/>
  <c r="EB132" i="25"/>
  <c r="EB34" i="25"/>
  <c r="EB92" i="25"/>
  <c r="EB111" i="25"/>
  <c r="EB144" i="25"/>
  <c r="EB13" i="25"/>
  <c r="EB27" i="25"/>
  <c r="EB37" i="25"/>
  <c r="EB38" i="25"/>
  <c r="EB44" i="25"/>
  <c r="EB46" i="25"/>
  <c r="EB48" i="25"/>
  <c r="EB50" i="25"/>
  <c r="EB62" i="25"/>
  <c r="EB63" i="25"/>
  <c r="EB64" i="25"/>
  <c r="EB67" i="25"/>
  <c r="EB79" i="25"/>
  <c r="EB80" i="25"/>
  <c r="EB93" i="25"/>
  <c r="EB96" i="25"/>
  <c r="EB98" i="25"/>
  <c r="EB113" i="25"/>
  <c r="EB115" i="25"/>
  <c r="EB118" i="25"/>
  <c r="EB134" i="25"/>
  <c r="EB26" i="25"/>
  <c r="EB42" i="25"/>
  <c r="EB45" i="25"/>
  <c r="EB55" i="25"/>
  <c r="EB78" i="25"/>
  <c r="EB81" i="25"/>
  <c r="EB89" i="25"/>
  <c r="EB90" i="25"/>
  <c r="EB105" i="25"/>
  <c r="EB116" i="25"/>
  <c r="EB117" i="25"/>
  <c r="EB120" i="25"/>
  <c r="EB133" i="25"/>
  <c r="EB138" i="25"/>
  <c r="EB142" i="25"/>
  <c r="EB150" i="25"/>
  <c r="EB151" i="25"/>
  <c r="EB130" i="25"/>
  <c r="EB152" i="25"/>
  <c r="EB153" i="25"/>
  <c r="EB66" i="25"/>
  <c r="EB121" i="25"/>
  <c r="EB140" i="25"/>
  <c r="EB141" i="25"/>
  <c r="EB29" i="25"/>
  <c r="EB112" i="25"/>
  <c r="EB131" i="25"/>
  <c r="EB143" i="25"/>
  <c r="EB148" i="25"/>
  <c r="EB149" i="25"/>
  <c r="EB17" i="25"/>
  <c r="EB30" i="25"/>
  <c r="EB31" i="25"/>
  <c r="EB32" i="25"/>
  <c r="EB40" i="25"/>
  <c r="EB69" i="25"/>
  <c r="EB70" i="25"/>
  <c r="EB71" i="25"/>
  <c r="EB72" i="25"/>
  <c r="EB73" i="25"/>
  <c r="EB74" i="25"/>
  <c r="EB110" i="25"/>
  <c r="EB119" i="25"/>
  <c r="EB99" i="25"/>
  <c r="EB124" i="25"/>
  <c r="EB125" i="25"/>
  <c r="EB75" i="25"/>
  <c r="EB129" i="25"/>
  <c r="EB135" i="25"/>
  <c r="EB139" i="25"/>
  <c r="EB154" i="25"/>
  <c r="EB156" i="25"/>
  <c r="EB157" i="25"/>
  <c r="EB161" i="25"/>
  <c r="EB162" i="25"/>
  <c r="EB163" i="25"/>
  <c r="EB195" i="25"/>
  <c r="EB201" i="25"/>
  <c r="EB181" i="25"/>
  <c r="EB166" i="25"/>
  <c r="EB168" i="25"/>
  <c r="EB174" i="25"/>
  <c r="EB175" i="25"/>
  <c r="EB176" i="25"/>
  <c r="EB169" i="25"/>
  <c r="EB180" i="25"/>
  <c r="EB182" i="25"/>
  <c r="EB186" i="25"/>
  <c r="EB188" i="25"/>
  <c r="EB193" i="25"/>
  <c r="EB194" i="25"/>
  <c r="EB197" i="25"/>
  <c r="EB198" i="25"/>
  <c r="EB202" i="25"/>
  <c r="EB167" i="25"/>
  <c r="EB171" i="25"/>
  <c r="EB200" i="25"/>
  <c r="EB183" i="25"/>
  <c r="EB184" i="25"/>
  <c r="EB172" i="25"/>
  <c r="EB187" i="25"/>
  <c r="EB189" i="25"/>
  <c r="EB190" i="25"/>
  <c r="EB191" i="25"/>
  <c r="EB192" i="25"/>
  <c r="EB173" i="25"/>
  <c r="EB178" i="25"/>
  <c r="EB179" i="25"/>
  <c r="EB196" i="25"/>
  <c r="EB199" i="25"/>
  <c r="EE8" i="25"/>
  <c r="EE9" i="25"/>
  <c r="EE10" i="25"/>
  <c r="EE14" i="25"/>
  <c r="EE16" i="25"/>
  <c r="EE39" i="25"/>
  <c r="EE60" i="25"/>
  <c r="EE94" i="25"/>
  <c r="EE122" i="25"/>
  <c r="EE127" i="25"/>
  <c r="EE128" i="25"/>
  <c r="EE21" i="25"/>
  <c r="EE36" i="25"/>
  <c r="EE56" i="25"/>
  <c r="EE22" i="25"/>
  <c r="EE145" i="25"/>
  <c r="EE11" i="25"/>
  <c r="EE12" i="25"/>
  <c r="EE15" i="25"/>
  <c r="EE20" i="25"/>
  <c r="EE23" i="25"/>
  <c r="EE33" i="25"/>
  <c r="EE35" i="25"/>
  <c r="EE47" i="25"/>
  <c r="EE53" i="25"/>
  <c r="EE58" i="25"/>
  <c r="EE59" i="25"/>
  <c r="EE65" i="25"/>
  <c r="EE91" i="25"/>
  <c r="EE97" i="25"/>
  <c r="EE101" i="25"/>
  <c r="EE106" i="25"/>
  <c r="EE126" i="25"/>
  <c r="EE136" i="25"/>
  <c r="EE160" i="25"/>
  <c r="EE164" i="25"/>
  <c r="EE19" i="25"/>
  <c r="EE51" i="25"/>
  <c r="EE77" i="25"/>
  <c r="EE82" i="25"/>
  <c r="EE83" i="25"/>
  <c r="EE84" i="25"/>
  <c r="EE85" i="25"/>
  <c r="EE86" i="25"/>
  <c r="EE87" i="25"/>
  <c r="EE88" i="25"/>
  <c r="EE28" i="25"/>
  <c r="EE49" i="25"/>
  <c r="EE147" i="25"/>
  <c r="EE68" i="25"/>
  <c r="EE146" i="25"/>
  <c r="EE102" i="25"/>
  <c r="EE103" i="25"/>
  <c r="EE107" i="25"/>
  <c r="EE132" i="25"/>
  <c r="EE34" i="25"/>
  <c r="EE92" i="25"/>
  <c r="EE111" i="25"/>
  <c r="EE144" i="25"/>
  <c r="EE13" i="25"/>
  <c r="EE27" i="25"/>
  <c r="EE37" i="25"/>
  <c r="EE38" i="25"/>
  <c r="EE44" i="25"/>
  <c r="EE46" i="25"/>
  <c r="EE48" i="25"/>
  <c r="EE50" i="25"/>
  <c r="EE62" i="25"/>
  <c r="EE63" i="25"/>
  <c r="EE64" i="25"/>
  <c r="EE67" i="25"/>
  <c r="EE79" i="25"/>
  <c r="EE80" i="25"/>
  <c r="EE93" i="25"/>
  <c r="EE96" i="25"/>
  <c r="EE98" i="25"/>
  <c r="EE113" i="25"/>
  <c r="EE115" i="25"/>
  <c r="EE118" i="25"/>
  <c r="EE134" i="25"/>
  <c r="EE26" i="25"/>
  <c r="EE42" i="25"/>
  <c r="EE45" i="25"/>
  <c r="EE55" i="25"/>
  <c r="EE78" i="25"/>
  <c r="EE81" i="25"/>
  <c r="EE89" i="25"/>
  <c r="EE90" i="25"/>
  <c r="EE105" i="25"/>
  <c r="EE116" i="25"/>
  <c r="EE117" i="25"/>
  <c r="EE120" i="25"/>
  <c r="EE133" i="25"/>
  <c r="EE138" i="25"/>
  <c r="EE142" i="25"/>
  <c r="EE150" i="25"/>
  <c r="EE151" i="25"/>
  <c r="EE130" i="25"/>
  <c r="EE152" i="25"/>
  <c r="EE153" i="25"/>
  <c r="EE66" i="25"/>
  <c r="EE121" i="25"/>
  <c r="EE140" i="25"/>
  <c r="EE141" i="25"/>
  <c r="EE29" i="25"/>
  <c r="EE112" i="25"/>
  <c r="EE131" i="25"/>
  <c r="EE143" i="25"/>
  <c r="EE148" i="25"/>
  <c r="EE149" i="25"/>
  <c r="EE17" i="25"/>
  <c r="EE30" i="25"/>
  <c r="EE31" i="25"/>
  <c r="EE32" i="25"/>
  <c r="EE40" i="25"/>
  <c r="EE69" i="25"/>
  <c r="EE70" i="25"/>
  <c r="EE71" i="25"/>
  <c r="EE72" i="25"/>
  <c r="EE73" i="25"/>
  <c r="EE74" i="25"/>
  <c r="EE110" i="25"/>
  <c r="EE119" i="25"/>
  <c r="EE99" i="25"/>
  <c r="EE124" i="25"/>
  <c r="EE125" i="25"/>
  <c r="EE75" i="25"/>
  <c r="EE129" i="25"/>
  <c r="EE135" i="25"/>
  <c r="EE139" i="25"/>
  <c r="EE154" i="25"/>
  <c r="EE156" i="25"/>
  <c r="EE157" i="25"/>
  <c r="EE161" i="25"/>
  <c r="EE162" i="25"/>
  <c r="EE163" i="25"/>
  <c r="EE195" i="25"/>
  <c r="EE201" i="25"/>
  <c r="EE181" i="25"/>
  <c r="EE166" i="25"/>
  <c r="EE168" i="25"/>
  <c r="EE174" i="25"/>
  <c r="EE175" i="25"/>
  <c r="EE176" i="25"/>
  <c r="EE169" i="25"/>
  <c r="EE180" i="25"/>
  <c r="EE182" i="25"/>
  <c r="EE186" i="25"/>
  <c r="EE188" i="25"/>
  <c r="EE193" i="25"/>
  <c r="EE194" i="25"/>
  <c r="EE197" i="25"/>
  <c r="EE198" i="25"/>
  <c r="EE202" i="25"/>
  <c r="EE167" i="25"/>
  <c r="EE171" i="25"/>
  <c r="EE200" i="25"/>
  <c r="EE183" i="25"/>
  <c r="EE184" i="25"/>
  <c r="EE172" i="25"/>
  <c r="EE187" i="25"/>
  <c r="EE189" i="25"/>
  <c r="EE190" i="25"/>
  <c r="EE191" i="25"/>
  <c r="EE192" i="25"/>
  <c r="EE173" i="25"/>
  <c r="EE178" i="25"/>
  <c r="EE179" i="25"/>
  <c r="EE196" i="25"/>
  <c r="EE199" i="25"/>
  <c r="EF8" i="25"/>
  <c r="EF9" i="25"/>
  <c r="EF10" i="25"/>
  <c r="EF14" i="25"/>
  <c r="EF16" i="25"/>
  <c r="EF39" i="25"/>
  <c r="EF60" i="25"/>
  <c r="EF94" i="25"/>
  <c r="EF122" i="25"/>
  <c r="EF127" i="25"/>
  <c r="EF128" i="25"/>
  <c r="EF21" i="25"/>
  <c r="EF36" i="25"/>
  <c r="EF56" i="25"/>
  <c r="EF22" i="25"/>
  <c r="EF145" i="25"/>
  <c r="EF11" i="25"/>
  <c r="EF12" i="25"/>
  <c r="EF15" i="25"/>
  <c r="EF20" i="25"/>
  <c r="EF23" i="25"/>
  <c r="EF33" i="25"/>
  <c r="EF35" i="25"/>
  <c r="EF47" i="25"/>
  <c r="EF53" i="25"/>
  <c r="EF58" i="25"/>
  <c r="EF59" i="25"/>
  <c r="EF65" i="25"/>
  <c r="EF91" i="25"/>
  <c r="EF97" i="25"/>
  <c r="EF101" i="25"/>
  <c r="EF106" i="25"/>
  <c r="EF126" i="25"/>
  <c r="EF136" i="25"/>
  <c r="EF160" i="25"/>
  <c r="EF164" i="25"/>
  <c r="EF19" i="25"/>
  <c r="EF51" i="25"/>
  <c r="EF77" i="25"/>
  <c r="EF82" i="25"/>
  <c r="EF83" i="25"/>
  <c r="EF84" i="25"/>
  <c r="EF85" i="25"/>
  <c r="EF86" i="25"/>
  <c r="EF87" i="25"/>
  <c r="EF88" i="25"/>
  <c r="EF28" i="25"/>
  <c r="EF49" i="25"/>
  <c r="EF147" i="25"/>
  <c r="EF68" i="25"/>
  <c r="EF146" i="25"/>
  <c r="EF102" i="25"/>
  <c r="EF103" i="25"/>
  <c r="EF107" i="25"/>
  <c r="EF132" i="25"/>
  <c r="EF34" i="25"/>
  <c r="EF92" i="25"/>
  <c r="EF111" i="25"/>
  <c r="EF144" i="25"/>
  <c r="EF13" i="25"/>
  <c r="EF27" i="25"/>
  <c r="EF37" i="25"/>
  <c r="EF38" i="25"/>
  <c r="EF44" i="25"/>
  <c r="EF46" i="25"/>
  <c r="EF48" i="25"/>
  <c r="EF50" i="25"/>
  <c r="EF62" i="25"/>
  <c r="EF63" i="25"/>
  <c r="EF64" i="25"/>
  <c r="EF67" i="25"/>
  <c r="EF79" i="25"/>
  <c r="EF80" i="25"/>
  <c r="EF93" i="25"/>
  <c r="EF96" i="25"/>
  <c r="EF98" i="25"/>
  <c r="EF113" i="25"/>
  <c r="EF115" i="25"/>
  <c r="EF118" i="25"/>
  <c r="EF134" i="25"/>
  <c r="EF26" i="25"/>
  <c r="EF42" i="25"/>
  <c r="EF45" i="25"/>
  <c r="EF55" i="25"/>
  <c r="EF78" i="25"/>
  <c r="EF81" i="25"/>
  <c r="EF89" i="25"/>
  <c r="EF90" i="25"/>
  <c r="EF105" i="25"/>
  <c r="EF116" i="25"/>
  <c r="EF117" i="25"/>
  <c r="EF120" i="25"/>
  <c r="EF133" i="25"/>
  <c r="EF138" i="25"/>
  <c r="EF142" i="25"/>
  <c r="EF150" i="25"/>
  <c r="EF151" i="25"/>
  <c r="EF130" i="25"/>
  <c r="EF152" i="25"/>
  <c r="EF153" i="25"/>
  <c r="EF66" i="25"/>
  <c r="EF121" i="25"/>
  <c r="EF140" i="25"/>
  <c r="EF141" i="25"/>
  <c r="EF29" i="25"/>
  <c r="EF112" i="25"/>
  <c r="EF131" i="25"/>
  <c r="EF143" i="25"/>
  <c r="EF148" i="25"/>
  <c r="EF149" i="25"/>
  <c r="EF17" i="25"/>
  <c r="EF30" i="25"/>
  <c r="EF31" i="25"/>
  <c r="EF32" i="25"/>
  <c r="EF40" i="25"/>
  <c r="EF69" i="25"/>
  <c r="EF70" i="25"/>
  <c r="EF71" i="25"/>
  <c r="EF72" i="25"/>
  <c r="EF73" i="25"/>
  <c r="EF74" i="25"/>
  <c r="EF110" i="25"/>
  <c r="EF119" i="25"/>
  <c r="EF99" i="25"/>
  <c r="EF124" i="25"/>
  <c r="EF125" i="25"/>
  <c r="EF75" i="25"/>
  <c r="EF129" i="25"/>
  <c r="EF135" i="25"/>
  <c r="EF139" i="25"/>
  <c r="EF154" i="25"/>
  <c r="EF156" i="25"/>
  <c r="EF157" i="25"/>
  <c r="EF161" i="25"/>
  <c r="EF162" i="25"/>
  <c r="EF163" i="25"/>
  <c r="EF195" i="25"/>
  <c r="EF201" i="25"/>
  <c r="EF181" i="25"/>
  <c r="EF166" i="25"/>
  <c r="EF168" i="25"/>
  <c r="EF174" i="25"/>
  <c r="EF175" i="25"/>
  <c r="EF176" i="25"/>
  <c r="EF169" i="25"/>
  <c r="EF180" i="25"/>
  <c r="EF182" i="25"/>
  <c r="EF186" i="25"/>
  <c r="EF188" i="25"/>
  <c r="EF193" i="25"/>
  <c r="EF194" i="25"/>
  <c r="EF197" i="25"/>
  <c r="EF198" i="25"/>
  <c r="EF202" i="25"/>
  <c r="EF167" i="25"/>
  <c r="EF171" i="25"/>
  <c r="EF200" i="25"/>
  <c r="EF183" i="25"/>
  <c r="EF184" i="25"/>
  <c r="EF172" i="25"/>
  <c r="EF187" i="25"/>
  <c r="EF189" i="25"/>
  <c r="EF190" i="25"/>
  <c r="EF191" i="25"/>
  <c r="EF192" i="25"/>
  <c r="EF173" i="25"/>
  <c r="EF178" i="25"/>
  <c r="EF179" i="25"/>
  <c r="EF196" i="25"/>
  <c r="EF199" i="25"/>
  <c r="EG8" i="25"/>
  <c r="DE8" i="25" s="1"/>
  <c r="EG9" i="25"/>
  <c r="EG10" i="25"/>
  <c r="DE10" i="25" s="1"/>
  <c r="EG14" i="25"/>
  <c r="DH14" i="25" s="1"/>
  <c r="DI14" i="25" s="1"/>
  <c r="EG16" i="25"/>
  <c r="DE16" i="25" s="1"/>
  <c r="EG39" i="25"/>
  <c r="DE39" i="25" s="1"/>
  <c r="EG60" i="25"/>
  <c r="DE60" i="25" s="1"/>
  <c r="EG94" i="25"/>
  <c r="DH94" i="25" s="1"/>
  <c r="DI94" i="25" s="1"/>
  <c r="EG122" i="25"/>
  <c r="DE122" i="25" s="1"/>
  <c r="EG127" i="25"/>
  <c r="DE127" i="25" s="1"/>
  <c r="EG128" i="25"/>
  <c r="EG21" i="25"/>
  <c r="DE21" i="25" s="1"/>
  <c r="EG36" i="25"/>
  <c r="EG56" i="25"/>
  <c r="DE56" i="25" s="1"/>
  <c r="EG22" i="25"/>
  <c r="DE22" i="25" s="1"/>
  <c r="EG145" i="25"/>
  <c r="EG11" i="25"/>
  <c r="EG12" i="25"/>
  <c r="EG15" i="25"/>
  <c r="EG20" i="25"/>
  <c r="DE20" i="25" s="1"/>
  <c r="EG23" i="25"/>
  <c r="DE23" i="25" s="1"/>
  <c r="EG33" i="25"/>
  <c r="DE33" i="25" s="1"/>
  <c r="EG35" i="25"/>
  <c r="DE35" i="25" s="1"/>
  <c r="EG47" i="25"/>
  <c r="DE47" i="25" s="1"/>
  <c r="EG53" i="25"/>
  <c r="DE53" i="25" s="1"/>
  <c r="EG58" i="25"/>
  <c r="EG59" i="25"/>
  <c r="DH59" i="25" s="1"/>
  <c r="DI59" i="25" s="1"/>
  <c r="EG65" i="25"/>
  <c r="EG91" i="25"/>
  <c r="DE91" i="25" s="1"/>
  <c r="EG97" i="25"/>
  <c r="DH97" i="25" s="1"/>
  <c r="DI97" i="25" s="1"/>
  <c r="EG101" i="25"/>
  <c r="DE101" i="25" s="1"/>
  <c r="EG106" i="25"/>
  <c r="EG126" i="25"/>
  <c r="DH126" i="25" s="1"/>
  <c r="DI126" i="25" s="1"/>
  <c r="EG136" i="25"/>
  <c r="DE136" i="25" s="1"/>
  <c r="EG160" i="25"/>
  <c r="DH160" i="25" s="1"/>
  <c r="DI160" i="25" s="1"/>
  <c r="EG164" i="25"/>
  <c r="EG19" i="25"/>
  <c r="DE19" i="25" s="1"/>
  <c r="EG51" i="25"/>
  <c r="EG77" i="25"/>
  <c r="DH77" i="25" s="1"/>
  <c r="DI77" i="25" s="1"/>
  <c r="EG82" i="25"/>
  <c r="DH82" i="25" s="1"/>
  <c r="DI82" i="25" s="1"/>
  <c r="EG83" i="25"/>
  <c r="EG84" i="25"/>
  <c r="EG85" i="25"/>
  <c r="DH85" i="25" s="1"/>
  <c r="DI85" i="25" s="1"/>
  <c r="EG86" i="25"/>
  <c r="EG87" i="25"/>
  <c r="DH87" i="25" s="1"/>
  <c r="DI87" i="25" s="1"/>
  <c r="EG88" i="25"/>
  <c r="EG28" i="25"/>
  <c r="DH28" i="25" s="1"/>
  <c r="DI28" i="25" s="1"/>
  <c r="EG49" i="25"/>
  <c r="EG147" i="25"/>
  <c r="DH147" i="25" s="1"/>
  <c r="DI147" i="25" s="1"/>
  <c r="EG68" i="25"/>
  <c r="EG146" i="25"/>
  <c r="DH146" i="25" s="1"/>
  <c r="DI146" i="25" s="1"/>
  <c r="EG102" i="25"/>
  <c r="EG103" i="25"/>
  <c r="DH103" i="25" s="1"/>
  <c r="DI103" i="25" s="1"/>
  <c r="EG107" i="25"/>
  <c r="DE107" i="25" s="1"/>
  <c r="EG132" i="25"/>
  <c r="DH132" i="25" s="1"/>
  <c r="DI132" i="25" s="1"/>
  <c r="EG34" i="25"/>
  <c r="DE34" i="25" s="1"/>
  <c r="EG92" i="25"/>
  <c r="DH92" i="25" s="1"/>
  <c r="DI92" i="25" s="1"/>
  <c r="EG111" i="25"/>
  <c r="DH111" i="25" s="1"/>
  <c r="DI111" i="25" s="1"/>
  <c r="EG144" i="25"/>
  <c r="DE144" i="25" s="1"/>
  <c r="EG13" i="25"/>
  <c r="EG27" i="25"/>
  <c r="DH27" i="25" s="1"/>
  <c r="DI27" i="25" s="1"/>
  <c r="EG37" i="25"/>
  <c r="EG38" i="25"/>
  <c r="DH38" i="25" s="1"/>
  <c r="DI38" i="25" s="1"/>
  <c r="EG44" i="25"/>
  <c r="DH44" i="25" s="1"/>
  <c r="DI44" i="25" s="1"/>
  <c r="EG46" i="25"/>
  <c r="EG48" i="25"/>
  <c r="EG50" i="25"/>
  <c r="DE50" i="25" s="1"/>
  <c r="EG62" i="25"/>
  <c r="EG63" i="25"/>
  <c r="DE63" i="25" s="1"/>
  <c r="EG64" i="25"/>
  <c r="DE64" i="25" s="1"/>
  <c r="EG67" i="25"/>
  <c r="EG79" i="25"/>
  <c r="DE79" i="25" s="1"/>
  <c r="EG80" i="25"/>
  <c r="DH80" i="25" s="1"/>
  <c r="DI80" i="25" s="1"/>
  <c r="EG93" i="25"/>
  <c r="EG96" i="25"/>
  <c r="DE96" i="25" s="1"/>
  <c r="EG98" i="25"/>
  <c r="DE98" i="25" s="1"/>
  <c r="EG113" i="25"/>
  <c r="DE113" i="25" s="1"/>
  <c r="EG115" i="25"/>
  <c r="DE115" i="25" s="1"/>
  <c r="EG118" i="25"/>
  <c r="DH118" i="25" s="1"/>
  <c r="DI118" i="25" s="1"/>
  <c r="EG134" i="25"/>
  <c r="DE134" i="25" s="1"/>
  <c r="EG26" i="25"/>
  <c r="DH26" i="25" s="1"/>
  <c r="DI26" i="25" s="1"/>
  <c r="EG42" i="25"/>
  <c r="EG45" i="25"/>
  <c r="DE45" i="25" s="1"/>
  <c r="EG55" i="25"/>
  <c r="EG78" i="25"/>
  <c r="DE78" i="25" s="1"/>
  <c r="EG81" i="25"/>
  <c r="DE81" i="25" s="1"/>
  <c r="EG89" i="25"/>
  <c r="DH89" i="25" s="1"/>
  <c r="DI89" i="25" s="1"/>
  <c r="EG90" i="25"/>
  <c r="EG105" i="25"/>
  <c r="DE105" i="25" s="1"/>
  <c r="EG116" i="25"/>
  <c r="EG117" i="25"/>
  <c r="DE117" i="25" s="1"/>
  <c r="EG120" i="25"/>
  <c r="DE120" i="25" s="1"/>
  <c r="EG133" i="25"/>
  <c r="DE133" i="25" s="1"/>
  <c r="EG138" i="25"/>
  <c r="DE138" i="25" s="1"/>
  <c r="EG142" i="25"/>
  <c r="EG150" i="25"/>
  <c r="EG151" i="25"/>
  <c r="DE151" i="25" s="1"/>
  <c r="EG130" i="25"/>
  <c r="DH130" i="25" s="1"/>
  <c r="DI130" i="25" s="1"/>
  <c r="EG152" i="25"/>
  <c r="DE152" i="25" s="1"/>
  <c r="EG153" i="25"/>
  <c r="DE153" i="25" s="1"/>
  <c r="EG66" i="25"/>
  <c r="DH66" i="25" s="1"/>
  <c r="DI66" i="25" s="1"/>
  <c r="EG121" i="25"/>
  <c r="DH121" i="25" s="1"/>
  <c r="DI121" i="25" s="1"/>
  <c r="EG140" i="25"/>
  <c r="DE140" i="25" s="1"/>
  <c r="EG141" i="25"/>
  <c r="DE141" i="25" s="1"/>
  <c r="EG29" i="25"/>
  <c r="DH29" i="25" s="1"/>
  <c r="DI29" i="25" s="1"/>
  <c r="EG112" i="25"/>
  <c r="EG131" i="25"/>
  <c r="DH131" i="25" s="1"/>
  <c r="DI131" i="25" s="1"/>
  <c r="EG143" i="25"/>
  <c r="EG148" i="25"/>
  <c r="DE148" i="25" s="1"/>
  <c r="EG149" i="25"/>
  <c r="DE149" i="25" s="1"/>
  <c r="EG17" i="25"/>
  <c r="DE17" i="25" s="1"/>
  <c r="EG30" i="25"/>
  <c r="DE30" i="25" s="1"/>
  <c r="EG31" i="25"/>
  <c r="DE31" i="25" s="1"/>
  <c r="EG32" i="25"/>
  <c r="DE32" i="25" s="1"/>
  <c r="EG40" i="25"/>
  <c r="DE40" i="25" s="1"/>
  <c r="EG69" i="25"/>
  <c r="EG70" i="25"/>
  <c r="DE70" i="25" s="1"/>
  <c r="EG71" i="25"/>
  <c r="EG72" i="25"/>
  <c r="DE72" i="25" s="1"/>
  <c r="EG73" i="25"/>
  <c r="DE73" i="25" s="1"/>
  <c r="EG74" i="25"/>
  <c r="DH74" i="25" s="1"/>
  <c r="DI74" i="25" s="1"/>
  <c r="EG110" i="25"/>
  <c r="DE110" i="25" s="1"/>
  <c r="EG119" i="25"/>
  <c r="EG99" i="25"/>
  <c r="DH99" i="25" s="1"/>
  <c r="DI99" i="25" s="1"/>
  <c r="EG124" i="25"/>
  <c r="DH124" i="25" s="1"/>
  <c r="DI124" i="25" s="1"/>
  <c r="EG125" i="25"/>
  <c r="DH125" i="25" s="1"/>
  <c r="DI125" i="25" s="1"/>
  <c r="EG75" i="25"/>
  <c r="DE75" i="25" s="1"/>
  <c r="EG129" i="25"/>
  <c r="DH129" i="25" s="1"/>
  <c r="DI129" i="25" s="1"/>
  <c r="EG135" i="25"/>
  <c r="EG139" i="25"/>
  <c r="DH139" i="25" s="1"/>
  <c r="DI139" i="25" s="1"/>
  <c r="EG154" i="25"/>
  <c r="DE154" i="25" s="1"/>
  <c r="EG156" i="25"/>
  <c r="DE156" i="25" s="1"/>
  <c r="EG157" i="25"/>
  <c r="DE157" i="25" s="1"/>
  <c r="EG161" i="25"/>
  <c r="DH161" i="25" s="1"/>
  <c r="DI161" i="25" s="1"/>
  <c r="EG162" i="25"/>
  <c r="EG163" i="25"/>
  <c r="DE163" i="25" s="1"/>
  <c r="EG195" i="25"/>
  <c r="DH195" i="25" s="1"/>
  <c r="DI195" i="25" s="1"/>
  <c r="EG201" i="25"/>
  <c r="DE201" i="25" s="1"/>
  <c r="EG181" i="25"/>
  <c r="EG166" i="25"/>
  <c r="DE166" i="25" s="1"/>
  <c r="EG168" i="25"/>
  <c r="DH168" i="25" s="1"/>
  <c r="DI168" i="25" s="1"/>
  <c r="EG174" i="25"/>
  <c r="DE174" i="25" s="1"/>
  <c r="EG175" i="25"/>
  <c r="DE175" i="25" s="1"/>
  <c r="EG176" i="25"/>
  <c r="DH176" i="25" s="1"/>
  <c r="DI176" i="25" s="1"/>
  <c r="EG169" i="25"/>
  <c r="EG180" i="25"/>
  <c r="DH180" i="25" s="1"/>
  <c r="DI180" i="25" s="1"/>
  <c r="EG182" i="25"/>
  <c r="EG186" i="25"/>
  <c r="DH186" i="25" s="1"/>
  <c r="DI186" i="25" s="1"/>
  <c r="EG188" i="25"/>
  <c r="EG193" i="25"/>
  <c r="DH193" i="25" s="1"/>
  <c r="DI193" i="25" s="1"/>
  <c r="EG194" i="25"/>
  <c r="EG197" i="25"/>
  <c r="EG198" i="25"/>
  <c r="DE198" i="25" s="1"/>
  <c r="EG202" i="25"/>
  <c r="DE202" i="25" s="1"/>
  <c r="EG167" i="25"/>
  <c r="EG171" i="25"/>
  <c r="DE171" i="25" s="1"/>
  <c r="EG200" i="25"/>
  <c r="DE200" i="25" s="1"/>
  <c r="EG183" i="25"/>
  <c r="DE183" i="25" s="1"/>
  <c r="EG184" i="25"/>
  <c r="EG172" i="25"/>
  <c r="DH172" i="25" s="1"/>
  <c r="DI172" i="25" s="1"/>
  <c r="EG187" i="25"/>
  <c r="DH187" i="25" s="1"/>
  <c r="DI187" i="25" s="1"/>
  <c r="EG189" i="25"/>
  <c r="DH189" i="25" s="1"/>
  <c r="DI189" i="25" s="1"/>
  <c r="EG190" i="25"/>
  <c r="EG191" i="25"/>
  <c r="DE191" i="25" s="1"/>
  <c r="EG192" i="25"/>
  <c r="DE192" i="25" s="1"/>
  <c r="EG173" i="25"/>
  <c r="DH173" i="25" s="1"/>
  <c r="DI173" i="25" s="1"/>
  <c r="EG178" i="25"/>
  <c r="DE178" i="25" s="1"/>
  <c r="EG179" i="25"/>
  <c r="DE179" i="25" s="1"/>
  <c r="EG196" i="25"/>
  <c r="DE196" i="25" s="1"/>
  <c r="EG199" i="25"/>
  <c r="DH199" i="25" s="1"/>
  <c r="DI199" i="25" s="1"/>
  <c r="EH8" i="25"/>
  <c r="EH9" i="25"/>
  <c r="EH10" i="25"/>
  <c r="EH14" i="25"/>
  <c r="EH16" i="25"/>
  <c r="EH39" i="25"/>
  <c r="EH60" i="25"/>
  <c r="EH94" i="25"/>
  <c r="EH122" i="25"/>
  <c r="EH127" i="25"/>
  <c r="EH128" i="25"/>
  <c r="EH21" i="25"/>
  <c r="EH36" i="25"/>
  <c r="EH56" i="25"/>
  <c r="EH22" i="25"/>
  <c r="EH145" i="25"/>
  <c r="EH11" i="25"/>
  <c r="EH12" i="25"/>
  <c r="EH15" i="25"/>
  <c r="EH20" i="25"/>
  <c r="EH23" i="25"/>
  <c r="EH33" i="25"/>
  <c r="EH35" i="25"/>
  <c r="EH47" i="25"/>
  <c r="EH53" i="25"/>
  <c r="EH58" i="25"/>
  <c r="EH59" i="25"/>
  <c r="EH65" i="25"/>
  <c r="EH91" i="25"/>
  <c r="EH97" i="25"/>
  <c r="EH101" i="25"/>
  <c r="EH106" i="25"/>
  <c r="EH126" i="25"/>
  <c r="EH136" i="25"/>
  <c r="EH160" i="25"/>
  <c r="EH164" i="25"/>
  <c r="EH19" i="25"/>
  <c r="EH51" i="25"/>
  <c r="EH77" i="25"/>
  <c r="EH82" i="25"/>
  <c r="EH83" i="25"/>
  <c r="EH84" i="25"/>
  <c r="EH85" i="25"/>
  <c r="EH86" i="25"/>
  <c r="EH87" i="25"/>
  <c r="EH88" i="25"/>
  <c r="EH28" i="25"/>
  <c r="EH49" i="25"/>
  <c r="EH147" i="25"/>
  <c r="EH68" i="25"/>
  <c r="EH146" i="25"/>
  <c r="EH102" i="25"/>
  <c r="EH103" i="25"/>
  <c r="EH107" i="25"/>
  <c r="EH132" i="25"/>
  <c r="EH34" i="25"/>
  <c r="EH92" i="25"/>
  <c r="EH111" i="25"/>
  <c r="EH144" i="25"/>
  <c r="EH13" i="25"/>
  <c r="EH27" i="25"/>
  <c r="EH37" i="25"/>
  <c r="EH38" i="25"/>
  <c r="EH44" i="25"/>
  <c r="EH46" i="25"/>
  <c r="EH48" i="25"/>
  <c r="EH50" i="25"/>
  <c r="EH62" i="25"/>
  <c r="EH63" i="25"/>
  <c r="EH64" i="25"/>
  <c r="EH67" i="25"/>
  <c r="EH79" i="25"/>
  <c r="EH80" i="25"/>
  <c r="EH93" i="25"/>
  <c r="EH96" i="25"/>
  <c r="EH98" i="25"/>
  <c r="EH113" i="25"/>
  <c r="EH115" i="25"/>
  <c r="EH118" i="25"/>
  <c r="EH134" i="25"/>
  <c r="EH26" i="25"/>
  <c r="EH42" i="25"/>
  <c r="EH45" i="25"/>
  <c r="EH55" i="25"/>
  <c r="EH78" i="25"/>
  <c r="EH81" i="25"/>
  <c r="EH89" i="25"/>
  <c r="EH90" i="25"/>
  <c r="EH105" i="25"/>
  <c r="EH116" i="25"/>
  <c r="EH117" i="25"/>
  <c r="EH120" i="25"/>
  <c r="EH133" i="25"/>
  <c r="EH138" i="25"/>
  <c r="EH142" i="25"/>
  <c r="EH150" i="25"/>
  <c r="EH151" i="25"/>
  <c r="EH130" i="25"/>
  <c r="EH152" i="25"/>
  <c r="EH153" i="25"/>
  <c r="EH66" i="25"/>
  <c r="EH121" i="25"/>
  <c r="EH140" i="25"/>
  <c r="EH141" i="25"/>
  <c r="EH29" i="25"/>
  <c r="EH112" i="25"/>
  <c r="EH131" i="25"/>
  <c r="EH143" i="25"/>
  <c r="EH148" i="25"/>
  <c r="EH149" i="25"/>
  <c r="EH17" i="25"/>
  <c r="EH30" i="25"/>
  <c r="EH31" i="25"/>
  <c r="EH32" i="25"/>
  <c r="EH40" i="25"/>
  <c r="EH69" i="25"/>
  <c r="EH70" i="25"/>
  <c r="EH71" i="25"/>
  <c r="EH72" i="25"/>
  <c r="EH73" i="25"/>
  <c r="EH74" i="25"/>
  <c r="EH110" i="25"/>
  <c r="EH119" i="25"/>
  <c r="EH99" i="25"/>
  <c r="EH124" i="25"/>
  <c r="EH125" i="25"/>
  <c r="EH75" i="25"/>
  <c r="EH129" i="25"/>
  <c r="EH135" i="25"/>
  <c r="EH139" i="25"/>
  <c r="EH154" i="25"/>
  <c r="EH156" i="25"/>
  <c r="EH157" i="25"/>
  <c r="EH161" i="25"/>
  <c r="EH162" i="25"/>
  <c r="EH163" i="25"/>
  <c r="EH195" i="25"/>
  <c r="EH201" i="25"/>
  <c r="EH181" i="25"/>
  <c r="EH166" i="25"/>
  <c r="EH168" i="25"/>
  <c r="EH174" i="25"/>
  <c r="EH175" i="25"/>
  <c r="EH176" i="25"/>
  <c r="EH169" i="25"/>
  <c r="EH180" i="25"/>
  <c r="EH182" i="25"/>
  <c r="EH186" i="25"/>
  <c r="EH188" i="25"/>
  <c r="EH193" i="25"/>
  <c r="EH194" i="25"/>
  <c r="EH197" i="25"/>
  <c r="EH198" i="25"/>
  <c r="EH202" i="25"/>
  <c r="EH167" i="25"/>
  <c r="EH171" i="25"/>
  <c r="EH200" i="25"/>
  <c r="EH183" i="25"/>
  <c r="EH184" i="25"/>
  <c r="EH172" i="25"/>
  <c r="EH187" i="25"/>
  <c r="EH189" i="25"/>
  <c r="EH190" i="25"/>
  <c r="EH191" i="25"/>
  <c r="EH192" i="25"/>
  <c r="EH173" i="25"/>
  <c r="EH178" i="25"/>
  <c r="EH179" i="25"/>
  <c r="EH196" i="25"/>
  <c r="EH199" i="25"/>
  <c r="EI8" i="25"/>
  <c r="EI9" i="25"/>
  <c r="DT9" i="25" s="1"/>
  <c r="EI10" i="25"/>
  <c r="DT10" i="25" s="1"/>
  <c r="EI14" i="25"/>
  <c r="DT14" i="25" s="1"/>
  <c r="EI16" i="25"/>
  <c r="DT16" i="25" s="1"/>
  <c r="EI39" i="25"/>
  <c r="DT39" i="25" s="1"/>
  <c r="EI60" i="25"/>
  <c r="DT60" i="25" s="1"/>
  <c r="EI94" i="25"/>
  <c r="DT94" i="25" s="1"/>
  <c r="EI122" i="25"/>
  <c r="DT122" i="25" s="1"/>
  <c r="EI127" i="25"/>
  <c r="DT127" i="25" s="1"/>
  <c r="EI128" i="25"/>
  <c r="EI21" i="25"/>
  <c r="DT21" i="25" s="1"/>
  <c r="EI36" i="25"/>
  <c r="DT36" i="25" s="1"/>
  <c r="EI56" i="25"/>
  <c r="DT56" i="25" s="1"/>
  <c r="EI22" i="25"/>
  <c r="DT22" i="25" s="1"/>
  <c r="EI145" i="25"/>
  <c r="DT145" i="25" s="1"/>
  <c r="EI11" i="25"/>
  <c r="DT11" i="25" s="1"/>
  <c r="EI12" i="25"/>
  <c r="DT12" i="25" s="1"/>
  <c r="EI15" i="25"/>
  <c r="DT15" i="25" s="1"/>
  <c r="EI20" i="25"/>
  <c r="DT20" i="25" s="1"/>
  <c r="EI23" i="25"/>
  <c r="DT23" i="25" s="1"/>
  <c r="EI33" i="25"/>
  <c r="DT33" i="25" s="1"/>
  <c r="EI35" i="25"/>
  <c r="DT35" i="25" s="1"/>
  <c r="EI47" i="25"/>
  <c r="DT47" i="25" s="1"/>
  <c r="EI53" i="25"/>
  <c r="DT53" i="25" s="1"/>
  <c r="EI58" i="25"/>
  <c r="DT58" i="25" s="1"/>
  <c r="EI59" i="25"/>
  <c r="DT59" i="25" s="1"/>
  <c r="EI65" i="25"/>
  <c r="DT65" i="25" s="1"/>
  <c r="EI91" i="25"/>
  <c r="DT91" i="25" s="1"/>
  <c r="EI97" i="25"/>
  <c r="DT97" i="25" s="1"/>
  <c r="EI101" i="25"/>
  <c r="DT101" i="25" s="1"/>
  <c r="EI106" i="25"/>
  <c r="DT106" i="25" s="1"/>
  <c r="EI126" i="25"/>
  <c r="DT126" i="25" s="1"/>
  <c r="EI136" i="25"/>
  <c r="DT136" i="25" s="1"/>
  <c r="EI160" i="25"/>
  <c r="DT160" i="25" s="1"/>
  <c r="EI164" i="25"/>
  <c r="DT164" i="25" s="1"/>
  <c r="EI19" i="25"/>
  <c r="DT19" i="25" s="1"/>
  <c r="EI51" i="25"/>
  <c r="DT51" i="25" s="1"/>
  <c r="EI77" i="25"/>
  <c r="DT77" i="25" s="1"/>
  <c r="EI82" i="25"/>
  <c r="DT82" i="25" s="1"/>
  <c r="EI83" i="25"/>
  <c r="DT83" i="25" s="1"/>
  <c r="EI84" i="25"/>
  <c r="DT84" i="25" s="1"/>
  <c r="EI85" i="25"/>
  <c r="DT85" i="25" s="1"/>
  <c r="EI86" i="25"/>
  <c r="DT86" i="25" s="1"/>
  <c r="EI87" i="25"/>
  <c r="DT87" i="25" s="1"/>
  <c r="EI88" i="25"/>
  <c r="DT88" i="25" s="1"/>
  <c r="EI28" i="25"/>
  <c r="DT28" i="25" s="1"/>
  <c r="EI49" i="25"/>
  <c r="DT49" i="25" s="1"/>
  <c r="EI147" i="25"/>
  <c r="DT147" i="25" s="1"/>
  <c r="EI68" i="25"/>
  <c r="DT68" i="25" s="1"/>
  <c r="EI146" i="25"/>
  <c r="DT146" i="25" s="1"/>
  <c r="EI102" i="25"/>
  <c r="DT102" i="25" s="1"/>
  <c r="EI103" i="25"/>
  <c r="DT103" i="25" s="1"/>
  <c r="EI107" i="25"/>
  <c r="DT107" i="25" s="1"/>
  <c r="EI132" i="25"/>
  <c r="DT132" i="25" s="1"/>
  <c r="EI34" i="25"/>
  <c r="DT34" i="25" s="1"/>
  <c r="EI92" i="25"/>
  <c r="DT92" i="25" s="1"/>
  <c r="EI111" i="25"/>
  <c r="DT111" i="25" s="1"/>
  <c r="EI144" i="25"/>
  <c r="DT144" i="25" s="1"/>
  <c r="EI13" i="25"/>
  <c r="DT13" i="25" s="1"/>
  <c r="EI27" i="25"/>
  <c r="DT27" i="25" s="1"/>
  <c r="EI37" i="25"/>
  <c r="DT37" i="25" s="1"/>
  <c r="EI38" i="25"/>
  <c r="DT38" i="25" s="1"/>
  <c r="EI44" i="25"/>
  <c r="DT44" i="25" s="1"/>
  <c r="EI46" i="25"/>
  <c r="DT46" i="25" s="1"/>
  <c r="EI48" i="25"/>
  <c r="DT48" i="25" s="1"/>
  <c r="EI50" i="25"/>
  <c r="DT50" i="25" s="1"/>
  <c r="EI62" i="25"/>
  <c r="DT62" i="25" s="1"/>
  <c r="EI63" i="25"/>
  <c r="DT63" i="25" s="1"/>
  <c r="EI64" i="25"/>
  <c r="DT64" i="25" s="1"/>
  <c r="EI67" i="25"/>
  <c r="EI79" i="25"/>
  <c r="DT79" i="25" s="1"/>
  <c r="EI80" i="25"/>
  <c r="DT80" i="25" s="1"/>
  <c r="EI93" i="25"/>
  <c r="DT93" i="25" s="1"/>
  <c r="EI96" i="25"/>
  <c r="DT96" i="25" s="1"/>
  <c r="EI98" i="25"/>
  <c r="DT98" i="25" s="1"/>
  <c r="EI113" i="25"/>
  <c r="DT113" i="25" s="1"/>
  <c r="EI115" i="25"/>
  <c r="DT115" i="25" s="1"/>
  <c r="EI118" i="25"/>
  <c r="DT118" i="25" s="1"/>
  <c r="EI134" i="25"/>
  <c r="DT134" i="25" s="1"/>
  <c r="EI26" i="25"/>
  <c r="DT26" i="25" s="1"/>
  <c r="EI42" i="25"/>
  <c r="DT42" i="25" s="1"/>
  <c r="EI45" i="25"/>
  <c r="DT45" i="25" s="1"/>
  <c r="EI55" i="25"/>
  <c r="DT55" i="25" s="1"/>
  <c r="EI78" i="25"/>
  <c r="DT78" i="25" s="1"/>
  <c r="EI81" i="25"/>
  <c r="DT81" i="25" s="1"/>
  <c r="EI89" i="25"/>
  <c r="DT89" i="25" s="1"/>
  <c r="EI90" i="25"/>
  <c r="DT90" i="25" s="1"/>
  <c r="EI105" i="25"/>
  <c r="DT105" i="25" s="1"/>
  <c r="EI116" i="25"/>
  <c r="DT116" i="25" s="1"/>
  <c r="EI117" i="25"/>
  <c r="DT117" i="25" s="1"/>
  <c r="EI120" i="25"/>
  <c r="DT120" i="25" s="1"/>
  <c r="EI133" i="25"/>
  <c r="DT133" i="25" s="1"/>
  <c r="EI138" i="25"/>
  <c r="DT138" i="25" s="1"/>
  <c r="EI142" i="25"/>
  <c r="DT142" i="25" s="1"/>
  <c r="EI150" i="25"/>
  <c r="DT150" i="25" s="1"/>
  <c r="EI151" i="25"/>
  <c r="DT151" i="25" s="1"/>
  <c r="EI130" i="25"/>
  <c r="DT130" i="25" s="1"/>
  <c r="EI152" i="25"/>
  <c r="DT152" i="25" s="1"/>
  <c r="EI153" i="25"/>
  <c r="DT153" i="25" s="1"/>
  <c r="EI66" i="25"/>
  <c r="DT66" i="25" s="1"/>
  <c r="EI121" i="25"/>
  <c r="DT121" i="25" s="1"/>
  <c r="EI140" i="25"/>
  <c r="DT140" i="25" s="1"/>
  <c r="EI141" i="25"/>
  <c r="DT141" i="25" s="1"/>
  <c r="EI29" i="25"/>
  <c r="DT29" i="25" s="1"/>
  <c r="EI112" i="25"/>
  <c r="DT112" i="25" s="1"/>
  <c r="EI131" i="25"/>
  <c r="DT131" i="25" s="1"/>
  <c r="EI143" i="25"/>
  <c r="DT143" i="25" s="1"/>
  <c r="EI148" i="25"/>
  <c r="DT148" i="25" s="1"/>
  <c r="EI149" i="25"/>
  <c r="DT149" i="25" s="1"/>
  <c r="EI17" i="25"/>
  <c r="DT17" i="25" s="1"/>
  <c r="EI30" i="25"/>
  <c r="DT30" i="25" s="1"/>
  <c r="EI31" i="25"/>
  <c r="DT31" i="25" s="1"/>
  <c r="EI32" i="25"/>
  <c r="DT32" i="25" s="1"/>
  <c r="EI40" i="25"/>
  <c r="DT40" i="25" s="1"/>
  <c r="EI69" i="25"/>
  <c r="DT69" i="25" s="1"/>
  <c r="EI70" i="25"/>
  <c r="DT70" i="25" s="1"/>
  <c r="EI71" i="25"/>
  <c r="DT71" i="25" s="1"/>
  <c r="EI72" i="25"/>
  <c r="DT72" i="25" s="1"/>
  <c r="EI73" i="25"/>
  <c r="DT73" i="25" s="1"/>
  <c r="EI74" i="25"/>
  <c r="DT74" i="25" s="1"/>
  <c r="EI110" i="25"/>
  <c r="DT110" i="25" s="1"/>
  <c r="EI119" i="25"/>
  <c r="DT119" i="25" s="1"/>
  <c r="EI99" i="25"/>
  <c r="DT99" i="25" s="1"/>
  <c r="EI124" i="25"/>
  <c r="DT124" i="25" s="1"/>
  <c r="EI125" i="25"/>
  <c r="DT125" i="25" s="1"/>
  <c r="EI75" i="25"/>
  <c r="DT75" i="25" s="1"/>
  <c r="EI129" i="25"/>
  <c r="DT129" i="25" s="1"/>
  <c r="EI135" i="25"/>
  <c r="DT135" i="25" s="1"/>
  <c r="EI139" i="25"/>
  <c r="DT139" i="25" s="1"/>
  <c r="EI154" i="25"/>
  <c r="DT154" i="25" s="1"/>
  <c r="EI156" i="25"/>
  <c r="DT156" i="25" s="1"/>
  <c r="EI157" i="25"/>
  <c r="DT157" i="25" s="1"/>
  <c r="EI161" i="25"/>
  <c r="DT161" i="25" s="1"/>
  <c r="EI162" i="25"/>
  <c r="DT162" i="25" s="1"/>
  <c r="EI163" i="25"/>
  <c r="DT163" i="25" s="1"/>
  <c r="EI195" i="25"/>
  <c r="DT195" i="25" s="1"/>
  <c r="EI201" i="25"/>
  <c r="DT201" i="25" s="1"/>
  <c r="EI181" i="25"/>
  <c r="DT181" i="25" s="1"/>
  <c r="EI166" i="25"/>
  <c r="DT166" i="25" s="1"/>
  <c r="EI168" i="25"/>
  <c r="DT168" i="25" s="1"/>
  <c r="EI174" i="25"/>
  <c r="DT174" i="25" s="1"/>
  <c r="EI175" i="25"/>
  <c r="DT175" i="25" s="1"/>
  <c r="EI176" i="25"/>
  <c r="DT176" i="25" s="1"/>
  <c r="EI169" i="25"/>
  <c r="DT169" i="25" s="1"/>
  <c r="EI180" i="25"/>
  <c r="DT180" i="25" s="1"/>
  <c r="EI182" i="25"/>
  <c r="DT182" i="25" s="1"/>
  <c r="EI186" i="25"/>
  <c r="DT186" i="25" s="1"/>
  <c r="EI188" i="25"/>
  <c r="DT188" i="25" s="1"/>
  <c r="EI193" i="25"/>
  <c r="DT193" i="25" s="1"/>
  <c r="EI194" i="25"/>
  <c r="DT194" i="25" s="1"/>
  <c r="EI197" i="25"/>
  <c r="DT197" i="25" s="1"/>
  <c r="EI198" i="25"/>
  <c r="DT198" i="25" s="1"/>
  <c r="EI202" i="25"/>
  <c r="DT202" i="25" s="1"/>
  <c r="EI167" i="25"/>
  <c r="DT167" i="25" s="1"/>
  <c r="EI171" i="25"/>
  <c r="DT171" i="25" s="1"/>
  <c r="EI200" i="25"/>
  <c r="DT200" i="25" s="1"/>
  <c r="EI183" i="25"/>
  <c r="DT183" i="25" s="1"/>
  <c r="EI184" i="25"/>
  <c r="DT184" i="25" s="1"/>
  <c r="EI172" i="25"/>
  <c r="DT172" i="25" s="1"/>
  <c r="EI187" i="25"/>
  <c r="DT187" i="25" s="1"/>
  <c r="EI189" i="25"/>
  <c r="DT189" i="25" s="1"/>
  <c r="EI190" i="25"/>
  <c r="DT190" i="25" s="1"/>
  <c r="EI191" i="25"/>
  <c r="DT191" i="25" s="1"/>
  <c r="EI192" i="25"/>
  <c r="DT192" i="25" s="1"/>
  <c r="EI173" i="25"/>
  <c r="DT173" i="25" s="1"/>
  <c r="EI178" i="25"/>
  <c r="DT178" i="25" s="1"/>
  <c r="EI179" i="25"/>
  <c r="DT179" i="25" s="1"/>
  <c r="EI196" i="25"/>
  <c r="DT196" i="25" s="1"/>
  <c r="EI199" i="25"/>
  <c r="DT199" i="25" s="1"/>
  <c r="EJ8" i="25"/>
  <c r="EJ9" i="25"/>
  <c r="EJ10" i="25"/>
  <c r="EJ14" i="25"/>
  <c r="EJ16" i="25"/>
  <c r="EJ39" i="25"/>
  <c r="EJ60" i="25"/>
  <c r="EJ94" i="25"/>
  <c r="EJ122" i="25"/>
  <c r="EJ127" i="25"/>
  <c r="EJ128" i="25"/>
  <c r="EJ21" i="25"/>
  <c r="EJ36" i="25"/>
  <c r="EJ56" i="25"/>
  <c r="EJ22" i="25"/>
  <c r="EJ145" i="25"/>
  <c r="EJ11" i="25"/>
  <c r="EJ12" i="25"/>
  <c r="EJ15" i="25"/>
  <c r="EJ20" i="25"/>
  <c r="EJ23" i="25"/>
  <c r="EJ33" i="25"/>
  <c r="EJ35" i="25"/>
  <c r="EJ47" i="25"/>
  <c r="EJ53" i="25"/>
  <c r="EJ58" i="25"/>
  <c r="EJ59" i="25"/>
  <c r="EJ65" i="25"/>
  <c r="EJ91" i="25"/>
  <c r="EJ97" i="25"/>
  <c r="EJ101" i="25"/>
  <c r="EJ106" i="25"/>
  <c r="EJ126" i="25"/>
  <c r="EJ136" i="25"/>
  <c r="EJ160" i="25"/>
  <c r="EJ164" i="25"/>
  <c r="EJ19" i="25"/>
  <c r="EJ51" i="25"/>
  <c r="EJ77" i="25"/>
  <c r="EJ82" i="25"/>
  <c r="EJ83" i="25"/>
  <c r="EJ84" i="25"/>
  <c r="EJ85" i="25"/>
  <c r="EJ86" i="25"/>
  <c r="EJ87" i="25"/>
  <c r="EJ88" i="25"/>
  <c r="EJ28" i="25"/>
  <c r="EJ49" i="25"/>
  <c r="EJ147" i="25"/>
  <c r="EJ68" i="25"/>
  <c r="EJ146" i="25"/>
  <c r="EJ102" i="25"/>
  <c r="EJ103" i="25"/>
  <c r="EJ107" i="25"/>
  <c r="EJ132" i="25"/>
  <c r="EJ34" i="25"/>
  <c r="EJ92" i="25"/>
  <c r="EJ111" i="25"/>
  <c r="EJ144" i="25"/>
  <c r="EJ13" i="25"/>
  <c r="EJ27" i="25"/>
  <c r="EJ37" i="25"/>
  <c r="EJ38" i="25"/>
  <c r="EJ44" i="25"/>
  <c r="EJ46" i="25"/>
  <c r="EJ48" i="25"/>
  <c r="EJ50" i="25"/>
  <c r="EJ62" i="25"/>
  <c r="EJ63" i="25"/>
  <c r="EJ64" i="25"/>
  <c r="EJ67" i="25"/>
  <c r="EJ79" i="25"/>
  <c r="EJ80" i="25"/>
  <c r="EJ93" i="25"/>
  <c r="EJ96" i="25"/>
  <c r="EJ98" i="25"/>
  <c r="EJ113" i="25"/>
  <c r="EJ115" i="25"/>
  <c r="EJ118" i="25"/>
  <c r="EJ134" i="25"/>
  <c r="EJ26" i="25"/>
  <c r="EJ42" i="25"/>
  <c r="EJ45" i="25"/>
  <c r="EJ55" i="25"/>
  <c r="EJ78" i="25"/>
  <c r="EJ81" i="25"/>
  <c r="EJ89" i="25"/>
  <c r="EJ90" i="25"/>
  <c r="EJ105" i="25"/>
  <c r="EJ116" i="25"/>
  <c r="EJ117" i="25"/>
  <c r="EJ120" i="25"/>
  <c r="EJ133" i="25"/>
  <c r="EJ138" i="25"/>
  <c r="EJ142" i="25"/>
  <c r="EJ150" i="25"/>
  <c r="EJ151" i="25"/>
  <c r="EJ130" i="25"/>
  <c r="EJ152" i="25"/>
  <c r="EJ153" i="25"/>
  <c r="EJ66" i="25"/>
  <c r="EJ121" i="25"/>
  <c r="EJ140" i="25"/>
  <c r="EJ141" i="25"/>
  <c r="EJ29" i="25"/>
  <c r="EJ112" i="25"/>
  <c r="EJ131" i="25"/>
  <c r="EJ143" i="25"/>
  <c r="EJ148" i="25"/>
  <c r="EJ149" i="25"/>
  <c r="EJ17" i="25"/>
  <c r="EJ30" i="25"/>
  <c r="EJ31" i="25"/>
  <c r="EJ32" i="25"/>
  <c r="EJ40" i="25"/>
  <c r="EJ69" i="25"/>
  <c r="EJ70" i="25"/>
  <c r="EJ71" i="25"/>
  <c r="EJ72" i="25"/>
  <c r="EJ73" i="25"/>
  <c r="EJ74" i="25"/>
  <c r="EJ110" i="25"/>
  <c r="EJ119" i="25"/>
  <c r="EJ99" i="25"/>
  <c r="EJ124" i="25"/>
  <c r="EJ125" i="25"/>
  <c r="EJ75" i="25"/>
  <c r="EJ129" i="25"/>
  <c r="EJ135" i="25"/>
  <c r="EJ139" i="25"/>
  <c r="EJ154" i="25"/>
  <c r="EJ156" i="25"/>
  <c r="EJ157" i="25"/>
  <c r="EJ161" i="25"/>
  <c r="EJ162" i="25"/>
  <c r="EJ163" i="25"/>
  <c r="EJ195" i="25"/>
  <c r="EJ201" i="25"/>
  <c r="EJ181" i="25"/>
  <c r="EJ166" i="25"/>
  <c r="EJ168" i="25"/>
  <c r="EJ174" i="25"/>
  <c r="EJ175" i="25"/>
  <c r="EJ176" i="25"/>
  <c r="EJ169" i="25"/>
  <c r="EJ180" i="25"/>
  <c r="EJ182" i="25"/>
  <c r="EJ186" i="25"/>
  <c r="EJ188" i="25"/>
  <c r="EJ193" i="25"/>
  <c r="EJ194" i="25"/>
  <c r="EJ197" i="25"/>
  <c r="EJ198" i="25"/>
  <c r="EJ202" i="25"/>
  <c r="EJ167" i="25"/>
  <c r="EJ171" i="25"/>
  <c r="EJ183" i="25"/>
  <c r="EJ184" i="25"/>
  <c r="EJ172" i="25"/>
  <c r="EJ187" i="25"/>
  <c r="EJ189" i="25"/>
  <c r="EJ190" i="25"/>
  <c r="EJ191" i="25"/>
  <c r="EJ192" i="25"/>
  <c r="EJ173" i="25"/>
  <c r="EJ178" i="25"/>
  <c r="EJ179" i="25"/>
  <c r="EJ196" i="25"/>
  <c r="EJ199" i="25"/>
  <c r="EK8" i="25"/>
  <c r="EK9" i="25"/>
  <c r="EK10" i="25"/>
  <c r="EK14" i="25"/>
  <c r="EK16" i="25"/>
  <c r="EK39" i="25"/>
  <c r="EK60" i="25"/>
  <c r="EK94" i="25"/>
  <c r="EK122" i="25"/>
  <c r="EK127" i="25"/>
  <c r="EK128" i="25"/>
  <c r="EK21" i="25"/>
  <c r="EK36" i="25"/>
  <c r="EK56" i="25"/>
  <c r="EK22" i="25"/>
  <c r="EK145" i="25"/>
  <c r="EK11" i="25"/>
  <c r="EK12" i="25"/>
  <c r="EK15" i="25"/>
  <c r="EK20" i="25"/>
  <c r="EK23" i="25"/>
  <c r="EK33" i="25"/>
  <c r="EK35" i="25"/>
  <c r="EK47" i="25"/>
  <c r="EK53" i="25"/>
  <c r="EK58" i="25"/>
  <c r="EK59" i="25"/>
  <c r="EK65" i="25"/>
  <c r="EK91" i="25"/>
  <c r="EK97" i="25"/>
  <c r="EK101" i="25"/>
  <c r="EK106" i="25"/>
  <c r="EK126" i="25"/>
  <c r="EK136" i="25"/>
  <c r="EK160" i="25"/>
  <c r="EK164" i="25"/>
  <c r="EK19" i="25"/>
  <c r="EK51" i="25"/>
  <c r="EK77" i="25"/>
  <c r="EK82" i="25"/>
  <c r="EK83" i="25"/>
  <c r="EK84" i="25"/>
  <c r="EK85" i="25"/>
  <c r="EK86" i="25"/>
  <c r="EK87" i="25"/>
  <c r="EK88" i="25"/>
  <c r="EK28" i="25"/>
  <c r="EK49" i="25"/>
  <c r="EK147" i="25"/>
  <c r="EK68" i="25"/>
  <c r="EK146" i="25"/>
  <c r="EK102" i="25"/>
  <c r="EK103" i="25"/>
  <c r="EK107" i="25"/>
  <c r="EK132" i="25"/>
  <c r="EK34" i="25"/>
  <c r="EK92" i="25"/>
  <c r="EK111" i="25"/>
  <c r="EK144" i="25"/>
  <c r="EK13" i="25"/>
  <c r="EK27" i="25"/>
  <c r="EK37" i="25"/>
  <c r="EK38" i="25"/>
  <c r="EK44" i="25"/>
  <c r="EK46" i="25"/>
  <c r="EK48" i="25"/>
  <c r="EK50" i="25"/>
  <c r="EK62" i="25"/>
  <c r="EK63" i="25"/>
  <c r="EK64" i="25"/>
  <c r="EK67" i="25"/>
  <c r="EK79" i="25"/>
  <c r="EK80" i="25"/>
  <c r="EK93" i="25"/>
  <c r="EK96" i="25"/>
  <c r="EK98" i="25"/>
  <c r="EK113" i="25"/>
  <c r="EK115" i="25"/>
  <c r="EK118" i="25"/>
  <c r="EK134" i="25"/>
  <c r="EK26" i="25"/>
  <c r="EK42" i="25"/>
  <c r="EK45" i="25"/>
  <c r="EK55" i="25"/>
  <c r="EK78" i="25"/>
  <c r="EK81" i="25"/>
  <c r="EK89" i="25"/>
  <c r="EK90" i="25"/>
  <c r="EK105" i="25"/>
  <c r="EK116" i="25"/>
  <c r="EK117" i="25"/>
  <c r="EK120" i="25"/>
  <c r="EK133" i="25"/>
  <c r="EK138" i="25"/>
  <c r="EK142" i="25"/>
  <c r="EK150" i="25"/>
  <c r="EK151" i="25"/>
  <c r="EK130" i="25"/>
  <c r="EK152" i="25"/>
  <c r="EK153" i="25"/>
  <c r="EK66" i="25"/>
  <c r="EK121" i="25"/>
  <c r="EK140" i="25"/>
  <c r="EK141" i="25"/>
  <c r="EK29" i="25"/>
  <c r="EK112" i="25"/>
  <c r="EK131" i="25"/>
  <c r="EK143" i="25"/>
  <c r="EK148" i="25"/>
  <c r="EK149" i="25"/>
  <c r="EK17" i="25"/>
  <c r="EK30" i="25"/>
  <c r="EK31" i="25"/>
  <c r="EK32" i="25"/>
  <c r="EK40" i="25"/>
  <c r="EK69" i="25"/>
  <c r="EK70" i="25"/>
  <c r="EK71" i="25"/>
  <c r="EK72" i="25"/>
  <c r="EK73" i="25"/>
  <c r="EK74" i="25"/>
  <c r="EK110" i="25"/>
  <c r="EK119" i="25"/>
  <c r="EK99" i="25"/>
  <c r="EK124" i="25"/>
  <c r="EK125" i="25"/>
  <c r="EK75" i="25"/>
  <c r="EK129" i="25"/>
  <c r="EK135" i="25"/>
  <c r="EK139" i="25"/>
  <c r="EK154" i="25"/>
  <c r="EK156" i="25"/>
  <c r="EK157" i="25"/>
  <c r="EK161" i="25"/>
  <c r="EK162" i="25"/>
  <c r="EK163" i="25"/>
  <c r="EK195" i="25"/>
  <c r="EK201" i="25"/>
  <c r="EK181" i="25"/>
  <c r="EK166" i="25"/>
  <c r="EK168" i="25"/>
  <c r="EK174" i="25"/>
  <c r="EK175" i="25"/>
  <c r="EK176" i="25"/>
  <c r="EK169" i="25"/>
  <c r="EK180" i="25"/>
  <c r="EK182" i="25"/>
  <c r="EK186" i="25"/>
  <c r="EK188" i="25"/>
  <c r="EK193" i="25"/>
  <c r="EK194" i="25"/>
  <c r="EK197" i="25"/>
  <c r="EK198" i="25"/>
  <c r="EK202" i="25"/>
  <c r="EK167" i="25"/>
  <c r="EK171" i="25"/>
  <c r="EK200" i="25"/>
  <c r="EK183" i="25"/>
  <c r="EK184" i="25"/>
  <c r="EK172" i="25"/>
  <c r="EK187" i="25"/>
  <c r="EK189" i="25"/>
  <c r="EK190" i="25"/>
  <c r="EK191" i="25"/>
  <c r="EK192" i="25"/>
  <c r="EK173" i="25"/>
  <c r="EK178" i="25"/>
  <c r="EK179" i="25"/>
  <c r="EK196" i="25"/>
  <c r="EK199" i="25"/>
  <c r="EL8" i="25"/>
  <c r="EL9" i="25"/>
  <c r="EL10" i="25"/>
  <c r="EL14" i="25"/>
  <c r="EL16" i="25"/>
  <c r="EL39" i="25"/>
  <c r="EL60" i="25"/>
  <c r="EL94" i="25"/>
  <c r="EL122" i="25"/>
  <c r="EL127" i="25"/>
  <c r="EL128" i="25"/>
  <c r="EL21" i="25"/>
  <c r="EL36" i="25"/>
  <c r="EL56" i="25"/>
  <c r="EL22" i="25"/>
  <c r="EL145" i="25"/>
  <c r="EL11" i="25"/>
  <c r="EL12" i="25"/>
  <c r="EL15" i="25"/>
  <c r="EL20" i="25"/>
  <c r="EL23" i="25"/>
  <c r="EL33" i="25"/>
  <c r="EL35" i="25"/>
  <c r="EL47" i="25"/>
  <c r="EL53" i="25"/>
  <c r="EL58" i="25"/>
  <c r="EL59" i="25"/>
  <c r="EL65" i="25"/>
  <c r="EL91" i="25"/>
  <c r="EL97" i="25"/>
  <c r="EL101" i="25"/>
  <c r="EL106" i="25"/>
  <c r="EL126" i="25"/>
  <c r="EL136" i="25"/>
  <c r="EL160" i="25"/>
  <c r="EL164" i="25"/>
  <c r="EL19" i="25"/>
  <c r="EL51" i="25"/>
  <c r="EL77" i="25"/>
  <c r="EL82" i="25"/>
  <c r="EL83" i="25"/>
  <c r="EL84" i="25"/>
  <c r="EL85" i="25"/>
  <c r="EL86" i="25"/>
  <c r="EL87" i="25"/>
  <c r="EL88" i="25"/>
  <c r="EL28" i="25"/>
  <c r="EL49" i="25"/>
  <c r="EL147" i="25"/>
  <c r="EL68" i="25"/>
  <c r="EL146" i="25"/>
  <c r="EL102" i="25"/>
  <c r="EL103" i="25"/>
  <c r="EL107" i="25"/>
  <c r="EL132" i="25"/>
  <c r="EL34" i="25"/>
  <c r="EL92" i="25"/>
  <c r="EL111" i="25"/>
  <c r="EL144" i="25"/>
  <c r="EL13" i="25"/>
  <c r="EL27" i="25"/>
  <c r="EL37" i="25"/>
  <c r="EL38" i="25"/>
  <c r="EL44" i="25"/>
  <c r="EL46" i="25"/>
  <c r="EL48" i="25"/>
  <c r="EL50" i="25"/>
  <c r="EL62" i="25"/>
  <c r="EL63" i="25"/>
  <c r="EL64" i="25"/>
  <c r="EL67" i="25"/>
  <c r="EL79" i="25"/>
  <c r="EL80" i="25"/>
  <c r="EL93" i="25"/>
  <c r="EL96" i="25"/>
  <c r="EL98" i="25"/>
  <c r="EL113" i="25"/>
  <c r="EL115" i="25"/>
  <c r="EL118" i="25"/>
  <c r="EL134" i="25"/>
  <c r="EL26" i="25"/>
  <c r="EL42" i="25"/>
  <c r="EL45" i="25"/>
  <c r="EL55" i="25"/>
  <c r="EL78" i="25"/>
  <c r="EL81" i="25"/>
  <c r="EL89" i="25"/>
  <c r="EL90" i="25"/>
  <c r="EL105" i="25"/>
  <c r="EL116" i="25"/>
  <c r="EL117" i="25"/>
  <c r="EL120" i="25"/>
  <c r="EL133" i="25"/>
  <c r="EL138" i="25"/>
  <c r="EL142" i="25"/>
  <c r="EL150" i="25"/>
  <c r="EL151" i="25"/>
  <c r="EL130" i="25"/>
  <c r="EL152" i="25"/>
  <c r="EL153" i="25"/>
  <c r="EL66" i="25"/>
  <c r="EL121" i="25"/>
  <c r="EL140" i="25"/>
  <c r="EL141" i="25"/>
  <c r="EL29" i="25"/>
  <c r="EL112" i="25"/>
  <c r="EL131" i="25"/>
  <c r="EL143" i="25"/>
  <c r="EL148" i="25"/>
  <c r="EL149" i="25"/>
  <c r="EL17" i="25"/>
  <c r="EL30" i="25"/>
  <c r="EL31" i="25"/>
  <c r="EL32" i="25"/>
  <c r="EL40" i="25"/>
  <c r="EL69" i="25"/>
  <c r="EL70" i="25"/>
  <c r="EL71" i="25"/>
  <c r="EL72" i="25"/>
  <c r="EL73" i="25"/>
  <c r="EL74" i="25"/>
  <c r="EL110" i="25"/>
  <c r="EL119" i="25"/>
  <c r="EL99" i="25"/>
  <c r="EL124" i="25"/>
  <c r="EL125" i="25"/>
  <c r="EL75" i="25"/>
  <c r="EL129" i="25"/>
  <c r="EL135" i="25"/>
  <c r="EL139" i="25"/>
  <c r="EL154" i="25"/>
  <c r="EL156" i="25"/>
  <c r="EL157" i="25"/>
  <c r="EL161" i="25"/>
  <c r="EL162" i="25"/>
  <c r="EL163" i="25"/>
  <c r="EL195" i="25"/>
  <c r="EL201" i="25"/>
  <c r="EL181" i="25"/>
  <c r="EL166" i="25"/>
  <c r="EL168" i="25"/>
  <c r="EL174" i="25"/>
  <c r="EL175" i="25"/>
  <c r="EL176" i="25"/>
  <c r="EL169" i="25"/>
  <c r="EL180" i="25"/>
  <c r="EL182" i="25"/>
  <c r="EL186" i="25"/>
  <c r="EL188" i="25"/>
  <c r="EL193" i="25"/>
  <c r="EL194" i="25"/>
  <c r="EL197" i="25"/>
  <c r="EL198" i="25"/>
  <c r="EL202" i="25"/>
  <c r="EL167" i="25"/>
  <c r="EL171" i="25"/>
  <c r="EL200" i="25"/>
  <c r="EL183" i="25"/>
  <c r="EL184" i="25"/>
  <c r="EL172" i="25"/>
  <c r="EL187" i="25"/>
  <c r="EL189" i="25"/>
  <c r="EL190" i="25"/>
  <c r="EL191" i="25"/>
  <c r="EL192" i="25"/>
  <c r="EL173" i="25"/>
  <c r="EL178" i="25"/>
  <c r="EL179" i="25"/>
  <c r="EL196" i="25"/>
  <c r="EL199" i="25"/>
  <c r="EM8" i="25"/>
  <c r="EM9" i="25"/>
  <c r="EM10" i="25"/>
  <c r="EM14" i="25"/>
  <c r="EM16" i="25"/>
  <c r="EM39" i="25"/>
  <c r="EM60" i="25"/>
  <c r="EM94" i="25"/>
  <c r="EM122" i="25"/>
  <c r="EM127" i="25"/>
  <c r="EM128" i="25"/>
  <c r="EM21" i="25"/>
  <c r="EM36" i="25"/>
  <c r="EM56" i="25"/>
  <c r="EM22" i="25"/>
  <c r="EM145" i="25"/>
  <c r="EM11" i="25"/>
  <c r="EM12" i="25"/>
  <c r="EM15" i="25"/>
  <c r="EM20" i="25"/>
  <c r="EM23" i="25"/>
  <c r="EM33" i="25"/>
  <c r="EM35" i="25"/>
  <c r="EM47" i="25"/>
  <c r="EM53" i="25"/>
  <c r="EM58" i="25"/>
  <c r="EM59" i="25"/>
  <c r="EM65" i="25"/>
  <c r="EM91" i="25"/>
  <c r="EM97" i="25"/>
  <c r="EM101" i="25"/>
  <c r="EM106" i="25"/>
  <c r="EM126" i="25"/>
  <c r="EM136" i="25"/>
  <c r="EM160" i="25"/>
  <c r="EM164" i="25"/>
  <c r="EM19" i="25"/>
  <c r="EM51" i="25"/>
  <c r="EM77" i="25"/>
  <c r="EM82" i="25"/>
  <c r="EM83" i="25"/>
  <c r="EM84" i="25"/>
  <c r="EM85" i="25"/>
  <c r="EM86" i="25"/>
  <c r="EM87" i="25"/>
  <c r="EM88" i="25"/>
  <c r="EM28" i="25"/>
  <c r="EM49" i="25"/>
  <c r="EM147" i="25"/>
  <c r="EM68" i="25"/>
  <c r="EM146" i="25"/>
  <c r="EM102" i="25"/>
  <c r="EM103" i="25"/>
  <c r="EM107" i="25"/>
  <c r="EM132" i="25"/>
  <c r="EM34" i="25"/>
  <c r="EM92" i="25"/>
  <c r="EM111" i="25"/>
  <c r="EM144" i="25"/>
  <c r="EM13" i="25"/>
  <c r="EM27" i="25"/>
  <c r="EM37" i="25"/>
  <c r="EM38" i="25"/>
  <c r="EM44" i="25"/>
  <c r="EM46" i="25"/>
  <c r="EM48" i="25"/>
  <c r="EM50" i="25"/>
  <c r="EM62" i="25"/>
  <c r="EM63" i="25"/>
  <c r="EM64" i="25"/>
  <c r="EM67" i="25"/>
  <c r="EM79" i="25"/>
  <c r="EM80" i="25"/>
  <c r="EM93" i="25"/>
  <c r="EM96" i="25"/>
  <c r="EM98" i="25"/>
  <c r="EM113" i="25"/>
  <c r="EM115" i="25"/>
  <c r="EM118" i="25"/>
  <c r="EM134" i="25"/>
  <c r="EM26" i="25"/>
  <c r="EM42" i="25"/>
  <c r="EM45" i="25"/>
  <c r="EM55" i="25"/>
  <c r="EM78" i="25"/>
  <c r="EM81" i="25"/>
  <c r="EM89" i="25"/>
  <c r="EM90" i="25"/>
  <c r="EM105" i="25"/>
  <c r="EM116" i="25"/>
  <c r="EM117" i="25"/>
  <c r="EM120" i="25"/>
  <c r="EM133" i="25"/>
  <c r="EM138" i="25"/>
  <c r="EM142" i="25"/>
  <c r="EM150" i="25"/>
  <c r="EM151" i="25"/>
  <c r="EM130" i="25"/>
  <c r="EM152" i="25"/>
  <c r="EM153" i="25"/>
  <c r="EM66" i="25"/>
  <c r="EM121" i="25"/>
  <c r="EM140" i="25"/>
  <c r="EM141" i="25"/>
  <c r="EM29" i="25"/>
  <c r="EM112" i="25"/>
  <c r="EM131" i="25"/>
  <c r="EM143" i="25"/>
  <c r="EM148" i="25"/>
  <c r="EM149" i="25"/>
  <c r="EM17" i="25"/>
  <c r="EM30" i="25"/>
  <c r="EM31" i="25"/>
  <c r="EM32" i="25"/>
  <c r="EM40" i="25"/>
  <c r="EM69" i="25"/>
  <c r="EM70" i="25"/>
  <c r="EM71" i="25"/>
  <c r="EM72" i="25"/>
  <c r="EM73" i="25"/>
  <c r="EM74" i="25"/>
  <c r="EM110" i="25"/>
  <c r="EM119" i="25"/>
  <c r="EM99" i="25"/>
  <c r="EM124" i="25"/>
  <c r="EM125" i="25"/>
  <c r="EM75" i="25"/>
  <c r="EM129" i="25"/>
  <c r="EM135" i="25"/>
  <c r="EM139" i="25"/>
  <c r="EM154" i="25"/>
  <c r="EM156" i="25"/>
  <c r="EM157" i="25"/>
  <c r="EM161" i="25"/>
  <c r="EM162" i="25"/>
  <c r="EM163" i="25"/>
  <c r="EM195" i="25"/>
  <c r="EM201" i="25"/>
  <c r="EM181" i="25"/>
  <c r="EM166" i="25"/>
  <c r="EM168" i="25"/>
  <c r="EM174" i="25"/>
  <c r="EM175" i="25"/>
  <c r="EM176" i="25"/>
  <c r="EM169" i="25"/>
  <c r="EM180" i="25"/>
  <c r="EM182" i="25"/>
  <c r="EM186" i="25"/>
  <c r="EM188" i="25"/>
  <c r="EM193" i="25"/>
  <c r="EM194" i="25"/>
  <c r="EM197" i="25"/>
  <c r="EM198" i="25"/>
  <c r="EM202" i="25"/>
  <c r="EM167" i="25"/>
  <c r="EM171" i="25"/>
  <c r="EM200" i="25"/>
  <c r="EM183" i="25"/>
  <c r="EM184" i="25"/>
  <c r="EM172" i="25"/>
  <c r="EM187" i="25"/>
  <c r="EM189" i="25"/>
  <c r="EM190" i="25"/>
  <c r="EM191" i="25"/>
  <c r="EM192" i="25"/>
  <c r="EM173" i="25"/>
  <c r="EM178" i="25"/>
  <c r="EM179" i="25"/>
  <c r="EM196" i="25"/>
  <c r="EM199" i="25"/>
  <c r="EO8" i="25"/>
  <c r="EO9" i="25"/>
  <c r="EO10" i="25"/>
  <c r="EO14" i="25"/>
  <c r="EO16" i="25"/>
  <c r="EO39" i="25"/>
  <c r="EO60" i="25"/>
  <c r="EO94" i="25"/>
  <c r="EO122" i="25"/>
  <c r="EO127" i="25"/>
  <c r="EO128" i="25"/>
  <c r="EO21" i="25"/>
  <c r="EO36" i="25"/>
  <c r="EO56" i="25"/>
  <c r="EO22" i="25"/>
  <c r="EO145" i="25"/>
  <c r="EO11" i="25"/>
  <c r="EO12" i="25"/>
  <c r="EO15" i="25"/>
  <c r="EO20" i="25"/>
  <c r="EO23" i="25"/>
  <c r="EO33" i="25"/>
  <c r="EO35" i="25"/>
  <c r="EO47" i="25"/>
  <c r="EO53" i="25"/>
  <c r="EO58" i="25"/>
  <c r="EO59" i="25"/>
  <c r="EO65" i="25"/>
  <c r="EO91" i="25"/>
  <c r="EO97" i="25"/>
  <c r="EO101" i="25"/>
  <c r="EO106" i="25"/>
  <c r="EO126" i="25"/>
  <c r="EO136" i="25"/>
  <c r="EO160" i="25"/>
  <c r="EO164" i="25"/>
  <c r="EO19" i="25"/>
  <c r="EO51" i="25"/>
  <c r="EO77" i="25"/>
  <c r="EO82" i="25"/>
  <c r="EO83" i="25"/>
  <c r="EO84" i="25"/>
  <c r="EO85" i="25"/>
  <c r="EO86" i="25"/>
  <c r="EO87" i="25"/>
  <c r="EO88" i="25"/>
  <c r="EO28" i="25"/>
  <c r="EO49" i="25"/>
  <c r="EO147" i="25"/>
  <c r="EO68" i="25"/>
  <c r="EO146" i="25"/>
  <c r="EO102" i="25"/>
  <c r="EO103" i="25"/>
  <c r="EO107" i="25"/>
  <c r="EO132" i="25"/>
  <c r="EO34" i="25"/>
  <c r="EO92" i="25"/>
  <c r="EO111" i="25"/>
  <c r="EO144" i="25"/>
  <c r="EO13" i="25"/>
  <c r="EO27" i="25"/>
  <c r="EO37" i="25"/>
  <c r="EO38" i="25"/>
  <c r="EO44" i="25"/>
  <c r="EO46" i="25"/>
  <c r="EO48" i="25"/>
  <c r="EO50" i="25"/>
  <c r="EO62" i="25"/>
  <c r="EO63" i="25"/>
  <c r="EO64" i="25"/>
  <c r="EO67" i="25"/>
  <c r="EO79" i="25"/>
  <c r="EO80" i="25"/>
  <c r="EO93" i="25"/>
  <c r="EO96" i="25"/>
  <c r="EO98" i="25"/>
  <c r="EO113" i="25"/>
  <c r="EO115" i="25"/>
  <c r="EO118" i="25"/>
  <c r="EO134" i="25"/>
  <c r="EO26" i="25"/>
  <c r="EO42" i="25"/>
  <c r="EO45" i="25"/>
  <c r="EO55" i="25"/>
  <c r="EO78" i="25"/>
  <c r="EO81" i="25"/>
  <c r="EO89" i="25"/>
  <c r="EO90" i="25"/>
  <c r="EO105" i="25"/>
  <c r="EO116" i="25"/>
  <c r="EO117" i="25"/>
  <c r="EO120" i="25"/>
  <c r="EO133" i="25"/>
  <c r="EO138" i="25"/>
  <c r="EO142" i="25"/>
  <c r="EO150" i="25"/>
  <c r="EO151" i="25"/>
  <c r="EO130" i="25"/>
  <c r="EO152" i="25"/>
  <c r="EO153" i="25"/>
  <c r="EO66" i="25"/>
  <c r="EO121" i="25"/>
  <c r="EO140" i="25"/>
  <c r="EO141" i="25"/>
  <c r="EO29" i="25"/>
  <c r="EO112" i="25"/>
  <c r="EO131" i="25"/>
  <c r="EO143" i="25"/>
  <c r="EO148" i="25"/>
  <c r="EO149" i="25"/>
  <c r="EO17" i="25"/>
  <c r="EO30" i="25"/>
  <c r="EO31" i="25"/>
  <c r="EO32" i="25"/>
  <c r="EO40" i="25"/>
  <c r="EO69" i="25"/>
  <c r="EO70" i="25"/>
  <c r="EO71" i="25"/>
  <c r="EO72" i="25"/>
  <c r="EO73" i="25"/>
  <c r="EO74" i="25"/>
  <c r="EO110" i="25"/>
  <c r="EO119" i="25"/>
  <c r="EO99" i="25"/>
  <c r="EO124" i="25"/>
  <c r="EO125" i="25"/>
  <c r="EO75" i="25"/>
  <c r="EO129" i="25"/>
  <c r="EO135" i="25"/>
  <c r="EO139" i="25"/>
  <c r="EO154" i="25"/>
  <c r="EO156" i="25"/>
  <c r="EO157" i="25"/>
  <c r="EO161" i="25"/>
  <c r="EO162" i="25"/>
  <c r="EO163" i="25"/>
  <c r="EO195" i="25"/>
  <c r="EO201" i="25"/>
  <c r="EO181" i="25"/>
  <c r="EO166" i="25"/>
  <c r="EO168" i="25"/>
  <c r="EO174" i="25"/>
  <c r="EO175" i="25"/>
  <c r="EO176" i="25"/>
  <c r="EO169" i="25"/>
  <c r="EO180" i="25"/>
  <c r="EO182" i="25"/>
  <c r="EO186" i="25"/>
  <c r="EO188" i="25"/>
  <c r="EO193" i="25"/>
  <c r="EO194" i="25"/>
  <c r="EO197" i="25"/>
  <c r="EO198" i="25"/>
  <c r="EO202" i="25"/>
  <c r="EO167" i="25"/>
  <c r="EO171" i="25"/>
  <c r="EO200" i="25"/>
  <c r="EO183" i="25"/>
  <c r="EO184" i="25"/>
  <c r="EO172" i="25"/>
  <c r="EO187" i="25"/>
  <c r="EO189" i="25"/>
  <c r="EO190" i="25"/>
  <c r="EO191" i="25"/>
  <c r="EO192" i="25"/>
  <c r="EO173" i="25"/>
  <c r="EO178" i="25"/>
  <c r="EO179" i="25"/>
  <c r="EO196" i="25"/>
  <c r="EO199" i="25"/>
  <c r="EP8" i="25"/>
  <c r="EP9" i="25"/>
  <c r="EP10" i="25"/>
  <c r="EP14" i="25"/>
  <c r="EP16" i="25"/>
  <c r="EP39" i="25"/>
  <c r="EP60" i="25"/>
  <c r="EP94" i="25"/>
  <c r="EP122" i="25"/>
  <c r="EP127" i="25"/>
  <c r="EP128" i="25"/>
  <c r="EP21" i="25"/>
  <c r="EP36" i="25"/>
  <c r="EP56" i="25"/>
  <c r="EP22" i="25"/>
  <c r="EP145" i="25"/>
  <c r="EP11" i="25"/>
  <c r="EP12" i="25"/>
  <c r="EP15" i="25"/>
  <c r="EP20" i="25"/>
  <c r="EP23" i="25"/>
  <c r="EP33" i="25"/>
  <c r="EP35" i="25"/>
  <c r="EP47" i="25"/>
  <c r="EP53" i="25"/>
  <c r="EP58" i="25"/>
  <c r="EP59" i="25"/>
  <c r="EP65" i="25"/>
  <c r="EP91" i="25"/>
  <c r="EP97" i="25"/>
  <c r="EP101" i="25"/>
  <c r="EP106" i="25"/>
  <c r="EP126" i="25"/>
  <c r="EP136" i="25"/>
  <c r="EP160" i="25"/>
  <c r="EP164" i="25"/>
  <c r="EP19" i="25"/>
  <c r="EP51" i="25"/>
  <c r="EP77" i="25"/>
  <c r="EP82" i="25"/>
  <c r="EP83" i="25"/>
  <c r="EP84" i="25"/>
  <c r="EP85" i="25"/>
  <c r="EP86" i="25"/>
  <c r="EP87" i="25"/>
  <c r="EP88" i="25"/>
  <c r="EP28" i="25"/>
  <c r="EP49" i="25"/>
  <c r="EP147" i="25"/>
  <c r="EP68" i="25"/>
  <c r="EP146" i="25"/>
  <c r="EP102" i="25"/>
  <c r="EP103" i="25"/>
  <c r="EP107" i="25"/>
  <c r="EP132" i="25"/>
  <c r="EP34" i="25"/>
  <c r="EP92" i="25"/>
  <c r="EP111" i="25"/>
  <c r="EP144" i="25"/>
  <c r="EP13" i="25"/>
  <c r="EP27" i="25"/>
  <c r="EP37" i="25"/>
  <c r="EP38" i="25"/>
  <c r="EP44" i="25"/>
  <c r="EP46" i="25"/>
  <c r="EP48" i="25"/>
  <c r="EP50" i="25"/>
  <c r="EP62" i="25"/>
  <c r="EP63" i="25"/>
  <c r="EP64" i="25"/>
  <c r="EP67" i="25"/>
  <c r="EP79" i="25"/>
  <c r="EP80" i="25"/>
  <c r="EP93" i="25"/>
  <c r="EP96" i="25"/>
  <c r="EP98" i="25"/>
  <c r="EP113" i="25"/>
  <c r="EP115" i="25"/>
  <c r="EP118" i="25"/>
  <c r="EP134" i="25"/>
  <c r="EP26" i="25"/>
  <c r="EP42" i="25"/>
  <c r="EP45" i="25"/>
  <c r="EP55" i="25"/>
  <c r="EP78" i="25"/>
  <c r="EP81" i="25"/>
  <c r="EP89" i="25"/>
  <c r="EP90" i="25"/>
  <c r="EP105" i="25"/>
  <c r="EP116" i="25"/>
  <c r="EP117" i="25"/>
  <c r="EP120" i="25"/>
  <c r="EP133" i="25"/>
  <c r="EP138" i="25"/>
  <c r="EP142" i="25"/>
  <c r="EP150" i="25"/>
  <c r="EP151" i="25"/>
  <c r="EP130" i="25"/>
  <c r="EP152" i="25"/>
  <c r="EP153" i="25"/>
  <c r="EP66" i="25"/>
  <c r="EP121" i="25"/>
  <c r="EP140" i="25"/>
  <c r="EP141" i="25"/>
  <c r="EP29" i="25"/>
  <c r="EP112" i="25"/>
  <c r="EP131" i="25"/>
  <c r="EP143" i="25"/>
  <c r="EP148" i="25"/>
  <c r="EP149" i="25"/>
  <c r="EP17" i="25"/>
  <c r="EP30" i="25"/>
  <c r="EP31" i="25"/>
  <c r="EP32" i="25"/>
  <c r="EP40" i="25"/>
  <c r="EP69" i="25"/>
  <c r="EP70" i="25"/>
  <c r="EP71" i="25"/>
  <c r="EP72" i="25"/>
  <c r="EP73" i="25"/>
  <c r="EP74" i="25"/>
  <c r="EP110" i="25"/>
  <c r="EP119" i="25"/>
  <c r="EP99" i="25"/>
  <c r="EP124" i="25"/>
  <c r="EP125" i="25"/>
  <c r="EP75" i="25"/>
  <c r="EP129" i="25"/>
  <c r="EP135" i="25"/>
  <c r="EP139" i="25"/>
  <c r="EP154" i="25"/>
  <c r="EP156" i="25"/>
  <c r="EP157" i="25"/>
  <c r="EP161" i="25"/>
  <c r="EP162" i="25"/>
  <c r="EP163" i="25"/>
  <c r="EP195" i="25"/>
  <c r="EP201" i="25"/>
  <c r="EP181" i="25"/>
  <c r="EP166" i="25"/>
  <c r="EP168" i="25"/>
  <c r="EP174" i="25"/>
  <c r="EP175" i="25"/>
  <c r="EP176" i="25"/>
  <c r="EP169" i="25"/>
  <c r="EP180" i="25"/>
  <c r="EP182" i="25"/>
  <c r="EP186" i="25"/>
  <c r="EP188" i="25"/>
  <c r="EP193" i="25"/>
  <c r="EP194" i="25"/>
  <c r="EP197" i="25"/>
  <c r="EP198" i="25"/>
  <c r="EP202" i="25"/>
  <c r="EP167" i="25"/>
  <c r="EP171" i="25"/>
  <c r="EP200" i="25"/>
  <c r="EP183" i="25"/>
  <c r="EP184" i="25"/>
  <c r="EP172" i="25"/>
  <c r="EP187" i="25"/>
  <c r="EP189" i="25"/>
  <c r="EP190" i="25"/>
  <c r="EP191" i="25"/>
  <c r="EP192" i="25"/>
  <c r="EP173" i="25"/>
  <c r="EP178" i="25"/>
  <c r="EP179" i="25"/>
  <c r="EP196" i="25"/>
  <c r="EP199" i="25"/>
  <c r="DW19" i="25"/>
  <c r="DY45" i="25"/>
  <c r="DY103" i="25"/>
  <c r="DW36" i="25"/>
  <c r="DW16" i="25"/>
  <c r="DW186" i="25"/>
  <c r="DW23" i="25"/>
  <c r="CT173" i="25"/>
  <c r="CT176" i="25"/>
  <c r="CT31" i="25"/>
  <c r="CT89" i="25"/>
  <c r="CT74" i="25"/>
  <c r="CW67" i="25"/>
  <c r="CW128" i="25"/>
  <c r="CW8" i="25"/>
  <c r="O43" i="89"/>
  <c r="E62" i="89"/>
  <c r="E81" i="89"/>
  <c r="E43" i="89"/>
  <c r="H118" i="92"/>
  <c r="D4" i="129"/>
  <c r="D2" i="89" s="1"/>
  <c r="G49" i="89" s="1"/>
  <c r="P49" i="89" s="1"/>
  <c r="E4" i="129"/>
  <c r="E2" i="89" s="1"/>
  <c r="G68" i="89" s="1"/>
  <c r="P68" i="89" s="1"/>
  <c r="F4" i="129"/>
  <c r="F2" i="89" s="1"/>
  <c r="G87" i="89" s="1"/>
  <c r="G4" i="129"/>
  <c r="G2" i="89" s="1"/>
  <c r="G104" i="89" s="1"/>
  <c r="P104" i="89" s="1"/>
  <c r="H4" i="129"/>
  <c r="H2" i="89" s="1"/>
  <c r="G117" i="89" s="1"/>
  <c r="P117" i="89" s="1"/>
  <c r="I4" i="129"/>
  <c r="I2" i="89" s="1"/>
  <c r="G151" i="89" s="1"/>
  <c r="P151" i="89" s="1"/>
  <c r="J4" i="129"/>
  <c r="J2" i="89" s="1"/>
  <c r="G132" i="89" s="1"/>
  <c r="P132" i="89" s="1"/>
  <c r="K4" i="129"/>
  <c r="K2" i="89"/>
  <c r="L4" i="129"/>
  <c r="L2" i="89" s="1"/>
  <c r="E113" i="89"/>
  <c r="E100" i="89"/>
  <c r="T172" i="89"/>
  <c r="W177" i="89"/>
  <c r="Y54" i="92"/>
  <c r="H164" i="89"/>
  <c r="E378" i="92"/>
  <c r="D377" i="92"/>
  <c r="E377" i="92"/>
  <c r="D378" i="92"/>
  <c r="H241" i="92"/>
  <c r="L241" i="92"/>
  <c r="H240" i="92"/>
  <c r="L240" i="92"/>
  <c r="L237" i="92"/>
  <c r="I237" i="92"/>
  <c r="M237" i="92"/>
  <c r="H237" i="92"/>
  <c r="H221" i="92"/>
  <c r="L221" i="92"/>
  <c r="H222" i="92"/>
  <c r="L218" i="92"/>
  <c r="H223" i="92"/>
  <c r="H224" i="92"/>
  <c r="H218" i="92"/>
  <c r="C222" i="92"/>
  <c r="C176" i="92"/>
  <c r="E176" i="92"/>
  <c r="D178" i="92"/>
  <c r="E178" i="92"/>
  <c r="C178" i="92"/>
  <c r="D176" i="92"/>
  <c r="E160" i="92"/>
  <c r="E162" i="92"/>
  <c r="C162" i="92"/>
  <c r="F160" i="92"/>
  <c r="F162" i="92"/>
  <c r="C160" i="92"/>
  <c r="D160" i="92"/>
  <c r="D162" i="92"/>
  <c r="K137" i="92"/>
  <c r="K135" i="92"/>
  <c r="K131" i="92"/>
  <c r="K133" i="92"/>
  <c r="K134" i="92"/>
  <c r="K132" i="92"/>
  <c r="K136" i="92"/>
  <c r="C134" i="92"/>
  <c r="G131" i="92"/>
  <c r="D131" i="92"/>
  <c r="D136" i="92"/>
  <c r="G130" i="92"/>
  <c r="C133" i="92"/>
  <c r="C137" i="92"/>
  <c r="C136" i="92"/>
  <c r="C131" i="92"/>
  <c r="C132" i="92"/>
  <c r="D133" i="92"/>
  <c r="D137" i="92"/>
  <c r="C135" i="92"/>
  <c r="D132" i="92"/>
  <c r="D135" i="92"/>
  <c r="X53" i="92"/>
  <c r="J53" i="92"/>
  <c r="I54" i="92"/>
  <c r="I53" i="92"/>
  <c r="S174" i="89" l="1"/>
  <c r="T174" i="89" s="1"/>
  <c r="P43" i="89"/>
  <c r="P77" i="89"/>
  <c r="E209" i="89" s="1"/>
  <c r="F209" i="89" s="1"/>
  <c r="P110" i="89"/>
  <c r="E207" i="89" s="1"/>
  <c r="G207" i="89" s="1"/>
  <c r="P123" i="89"/>
  <c r="E206" i="89" s="1"/>
  <c r="F206" i="89" s="1"/>
  <c r="P87" i="89"/>
  <c r="P100" i="89" s="1"/>
  <c r="G100" i="89"/>
  <c r="E174" i="89" s="1"/>
  <c r="P58" i="89"/>
  <c r="E210" i="89" s="1"/>
  <c r="F210" i="89" s="1"/>
  <c r="DE27" i="25"/>
  <c r="DD113" i="25"/>
  <c r="DC113" i="25" s="1"/>
  <c r="DJ113" i="25" s="1"/>
  <c r="ED36" i="25"/>
  <c r="ED16" i="25"/>
  <c r="DE132" i="25"/>
  <c r="X97" i="89"/>
  <c r="S233" i="89"/>
  <c r="T233" i="89" s="1"/>
  <c r="E234" i="89"/>
  <c r="F234" i="89" s="1"/>
  <c r="CG115" i="25"/>
  <c r="CG88" i="25"/>
  <c r="Y82" i="89"/>
  <c r="X44" i="89"/>
  <c r="B44" i="89"/>
  <c r="X63" i="89"/>
  <c r="B63" i="89"/>
  <c r="W27" i="89"/>
  <c r="B25" i="89"/>
  <c r="X29" i="89"/>
  <c r="B29" i="89"/>
  <c r="Q48" i="89"/>
  <c r="R48" i="89" s="1"/>
  <c r="B48" i="89"/>
  <c r="X67" i="89"/>
  <c r="B67" i="89"/>
  <c r="Q55" i="89"/>
  <c r="R55" i="89" s="1"/>
  <c r="Q120" i="89"/>
  <c r="R120" i="89" s="1"/>
  <c r="CG188" i="25"/>
  <c r="ED200" i="25"/>
  <c r="ED98" i="25"/>
  <c r="ED62" i="25"/>
  <c r="DY8" i="25"/>
  <c r="DW122" i="25"/>
  <c r="ED74" i="25"/>
  <c r="ED125" i="25"/>
  <c r="DW34" i="25"/>
  <c r="DW73" i="25"/>
  <c r="DW162" i="25"/>
  <c r="DY194" i="25"/>
  <c r="DW30" i="25"/>
  <c r="Q141" i="89"/>
  <c r="R141" i="89" s="1"/>
  <c r="S151" i="89"/>
  <c r="X151" i="89"/>
  <c r="V151" i="89"/>
  <c r="P164" i="89"/>
  <c r="Q164" i="89" s="1"/>
  <c r="R164" i="89" s="1"/>
  <c r="W151" i="89"/>
  <c r="T151" i="89"/>
  <c r="Q151" i="89"/>
  <c r="R151" i="89" s="1"/>
  <c r="Y151" i="89"/>
  <c r="U151" i="89"/>
  <c r="X160" i="89"/>
  <c r="W160" i="89"/>
  <c r="Q160" i="89"/>
  <c r="R160" i="89" s="1"/>
  <c r="V160" i="89"/>
  <c r="U160" i="89"/>
  <c r="T160" i="89"/>
  <c r="Y160" i="89"/>
  <c r="S160" i="89"/>
  <c r="ED152" i="25"/>
  <c r="DH19" i="25"/>
  <c r="DI19" i="25" s="1"/>
  <c r="DH113" i="25"/>
  <c r="DI113" i="25" s="1"/>
  <c r="DY102" i="25"/>
  <c r="DY120" i="25"/>
  <c r="DW65" i="25"/>
  <c r="DY190" i="25"/>
  <c r="DW86" i="25"/>
  <c r="CG77" i="25"/>
  <c r="CG196" i="25"/>
  <c r="CG42" i="25"/>
  <c r="CG68" i="25"/>
  <c r="CG84" i="25"/>
  <c r="CG136" i="25"/>
  <c r="DY33" i="25"/>
  <c r="DY37" i="25"/>
  <c r="CG28" i="25"/>
  <c r="DY157" i="25"/>
  <c r="CG199" i="25"/>
  <c r="ED179" i="25"/>
  <c r="ED197" i="25"/>
  <c r="ED176" i="25"/>
  <c r="ED163" i="25"/>
  <c r="CG37" i="25"/>
  <c r="CG97" i="25"/>
  <c r="ED70" i="25"/>
  <c r="ED103" i="25"/>
  <c r="ED143" i="25"/>
  <c r="ED120" i="25"/>
  <c r="ED172" i="25"/>
  <c r="DD39" i="25"/>
  <c r="DC39" i="25" s="1"/>
  <c r="DJ39" i="25" s="1"/>
  <c r="DD47" i="25"/>
  <c r="DC47" i="25" s="1"/>
  <c r="DJ47" i="25" s="1"/>
  <c r="DY160" i="25"/>
  <c r="DW199" i="25"/>
  <c r="CG56" i="25"/>
  <c r="DW40" i="25"/>
  <c r="DW110" i="25"/>
  <c r="DY152" i="25"/>
  <c r="DW144" i="25"/>
  <c r="DW189" i="25"/>
  <c r="CQ67" i="25"/>
  <c r="DY131" i="25"/>
  <c r="DW201" i="25"/>
  <c r="DW139" i="25"/>
  <c r="DY14" i="25"/>
  <c r="DY50" i="25"/>
  <c r="DY85" i="25"/>
  <c r="DY146" i="25"/>
  <c r="DY117" i="25"/>
  <c r="DY20" i="25"/>
  <c r="DY202" i="25"/>
  <c r="DW96" i="25"/>
  <c r="CZ8" i="25"/>
  <c r="DY59" i="25"/>
  <c r="DE85" i="25"/>
  <c r="DH117" i="25"/>
  <c r="DI117" i="25" s="1"/>
  <c r="DE59" i="25"/>
  <c r="DH96" i="25"/>
  <c r="DI96" i="25" s="1"/>
  <c r="DH56" i="25"/>
  <c r="DI56" i="25" s="1"/>
  <c r="DD33" i="25"/>
  <c r="DC33" i="25" s="1"/>
  <c r="DJ33" i="25" s="1"/>
  <c r="DD91" i="25"/>
  <c r="DC91" i="25" s="1"/>
  <c r="DJ91" i="25" s="1"/>
  <c r="DE99" i="25"/>
  <c r="DE87" i="25"/>
  <c r="DD166" i="25"/>
  <c r="DC166" i="25" s="1"/>
  <c r="DJ166" i="25" s="1"/>
  <c r="DE139" i="25"/>
  <c r="DH196" i="25"/>
  <c r="DI196" i="25" s="1"/>
  <c r="DH10" i="25"/>
  <c r="DI10" i="25" s="1"/>
  <c r="DH114" i="25"/>
  <c r="DI114" i="25" s="1"/>
  <c r="DH202" i="25"/>
  <c r="DI202" i="25" s="1"/>
  <c r="DE14" i="25"/>
  <c r="DH144" i="25"/>
  <c r="DI144" i="25" s="1"/>
  <c r="DE131" i="25"/>
  <c r="DE180" i="25"/>
  <c r="DH152" i="25"/>
  <c r="DI152" i="25" s="1"/>
  <c r="DE160" i="25"/>
  <c r="DE146" i="25"/>
  <c r="DH50" i="25"/>
  <c r="DI50" i="25" s="1"/>
  <c r="DH110" i="25"/>
  <c r="DI110" i="25" s="1"/>
  <c r="DE189" i="25"/>
  <c r="DH20" i="25"/>
  <c r="DI20" i="25" s="1"/>
  <c r="DH45" i="25"/>
  <c r="DI45" i="25" s="1"/>
  <c r="DE199" i="25"/>
  <c r="W118" i="89"/>
  <c r="S220" i="89"/>
  <c r="T220" i="89" s="1"/>
  <c r="Y105" i="89"/>
  <c r="S221" i="89"/>
  <c r="T221" i="89" s="1"/>
  <c r="X88" i="89"/>
  <c r="S222" i="89"/>
  <c r="T222" i="89" s="1"/>
  <c r="V50" i="89"/>
  <c r="S224" i="89"/>
  <c r="T224" i="89" s="1"/>
  <c r="V69" i="89"/>
  <c r="S223" i="89"/>
  <c r="U223" i="89" s="1"/>
  <c r="Y89" i="89"/>
  <c r="E222" i="89"/>
  <c r="F222" i="89" s="1"/>
  <c r="Y119" i="89"/>
  <c r="E220" i="89"/>
  <c r="F220" i="89" s="1"/>
  <c r="Y106" i="89"/>
  <c r="E221" i="89"/>
  <c r="F221" i="89" s="1"/>
  <c r="T51" i="89"/>
  <c r="E224" i="89"/>
  <c r="F224" i="89" s="1"/>
  <c r="X70" i="89"/>
  <c r="E223" i="89"/>
  <c r="F223" i="89" s="1"/>
  <c r="Q32" i="89"/>
  <c r="R32" i="89" s="1"/>
  <c r="E225" i="89"/>
  <c r="G225" i="89" s="1"/>
  <c r="Q86" i="89"/>
  <c r="R86" i="89" s="1"/>
  <c r="Q95" i="89"/>
  <c r="R95" i="89" s="1"/>
  <c r="Q85" i="89"/>
  <c r="R85" i="89" s="1"/>
  <c r="W36" i="89"/>
  <c r="Q36" i="89"/>
  <c r="R36" i="89" s="1"/>
  <c r="V38" i="89"/>
  <c r="Q41" i="89"/>
  <c r="R41" i="89" s="1"/>
  <c r="Q65" i="89"/>
  <c r="R65" i="89" s="1"/>
  <c r="Q89" i="89"/>
  <c r="R89" i="89" s="1"/>
  <c r="Q115" i="89"/>
  <c r="R115" i="89" s="1"/>
  <c r="T33" i="89"/>
  <c r="Q46" i="89"/>
  <c r="R46" i="89" s="1"/>
  <c r="Q98" i="89"/>
  <c r="R98" i="89" s="1"/>
  <c r="U35" i="89"/>
  <c r="W26" i="89"/>
  <c r="U42" i="89"/>
  <c r="S177" i="89"/>
  <c r="T177" i="89" s="1"/>
  <c r="S176" i="89"/>
  <c r="T176" i="89" s="1"/>
  <c r="S175" i="89"/>
  <c r="T175" i="89" s="1"/>
  <c r="AI35" i="89"/>
  <c r="Q83" i="89"/>
  <c r="R83" i="89" s="1"/>
  <c r="Q33" i="89"/>
  <c r="R33" i="89" s="1"/>
  <c r="Q88" i="89"/>
  <c r="R88" i="89" s="1"/>
  <c r="Q102" i="89"/>
  <c r="R102" i="89" s="1"/>
  <c r="T41" i="89"/>
  <c r="Q127" i="89"/>
  <c r="R127" i="89" s="1"/>
  <c r="AH41" i="89"/>
  <c r="AH32" i="89"/>
  <c r="V41" i="89"/>
  <c r="AI41" i="89"/>
  <c r="Q84" i="89"/>
  <c r="R84" i="89" s="1"/>
  <c r="U41" i="89"/>
  <c r="X41" i="89"/>
  <c r="Y41" i="89"/>
  <c r="S127" i="89"/>
  <c r="Q78" i="89"/>
  <c r="R78" i="89" s="1"/>
  <c r="Q51" i="89"/>
  <c r="R51" i="89" s="1"/>
  <c r="Q139" i="89"/>
  <c r="R139" i="89" s="1"/>
  <c r="AH35" i="89"/>
  <c r="AI33" i="89"/>
  <c r="Q60" i="89"/>
  <c r="R60" i="89" s="1"/>
  <c r="Q70" i="89"/>
  <c r="R70" i="89" s="1"/>
  <c r="Q90" i="89"/>
  <c r="R90" i="89" s="1"/>
  <c r="AH34" i="89"/>
  <c r="AI27" i="89"/>
  <c r="V82" i="89"/>
  <c r="Q34" i="89"/>
  <c r="R34" i="89" s="1"/>
  <c r="Q82" i="89"/>
  <c r="R82" i="89" s="1"/>
  <c r="AH33" i="89"/>
  <c r="V26" i="89"/>
  <c r="W82" i="89"/>
  <c r="Q35" i="89"/>
  <c r="R35" i="89" s="1"/>
  <c r="Q109" i="89"/>
  <c r="R109" i="89" s="1"/>
  <c r="V27" i="89"/>
  <c r="U144" i="89"/>
  <c r="Q71" i="89"/>
  <c r="R71" i="89" s="1"/>
  <c r="Q99" i="89"/>
  <c r="R99" i="89" s="1"/>
  <c r="X35" i="89"/>
  <c r="V144" i="89"/>
  <c r="Q80" i="89"/>
  <c r="R80" i="89" s="1"/>
  <c r="T35" i="89"/>
  <c r="W144" i="89"/>
  <c r="X36" i="89"/>
  <c r="Q103" i="89"/>
  <c r="R103" i="89" s="1"/>
  <c r="T36" i="89"/>
  <c r="U28" i="89"/>
  <c r="V42" i="89"/>
  <c r="X28" i="89"/>
  <c r="Q38" i="89"/>
  <c r="R38" i="89" s="1"/>
  <c r="Q47" i="89"/>
  <c r="R47" i="89" s="1"/>
  <c r="Q64" i="89"/>
  <c r="R64" i="89" s="1"/>
  <c r="Q74" i="89"/>
  <c r="R74" i="89" s="1"/>
  <c r="Q105" i="89"/>
  <c r="R105" i="89" s="1"/>
  <c r="Q122" i="89"/>
  <c r="R122" i="89" s="1"/>
  <c r="T37" i="89"/>
  <c r="U33" i="89"/>
  <c r="AI42" i="89"/>
  <c r="AI25" i="89"/>
  <c r="Y25" i="89"/>
  <c r="U90" i="89"/>
  <c r="X144" i="89"/>
  <c r="Q106" i="89"/>
  <c r="R106" i="89" s="1"/>
  <c r="Q124" i="89"/>
  <c r="R124" i="89" s="1"/>
  <c r="T38" i="89"/>
  <c r="V28" i="89"/>
  <c r="S74" i="89"/>
  <c r="S66" i="89"/>
  <c r="T125" i="89"/>
  <c r="Q42" i="89"/>
  <c r="R42" i="89" s="1"/>
  <c r="Q53" i="89"/>
  <c r="R53" i="89" s="1"/>
  <c r="Q66" i="89"/>
  <c r="R66" i="89" s="1"/>
  <c r="Q125" i="89"/>
  <c r="R125" i="89" s="1"/>
  <c r="T25" i="89"/>
  <c r="U36" i="89"/>
  <c r="AI38" i="89"/>
  <c r="X42" i="89"/>
  <c r="X128" i="89"/>
  <c r="Q25" i="89"/>
  <c r="R25" i="89" s="1"/>
  <c r="Q54" i="89"/>
  <c r="R54" i="89" s="1"/>
  <c r="Q93" i="89"/>
  <c r="R93" i="89" s="1"/>
  <c r="Q144" i="89"/>
  <c r="R144" i="89" s="1"/>
  <c r="T28" i="89"/>
  <c r="T42" i="89"/>
  <c r="AH29" i="89"/>
  <c r="U38" i="89"/>
  <c r="AI37" i="89"/>
  <c r="T130" i="89"/>
  <c r="Q28" i="89"/>
  <c r="R28" i="89" s="1"/>
  <c r="Q56" i="89"/>
  <c r="R56" i="89" s="1"/>
  <c r="Q75" i="89"/>
  <c r="R75" i="89" s="1"/>
  <c r="Q94" i="89"/>
  <c r="R94" i="89" s="1"/>
  <c r="Q114" i="89"/>
  <c r="R114" i="89" s="1"/>
  <c r="Q130" i="89"/>
  <c r="R130" i="89" s="1"/>
  <c r="T29" i="89"/>
  <c r="AH28" i="89"/>
  <c r="V37" i="89"/>
  <c r="X38" i="89"/>
  <c r="Y28" i="89"/>
  <c r="T144" i="89"/>
  <c r="Q45" i="89"/>
  <c r="R45" i="89" s="1"/>
  <c r="Q116" i="89"/>
  <c r="R116" i="89" s="1"/>
  <c r="AH38" i="89"/>
  <c r="AI28" i="89"/>
  <c r="Y40" i="89"/>
  <c r="W40" i="89"/>
  <c r="Q76" i="89"/>
  <c r="R76" i="89" s="1"/>
  <c r="AI26" i="89"/>
  <c r="S34" i="89"/>
  <c r="W34" i="89"/>
  <c r="Q37" i="89"/>
  <c r="R37" i="89" s="1"/>
  <c r="Q29" i="89"/>
  <c r="R29" i="89" s="1"/>
  <c r="Q79" i="89"/>
  <c r="R79" i="89" s="1"/>
  <c r="Q69" i="89"/>
  <c r="R69" i="89" s="1"/>
  <c r="Q140" i="89"/>
  <c r="R140" i="89" s="1"/>
  <c r="T34" i="89"/>
  <c r="U26" i="89"/>
  <c r="V40" i="89"/>
  <c r="AI36" i="89"/>
  <c r="X34" i="89"/>
  <c r="Y35" i="89"/>
  <c r="W35" i="89"/>
  <c r="T44" i="89"/>
  <c r="V55" i="89"/>
  <c r="V65" i="89"/>
  <c r="T82" i="89"/>
  <c r="W86" i="89"/>
  <c r="T103" i="89"/>
  <c r="X118" i="89"/>
  <c r="X127" i="89"/>
  <c r="T139" i="89"/>
  <c r="Q44" i="89"/>
  <c r="R44" i="89" s="1"/>
  <c r="Q57" i="89"/>
  <c r="R57" i="89" s="1"/>
  <c r="Q92" i="89"/>
  <c r="R92" i="89" s="1"/>
  <c r="Q129" i="89"/>
  <c r="R129" i="89" s="1"/>
  <c r="U27" i="89"/>
  <c r="V29" i="89"/>
  <c r="Y36" i="89"/>
  <c r="U44" i="89"/>
  <c r="X57" i="89"/>
  <c r="T67" i="89"/>
  <c r="U82" i="89"/>
  <c r="Y88" i="89"/>
  <c r="W105" i="89"/>
  <c r="T120" i="89"/>
  <c r="Y127" i="89"/>
  <c r="V140" i="89"/>
  <c r="Q26" i="89"/>
  <c r="R26" i="89" s="1"/>
  <c r="Q40" i="89"/>
  <c r="R40" i="89" s="1"/>
  <c r="Q59" i="89"/>
  <c r="R59" i="89" s="1"/>
  <c r="Q67" i="89"/>
  <c r="R67" i="89" s="1"/>
  <c r="Q107" i="89"/>
  <c r="R107" i="89" s="1"/>
  <c r="Q118" i="89"/>
  <c r="R118" i="89" s="1"/>
  <c r="AH40" i="89"/>
  <c r="U40" i="89"/>
  <c r="AI34" i="89"/>
  <c r="Y29" i="89"/>
  <c r="W29" i="89"/>
  <c r="V44" i="89"/>
  <c r="U59" i="89"/>
  <c r="W69" i="89"/>
  <c r="U107" i="89"/>
  <c r="X122" i="89"/>
  <c r="Q27" i="89"/>
  <c r="R27" i="89" s="1"/>
  <c r="Q108" i="89"/>
  <c r="R108" i="89" s="1"/>
  <c r="T26" i="89"/>
  <c r="U29" i="89"/>
  <c r="V34" i="89"/>
  <c r="V31" i="89"/>
  <c r="W31" i="89"/>
  <c r="X37" i="89"/>
  <c r="W37" i="89"/>
  <c r="Y44" i="89"/>
  <c r="W44" i="89"/>
  <c r="T63" i="89"/>
  <c r="X72" i="89"/>
  <c r="Y92" i="89"/>
  <c r="W108" i="89"/>
  <c r="Q72" i="89"/>
  <c r="R72" i="89" s="1"/>
  <c r="Q119" i="89"/>
  <c r="R119" i="89" s="1"/>
  <c r="Q138" i="89"/>
  <c r="R138" i="89" s="1"/>
  <c r="Q143" i="89"/>
  <c r="R143" i="89" s="1"/>
  <c r="T27" i="89"/>
  <c r="AH37" i="89"/>
  <c r="AH27" i="89"/>
  <c r="AI29" i="89"/>
  <c r="X40" i="89"/>
  <c r="Y32" i="89"/>
  <c r="W32" i="89"/>
  <c r="Y38" i="89"/>
  <c r="Y42" i="89"/>
  <c r="W42" i="89"/>
  <c r="U63" i="89"/>
  <c r="V74" i="89"/>
  <c r="X82" i="89"/>
  <c r="U94" i="89"/>
  <c r="X112" i="89"/>
  <c r="T127" i="89"/>
  <c r="V131" i="89"/>
  <c r="E211" i="89"/>
  <c r="F211" i="89" s="1"/>
  <c r="W39" i="89"/>
  <c r="Q63" i="89"/>
  <c r="R63" i="89" s="1"/>
  <c r="Q73" i="89"/>
  <c r="R73" i="89" s="1"/>
  <c r="Q97" i="89"/>
  <c r="R97" i="89" s="1"/>
  <c r="Q112" i="89"/>
  <c r="R112" i="89" s="1"/>
  <c r="Q131" i="89"/>
  <c r="R131" i="89" s="1"/>
  <c r="T40" i="89"/>
  <c r="AH36" i="89"/>
  <c r="AH26" i="89"/>
  <c r="U34" i="89"/>
  <c r="V36" i="89"/>
  <c r="AI40" i="89"/>
  <c r="Y26" i="89"/>
  <c r="Y33" i="89"/>
  <c r="W33" i="89"/>
  <c r="Y63" i="89"/>
  <c r="U46" i="89"/>
  <c r="V63" i="89"/>
  <c r="T76" i="89"/>
  <c r="W95" i="89"/>
  <c r="Y103" i="89"/>
  <c r="U127" i="89"/>
  <c r="X133" i="89"/>
  <c r="Y66" i="89"/>
  <c r="T47" i="89"/>
  <c r="W63" i="89"/>
  <c r="W78" i="89"/>
  <c r="T84" i="89"/>
  <c r="Y97" i="89"/>
  <c r="T115" i="89"/>
  <c r="V127" i="89"/>
  <c r="T135" i="89"/>
  <c r="Y75" i="89"/>
  <c r="T53" i="89"/>
  <c r="U80" i="89"/>
  <c r="U85" i="89"/>
  <c r="U99" i="89"/>
  <c r="V116" i="89"/>
  <c r="X137" i="89"/>
  <c r="DE89" i="25"/>
  <c r="DW21" i="25"/>
  <c r="DY21" i="25"/>
  <c r="CP173" i="25"/>
  <c r="CP110" i="25"/>
  <c r="CG118" i="25"/>
  <c r="CG110" i="25"/>
  <c r="DE161" i="25"/>
  <c r="ED124" i="25"/>
  <c r="ED138" i="25"/>
  <c r="ED115" i="25"/>
  <c r="ED64" i="25"/>
  <c r="ED37" i="25"/>
  <c r="ED88" i="25"/>
  <c r="ED51" i="25"/>
  <c r="ED97" i="25"/>
  <c r="ED35" i="25"/>
  <c r="ED60" i="25"/>
  <c r="DW24" i="25"/>
  <c r="DH72" i="25"/>
  <c r="DI72" i="25" s="1"/>
  <c r="DE38" i="25"/>
  <c r="DE28" i="25"/>
  <c r="DD70" i="25"/>
  <c r="DC70" i="25" s="1"/>
  <c r="DJ70" i="25" s="1"/>
  <c r="DE118" i="25"/>
  <c r="DD133" i="25"/>
  <c r="DC133" i="25" s="1"/>
  <c r="DJ133" i="25" s="1"/>
  <c r="DE186" i="25"/>
  <c r="DH148" i="25"/>
  <c r="DI148" i="25" s="1"/>
  <c r="DH78" i="25"/>
  <c r="DI78" i="25" s="1"/>
  <c r="DE103" i="25"/>
  <c r="DE66" i="25"/>
  <c r="DH70" i="25"/>
  <c r="DI70" i="25" s="1"/>
  <c r="DD156" i="25"/>
  <c r="DC156" i="25" s="1"/>
  <c r="DJ156" i="25" s="1"/>
  <c r="DD191" i="25"/>
  <c r="DC191" i="25" s="1"/>
  <c r="DJ191" i="25" s="1"/>
  <c r="DH33" i="25"/>
  <c r="DI33" i="25" s="1"/>
  <c r="W101" i="89"/>
  <c r="Q52" i="89"/>
  <c r="R52" i="89" s="1"/>
  <c r="Q101" i="89"/>
  <c r="R101" i="89" s="1"/>
  <c r="Q111" i="89"/>
  <c r="R111" i="89" s="1"/>
  <c r="Q134" i="89"/>
  <c r="R134" i="89" s="1"/>
  <c r="X33" i="89"/>
  <c r="S35" i="89"/>
  <c r="S65" i="89"/>
  <c r="Y60" i="89"/>
  <c r="Y51" i="89"/>
  <c r="Y67" i="89"/>
  <c r="Y76" i="89"/>
  <c r="V46" i="89"/>
  <c r="U48" i="89"/>
  <c r="V52" i="89"/>
  <c r="T54" i="89"/>
  <c r="U55" i="89"/>
  <c r="W57" i="89"/>
  <c r="T59" i="89"/>
  <c r="V61" i="89"/>
  <c r="T64" i="89"/>
  <c r="W65" i="89"/>
  <c r="U67" i="89"/>
  <c r="X69" i="89"/>
  <c r="V71" i="89"/>
  <c r="T73" i="89"/>
  <c r="W74" i="89"/>
  <c r="U76" i="89"/>
  <c r="X78" i="89"/>
  <c r="V80" i="89"/>
  <c r="U84" i="89"/>
  <c r="V85" i="89"/>
  <c r="X86" i="89"/>
  <c r="T89" i="89"/>
  <c r="V90" i="89"/>
  <c r="X91" i="89"/>
  <c r="T93" i="89"/>
  <c r="V94" i="89"/>
  <c r="X95" i="89"/>
  <c r="T98" i="89"/>
  <c r="V99" i="89"/>
  <c r="X101" i="89"/>
  <c r="U103" i="89"/>
  <c r="X105" i="89"/>
  <c r="V107" i="89"/>
  <c r="X108" i="89"/>
  <c r="V111" i="89"/>
  <c r="Y112" i="89"/>
  <c r="Y102" i="89"/>
  <c r="U115" i="89"/>
  <c r="W116" i="89"/>
  <c r="Y118" i="89"/>
  <c r="U120" i="89"/>
  <c r="W121" i="89"/>
  <c r="Y122" i="89"/>
  <c r="U125" i="89"/>
  <c r="Y128" i="89"/>
  <c r="U130" i="89"/>
  <c r="W131" i="89"/>
  <c r="Y133" i="89"/>
  <c r="U135" i="89"/>
  <c r="W136" i="89"/>
  <c r="Y137" i="89"/>
  <c r="U139" i="89"/>
  <c r="W140" i="89"/>
  <c r="Y52" i="89"/>
  <c r="U52" i="89"/>
  <c r="W61" i="89"/>
  <c r="V121" i="89"/>
  <c r="Q31" i="89"/>
  <c r="R31" i="89" s="1"/>
  <c r="Q91" i="89"/>
  <c r="R91" i="89" s="1"/>
  <c r="Q128" i="89"/>
  <c r="R128" i="89" s="1"/>
  <c r="Q137" i="89"/>
  <c r="R137" i="89" s="1"/>
  <c r="Y27" i="89"/>
  <c r="Y37" i="89"/>
  <c r="S80" i="89"/>
  <c r="S136" i="89"/>
  <c r="S26" i="89"/>
  <c r="Y59" i="89"/>
  <c r="Y47" i="89"/>
  <c r="Y69" i="89"/>
  <c r="Y78" i="89"/>
  <c r="T45" i="89"/>
  <c r="W46" i="89"/>
  <c r="X51" i="89"/>
  <c r="W52" i="89"/>
  <c r="U54" i="89"/>
  <c r="T55" i="89"/>
  <c r="V57" i="89"/>
  <c r="T60" i="89"/>
  <c r="U61" i="89"/>
  <c r="U64" i="89"/>
  <c r="X65" i="89"/>
  <c r="V67" i="89"/>
  <c r="T70" i="89"/>
  <c r="W71" i="89"/>
  <c r="U73" i="89"/>
  <c r="X74" i="89"/>
  <c r="V76" i="89"/>
  <c r="T79" i="89"/>
  <c r="W80" i="89"/>
  <c r="T83" i="89"/>
  <c r="V84" i="89"/>
  <c r="W85" i="89"/>
  <c r="Y86" i="89"/>
  <c r="U89" i="89"/>
  <c r="W90" i="89"/>
  <c r="Y91" i="89"/>
  <c r="U93" i="89"/>
  <c r="W94" i="89"/>
  <c r="Y95" i="89"/>
  <c r="U98" i="89"/>
  <c r="W99" i="89"/>
  <c r="Y101" i="89"/>
  <c r="V103" i="89"/>
  <c r="T106" i="89"/>
  <c r="W107" i="89"/>
  <c r="T109" i="89"/>
  <c r="W111" i="89"/>
  <c r="Y111" i="89"/>
  <c r="T114" i="89"/>
  <c r="V115" i="89"/>
  <c r="X116" i="89"/>
  <c r="T119" i="89"/>
  <c r="V120" i="89"/>
  <c r="X121" i="89"/>
  <c r="T124" i="89"/>
  <c r="V125" i="89"/>
  <c r="T129" i="89"/>
  <c r="V130" i="89"/>
  <c r="X131" i="89"/>
  <c r="T134" i="89"/>
  <c r="V135" i="89"/>
  <c r="X136" i="89"/>
  <c r="T138" i="89"/>
  <c r="V139" i="89"/>
  <c r="X140" i="89"/>
  <c r="T143" i="89"/>
  <c r="Q121" i="89"/>
  <c r="R121" i="89" s="1"/>
  <c r="S79" i="89"/>
  <c r="S135" i="89"/>
  <c r="Y57" i="89"/>
  <c r="Y46" i="89"/>
  <c r="Y70" i="89"/>
  <c r="Y79" i="89"/>
  <c r="U45" i="89"/>
  <c r="X46" i="89"/>
  <c r="W51" i="89"/>
  <c r="X52" i="89"/>
  <c r="V54" i="89"/>
  <c r="T56" i="89"/>
  <c r="U57" i="89"/>
  <c r="U60" i="89"/>
  <c r="T61" i="89"/>
  <c r="V64" i="89"/>
  <c r="T66" i="89"/>
  <c r="W67" i="89"/>
  <c r="U70" i="89"/>
  <c r="X71" i="89"/>
  <c r="V73" i="89"/>
  <c r="T75" i="89"/>
  <c r="W76" i="89"/>
  <c r="U79" i="89"/>
  <c r="X80" i="89"/>
  <c r="U83" i="89"/>
  <c r="W84" i="89"/>
  <c r="X85" i="89"/>
  <c r="T88" i="89"/>
  <c r="V89" i="89"/>
  <c r="X90" i="89"/>
  <c r="T92" i="89"/>
  <c r="V93" i="89"/>
  <c r="X94" i="89"/>
  <c r="T97" i="89"/>
  <c r="V98" i="89"/>
  <c r="X99" i="89"/>
  <c r="T102" i="89"/>
  <c r="W103" i="89"/>
  <c r="U106" i="89"/>
  <c r="X107" i="89"/>
  <c r="U109" i="89"/>
  <c r="X111" i="89"/>
  <c r="Y109" i="89"/>
  <c r="U114" i="89"/>
  <c r="W115" i="89"/>
  <c r="Y116" i="89"/>
  <c r="U119" i="89"/>
  <c r="W120" i="89"/>
  <c r="Y121" i="89"/>
  <c r="U124" i="89"/>
  <c r="W125" i="89"/>
  <c r="U129" i="89"/>
  <c r="W130" i="89"/>
  <c r="Y131" i="89"/>
  <c r="U134" i="89"/>
  <c r="W135" i="89"/>
  <c r="Y136" i="89"/>
  <c r="U138" i="89"/>
  <c r="W139" i="89"/>
  <c r="Y140" i="89"/>
  <c r="U143" i="89"/>
  <c r="U111" i="89"/>
  <c r="V136" i="89"/>
  <c r="Q135" i="89"/>
  <c r="R135" i="89" s="1"/>
  <c r="X27" i="89"/>
  <c r="S97" i="89"/>
  <c r="S70" i="89"/>
  <c r="Y56" i="89"/>
  <c r="Y45" i="89"/>
  <c r="Y71" i="89"/>
  <c r="Y80" i="89"/>
  <c r="V45" i="89"/>
  <c r="X47" i="89"/>
  <c r="V51" i="89"/>
  <c r="X53" i="89"/>
  <c r="W54" i="89"/>
  <c r="U56" i="89"/>
  <c r="V60" i="89"/>
  <c r="W64" i="89"/>
  <c r="U66" i="89"/>
  <c r="V70" i="89"/>
  <c r="T72" i="89"/>
  <c r="W73" i="89"/>
  <c r="U75" i="89"/>
  <c r="V79" i="89"/>
  <c r="V83" i="89"/>
  <c r="X84" i="89"/>
  <c r="Y85" i="89"/>
  <c r="U88" i="89"/>
  <c r="W89" i="89"/>
  <c r="Y90" i="89"/>
  <c r="U92" i="89"/>
  <c r="W93" i="89"/>
  <c r="Y94" i="89"/>
  <c r="U97" i="89"/>
  <c r="W98" i="89"/>
  <c r="Y99" i="89"/>
  <c r="U102" i="89"/>
  <c r="V106" i="89"/>
  <c r="S108" i="89"/>
  <c r="V109" i="89"/>
  <c r="T112" i="89"/>
  <c r="Y108" i="89"/>
  <c r="V114" i="89"/>
  <c r="X115" i="89"/>
  <c r="T118" i="89"/>
  <c r="V119" i="89"/>
  <c r="X120" i="89"/>
  <c r="T122" i="89"/>
  <c r="V124" i="89"/>
  <c r="X125" i="89"/>
  <c r="T128" i="89"/>
  <c r="V129" i="89"/>
  <c r="X130" i="89"/>
  <c r="T133" i="89"/>
  <c r="V134" i="89"/>
  <c r="X135" i="89"/>
  <c r="T137" i="89"/>
  <c r="V138" i="89"/>
  <c r="X139" i="89"/>
  <c r="V143" i="89"/>
  <c r="U71" i="89"/>
  <c r="W91" i="89"/>
  <c r="AI31" i="89"/>
  <c r="X26" i="89"/>
  <c r="S118" i="89"/>
  <c r="Y55" i="89"/>
  <c r="Y72" i="89"/>
  <c r="W45" i="89"/>
  <c r="W47" i="89"/>
  <c r="U51" i="89"/>
  <c r="W53" i="89"/>
  <c r="X54" i="89"/>
  <c r="V56" i="89"/>
  <c r="X59" i="89"/>
  <c r="W60" i="89"/>
  <c r="X64" i="89"/>
  <c r="V66" i="89"/>
  <c r="T69" i="89"/>
  <c r="W70" i="89"/>
  <c r="U72" i="89"/>
  <c r="X73" i="89"/>
  <c r="V75" i="89"/>
  <c r="T78" i="89"/>
  <c r="W79" i="89"/>
  <c r="W83" i="89"/>
  <c r="T86" i="89"/>
  <c r="V88" i="89"/>
  <c r="X89" i="89"/>
  <c r="T91" i="89"/>
  <c r="V92" i="89"/>
  <c r="X93" i="89"/>
  <c r="T95" i="89"/>
  <c r="V97" i="89"/>
  <c r="X98" i="89"/>
  <c r="T101" i="89"/>
  <c r="V102" i="89"/>
  <c r="T105" i="89"/>
  <c r="W106" i="89"/>
  <c r="T108" i="89"/>
  <c r="W109" i="89"/>
  <c r="U112" i="89"/>
  <c r="Y107" i="89"/>
  <c r="W114" i="89"/>
  <c r="U118" i="89"/>
  <c r="W119" i="89"/>
  <c r="U122" i="89"/>
  <c r="W124" i="89"/>
  <c r="U128" i="89"/>
  <c r="W129" i="89"/>
  <c r="U133" i="89"/>
  <c r="W134" i="89"/>
  <c r="U137" i="89"/>
  <c r="W138" i="89"/>
  <c r="W143" i="89"/>
  <c r="Y61" i="89"/>
  <c r="Q61" i="89"/>
  <c r="R61" i="89" s="1"/>
  <c r="Q133" i="89"/>
  <c r="R133" i="89" s="1"/>
  <c r="S95" i="89"/>
  <c r="V47" i="89"/>
  <c r="V53" i="89"/>
  <c r="X55" i="89"/>
  <c r="W56" i="89"/>
  <c r="W59" i="89"/>
  <c r="T65" i="89"/>
  <c r="W66" i="89"/>
  <c r="U69" i="89"/>
  <c r="V72" i="89"/>
  <c r="T74" i="89"/>
  <c r="W75" i="89"/>
  <c r="U78" i="89"/>
  <c r="X83" i="89"/>
  <c r="S85" i="89"/>
  <c r="U86" i="89"/>
  <c r="W88" i="89"/>
  <c r="U91" i="89"/>
  <c r="W92" i="89"/>
  <c r="U95" i="89"/>
  <c r="W97" i="89"/>
  <c r="U101" i="89"/>
  <c r="W102" i="89"/>
  <c r="U105" i="89"/>
  <c r="X106" i="89"/>
  <c r="U108" i="89"/>
  <c r="V112" i="89"/>
  <c r="X114" i="89"/>
  <c r="T116" i="89"/>
  <c r="V118" i="89"/>
  <c r="X119" i="89"/>
  <c r="T121" i="89"/>
  <c r="V122" i="89"/>
  <c r="X124" i="89"/>
  <c r="V128" i="89"/>
  <c r="X129" i="89"/>
  <c r="T131" i="89"/>
  <c r="V133" i="89"/>
  <c r="X134" i="89"/>
  <c r="T136" i="89"/>
  <c r="V137" i="89"/>
  <c r="X138" i="89"/>
  <c r="T140" i="89"/>
  <c r="X143" i="89"/>
  <c r="Q136" i="89"/>
  <c r="R136" i="89" s="1"/>
  <c r="S109" i="89"/>
  <c r="S116" i="89"/>
  <c r="Y53" i="89"/>
  <c r="Y65" i="89"/>
  <c r="Y74" i="89"/>
  <c r="V105" i="89"/>
  <c r="ED32" i="25"/>
  <c r="ED112" i="25"/>
  <c r="ED130" i="25"/>
  <c r="ED116" i="25"/>
  <c r="ED191" i="25"/>
  <c r="ED186" i="25"/>
  <c r="ED166" i="25"/>
  <c r="DW26" i="25"/>
  <c r="CP168" i="25"/>
  <c r="CP64" i="25"/>
  <c r="CG171" i="25"/>
  <c r="CG166" i="25"/>
  <c r="CG70" i="25"/>
  <c r="CG148" i="25"/>
  <c r="CG133" i="25"/>
  <c r="CG78" i="25"/>
  <c r="CG113" i="25"/>
  <c r="CG103" i="25"/>
  <c r="CG91" i="25"/>
  <c r="CG39" i="25"/>
  <c r="CG179" i="25"/>
  <c r="CG129" i="25"/>
  <c r="CG29" i="25"/>
  <c r="CG151" i="25"/>
  <c r="CG105" i="25"/>
  <c r="CG83" i="25"/>
  <c r="CG9" i="25"/>
  <c r="CP116" i="25"/>
  <c r="CO48" i="25"/>
  <c r="CQ48" i="25" s="1"/>
  <c r="ED173" i="25"/>
  <c r="ED183" i="25"/>
  <c r="ED193" i="25"/>
  <c r="ED174" i="25"/>
  <c r="ED161" i="25"/>
  <c r="ED118" i="25"/>
  <c r="ED67" i="25"/>
  <c r="ED38" i="25"/>
  <c r="ED28" i="25"/>
  <c r="ED77" i="25"/>
  <c r="ED101" i="25"/>
  <c r="ED47" i="25"/>
  <c r="ED94" i="25"/>
  <c r="DE155" i="25"/>
  <c r="ED71" i="25"/>
  <c r="ED149" i="25"/>
  <c r="ED81" i="25"/>
  <c r="ED107" i="25"/>
  <c r="DH23" i="25"/>
  <c r="DI23" i="25" s="1"/>
  <c r="DD142" i="25"/>
  <c r="DC142" i="25" s="1"/>
  <c r="DJ142" i="25" s="1"/>
  <c r="DD145" i="25"/>
  <c r="DC145" i="25" s="1"/>
  <c r="DJ145" i="25" s="1"/>
  <c r="DD94" i="25"/>
  <c r="DC94" i="25" s="1"/>
  <c r="DJ94" i="25" s="1"/>
  <c r="DY67" i="25"/>
  <c r="DY118" i="25"/>
  <c r="DW145" i="25"/>
  <c r="DY89" i="25"/>
  <c r="CP195" i="25"/>
  <c r="CG40" i="25"/>
  <c r="CG144" i="25"/>
  <c r="DW101" i="25"/>
  <c r="CP77" i="25"/>
  <c r="DY17" i="25"/>
  <c r="DY125" i="25"/>
  <c r="DY132" i="25"/>
  <c r="DY161" i="25"/>
  <c r="DW77" i="25"/>
  <c r="DW193" i="25"/>
  <c r="DD188" i="25"/>
  <c r="DC188" i="25" s="1"/>
  <c r="DJ188" i="25" s="1"/>
  <c r="DD71" i="25"/>
  <c r="DC71" i="25" s="1"/>
  <c r="DJ71" i="25" s="1"/>
  <c r="DD37" i="25"/>
  <c r="DC37" i="25" s="1"/>
  <c r="DJ37" i="25" s="1"/>
  <c r="DD88" i="25"/>
  <c r="DC88" i="25" s="1"/>
  <c r="DJ88" i="25" s="1"/>
  <c r="DD51" i="25"/>
  <c r="DC51" i="25" s="1"/>
  <c r="DJ51" i="25" s="1"/>
  <c r="CP10" i="25"/>
  <c r="CP200" i="25"/>
  <c r="CP22" i="25"/>
  <c r="CO60" i="25"/>
  <c r="CQ60" i="25" s="1"/>
  <c r="CU60" i="25" s="1"/>
  <c r="CX60" i="25" s="1"/>
  <c r="CY60" i="25" s="1"/>
  <c r="CP135" i="25"/>
  <c r="CG26" i="25"/>
  <c r="CG53" i="25"/>
  <c r="CZ128" i="25"/>
  <c r="DW156" i="25"/>
  <c r="DW133" i="25"/>
  <c r="DW63" i="25"/>
  <c r="DW99" i="25"/>
  <c r="DY87" i="25"/>
  <c r="DY56" i="25"/>
  <c r="DW27" i="25"/>
  <c r="DW113" i="25"/>
  <c r="DH98" i="25"/>
  <c r="DI98" i="25" s="1"/>
  <c r="DW70" i="25"/>
  <c r="DW47" i="25"/>
  <c r="DY72" i="25"/>
  <c r="ED178" i="25"/>
  <c r="ED194" i="25"/>
  <c r="ED175" i="25"/>
  <c r="ED162" i="25"/>
  <c r="ED177" i="25"/>
  <c r="DD64" i="25"/>
  <c r="DC64" i="25" s="1"/>
  <c r="DJ64" i="25" s="1"/>
  <c r="DD121" i="25"/>
  <c r="DC121" i="25" s="1"/>
  <c r="DJ121" i="25" s="1"/>
  <c r="DE168" i="25"/>
  <c r="DH149" i="25"/>
  <c r="DI149" i="25" s="1"/>
  <c r="DD97" i="25"/>
  <c r="DC97" i="25" s="1"/>
  <c r="DJ97" i="25" s="1"/>
  <c r="DW142" i="25"/>
  <c r="ED148" i="25"/>
  <c r="ED133" i="25"/>
  <c r="ED55" i="25"/>
  <c r="CG178" i="25"/>
  <c r="CG194" i="25"/>
  <c r="CG75" i="25"/>
  <c r="CG73" i="25"/>
  <c r="CG141" i="25"/>
  <c r="CG134" i="25"/>
  <c r="CG79" i="25"/>
  <c r="CG34" i="25"/>
  <c r="CG11" i="25"/>
  <c r="CG190" i="25"/>
  <c r="CG182" i="25"/>
  <c r="CG154" i="25"/>
  <c r="CG119" i="25"/>
  <c r="CG143" i="25"/>
  <c r="CG98" i="25"/>
  <c r="CG62" i="25"/>
  <c r="CG102" i="25"/>
  <c r="CG86" i="25"/>
  <c r="CG65" i="25"/>
  <c r="CG16" i="25"/>
  <c r="DE97" i="25"/>
  <c r="DD81" i="25"/>
  <c r="DC81" i="25" s="1"/>
  <c r="DJ81" i="25" s="1"/>
  <c r="DY173" i="25"/>
  <c r="DD107" i="25"/>
  <c r="DC107" i="25" s="1"/>
  <c r="DJ107" i="25" s="1"/>
  <c r="DW183" i="25"/>
  <c r="ED184" i="25"/>
  <c r="ED75" i="25"/>
  <c r="ED134" i="25"/>
  <c r="ED79" i="25"/>
  <c r="ED44" i="25"/>
  <c r="ED34" i="25"/>
  <c r="ED49" i="25"/>
  <c r="ED82" i="25"/>
  <c r="ED106" i="25"/>
  <c r="ED11" i="25"/>
  <c r="ED122" i="25"/>
  <c r="ED8" i="25"/>
  <c r="ED72" i="25"/>
  <c r="ED140" i="25"/>
  <c r="ED89" i="25"/>
  <c r="ED66" i="25"/>
  <c r="EC57" i="25"/>
  <c r="EC177" i="25"/>
  <c r="EC178" i="25"/>
  <c r="EC183" i="25"/>
  <c r="EC194" i="25"/>
  <c r="EC175" i="25"/>
  <c r="EC162" i="25"/>
  <c r="EC76" i="25"/>
  <c r="EC71" i="25"/>
  <c r="EC148" i="25"/>
  <c r="EC81" i="25"/>
  <c r="EC133" i="25"/>
  <c r="EC55" i="25"/>
  <c r="EC118" i="25"/>
  <c r="EC67" i="25"/>
  <c r="EC38" i="25"/>
  <c r="EC107" i="25"/>
  <c r="EC28" i="25"/>
  <c r="EC77" i="25"/>
  <c r="EC101" i="25"/>
  <c r="EC47" i="25"/>
  <c r="EC145" i="25"/>
  <c r="EC94" i="25"/>
  <c r="W50" i="89"/>
  <c r="Y48" i="89"/>
  <c r="T48" i="89"/>
  <c r="X50" i="89"/>
  <c r="Y50" i="89"/>
  <c r="Q50" i="89"/>
  <c r="R50" i="89" s="1"/>
  <c r="T50" i="89"/>
  <c r="U50" i="89"/>
  <c r="V48" i="89"/>
  <c r="W48" i="89"/>
  <c r="X48" i="89"/>
  <c r="V32" i="89"/>
  <c r="X31" i="89"/>
  <c r="U32" i="89"/>
  <c r="T32" i="89"/>
  <c r="AI32" i="89"/>
  <c r="X32" i="89"/>
  <c r="AH31" i="89"/>
  <c r="Y31" i="89"/>
  <c r="T31" i="89"/>
  <c r="U31" i="89"/>
  <c r="DD199" i="25"/>
  <c r="DC199" i="25" s="1"/>
  <c r="DJ199" i="25" s="1"/>
  <c r="DD139" i="25"/>
  <c r="DC139" i="25" s="1"/>
  <c r="DJ139" i="25" s="1"/>
  <c r="DD152" i="25"/>
  <c r="DC152" i="25" s="1"/>
  <c r="DJ152" i="25" s="1"/>
  <c r="DD117" i="25"/>
  <c r="DC117" i="25" s="1"/>
  <c r="DJ117" i="25" s="1"/>
  <c r="DD50" i="25"/>
  <c r="DC50" i="25" s="1"/>
  <c r="DJ50" i="25" s="1"/>
  <c r="DD144" i="25"/>
  <c r="DC144" i="25" s="1"/>
  <c r="DJ144" i="25" s="1"/>
  <c r="DD160" i="25"/>
  <c r="DC160" i="25" s="1"/>
  <c r="DJ160" i="25" s="1"/>
  <c r="DD59" i="25"/>
  <c r="DC59" i="25" s="1"/>
  <c r="DJ59" i="25" s="1"/>
  <c r="DD20" i="25"/>
  <c r="DC20" i="25" s="1"/>
  <c r="DJ20" i="25" s="1"/>
  <c r="DD14" i="25"/>
  <c r="DC14" i="25" s="1"/>
  <c r="DJ14" i="25" s="1"/>
  <c r="CO33" i="25"/>
  <c r="CQ33" i="25" s="1"/>
  <c r="CR33" i="25" s="1"/>
  <c r="CV33" i="25" s="1"/>
  <c r="CW33" i="25" s="1"/>
  <c r="CZ33" i="25" s="1"/>
  <c r="CO39" i="25"/>
  <c r="CQ39" i="25" s="1"/>
  <c r="CR39" i="25" s="1"/>
  <c r="CV39" i="25" s="1"/>
  <c r="CW39" i="25" s="1"/>
  <c r="CZ39" i="25" s="1"/>
  <c r="CP197" i="25"/>
  <c r="CP176" i="25"/>
  <c r="CO129" i="25"/>
  <c r="CQ129" i="25" s="1"/>
  <c r="CU129" i="25" s="1"/>
  <c r="CX129" i="25" s="1"/>
  <c r="CY129" i="25" s="1"/>
  <c r="CP31" i="25"/>
  <c r="CP151" i="25"/>
  <c r="CO80" i="25"/>
  <c r="CQ80" i="25" s="1"/>
  <c r="CU80" i="25" s="1"/>
  <c r="CX80" i="25" s="1"/>
  <c r="CY80" i="25" s="1"/>
  <c r="CP12" i="25"/>
  <c r="CO178" i="25"/>
  <c r="CQ178" i="25" s="1"/>
  <c r="CO30" i="25"/>
  <c r="CQ30" i="25" s="1"/>
  <c r="CU30" i="25" s="1"/>
  <c r="CX30" i="25" s="1"/>
  <c r="CY30" i="25" s="1"/>
  <c r="CO106" i="25"/>
  <c r="CQ106" i="25" s="1"/>
  <c r="CU106" i="25" s="1"/>
  <c r="CX106" i="25" s="1"/>
  <c r="CY106" i="25" s="1"/>
  <c r="CO190" i="25"/>
  <c r="CQ190" i="25" s="1"/>
  <c r="CR190" i="25" s="1"/>
  <c r="CV190" i="25" s="1"/>
  <c r="CW190" i="25" s="1"/>
  <c r="CZ190" i="25" s="1"/>
  <c r="CO154" i="25"/>
  <c r="CQ154" i="25" s="1"/>
  <c r="CR154" i="25" s="1"/>
  <c r="CV154" i="25" s="1"/>
  <c r="CW154" i="25" s="1"/>
  <c r="CZ154" i="25" s="1"/>
  <c r="CO153" i="25"/>
  <c r="CQ153" i="25" s="1"/>
  <c r="CR153" i="25" s="1"/>
  <c r="CV153" i="25" s="1"/>
  <c r="CW153" i="25" s="1"/>
  <c r="CZ153" i="25" s="1"/>
  <c r="CP120" i="25"/>
  <c r="DW48" i="25"/>
  <c r="CP186" i="25"/>
  <c r="CP70" i="25"/>
  <c r="DY195" i="25"/>
  <c r="CP148" i="25"/>
  <c r="DY196" i="25"/>
  <c r="DY68" i="25"/>
  <c r="DY130" i="25"/>
  <c r="DD201" i="25"/>
  <c r="DC201" i="25" s="1"/>
  <c r="DJ201" i="25" s="1"/>
  <c r="CP103" i="25"/>
  <c r="DY136" i="25"/>
  <c r="DY111" i="25"/>
  <c r="DY112" i="25"/>
  <c r="CZ67" i="25"/>
  <c r="DE67" i="25"/>
  <c r="DD193" i="25"/>
  <c r="DC193" i="25" s="1"/>
  <c r="DJ193" i="25" s="1"/>
  <c r="CO58" i="25"/>
  <c r="CQ58" i="25" s="1"/>
  <c r="DH142" i="25"/>
  <c r="DI142" i="25" s="1"/>
  <c r="DD174" i="25"/>
  <c r="DC174" i="25" s="1"/>
  <c r="DJ174" i="25" s="1"/>
  <c r="DH145" i="25"/>
  <c r="DI145" i="25" s="1"/>
  <c r="DH174" i="25"/>
  <c r="DI174" i="25" s="1"/>
  <c r="DH47" i="25"/>
  <c r="DI47" i="25" s="1"/>
  <c r="DE77" i="25"/>
  <c r="DH140" i="25"/>
  <c r="DI140" i="25" s="1"/>
  <c r="DE142" i="25"/>
  <c r="DE145" i="25"/>
  <c r="DD77" i="25"/>
  <c r="DC77" i="25" s="1"/>
  <c r="DJ77" i="25" s="1"/>
  <c r="DH17" i="25"/>
  <c r="DI17" i="25" s="1"/>
  <c r="CP156" i="25"/>
  <c r="DE173" i="25"/>
  <c r="DH67" i="25"/>
  <c r="DI67" i="25" s="1"/>
  <c r="DD17" i="25"/>
  <c r="DC17" i="25" s="1"/>
  <c r="DJ17" i="25" s="1"/>
  <c r="DE94" i="25"/>
  <c r="DH101" i="25"/>
  <c r="DI101" i="25" s="1"/>
  <c r="DE125" i="25"/>
  <c r="DE193" i="25"/>
  <c r="DY128" i="25"/>
  <c r="DW116" i="25"/>
  <c r="DW135" i="25"/>
  <c r="DY169" i="25"/>
  <c r="DE29" i="25"/>
  <c r="DE92" i="25"/>
  <c r="DW198" i="25"/>
  <c r="CG173" i="25"/>
  <c r="CG38" i="25"/>
  <c r="CG132" i="25"/>
  <c r="CG145" i="25"/>
  <c r="CG94" i="25"/>
  <c r="CG152" i="25"/>
  <c r="CG96" i="25"/>
  <c r="CG14" i="25"/>
  <c r="DD45" i="25"/>
  <c r="DC45" i="25" s="1"/>
  <c r="DJ45" i="25" s="1"/>
  <c r="DY58" i="25"/>
  <c r="CP73" i="25"/>
  <c r="CP82" i="25"/>
  <c r="CO40" i="25"/>
  <c r="CQ40" i="25" s="1"/>
  <c r="CR40" i="25" s="1"/>
  <c r="CV40" i="25" s="1"/>
  <c r="CW40" i="25" s="1"/>
  <c r="CZ40" i="25" s="1"/>
  <c r="DW11" i="25"/>
  <c r="DY10" i="25"/>
  <c r="DY91" i="25"/>
  <c r="DW187" i="25"/>
  <c r="DY93" i="25"/>
  <c r="DW175" i="25"/>
  <c r="DW39" i="25"/>
  <c r="DY32" i="25"/>
  <c r="DY78" i="25"/>
  <c r="DW121" i="25"/>
  <c r="DY51" i="25"/>
  <c r="DW64" i="25"/>
  <c r="DY138" i="25"/>
  <c r="DY149" i="25"/>
  <c r="DW22" i="25"/>
  <c r="DY188" i="25"/>
  <c r="DW88" i="25"/>
  <c r="DW81" i="25"/>
  <c r="DY192" i="25"/>
  <c r="DW107" i="25"/>
  <c r="DY97" i="25"/>
  <c r="DY159" i="25"/>
  <c r="DW35" i="25"/>
  <c r="DW60" i="25"/>
  <c r="DD32" i="25"/>
  <c r="DC32" i="25" s="1"/>
  <c r="DJ32" i="25" s="1"/>
  <c r="ED30" i="25"/>
  <c r="ED141" i="25"/>
  <c r="DD168" i="25"/>
  <c r="DC168" i="25" s="1"/>
  <c r="DJ168" i="25" s="1"/>
  <c r="DH81" i="25"/>
  <c r="DI81" i="25" s="1"/>
  <c r="DD127" i="25"/>
  <c r="DC127" i="25" s="1"/>
  <c r="DJ127" i="25" s="1"/>
  <c r="ED119" i="25"/>
  <c r="DH60" i="25"/>
  <c r="DI60" i="25" s="1"/>
  <c r="DH71" i="25"/>
  <c r="DI71" i="25" s="1"/>
  <c r="DD149" i="25"/>
  <c r="DC149" i="25" s="1"/>
  <c r="DJ149" i="25" s="1"/>
  <c r="DE71" i="25"/>
  <c r="DH200" i="25"/>
  <c r="DI200" i="25" s="1"/>
  <c r="DD60" i="25"/>
  <c r="DC60" i="25" s="1"/>
  <c r="DJ60" i="25" s="1"/>
  <c r="DH107" i="25"/>
  <c r="DI107" i="25" s="1"/>
  <c r="DD157" i="25"/>
  <c r="DC157" i="25" s="1"/>
  <c r="DJ157" i="25" s="1"/>
  <c r="DD200" i="25"/>
  <c r="DC200" i="25" s="1"/>
  <c r="DJ200" i="25" s="1"/>
  <c r="DD35" i="25"/>
  <c r="DC35" i="25" s="1"/>
  <c r="DJ35" i="25" s="1"/>
  <c r="DH37" i="25"/>
  <c r="DI37" i="25" s="1"/>
  <c r="DY71" i="25"/>
  <c r="CO98" i="25"/>
  <c r="CQ98" i="25" s="1"/>
  <c r="CR98" i="25" s="1"/>
  <c r="CV98" i="25" s="1"/>
  <c r="CW98" i="25" s="1"/>
  <c r="CZ98" i="25" s="1"/>
  <c r="DY129" i="25"/>
  <c r="CP69" i="25"/>
  <c r="CO82" i="25"/>
  <c r="CQ82" i="25" s="1"/>
  <c r="CR82" i="25" s="1"/>
  <c r="CV82" i="25" s="1"/>
  <c r="CW82" i="25" s="1"/>
  <c r="CZ82" i="25" s="1"/>
  <c r="CP65" i="25"/>
  <c r="CP23" i="25"/>
  <c r="CO36" i="25"/>
  <c r="CQ36" i="25" s="1"/>
  <c r="CU36" i="25" s="1"/>
  <c r="CX36" i="25" s="1"/>
  <c r="CY36" i="25" s="1"/>
  <c r="CP184" i="25"/>
  <c r="CO194" i="25"/>
  <c r="CQ194" i="25" s="1"/>
  <c r="CU194" i="25" s="1"/>
  <c r="CX194" i="25" s="1"/>
  <c r="CY194" i="25" s="1"/>
  <c r="CO175" i="25"/>
  <c r="CQ175" i="25" s="1"/>
  <c r="CR175" i="25" s="1"/>
  <c r="CV175" i="25" s="1"/>
  <c r="CW175" i="25" s="1"/>
  <c r="CZ175" i="25" s="1"/>
  <c r="CP75" i="25"/>
  <c r="CO150" i="25"/>
  <c r="CQ150" i="25" s="1"/>
  <c r="CU150" i="25" s="1"/>
  <c r="CX150" i="25" s="1"/>
  <c r="CY150" i="25" s="1"/>
  <c r="CO134" i="25"/>
  <c r="CQ134" i="25" s="1"/>
  <c r="CU134" i="25" s="1"/>
  <c r="CX134" i="25" s="1"/>
  <c r="CY134" i="25" s="1"/>
  <c r="CP34" i="25"/>
  <c r="CP122" i="25"/>
  <c r="CO174" i="25"/>
  <c r="CQ174" i="25" s="1"/>
  <c r="CR174" i="25" s="1"/>
  <c r="CV174" i="25" s="1"/>
  <c r="CW174" i="25" s="1"/>
  <c r="CZ174" i="25" s="1"/>
  <c r="CO161" i="25"/>
  <c r="CQ161" i="25" s="1"/>
  <c r="CU161" i="25" s="1"/>
  <c r="CX161" i="25" s="1"/>
  <c r="CY161" i="25" s="1"/>
  <c r="CO125" i="25"/>
  <c r="CQ125" i="25" s="1"/>
  <c r="CU125" i="25" s="1"/>
  <c r="CX125" i="25" s="1"/>
  <c r="CY125" i="25" s="1"/>
  <c r="CP89" i="25"/>
  <c r="CO118" i="25"/>
  <c r="CQ118" i="25" s="1"/>
  <c r="CU118" i="25" s="1"/>
  <c r="CX118" i="25" s="1"/>
  <c r="CY118" i="25" s="1"/>
  <c r="CO38" i="25"/>
  <c r="CQ38" i="25" s="1"/>
  <c r="CR38" i="25" s="1"/>
  <c r="CV38" i="25" s="1"/>
  <c r="CW38" i="25" s="1"/>
  <c r="CZ38" i="25" s="1"/>
  <c r="CO28" i="25"/>
  <c r="CQ28" i="25" s="1"/>
  <c r="CR28" i="25" s="1"/>
  <c r="CV28" i="25" s="1"/>
  <c r="CW28" i="25" s="1"/>
  <c r="CZ28" i="25" s="1"/>
  <c r="CO101" i="25"/>
  <c r="CQ101" i="25" s="1"/>
  <c r="CU101" i="25" s="1"/>
  <c r="CX101" i="25" s="1"/>
  <c r="CY101" i="25" s="1"/>
  <c r="CO47" i="25"/>
  <c r="CQ47" i="25" s="1"/>
  <c r="CU47" i="25" s="1"/>
  <c r="CX47" i="25" s="1"/>
  <c r="CY47" i="25" s="1"/>
  <c r="CO189" i="25"/>
  <c r="CQ189" i="25" s="1"/>
  <c r="CP202" i="25"/>
  <c r="CP201" i="25"/>
  <c r="CO131" i="25"/>
  <c r="CQ131" i="25" s="1"/>
  <c r="CU131" i="25" s="1"/>
  <c r="CX131" i="25" s="1"/>
  <c r="CY131" i="25" s="1"/>
  <c r="CP152" i="25"/>
  <c r="CO96" i="25"/>
  <c r="CQ96" i="25" s="1"/>
  <c r="CR96" i="25" s="1"/>
  <c r="CV96" i="25" s="1"/>
  <c r="CW96" i="25" s="1"/>
  <c r="CZ96" i="25" s="1"/>
  <c r="CP50" i="25"/>
  <c r="CP144" i="25"/>
  <c r="CO85" i="25"/>
  <c r="CQ85" i="25" s="1"/>
  <c r="CU85" i="25" s="1"/>
  <c r="CX85" i="25" s="1"/>
  <c r="CY85" i="25" s="1"/>
  <c r="CG183" i="25"/>
  <c r="CG193" i="25"/>
  <c r="CG174" i="25"/>
  <c r="CG161" i="25"/>
  <c r="CG125" i="25"/>
  <c r="CG72" i="25"/>
  <c r="CG17" i="25"/>
  <c r="CG140" i="25"/>
  <c r="CG142" i="25"/>
  <c r="CG89" i="25"/>
  <c r="CG67" i="25"/>
  <c r="CG101" i="25"/>
  <c r="CG47" i="25"/>
  <c r="CG189" i="25"/>
  <c r="CG202" i="25"/>
  <c r="CG180" i="25"/>
  <c r="CG201" i="25"/>
  <c r="CG139" i="25"/>
  <c r="CG131" i="25"/>
  <c r="CG117" i="25"/>
  <c r="CG45" i="25"/>
  <c r="CG50" i="25"/>
  <c r="CG146" i="25"/>
  <c r="CG85" i="25"/>
  <c r="CG160" i="25"/>
  <c r="CG59" i="25"/>
  <c r="CG20" i="25"/>
  <c r="CG21" i="25"/>
  <c r="CP143" i="25"/>
  <c r="CP131" i="25"/>
  <c r="CP174" i="25"/>
  <c r="DH122" i="25"/>
  <c r="DI122" i="25" s="1"/>
  <c r="CP167" i="25"/>
  <c r="CP102" i="25"/>
  <c r="CO160" i="25"/>
  <c r="CQ160" i="25" s="1"/>
  <c r="CR160" i="25" s="1"/>
  <c r="CV160" i="25" s="1"/>
  <c r="CW160" i="25" s="1"/>
  <c r="CZ160" i="25" s="1"/>
  <c r="CP190" i="25"/>
  <c r="CP182" i="25"/>
  <c r="CO55" i="25"/>
  <c r="CQ55" i="25" s="1"/>
  <c r="CU55" i="25" s="1"/>
  <c r="CX55" i="25" s="1"/>
  <c r="CY55" i="25" s="1"/>
  <c r="CP62" i="25"/>
  <c r="CP194" i="25"/>
  <c r="CQ8" i="25"/>
  <c r="DE82" i="25"/>
  <c r="DY176" i="25"/>
  <c r="DD82" i="25"/>
  <c r="DC82" i="25" s="1"/>
  <c r="DJ82" i="25" s="1"/>
  <c r="CP96" i="25"/>
  <c r="DW197" i="25"/>
  <c r="DY163" i="25"/>
  <c r="DH75" i="25"/>
  <c r="DI75" i="25" s="1"/>
  <c r="DW172" i="25"/>
  <c r="DW12" i="25"/>
  <c r="EC98" i="25"/>
  <c r="EC62" i="25"/>
  <c r="EC13" i="25"/>
  <c r="EC32" i="25"/>
  <c r="EC86" i="25"/>
  <c r="EC164" i="25"/>
  <c r="EC65" i="25"/>
  <c r="EC23" i="25"/>
  <c r="EC36" i="25"/>
  <c r="EC16" i="25"/>
  <c r="CP28" i="25"/>
  <c r="DW179" i="25"/>
  <c r="CP101" i="25"/>
  <c r="DY147" i="25"/>
  <c r="DW80" i="25"/>
  <c r="DW31" i="25"/>
  <c r="DW74" i="25"/>
  <c r="DD75" i="25"/>
  <c r="DC75" i="25" s="1"/>
  <c r="DJ75" i="25" s="1"/>
  <c r="EC165" i="25"/>
  <c r="EC170" i="25"/>
  <c r="EC173" i="25"/>
  <c r="EC172" i="25"/>
  <c r="EC193" i="25"/>
  <c r="EC174" i="25"/>
  <c r="EC161" i="25"/>
  <c r="EC124" i="25"/>
  <c r="EC70" i="25"/>
  <c r="EC143" i="25"/>
  <c r="EC150" i="25"/>
  <c r="EC120" i="25"/>
  <c r="EC54" i="25"/>
  <c r="EC115" i="25"/>
  <c r="EC64" i="25"/>
  <c r="EC37" i="25"/>
  <c r="EC103" i="25"/>
  <c r="EC88" i="25"/>
  <c r="EC51" i="25"/>
  <c r="EC97" i="25"/>
  <c r="EC35" i="25"/>
  <c r="EC22" i="25"/>
  <c r="EC60" i="25"/>
  <c r="CO124" i="25"/>
  <c r="CQ124" i="25" s="1"/>
  <c r="CU124" i="25" s="1"/>
  <c r="CX124" i="25" s="1"/>
  <c r="CY124" i="25" s="1"/>
  <c r="CO71" i="25"/>
  <c r="CQ71" i="25" s="1"/>
  <c r="CR71" i="25" s="1"/>
  <c r="CV71" i="25" s="1"/>
  <c r="CW71" i="25" s="1"/>
  <c r="CZ71" i="25" s="1"/>
  <c r="CP51" i="25"/>
  <c r="CO113" i="25"/>
  <c r="CQ113" i="25" s="1"/>
  <c r="CR113" i="25" s="1"/>
  <c r="CV113" i="25" s="1"/>
  <c r="CW113" i="25" s="1"/>
  <c r="CZ113" i="25" s="1"/>
  <c r="CP19" i="25"/>
  <c r="CP74" i="25"/>
  <c r="CP92" i="25"/>
  <c r="CG191" i="25"/>
  <c r="CG156" i="25"/>
  <c r="CG66" i="25"/>
  <c r="CG27" i="25"/>
  <c r="CG163" i="25"/>
  <c r="CG147" i="25"/>
  <c r="CG127" i="25"/>
  <c r="CP169" i="25"/>
  <c r="DD184" i="25"/>
  <c r="DC184" i="25" s="1"/>
  <c r="DJ184" i="25" s="1"/>
  <c r="DD194" i="25"/>
  <c r="DC194" i="25" s="1"/>
  <c r="DJ194" i="25" s="1"/>
  <c r="DD162" i="25"/>
  <c r="DC162" i="25" s="1"/>
  <c r="DJ162" i="25" s="1"/>
  <c r="DD150" i="25"/>
  <c r="DC150" i="25" s="1"/>
  <c r="DJ150" i="25" s="1"/>
  <c r="DD90" i="25"/>
  <c r="DC90" i="25" s="1"/>
  <c r="DJ90" i="25" s="1"/>
  <c r="DD79" i="25"/>
  <c r="DC79" i="25" s="1"/>
  <c r="DJ79" i="25" s="1"/>
  <c r="DD49" i="25"/>
  <c r="DC49" i="25" s="1"/>
  <c r="DJ49" i="25" s="1"/>
  <c r="DD106" i="25"/>
  <c r="DC106" i="25" s="1"/>
  <c r="DJ106" i="25" s="1"/>
  <c r="DD11" i="25"/>
  <c r="DC11" i="25" s="1"/>
  <c r="DJ11" i="25" s="1"/>
  <c r="DH22" i="25"/>
  <c r="DI22" i="25" s="1"/>
  <c r="DH51" i="25"/>
  <c r="DI51" i="25" s="1"/>
  <c r="DH138" i="25"/>
  <c r="DI138" i="25" s="1"/>
  <c r="DE37" i="25"/>
  <c r="DH115" i="25"/>
  <c r="DI115" i="25" s="1"/>
  <c r="DH188" i="25"/>
  <c r="DI188" i="25" s="1"/>
  <c r="DY140" i="25"/>
  <c r="DH192" i="25"/>
  <c r="DI192" i="25" s="1"/>
  <c r="DY174" i="25"/>
  <c r="DW38" i="25"/>
  <c r="DD22" i="25"/>
  <c r="DC22" i="25" s="1"/>
  <c r="DJ22" i="25" s="1"/>
  <c r="DE51" i="25"/>
  <c r="DD138" i="25"/>
  <c r="DC138" i="25" s="1"/>
  <c r="DJ138" i="25" s="1"/>
  <c r="DH88" i="25"/>
  <c r="DI88" i="25" s="1"/>
  <c r="DD115" i="25"/>
  <c r="DC115" i="25" s="1"/>
  <c r="DJ115" i="25" s="1"/>
  <c r="DE124" i="25"/>
  <c r="DE188" i="25"/>
  <c r="DD192" i="25"/>
  <c r="DC192" i="25" s="1"/>
  <c r="DJ192" i="25" s="1"/>
  <c r="CG198" i="25"/>
  <c r="CG195" i="25"/>
  <c r="CG149" i="25"/>
  <c r="DH35" i="25"/>
  <c r="DI35" i="25" s="1"/>
  <c r="DE88" i="25"/>
  <c r="DH64" i="25"/>
  <c r="DI64" i="25" s="1"/>
  <c r="DE121" i="25"/>
  <c r="DH157" i="25"/>
  <c r="DI157" i="25" s="1"/>
  <c r="DW94" i="25"/>
  <c r="DW28" i="25"/>
  <c r="ED139" i="25"/>
  <c r="ED73" i="25"/>
  <c r="ED121" i="25"/>
  <c r="ED167" i="25"/>
  <c r="S42" i="89"/>
  <c r="S53" i="89"/>
  <c r="S94" i="89"/>
  <c r="S103" i="89"/>
  <c r="S115" i="89"/>
  <c r="S144" i="89"/>
  <c r="S57" i="89"/>
  <c r="S25" i="89"/>
  <c r="S33" i="89"/>
  <c r="S45" i="89"/>
  <c r="S50" i="89"/>
  <c r="S54" i="89"/>
  <c r="S64" i="89"/>
  <c r="S69" i="89"/>
  <c r="S73" i="89"/>
  <c r="S78" i="89"/>
  <c r="S84" i="89"/>
  <c r="S93" i="89"/>
  <c r="S114" i="89"/>
  <c r="S124" i="89"/>
  <c r="S134" i="89"/>
  <c r="S143" i="89"/>
  <c r="S41" i="89"/>
  <c r="S32" i="89"/>
  <c r="S47" i="89"/>
  <c r="S61" i="89"/>
  <c r="S83" i="89"/>
  <c r="S92" i="89"/>
  <c r="S102" i="89"/>
  <c r="S107" i="89"/>
  <c r="S112" i="89"/>
  <c r="S122" i="89"/>
  <c r="S133" i="89"/>
  <c r="S40" i="89"/>
  <c r="S31" i="89"/>
  <c r="S44" i="89"/>
  <c r="S48" i="89"/>
  <c r="S63" i="89"/>
  <c r="S67" i="89"/>
  <c r="S72" i="89"/>
  <c r="S76" i="89"/>
  <c r="S82" i="89"/>
  <c r="S91" i="89"/>
  <c r="S101" i="89"/>
  <c r="S121" i="89"/>
  <c r="S131" i="89"/>
  <c r="S140" i="89"/>
  <c r="S125" i="89"/>
  <c r="S38" i="89"/>
  <c r="S29" i="89"/>
  <c r="S51" i="89"/>
  <c r="S55" i="89"/>
  <c r="S90" i="89"/>
  <c r="S99" i="89"/>
  <c r="S106" i="89"/>
  <c r="S111" i="89"/>
  <c r="S120" i="89"/>
  <c r="S130" i="89"/>
  <c r="S139" i="89"/>
  <c r="S37" i="89"/>
  <c r="S28" i="89"/>
  <c r="S52" i="89"/>
  <c r="S56" i="89"/>
  <c r="S71" i="89"/>
  <c r="S75" i="89"/>
  <c r="S89" i="89"/>
  <c r="S98" i="89"/>
  <c r="S119" i="89"/>
  <c r="S129" i="89"/>
  <c r="S138" i="89"/>
  <c r="S36" i="89"/>
  <c r="S27" i="89"/>
  <c r="S59" i="89"/>
  <c r="S88" i="89"/>
  <c r="S105" i="89"/>
  <c r="S128" i="89"/>
  <c r="S137" i="89"/>
  <c r="S46" i="89"/>
  <c r="S60" i="89"/>
  <c r="S86" i="89"/>
  <c r="CG107" i="25"/>
  <c r="DD169" i="25"/>
  <c r="DC169" i="25" s="1"/>
  <c r="DJ169" i="25" s="1"/>
  <c r="DD195" i="25"/>
  <c r="DC195" i="25" s="1"/>
  <c r="DJ195" i="25" s="1"/>
  <c r="DH40" i="25"/>
  <c r="DI40" i="25" s="1"/>
  <c r="DH201" i="25"/>
  <c r="DI201" i="25" s="1"/>
  <c r="ED171" i="25"/>
  <c r="ED156" i="25"/>
  <c r="DD54" i="25"/>
  <c r="DC54" i="25" s="1"/>
  <c r="DJ54" i="25" s="1"/>
  <c r="ED199" i="25"/>
  <c r="ED189" i="25"/>
  <c r="ED202" i="25"/>
  <c r="ED180" i="25"/>
  <c r="ED42" i="25"/>
  <c r="ED93" i="25"/>
  <c r="ED48" i="25"/>
  <c r="ED111" i="25"/>
  <c r="ED68" i="25"/>
  <c r="ED84" i="25"/>
  <c r="ED136" i="25"/>
  <c r="ED58" i="25"/>
  <c r="ED15" i="25"/>
  <c r="ED128" i="25"/>
  <c r="ED10" i="25"/>
  <c r="DH54" i="25"/>
  <c r="DI54" i="25" s="1"/>
  <c r="ED105" i="25"/>
  <c r="DE169" i="25"/>
  <c r="DH198" i="25"/>
  <c r="DI198" i="25" s="1"/>
  <c r="DD187" i="25"/>
  <c r="DC187" i="25" s="1"/>
  <c r="DJ187" i="25" s="1"/>
  <c r="DO16" i="25"/>
  <c r="DP16" i="25" s="1"/>
  <c r="DQ16" i="25" s="1"/>
  <c r="DR16" i="25" s="1"/>
  <c r="DH169" i="25"/>
  <c r="DI169" i="25" s="1"/>
  <c r="DE187" i="25"/>
  <c r="DD196" i="25"/>
  <c r="DC196" i="25" s="1"/>
  <c r="DJ196" i="25" s="1"/>
  <c r="DD198" i="25"/>
  <c r="DC198" i="25" s="1"/>
  <c r="DJ198" i="25" s="1"/>
  <c r="CG155" i="25"/>
  <c r="DE195" i="25"/>
  <c r="CG43" i="25"/>
  <c r="CG60" i="25"/>
  <c r="CG48" i="25"/>
  <c r="DD103" i="25"/>
  <c r="DC103" i="25" s="1"/>
  <c r="DJ103" i="25" s="1"/>
  <c r="DH171" i="25"/>
  <c r="DI171" i="25" s="1"/>
  <c r="DH156" i="25"/>
  <c r="DI156" i="25" s="1"/>
  <c r="DH133" i="25"/>
  <c r="DI133" i="25" s="1"/>
  <c r="DH166" i="25"/>
  <c r="DI166" i="25" s="1"/>
  <c r="ED196" i="25"/>
  <c r="ED187" i="25"/>
  <c r="ED198" i="25"/>
  <c r="ED169" i="25"/>
  <c r="DH63" i="25"/>
  <c r="DI63" i="25" s="1"/>
  <c r="DH39" i="25"/>
  <c r="DI39" i="25" s="1"/>
  <c r="DH91" i="25"/>
  <c r="DI91" i="25" s="1"/>
  <c r="DH191" i="25"/>
  <c r="DI191" i="25" s="1"/>
  <c r="ED129" i="25"/>
  <c r="ED26" i="25"/>
  <c r="ED80" i="25"/>
  <c r="ED147" i="25"/>
  <c r="ED83" i="25"/>
  <c r="ED126" i="25"/>
  <c r="ED53" i="25"/>
  <c r="ED12" i="25"/>
  <c r="ED127" i="25"/>
  <c r="ED9" i="25"/>
  <c r="EC25" i="25"/>
  <c r="EC109" i="25"/>
  <c r="EC196" i="25"/>
  <c r="EC187" i="25"/>
  <c r="EC198" i="25"/>
  <c r="EC169" i="25"/>
  <c r="EC167" i="25"/>
  <c r="EC129" i="25"/>
  <c r="EC73" i="25"/>
  <c r="EC17" i="25"/>
  <c r="EC121" i="25"/>
  <c r="EC114" i="25"/>
  <c r="EC90" i="25"/>
  <c r="EC26" i="25"/>
  <c r="EC80" i="25"/>
  <c r="EC46" i="25"/>
  <c r="EC92" i="25"/>
  <c r="EC147" i="25"/>
  <c r="EC83" i="25"/>
  <c r="EC126" i="25"/>
  <c r="EC53" i="25"/>
  <c r="EC12" i="25"/>
  <c r="EC127" i="25"/>
  <c r="EC9" i="25"/>
  <c r="ED24" i="25"/>
  <c r="ED100" i="25"/>
  <c r="DO196" i="25"/>
  <c r="DP196" i="25" s="1"/>
  <c r="DQ196" i="25" s="1"/>
  <c r="DR196" i="25" s="1"/>
  <c r="DO168" i="25"/>
  <c r="DP168" i="25" s="1"/>
  <c r="DQ168" i="25" s="1"/>
  <c r="DR168" i="25" s="1"/>
  <c r="DO157" i="25"/>
  <c r="DP157" i="25" s="1"/>
  <c r="DQ157" i="25" s="1"/>
  <c r="DR157" i="25" s="1"/>
  <c r="DO99" i="25"/>
  <c r="DP99" i="25" s="1"/>
  <c r="DQ99" i="25" s="1"/>
  <c r="DR99" i="25" s="1"/>
  <c r="DO73" i="25"/>
  <c r="DP73" i="25" s="1"/>
  <c r="DQ73" i="25" s="1"/>
  <c r="DR73" i="25" s="1"/>
  <c r="DO87" i="25"/>
  <c r="DP87" i="25" s="1"/>
  <c r="DQ87" i="25" s="1"/>
  <c r="DR87" i="25" s="1"/>
  <c r="DO83" i="25"/>
  <c r="DP83" i="25" s="1"/>
  <c r="DQ83" i="25" s="1"/>
  <c r="DR83" i="25" s="1"/>
  <c r="DO19" i="25"/>
  <c r="DP19" i="25" s="1"/>
  <c r="DQ19" i="25" s="1"/>
  <c r="DR19" i="25" s="1"/>
  <c r="DO53" i="25"/>
  <c r="DP53" i="25" s="1"/>
  <c r="DQ53" i="25" s="1"/>
  <c r="DR53" i="25" s="1"/>
  <c r="DO33" i="25"/>
  <c r="DP33" i="25" s="1"/>
  <c r="DQ33" i="25" s="1"/>
  <c r="DR33" i="25" s="1"/>
  <c r="DO9" i="25"/>
  <c r="DP9" i="25" s="1"/>
  <c r="DQ9" i="25" s="1"/>
  <c r="DR9" i="25" s="1"/>
  <c r="CP47" i="25"/>
  <c r="CP180" i="25"/>
  <c r="CO110" i="25"/>
  <c r="CQ110" i="25" s="1"/>
  <c r="CO144" i="25"/>
  <c r="CQ144" i="25" s="1"/>
  <c r="CU144" i="25" s="1"/>
  <c r="CX144" i="25" s="1"/>
  <c r="CY144" i="25" s="1"/>
  <c r="CO20" i="25"/>
  <c r="CQ20" i="25" s="1"/>
  <c r="CU20" i="25" s="1"/>
  <c r="CX20" i="25" s="1"/>
  <c r="CY20" i="25" s="1"/>
  <c r="CP196" i="25"/>
  <c r="CP32" i="25"/>
  <c r="CO112" i="25"/>
  <c r="CQ112" i="25" s="1"/>
  <c r="CP130" i="25"/>
  <c r="DD114" i="25"/>
  <c r="DC114" i="25" s="1"/>
  <c r="DJ114" i="25" s="1"/>
  <c r="DO115" i="25"/>
  <c r="DP115" i="25" s="1"/>
  <c r="DQ115" i="25" s="1"/>
  <c r="DR115" i="25" s="1"/>
  <c r="DO64" i="25"/>
  <c r="DP64" i="25" s="1"/>
  <c r="DQ64" i="25" s="1"/>
  <c r="DR64" i="25" s="1"/>
  <c r="DO136" i="25"/>
  <c r="DP136" i="25" s="1"/>
  <c r="DQ136" i="25" s="1"/>
  <c r="DR136" i="25" s="1"/>
  <c r="DO97" i="25"/>
  <c r="DP97" i="25" s="1"/>
  <c r="DQ97" i="25" s="1"/>
  <c r="DR97" i="25" s="1"/>
  <c r="DO10" i="25"/>
  <c r="DP10" i="25" s="1"/>
  <c r="DQ10" i="25" s="1"/>
  <c r="DR10" i="25" s="1"/>
  <c r="DD148" i="25"/>
  <c r="DC148" i="25" s="1"/>
  <c r="DJ148" i="25" s="1"/>
  <c r="DD78" i="25"/>
  <c r="DC78" i="25" s="1"/>
  <c r="DJ78" i="25" s="1"/>
  <c r="DD63" i="25"/>
  <c r="DC63" i="25" s="1"/>
  <c r="DJ63" i="25" s="1"/>
  <c r="CO17" i="25"/>
  <c r="CQ17" i="25" s="1"/>
  <c r="CU17" i="25" s="1"/>
  <c r="CX17" i="25" s="1"/>
  <c r="CY17" i="25" s="1"/>
  <c r="CP140" i="25"/>
  <c r="CO89" i="25"/>
  <c r="CQ89" i="25" s="1"/>
  <c r="CR89" i="25" s="1"/>
  <c r="CV89" i="25" s="1"/>
  <c r="CW89" i="25" s="1"/>
  <c r="CZ89" i="25" s="1"/>
  <c r="CG165" i="25"/>
  <c r="CG114" i="25"/>
  <c r="CO32" i="25"/>
  <c r="CQ32" i="25" s="1"/>
  <c r="CU32" i="25" s="1"/>
  <c r="CX32" i="25" s="1"/>
  <c r="CY32" i="25" s="1"/>
  <c r="DD122" i="25"/>
  <c r="DC122" i="25" s="1"/>
  <c r="DJ122" i="25" s="1"/>
  <c r="DE49" i="25"/>
  <c r="DE44" i="25"/>
  <c r="DH134" i="25"/>
  <c r="DI134" i="25" s="1"/>
  <c r="DH162" i="25"/>
  <c r="DI162" i="25" s="1"/>
  <c r="DW164" i="25"/>
  <c r="DY13" i="25"/>
  <c r="ED99" i="25"/>
  <c r="ED113" i="25"/>
  <c r="ED63" i="25"/>
  <c r="ED27" i="25"/>
  <c r="ED87" i="25"/>
  <c r="ED19" i="25"/>
  <c r="ED91" i="25"/>
  <c r="ED33" i="25"/>
  <c r="ED56" i="25"/>
  <c r="ED39" i="25"/>
  <c r="DH11" i="25"/>
  <c r="DI11" i="25" s="1"/>
  <c r="DH194" i="25"/>
  <c r="DI194" i="25" s="1"/>
  <c r="DD44" i="25"/>
  <c r="DC44" i="25" s="1"/>
  <c r="DJ44" i="25" s="1"/>
  <c r="DE11" i="25"/>
  <c r="DW119" i="25"/>
  <c r="DY69" i="25"/>
  <c r="DW62" i="25"/>
  <c r="DW154" i="25"/>
  <c r="DD34" i="25"/>
  <c r="DC34" i="25" s="1"/>
  <c r="DJ34" i="25" s="1"/>
  <c r="DE90" i="25"/>
  <c r="DH90" i="25"/>
  <c r="DI90" i="25" s="1"/>
  <c r="DD73" i="25"/>
  <c r="DC73" i="25" s="1"/>
  <c r="DJ73" i="25" s="1"/>
  <c r="DH106" i="25"/>
  <c r="DI106" i="25" s="1"/>
  <c r="DY55" i="25"/>
  <c r="DY167" i="25"/>
  <c r="DW182" i="25"/>
  <c r="DY143" i="25"/>
  <c r="DY181" i="25"/>
  <c r="DH150" i="25"/>
  <c r="DI150" i="25" s="1"/>
  <c r="DD134" i="25"/>
  <c r="DC134" i="25" s="1"/>
  <c r="DJ134" i="25" s="1"/>
  <c r="DE106" i="25"/>
  <c r="DH73" i="25"/>
  <c r="DI73" i="25" s="1"/>
  <c r="DH8" i="25"/>
  <c r="DI8" i="25" s="1"/>
  <c r="ED69" i="25"/>
  <c r="ED153" i="25"/>
  <c r="ED102" i="25"/>
  <c r="ED201" i="25"/>
  <c r="ED131" i="25"/>
  <c r="ED117" i="25"/>
  <c r="DO76" i="25"/>
  <c r="DP76" i="25" s="1"/>
  <c r="DQ76" i="25" s="1"/>
  <c r="DR76" i="25" s="1"/>
  <c r="DO133" i="25"/>
  <c r="DP133" i="25" s="1"/>
  <c r="DQ133" i="25" s="1"/>
  <c r="DR133" i="25" s="1"/>
  <c r="DD154" i="25"/>
  <c r="DC154" i="25" s="1"/>
  <c r="DJ154" i="25" s="1"/>
  <c r="DD119" i="25"/>
  <c r="DC119" i="25" s="1"/>
  <c r="DJ119" i="25" s="1"/>
  <c r="DD69" i="25"/>
  <c r="DC69" i="25" s="1"/>
  <c r="DJ69" i="25" s="1"/>
  <c r="DD13" i="25"/>
  <c r="DC13" i="25" s="1"/>
  <c r="DJ13" i="25" s="1"/>
  <c r="DD102" i="25"/>
  <c r="DC102" i="25" s="1"/>
  <c r="DJ102" i="25" s="1"/>
  <c r="DD86" i="25"/>
  <c r="DC86" i="25" s="1"/>
  <c r="DJ86" i="25" s="1"/>
  <c r="DD164" i="25"/>
  <c r="DC164" i="25" s="1"/>
  <c r="DJ164" i="25" s="1"/>
  <c r="DD65" i="25"/>
  <c r="DC65" i="25" s="1"/>
  <c r="DJ65" i="25" s="1"/>
  <c r="DD36" i="25"/>
  <c r="DC36" i="25" s="1"/>
  <c r="DJ36" i="25" s="1"/>
  <c r="ED142" i="25"/>
  <c r="ED192" i="25"/>
  <c r="ED188" i="25"/>
  <c r="ED168" i="25"/>
  <c r="ED157" i="25"/>
  <c r="ED185" i="25"/>
  <c r="CG167" i="25"/>
  <c r="CG181" i="25"/>
  <c r="CG69" i="25"/>
  <c r="CG153" i="25"/>
  <c r="CG120" i="25"/>
  <c r="CG55" i="25"/>
  <c r="CG13" i="25"/>
  <c r="CG164" i="25"/>
  <c r="CG23" i="25"/>
  <c r="CG36" i="25"/>
  <c r="CG172" i="25"/>
  <c r="CG197" i="25"/>
  <c r="CG176" i="25"/>
  <c r="CG74" i="25"/>
  <c r="CG31" i="25"/>
  <c r="CG80" i="25"/>
  <c r="CG46" i="25"/>
  <c r="CG92" i="25"/>
  <c r="CG126" i="25"/>
  <c r="CG12" i="25"/>
  <c r="CG186" i="25"/>
  <c r="CG99" i="25"/>
  <c r="CG63" i="25"/>
  <c r="CG87" i="25"/>
  <c r="CG19" i="25"/>
  <c r="CG33" i="25"/>
  <c r="CG41" i="25"/>
  <c r="DW76" i="25"/>
  <c r="DD41" i="25"/>
  <c r="DC41" i="25" s="1"/>
  <c r="DJ41" i="25" s="1"/>
  <c r="ED43" i="25"/>
  <c r="CG54" i="25"/>
  <c r="DD116" i="25"/>
  <c r="DC116" i="25" s="1"/>
  <c r="DJ116" i="25" s="1"/>
  <c r="DD42" i="25"/>
  <c r="DC42" i="25" s="1"/>
  <c r="DJ42" i="25" s="1"/>
  <c r="DD84" i="25"/>
  <c r="DC84" i="25" s="1"/>
  <c r="DJ84" i="25" s="1"/>
  <c r="DD15" i="25"/>
  <c r="DC15" i="25" s="1"/>
  <c r="DJ15" i="25" s="1"/>
  <c r="DD100" i="25"/>
  <c r="DC100" i="25" s="1"/>
  <c r="DJ100" i="25" s="1"/>
  <c r="CP160" i="25"/>
  <c r="CP59" i="25"/>
  <c r="CP20" i="25"/>
  <c r="CP21" i="25"/>
  <c r="CO173" i="25"/>
  <c r="CQ173" i="25" s="1"/>
  <c r="CP183" i="25"/>
  <c r="CP193" i="25"/>
  <c r="CP161" i="25"/>
  <c r="CP125" i="25"/>
  <c r="CP17" i="25"/>
  <c r="CO140" i="25"/>
  <c r="CQ140" i="25" s="1"/>
  <c r="CP142" i="25"/>
  <c r="CP118" i="25"/>
  <c r="CP38" i="25"/>
  <c r="CP132" i="25"/>
  <c r="CO77" i="25"/>
  <c r="CQ77" i="25" s="1"/>
  <c r="CP145" i="25"/>
  <c r="CO192" i="25"/>
  <c r="CQ192" i="25" s="1"/>
  <c r="CP188" i="25"/>
  <c r="CP157" i="25"/>
  <c r="CP149" i="25"/>
  <c r="CP121" i="25"/>
  <c r="CP138" i="25"/>
  <c r="CP115" i="25"/>
  <c r="CO64" i="25"/>
  <c r="CQ64" i="25" s="1"/>
  <c r="CU64" i="25" s="1"/>
  <c r="CX64" i="25" s="1"/>
  <c r="CY64" i="25" s="1"/>
  <c r="CO107" i="25"/>
  <c r="CQ107" i="25" s="1"/>
  <c r="CO88" i="25"/>
  <c r="CQ88" i="25" s="1"/>
  <c r="CU88" i="25" s="1"/>
  <c r="CX88" i="25" s="1"/>
  <c r="CY88" i="25" s="1"/>
  <c r="CO51" i="25"/>
  <c r="CQ51" i="25" s="1"/>
  <c r="CO22" i="25"/>
  <c r="CQ22" i="25" s="1"/>
  <c r="CU22" i="25" s="1"/>
  <c r="CX22" i="25" s="1"/>
  <c r="CY22" i="25" s="1"/>
  <c r="CO198" i="25"/>
  <c r="CQ198" i="25" s="1"/>
  <c r="CO195" i="25"/>
  <c r="CQ195" i="25" s="1"/>
  <c r="CO135" i="25"/>
  <c r="CQ135" i="25" s="1"/>
  <c r="CP42" i="25"/>
  <c r="CP93" i="25"/>
  <c r="CP48" i="25"/>
  <c r="CO84" i="25"/>
  <c r="CQ84" i="25" s="1"/>
  <c r="CG192" i="25"/>
  <c r="CG200" i="25"/>
  <c r="CG168" i="25"/>
  <c r="CG157" i="25"/>
  <c r="CG124" i="25"/>
  <c r="CG71" i="25"/>
  <c r="CG121" i="25"/>
  <c r="CG138" i="25"/>
  <c r="CG81" i="25"/>
  <c r="CG64" i="25"/>
  <c r="CG51" i="25"/>
  <c r="CG35" i="25"/>
  <c r="CG22" i="25"/>
  <c r="CG187" i="25"/>
  <c r="CG169" i="25"/>
  <c r="CG135" i="25"/>
  <c r="CG32" i="25"/>
  <c r="CG112" i="25"/>
  <c r="CG130" i="25"/>
  <c r="CG116" i="25"/>
  <c r="CG93" i="25"/>
  <c r="CG111" i="25"/>
  <c r="CG58" i="25"/>
  <c r="CG15" i="25"/>
  <c r="CG128" i="25"/>
  <c r="CG10" i="25"/>
  <c r="DH41" i="25"/>
  <c r="DI41" i="25" s="1"/>
  <c r="EC200" i="25"/>
  <c r="ED132" i="25"/>
  <c r="ED123" i="25"/>
  <c r="EC95" i="25"/>
  <c r="EC132" i="25"/>
  <c r="EC50" i="25"/>
  <c r="CO83" i="25"/>
  <c r="CQ83" i="25" s="1"/>
  <c r="CO126" i="25"/>
  <c r="CQ126" i="25" s="1"/>
  <c r="CR126" i="25" s="1"/>
  <c r="CV126" i="25" s="1"/>
  <c r="CW126" i="25" s="1"/>
  <c r="CZ126" i="25" s="1"/>
  <c r="CP53" i="25"/>
  <c r="CP127" i="25"/>
  <c r="CP9" i="25"/>
  <c r="CO171" i="25"/>
  <c r="CQ171" i="25" s="1"/>
  <c r="CR171" i="25" s="1"/>
  <c r="CV171" i="25" s="1"/>
  <c r="CW171" i="25" s="1"/>
  <c r="CZ171" i="25" s="1"/>
  <c r="CO156" i="25"/>
  <c r="CQ156" i="25" s="1"/>
  <c r="CO99" i="25"/>
  <c r="CQ99" i="25" s="1"/>
  <c r="CO148" i="25"/>
  <c r="CQ148" i="25" s="1"/>
  <c r="CO133" i="25"/>
  <c r="CQ133" i="25" s="1"/>
  <c r="CO78" i="25"/>
  <c r="CQ78" i="25" s="1"/>
  <c r="CU78" i="25" s="1"/>
  <c r="CX78" i="25" s="1"/>
  <c r="CY78" i="25" s="1"/>
  <c r="CO63" i="25"/>
  <c r="CQ63" i="25" s="1"/>
  <c r="CU63" i="25" s="1"/>
  <c r="CX63" i="25" s="1"/>
  <c r="CY63" i="25" s="1"/>
  <c r="CO27" i="25"/>
  <c r="CQ27" i="25" s="1"/>
  <c r="CU27" i="25" s="1"/>
  <c r="CX27" i="25" s="1"/>
  <c r="CY27" i="25" s="1"/>
  <c r="CO103" i="25"/>
  <c r="CQ103" i="25" s="1"/>
  <c r="CU103" i="25" s="1"/>
  <c r="CX103" i="25" s="1"/>
  <c r="CY103" i="25" s="1"/>
  <c r="CO87" i="25"/>
  <c r="CQ87" i="25" s="1"/>
  <c r="CO91" i="25"/>
  <c r="CQ91" i="25" s="1"/>
  <c r="CP56" i="25"/>
  <c r="CP39" i="25"/>
  <c r="EC156" i="25"/>
  <c r="CG24" i="25"/>
  <c r="CG100" i="25"/>
  <c r="ED23" i="25"/>
  <c r="EC79" i="25"/>
  <c r="EC44" i="25"/>
  <c r="EC34" i="25"/>
  <c r="EC49" i="25"/>
  <c r="EC82" i="25"/>
  <c r="EC106" i="25"/>
  <c r="EC11" i="25"/>
  <c r="EC122" i="25"/>
  <c r="EC8" i="25"/>
  <c r="EC153" i="25"/>
  <c r="EC27" i="25"/>
  <c r="EC102" i="25"/>
  <c r="EC87" i="25"/>
  <c r="EC19" i="25"/>
  <c r="EC91" i="25"/>
  <c r="EC33" i="25"/>
  <c r="EC56" i="25"/>
  <c r="EC39" i="25"/>
  <c r="CO180" i="25"/>
  <c r="CQ180" i="25" s="1"/>
  <c r="CR180" i="25" s="1"/>
  <c r="CV180" i="25" s="1"/>
  <c r="CW180" i="25" s="1"/>
  <c r="CZ180" i="25" s="1"/>
  <c r="CP40" i="25"/>
  <c r="CO152" i="25"/>
  <c r="CQ152" i="25" s="1"/>
  <c r="CR152" i="25" s="1"/>
  <c r="CV152" i="25" s="1"/>
  <c r="CW152" i="25" s="1"/>
  <c r="CZ152" i="25" s="1"/>
  <c r="DD171" i="25"/>
  <c r="DC171" i="25" s="1"/>
  <c r="DJ171" i="25" s="1"/>
  <c r="DD186" i="25"/>
  <c r="DC186" i="25" s="1"/>
  <c r="DJ186" i="25" s="1"/>
  <c r="DD99" i="25"/>
  <c r="DC99" i="25" s="1"/>
  <c r="DJ99" i="25" s="1"/>
  <c r="DD66" i="25"/>
  <c r="DC66" i="25" s="1"/>
  <c r="DJ66" i="25" s="1"/>
  <c r="DD27" i="25"/>
  <c r="DC27" i="25" s="1"/>
  <c r="DJ27" i="25" s="1"/>
  <c r="DD87" i="25"/>
  <c r="DC87" i="25" s="1"/>
  <c r="DJ87" i="25" s="1"/>
  <c r="DD19" i="25"/>
  <c r="DC19" i="25" s="1"/>
  <c r="DJ19" i="25" s="1"/>
  <c r="DD56" i="25"/>
  <c r="DC56" i="25" s="1"/>
  <c r="DJ56" i="25" s="1"/>
  <c r="DD190" i="25"/>
  <c r="DC190" i="25" s="1"/>
  <c r="DJ190" i="25" s="1"/>
  <c r="DH190" i="25"/>
  <c r="DI190" i="25" s="1"/>
  <c r="CO149" i="25"/>
  <c r="CQ149" i="25" s="1"/>
  <c r="CU149" i="25" s="1"/>
  <c r="CX149" i="25" s="1"/>
  <c r="CY149" i="25" s="1"/>
  <c r="CO132" i="25"/>
  <c r="CQ132" i="25" s="1"/>
  <c r="CU132" i="25" s="1"/>
  <c r="CX132" i="25" s="1"/>
  <c r="CY132" i="25" s="1"/>
  <c r="DH13" i="25"/>
  <c r="DI13" i="25" s="1"/>
  <c r="CO142" i="25"/>
  <c r="CQ142" i="25" s="1"/>
  <c r="CR142" i="25" s="1"/>
  <c r="CV142" i="25" s="1"/>
  <c r="CW142" i="25" s="1"/>
  <c r="CZ142" i="25" s="1"/>
  <c r="CO21" i="25"/>
  <c r="CQ21" i="25" s="1"/>
  <c r="CR21" i="25" s="1"/>
  <c r="CO59" i="25"/>
  <c r="CQ59" i="25" s="1"/>
  <c r="CU59" i="25" s="1"/>
  <c r="CX59" i="25" s="1"/>
  <c r="CY59" i="25" s="1"/>
  <c r="DE167" i="25"/>
  <c r="DH167" i="25"/>
  <c r="DI167" i="25" s="1"/>
  <c r="DD167" i="25"/>
  <c r="DC167" i="25" s="1"/>
  <c r="DJ167" i="25" s="1"/>
  <c r="DD62" i="25"/>
  <c r="DC62" i="25" s="1"/>
  <c r="DJ62" i="25" s="1"/>
  <c r="DE62" i="25"/>
  <c r="DH62" i="25"/>
  <c r="DI62" i="25" s="1"/>
  <c r="CP14" i="25"/>
  <c r="CO14" i="25"/>
  <c r="CQ14" i="25" s="1"/>
  <c r="CU14" i="25" s="1"/>
  <c r="CX14" i="25" s="1"/>
  <c r="CY14" i="25" s="1"/>
  <c r="CP94" i="25"/>
  <c r="CO94" i="25"/>
  <c r="CQ94" i="25" s="1"/>
  <c r="CU94" i="25" s="1"/>
  <c r="CX94" i="25" s="1"/>
  <c r="CY94" i="25" s="1"/>
  <c r="CP189" i="25"/>
  <c r="CO201" i="25"/>
  <c r="CQ201" i="25" s="1"/>
  <c r="CR201" i="25" s="1"/>
  <c r="CV201" i="25" s="1"/>
  <c r="CW201" i="25" s="1"/>
  <c r="CZ201" i="25" s="1"/>
  <c r="CP117" i="25"/>
  <c r="CO117" i="25"/>
  <c r="CQ117" i="25" s="1"/>
  <c r="CR117" i="25" s="1"/>
  <c r="CV117" i="25" s="1"/>
  <c r="CW117" i="25" s="1"/>
  <c r="CZ117" i="25" s="1"/>
  <c r="CO50" i="25"/>
  <c r="CQ50" i="25" s="1"/>
  <c r="CR50" i="25" s="1"/>
  <c r="CV50" i="25" s="1"/>
  <c r="CW50" i="25" s="1"/>
  <c r="CZ50" i="25" s="1"/>
  <c r="CP146" i="25"/>
  <c r="CO146" i="25"/>
  <c r="CQ146" i="25" s="1"/>
  <c r="CU146" i="25" s="1"/>
  <c r="CX146" i="25" s="1"/>
  <c r="CY146" i="25" s="1"/>
  <c r="CP85" i="25"/>
  <c r="CP81" i="25"/>
  <c r="CO81" i="25"/>
  <c r="CQ81" i="25" s="1"/>
  <c r="CU81" i="25" s="1"/>
  <c r="CX81" i="25" s="1"/>
  <c r="CY81" i="25" s="1"/>
  <c r="CO35" i="25"/>
  <c r="CQ35" i="25" s="1"/>
  <c r="CU35" i="25" s="1"/>
  <c r="CX35" i="25" s="1"/>
  <c r="CY35" i="25" s="1"/>
  <c r="CP35" i="25"/>
  <c r="CP136" i="25"/>
  <c r="CO136" i="25"/>
  <c r="CQ136" i="25" s="1"/>
  <c r="CR136" i="25" s="1"/>
  <c r="CV136" i="25" s="1"/>
  <c r="CW136" i="25" s="1"/>
  <c r="CZ136" i="25" s="1"/>
  <c r="CP15" i="25"/>
  <c r="DD182" i="25"/>
  <c r="DC182" i="25" s="1"/>
  <c r="DJ182" i="25" s="1"/>
  <c r="DE182" i="25"/>
  <c r="DE69" i="25"/>
  <c r="DH69" i="25"/>
  <c r="DI69" i="25" s="1"/>
  <c r="DE55" i="25"/>
  <c r="DH55" i="25"/>
  <c r="DI55" i="25" s="1"/>
  <c r="DD98" i="25"/>
  <c r="DC98" i="25" s="1"/>
  <c r="DJ98" i="25" s="1"/>
  <c r="DH119" i="25"/>
  <c r="DI119" i="25" s="1"/>
  <c r="DE13" i="25"/>
  <c r="CO72" i="25"/>
  <c r="CQ72" i="25" s="1"/>
  <c r="CU72" i="25" s="1"/>
  <c r="CX72" i="25" s="1"/>
  <c r="CY72" i="25" s="1"/>
  <c r="CP72" i="25"/>
  <c r="CP199" i="25"/>
  <c r="CO202" i="25"/>
  <c r="CQ202" i="25" s="1"/>
  <c r="CO139" i="25"/>
  <c r="CQ139" i="25" s="1"/>
  <c r="CR139" i="25" s="1"/>
  <c r="CV139" i="25" s="1"/>
  <c r="CW139" i="25" s="1"/>
  <c r="CZ139" i="25" s="1"/>
  <c r="CP139" i="25"/>
  <c r="CO45" i="25"/>
  <c r="CQ45" i="25" s="1"/>
  <c r="CR45" i="25" s="1"/>
  <c r="CV45" i="25" s="1"/>
  <c r="CW45" i="25" s="1"/>
  <c r="CZ45" i="25" s="1"/>
  <c r="CP45" i="25"/>
  <c r="CO138" i="25"/>
  <c r="CQ138" i="25" s="1"/>
  <c r="CU138" i="25" s="1"/>
  <c r="CX138" i="25" s="1"/>
  <c r="CY138" i="25" s="1"/>
  <c r="CO157" i="25"/>
  <c r="CQ157" i="25" s="1"/>
  <c r="CU157" i="25" s="1"/>
  <c r="CX157" i="25" s="1"/>
  <c r="CY157" i="25" s="1"/>
  <c r="DH154" i="25"/>
  <c r="DI154" i="25" s="1"/>
  <c r="DD55" i="25"/>
  <c r="DC55" i="25" s="1"/>
  <c r="DJ55" i="25" s="1"/>
  <c r="DH120" i="25"/>
  <c r="DI120" i="25" s="1"/>
  <c r="CO183" i="25"/>
  <c r="CQ183" i="25" s="1"/>
  <c r="CR183" i="25" s="1"/>
  <c r="CV183" i="25" s="1"/>
  <c r="CW183" i="25" s="1"/>
  <c r="CZ183" i="25" s="1"/>
  <c r="CO145" i="25"/>
  <c r="CQ145" i="25" s="1"/>
  <c r="CU145" i="25" s="1"/>
  <c r="CX145" i="25" s="1"/>
  <c r="CY145" i="25" s="1"/>
  <c r="CP84" i="25"/>
  <c r="DY29" i="25"/>
  <c r="DW151" i="25"/>
  <c r="DY151" i="25"/>
  <c r="DY105" i="25"/>
  <c r="DW105" i="25"/>
  <c r="DW46" i="25"/>
  <c r="DY46" i="25"/>
  <c r="DW83" i="25"/>
  <c r="DY83" i="25"/>
  <c r="DS64" i="25"/>
  <c r="DH164" i="25"/>
  <c r="DI164" i="25" s="1"/>
  <c r="DE164" i="25"/>
  <c r="DW178" i="25"/>
  <c r="DY178" i="25"/>
  <c r="DD143" i="25"/>
  <c r="DC143" i="25" s="1"/>
  <c r="DJ143" i="25" s="1"/>
  <c r="DH143" i="25"/>
  <c r="DI143" i="25" s="1"/>
  <c r="DE86" i="25"/>
  <c r="DH86" i="25"/>
  <c r="DI86" i="25" s="1"/>
  <c r="DE36" i="25"/>
  <c r="DH36" i="25"/>
  <c r="DI36" i="25" s="1"/>
  <c r="DD23" i="25"/>
  <c r="DC23" i="25" s="1"/>
  <c r="DJ23" i="25" s="1"/>
  <c r="DD153" i="25"/>
  <c r="DC153" i="25" s="1"/>
  <c r="DJ153" i="25" s="1"/>
  <c r="DH181" i="25"/>
  <c r="DI181" i="25" s="1"/>
  <c r="DD181" i="25"/>
  <c r="DC181" i="25" s="1"/>
  <c r="DJ181" i="25" s="1"/>
  <c r="DE181" i="25"/>
  <c r="DY92" i="25"/>
  <c r="DE65" i="25"/>
  <c r="DH102" i="25"/>
  <c r="DI102" i="25" s="1"/>
  <c r="CO193" i="25"/>
  <c r="CQ193" i="25" s="1"/>
  <c r="CR193" i="25" s="1"/>
  <c r="CV193" i="25" s="1"/>
  <c r="CW193" i="25" s="1"/>
  <c r="CZ193" i="25" s="1"/>
  <c r="CO199" i="25"/>
  <c r="CQ199" i="25" s="1"/>
  <c r="CR199" i="25" s="1"/>
  <c r="CV199" i="25" s="1"/>
  <c r="CW199" i="25" s="1"/>
  <c r="CZ199" i="25" s="1"/>
  <c r="ED40" i="25"/>
  <c r="ED45" i="25"/>
  <c r="ED13" i="25"/>
  <c r="ED86" i="25"/>
  <c r="ED164" i="25"/>
  <c r="ED65" i="25"/>
  <c r="CP114" i="25"/>
  <c r="CP179" i="25"/>
  <c r="CP172" i="25"/>
  <c r="CO197" i="25"/>
  <c r="CQ197" i="25" s="1"/>
  <c r="CP163" i="25"/>
  <c r="CP129" i="25"/>
  <c r="CP29" i="25"/>
  <c r="CO151" i="25"/>
  <c r="CQ151" i="25" s="1"/>
  <c r="CU151" i="25" s="1"/>
  <c r="CX151" i="25" s="1"/>
  <c r="CY151" i="25" s="1"/>
  <c r="CP105" i="25"/>
  <c r="CO26" i="25"/>
  <c r="CQ26" i="25" s="1"/>
  <c r="CR26" i="25" s="1"/>
  <c r="CV26" i="25" s="1"/>
  <c r="CW26" i="25" s="1"/>
  <c r="CZ26" i="25" s="1"/>
  <c r="CO46" i="25"/>
  <c r="CQ46" i="25" s="1"/>
  <c r="CU46" i="25" s="1"/>
  <c r="CX46" i="25" s="1"/>
  <c r="CY46" i="25" s="1"/>
  <c r="CO92" i="25"/>
  <c r="CQ92" i="25" s="1"/>
  <c r="CO167" i="25"/>
  <c r="CQ167" i="25" s="1"/>
  <c r="CO182" i="25"/>
  <c r="CQ182" i="25" s="1"/>
  <c r="CR182" i="25" s="1"/>
  <c r="CV182" i="25" s="1"/>
  <c r="CW182" i="25" s="1"/>
  <c r="CZ182" i="25" s="1"/>
  <c r="CO181" i="25"/>
  <c r="CQ181" i="25" s="1"/>
  <c r="CR181" i="25" s="1"/>
  <c r="CV181" i="25" s="1"/>
  <c r="CW181" i="25" s="1"/>
  <c r="CZ181" i="25" s="1"/>
  <c r="CP154" i="25"/>
  <c r="CP119" i="25"/>
  <c r="CO69" i="25"/>
  <c r="CQ69" i="25" s="1"/>
  <c r="CU69" i="25" s="1"/>
  <c r="CX69" i="25" s="1"/>
  <c r="CY69" i="25" s="1"/>
  <c r="CO143" i="25"/>
  <c r="CQ143" i="25" s="1"/>
  <c r="CR143" i="25" s="1"/>
  <c r="CV143" i="25" s="1"/>
  <c r="CW143" i="25" s="1"/>
  <c r="CZ143" i="25" s="1"/>
  <c r="CP153" i="25"/>
  <c r="CO120" i="25"/>
  <c r="CQ120" i="25" s="1"/>
  <c r="CU120" i="25" s="1"/>
  <c r="CX120" i="25" s="1"/>
  <c r="CY120" i="25" s="1"/>
  <c r="CP55" i="25"/>
  <c r="CP98" i="25"/>
  <c r="CO62" i="25"/>
  <c r="CQ62" i="25" s="1"/>
  <c r="CU62" i="25" s="1"/>
  <c r="CX62" i="25" s="1"/>
  <c r="CY62" i="25" s="1"/>
  <c r="CP13" i="25"/>
  <c r="CO102" i="25"/>
  <c r="CQ102" i="25" s="1"/>
  <c r="CU102" i="25" s="1"/>
  <c r="CX102" i="25" s="1"/>
  <c r="CY102" i="25" s="1"/>
  <c r="CP86" i="25"/>
  <c r="CP164" i="25"/>
  <c r="CO65" i="25"/>
  <c r="CQ65" i="25" s="1"/>
  <c r="CR65" i="25" s="1"/>
  <c r="CV65" i="25" s="1"/>
  <c r="CW65" i="25" s="1"/>
  <c r="CZ65" i="25" s="1"/>
  <c r="CO23" i="25"/>
  <c r="CQ23" i="25" s="1"/>
  <c r="CU23" i="25" s="1"/>
  <c r="CX23" i="25" s="1"/>
  <c r="CY23" i="25" s="1"/>
  <c r="CP36" i="25"/>
  <c r="CP16" i="25"/>
  <c r="CP178" i="25"/>
  <c r="CO184" i="25"/>
  <c r="CQ184" i="25" s="1"/>
  <c r="CR184" i="25" s="1"/>
  <c r="CV184" i="25" s="1"/>
  <c r="CW184" i="25" s="1"/>
  <c r="CZ184" i="25" s="1"/>
  <c r="CP175" i="25"/>
  <c r="CP162" i="25"/>
  <c r="CO75" i="25"/>
  <c r="CQ75" i="25" s="1"/>
  <c r="CU75" i="25" s="1"/>
  <c r="CX75" i="25" s="1"/>
  <c r="CY75" i="25" s="1"/>
  <c r="CO73" i="25"/>
  <c r="CQ73" i="25" s="1"/>
  <c r="CR73" i="25" s="1"/>
  <c r="CV73" i="25" s="1"/>
  <c r="CW73" i="25" s="1"/>
  <c r="CZ73" i="25" s="1"/>
  <c r="CP30" i="25"/>
  <c r="CO141" i="25"/>
  <c r="CQ141" i="25" s="1"/>
  <c r="CR141" i="25" s="1"/>
  <c r="CV141" i="25" s="1"/>
  <c r="CW141" i="25" s="1"/>
  <c r="CZ141" i="25" s="1"/>
  <c r="CP150" i="25"/>
  <c r="CP90" i="25"/>
  <c r="CP134" i="25"/>
  <c r="CO79" i="25"/>
  <c r="CQ79" i="25" s="1"/>
  <c r="CR79" i="25" s="1"/>
  <c r="CV79" i="25" s="1"/>
  <c r="CW79" i="25" s="1"/>
  <c r="CZ79" i="25" s="1"/>
  <c r="CO44" i="25"/>
  <c r="CQ44" i="25" s="1"/>
  <c r="CU44" i="25" s="1"/>
  <c r="CX44" i="25" s="1"/>
  <c r="CY44" i="25" s="1"/>
  <c r="CO34" i="25"/>
  <c r="CQ34" i="25" s="1"/>
  <c r="CP49" i="25"/>
  <c r="CP106" i="25"/>
  <c r="CO11" i="25"/>
  <c r="CQ11" i="25" s="1"/>
  <c r="CR11" i="25" s="1"/>
  <c r="CV11" i="25" s="1"/>
  <c r="CW11" i="25" s="1"/>
  <c r="CZ11" i="25" s="1"/>
  <c r="CO122" i="25"/>
  <c r="CQ122" i="25" s="1"/>
  <c r="CR122" i="25" s="1"/>
  <c r="CV122" i="25" s="1"/>
  <c r="CW122" i="25" s="1"/>
  <c r="CZ122" i="25" s="1"/>
  <c r="CG184" i="25"/>
  <c r="CG175" i="25"/>
  <c r="CG162" i="25"/>
  <c r="CG30" i="25"/>
  <c r="CG150" i="25"/>
  <c r="CG90" i="25"/>
  <c r="CG44" i="25"/>
  <c r="CG49" i="25"/>
  <c r="CG82" i="25"/>
  <c r="CG106" i="25"/>
  <c r="CG122" i="25"/>
  <c r="CG8" i="25"/>
  <c r="DW123" i="25"/>
  <c r="DO101" i="25"/>
  <c r="DP101" i="25" s="1"/>
  <c r="DQ101" i="25" s="1"/>
  <c r="DR101" i="25" s="1"/>
  <c r="ED18" i="25"/>
  <c r="DD173" i="25"/>
  <c r="DC173" i="25" s="1"/>
  <c r="DJ173" i="25" s="1"/>
  <c r="DD161" i="25"/>
  <c r="DC161" i="25" s="1"/>
  <c r="DJ161" i="25" s="1"/>
  <c r="DD125" i="25"/>
  <c r="DC125" i="25" s="1"/>
  <c r="DJ125" i="25" s="1"/>
  <c r="DD72" i="25"/>
  <c r="DC72" i="25" s="1"/>
  <c r="DJ72" i="25" s="1"/>
  <c r="DD140" i="25"/>
  <c r="DC140" i="25" s="1"/>
  <c r="DJ140" i="25" s="1"/>
  <c r="DD89" i="25"/>
  <c r="DC89" i="25" s="1"/>
  <c r="DJ89" i="25" s="1"/>
  <c r="DD118" i="25"/>
  <c r="DC118" i="25" s="1"/>
  <c r="DJ118" i="25" s="1"/>
  <c r="DD38" i="25"/>
  <c r="DC38" i="25" s="1"/>
  <c r="DJ38" i="25" s="1"/>
  <c r="DD132" i="25"/>
  <c r="DC132" i="25" s="1"/>
  <c r="DJ132" i="25" s="1"/>
  <c r="DD28" i="25"/>
  <c r="DC28" i="25" s="1"/>
  <c r="DJ28" i="25" s="1"/>
  <c r="DD101" i="25"/>
  <c r="DC101" i="25" s="1"/>
  <c r="DJ101" i="25" s="1"/>
  <c r="ED61" i="25"/>
  <c r="DE24" i="25"/>
  <c r="DY43" i="25"/>
  <c r="DD129" i="25"/>
  <c r="DC129" i="25" s="1"/>
  <c r="DJ129" i="25" s="1"/>
  <c r="DD53" i="25"/>
  <c r="DC53" i="25" s="1"/>
  <c r="DJ53" i="25" s="1"/>
  <c r="CO90" i="25"/>
  <c r="CQ90" i="25" s="1"/>
  <c r="DH127" i="25"/>
  <c r="DI127" i="25" s="1"/>
  <c r="DY168" i="25"/>
  <c r="DY171" i="25"/>
  <c r="CO119" i="25"/>
  <c r="CQ119" i="25" s="1"/>
  <c r="CU119" i="25" s="1"/>
  <c r="CX119" i="25" s="1"/>
  <c r="CY119" i="25" s="1"/>
  <c r="CO49" i="25"/>
  <c r="CQ49" i="25" s="1"/>
  <c r="CO86" i="25"/>
  <c r="CQ86" i="25" s="1"/>
  <c r="CR86" i="25" s="1"/>
  <c r="CV86" i="25" s="1"/>
  <c r="CW86" i="25" s="1"/>
  <c r="CZ86" i="25" s="1"/>
  <c r="CP141" i="25"/>
  <c r="DO152" i="25"/>
  <c r="DP152" i="25" s="1"/>
  <c r="DQ152" i="25" s="1"/>
  <c r="DR152" i="25" s="1"/>
  <c r="DO24" i="25"/>
  <c r="DP24" i="25" s="1"/>
  <c r="DQ24" i="25" s="1"/>
  <c r="DR24" i="25" s="1"/>
  <c r="DO61" i="25"/>
  <c r="DP61" i="25" s="1"/>
  <c r="DQ61" i="25" s="1"/>
  <c r="DR61" i="25" s="1"/>
  <c r="DO18" i="25"/>
  <c r="DP18" i="25" s="1"/>
  <c r="DQ18" i="25" s="1"/>
  <c r="DR18" i="25" s="1"/>
  <c r="DO40" i="25"/>
  <c r="DP40" i="25" s="1"/>
  <c r="DQ40" i="25" s="1"/>
  <c r="DR40" i="25" s="1"/>
  <c r="DO45" i="25"/>
  <c r="DP45" i="25" s="1"/>
  <c r="DQ45" i="25" s="1"/>
  <c r="DR45" i="25" s="1"/>
  <c r="CO16" i="25"/>
  <c r="CQ16" i="25" s="1"/>
  <c r="CO164" i="25"/>
  <c r="CQ164" i="25" s="1"/>
  <c r="CR164" i="25" s="1"/>
  <c r="CV164" i="25" s="1"/>
  <c r="CW164" i="25" s="1"/>
  <c r="CZ164" i="25" s="1"/>
  <c r="CO162" i="25"/>
  <c r="CQ162" i="25" s="1"/>
  <c r="CP11" i="25"/>
  <c r="DY141" i="25"/>
  <c r="CO13" i="25"/>
  <c r="CQ13" i="25" s="1"/>
  <c r="CU13" i="25" s="1"/>
  <c r="CX13" i="25" s="1"/>
  <c r="CY13" i="25" s="1"/>
  <c r="CP46" i="25"/>
  <c r="DW150" i="25"/>
  <c r="DW49" i="25"/>
  <c r="CP79" i="25"/>
  <c r="ED181" i="25"/>
  <c r="DE18" i="25"/>
  <c r="DH57" i="25"/>
  <c r="DI57" i="25" s="1"/>
  <c r="CG25" i="25"/>
  <c r="CG109" i="25"/>
  <c r="CP27" i="25"/>
  <c r="CP91" i="25"/>
  <c r="CP78" i="25"/>
  <c r="ED96" i="25"/>
  <c r="DW185" i="25"/>
  <c r="DW114" i="25"/>
  <c r="DE126" i="25"/>
  <c r="CO97" i="25"/>
  <c r="CQ97" i="25" s="1"/>
  <c r="CR97" i="25" s="1"/>
  <c r="CV97" i="25" s="1"/>
  <c r="CW97" i="25" s="1"/>
  <c r="CZ97" i="25" s="1"/>
  <c r="CP60" i="25"/>
  <c r="CO196" i="25"/>
  <c r="CQ196" i="25" s="1"/>
  <c r="CP187" i="25"/>
  <c r="CP198" i="25"/>
  <c r="CO169" i="25"/>
  <c r="CQ169" i="25" s="1"/>
  <c r="CR169" i="25" s="1"/>
  <c r="CV169" i="25" s="1"/>
  <c r="CW169" i="25" s="1"/>
  <c r="CZ169" i="25" s="1"/>
  <c r="CP112" i="25"/>
  <c r="CO130" i="25"/>
  <c r="CQ130" i="25" s="1"/>
  <c r="CR130" i="25" s="1"/>
  <c r="CV130" i="25" s="1"/>
  <c r="CW130" i="25" s="1"/>
  <c r="CZ130" i="25" s="1"/>
  <c r="CO116" i="25"/>
  <c r="CQ116" i="25" s="1"/>
  <c r="CO42" i="25"/>
  <c r="CQ42" i="25" s="1"/>
  <c r="CO93" i="25"/>
  <c r="CQ93" i="25" s="1"/>
  <c r="CO111" i="25"/>
  <c r="CQ111" i="25" s="1"/>
  <c r="CP68" i="25"/>
  <c r="CP58" i="25"/>
  <c r="CO15" i="25"/>
  <c r="CQ15" i="25" s="1"/>
  <c r="CO10" i="25"/>
  <c r="CQ10" i="25" s="1"/>
  <c r="CP61" i="25"/>
  <c r="DD80" i="25"/>
  <c r="DC80" i="25" s="1"/>
  <c r="DJ80" i="25" s="1"/>
  <c r="DH31" i="25"/>
  <c r="DI31" i="25" s="1"/>
  <c r="DD126" i="25"/>
  <c r="DC126" i="25" s="1"/>
  <c r="DJ126" i="25" s="1"/>
  <c r="DE147" i="25"/>
  <c r="DY44" i="25"/>
  <c r="DE80" i="25"/>
  <c r="DW126" i="25"/>
  <c r="CP181" i="25"/>
  <c r="DY79" i="25"/>
  <c r="CP44" i="25"/>
  <c r="DW9" i="25"/>
  <c r="DY90" i="25"/>
  <c r="DD147" i="25"/>
  <c r="DC147" i="25" s="1"/>
  <c r="DJ147" i="25" s="1"/>
  <c r="DY124" i="25"/>
  <c r="DY134" i="25"/>
  <c r="DW127" i="25"/>
  <c r="DY82" i="25"/>
  <c r="EC201" i="25"/>
  <c r="EC168" i="25"/>
  <c r="EC131" i="25"/>
  <c r="EC117" i="25"/>
  <c r="DW54" i="25"/>
  <c r="CO137" i="25"/>
  <c r="CQ137" i="25" s="1"/>
  <c r="CO76" i="25"/>
  <c r="CQ76" i="25" s="1"/>
  <c r="CR76" i="25" s="1"/>
  <c r="CV76" i="25" s="1"/>
  <c r="CW76" i="25" s="1"/>
  <c r="CZ76" i="25" s="1"/>
  <c r="ED20" i="25"/>
  <c r="EC149" i="25"/>
  <c r="DO65" i="25"/>
  <c r="DP65" i="25" s="1"/>
  <c r="DQ65" i="25" s="1"/>
  <c r="DR65" i="25" s="1"/>
  <c r="DY109" i="25"/>
  <c r="EC7" i="25"/>
  <c r="EC195" i="25"/>
  <c r="EC154" i="25"/>
  <c r="EC31" i="25"/>
  <c r="EC29" i="25"/>
  <c r="EC78" i="25"/>
  <c r="EC166" i="25"/>
  <c r="DD176" i="25"/>
  <c r="DC176" i="25" s="1"/>
  <c r="DJ176" i="25" s="1"/>
  <c r="DD9" i="25"/>
  <c r="DC9" i="25" s="1"/>
  <c r="DJ9" i="25" s="1"/>
  <c r="DW18" i="25"/>
  <c r="DD18" i="25"/>
  <c r="DC18" i="25" s="1"/>
  <c r="DJ18" i="25" s="1"/>
  <c r="DO177" i="25"/>
  <c r="DP177" i="25" s="1"/>
  <c r="DQ177" i="25" s="1"/>
  <c r="DR177" i="25" s="1"/>
  <c r="DO7" i="25"/>
  <c r="DP7" i="25" s="1"/>
  <c r="DQ7" i="25" s="1"/>
  <c r="DR7" i="25" s="1"/>
  <c r="DO183" i="25"/>
  <c r="DP183" i="25" s="1"/>
  <c r="DQ183" i="25" s="1"/>
  <c r="DR183" i="25" s="1"/>
  <c r="DO194" i="25"/>
  <c r="DP194" i="25" s="1"/>
  <c r="DQ194" i="25" s="1"/>
  <c r="DR194" i="25" s="1"/>
  <c r="DO118" i="25"/>
  <c r="DP118" i="25" s="1"/>
  <c r="DQ118" i="25" s="1"/>
  <c r="DR118" i="25" s="1"/>
  <c r="DO96" i="25"/>
  <c r="DP96" i="25" s="1"/>
  <c r="DQ96" i="25" s="1"/>
  <c r="DR96" i="25" s="1"/>
  <c r="DO67" i="25"/>
  <c r="DP67" i="25" s="1"/>
  <c r="DO38" i="25"/>
  <c r="DP38" i="25" s="1"/>
  <c r="DQ38" i="25" s="1"/>
  <c r="DR38" i="25" s="1"/>
  <c r="DO28" i="25"/>
  <c r="DP28" i="25" s="1"/>
  <c r="DQ28" i="25" s="1"/>
  <c r="DR28" i="25" s="1"/>
  <c r="DO85" i="25"/>
  <c r="DP85" i="25" s="1"/>
  <c r="DQ85" i="25" s="1"/>
  <c r="DR85" i="25" s="1"/>
  <c r="DO77" i="25"/>
  <c r="DP77" i="25" s="1"/>
  <c r="DQ77" i="25" s="1"/>
  <c r="DR77" i="25" s="1"/>
  <c r="DD120" i="25"/>
  <c r="DC120" i="25" s="1"/>
  <c r="DJ120" i="25" s="1"/>
  <c r="DH153" i="25"/>
  <c r="DI153" i="25" s="1"/>
  <c r="DE143" i="25"/>
  <c r="DE119" i="25"/>
  <c r="DH182" i="25"/>
  <c r="DI182" i="25" s="1"/>
  <c r="DE190" i="25"/>
  <c r="DE102" i="25"/>
  <c r="DH65" i="25"/>
  <c r="DI65" i="25" s="1"/>
  <c r="DD165" i="25"/>
  <c r="DC165" i="25" s="1"/>
  <c r="DJ165" i="25" s="1"/>
  <c r="DO58" i="25"/>
  <c r="DP58" i="25" s="1"/>
  <c r="DQ58" i="25" s="1"/>
  <c r="DR58" i="25" s="1"/>
  <c r="ED17" i="25"/>
  <c r="ED90" i="25"/>
  <c r="ED46" i="25"/>
  <c r="ED92" i="25"/>
  <c r="DH43" i="25"/>
  <c r="DI43" i="25" s="1"/>
  <c r="ED25" i="25"/>
  <c r="ED109" i="25"/>
  <c r="DH84" i="25"/>
  <c r="DI84" i="25" s="1"/>
  <c r="DE150" i="25"/>
  <c r="DH79" i="25"/>
  <c r="DI79" i="25" s="1"/>
  <c r="DH49" i="25"/>
  <c r="DI49" i="25" s="1"/>
  <c r="DY84" i="25"/>
  <c r="DY191" i="25"/>
  <c r="DH183" i="25"/>
  <c r="DI183" i="25" s="1"/>
  <c r="DW115" i="25"/>
  <c r="ED154" i="25"/>
  <c r="DH109" i="25"/>
  <c r="DI109" i="25" s="1"/>
  <c r="DW165" i="25"/>
  <c r="DD109" i="25"/>
  <c r="DC109" i="25" s="1"/>
  <c r="DJ109" i="25" s="1"/>
  <c r="DD155" i="25"/>
  <c r="DC155" i="25" s="1"/>
  <c r="DJ155" i="25" s="1"/>
  <c r="EC61" i="25"/>
  <c r="EC18" i="25"/>
  <c r="EC191" i="25"/>
  <c r="DO62" i="25"/>
  <c r="DP62" i="25" s="1"/>
  <c r="DQ62" i="25" s="1"/>
  <c r="DR62" i="25" s="1"/>
  <c r="ED195" i="25"/>
  <c r="ED110" i="25"/>
  <c r="ED50" i="25"/>
  <c r="DH25" i="25"/>
  <c r="DI25" i="25" s="1"/>
  <c r="DD25" i="25"/>
  <c r="DC25" i="25" s="1"/>
  <c r="DJ25" i="25" s="1"/>
  <c r="DO175" i="25"/>
  <c r="DP175" i="25" s="1"/>
  <c r="DQ175" i="25" s="1"/>
  <c r="DR175" i="25" s="1"/>
  <c r="DH141" i="25"/>
  <c r="DI141" i="25" s="1"/>
  <c r="DH30" i="25"/>
  <c r="DI30" i="25" s="1"/>
  <c r="DE42" i="25"/>
  <c r="DH9" i="25"/>
  <c r="DI9" i="25" s="1"/>
  <c r="DD183" i="25"/>
  <c r="DC183" i="25" s="1"/>
  <c r="DJ183" i="25" s="1"/>
  <c r="ED144" i="25"/>
  <c r="DW41" i="25"/>
  <c r="CG57" i="25"/>
  <c r="EC186" i="25"/>
  <c r="DH42" i="25"/>
  <c r="DI42" i="25" s="1"/>
  <c r="DE9" i="25"/>
  <c r="DH34" i="25"/>
  <c r="DI34" i="25" s="1"/>
  <c r="DD141" i="25"/>
  <c r="DC141" i="25" s="1"/>
  <c r="DJ141" i="25" s="1"/>
  <c r="DD30" i="25"/>
  <c r="DC30" i="25" s="1"/>
  <c r="DJ30" i="25" s="1"/>
  <c r="DD111" i="25"/>
  <c r="DC111" i="25" s="1"/>
  <c r="DJ111" i="25" s="1"/>
  <c r="DH32" i="25"/>
  <c r="DI32" i="25" s="1"/>
  <c r="DY200" i="25"/>
  <c r="DY153" i="25"/>
  <c r="ED31" i="25"/>
  <c r="ED78" i="25"/>
  <c r="ED146" i="25"/>
  <c r="ED85" i="25"/>
  <c r="ED7" i="25"/>
  <c r="EC125" i="25"/>
  <c r="EC74" i="25"/>
  <c r="EC40" i="25"/>
  <c r="EC112" i="25"/>
  <c r="EC130" i="25"/>
  <c r="DO156" i="25"/>
  <c r="DP156" i="25" s="1"/>
  <c r="DQ156" i="25" s="1"/>
  <c r="DR156" i="25" s="1"/>
  <c r="DO174" i="25"/>
  <c r="DP174" i="25" s="1"/>
  <c r="DQ174" i="25" s="1"/>
  <c r="DR174" i="25" s="1"/>
  <c r="DO161" i="25"/>
  <c r="DP161" i="25" s="1"/>
  <c r="DQ161" i="25" s="1"/>
  <c r="DR161" i="25" s="1"/>
  <c r="DO143" i="25"/>
  <c r="DP143" i="25" s="1"/>
  <c r="DQ143" i="25" s="1"/>
  <c r="DR143" i="25" s="1"/>
  <c r="DO150" i="25"/>
  <c r="DP150" i="25" s="1"/>
  <c r="DQ150" i="25" s="1"/>
  <c r="DR150" i="25" s="1"/>
  <c r="DO120" i="25"/>
  <c r="DP120" i="25" s="1"/>
  <c r="DQ120" i="25" s="1"/>
  <c r="DR120" i="25" s="1"/>
  <c r="ED29" i="25"/>
  <c r="ED160" i="25"/>
  <c r="ED59" i="25"/>
  <c r="CG108" i="25"/>
  <c r="CG159" i="25"/>
  <c r="CG123" i="25"/>
  <c r="EC116" i="25"/>
  <c r="DD189" i="25"/>
  <c r="DC189" i="25" s="1"/>
  <c r="DJ189" i="25" s="1"/>
  <c r="DD202" i="25"/>
  <c r="DC202" i="25" s="1"/>
  <c r="DJ202" i="25" s="1"/>
  <c r="DD180" i="25"/>
  <c r="DC180" i="25" s="1"/>
  <c r="DJ180" i="25" s="1"/>
  <c r="DD110" i="25"/>
  <c r="DC110" i="25" s="1"/>
  <c r="DJ110" i="25" s="1"/>
  <c r="DD40" i="25"/>
  <c r="DC40" i="25" s="1"/>
  <c r="DJ40" i="25" s="1"/>
  <c r="DD131" i="25"/>
  <c r="DC131" i="25" s="1"/>
  <c r="DJ131" i="25" s="1"/>
  <c r="DD96" i="25"/>
  <c r="DC96" i="25" s="1"/>
  <c r="DJ96" i="25" s="1"/>
  <c r="DD146" i="25"/>
  <c r="DC146" i="25" s="1"/>
  <c r="DJ146" i="25" s="1"/>
  <c r="DD85" i="25"/>
  <c r="DC85" i="25" s="1"/>
  <c r="DJ85" i="25" s="1"/>
  <c r="DD21" i="25"/>
  <c r="DC21" i="25" s="1"/>
  <c r="DJ21" i="25" s="1"/>
  <c r="CO115" i="25"/>
  <c r="CQ115" i="25" s="1"/>
  <c r="CR115" i="25" s="1"/>
  <c r="CV115" i="25" s="1"/>
  <c r="CW115" i="25" s="1"/>
  <c r="CZ115" i="25" s="1"/>
  <c r="CO37" i="25"/>
  <c r="CQ37" i="25" s="1"/>
  <c r="CU37" i="25" s="1"/>
  <c r="CX37" i="25" s="1"/>
  <c r="CY37" i="25" s="1"/>
  <c r="CO179" i="25"/>
  <c r="CQ179" i="25" s="1"/>
  <c r="CO172" i="25"/>
  <c r="CQ172" i="25" s="1"/>
  <c r="CO176" i="25"/>
  <c r="CQ176" i="25" s="1"/>
  <c r="CR176" i="25" s="1"/>
  <c r="CV176" i="25" s="1"/>
  <c r="CW176" i="25" s="1"/>
  <c r="CZ176" i="25" s="1"/>
  <c r="CO163" i="25"/>
  <c r="CQ163" i="25" s="1"/>
  <c r="CO74" i="25"/>
  <c r="CQ74" i="25" s="1"/>
  <c r="CR74" i="25" s="1"/>
  <c r="CV74" i="25" s="1"/>
  <c r="CW74" i="25" s="1"/>
  <c r="CZ74" i="25" s="1"/>
  <c r="CO31" i="25"/>
  <c r="CQ31" i="25" s="1"/>
  <c r="CO29" i="25"/>
  <c r="CQ29" i="25" s="1"/>
  <c r="CR29" i="25" s="1"/>
  <c r="CV29" i="25" s="1"/>
  <c r="CW29" i="25" s="1"/>
  <c r="CZ29" i="25" s="1"/>
  <c r="CO105" i="25"/>
  <c r="CQ105" i="25" s="1"/>
  <c r="CP26" i="25"/>
  <c r="CP80" i="25"/>
  <c r="CP83" i="25"/>
  <c r="CP126" i="25"/>
  <c r="CO53" i="25"/>
  <c r="CQ53" i="25" s="1"/>
  <c r="CU53" i="25" s="1"/>
  <c r="CX53" i="25" s="1"/>
  <c r="CY53" i="25" s="1"/>
  <c r="CO12" i="25"/>
  <c r="CQ12" i="25" s="1"/>
  <c r="CR12" i="25" s="1"/>
  <c r="CV12" i="25" s="1"/>
  <c r="CW12" i="25" s="1"/>
  <c r="CZ12" i="25" s="1"/>
  <c r="CO127" i="25"/>
  <c r="CQ127" i="25" s="1"/>
  <c r="CR127" i="25" s="1"/>
  <c r="CV127" i="25" s="1"/>
  <c r="CW127" i="25" s="1"/>
  <c r="CZ127" i="25" s="1"/>
  <c r="CO9" i="25"/>
  <c r="CQ9" i="25" s="1"/>
  <c r="CO191" i="25"/>
  <c r="CQ191" i="25" s="1"/>
  <c r="CP171" i="25"/>
  <c r="CO186" i="25"/>
  <c r="CQ186" i="25" s="1"/>
  <c r="CR186" i="25" s="1"/>
  <c r="CV186" i="25" s="1"/>
  <c r="CW186" i="25" s="1"/>
  <c r="CZ186" i="25" s="1"/>
  <c r="CP166" i="25"/>
  <c r="CP99" i="25"/>
  <c r="CO70" i="25"/>
  <c r="CQ70" i="25" s="1"/>
  <c r="CR70" i="25" s="1"/>
  <c r="CV70" i="25" s="1"/>
  <c r="CW70" i="25" s="1"/>
  <c r="CZ70" i="25" s="1"/>
  <c r="CP66" i="25"/>
  <c r="CP133" i="25"/>
  <c r="CP113" i="25"/>
  <c r="CP63" i="25"/>
  <c r="CP87" i="25"/>
  <c r="DD43" i="25"/>
  <c r="DC43" i="25" s="1"/>
  <c r="DJ43" i="25" s="1"/>
  <c r="CP159" i="25"/>
  <c r="EC45" i="25"/>
  <c r="DO69" i="25"/>
  <c r="DP69" i="25" s="1"/>
  <c r="DQ69" i="25" s="1"/>
  <c r="DR69" i="25" s="1"/>
  <c r="DO131" i="25"/>
  <c r="DP131" i="25" s="1"/>
  <c r="DQ131" i="25" s="1"/>
  <c r="DR131" i="25" s="1"/>
  <c r="DD31" i="25"/>
  <c r="DC31" i="25" s="1"/>
  <c r="DJ31" i="25" s="1"/>
  <c r="DD105" i="25"/>
  <c r="DC105" i="25" s="1"/>
  <c r="DJ105" i="25" s="1"/>
  <c r="DD26" i="25"/>
  <c r="DC26" i="25" s="1"/>
  <c r="DJ26" i="25" s="1"/>
  <c r="DD46" i="25"/>
  <c r="DC46" i="25" s="1"/>
  <c r="DJ46" i="25" s="1"/>
  <c r="DD83" i="25"/>
  <c r="DC83" i="25" s="1"/>
  <c r="DJ83" i="25" s="1"/>
  <c r="DD12" i="25"/>
  <c r="DC12" i="25" s="1"/>
  <c r="DJ12" i="25" s="1"/>
  <c r="ED190" i="25"/>
  <c r="ED182" i="25"/>
  <c r="ED151" i="25"/>
  <c r="ED21" i="25"/>
  <c r="ED14" i="25"/>
  <c r="EC135" i="25"/>
  <c r="DO191" i="25"/>
  <c r="DP191" i="25" s="1"/>
  <c r="DQ191" i="25" s="1"/>
  <c r="DR191" i="25" s="1"/>
  <c r="DO200" i="25"/>
  <c r="DP200" i="25" s="1"/>
  <c r="DQ200" i="25" s="1"/>
  <c r="DR200" i="25" s="1"/>
  <c r="DO197" i="25"/>
  <c r="DP197" i="25" s="1"/>
  <c r="DQ197" i="25" s="1"/>
  <c r="DR197" i="25" s="1"/>
  <c r="DO186" i="25"/>
  <c r="DP186" i="25" s="1"/>
  <c r="DQ186" i="25" s="1"/>
  <c r="DR186" i="25" s="1"/>
  <c r="DO176" i="25"/>
  <c r="DP176" i="25" s="1"/>
  <c r="DQ176" i="25" s="1"/>
  <c r="DR176" i="25" s="1"/>
  <c r="DH128" i="25"/>
  <c r="DI128" i="25" s="1"/>
  <c r="DE128" i="25"/>
  <c r="DH83" i="25"/>
  <c r="DI83" i="25" s="1"/>
  <c r="DE194" i="25"/>
  <c r="DD92" i="25"/>
  <c r="DC92" i="25" s="1"/>
  <c r="DJ92" i="25" s="1"/>
  <c r="DE12" i="25"/>
  <c r="DD10" i="25"/>
  <c r="DC10" i="25" s="1"/>
  <c r="DJ10" i="25" s="1"/>
  <c r="DE26" i="25"/>
  <c r="CP97" i="25"/>
  <c r="DH12" i="25"/>
  <c r="DI12" i="25" s="1"/>
  <c r="DH151" i="25"/>
  <c r="DI151" i="25" s="1"/>
  <c r="CQ128" i="25"/>
  <c r="CO187" i="25"/>
  <c r="CQ187" i="25" s="1"/>
  <c r="CU187" i="25" s="1"/>
  <c r="CX187" i="25" s="1"/>
  <c r="CY187" i="25" s="1"/>
  <c r="CO68" i="25"/>
  <c r="CQ68" i="25" s="1"/>
  <c r="CU68" i="25" s="1"/>
  <c r="CX68" i="25" s="1"/>
  <c r="CY68" i="25" s="1"/>
  <c r="CO66" i="25"/>
  <c r="CQ66" i="25" s="1"/>
  <c r="CU66" i="25" s="1"/>
  <c r="CX66" i="25" s="1"/>
  <c r="CY66" i="25" s="1"/>
  <c r="CP191" i="25"/>
  <c r="DY42" i="25"/>
  <c r="DE184" i="25"/>
  <c r="DD151" i="25"/>
  <c r="DC151" i="25" s="1"/>
  <c r="DJ151" i="25" s="1"/>
  <c r="DH46" i="25"/>
  <c r="DI46" i="25" s="1"/>
  <c r="DH175" i="25"/>
  <c r="DI175" i="25" s="1"/>
  <c r="DE74" i="25"/>
  <c r="DE162" i="25"/>
  <c r="DH184" i="25"/>
  <c r="DI184" i="25" s="1"/>
  <c r="DH53" i="25"/>
  <c r="DI53" i="25" s="1"/>
  <c r="DE83" i="25"/>
  <c r="DD175" i="25"/>
  <c r="DC175" i="25" s="1"/>
  <c r="DJ175" i="25" s="1"/>
  <c r="DW166" i="25"/>
  <c r="DY166" i="25"/>
  <c r="DY98" i="25"/>
  <c r="DW98" i="25"/>
  <c r="DW53" i="25"/>
  <c r="DY53" i="25"/>
  <c r="DW15" i="25"/>
  <c r="DY15" i="25"/>
  <c r="DD178" i="25"/>
  <c r="DC178" i="25" s="1"/>
  <c r="DJ178" i="25" s="1"/>
  <c r="DH178" i="25"/>
  <c r="DI178" i="25" s="1"/>
  <c r="DD74" i="25"/>
  <c r="DC74" i="25" s="1"/>
  <c r="DJ74" i="25" s="1"/>
  <c r="DH105" i="25"/>
  <c r="DI105" i="25" s="1"/>
  <c r="DE46" i="25"/>
  <c r="DD29" i="25"/>
  <c r="DC29" i="25" s="1"/>
  <c r="DJ29" i="25" s="1"/>
  <c r="DE129" i="25"/>
  <c r="CP111" i="25"/>
  <c r="CO166" i="25"/>
  <c r="CQ166" i="25" s="1"/>
  <c r="CU166" i="25" s="1"/>
  <c r="CX166" i="25" s="1"/>
  <c r="CY166" i="25" s="1"/>
  <c r="DY180" i="25"/>
  <c r="DW180" i="25"/>
  <c r="DY106" i="25"/>
  <c r="DW106" i="25"/>
  <c r="DE123" i="25"/>
  <c r="DH123" i="25"/>
  <c r="DI123" i="25" s="1"/>
  <c r="DD123" i="25"/>
  <c r="DC123" i="25" s="1"/>
  <c r="DJ123" i="25" s="1"/>
  <c r="DW108" i="25"/>
  <c r="DY108" i="25"/>
  <c r="DW184" i="25"/>
  <c r="DY184" i="25"/>
  <c r="CP192" i="25"/>
  <c r="CO200" i="25"/>
  <c r="CQ200" i="25" s="1"/>
  <c r="CO188" i="25"/>
  <c r="CQ188" i="25" s="1"/>
  <c r="CR188" i="25" s="1"/>
  <c r="CV188" i="25" s="1"/>
  <c r="CW188" i="25" s="1"/>
  <c r="CZ188" i="25" s="1"/>
  <c r="CO168" i="25"/>
  <c r="CQ168" i="25" s="1"/>
  <c r="CU168" i="25" s="1"/>
  <c r="CX168" i="25" s="1"/>
  <c r="CY168" i="25" s="1"/>
  <c r="CP124" i="25"/>
  <c r="CP71" i="25"/>
  <c r="CO121" i="25"/>
  <c r="CQ121" i="25" s="1"/>
  <c r="CP37" i="25"/>
  <c r="CP107" i="25"/>
  <c r="CP88" i="25"/>
  <c r="CO147" i="25"/>
  <c r="CQ147" i="25" s="1"/>
  <c r="CP147" i="25"/>
  <c r="CO19" i="25"/>
  <c r="CQ19" i="25" s="1"/>
  <c r="CP33" i="25"/>
  <c r="CO56" i="25"/>
  <c r="CQ56" i="25" s="1"/>
  <c r="CR56" i="25" s="1"/>
  <c r="CV56" i="25" s="1"/>
  <c r="CW56" i="25" s="1"/>
  <c r="CZ56" i="25" s="1"/>
  <c r="DY148" i="25"/>
  <c r="DW148" i="25"/>
  <c r="DY66" i="25"/>
  <c r="DW66" i="25"/>
  <c r="DS168" i="25"/>
  <c r="DS85" i="25"/>
  <c r="EC197" i="25"/>
  <c r="EC176" i="25"/>
  <c r="DO199" i="25"/>
  <c r="DP199" i="25" s="1"/>
  <c r="DQ199" i="25" s="1"/>
  <c r="DR199" i="25" s="1"/>
  <c r="DO71" i="25"/>
  <c r="DP71" i="25" s="1"/>
  <c r="DQ71" i="25" s="1"/>
  <c r="DR71" i="25" s="1"/>
  <c r="DO148" i="25"/>
  <c r="DP148" i="25" s="1"/>
  <c r="DQ148" i="25" s="1"/>
  <c r="DR148" i="25" s="1"/>
  <c r="DO29" i="25"/>
  <c r="DP29" i="25" s="1"/>
  <c r="DQ29" i="25" s="1"/>
  <c r="DR29" i="25" s="1"/>
  <c r="DO81" i="25"/>
  <c r="DP81" i="25" s="1"/>
  <c r="DQ81" i="25" s="1"/>
  <c r="DR81" i="25" s="1"/>
  <c r="DO86" i="25"/>
  <c r="DP86" i="25" s="1"/>
  <c r="DQ86" i="25" s="1"/>
  <c r="DR86" i="25" s="1"/>
  <c r="DO164" i="25"/>
  <c r="DP164" i="25" s="1"/>
  <c r="DQ164" i="25" s="1"/>
  <c r="DR164" i="25" s="1"/>
  <c r="DO23" i="25"/>
  <c r="DP23" i="25" s="1"/>
  <c r="DQ23" i="25" s="1"/>
  <c r="DR23" i="25" s="1"/>
  <c r="DO36" i="25"/>
  <c r="DP36" i="25" s="1"/>
  <c r="DQ36" i="25" s="1"/>
  <c r="DR36" i="25" s="1"/>
  <c r="DO122" i="25"/>
  <c r="DP122" i="25" s="1"/>
  <c r="DQ122" i="25" s="1"/>
  <c r="DR122" i="25" s="1"/>
  <c r="EC163" i="25"/>
  <c r="DO145" i="25"/>
  <c r="DP145" i="25" s="1"/>
  <c r="DQ145" i="25" s="1"/>
  <c r="DR145" i="25" s="1"/>
  <c r="EC152" i="25"/>
  <c r="EC75" i="25"/>
  <c r="EC72" i="25"/>
  <c r="EC140" i="25"/>
  <c r="EC99" i="25"/>
  <c r="CG95" i="25"/>
  <c r="EC66" i="25"/>
  <c r="DO37" i="25"/>
  <c r="DP37" i="25" s="1"/>
  <c r="DQ37" i="25" s="1"/>
  <c r="DR37" i="25" s="1"/>
  <c r="DO60" i="25"/>
  <c r="DP60" i="25" s="1"/>
  <c r="DQ60" i="25" s="1"/>
  <c r="DR60" i="25" s="1"/>
  <c r="CP24" i="25"/>
  <c r="CG61" i="25"/>
  <c r="ED165" i="25"/>
  <c r="ED150" i="25"/>
  <c r="EC24" i="25"/>
  <c r="EC100" i="25"/>
  <c r="EC138" i="25"/>
  <c r="DO142" i="25"/>
  <c r="DP142" i="25" s="1"/>
  <c r="DQ142" i="25" s="1"/>
  <c r="DR142" i="25" s="1"/>
  <c r="DO117" i="25"/>
  <c r="DP117" i="25" s="1"/>
  <c r="DQ117" i="25" s="1"/>
  <c r="DR117" i="25" s="1"/>
  <c r="DO90" i="25"/>
  <c r="DP90" i="25" s="1"/>
  <c r="DQ90" i="25" s="1"/>
  <c r="DR90" i="25" s="1"/>
  <c r="DO43" i="25"/>
  <c r="DP43" i="25" s="1"/>
  <c r="DQ43" i="25" s="1"/>
  <c r="DR43" i="25" s="1"/>
  <c r="EC179" i="25"/>
  <c r="EC184" i="25"/>
  <c r="EC89" i="25"/>
  <c r="EC134" i="25"/>
  <c r="DO149" i="25"/>
  <c r="DP149" i="25" s="1"/>
  <c r="DQ149" i="25" s="1"/>
  <c r="DR149" i="25" s="1"/>
  <c r="DO132" i="25"/>
  <c r="DP132" i="25" s="1"/>
  <c r="DQ132" i="25" s="1"/>
  <c r="DR132" i="25" s="1"/>
  <c r="DO125" i="25"/>
  <c r="DP125" i="25" s="1"/>
  <c r="DQ125" i="25" s="1"/>
  <c r="DR125" i="25" s="1"/>
  <c r="DO112" i="25"/>
  <c r="DP112" i="25" s="1"/>
  <c r="DQ112" i="25" s="1"/>
  <c r="DR112" i="25" s="1"/>
  <c r="DO66" i="25"/>
  <c r="DP66" i="25" s="1"/>
  <c r="DQ66" i="25" s="1"/>
  <c r="DR66" i="25" s="1"/>
  <c r="DO92" i="25"/>
  <c r="DP92" i="25" s="1"/>
  <c r="DQ92" i="25" s="1"/>
  <c r="DR92" i="25" s="1"/>
  <c r="DO102" i="25"/>
  <c r="DP102" i="25" s="1"/>
  <c r="DQ102" i="25" s="1"/>
  <c r="DR102" i="25" s="1"/>
  <c r="DD57" i="25"/>
  <c r="DC57" i="25" s="1"/>
  <c r="DJ57" i="25" s="1"/>
  <c r="DO190" i="25"/>
  <c r="DP190" i="25" s="1"/>
  <c r="DQ190" i="25" s="1"/>
  <c r="DR190" i="25" s="1"/>
  <c r="DO13" i="25"/>
  <c r="DP13" i="25" s="1"/>
  <c r="DQ13" i="25" s="1"/>
  <c r="DR13" i="25" s="1"/>
  <c r="DO34" i="25"/>
  <c r="DP34" i="25" s="1"/>
  <c r="DQ34" i="25" s="1"/>
  <c r="DR34" i="25" s="1"/>
  <c r="DD124" i="25"/>
  <c r="DC124" i="25" s="1"/>
  <c r="DJ124" i="25" s="1"/>
  <c r="DW75" i="25"/>
  <c r="ED170" i="25"/>
  <c r="DH100" i="25"/>
  <c r="DI100" i="25" s="1"/>
  <c r="DD24" i="25"/>
  <c r="DC24" i="25" s="1"/>
  <c r="DJ24" i="25" s="1"/>
  <c r="CO114" i="25"/>
  <c r="CQ114" i="25" s="1"/>
  <c r="CR114" i="25" s="1"/>
  <c r="CV114" i="25" s="1"/>
  <c r="CW114" i="25" s="1"/>
  <c r="CZ114" i="25" s="1"/>
  <c r="CP54" i="25"/>
  <c r="CG137" i="25"/>
  <c r="CG76" i="25"/>
  <c r="EC139" i="25"/>
  <c r="EC192" i="25"/>
  <c r="EC43" i="25"/>
  <c r="DO135" i="25"/>
  <c r="DP135" i="25" s="1"/>
  <c r="DQ135" i="25" s="1"/>
  <c r="DR135" i="25" s="1"/>
  <c r="DO109" i="25"/>
  <c r="DP109" i="25" s="1"/>
  <c r="DQ109" i="25" s="1"/>
  <c r="DR109" i="25" s="1"/>
  <c r="DO185" i="25"/>
  <c r="DP185" i="25" s="1"/>
  <c r="DQ185" i="25" s="1"/>
  <c r="DR185" i="25" s="1"/>
  <c r="DO181" i="25"/>
  <c r="DP181" i="25" s="1"/>
  <c r="DQ181" i="25" s="1"/>
  <c r="DR181" i="25" s="1"/>
  <c r="DO162" i="25"/>
  <c r="DP162" i="25" s="1"/>
  <c r="DQ162" i="25" s="1"/>
  <c r="DR162" i="25" s="1"/>
  <c r="DO130" i="25"/>
  <c r="DP130" i="25" s="1"/>
  <c r="DQ130" i="25" s="1"/>
  <c r="DR130" i="25" s="1"/>
  <c r="DO116" i="25"/>
  <c r="DP116" i="25" s="1"/>
  <c r="DQ116" i="25" s="1"/>
  <c r="DR116" i="25" s="1"/>
  <c r="DO89" i="25"/>
  <c r="DP89" i="25" s="1"/>
  <c r="DQ89" i="25" s="1"/>
  <c r="DR89" i="25" s="1"/>
  <c r="DO134" i="25"/>
  <c r="DP134" i="25" s="1"/>
  <c r="DQ134" i="25" s="1"/>
  <c r="DR134" i="25" s="1"/>
  <c r="DO113" i="25"/>
  <c r="DP113" i="25" s="1"/>
  <c r="DQ113" i="25" s="1"/>
  <c r="DR113" i="25" s="1"/>
  <c r="DO63" i="25"/>
  <c r="DP63" i="25" s="1"/>
  <c r="DQ63" i="25" s="1"/>
  <c r="DR63" i="25" s="1"/>
  <c r="DO88" i="25"/>
  <c r="DP88" i="25" s="1"/>
  <c r="DQ88" i="25" s="1"/>
  <c r="DR88" i="25" s="1"/>
  <c r="DO59" i="25"/>
  <c r="DP59" i="25" s="1"/>
  <c r="DQ59" i="25" s="1"/>
  <c r="DR59" i="25" s="1"/>
  <c r="DO47" i="25"/>
  <c r="DP47" i="25" s="1"/>
  <c r="DQ47" i="25" s="1"/>
  <c r="DR47" i="25" s="1"/>
  <c r="DO8" i="25"/>
  <c r="DP8" i="25" s="1"/>
  <c r="DY170" i="25"/>
  <c r="CP25" i="25"/>
  <c r="EC157" i="25"/>
  <c r="EC113" i="25"/>
  <c r="DO95" i="25"/>
  <c r="DP95" i="25" s="1"/>
  <c r="DQ95" i="25" s="1"/>
  <c r="DR95" i="25" s="1"/>
  <c r="DO100" i="25"/>
  <c r="DP100" i="25" s="1"/>
  <c r="DQ100" i="25" s="1"/>
  <c r="DR100" i="25" s="1"/>
  <c r="DO172" i="25"/>
  <c r="DP172" i="25" s="1"/>
  <c r="DQ172" i="25" s="1"/>
  <c r="DR172" i="25" s="1"/>
  <c r="DO98" i="25"/>
  <c r="DP98" i="25" s="1"/>
  <c r="DQ98" i="25" s="1"/>
  <c r="DR98" i="25" s="1"/>
  <c r="DO79" i="25"/>
  <c r="DP79" i="25" s="1"/>
  <c r="DQ79" i="25" s="1"/>
  <c r="DR79" i="25" s="1"/>
  <c r="DO44" i="25"/>
  <c r="DP44" i="25" s="1"/>
  <c r="DQ44" i="25" s="1"/>
  <c r="DR44" i="25" s="1"/>
  <c r="DO21" i="25"/>
  <c r="DP21" i="25" s="1"/>
  <c r="DQ21" i="25" s="1"/>
  <c r="DR21" i="25" s="1"/>
  <c r="DO94" i="25"/>
  <c r="DP94" i="25" s="1"/>
  <c r="DQ94" i="25" s="1"/>
  <c r="DR94" i="25" s="1"/>
  <c r="DY137" i="25"/>
  <c r="DD76" i="25"/>
  <c r="DC76" i="25" s="1"/>
  <c r="DJ76" i="25" s="1"/>
  <c r="EC108" i="25"/>
  <c r="EC159" i="25"/>
  <c r="EC199" i="25"/>
  <c r="EC189" i="25"/>
  <c r="EC202" i="25"/>
  <c r="EC180" i="25"/>
  <c r="EC171" i="25"/>
  <c r="EC30" i="25"/>
  <c r="EC141" i="25"/>
  <c r="EC137" i="25"/>
  <c r="EC105" i="25"/>
  <c r="EC42" i="25"/>
  <c r="EC93" i="25"/>
  <c r="EC111" i="25"/>
  <c r="EC68" i="25"/>
  <c r="EC136" i="25"/>
  <c r="EC58" i="25"/>
  <c r="EC15" i="25"/>
  <c r="EC10" i="25"/>
  <c r="DD16" i="25"/>
  <c r="DC16" i="25" s="1"/>
  <c r="DJ16" i="25" s="1"/>
  <c r="CG177" i="25"/>
  <c r="CG18" i="25"/>
  <c r="DW100" i="25"/>
  <c r="EC142" i="25"/>
  <c r="EC63" i="25"/>
  <c r="DO57" i="25"/>
  <c r="DP57" i="25" s="1"/>
  <c r="DQ57" i="25" s="1"/>
  <c r="DR57" i="25" s="1"/>
  <c r="DO184" i="25"/>
  <c r="DP184" i="25" s="1"/>
  <c r="DQ184" i="25" s="1"/>
  <c r="DR184" i="25" s="1"/>
  <c r="DO201" i="25"/>
  <c r="DP201" i="25" s="1"/>
  <c r="DQ201" i="25" s="1"/>
  <c r="DR201" i="25" s="1"/>
  <c r="DO198" i="25"/>
  <c r="DP198" i="25" s="1"/>
  <c r="DQ198" i="25" s="1"/>
  <c r="DR198" i="25" s="1"/>
  <c r="DO188" i="25"/>
  <c r="DP188" i="25" s="1"/>
  <c r="DQ188" i="25" s="1"/>
  <c r="DR188" i="25" s="1"/>
  <c r="DO124" i="25"/>
  <c r="DP124" i="25" s="1"/>
  <c r="DQ124" i="25" s="1"/>
  <c r="DR124" i="25" s="1"/>
  <c r="DO70" i="25"/>
  <c r="DP70" i="25" s="1"/>
  <c r="DQ70" i="25" s="1"/>
  <c r="DR70" i="25" s="1"/>
  <c r="DO55" i="25"/>
  <c r="DP55" i="25" s="1"/>
  <c r="DQ55" i="25" s="1"/>
  <c r="DR55" i="25" s="1"/>
  <c r="DO32" i="25"/>
  <c r="DP32" i="25" s="1"/>
  <c r="DQ32" i="25" s="1"/>
  <c r="DR32" i="25" s="1"/>
  <c r="DO82" i="25"/>
  <c r="DP82" i="25" s="1"/>
  <c r="DQ82" i="25" s="1"/>
  <c r="DR82" i="25" s="1"/>
  <c r="ED22" i="25"/>
  <c r="DH76" i="25"/>
  <c r="DI76" i="25" s="1"/>
  <c r="DO106" i="25"/>
  <c r="DP106" i="25" s="1"/>
  <c r="DQ106" i="25" s="1"/>
  <c r="DR106" i="25" s="1"/>
  <c r="DW57" i="25"/>
  <c r="DW155" i="25"/>
  <c r="ED54" i="25"/>
  <c r="EC123" i="25"/>
  <c r="EC188" i="25"/>
  <c r="EC69" i="25"/>
  <c r="DO178" i="25"/>
  <c r="DP178" i="25" s="1"/>
  <c r="DQ178" i="25" s="1"/>
  <c r="DR178" i="25" s="1"/>
  <c r="DO166" i="25"/>
  <c r="DP166" i="25" s="1"/>
  <c r="DQ166" i="25" s="1"/>
  <c r="DR166" i="25" s="1"/>
  <c r="DO163" i="25"/>
  <c r="DP163" i="25" s="1"/>
  <c r="DQ163" i="25" s="1"/>
  <c r="DR163" i="25" s="1"/>
  <c r="DO144" i="25"/>
  <c r="DP144" i="25" s="1"/>
  <c r="DQ144" i="25" s="1"/>
  <c r="DR144" i="25" s="1"/>
  <c r="DO107" i="25"/>
  <c r="DP107" i="25" s="1"/>
  <c r="DQ107" i="25" s="1"/>
  <c r="DR107" i="25" s="1"/>
  <c r="DO127" i="25"/>
  <c r="DP127" i="25" s="1"/>
  <c r="DQ127" i="25" s="1"/>
  <c r="DR127" i="25" s="1"/>
  <c r="ED95" i="25"/>
  <c r="ED57" i="25"/>
  <c r="EC185" i="25"/>
  <c r="DO153" i="25"/>
  <c r="DP153" i="25" s="1"/>
  <c r="DQ153" i="25" s="1"/>
  <c r="DR153" i="25" s="1"/>
  <c r="DO170" i="25"/>
  <c r="DP170" i="25" s="1"/>
  <c r="DQ170" i="25" s="1"/>
  <c r="DR170" i="25" s="1"/>
  <c r="DO74" i="25"/>
  <c r="DP74" i="25" s="1"/>
  <c r="DQ74" i="25" s="1"/>
  <c r="DR74" i="25" s="1"/>
  <c r="DO72" i="25"/>
  <c r="DP72" i="25" s="1"/>
  <c r="DQ72" i="25" s="1"/>
  <c r="DR72" i="25" s="1"/>
  <c r="DO140" i="25"/>
  <c r="DP140" i="25" s="1"/>
  <c r="DQ140" i="25" s="1"/>
  <c r="DR140" i="25" s="1"/>
  <c r="DO11" i="25"/>
  <c r="DP11" i="25" s="1"/>
  <c r="DQ11" i="25" s="1"/>
  <c r="DR11" i="25" s="1"/>
  <c r="DD172" i="25"/>
  <c r="DC172" i="25" s="1"/>
  <c r="DJ172" i="25" s="1"/>
  <c r="DE135" i="25"/>
  <c r="DD135" i="25"/>
  <c r="DC135" i="25" s="1"/>
  <c r="DJ135" i="25" s="1"/>
  <c r="DH135" i="25"/>
  <c r="DI135" i="25" s="1"/>
  <c r="DD93" i="25"/>
  <c r="DC93" i="25" s="1"/>
  <c r="DJ93" i="25" s="1"/>
  <c r="DH93" i="25"/>
  <c r="DI93" i="25" s="1"/>
  <c r="DE84" i="25"/>
  <c r="DE15" i="25"/>
  <c r="DE111" i="25"/>
  <c r="DH16" i="25"/>
  <c r="DI16" i="25" s="1"/>
  <c r="DE172" i="25"/>
  <c r="DE176" i="25"/>
  <c r="DD112" i="25"/>
  <c r="DC112" i="25" s="1"/>
  <c r="DJ112" i="25" s="1"/>
  <c r="DH112" i="25"/>
  <c r="DI112" i="25" s="1"/>
  <c r="DE112" i="25"/>
  <c r="DE130" i="25"/>
  <c r="DD130" i="25"/>
  <c r="DC130" i="25" s="1"/>
  <c r="DJ130" i="25" s="1"/>
  <c r="DH58" i="25"/>
  <c r="DI58" i="25" s="1"/>
  <c r="DE58" i="25"/>
  <c r="DD58" i="25"/>
  <c r="DC58" i="25" s="1"/>
  <c r="DJ58" i="25" s="1"/>
  <c r="DH21" i="25"/>
  <c r="DI21" i="25" s="1"/>
  <c r="DD179" i="25"/>
  <c r="DC179" i="25" s="1"/>
  <c r="DJ179" i="25" s="1"/>
  <c r="DH179" i="25"/>
  <c r="DI179" i="25" s="1"/>
  <c r="DH163" i="25"/>
  <c r="DI163" i="25" s="1"/>
  <c r="DD163" i="25"/>
  <c r="DC163" i="25" s="1"/>
  <c r="DJ163" i="25" s="1"/>
  <c r="DE116" i="25"/>
  <c r="DH48" i="25"/>
  <c r="DI48" i="25" s="1"/>
  <c r="DD48" i="25"/>
  <c r="DC48" i="25" s="1"/>
  <c r="DJ48" i="25" s="1"/>
  <c r="DH68" i="25"/>
  <c r="DI68" i="25" s="1"/>
  <c r="DD68" i="25"/>
  <c r="DC68" i="25" s="1"/>
  <c r="DJ68" i="25" s="1"/>
  <c r="DE197" i="25"/>
  <c r="DH197" i="25"/>
  <c r="DI197" i="25" s="1"/>
  <c r="DD136" i="25"/>
  <c r="DC136" i="25" s="1"/>
  <c r="DJ136" i="25" s="1"/>
  <c r="DH136" i="25"/>
  <c r="DI136" i="25" s="1"/>
  <c r="DE48" i="25"/>
  <c r="DD197" i="25"/>
  <c r="DC197" i="25" s="1"/>
  <c r="DJ197" i="25" s="1"/>
  <c r="DH116" i="25"/>
  <c r="DI116" i="25" s="1"/>
  <c r="DH15" i="25"/>
  <c r="DI15" i="25" s="1"/>
  <c r="DE68" i="25"/>
  <c r="DE93" i="25"/>
  <c r="CP43" i="25"/>
  <c r="CO43" i="25"/>
  <c r="CQ43" i="25" s="1"/>
  <c r="CR43" i="25" s="1"/>
  <c r="CV43" i="25" s="1"/>
  <c r="CW43" i="25" s="1"/>
  <c r="CZ43" i="25" s="1"/>
  <c r="CO41" i="25"/>
  <c r="CQ41" i="25" s="1"/>
  <c r="CR41" i="25" s="1"/>
  <c r="CV41" i="25" s="1"/>
  <c r="CW41" i="25" s="1"/>
  <c r="CZ41" i="25" s="1"/>
  <c r="CP41" i="25"/>
  <c r="DY95" i="25"/>
  <c r="DW95" i="25"/>
  <c r="DW7" i="25"/>
  <c r="DY7" i="25"/>
  <c r="CO165" i="25"/>
  <c r="CQ165" i="25" s="1"/>
  <c r="CR165" i="25" s="1"/>
  <c r="CV165" i="25" s="1"/>
  <c r="CW165" i="25" s="1"/>
  <c r="CZ165" i="25" s="1"/>
  <c r="CP165" i="25"/>
  <c r="CP109" i="25"/>
  <c r="CO109" i="25"/>
  <c r="CQ109" i="25" s="1"/>
  <c r="CR109" i="25" s="1"/>
  <c r="CV109" i="25" s="1"/>
  <c r="CW109" i="25" s="1"/>
  <c r="CZ109" i="25" s="1"/>
  <c r="DH95" i="25"/>
  <c r="DI95" i="25" s="1"/>
  <c r="DE95" i="25"/>
  <c r="DD95" i="25"/>
  <c r="DC95" i="25" s="1"/>
  <c r="DJ95" i="25" s="1"/>
  <c r="DW61" i="25"/>
  <c r="DY61" i="25"/>
  <c r="DS114" i="25"/>
  <c r="EC155" i="25"/>
  <c r="EC119" i="25"/>
  <c r="EC48" i="25"/>
  <c r="EC84" i="25"/>
  <c r="EC128" i="25"/>
  <c r="DE61" i="25"/>
  <c r="DD61" i="25"/>
  <c r="DC61" i="25" s="1"/>
  <c r="DJ61" i="25" s="1"/>
  <c r="DH61" i="25"/>
  <c r="DI61" i="25" s="1"/>
  <c r="DW25" i="25"/>
  <c r="DY25" i="25"/>
  <c r="DE7" i="25"/>
  <c r="DH7" i="25"/>
  <c r="DI7" i="25" s="1"/>
  <c r="DH108" i="25"/>
  <c r="DI108" i="25" s="1"/>
  <c r="DE108" i="25"/>
  <c r="DD108" i="25"/>
  <c r="DC108" i="25" s="1"/>
  <c r="DJ108" i="25" s="1"/>
  <c r="CO25" i="25"/>
  <c r="CQ25" i="25" s="1"/>
  <c r="CR25" i="25" s="1"/>
  <c r="CV25" i="25" s="1"/>
  <c r="CW25" i="25" s="1"/>
  <c r="CZ25" i="25" s="1"/>
  <c r="DH137" i="25"/>
  <c r="DI137" i="25" s="1"/>
  <c r="DE137" i="25"/>
  <c r="DD137" i="25"/>
  <c r="DC137" i="25" s="1"/>
  <c r="DJ137" i="25" s="1"/>
  <c r="ED145" i="25"/>
  <c r="ED76" i="25"/>
  <c r="ED114" i="25"/>
  <c r="DO193" i="25"/>
  <c r="DP193" i="25" s="1"/>
  <c r="DQ193" i="25" s="1"/>
  <c r="DR193" i="25" s="1"/>
  <c r="DO75" i="25"/>
  <c r="DP75" i="25" s="1"/>
  <c r="DQ75" i="25" s="1"/>
  <c r="DR75" i="25" s="1"/>
  <c r="DO138" i="25"/>
  <c r="DP138" i="25" s="1"/>
  <c r="DQ138" i="25" s="1"/>
  <c r="DR138" i="25" s="1"/>
  <c r="DO54" i="25"/>
  <c r="DP54" i="25" s="1"/>
  <c r="DQ54" i="25" s="1"/>
  <c r="DR54" i="25" s="1"/>
  <c r="DO27" i="25"/>
  <c r="DP27" i="25" s="1"/>
  <c r="DQ27" i="25" s="1"/>
  <c r="DR27" i="25" s="1"/>
  <c r="DO103" i="25"/>
  <c r="DP103" i="25" s="1"/>
  <c r="DQ103" i="25" s="1"/>
  <c r="DR103" i="25" s="1"/>
  <c r="DO91" i="25"/>
  <c r="DP91" i="25" s="1"/>
  <c r="DQ91" i="25" s="1"/>
  <c r="DR91" i="25" s="1"/>
  <c r="DO35" i="25"/>
  <c r="DP35" i="25" s="1"/>
  <c r="DQ35" i="25" s="1"/>
  <c r="DR35" i="25" s="1"/>
  <c r="CO185" i="25"/>
  <c r="CQ185" i="25" s="1"/>
  <c r="CP177" i="25"/>
  <c r="CO18" i="25"/>
  <c r="CQ18" i="25" s="1"/>
  <c r="CR18" i="25" s="1"/>
  <c r="CG170" i="25"/>
  <c r="CG7" i="25"/>
  <c r="DE165" i="25"/>
  <c r="CO61" i="25"/>
  <c r="CQ61" i="25" s="1"/>
  <c r="CO108" i="25"/>
  <c r="CQ108" i="25" s="1"/>
  <c r="CR108" i="25" s="1"/>
  <c r="CV108" i="25" s="1"/>
  <c r="CW108" i="25" s="1"/>
  <c r="CZ108" i="25" s="1"/>
  <c r="CO159" i="25"/>
  <c r="CQ159" i="25" s="1"/>
  <c r="CO123" i="25"/>
  <c r="CQ123" i="25" s="1"/>
  <c r="CU123" i="25" s="1"/>
  <c r="CX123" i="25" s="1"/>
  <c r="CY123" i="25" s="1"/>
  <c r="CO24" i="25"/>
  <c r="CQ24" i="25" s="1"/>
  <c r="CU24" i="25" s="1"/>
  <c r="CX24" i="25" s="1"/>
  <c r="CY24" i="25" s="1"/>
  <c r="CP100" i="25"/>
  <c r="EC146" i="25"/>
  <c r="EC85" i="25"/>
  <c r="EC160" i="25"/>
  <c r="EC59" i="25"/>
  <c r="EC20" i="25"/>
  <c r="EC21" i="25"/>
  <c r="EC14" i="25"/>
  <c r="DO22" i="25"/>
  <c r="DP22" i="25" s="1"/>
  <c r="DQ22" i="25" s="1"/>
  <c r="DR22" i="25" s="1"/>
  <c r="DO173" i="25"/>
  <c r="DP173" i="25" s="1"/>
  <c r="DQ173" i="25" s="1"/>
  <c r="DR173" i="25" s="1"/>
  <c r="DO169" i="25"/>
  <c r="DP169" i="25" s="1"/>
  <c r="DQ169" i="25" s="1"/>
  <c r="DR169" i="25" s="1"/>
  <c r="DO154" i="25"/>
  <c r="DP154" i="25" s="1"/>
  <c r="DQ154" i="25" s="1"/>
  <c r="DR154" i="25" s="1"/>
  <c r="DO17" i="25"/>
  <c r="DP17" i="25" s="1"/>
  <c r="DQ17" i="25" s="1"/>
  <c r="DR17" i="25" s="1"/>
  <c r="DO151" i="25"/>
  <c r="DP151" i="25" s="1"/>
  <c r="DQ151" i="25" s="1"/>
  <c r="DR151" i="25" s="1"/>
  <c r="DO26" i="25"/>
  <c r="DP26" i="25" s="1"/>
  <c r="DQ26" i="25" s="1"/>
  <c r="DR26" i="25" s="1"/>
  <c r="DO50" i="25"/>
  <c r="DP50" i="25" s="1"/>
  <c r="DQ50" i="25" s="1"/>
  <c r="DR50" i="25" s="1"/>
  <c r="DO147" i="25"/>
  <c r="DP147" i="25" s="1"/>
  <c r="DQ147" i="25" s="1"/>
  <c r="DR147" i="25" s="1"/>
  <c r="DO160" i="25"/>
  <c r="DP160" i="25" s="1"/>
  <c r="DQ160" i="25" s="1"/>
  <c r="DR160" i="25" s="1"/>
  <c r="DO12" i="25"/>
  <c r="DP12" i="25" s="1"/>
  <c r="DQ12" i="25" s="1"/>
  <c r="DR12" i="25" s="1"/>
  <c r="DO14" i="25"/>
  <c r="DP14" i="25" s="1"/>
  <c r="DQ14" i="25" s="1"/>
  <c r="DR14" i="25" s="1"/>
  <c r="DO49" i="25"/>
  <c r="DP49" i="25" s="1"/>
  <c r="DQ49" i="25" s="1"/>
  <c r="DR49" i="25" s="1"/>
  <c r="DO51" i="25"/>
  <c r="DP51" i="25" s="1"/>
  <c r="DQ51" i="25" s="1"/>
  <c r="DR51" i="25" s="1"/>
  <c r="DO56" i="25"/>
  <c r="DP56" i="25" s="1"/>
  <c r="DQ56" i="25" s="1"/>
  <c r="DR56" i="25" s="1"/>
  <c r="DO25" i="25"/>
  <c r="DP25" i="25" s="1"/>
  <c r="DQ25" i="25" s="1"/>
  <c r="DR25" i="25" s="1"/>
  <c r="DO165" i="25"/>
  <c r="DP165" i="25" s="1"/>
  <c r="DQ165" i="25" s="1"/>
  <c r="DR165" i="25" s="1"/>
  <c r="DO179" i="25"/>
  <c r="DP179" i="25" s="1"/>
  <c r="DQ179" i="25" s="1"/>
  <c r="DR179" i="25" s="1"/>
  <c r="DO192" i="25"/>
  <c r="DP192" i="25" s="1"/>
  <c r="DQ192" i="25" s="1"/>
  <c r="DR192" i="25" s="1"/>
  <c r="DO195" i="25"/>
  <c r="DP195" i="25" s="1"/>
  <c r="DQ195" i="25" s="1"/>
  <c r="DR195" i="25" s="1"/>
  <c r="DO167" i="25"/>
  <c r="DP167" i="25" s="1"/>
  <c r="DQ167" i="25" s="1"/>
  <c r="DR167" i="25" s="1"/>
  <c r="DO110" i="25"/>
  <c r="DP110" i="25" s="1"/>
  <c r="DQ110" i="25" s="1"/>
  <c r="DR110" i="25" s="1"/>
  <c r="DO121" i="25"/>
  <c r="DP121" i="25" s="1"/>
  <c r="DQ121" i="25" s="1"/>
  <c r="DR121" i="25" s="1"/>
  <c r="DO78" i="25"/>
  <c r="DP78" i="25" s="1"/>
  <c r="DQ78" i="25" s="1"/>
  <c r="DR78" i="25" s="1"/>
  <c r="DO80" i="25"/>
  <c r="DP80" i="25" s="1"/>
  <c r="DQ80" i="25" s="1"/>
  <c r="DR80" i="25" s="1"/>
  <c r="CO54" i="25"/>
  <c r="CQ54" i="25" s="1"/>
  <c r="CP137" i="25"/>
  <c r="CP76" i="25"/>
  <c r="CO95" i="25"/>
  <c r="CQ95" i="25" s="1"/>
  <c r="CU95" i="25" s="1"/>
  <c r="CX95" i="25" s="1"/>
  <c r="CY95" i="25" s="1"/>
  <c r="ED41" i="25"/>
  <c r="DO39" i="25"/>
  <c r="DP39" i="25" s="1"/>
  <c r="DQ39" i="25" s="1"/>
  <c r="DR39" i="25" s="1"/>
  <c r="CP95" i="25"/>
  <c r="ED155" i="25"/>
  <c r="ED108" i="25"/>
  <c r="ED159" i="25"/>
  <c r="ED137" i="25"/>
  <c r="DO139" i="25"/>
  <c r="DP139" i="25" s="1"/>
  <c r="DQ139" i="25" s="1"/>
  <c r="DR139" i="25" s="1"/>
  <c r="DO123" i="25"/>
  <c r="DP123" i="25" s="1"/>
  <c r="DQ123" i="25" s="1"/>
  <c r="DR123" i="25" s="1"/>
  <c r="DO187" i="25"/>
  <c r="DP187" i="25" s="1"/>
  <c r="DQ187" i="25" s="1"/>
  <c r="DR187" i="25" s="1"/>
  <c r="DO182" i="25"/>
  <c r="DP182" i="25" s="1"/>
  <c r="DQ182" i="25" s="1"/>
  <c r="DR182" i="25" s="1"/>
  <c r="DO129" i="25"/>
  <c r="DP129" i="25" s="1"/>
  <c r="DQ129" i="25" s="1"/>
  <c r="DR129" i="25" s="1"/>
  <c r="DO31" i="25"/>
  <c r="DP31" i="25" s="1"/>
  <c r="DQ31" i="25" s="1"/>
  <c r="DR31" i="25" s="1"/>
  <c r="DO114" i="25"/>
  <c r="DP114" i="25" s="1"/>
  <c r="DQ114" i="25" s="1"/>
  <c r="DR114" i="25" s="1"/>
  <c r="DO41" i="25"/>
  <c r="DP41" i="25" s="1"/>
  <c r="DQ41" i="25" s="1"/>
  <c r="DR41" i="25" s="1"/>
  <c r="DO46" i="25"/>
  <c r="DP46" i="25" s="1"/>
  <c r="DQ46" i="25" s="1"/>
  <c r="DR46" i="25" s="1"/>
  <c r="DO146" i="25"/>
  <c r="DP146" i="25" s="1"/>
  <c r="DQ146" i="25" s="1"/>
  <c r="DR146" i="25" s="1"/>
  <c r="DO126" i="25"/>
  <c r="DP126" i="25" s="1"/>
  <c r="DQ126" i="25" s="1"/>
  <c r="DR126" i="25" s="1"/>
  <c r="DO20" i="25"/>
  <c r="DP20" i="25" s="1"/>
  <c r="DQ20" i="25" s="1"/>
  <c r="DR20" i="25" s="1"/>
  <c r="DD7" i="25"/>
  <c r="DC7" i="25" s="1"/>
  <c r="DJ7" i="25" s="1"/>
  <c r="DS185" i="25"/>
  <c r="DW177" i="25"/>
  <c r="DY177" i="25"/>
  <c r="CT18" i="25"/>
  <c r="CO170" i="25"/>
  <c r="CQ170" i="25" s="1"/>
  <c r="CP170" i="25"/>
  <c r="CO177" i="25"/>
  <c r="CQ177" i="25" s="1"/>
  <c r="CP18" i="25"/>
  <c r="DE170" i="25"/>
  <c r="DD170" i="25"/>
  <c r="DC170" i="25" s="1"/>
  <c r="DJ170" i="25" s="1"/>
  <c r="DS170" i="25"/>
  <c r="CP185" i="25"/>
  <c r="DH177" i="25"/>
  <c r="DI177" i="25" s="1"/>
  <c r="DE177" i="25"/>
  <c r="DD177" i="25"/>
  <c r="DC177" i="25" s="1"/>
  <c r="DJ177" i="25" s="1"/>
  <c r="CO7" i="25"/>
  <c r="CQ7" i="25" s="1"/>
  <c r="CP7" i="25"/>
  <c r="CG185" i="25"/>
  <c r="DH185" i="25"/>
  <c r="DI185" i="25" s="1"/>
  <c r="DD185" i="25"/>
  <c r="DC185" i="25" s="1"/>
  <c r="DJ185" i="25" s="1"/>
  <c r="DS18" i="25"/>
  <c r="CP108" i="25"/>
  <c r="CO100" i="25"/>
  <c r="CQ100" i="25" s="1"/>
  <c r="DO180" i="25"/>
  <c r="DP180" i="25" s="1"/>
  <c r="DQ180" i="25" s="1"/>
  <c r="DR180" i="25" s="1"/>
  <c r="DO30" i="25"/>
  <c r="DP30" i="25" s="1"/>
  <c r="DQ30" i="25" s="1"/>
  <c r="DR30" i="25" s="1"/>
  <c r="DO42" i="25"/>
  <c r="DP42" i="25" s="1"/>
  <c r="DQ42" i="25" s="1"/>
  <c r="DR42" i="25" s="1"/>
  <c r="DO68" i="25"/>
  <c r="DP68" i="25" s="1"/>
  <c r="DQ68" i="25" s="1"/>
  <c r="DR68" i="25" s="1"/>
  <c r="DO15" i="25"/>
  <c r="DP15" i="25" s="1"/>
  <c r="DQ15" i="25" s="1"/>
  <c r="DR15" i="25" s="1"/>
  <c r="DO108" i="25"/>
  <c r="DP108" i="25" s="1"/>
  <c r="DQ108" i="25" s="1"/>
  <c r="DR108" i="25" s="1"/>
  <c r="DO171" i="25"/>
  <c r="DP171" i="25" s="1"/>
  <c r="DQ171" i="25" s="1"/>
  <c r="DR171" i="25" s="1"/>
  <c r="DO141" i="25"/>
  <c r="DP141" i="25" s="1"/>
  <c r="DQ141" i="25" s="1"/>
  <c r="DR141" i="25" s="1"/>
  <c r="DO93" i="25"/>
  <c r="DP93" i="25" s="1"/>
  <c r="DQ93" i="25" s="1"/>
  <c r="DR93" i="25" s="1"/>
  <c r="DO84" i="25"/>
  <c r="DP84" i="25" s="1"/>
  <c r="DQ84" i="25" s="1"/>
  <c r="DR84" i="25" s="1"/>
  <c r="DO128" i="25"/>
  <c r="DP128" i="25" s="1"/>
  <c r="DH159" i="25"/>
  <c r="DI159" i="25" s="1"/>
  <c r="CP123" i="25"/>
  <c r="CO155" i="25"/>
  <c r="CQ155" i="25" s="1"/>
  <c r="CR155" i="25" s="1"/>
  <c r="CP155" i="25"/>
  <c r="EC181" i="25"/>
  <c r="EC96" i="25"/>
  <c r="DD159" i="25"/>
  <c r="DC159" i="25" s="1"/>
  <c r="DJ159" i="25" s="1"/>
  <c r="CT155" i="25"/>
  <c r="EC190" i="25"/>
  <c r="EC151" i="25"/>
  <c r="DO189" i="25"/>
  <c r="DP189" i="25" s="1"/>
  <c r="DQ189" i="25" s="1"/>
  <c r="DR189" i="25" s="1"/>
  <c r="DO119" i="25"/>
  <c r="DP119" i="25" s="1"/>
  <c r="DQ119" i="25" s="1"/>
  <c r="DR119" i="25" s="1"/>
  <c r="DO137" i="25"/>
  <c r="DP137" i="25" s="1"/>
  <c r="DQ137" i="25" s="1"/>
  <c r="DR137" i="25" s="1"/>
  <c r="DO48" i="25"/>
  <c r="DP48" i="25" s="1"/>
  <c r="DQ48" i="25" s="1"/>
  <c r="DR48" i="25" s="1"/>
  <c r="EC110" i="25"/>
  <c r="EC144" i="25"/>
  <c r="CO57" i="25"/>
  <c r="CQ57" i="25" s="1"/>
  <c r="CP57" i="25"/>
  <c r="EC182" i="25"/>
  <c r="EC41" i="25"/>
  <c r="DO155" i="25"/>
  <c r="DP155" i="25" s="1"/>
  <c r="DQ155" i="25" s="1"/>
  <c r="DR155" i="25" s="1"/>
  <c r="DO159" i="25"/>
  <c r="DP159" i="25" s="1"/>
  <c r="DQ159" i="25" s="1"/>
  <c r="DR159" i="25" s="1"/>
  <c r="DO202" i="25"/>
  <c r="DP202" i="25" s="1"/>
  <c r="DQ202" i="25" s="1"/>
  <c r="DR202" i="25" s="1"/>
  <c r="DO105" i="25"/>
  <c r="DP105" i="25" s="1"/>
  <c r="DQ105" i="25" s="1"/>
  <c r="DR105" i="25" s="1"/>
  <c r="DO111" i="25"/>
  <c r="DP111" i="25" s="1"/>
  <c r="DQ111" i="25" s="1"/>
  <c r="DR111" i="25" s="1"/>
  <c r="J56" i="92"/>
  <c r="G133" i="92"/>
  <c r="M240" i="92"/>
  <c r="M221" i="92"/>
  <c r="I224" i="92"/>
  <c r="I223" i="92"/>
  <c r="I222" i="92"/>
  <c r="I221" i="92"/>
  <c r="D222" i="92"/>
  <c r="D221" i="92"/>
  <c r="G132" i="92"/>
  <c r="I241" i="92"/>
  <c r="I240" i="92"/>
  <c r="D134" i="92"/>
  <c r="M241" i="92"/>
  <c r="K54" i="92"/>
  <c r="O129" i="92"/>
  <c r="E193" i="89"/>
  <c r="F193" i="89" s="1"/>
  <c r="G81" i="89"/>
  <c r="E175" i="89" s="1"/>
  <c r="G175" i="89" s="1"/>
  <c r="G43" i="89"/>
  <c r="E177" i="89" s="1"/>
  <c r="T39" i="89"/>
  <c r="AH39" i="89"/>
  <c r="Y39" i="89"/>
  <c r="AI39" i="89"/>
  <c r="V39" i="89"/>
  <c r="Q39" i="89"/>
  <c r="R39" i="89" s="1"/>
  <c r="U39" i="89"/>
  <c r="S39" i="89"/>
  <c r="X39" i="89"/>
  <c r="E194" i="89"/>
  <c r="F194" i="89" s="1"/>
  <c r="G62" i="89"/>
  <c r="E176" i="89" s="1"/>
  <c r="G145" i="89"/>
  <c r="Y77" i="89"/>
  <c r="U77" i="89"/>
  <c r="S77" i="89"/>
  <c r="G164" i="89"/>
  <c r="V96" i="89"/>
  <c r="Q96" i="89"/>
  <c r="R96" i="89" s="1"/>
  <c r="U96" i="89"/>
  <c r="T96" i="89"/>
  <c r="S96" i="89"/>
  <c r="Y96" i="89"/>
  <c r="X96" i="89"/>
  <c r="W96" i="89"/>
  <c r="W110" i="89"/>
  <c r="E190" i="89"/>
  <c r="G126" i="89"/>
  <c r="G113" i="89"/>
  <c r="E191" i="89"/>
  <c r="G191" i="89" s="1"/>
  <c r="W53" i="92"/>
  <c r="Y53" i="92" s="1"/>
  <c r="I56" i="92"/>
  <c r="K53" i="92"/>
  <c r="O130" i="92"/>
  <c r="S110" i="89" l="1"/>
  <c r="T110" i="89"/>
  <c r="Q110" i="89"/>
  <c r="R110" i="89" s="1"/>
  <c r="X110" i="89"/>
  <c r="E172" i="89"/>
  <c r="F172" i="89" s="1"/>
  <c r="E173" i="89"/>
  <c r="G173" i="89" s="1"/>
  <c r="S123" i="89"/>
  <c r="W123" i="89"/>
  <c r="V123" i="89"/>
  <c r="W77" i="89"/>
  <c r="X77" i="89"/>
  <c r="T77" i="89"/>
  <c r="Q77" i="89"/>
  <c r="R77" i="89" s="1"/>
  <c r="V77" i="89"/>
  <c r="X123" i="89"/>
  <c r="Y123" i="89"/>
  <c r="T123" i="89"/>
  <c r="U123" i="89"/>
  <c r="Q123" i="89"/>
  <c r="R123" i="89" s="1"/>
  <c r="E192" i="89"/>
  <c r="F192" i="89" s="1"/>
  <c r="T58" i="89"/>
  <c r="Q58" i="89"/>
  <c r="R58" i="89" s="1"/>
  <c r="S58" i="89"/>
  <c r="U58" i="89"/>
  <c r="U110" i="89"/>
  <c r="Y58" i="89"/>
  <c r="V110" i="89"/>
  <c r="V58" i="89"/>
  <c r="W58" i="89"/>
  <c r="Y110" i="89"/>
  <c r="X58" i="89"/>
  <c r="P81" i="89"/>
  <c r="P62" i="89"/>
  <c r="Q62" i="89" s="1"/>
  <c r="R62" i="89" s="1"/>
  <c r="X141" i="89"/>
  <c r="Y141" i="89"/>
  <c r="S141" i="89"/>
  <c r="V141" i="89"/>
  <c r="U141" i="89"/>
  <c r="T141" i="89"/>
  <c r="W141" i="89"/>
  <c r="AC177" i="89"/>
  <c r="AD177" i="89" s="1"/>
  <c r="W164" i="89"/>
  <c r="U164" i="89"/>
  <c r="S164" i="89"/>
  <c r="T164" i="89"/>
  <c r="Y164" i="89"/>
  <c r="V164" i="89"/>
  <c r="X164" i="89"/>
  <c r="P145" i="89"/>
  <c r="Q145" i="89" s="1"/>
  <c r="R145" i="89" s="1"/>
  <c r="K145" i="89"/>
  <c r="CU28" i="25"/>
  <c r="CX28" i="25" s="1"/>
  <c r="CY28" i="25" s="1"/>
  <c r="AC176" i="89"/>
  <c r="AD176" i="89" s="1"/>
  <c r="AC174" i="89"/>
  <c r="AD174" i="89" s="1"/>
  <c r="AC175" i="89"/>
  <c r="AD175" i="89" s="1"/>
  <c r="X176" i="89"/>
  <c r="E195" i="89"/>
  <c r="F195" i="89" s="1"/>
  <c r="W30" i="89"/>
  <c r="W43" i="89" s="1"/>
  <c r="W23" i="89" s="1"/>
  <c r="CU96" i="25"/>
  <c r="CX96" i="25" s="1"/>
  <c r="CY96" i="25" s="1"/>
  <c r="CU33" i="25"/>
  <c r="CX33" i="25" s="1"/>
  <c r="CY33" i="25" s="1"/>
  <c r="CR132" i="25"/>
  <c r="CV132" i="25" s="1"/>
  <c r="CW132" i="25" s="1"/>
  <c r="CZ132" i="25" s="1"/>
  <c r="CR47" i="25"/>
  <c r="CV47" i="25" s="1"/>
  <c r="CW47" i="25" s="1"/>
  <c r="CZ47" i="25" s="1"/>
  <c r="CU174" i="25"/>
  <c r="CX174" i="25" s="1"/>
  <c r="CY174" i="25" s="1"/>
  <c r="CR125" i="25"/>
  <c r="CV125" i="25" s="1"/>
  <c r="CW125" i="25" s="1"/>
  <c r="CZ125" i="25" s="1"/>
  <c r="CU113" i="25"/>
  <c r="CX113" i="25" s="1"/>
  <c r="CY113" i="25" s="1"/>
  <c r="CU40" i="25"/>
  <c r="CX40" i="25" s="1"/>
  <c r="CY40" i="25" s="1"/>
  <c r="CR101" i="25"/>
  <c r="CV101" i="25" s="1"/>
  <c r="CW101" i="25" s="1"/>
  <c r="CZ101" i="25" s="1"/>
  <c r="CR131" i="25"/>
  <c r="CV131" i="25" s="1"/>
  <c r="CW131" i="25" s="1"/>
  <c r="CZ131" i="25" s="1"/>
  <c r="CU50" i="25"/>
  <c r="CX50" i="25" s="1"/>
  <c r="CY50" i="25" s="1"/>
  <c r="CU160" i="25"/>
  <c r="CX160" i="25" s="1"/>
  <c r="CY160" i="25" s="1"/>
  <c r="CR118" i="25"/>
  <c r="CV118" i="25" s="1"/>
  <c r="CW118" i="25" s="1"/>
  <c r="CZ118" i="25" s="1"/>
  <c r="CR35" i="25"/>
  <c r="CV35" i="25" s="1"/>
  <c r="CW35" i="25" s="1"/>
  <c r="CZ35" i="25" s="1"/>
  <c r="CU38" i="25"/>
  <c r="CX38" i="25" s="1"/>
  <c r="CY38" i="25" s="1"/>
  <c r="CU142" i="25"/>
  <c r="CX142" i="25" s="1"/>
  <c r="CY142" i="25" s="1"/>
  <c r="CR46" i="25"/>
  <c r="CV46" i="25" s="1"/>
  <c r="CW46" i="25" s="1"/>
  <c r="CZ46" i="25" s="1"/>
  <c r="CU189" i="25"/>
  <c r="CX189" i="25" s="1"/>
  <c r="CY189" i="25" s="1"/>
  <c r="CR189" i="25"/>
  <c r="CV189" i="25" s="1"/>
  <c r="CW189" i="25" s="1"/>
  <c r="CZ189" i="25" s="1"/>
  <c r="CU110" i="25"/>
  <c r="CX110" i="25" s="1"/>
  <c r="CY110" i="25" s="1"/>
  <c r="CR110" i="25"/>
  <c r="CV110" i="25" s="1"/>
  <c r="CW110" i="25" s="1"/>
  <c r="CZ110" i="25" s="1"/>
  <c r="CR85" i="25"/>
  <c r="CV85" i="25" s="1"/>
  <c r="CW85" i="25" s="1"/>
  <c r="CZ85" i="25" s="1"/>
  <c r="CR17" i="25"/>
  <c r="CV17" i="25" s="1"/>
  <c r="CW17" i="25" s="1"/>
  <c r="CZ17" i="25" s="1"/>
  <c r="CU199" i="25"/>
  <c r="CX199" i="25" s="1"/>
  <c r="CY199" i="25" s="1"/>
  <c r="CR157" i="25"/>
  <c r="CV157" i="25" s="1"/>
  <c r="CW157" i="25" s="1"/>
  <c r="CZ157" i="25" s="1"/>
  <c r="CU143" i="25"/>
  <c r="CX143" i="25" s="1"/>
  <c r="CY143" i="25" s="1"/>
  <c r="CU117" i="25"/>
  <c r="CX117" i="25" s="1"/>
  <c r="CY117" i="25" s="1"/>
  <c r="CU122" i="25"/>
  <c r="CX122" i="25" s="1"/>
  <c r="CY122" i="25" s="1"/>
  <c r="CU39" i="25"/>
  <c r="CX39" i="25" s="1"/>
  <c r="CY39" i="25" s="1"/>
  <c r="CU180" i="25"/>
  <c r="CX180" i="25" s="1"/>
  <c r="CY180" i="25" s="1"/>
  <c r="CU152" i="25"/>
  <c r="CX152" i="25" s="1"/>
  <c r="CY152" i="25" s="1"/>
  <c r="CU71" i="25"/>
  <c r="CX71" i="25" s="1"/>
  <c r="CY71" i="25" s="1"/>
  <c r="CR145" i="25"/>
  <c r="CV145" i="25" s="1"/>
  <c r="CW145" i="25" s="1"/>
  <c r="CZ145" i="25" s="1"/>
  <c r="CR144" i="25"/>
  <c r="CV144" i="25" s="1"/>
  <c r="CW144" i="25" s="1"/>
  <c r="CZ144" i="25" s="1"/>
  <c r="CR106" i="25"/>
  <c r="CV106" i="25" s="1"/>
  <c r="CW106" i="25" s="1"/>
  <c r="CZ106" i="25" s="1"/>
  <c r="CU181" i="25"/>
  <c r="CX181" i="25" s="1"/>
  <c r="CY181" i="25" s="1"/>
  <c r="CU193" i="25"/>
  <c r="CX193" i="25" s="1"/>
  <c r="CY193" i="25" s="1"/>
  <c r="CR60" i="25"/>
  <c r="CV60" i="25" s="1"/>
  <c r="CW60" i="25" s="1"/>
  <c r="CZ60" i="25" s="1"/>
  <c r="CU183" i="25"/>
  <c r="CX183" i="25" s="1"/>
  <c r="CY183" i="25" s="1"/>
  <c r="CR129" i="25"/>
  <c r="CV129" i="25" s="1"/>
  <c r="CW129" i="25" s="1"/>
  <c r="CZ129" i="25" s="1"/>
  <c r="G190" i="89"/>
  <c r="CR151" i="25"/>
  <c r="CV151" i="25" s="1"/>
  <c r="CW151" i="25" s="1"/>
  <c r="CZ151" i="25" s="1"/>
  <c r="CR94" i="25"/>
  <c r="CV94" i="25" s="1"/>
  <c r="CW94" i="25" s="1"/>
  <c r="CZ94" i="25" s="1"/>
  <c r="CR62" i="25"/>
  <c r="CV62" i="25" s="1"/>
  <c r="CW62" i="25" s="1"/>
  <c r="CZ62" i="25" s="1"/>
  <c r="CR80" i="25"/>
  <c r="CV80" i="25" s="1"/>
  <c r="CW80" i="25" s="1"/>
  <c r="CZ80" i="25" s="1"/>
  <c r="CR138" i="25"/>
  <c r="CV138" i="25" s="1"/>
  <c r="CW138" i="25" s="1"/>
  <c r="CZ138" i="25" s="1"/>
  <c r="CU175" i="25"/>
  <c r="CX175" i="25" s="1"/>
  <c r="CY175" i="25" s="1"/>
  <c r="CU89" i="25"/>
  <c r="CX89" i="25" s="1"/>
  <c r="CY89" i="25" s="1"/>
  <c r="CR69" i="25"/>
  <c r="CV69" i="25" s="1"/>
  <c r="CW69" i="25" s="1"/>
  <c r="CZ69" i="25" s="1"/>
  <c r="CU11" i="25"/>
  <c r="CX11" i="25" s="1"/>
  <c r="CY11" i="25" s="1"/>
  <c r="CR102" i="25"/>
  <c r="CV102" i="25" s="1"/>
  <c r="CW102" i="25" s="1"/>
  <c r="CZ102" i="25" s="1"/>
  <c r="CU43" i="25"/>
  <c r="CX43" i="25" s="1"/>
  <c r="CY43" i="25" s="1"/>
  <c r="CR168" i="25"/>
  <c r="CV168" i="25" s="1"/>
  <c r="CW168" i="25" s="1"/>
  <c r="CZ168" i="25" s="1"/>
  <c r="CR36" i="25"/>
  <c r="CV36" i="25" s="1"/>
  <c r="CW36" i="25" s="1"/>
  <c r="CZ36" i="25" s="1"/>
  <c r="CR63" i="25"/>
  <c r="CV63" i="25" s="1"/>
  <c r="CW63" i="25" s="1"/>
  <c r="CZ63" i="25" s="1"/>
  <c r="CR13" i="25"/>
  <c r="CV13" i="25" s="1"/>
  <c r="CW13" i="25" s="1"/>
  <c r="CZ13" i="25" s="1"/>
  <c r="CU153" i="25"/>
  <c r="CX153" i="25" s="1"/>
  <c r="CY153" i="25" s="1"/>
  <c r="CU139" i="25"/>
  <c r="CX139" i="25" s="1"/>
  <c r="CY139" i="25" s="1"/>
  <c r="CU26" i="25"/>
  <c r="CX26" i="25" s="1"/>
  <c r="CY26" i="25" s="1"/>
  <c r="CR167" i="25"/>
  <c r="CV167" i="25" s="1"/>
  <c r="CW167" i="25" s="1"/>
  <c r="CZ167" i="25" s="1"/>
  <c r="CU167" i="25"/>
  <c r="CX167" i="25" s="1"/>
  <c r="CY167" i="25" s="1"/>
  <c r="CR88" i="25"/>
  <c r="CV88" i="25" s="1"/>
  <c r="CW88" i="25" s="1"/>
  <c r="CZ88" i="25" s="1"/>
  <c r="CU130" i="25"/>
  <c r="CX130" i="25" s="1"/>
  <c r="CY130" i="25" s="1"/>
  <c r="CR146" i="25"/>
  <c r="CV146" i="25" s="1"/>
  <c r="CW146" i="25" s="1"/>
  <c r="CZ146" i="25" s="1"/>
  <c r="CU56" i="25"/>
  <c r="CX56" i="25" s="1"/>
  <c r="CY56" i="25" s="1"/>
  <c r="CR53" i="25"/>
  <c r="CV53" i="25" s="1"/>
  <c r="CW53" i="25" s="1"/>
  <c r="CZ53" i="25" s="1"/>
  <c r="CU65" i="25"/>
  <c r="CX65" i="25" s="1"/>
  <c r="CY65" i="25" s="1"/>
  <c r="CU169" i="25"/>
  <c r="CX169" i="25" s="1"/>
  <c r="CY169" i="25" s="1"/>
  <c r="CU45" i="25"/>
  <c r="CX45" i="25" s="1"/>
  <c r="CY45" i="25" s="1"/>
  <c r="CR44" i="25"/>
  <c r="CV44" i="25" s="1"/>
  <c r="CW44" i="25" s="1"/>
  <c r="CZ44" i="25" s="1"/>
  <c r="K56" i="92"/>
  <c r="CR24" i="25"/>
  <c r="CV24" i="25" s="1"/>
  <c r="CW24" i="25" s="1"/>
  <c r="CZ24" i="25" s="1"/>
  <c r="CU18" i="25"/>
  <c r="CX18" i="25" s="1"/>
  <c r="CY18" i="25" s="1"/>
  <c r="CU127" i="25"/>
  <c r="CX127" i="25" s="1"/>
  <c r="CY127" i="25" s="1"/>
  <c r="CR78" i="25"/>
  <c r="CV78" i="25" s="1"/>
  <c r="CW78" i="25" s="1"/>
  <c r="CZ78" i="25" s="1"/>
  <c r="CR87" i="25"/>
  <c r="CV87" i="25" s="1"/>
  <c r="CW87" i="25" s="1"/>
  <c r="CZ87" i="25" s="1"/>
  <c r="CU87" i="25"/>
  <c r="CX87" i="25" s="1"/>
  <c r="CY87" i="25" s="1"/>
  <c r="CR162" i="25"/>
  <c r="CV162" i="25" s="1"/>
  <c r="CW162" i="25" s="1"/>
  <c r="CZ162" i="25" s="1"/>
  <c r="CU162" i="25"/>
  <c r="CX162" i="25" s="1"/>
  <c r="CY162" i="25" s="1"/>
  <c r="CR92" i="25"/>
  <c r="CV92" i="25" s="1"/>
  <c r="CW92" i="25" s="1"/>
  <c r="CZ92" i="25" s="1"/>
  <c r="CU92" i="25"/>
  <c r="CX92" i="25" s="1"/>
  <c r="CY92" i="25" s="1"/>
  <c r="CU197" i="25"/>
  <c r="CX197" i="25" s="1"/>
  <c r="CY197" i="25" s="1"/>
  <c r="CR197" i="25"/>
  <c r="CV197" i="25" s="1"/>
  <c r="CW197" i="25" s="1"/>
  <c r="CZ197" i="25" s="1"/>
  <c r="CR14" i="25"/>
  <c r="CV14" i="25" s="1"/>
  <c r="CW14" i="25" s="1"/>
  <c r="CZ14" i="25" s="1"/>
  <c r="CR68" i="25"/>
  <c r="CV68" i="25" s="1"/>
  <c r="CW68" i="25" s="1"/>
  <c r="CZ68" i="25" s="1"/>
  <c r="CR22" i="25"/>
  <c r="CV22" i="25" s="1"/>
  <c r="CW22" i="25" s="1"/>
  <c r="CZ22" i="25" s="1"/>
  <c r="CU70" i="25"/>
  <c r="CX70" i="25" s="1"/>
  <c r="CY70" i="25" s="1"/>
  <c r="CR119" i="25"/>
  <c r="CV119" i="25" s="1"/>
  <c r="CW119" i="25" s="1"/>
  <c r="CZ119" i="25" s="1"/>
  <c r="CR20" i="25"/>
  <c r="CV20" i="25" s="1"/>
  <c r="CW20" i="25" s="1"/>
  <c r="CZ20" i="25" s="1"/>
  <c r="CR30" i="25"/>
  <c r="CV30" i="25" s="1"/>
  <c r="CW30" i="25" s="1"/>
  <c r="CZ30" i="25" s="1"/>
  <c r="CR59" i="25"/>
  <c r="CV59" i="25" s="1"/>
  <c r="CW59" i="25" s="1"/>
  <c r="CZ59" i="25" s="1"/>
  <c r="CR194" i="25"/>
  <c r="CV194" i="25" s="1"/>
  <c r="CW194" i="25" s="1"/>
  <c r="CZ194" i="25" s="1"/>
  <c r="CU73" i="25"/>
  <c r="CX73" i="25" s="1"/>
  <c r="CY73" i="25" s="1"/>
  <c r="CU133" i="25"/>
  <c r="CX133" i="25" s="1"/>
  <c r="CY133" i="25" s="1"/>
  <c r="CR133" i="25"/>
  <c r="CV133" i="25" s="1"/>
  <c r="CW133" i="25" s="1"/>
  <c r="CZ133" i="25" s="1"/>
  <c r="CU141" i="25"/>
  <c r="CX141" i="25" s="1"/>
  <c r="CY141" i="25" s="1"/>
  <c r="CR156" i="25"/>
  <c r="CV156" i="25" s="1"/>
  <c r="CW156" i="25" s="1"/>
  <c r="CZ156" i="25" s="1"/>
  <c r="CU156" i="25"/>
  <c r="CX156" i="25" s="1"/>
  <c r="CY156" i="25" s="1"/>
  <c r="CR107" i="25"/>
  <c r="CV107" i="25" s="1"/>
  <c r="CW107" i="25" s="1"/>
  <c r="CZ107" i="25" s="1"/>
  <c r="CU107" i="25"/>
  <c r="CX107" i="25" s="1"/>
  <c r="CY107" i="25" s="1"/>
  <c r="CU77" i="25"/>
  <c r="CX77" i="25" s="1"/>
  <c r="CY77" i="25" s="1"/>
  <c r="CR77" i="25"/>
  <c r="CV77" i="25" s="1"/>
  <c r="CW77" i="25" s="1"/>
  <c r="CZ77" i="25" s="1"/>
  <c r="CU74" i="25"/>
  <c r="CX74" i="25" s="1"/>
  <c r="CY74" i="25" s="1"/>
  <c r="CR120" i="25"/>
  <c r="CV120" i="25" s="1"/>
  <c r="CW120" i="25" s="1"/>
  <c r="CZ120" i="25" s="1"/>
  <c r="CR75" i="25"/>
  <c r="CV75" i="25" s="1"/>
  <c r="CW75" i="25" s="1"/>
  <c r="CZ75" i="25" s="1"/>
  <c r="CR55" i="25"/>
  <c r="CV55" i="25" s="1"/>
  <c r="CW55" i="25" s="1"/>
  <c r="CZ55" i="25" s="1"/>
  <c r="CU184" i="25"/>
  <c r="CX184" i="25" s="1"/>
  <c r="CY184" i="25" s="1"/>
  <c r="CU115" i="25"/>
  <c r="CX115" i="25" s="1"/>
  <c r="CY115" i="25" s="1"/>
  <c r="CR140" i="25"/>
  <c r="CV140" i="25" s="1"/>
  <c r="CW140" i="25" s="1"/>
  <c r="CZ140" i="25" s="1"/>
  <c r="CU140" i="25"/>
  <c r="CX140" i="25" s="1"/>
  <c r="CY140" i="25" s="1"/>
  <c r="CR148" i="25"/>
  <c r="CV148" i="25" s="1"/>
  <c r="CW148" i="25" s="1"/>
  <c r="CZ148" i="25" s="1"/>
  <c r="CU148" i="25"/>
  <c r="CX148" i="25" s="1"/>
  <c r="CY148" i="25" s="1"/>
  <c r="CU83" i="25"/>
  <c r="CX83" i="25" s="1"/>
  <c r="CY83" i="25" s="1"/>
  <c r="CR83" i="25"/>
  <c r="CV83" i="25" s="1"/>
  <c r="CW83" i="25" s="1"/>
  <c r="CZ83" i="25" s="1"/>
  <c r="CU190" i="25"/>
  <c r="CX190" i="25" s="1"/>
  <c r="CY190" i="25" s="1"/>
  <c r="CU86" i="25"/>
  <c r="CX86" i="25" s="1"/>
  <c r="CY86" i="25" s="1"/>
  <c r="CU79" i="25"/>
  <c r="CX79" i="25" s="1"/>
  <c r="CY79" i="25" s="1"/>
  <c r="CU198" i="25"/>
  <c r="CX198" i="25" s="1"/>
  <c r="CY198" i="25" s="1"/>
  <c r="CR198" i="25"/>
  <c r="CV198" i="25" s="1"/>
  <c r="CW198" i="25" s="1"/>
  <c r="CZ198" i="25" s="1"/>
  <c r="CU51" i="25"/>
  <c r="CX51" i="25" s="1"/>
  <c r="CY51" i="25" s="1"/>
  <c r="CR51" i="25"/>
  <c r="CV51" i="25" s="1"/>
  <c r="CW51" i="25" s="1"/>
  <c r="CZ51" i="25" s="1"/>
  <c r="CR91" i="25"/>
  <c r="CV91" i="25" s="1"/>
  <c r="CW91" i="25" s="1"/>
  <c r="CZ91" i="25" s="1"/>
  <c r="CU91" i="25"/>
  <c r="CX91" i="25" s="1"/>
  <c r="CY91" i="25" s="1"/>
  <c r="CR99" i="25"/>
  <c r="CV99" i="25" s="1"/>
  <c r="CW99" i="25" s="1"/>
  <c r="CZ99" i="25" s="1"/>
  <c r="CU99" i="25"/>
  <c r="CX99" i="25" s="1"/>
  <c r="CY99" i="25" s="1"/>
  <c r="CR192" i="25"/>
  <c r="CV192" i="25" s="1"/>
  <c r="CW192" i="25" s="1"/>
  <c r="CZ192" i="25" s="1"/>
  <c r="CU192" i="25"/>
  <c r="CX192" i="25" s="1"/>
  <c r="CY192" i="25" s="1"/>
  <c r="CR195" i="25"/>
  <c r="CV195" i="25" s="1"/>
  <c r="CW195" i="25" s="1"/>
  <c r="CZ195" i="25" s="1"/>
  <c r="CU195" i="25"/>
  <c r="CX195" i="25" s="1"/>
  <c r="CY195" i="25" s="1"/>
  <c r="CR123" i="25"/>
  <c r="CV123" i="25" s="1"/>
  <c r="CW123" i="25" s="1"/>
  <c r="CZ123" i="25" s="1"/>
  <c r="CR27" i="25"/>
  <c r="CV27" i="25" s="1"/>
  <c r="CW27" i="25" s="1"/>
  <c r="CZ27" i="25" s="1"/>
  <c r="CU29" i="25"/>
  <c r="CX29" i="25" s="1"/>
  <c r="CY29" i="25" s="1"/>
  <c r="CU186" i="25"/>
  <c r="CX186" i="25" s="1"/>
  <c r="CY186" i="25" s="1"/>
  <c r="CR150" i="25"/>
  <c r="CV150" i="25" s="1"/>
  <c r="CW150" i="25" s="1"/>
  <c r="CZ150" i="25" s="1"/>
  <c r="CR103" i="25"/>
  <c r="CV103" i="25" s="1"/>
  <c r="CW103" i="25" s="1"/>
  <c r="CZ103" i="25" s="1"/>
  <c r="CR149" i="25"/>
  <c r="CV149" i="25" s="1"/>
  <c r="CW149" i="25" s="1"/>
  <c r="CZ149" i="25" s="1"/>
  <c r="CR81" i="25"/>
  <c r="CV81" i="25" s="1"/>
  <c r="CW81" i="25" s="1"/>
  <c r="CZ81" i="25" s="1"/>
  <c r="CU171" i="25"/>
  <c r="CX171" i="25" s="1"/>
  <c r="CY171" i="25" s="1"/>
  <c r="CR64" i="25"/>
  <c r="CV64" i="25" s="1"/>
  <c r="CW64" i="25" s="1"/>
  <c r="CZ64" i="25" s="1"/>
  <c r="CU182" i="25"/>
  <c r="CX182" i="25" s="1"/>
  <c r="CY182" i="25" s="1"/>
  <c r="CR72" i="25"/>
  <c r="CV72" i="25" s="1"/>
  <c r="CW72" i="25" s="1"/>
  <c r="CZ72" i="25" s="1"/>
  <c r="CU188" i="25"/>
  <c r="CX188" i="25" s="1"/>
  <c r="CY188" i="25" s="1"/>
  <c r="CU201" i="25"/>
  <c r="CX201" i="25" s="1"/>
  <c r="CY201" i="25" s="1"/>
  <c r="CU98" i="25"/>
  <c r="CX98" i="25" s="1"/>
  <c r="CY98" i="25" s="1"/>
  <c r="CR23" i="25"/>
  <c r="CV23" i="25" s="1"/>
  <c r="CW23" i="25" s="1"/>
  <c r="CZ23" i="25" s="1"/>
  <c r="CU126" i="25"/>
  <c r="CX126" i="25" s="1"/>
  <c r="CY126" i="25" s="1"/>
  <c r="CR202" i="25"/>
  <c r="CV202" i="25" s="1"/>
  <c r="CW202" i="25" s="1"/>
  <c r="CZ202" i="25" s="1"/>
  <c r="CU202" i="25"/>
  <c r="CX202" i="25" s="1"/>
  <c r="CY202" i="25" s="1"/>
  <c r="CV18" i="25"/>
  <c r="CW18" i="25" s="1"/>
  <c r="CZ18" i="25" s="1"/>
  <c r="CU196" i="25"/>
  <c r="CX196" i="25" s="1"/>
  <c r="CY196" i="25" s="1"/>
  <c r="CR196" i="25"/>
  <c r="CV196" i="25" s="1"/>
  <c r="CW196" i="25" s="1"/>
  <c r="CZ196" i="25" s="1"/>
  <c r="CU90" i="25"/>
  <c r="CX90" i="25" s="1"/>
  <c r="CY90" i="25" s="1"/>
  <c r="CR90" i="25"/>
  <c r="CV90" i="25" s="1"/>
  <c r="CW90" i="25" s="1"/>
  <c r="CZ90" i="25" s="1"/>
  <c r="CU108" i="25"/>
  <c r="CX108" i="25" s="1"/>
  <c r="CY108" i="25" s="1"/>
  <c r="CU82" i="25"/>
  <c r="CX82" i="25" s="1"/>
  <c r="CY82" i="25" s="1"/>
  <c r="CU154" i="25"/>
  <c r="CX154" i="25" s="1"/>
  <c r="CY154" i="25" s="1"/>
  <c r="CU114" i="25"/>
  <c r="CX114" i="25" s="1"/>
  <c r="CY114" i="25" s="1"/>
  <c r="CU136" i="25"/>
  <c r="CX136" i="25" s="1"/>
  <c r="CY136" i="25" s="1"/>
  <c r="CU41" i="25"/>
  <c r="CX41" i="25" s="1"/>
  <c r="CY41" i="25" s="1"/>
  <c r="CU164" i="25"/>
  <c r="CX164" i="25" s="1"/>
  <c r="CY164" i="25" s="1"/>
  <c r="CU97" i="25"/>
  <c r="CX97" i="25" s="1"/>
  <c r="CY97" i="25" s="1"/>
  <c r="CU76" i="25"/>
  <c r="CX76" i="25" s="1"/>
  <c r="CY76" i="25" s="1"/>
  <c r="CR66" i="25"/>
  <c r="CV66" i="25" s="1"/>
  <c r="CW66" i="25" s="1"/>
  <c r="CZ66" i="25" s="1"/>
  <c r="CR105" i="25"/>
  <c r="CV105" i="25" s="1"/>
  <c r="CW105" i="25" s="1"/>
  <c r="CZ105" i="25" s="1"/>
  <c r="CU105" i="25"/>
  <c r="CX105" i="25" s="1"/>
  <c r="CY105" i="25" s="1"/>
  <c r="CR124" i="25"/>
  <c r="CV124" i="25" s="1"/>
  <c r="CW124" i="25" s="1"/>
  <c r="CZ124" i="25" s="1"/>
  <c r="CU12" i="25"/>
  <c r="CX12" i="25" s="1"/>
  <c r="CY12" i="25" s="1"/>
  <c r="CR166" i="25"/>
  <c r="CV166" i="25" s="1"/>
  <c r="CW166" i="25" s="1"/>
  <c r="CZ166" i="25" s="1"/>
  <c r="CU173" i="25"/>
  <c r="CX173" i="25" s="1"/>
  <c r="CY173" i="25" s="1"/>
  <c r="CR173" i="25"/>
  <c r="CV173" i="25" s="1"/>
  <c r="CW173" i="25" s="1"/>
  <c r="CZ173" i="25" s="1"/>
  <c r="CR95" i="25"/>
  <c r="CV95" i="25" s="1"/>
  <c r="CW95" i="25" s="1"/>
  <c r="CZ95" i="25" s="1"/>
  <c r="CR37" i="25"/>
  <c r="CV37" i="25" s="1"/>
  <c r="CW37" i="25" s="1"/>
  <c r="CZ37" i="25" s="1"/>
  <c r="CR134" i="25"/>
  <c r="CV134" i="25" s="1"/>
  <c r="CW134" i="25" s="1"/>
  <c r="CZ134" i="25" s="1"/>
  <c r="CR161" i="25"/>
  <c r="CV161" i="25" s="1"/>
  <c r="CW161" i="25" s="1"/>
  <c r="CZ161" i="25" s="1"/>
  <c r="CU34" i="25"/>
  <c r="CX34" i="25" s="1"/>
  <c r="CY34" i="25" s="1"/>
  <c r="CR34" i="25"/>
  <c r="CV34" i="25" s="1"/>
  <c r="CW34" i="25" s="1"/>
  <c r="CZ34" i="25" s="1"/>
  <c r="CR9" i="25"/>
  <c r="CV9" i="25" s="1"/>
  <c r="CW9" i="25" s="1"/>
  <c r="CZ9" i="25" s="1"/>
  <c r="CU9" i="25"/>
  <c r="CX9" i="25" s="1"/>
  <c r="CY9" i="25" s="1"/>
  <c r="CR32" i="25"/>
  <c r="CV32" i="25" s="1"/>
  <c r="CW32" i="25" s="1"/>
  <c r="CZ32" i="25" s="1"/>
  <c r="CU165" i="25"/>
  <c r="CX165" i="25" s="1"/>
  <c r="CY165" i="25" s="1"/>
  <c r="CU49" i="25"/>
  <c r="CX49" i="25" s="1"/>
  <c r="CY49" i="25" s="1"/>
  <c r="CR49" i="25"/>
  <c r="CV49" i="25" s="1"/>
  <c r="CW49" i="25" s="1"/>
  <c r="CZ49" i="25" s="1"/>
  <c r="CU25" i="25"/>
  <c r="CX25" i="25" s="1"/>
  <c r="CY25" i="25" s="1"/>
  <c r="CU19" i="25"/>
  <c r="CX19" i="25" s="1"/>
  <c r="CY19" i="25" s="1"/>
  <c r="CR19" i="25"/>
  <c r="CV19" i="25" s="1"/>
  <c r="CW19" i="25" s="1"/>
  <c r="CZ19" i="25" s="1"/>
  <c r="CR187" i="25"/>
  <c r="CV187" i="25" s="1"/>
  <c r="CW187" i="25" s="1"/>
  <c r="CZ187" i="25" s="1"/>
  <c r="CR10" i="25"/>
  <c r="CV10" i="25" s="1"/>
  <c r="CW10" i="25" s="1"/>
  <c r="CZ10" i="25" s="1"/>
  <c r="CU10" i="25"/>
  <c r="CX10" i="25" s="1"/>
  <c r="CY10" i="25" s="1"/>
  <c r="CU147" i="25"/>
  <c r="CX147" i="25" s="1"/>
  <c r="CY147" i="25" s="1"/>
  <c r="CR147" i="25"/>
  <c r="CV147" i="25" s="1"/>
  <c r="CW147" i="25" s="1"/>
  <c r="CZ147" i="25" s="1"/>
  <c r="CR121" i="25"/>
  <c r="CV121" i="25" s="1"/>
  <c r="CW121" i="25" s="1"/>
  <c r="CZ121" i="25" s="1"/>
  <c r="CU121" i="25"/>
  <c r="CX121" i="25" s="1"/>
  <c r="CY121" i="25" s="1"/>
  <c r="CR178" i="25"/>
  <c r="CV178" i="25" s="1"/>
  <c r="CW178" i="25" s="1"/>
  <c r="CZ178" i="25" s="1"/>
  <c r="CU178" i="25"/>
  <c r="CX178" i="25" s="1"/>
  <c r="CY178" i="25" s="1"/>
  <c r="CU31" i="25"/>
  <c r="CX31" i="25" s="1"/>
  <c r="CY31" i="25" s="1"/>
  <c r="CR31" i="25"/>
  <c r="CV31" i="25" s="1"/>
  <c r="CW31" i="25" s="1"/>
  <c r="CZ31" i="25" s="1"/>
  <c r="CR200" i="25"/>
  <c r="CV200" i="25" s="1"/>
  <c r="CW200" i="25" s="1"/>
  <c r="CZ200" i="25" s="1"/>
  <c r="CU200" i="25"/>
  <c r="CX200" i="25" s="1"/>
  <c r="CY200" i="25" s="1"/>
  <c r="CR191" i="25"/>
  <c r="CV191" i="25" s="1"/>
  <c r="CW191" i="25" s="1"/>
  <c r="CZ191" i="25" s="1"/>
  <c r="CU191" i="25"/>
  <c r="CX191" i="25" s="1"/>
  <c r="CY191" i="25" s="1"/>
  <c r="CU109" i="25"/>
  <c r="CX109" i="25" s="1"/>
  <c r="CY109" i="25" s="1"/>
  <c r="CR61" i="25"/>
  <c r="CV61" i="25" s="1"/>
  <c r="CW61" i="25" s="1"/>
  <c r="CZ61" i="25" s="1"/>
  <c r="CU61" i="25"/>
  <c r="CX61" i="25" s="1"/>
  <c r="CY61" i="25" s="1"/>
  <c r="CU42" i="25"/>
  <c r="CX42" i="25" s="1"/>
  <c r="CY42" i="25" s="1"/>
  <c r="CR42" i="25"/>
  <c r="CV42" i="25" s="1"/>
  <c r="CW42" i="25" s="1"/>
  <c r="CZ42" i="25" s="1"/>
  <c r="CU179" i="25"/>
  <c r="CX179" i="25" s="1"/>
  <c r="CY179" i="25" s="1"/>
  <c r="CR179" i="25"/>
  <c r="CV179" i="25" s="1"/>
  <c r="CW179" i="25" s="1"/>
  <c r="CZ179" i="25" s="1"/>
  <c r="CR15" i="25"/>
  <c r="CV15" i="25" s="1"/>
  <c r="CW15" i="25" s="1"/>
  <c r="CZ15" i="25" s="1"/>
  <c r="CU15" i="25"/>
  <c r="CX15" i="25" s="1"/>
  <c r="CY15" i="25" s="1"/>
  <c r="CU111" i="25"/>
  <c r="CX111" i="25" s="1"/>
  <c r="CY111" i="25" s="1"/>
  <c r="CR111" i="25"/>
  <c r="CV111" i="25" s="1"/>
  <c r="CW111" i="25" s="1"/>
  <c r="CZ111" i="25" s="1"/>
  <c r="CR112" i="25"/>
  <c r="CV112" i="25" s="1"/>
  <c r="CW112" i="25" s="1"/>
  <c r="CZ112" i="25" s="1"/>
  <c r="CU112" i="25"/>
  <c r="CX112" i="25" s="1"/>
  <c r="CY112" i="25" s="1"/>
  <c r="CU176" i="25"/>
  <c r="CX176" i="25" s="1"/>
  <c r="CY176" i="25" s="1"/>
  <c r="CU155" i="25"/>
  <c r="CX155" i="25" s="1"/>
  <c r="CY155" i="25" s="1"/>
  <c r="CR172" i="25"/>
  <c r="CV172" i="25" s="1"/>
  <c r="CW172" i="25" s="1"/>
  <c r="CZ172" i="25" s="1"/>
  <c r="CU172" i="25"/>
  <c r="CX172" i="25" s="1"/>
  <c r="CY172" i="25" s="1"/>
  <c r="CR137" i="25"/>
  <c r="CV137" i="25" s="1"/>
  <c r="CW137" i="25" s="1"/>
  <c r="CZ137" i="25" s="1"/>
  <c r="CU137" i="25"/>
  <c r="CX137" i="25" s="1"/>
  <c r="CY137" i="25" s="1"/>
  <c r="CU58" i="25"/>
  <c r="CX58" i="25" s="1"/>
  <c r="CY58" i="25" s="1"/>
  <c r="CR58" i="25"/>
  <c r="CV58" i="25" s="1"/>
  <c r="CW58" i="25" s="1"/>
  <c r="CZ58" i="25" s="1"/>
  <c r="CU84" i="25"/>
  <c r="CX84" i="25" s="1"/>
  <c r="CY84" i="25" s="1"/>
  <c r="CR84" i="25"/>
  <c r="CV84" i="25" s="1"/>
  <c r="CW84" i="25" s="1"/>
  <c r="CZ84" i="25" s="1"/>
  <c r="CU48" i="25"/>
  <c r="CX48" i="25" s="1"/>
  <c r="CY48" i="25" s="1"/>
  <c r="CR48" i="25"/>
  <c r="CV48" i="25" s="1"/>
  <c r="CW48" i="25" s="1"/>
  <c r="CZ48" i="25" s="1"/>
  <c r="CR93" i="25"/>
  <c r="CV93" i="25" s="1"/>
  <c r="CW93" i="25" s="1"/>
  <c r="CZ93" i="25" s="1"/>
  <c r="CU93" i="25"/>
  <c r="CX93" i="25" s="1"/>
  <c r="CY93" i="25" s="1"/>
  <c r="CU16" i="25"/>
  <c r="CX16" i="25" s="1"/>
  <c r="CY16" i="25" s="1"/>
  <c r="CR16" i="25"/>
  <c r="CV16" i="25" s="1"/>
  <c r="CW16" i="25" s="1"/>
  <c r="CZ16" i="25" s="1"/>
  <c r="CR163" i="25"/>
  <c r="CV163" i="25" s="1"/>
  <c r="CW163" i="25" s="1"/>
  <c r="CZ163" i="25" s="1"/>
  <c r="CU163" i="25"/>
  <c r="CX163" i="25" s="1"/>
  <c r="CY163" i="25" s="1"/>
  <c r="CU54" i="25"/>
  <c r="CX54" i="25" s="1"/>
  <c r="CY54" i="25" s="1"/>
  <c r="CR54" i="25"/>
  <c r="CV54" i="25" s="1"/>
  <c r="CW54" i="25" s="1"/>
  <c r="CZ54" i="25" s="1"/>
  <c r="CR135" i="25"/>
  <c r="CV135" i="25" s="1"/>
  <c r="CW135" i="25" s="1"/>
  <c r="CZ135" i="25" s="1"/>
  <c r="CU135" i="25"/>
  <c r="CX135" i="25" s="1"/>
  <c r="CY135" i="25" s="1"/>
  <c r="CU116" i="25"/>
  <c r="CX116" i="25" s="1"/>
  <c r="CY116" i="25" s="1"/>
  <c r="CR116" i="25"/>
  <c r="CV116" i="25" s="1"/>
  <c r="CW116" i="25" s="1"/>
  <c r="CZ116" i="25" s="1"/>
  <c r="CV21" i="25"/>
  <c r="CW21" i="25" s="1"/>
  <c r="CZ21" i="25" s="1"/>
  <c r="CU21" i="25"/>
  <c r="CX21" i="25" s="1"/>
  <c r="CY21" i="25" s="1"/>
  <c r="CR185" i="25"/>
  <c r="CV185" i="25" s="1"/>
  <c r="CW185" i="25" s="1"/>
  <c r="CZ185" i="25" s="1"/>
  <c r="CU185" i="25"/>
  <c r="CX185" i="25" s="1"/>
  <c r="CY185" i="25" s="1"/>
  <c r="CV155" i="25"/>
  <c r="CW155" i="25" s="1"/>
  <c r="CZ155" i="25" s="1"/>
  <c r="CR7" i="25"/>
  <c r="CV7" i="25" s="1"/>
  <c r="CW7" i="25" s="1"/>
  <c r="CZ7" i="25" s="1"/>
  <c r="CU7" i="25"/>
  <c r="CX7" i="25" s="1"/>
  <c r="CY7" i="25" s="1"/>
  <c r="CR57" i="25"/>
  <c r="CV57" i="25" s="1"/>
  <c r="CW57" i="25" s="1"/>
  <c r="CZ57" i="25" s="1"/>
  <c r="CU57" i="25"/>
  <c r="CX57" i="25" s="1"/>
  <c r="CY57" i="25" s="1"/>
  <c r="CR100" i="25"/>
  <c r="CV100" i="25" s="1"/>
  <c r="CW100" i="25" s="1"/>
  <c r="CZ100" i="25" s="1"/>
  <c r="CU100" i="25"/>
  <c r="CX100" i="25" s="1"/>
  <c r="CY100" i="25" s="1"/>
  <c r="CR159" i="25"/>
  <c r="CV159" i="25" s="1"/>
  <c r="CW159" i="25" s="1"/>
  <c r="CZ159" i="25" s="1"/>
  <c r="CU159" i="25"/>
  <c r="CX159" i="25" s="1"/>
  <c r="CY159" i="25" s="1"/>
  <c r="CR170" i="25"/>
  <c r="CV170" i="25" s="1"/>
  <c r="CW170" i="25" s="1"/>
  <c r="CZ170" i="25" s="1"/>
  <c r="CU170" i="25"/>
  <c r="CX170" i="25" s="1"/>
  <c r="CY170" i="25" s="1"/>
  <c r="CR177" i="25"/>
  <c r="CV177" i="25" s="1"/>
  <c r="CW177" i="25" s="1"/>
  <c r="CZ177" i="25" s="1"/>
  <c r="CU177" i="25"/>
  <c r="CX177" i="25" s="1"/>
  <c r="CY177" i="25" s="1"/>
  <c r="F177" i="89"/>
  <c r="V132" i="89"/>
  <c r="U132" i="89"/>
  <c r="T132" i="89"/>
  <c r="S132" i="89"/>
  <c r="Y132" i="89"/>
  <c r="X132" i="89"/>
  <c r="Q132" i="89"/>
  <c r="R132" i="89" s="1"/>
  <c r="W132" i="89"/>
  <c r="H176" i="89"/>
  <c r="Q100" i="89"/>
  <c r="R100" i="89" s="1"/>
  <c r="W68" i="89"/>
  <c r="V68" i="89"/>
  <c r="Q68" i="89"/>
  <c r="R68" i="89" s="1"/>
  <c r="U68" i="89"/>
  <c r="U81" i="89" s="1"/>
  <c r="T68" i="89"/>
  <c r="Y68" i="89"/>
  <c r="Y81" i="89" s="1"/>
  <c r="S68" i="89"/>
  <c r="S81" i="89" s="1"/>
  <c r="X68" i="89"/>
  <c r="V104" i="89"/>
  <c r="U104" i="89"/>
  <c r="T104" i="89"/>
  <c r="P113" i="89"/>
  <c r="Q113" i="89" s="1"/>
  <c r="R113" i="89" s="1"/>
  <c r="S104" i="89"/>
  <c r="S113" i="89" s="1"/>
  <c r="Q104" i="89"/>
  <c r="R104" i="89" s="1"/>
  <c r="Y104" i="89"/>
  <c r="X104" i="89"/>
  <c r="W104" i="89"/>
  <c r="W113" i="89" s="1"/>
  <c r="F176" i="89"/>
  <c r="U87" i="89"/>
  <c r="U100" i="89" s="1"/>
  <c r="U3" i="89" s="1"/>
  <c r="T87" i="89"/>
  <c r="T100" i="89" s="1"/>
  <c r="T3" i="89" s="1"/>
  <c r="S87" i="89"/>
  <c r="S100" i="89" s="1"/>
  <c r="S3" i="89" s="1"/>
  <c r="Y87" i="89"/>
  <c r="Y100" i="89" s="1"/>
  <c r="X87" i="89"/>
  <c r="X100" i="89" s="1"/>
  <c r="X3" i="89" s="1"/>
  <c r="W87" i="89"/>
  <c r="W100" i="89" s="1"/>
  <c r="W3" i="89" s="1"/>
  <c r="Q87" i="89"/>
  <c r="R87" i="89" s="1"/>
  <c r="V87" i="89"/>
  <c r="V100" i="89" s="1"/>
  <c r="V3" i="89" s="1"/>
  <c r="X49" i="89"/>
  <c r="Q49" i="89"/>
  <c r="R49" i="89" s="1"/>
  <c r="S49" i="89"/>
  <c r="T49" i="89"/>
  <c r="U49" i="89"/>
  <c r="V49" i="89"/>
  <c r="Y49" i="89"/>
  <c r="W49" i="89"/>
  <c r="X117" i="89"/>
  <c r="W117" i="89"/>
  <c r="V117" i="89"/>
  <c r="P126" i="89"/>
  <c r="Q126" i="89" s="1"/>
  <c r="R126" i="89" s="1"/>
  <c r="Q117" i="89"/>
  <c r="R117" i="89" s="1"/>
  <c r="U117" i="89"/>
  <c r="T117" i="89"/>
  <c r="S117" i="89"/>
  <c r="Y117" i="89"/>
  <c r="AH30" i="89"/>
  <c r="AI30" i="89"/>
  <c r="T30" i="89"/>
  <c r="T43" i="89" s="1"/>
  <c r="T21" i="89" s="1"/>
  <c r="V30" i="89"/>
  <c r="V43" i="89" s="1"/>
  <c r="V23" i="89" s="1"/>
  <c r="S30" i="89"/>
  <c r="S43" i="89" s="1"/>
  <c r="S21" i="89" s="1"/>
  <c r="Q30" i="89"/>
  <c r="R30" i="89" s="1"/>
  <c r="X30" i="89"/>
  <c r="X43" i="89" s="1"/>
  <c r="X23" i="89" s="1"/>
  <c r="U30" i="89"/>
  <c r="U43" i="89" s="1"/>
  <c r="U23" i="89" s="1"/>
  <c r="Q43" i="89"/>
  <c r="R43" i="89" s="1"/>
  <c r="Y30" i="89"/>
  <c r="Y43" i="89" s="1"/>
  <c r="T113" i="89" l="1"/>
  <c r="AC173" i="89"/>
  <c r="AE173" i="89" s="1"/>
  <c r="S126" i="89"/>
  <c r="X113" i="89"/>
  <c r="Y126" i="89"/>
  <c r="AC172" i="89"/>
  <c r="AD172" i="89" s="1"/>
  <c r="S4" i="89"/>
  <c r="U4" i="89"/>
  <c r="W126" i="89"/>
  <c r="U126" i="89"/>
  <c r="V81" i="89"/>
  <c r="V126" i="89"/>
  <c r="T81" i="89"/>
  <c r="X126" i="89"/>
  <c r="T126" i="89"/>
  <c r="W81" i="89"/>
  <c r="X81" i="89"/>
  <c r="T62" i="89"/>
  <c r="T20" i="89" s="1"/>
  <c r="V62" i="89"/>
  <c r="V20" i="89" s="1"/>
  <c r="S62" i="89"/>
  <c r="S20" i="89" s="1"/>
  <c r="Y62" i="89"/>
  <c r="V113" i="89"/>
  <c r="U113" i="89"/>
  <c r="U62" i="89"/>
  <c r="U20" i="89" s="1"/>
  <c r="Y113" i="89"/>
  <c r="W62" i="89"/>
  <c r="W20" i="89" s="1"/>
  <c r="X62" i="89"/>
  <c r="X20" i="89" s="1"/>
  <c r="R23" i="89"/>
  <c r="Q81" i="89"/>
  <c r="R81" i="89" s="1"/>
  <c r="W142" i="89"/>
  <c r="W145" i="89" s="1"/>
  <c r="U142" i="89"/>
  <c r="U145" i="89" s="1"/>
  <c r="T142" i="89"/>
  <c r="T145" i="89" s="1"/>
  <c r="V142" i="89"/>
  <c r="V145" i="89" s="1"/>
  <c r="X142" i="89"/>
  <c r="X145" i="89" s="1"/>
  <c r="S142" i="89"/>
  <c r="S145" i="89" s="1"/>
  <c r="Y142" i="89"/>
  <c r="Y145" i="89" s="1"/>
  <c r="Q142" i="89"/>
  <c r="R142" i="89" s="1"/>
  <c r="R22" i="89"/>
  <c r="T22" i="89"/>
  <c r="F174" i="89"/>
  <c r="AU176" i="89"/>
  <c r="S22" i="89" l="1"/>
  <c r="T4" i="89"/>
  <c r="W22" i="89"/>
  <c r="X4" i="89"/>
  <c r="V22" i="89"/>
  <c r="W4" i="89"/>
  <c r="U22" i="89"/>
  <c r="V4"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tc={7CCD1736-E191-40E4-A3B9-9440656E3792}</author>
    <author>tc={9DFE2248-F842-4415-AE9F-2D0D6BB7C151}</author>
    <author>PIN</author>
    <author>tc={166C3F2B-8DD4-4111-B4CB-6E6840E6A666}</author>
    <author>tc={0931F8E0-00FD-41AC-A843-55D15D104565}</author>
    <author>tc={B2E05BA6-522C-4AA7-A89F-BFEF87C0C98A}</author>
    <author>tc={65E04F2E-5A22-49E1-957F-62B3216A4E4A}</author>
    <author>DELL</author>
  </authors>
  <commentList>
    <comment ref="AA5" authorId="0" shapeId="0" xr:uid="{74083081-681B-448D-8840-BDCA16EED3DD}">
      <text>
        <r>
          <rPr>
            <b/>
            <sz val="9"/>
            <color indexed="81"/>
            <rFont val="Tahoma"/>
            <family val="2"/>
          </rPr>
          <t>Administrator:</t>
        </r>
        <r>
          <rPr>
            <sz val="9"/>
            <color indexed="81"/>
            <rFont val="Tahoma"/>
            <family val="2"/>
          </rPr>
          <t xml:space="preserve">
L x B x H x 6.24 x 4= L
(%1000)</t>
        </r>
      </text>
    </comment>
    <comment ref="B8" authorId="0" shapeId="0" xr:uid="{55D1C6D0-4BDB-4B2C-BBB0-3535DF302452}">
      <text>
        <r>
          <rPr>
            <b/>
            <sz val="9"/>
            <color indexed="81"/>
            <rFont val="Tahoma"/>
            <family val="2"/>
          </rPr>
          <t>Administrator:</t>
        </r>
        <r>
          <rPr>
            <sz val="9"/>
            <color indexed="81"/>
            <rFont val="Tahoma"/>
            <family val="2"/>
          </rPr>
          <t xml:space="preserve">
previous Q, SI</t>
        </r>
      </text>
    </comment>
    <comment ref="C8" authorId="0" shapeId="0" xr:uid="{9464AC80-371F-43FC-89A9-CD36C4CD9C58}">
      <text>
        <r>
          <rPr>
            <b/>
            <sz val="9"/>
            <color indexed="81"/>
            <rFont val="Tahoma"/>
            <family val="2"/>
          </rPr>
          <t>Administrator:</t>
        </r>
        <r>
          <rPr>
            <sz val="9"/>
            <color indexed="81"/>
            <rFont val="Tahoma"/>
            <family val="2"/>
          </rPr>
          <t xml:space="preserve">
previous Q, SI</t>
        </r>
      </text>
    </comment>
    <comment ref="H10" authorId="1" shapeId="0" xr:uid="{7CCD1736-E191-40E4-A3B9-9440656E3792}">
      <text>
        <t>[Threaded comment]
Your version of Excel allows you to read this threaded comment; however, any edits to it will get removed if the file is opened in a newer version of Excel. Learn more: https://go.microsoft.com/fwlink/?linkid=870924
Comment:
    Including the data for AD 2000 extension</t>
      </text>
    </comment>
    <comment ref="B22" authorId="0" shapeId="0" xr:uid="{161300D1-91BC-4A72-A09F-6D18313F00F6}">
      <text>
        <r>
          <rPr>
            <b/>
            <sz val="9"/>
            <color indexed="81"/>
            <rFont val="Tahoma"/>
            <family val="2"/>
          </rPr>
          <t>Administrator:</t>
        </r>
        <r>
          <rPr>
            <sz val="9"/>
            <color indexed="81"/>
            <rFont val="Tahoma"/>
            <family val="2"/>
          </rPr>
          <t xml:space="preserve">
KMSS in q3</t>
        </r>
      </text>
    </comment>
    <comment ref="C22" authorId="0" shapeId="0" xr:uid="{8D4C80A5-8258-45DB-A525-B908539DD578}">
      <text>
        <r>
          <rPr>
            <b/>
            <sz val="9"/>
            <color indexed="81"/>
            <rFont val="Tahoma"/>
            <family val="2"/>
          </rPr>
          <t>Administrator:</t>
        </r>
        <r>
          <rPr>
            <sz val="9"/>
            <color indexed="81"/>
            <rFont val="Tahoma"/>
            <family val="2"/>
          </rPr>
          <t xml:space="preserve">
KMSS in q3</t>
        </r>
      </text>
    </comment>
    <comment ref="B52" authorId="0" shapeId="0" xr:uid="{3340FF7A-19B8-4041-ABCA-2D096B89F3B8}">
      <text>
        <r>
          <rPr>
            <b/>
            <sz val="9"/>
            <color indexed="81"/>
            <rFont val="Tahoma"/>
            <family val="2"/>
          </rPr>
          <t>Administrator:</t>
        </r>
        <r>
          <rPr>
            <sz val="9"/>
            <color indexed="81"/>
            <rFont val="Tahoma"/>
            <family val="2"/>
          </rPr>
          <t xml:space="preserve">
KMSS in q3</t>
        </r>
      </text>
    </comment>
    <comment ref="C52" authorId="0" shapeId="0" xr:uid="{C5FB59BC-C2B4-4967-8191-258CB99A8392}">
      <text>
        <r>
          <rPr>
            <b/>
            <sz val="9"/>
            <color indexed="81"/>
            <rFont val="Tahoma"/>
            <family val="2"/>
          </rPr>
          <t>Administrator:</t>
        </r>
        <r>
          <rPr>
            <sz val="9"/>
            <color indexed="81"/>
            <rFont val="Tahoma"/>
            <family val="2"/>
          </rPr>
          <t xml:space="preserve">
KMSS in q3</t>
        </r>
      </text>
    </comment>
    <comment ref="BW63" authorId="2" shapeId="0" xr:uid="{9DFE2248-F842-4415-AE9F-2D0D6BB7C151}">
      <text>
        <t>[Threaded comment]
Your version of Excel allows you to read this threaded comment; however, any edits to it will get removed if the file is opened in a newer version of Excel. Learn more: https://go.microsoft.com/fwlink/?linkid=870924
Comment:
    0 complaint in Q1 2022</t>
      </text>
    </comment>
    <comment ref="B67" authorId="0" shapeId="0" xr:uid="{3995D9B7-05A0-4259-99BC-D797D5F2112E}">
      <text>
        <r>
          <rPr>
            <b/>
            <sz val="9"/>
            <color indexed="81"/>
            <rFont val="Tahoma"/>
            <family val="2"/>
          </rPr>
          <t>Administrator:</t>
        </r>
        <r>
          <rPr>
            <sz val="9"/>
            <color indexed="81"/>
            <rFont val="Tahoma"/>
            <family val="2"/>
          </rPr>
          <t xml:space="preserve">
previous Q, SI</t>
        </r>
      </text>
    </comment>
    <comment ref="C67" authorId="0" shapeId="0" xr:uid="{D5245056-5FD3-4980-B87C-25D437193C14}">
      <text>
        <r>
          <rPr>
            <b/>
            <sz val="9"/>
            <color indexed="81"/>
            <rFont val="Tahoma"/>
            <family val="2"/>
          </rPr>
          <t>Administrator:</t>
        </r>
        <r>
          <rPr>
            <sz val="9"/>
            <color indexed="81"/>
            <rFont val="Tahoma"/>
            <family val="2"/>
          </rPr>
          <t xml:space="preserve">
previous Q, SI</t>
        </r>
      </text>
    </comment>
    <comment ref="Z76" authorId="0" shapeId="0" xr:uid="{FE455715-C65D-403E-96B0-73FCA78F8D4D}">
      <text>
        <r>
          <rPr>
            <b/>
            <sz val="9"/>
            <color indexed="81"/>
            <rFont val="Tahoma"/>
            <family val="2"/>
          </rPr>
          <t>Administrator:</t>
        </r>
        <r>
          <rPr>
            <sz val="9"/>
            <color indexed="81"/>
            <rFont val="Tahoma"/>
            <family val="2"/>
          </rPr>
          <t xml:space="preserve">
pin</t>
        </r>
      </text>
    </comment>
    <comment ref="BM76" authorId="0" shapeId="0" xr:uid="{A7E194D0-880F-4836-AF58-D25889244C51}">
      <text>
        <r>
          <rPr>
            <b/>
            <sz val="9"/>
            <color indexed="81"/>
            <rFont val="Tahoma"/>
            <family val="2"/>
          </rPr>
          <t>Administrator:</t>
        </r>
        <r>
          <rPr>
            <sz val="9"/>
            <color indexed="81"/>
            <rFont val="Tahoma"/>
            <family val="2"/>
          </rPr>
          <t xml:space="preserve">
pin</t>
        </r>
      </text>
    </comment>
    <comment ref="BY76" authorId="3" shapeId="0" xr:uid="{CD0AF807-B8EE-44B6-879E-359AEB42DFE3}">
      <text>
        <r>
          <rPr>
            <b/>
            <sz val="9"/>
            <color indexed="81"/>
            <rFont val="Tahoma"/>
            <family val="2"/>
          </rPr>
          <t>PIN:</t>
        </r>
        <r>
          <rPr>
            <sz val="9"/>
            <color indexed="81"/>
            <rFont val="Tahoma"/>
            <family val="2"/>
          </rPr>
          <t xml:space="preserve">
camode chair distribution</t>
        </r>
      </text>
    </comment>
    <comment ref="B77" authorId="0" shapeId="0" xr:uid="{DDCE381D-4B61-4925-A3C7-50570C8FFF90}">
      <text>
        <r>
          <rPr>
            <b/>
            <sz val="9"/>
            <color indexed="81"/>
            <rFont val="Tahoma"/>
            <family val="2"/>
          </rPr>
          <t>Administrator:</t>
        </r>
        <r>
          <rPr>
            <sz val="9"/>
            <color indexed="81"/>
            <rFont val="Tahoma"/>
            <family val="2"/>
          </rPr>
          <t xml:space="preserve">
KMSS in q3</t>
        </r>
      </text>
    </comment>
    <comment ref="C77" authorId="0" shapeId="0" xr:uid="{695457ED-D2C1-4661-B4A1-A26393C1BD28}">
      <text>
        <r>
          <rPr>
            <b/>
            <sz val="9"/>
            <color indexed="81"/>
            <rFont val="Tahoma"/>
            <family val="2"/>
          </rPr>
          <t>Administrator:</t>
        </r>
        <r>
          <rPr>
            <sz val="9"/>
            <color indexed="81"/>
            <rFont val="Tahoma"/>
            <family val="2"/>
          </rPr>
          <t xml:space="preserve">
KMSS in q3</t>
        </r>
      </text>
    </comment>
    <comment ref="BW80" authorId="4" shapeId="0" xr:uid="{166C3F2B-8DD4-4111-B4CB-6E6840E6A666}">
      <text>
        <t>[Threaded comment]
Your version of Excel allows you to read this threaded comment; however, any edits to it will get removed if the file is opened in a newer version of Excel. Learn more: https://go.microsoft.com/fwlink/?linkid=870924
Comment:
    0 complaint in Q1 2022</t>
      </text>
    </comment>
    <comment ref="BM82" authorId="0" shapeId="0" xr:uid="{F8790B12-3EA5-46ED-B526-8B04086CE264}">
      <text>
        <r>
          <rPr>
            <b/>
            <sz val="9"/>
            <color indexed="81"/>
            <rFont val="Tahoma"/>
            <family val="2"/>
          </rPr>
          <t>Administrator:</t>
        </r>
        <r>
          <rPr>
            <sz val="9"/>
            <color indexed="81"/>
            <rFont val="Tahoma"/>
            <family val="2"/>
          </rPr>
          <t xml:space="preserve">
Metta
</t>
        </r>
      </text>
    </comment>
    <comment ref="BM84" authorId="0" shapeId="0" xr:uid="{643B6CAC-2A76-4BDE-831E-5372B9CCB633}">
      <text>
        <r>
          <rPr>
            <b/>
            <sz val="9"/>
            <color indexed="81"/>
            <rFont val="Tahoma"/>
            <family val="2"/>
          </rPr>
          <t>Administrator:</t>
        </r>
        <r>
          <rPr>
            <sz val="9"/>
            <color indexed="81"/>
            <rFont val="Tahoma"/>
            <family val="2"/>
          </rPr>
          <t xml:space="preserve">
Metta
</t>
        </r>
      </text>
    </comment>
    <comment ref="BW104" authorId="5" shapeId="0" xr:uid="{0931F8E0-00FD-41AC-A843-55D15D104565}">
      <text>
        <t>[Threaded comment]
Your version of Excel allows you to read this threaded comment; however, any edits to it will get removed if the file is opened in a newer version of Excel. Learn more: https://go.microsoft.com/fwlink/?linkid=870924
Comment:
    0 complaint in Q1 2022</t>
      </text>
    </comment>
    <comment ref="BW115" authorId="6" shapeId="0" xr:uid="{B2E05BA6-522C-4AA7-A89F-BFEF87C0C98A}">
      <text>
        <t>[Threaded comment]
Your version of Excel allows you to read this threaded comment; however, any edits to it will get removed if the file is opened in a newer version of Excel. Learn more: https://go.microsoft.com/fwlink/?linkid=870924
Comment:
    0 complaint in Q1 2022</t>
      </text>
    </comment>
    <comment ref="B128" authorId="0" shapeId="0" xr:uid="{A928A6C8-4B91-4FD6-A767-9C58434904EE}">
      <text>
        <r>
          <rPr>
            <b/>
            <sz val="9"/>
            <color indexed="81"/>
            <rFont val="Tahoma"/>
            <family val="2"/>
          </rPr>
          <t>Administrator:</t>
        </r>
        <r>
          <rPr>
            <sz val="9"/>
            <color indexed="81"/>
            <rFont val="Tahoma"/>
            <family val="2"/>
          </rPr>
          <t xml:space="preserve">
previous Q, SI</t>
        </r>
      </text>
    </comment>
    <comment ref="C128" authorId="0" shapeId="0" xr:uid="{1B6BDC36-B441-46EC-AF74-2AB557021F86}">
      <text>
        <r>
          <rPr>
            <b/>
            <sz val="9"/>
            <color indexed="81"/>
            <rFont val="Tahoma"/>
            <family val="2"/>
          </rPr>
          <t>Administrator:</t>
        </r>
        <r>
          <rPr>
            <sz val="9"/>
            <color indexed="81"/>
            <rFont val="Tahoma"/>
            <family val="2"/>
          </rPr>
          <t xml:space="preserve">
previous Q, SI</t>
        </r>
      </text>
    </comment>
    <comment ref="H130" authorId="0" shapeId="0" xr:uid="{465F701B-7D2C-4D50-902F-301B8EEC72D3}">
      <text>
        <r>
          <rPr>
            <b/>
            <sz val="9"/>
            <color indexed="81"/>
            <rFont val="Tahoma"/>
            <family val="2"/>
          </rPr>
          <t>Administrator:</t>
        </r>
        <r>
          <rPr>
            <sz val="9"/>
            <color indexed="81"/>
            <rFont val="Tahoma"/>
            <family val="2"/>
          </rPr>
          <t xml:space="preserve">
Tat Kone Emanuel Church</t>
        </r>
      </text>
    </comment>
    <comment ref="BW134" authorId="7" shapeId="0" xr:uid="{65E04F2E-5A22-49E1-957F-62B3216A4E4A}">
      <text>
        <t>[Threaded comment]
Your version of Excel allows you to read this threaded comment; however, any edits to it will get removed if the file is opened in a newer version of Excel. Learn more: https://go.microsoft.com/fwlink/?linkid=870924
Comment:
    0 complaint in Q1 2022</t>
      </text>
    </comment>
    <comment ref="H169" authorId="0" shapeId="0" xr:uid="{B512002A-F11C-4846-8B24-7247EFBA4838}">
      <text>
        <r>
          <rPr>
            <b/>
            <sz val="9"/>
            <color indexed="81"/>
            <rFont val="Tahoma"/>
            <family val="2"/>
          </rPr>
          <t>Administrator:</t>
        </r>
        <r>
          <rPr>
            <sz val="9"/>
            <color indexed="81"/>
            <rFont val="Tahoma"/>
            <family val="2"/>
          </rPr>
          <t xml:space="preserve">
 Zup Aung Relocation</t>
        </r>
      </text>
    </comment>
    <comment ref="H200" authorId="0" shapeId="0" xr:uid="{6EF54BA3-256C-474A-A9B1-8F3B74250D4E}">
      <text>
        <r>
          <rPr>
            <b/>
            <sz val="9"/>
            <color indexed="81"/>
            <rFont val="Tahoma"/>
            <family val="2"/>
          </rPr>
          <t>Administrator:</t>
        </r>
        <r>
          <rPr>
            <sz val="9"/>
            <color indexed="81"/>
            <rFont val="Tahoma"/>
            <family val="2"/>
          </rPr>
          <t xml:space="preserve">
Lian Bang village</t>
        </r>
      </text>
    </comment>
    <comment ref="H221" authorId="0" shapeId="0" xr:uid="{600862BC-B475-49E3-BCC5-8FF7346AA9E1}">
      <text>
        <r>
          <rPr>
            <b/>
            <sz val="9"/>
            <color indexed="81"/>
            <rFont val="Tahoma"/>
            <family val="2"/>
          </rPr>
          <t>Administrator:</t>
        </r>
        <r>
          <rPr>
            <sz val="9"/>
            <color indexed="81"/>
            <rFont val="Tahoma"/>
            <family val="2"/>
          </rPr>
          <t xml:space="preserve">
relocated</t>
        </r>
      </text>
    </comment>
    <comment ref="BN237" authorId="0" shapeId="0" xr:uid="{8F51D38B-65FD-4215-A637-0635C4ABD3EC}">
      <text>
        <r>
          <rPr>
            <b/>
            <sz val="9"/>
            <color indexed="81"/>
            <rFont val="Tahoma"/>
            <family val="2"/>
          </rPr>
          <t>Administrator:</t>
        </r>
        <r>
          <rPr>
            <sz val="9"/>
            <color indexed="81"/>
            <rFont val="Tahoma"/>
            <family val="2"/>
          </rPr>
          <t xml:space="preserve">
Just only adolesent HH (from WCM) 
assume: 18% of total adolesent reached. </t>
        </r>
      </text>
    </comment>
    <comment ref="BO237" authorId="0" shapeId="0" xr:uid="{34A2F9CD-E02D-49D9-97F8-F9E344F11743}">
      <text>
        <r>
          <rPr>
            <b/>
            <sz val="9"/>
            <color indexed="81"/>
            <rFont val="Tahoma"/>
            <family val="2"/>
          </rPr>
          <t>Administrator:</t>
        </r>
        <r>
          <rPr>
            <sz val="9"/>
            <color indexed="81"/>
            <rFont val="Tahoma"/>
            <family val="2"/>
          </rPr>
          <t xml:space="preserve">
Just only adolescent</t>
        </r>
      </text>
    </comment>
    <comment ref="AV238" authorId="8" shapeId="0" xr:uid="{99C24820-CCFB-4F36-B138-0CDC9822AC35}">
      <text>
        <r>
          <rPr>
            <b/>
            <sz val="9"/>
            <color indexed="81"/>
            <rFont val="Tahoma"/>
            <family val="2"/>
          </rPr>
          <t>DELL:</t>
        </r>
        <r>
          <rPr>
            <sz val="9"/>
            <color indexed="81"/>
            <rFont val="Tahoma"/>
            <family val="2"/>
          </rPr>
          <t xml:space="preserve">
18000gal * 5 Mth
</t>
        </r>
      </text>
    </comment>
    <comment ref="AW238" authorId="0" shapeId="0" xr:uid="{48CDD143-BD12-4483-8A36-FC85FC004254}">
      <text>
        <r>
          <rPr>
            <b/>
            <sz val="9"/>
            <color indexed="81"/>
            <rFont val="Tahoma"/>
            <family val="2"/>
          </rPr>
          <t>Administrator:</t>
        </r>
        <r>
          <rPr>
            <sz val="9"/>
            <color indexed="81"/>
            <rFont val="Tahoma"/>
            <family val="2"/>
          </rPr>
          <t xml:space="preserve">
90000 Gallon</t>
        </r>
      </text>
    </comment>
    <comment ref="H267" authorId="0" shapeId="0" xr:uid="{2B3E511F-F3AA-4BD1-A89E-C18594AA382A}">
      <text>
        <r>
          <rPr>
            <b/>
            <sz val="9"/>
            <color indexed="81"/>
            <rFont val="Tahoma"/>
            <family val="2"/>
          </rPr>
          <t>Administrator:</t>
        </r>
        <r>
          <rPr>
            <sz val="9"/>
            <color indexed="81"/>
            <rFont val="Tahoma"/>
            <family val="2"/>
          </rPr>
          <t xml:space="preserve">
Qtr. 3 Mu-yin  Baptist Church</t>
        </r>
      </text>
    </comment>
    <comment ref="H278" authorId="0" shapeId="0" xr:uid="{45CD64E5-A5B3-4979-BCC7-C9D69B4C7158}">
      <text>
        <r>
          <rPr>
            <b/>
            <sz val="9"/>
            <color indexed="81"/>
            <rFont val="Tahoma"/>
            <family val="2"/>
          </rPr>
          <t>Administrator:</t>
        </r>
        <r>
          <rPr>
            <sz val="9"/>
            <color indexed="81"/>
            <rFont val="Tahoma"/>
            <family val="2"/>
          </rPr>
          <t xml:space="preserve">
No Data Found from Metta (Kachin State).</t>
        </r>
      </text>
    </comment>
    <comment ref="BN295" authorId="0" shapeId="0" xr:uid="{60AFE6DF-2475-40E0-BA54-A2D532E78903}">
      <text>
        <r>
          <rPr>
            <b/>
            <sz val="9"/>
            <color indexed="81"/>
            <rFont val="Tahoma"/>
            <family val="2"/>
          </rPr>
          <t>Administrator:</t>
        </r>
        <r>
          <rPr>
            <sz val="9"/>
            <color indexed="81"/>
            <rFont val="Tahoma"/>
            <family val="2"/>
          </rPr>
          <t xml:space="preserve">
just only adolesent HH (WCM)</t>
        </r>
      </text>
    </comment>
    <comment ref="BO295" authorId="0" shapeId="0" xr:uid="{B65992F4-04B2-4819-A06F-4C2AE2F5DE0E}">
      <text>
        <r>
          <rPr>
            <b/>
            <sz val="9"/>
            <color indexed="81"/>
            <rFont val="Tahoma"/>
            <family val="2"/>
          </rPr>
          <t>Administrator:</t>
        </r>
        <r>
          <rPr>
            <sz val="9"/>
            <color indexed="81"/>
            <rFont val="Tahoma"/>
            <family val="2"/>
          </rPr>
          <t xml:space="preserve">
Just onlu adolescent (age 11 yrs to 19 yrs)</t>
        </r>
      </text>
    </comment>
    <comment ref="BN315" authorId="0" shapeId="0" xr:uid="{56794DD4-766E-421C-969B-A69477F734DD}">
      <text>
        <r>
          <rPr>
            <b/>
            <sz val="9"/>
            <color indexed="81"/>
            <rFont val="Tahoma"/>
            <family val="2"/>
          </rPr>
          <t>Administrator:</t>
        </r>
        <r>
          <rPr>
            <sz val="9"/>
            <color indexed="81"/>
            <rFont val="Tahoma"/>
            <family val="2"/>
          </rPr>
          <t xml:space="preserve">
WCM</t>
        </r>
      </text>
    </comment>
    <comment ref="BO315" authorId="0" shapeId="0" xr:uid="{227E6214-9698-495A-B387-677403F14886}">
      <text>
        <r>
          <rPr>
            <b/>
            <sz val="9"/>
            <color indexed="81"/>
            <rFont val="Tahoma"/>
            <family val="2"/>
          </rPr>
          <t>Administrator:</t>
        </r>
        <r>
          <rPr>
            <sz val="9"/>
            <color indexed="81"/>
            <rFont val="Tahoma"/>
            <family val="2"/>
          </rPr>
          <t xml:space="preserve">
WCM</t>
        </r>
      </text>
    </comment>
    <comment ref="H320" authorId="0" shapeId="0" xr:uid="{67339D9A-E161-4C28-8E83-0D131ACD45AE}">
      <text>
        <r>
          <rPr>
            <b/>
            <sz val="9"/>
            <color indexed="81"/>
            <rFont val="Tahoma"/>
            <family val="2"/>
          </rPr>
          <t>Administrator:</t>
        </r>
        <r>
          <rPr>
            <sz val="9"/>
            <color indexed="81"/>
            <rFont val="Tahoma"/>
            <family val="2"/>
          </rPr>
          <t xml:space="preserve">
Tat Kone Emanuel Church</t>
        </r>
      </text>
    </comment>
    <comment ref="BN345" authorId="0" shapeId="0" xr:uid="{61539BD4-9785-4FF0-9B7C-C6E031F3D59E}">
      <text>
        <r>
          <rPr>
            <b/>
            <sz val="9"/>
            <color indexed="81"/>
            <rFont val="Tahoma"/>
            <family val="2"/>
          </rPr>
          <t>Administrator:</t>
        </r>
        <r>
          <rPr>
            <sz val="9"/>
            <color indexed="81"/>
            <rFont val="Tahoma"/>
            <family val="2"/>
          </rPr>
          <t xml:space="preserve">
WCM (Adolsencent)</t>
        </r>
      </text>
    </comment>
    <comment ref="B357" authorId="0" shapeId="0" xr:uid="{D27ED441-7014-47BD-95C6-741786F11BA7}">
      <text>
        <r>
          <rPr>
            <b/>
            <sz val="9"/>
            <color indexed="81"/>
            <rFont val="Tahoma"/>
            <family val="2"/>
          </rPr>
          <t>Administrator:</t>
        </r>
        <r>
          <rPr>
            <sz val="9"/>
            <color indexed="81"/>
            <rFont val="Tahoma"/>
            <family val="2"/>
          </rPr>
          <t xml:space="preserve">
not included in Q2-2022 reporing</t>
        </r>
      </text>
    </comment>
    <comment ref="C357" authorId="0" shapeId="0" xr:uid="{7BC138B2-9DE8-485D-BD1F-D0EB295A90BE}">
      <text>
        <r>
          <rPr>
            <b/>
            <sz val="9"/>
            <color indexed="81"/>
            <rFont val="Tahoma"/>
            <family val="2"/>
          </rPr>
          <t>Administrator:</t>
        </r>
        <r>
          <rPr>
            <sz val="9"/>
            <color indexed="81"/>
            <rFont val="Tahoma"/>
            <family val="2"/>
          </rPr>
          <t xml:space="preserve">
not included in Q2-2022 reporing</t>
        </r>
      </text>
    </comment>
    <comment ref="H357" authorId="0" shapeId="0" xr:uid="{CC2C1EAF-3BEF-4856-BF14-EDC563B674C1}">
      <text>
        <r>
          <rPr>
            <b/>
            <sz val="9"/>
            <color indexed="81"/>
            <rFont val="Tahoma"/>
            <family val="2"/>
          </rPr>
          <t>Administrator:</t>
        </r>
        <r>
          <rPr>
            <sz val="9"/>
            <color indexed="81"/>
            <rFont val="Tahoma"/>
            <family val="2"/>
          </rPr>
          <t xml:space="preserve">
 Zup Aung Relocation</t>
        </r>
      </text>
    </comment>
    <comment ref="H415" authorId="0" shapeId="0" xr:uid="{597BE305-7E4D-4BE6-AF05-84FCD13440C0}">
      <text>
        <r>
          <rPr>
            <b/>
            <sz val="9"/>
            <color indexed="81"/>
            <rFont val="Tahoma"/>
          </rPr>
          <t>Administrator:</t>
        </r>
        <r>
          <rPr>
            <sz val="9"/>
            <color indexed="81"/>
            <rFont val="Tahoma"/>
          </rPr>
          <t xml:space="preserve">
Tat Kone Emanuel Church?</t>
        </r>
      </text>
    </comment>
    <comment ref="H549" authorId="0" shapeId="0" xr:uid="{3B15F87E-DDC9-4496-86F5-7B4EADF49951}">
      <text>
        <r>
          <rPr>
            <b/>
            <sz val="9"/>
            <color indexed="81"/>
            <rFont val="Tahoma"/>
            <family val="2"/>
          </rPr>
          <t>Administrator:</t>
        </r>
        <r>
          <rPr>
            <sz val="9"/>
            <color indexed="81"/>
            <rFont val="Tahoma"/>
            <family val="2"/>
          </rPr>
          <t xml:space="preserve">
 Zup Aung Relocation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K21" authorId="0" shapeId="0" xr:uid="{D4DDC6E8-28CF-4877-B831-F266815B5F9B}">
      <text>
        <r>
          <rPr>
            <b/>
            <sz val="9"/>
            <color indexed="81"/>
            <rFont val="Tahoma"/>
            <family val="2"/>
          </rPr>
          <t>Administrator:</t>
        </r>
        <r>
          <rPr>
            <sz val="9"/>
            <color indexed="81"/>
            <rFont val="Tahoma"/>
            <family val="2"/>
          </rPr>
          <t xml:space="preserve">
not include the data from cluster reporting partners</t>
        </r>
      </text>
    </comment>
    <comment ref="K23" authorId="0" shapeId="0" xr:uid="{C8EE03FA-AA09-45A2-82E1-8BB1285B2289}">
      <text>
        <r>
          <rPr>
            <b/>
            <sz val="9"/>
            <color indexed="81"/>
            <rFont val="Tahoma"/>
            <family val="2"/>
          </rPr>
          <t>Administrator:</t>
        </r>
        <r>
          <rPr>
            <sz val="9"/>
            <color indexed="81"/>
            <rFont val="Tahoma"/>
            <family val="2"/>
          </rPr>
          <t xml:space="preserve">
not include the data from cluster reporting partners</t>
        </r>
      </text>
    </comment>
    <comment ref="K24" authorId="0" shapeId="0" xr:uid="{43DF79B2-D6B4-45CB-8C67-B323E1E0F138}">
      <text>
        <r>
          <rPr>
            <b/>
            <sz val="9"/>
            <color indexed="81"/>
            <rFont val="Tahoma"/>
            <family val="2"/>
          </rPr>
          <t>Administrator:</t>
        </r>
        <r>
          <rPr>
            <sz val="9"/>
            <color indexed="81"/>
            <rFont val="Tahoma"/>
            <family val="2"/>
          </rPr>
          <t xml:space="preserve">
not include the data from cluster reporting partners</t>
        </r>
      </text>
    </comment>
    <comment ref="H29" authorId="0" shapeId="0" xr:uid="{AB4029F4-3A63-44C2-832B-9641A4442578}">
      <text>
        <r>
          <rPr>
            <b/>
            <sz val="9"/>
            <color indexed="81"/>
            <rFont val="Tahoma"/>
            <family val="2"/>
          </rPr>
          <t>Administrator:</t>
        </r>
        <r>
          <rPr>
            <sz val="9"/>
            <color indexed="81"/>
            <rFont val="Tahoma"/>
            <family val="2"/>
          </rPr>
          <t xml:space="preserve">
sept 3W</t>
        </r>
      </text>
    </comment>
    <comment ref="K29" authorId="0" shapeId="0" xr:uid="{9425962A-4614-423B-9F75-F41C1828B4D9}">
      <text>
        <r>
          <rPr>
            <b/>
            <sz val="9"/>
            <color indexed="81"/>
            <rFont val="Tahoma"/>
            <family val="2"/>
          </rPr>
          <t>Administrator:</t>
        </r>
        <r>
          <rPr>
            <sz val="9"/>
            <color indexed="81"/>
            <rFont val="Tahoma"/>
            <family val="2"/>
          </rPr>
          <t xml:space="preserve">
UNICEF July HPM</t>
        </r>
      </text>
    </comment>
    <comment ref="K31" authorId="0" shapeId="0" xr:uid="{7B5C771A-00C2-43A6-BDCD-D0F6734FA630}">
      <text>
        <r>
          <rPr>
            <b/>
            <sz val="9"/>
            <color indexed="81"/>
            <rFont val="Tahoma"/>
            <family val="2"/>
          </rPr>
          <t>Administrator:</t>
        </r>
        <r>
          <rPr>
            <sz val="9"/>
            <color indexed="81"/>
            <rFont val="Tahoma"/>
            <family val="2"/>
          </rPr>
          <t xml:space="preserve">
August HPM</t>
        </r>
      </text>
    </comment>
    <comment ref="H32" authorId="0" shapeId="0" xr:uid="{A63557FE-CFF3-4759-AF10-A441B200D1B6}">
      <text>
        <r>
          <rPr>
            <b/>
            <sz val="9"/>
            <color indexed="81"/>
            <rFont val="Tahoma"/>
            <family val="2"/>
          </rPr>
          <t>Administrator:</t>
        </r>
        <r>
          <rPr>
            <sz val="9"/>
            <color indexed="81"/>
            <rFont val="Tahoma"/>
            <family val="2"/>
          </rPr>
          <t xml:space="preserve">
June 3W others</t>
        </r>
      </text>
    </comment>
    <comment ref="H33" authorId="0" shapeId="0" xr:uid="{94F201E0-5A4E-434A-BF78-B855B116866D}">
      <text>
        <r>
          <rPr>
            <b/>
            <sz val="9"/>
            <color indexed="81"/>
            <rFont val="Tahoma"/>
            <family val="2"/>
          </rPr>
          <t>Administrator:</t>
        </r>
        <r>
          <rPr>
            <sz val="9"/>
            <color indexed="81"/>
            <rFont val="Tahoma"/>
            <family val="2"/>
          </rPr>
          <t xml:space="preserve">
sept 3W</t>
        </r>
      </text>
    </comment>
    <comment ref="H36" authorId="0" shapeId="0" xr:uid="{2B8A98AE-CBB6-4D10-BAC3-0E82842DE586}">
      <text>
        <r>
          <rPr>
            <b/>
            <sz val="9"/>
            <color indexed="81"/>
            <rFont val="Tahoma"/>
            <family val="2"/>
          </rPr>
          <t>Administrator:</t>
        </r>
        <r>
          <rPr>
            <sz val="9"/>
            <color indexed="81"/>
            <rFont val="Tahoma"/>
            <family val="2"/>
          </rPr>
          <t xml:space="preserve">
August 3W</t>
        </r>
      </text>
    </comment>
    <comment ref="H37" authorId="0" shapeId="0" xr:uid="{03D2C0D5-12E8-41BC-A689-33D38DF4D260}">
      <text>
        <r>
          <rPr>
            <b/>
            <sz val="9"/>
            <color indexed="81"/>
            <rFont val="Tahoma"/>
            <family val="2"/>
          </rPr>
          <t>Administrator:</t>
        </r>
        <r>
          <rPr>
            <sz val="9"/>
            <color indexed="81"/>
            <rFont val="Tahoma"/>
            <family val="2"/>
          </rPr>
          <t xml:space="preserve">
June 3W included UNICEF</t>
        </r>
      </text>
    </comment>
    <comment ref="K37" authorId="0" shapeId="0" xr:uid="{21EAFC4B-01CE-4E4A-8515-4F2CB3107FB3}">
      <text>
        <r>
          <rPr>
            <b/>
            <sz val="9"/>
            <color indexed="81"/>
            <rFont val="Tahoma"/>
            <family val="2"/>
          </rPr>
          <t>Administrator:</t>
        </r>
        <r>
          <rPr>
            <sz val="9"/>
            <color indexed="81"/>
            <rFont val="Tahoma"/>
            <family val="2"/>
          </rPr>
          <t xml:space="preserve">
11361UNICEF July HPM. In August moved to cluster</t>
        </r>
      </text>
    </comment>
    <comment ref="L39" authorId="0" shapeId="0" xr:uid="{259DCBAF-21DB-40B6-A73B-63C39A3B079B}">
      <text>
        <r>
          <rPr>
            <b/>
            <sz val="9"/>
            <color indexed="81"/>
            <rFont val="Tahoma"/>
            <family val="2"/>
          </rPr>
          <t>Administrator:</t>
        </r>
        <r>
          <rPr>
            <sz val="9"/>
            <color indexed="81"/>
            <rFont val="Tahoma"/>
            <family val="2"/>
          </rPr>
          <t xml:space="preserve">
4211 added in Sept hpm</t>
        </r>
      </text>
    </comment>
    <comment ref="H40" authorId="0" shapeId="0" xr:uid="{E8684A36-F32C-49D8-81C8-41FF7C52EDE9}">
      <text>
        <r>
          <rPr>
            <b/>
            <sz val="9"/>
            <color indexed="81"/>
            <rFont val="Tahoma"/>
            <family val="2"/>
          </rPr>
          <t>Administrator:</t>
        </r>
        <r>
          <rPr>
            <sz val="9"/>
            <color indexed="81"/>
            <rFont val="Tahoma"/>
            <family val="2"/>
          </rPr>
          <t xml:space="preserve">
August 3W</t>
        </r>
      </text>
    </comment>
    <comment ref="H44" authorId="0" shapeId="0" xr:uid="{5B1CE194-3D10-4A9C-9DFD-B731080E5059}">
      <text>
        <r>
          <rPr>
            <b/>
            <sz val="9"/>
            <color indexed="81"/>
            <rFont val="Tahoma"/>
            <family val="2"/>
          </rPr>
          <t>Administrator:</t>
        </r>
        <r>
          <rPr>
            <sz val="9"/>
            <color indexed="81"/>
            <rFont val="Tahoma"/>
            <family val="2"/>
          </rPr>
          <t xml:space="preserve">
June 3W</t>
        </r>
      </text>
    </comment>
    <comment ref="H48" authorId="0" shapeId="0" xr:uid="{85E40402-0B35-4AA8-A8BD-26BA147933B5}">
      <text>
        <r>
          <rPr>
            <b/>
            <sz val="9"/>
            <color indexed="81"/>
            <rFont val="Tahoma"/>
            <family val="2"/>
          </rPr>
          <t>Administrator:</t>
        </r>
        <r>
          <rPr>
            <sz val="9"/>
            <color indexed="81"/>
            <rFont val="Tahoma"/>
            <family val="2"/>
          </rPr>
          <t xml:space="preserve">
sept 3W</t>
        </r>
      </text>
    </comment>
    <comment ref="H49" authorId="0" shapeId="0" xr:uid="{DE8F2436-F7C0-4516-9A39-B0097BBAFA36}">
      <text>
        <r>
          <rPr>
            <b/>
            <sz val="9"/>
            <color indexed="81"/>
            <rFont val="Tahoma"/>
            <family val="2"/>
          </rPr>
          <t>Administrator:</t>
        </r>
        <r>
          <rPr>
            <sz val="9"/>
            <color indexed="81"/>
            <rFont val="Tahoma"/>
            <family val="2"/>
          </rPr>
          <t xml:space="preserve">
August 3W</t>
        </r>
      </text>
    </comment>
    <comment ref="K50" authorId="0" shapeId="0" xr:uid="{58C32721-1409-43E9-B156-47CC7CA544C2}">
      <text>
        <r>
          <rPr>
            <b/>
            <sz val="9"/>
            <color indexed="81"/>
            <rFont val="Tahoma"/>
            <family val="2"/>
          </rPr>
          <t>Administrator:</t>
        </r>
        <r>
          <rPr>
            <sz val="9"/>
            <color indexed="81"/>
            <rFont val="Tahoma"/>
            <family val="2"/>
          </rPr>
          <t xml:space="preserve">
UNICEF July HPM+ 2200 increased in Aug HPM
</t>
        </r>
      </text>
    </comment>
    <comment ref="H51" authorId="0" shapeId="0" xr:uid="{8BD5455B-24A1-4035-9299-9BAF602B48FD}">
      <text>
        <r>
          <rPr>
            <b/>
            <sz val="9"/>
            <color indexed="81"/>
            <rFont val="Tahoma"/>
            <family val="2"/>
          </rPr>
          <t>Administrator:</t>
        </r>
        <r>
          <rPr>
            <sz val="9"/>
            <color indexed="81"/>
            <rFont val="Tahoma"/>
            <family val="2"/>
          </rPr>
          <t xml:space="preserve">
June 3W</t>
        </r>
      </text>
    </comment>
    <comment ref="K51" authorId="0" shapeId="0" xr:uid="{BE053904-2950-4C8F-B18E-943AA12F5016}">
      <text>
        <r>
          <rPr>
            <b/>
            <sz val="9"/>
            <color indexed="81"/>
            <rFont val="Tahoma"/>
            <family val="2"/>
          </rPr>
          <t>Administrator:</t>
        </r>
        <r>
          <rPr>
            <sz val="9"/>
            <color indexed="81"/>
            <rFont val="Tahoma"/>
            <family val="2"/>
          </rPr>
          <t xml:space="preserve">
UNICEF June HPM</t>
        </r>
      </text>
    </comment>
    <comment ref="H52" authorId="0" shapeId="0" xr:uid="{1D60CCCF-0B38-4B07-9792-304FED173119}">
      <text>
        <r>
          <rPr>
            <b/>
            <sz val="9"/>
            <color indexed="81"/>
            <rFont val="Tahoma"/>
            <family val="2"/>
          </rPr>
          <t>Administrator:</t>
        </r>
        <r>
          <rPr>
            <sz val="9"/>
            <color indexed="81"/>
            <rFont val="Tahoma"/>
            <family val="2"/>
          </rPr>
          <t xml:space="preserve">
sept 3W</t>
        </r>
      </text>
    </comment>
    <comment ref="H55" authorId="0" shapeId="0" xr:uid="{65490077-CDD3-4F99-AEED-31574BC68770}">
      <text>
        <r>
          <rPr>
            <b/>
            <sz val="9"/>
            <color indexed="81"/>
            <rFont val="Tahoma"/>
            <family val="2"/>
          </rPr>
          <t>Administrator:</t>
        </r>
        <r>
          <rPr>
            <sz val="9"/>
            <color indexed="81"/>
            <rFont val="Tahoma"/>
            <family val="2"/>
          </rPr>
          <t xml:space="preserve">
August 3W
</t>
        </r>
      </text>
    </comment>
    <comment ref="H56" authorId="0" shapeId="0" xr:uid="{2101C726-967C-414B-AB7B-3585253E1AC7}">
      <text>
        <r>
          <rPr>
            <b/>
            <sz val="9"/>
            <color indexed="81"/>
            <rFont val="Tahoma"/>
            <family val="2"/>
          </rPr>
          <t>Administrator:</t>
        </r>
        <r>
          <rPr>
            <sz val="9"/>
            <color indexed="81"/>
            <rFont val="Tahoma"/>
            <family val="2"/>
          </rPr>
          <t xml:space="preserve">
August 3W</t>
        </r>
      </text>
    </comment>
    <comment ref="K56" authorId="0" shapeId="0" xr:uid="{62AA03C5-6A44-43D6-BDE0-D2EB9A737771}">
      <text>
        <r>
          <rPr>
            <b/>
            <sz val="9"/>
            <color indexed="81"/>
            <rFont val="Tahoma"/>
            <family val="2"/>
          </rPr>
          <t>Administrator:</t>
        </r>
        <r>
          <rPr>
            <sz val="9"/>
            <color indexed="81"/>
            <rFont val="Tahoma"/>
            <family val="2"/>
          </rPr>
          <t xml:space="preserve">
adjust with sept HPM</t>
        </r>
      </text>
    </comment>
    <comment ref="H58" authorId="0" shapeId="0" xr:uid="{CC79B7CA-4240-4650-A875-D4888B72C356}">
      <text>
        <r>
          <rPr>
            <b/>
            <sz val="9"/>
            <color indexed="81"/>
            <rFont val="Tahoma"/>
            <family val="2"/>
          </rPr>
          <t>Administrator:</t>
        </r>
        <r>
          <rPr>
            <sz val="9"/>
            <color indexed="81"/>
            <rFont val="Tahoma"/>
            <family val="2"/>
          </rPr>
          <t xml:space="preserve">
June 3W</t>
        </r>
      </text>
    </comment>
    <comment ref="K58" authorId="0" shapeId="0" xr:uid="{7BD66E23-8A6F-4E1F-A727-41AED0F36E6E}">
      <text>
        <r>
          <rPr>
            <b/>
            <sz val="9"/>
            <color indexed="81"/>
            <rFont val="Tahoma"/>
            <family val="2"/>
          </rPr>
          <t>Administrator:</t>
        </r>
        <r>
          <rPr>
            <sz val="9"/>
            <color indexed="81"/>
            <rFont val="Tahoma"/>
            <family val="2"/>
          </rPr>
          <t xml:space="preserve">
June unicef HPM</t>
        </r>
      </text>
    </comment>
    <comment ref="L58" authorId="0" shapeId="0" xr:uid="{014DA8F7-6E78-4BF8-8CA4-1F84D24F61C4}">
      <text>
        <r>
          <rPr>
            <b/>
            <sz val="9"/>
            <color indexed="81"/>
            <rFont val="Tahoma"/>
            <family val="2"/>
          </rPr>
          <t>Administrator:</t>
        </r>
        <r>
          <rPr>
            <sz val="9"/>
            <color indexed="81"/>
            <rFont val="Tahoma"/>
            <family val="2"/>
          </rPr>
          <t xml:space="preserve">
June unicef HPM</t>
        </r>
      </text>
    </comment>
    <comment ref="H67" authorId="0" shapeId="0" xr:uid="{C403CE07-413F-4DE0-AC5E-5DCD983C50F3}">
      <text>
        <r>
          <rPr>
            <b/>
            <sz val="9"/>
            <color indexed="81"/>
            <rFont val="Tahoma"/>
            <family val="2"/>
          </rPr>
          <t>Administrator:</t>
        </r>
        <r>
          <rPr>
            <sz val="9"/>
            <color indexed="81"/>
            <rFont val="Tahoma"/>
            <family val="2"/>
          </rPr>
          <t xml:space="preserve">
sept 3W</t>
        </r>
      </text>
    </comment>
    <comment ref="K67" authorId="0" shapeId="0" xr:uid="{35F0DAF1-D5E8-46F1-9F74-D05117D81767}">
      <text>
        <r>
          <rPr>
            <b/>
            <sz val="9"/>
            <color indexed="81"/>
            <rFont val="Tahoma"/>
            <family val="2"/>
          </rPr>
          <t>Administrator:</t>
        </r>
        <r>
          <rPr>
            <sz val="9"/>
            <color indexed="81"/>
            <rFont val="Tahoma"/>
            <family val="2"/>
          </rPr>
          <t xml:space="preserve">
6600 increased in may hpm+9970 increased in July HPM ; all are reported to cluster. Initial 20870 remain</t>
        </r>
      </text>
    </comment>
    <comment ref="H68" authorId="0" shapeId="0" xr:uid="{9517AA4E-1AFF-405E-9E0A-2F7E550A4F32}">
      <text>
        <r>
          <rPr>
            <b/>
            <sz val="9"/>
            <color indexed="81"/>
            <rFont val="Tahoma"/>
            <family val="2"/>
          </rPr>
          <t>Administrator:</t>
        </r>
        <r>
          <rPr>
            <sz val="9"/>
            <color indexed="81"/>
            <rFont val="Tahoma"/>
            <family val="2"/>
          </rPr>
          <t xml:space="preserve">
August 3W</t>
        </r>
      </text>
    </comment>
    <comment ref="H69" authorId="0" shapeId="0" xr:uid="{F06DA68C-9424-42EB-90B4-7EB1324A9EA3}">
      <text>
        <r>
          <rPr>
            <b/>
            <sz val="9"/>
            <color indexed="81"/>
            <rFont val="Tahoma"/>
            <family val="2"/>
          </rPr>
          <t>Administrator:</t>
        </r>
        <r>
          <rPr>
            <sz val="9"/>
            <color indexed="81"/>
            <rFont val="Tahoma"/>
            <family val="2"/>
          </rPr>
          <t xml:space="preserve">
August 3W, not include UNICEF</t>
        </r>
      </text>
    </comment>
    <comment ref="K69" authorId="0" shapeId="0" xr:uid="{ED7FD706-8982-44F1-A680-12EB24CA895C}">
      <text>
        <r>
          <rPr>
            <b/>
            <sz val="9"/>
            <color indexed="81"/>
            <rFont val="Tahoma"/>
            <family val="2"/>
          </rPr>
          <t>Administrator:</t>
        </r>
        <r>
          <rPr>
            <sz val="9"/>
            <color indexed="81"/>
            <rFont val="Tahoma"/>
            <family val="2"/>
          </rPr>
          <t xml:space="preserve">
August unicef HPM</t>
        </r>
      </text>
    </comment>
    <comment ref="H70" authorId="0" shapeId="0" xr:uid="{EECE39E2-4074-4D04-B251-28B0008F9A93}">
      <text>
        <r>
          <rPr>
            <b/>
            <sz val="9"/>
            <color indexed="81"/>
            <rFont val="Tahoma"/>
            <family val="2"/>
          </rPr>
          <t>Administrator:</t>
        </r>
        <r>
          <rPr>
            <sz val="9"/>
            <color indexed="81"/>
            <rFont val="Tahoma"/>
            <family val="2"/>
          </rPr>
          <t xml:space="preserve">
August 3W</t>
        </r>
      </text>
    </comment>
    <comment ref="H71" authorId="0" shapeId="0" xr:uid="{1AB6C968-3542-400C-8C94-3B7343E70E28}">
      <text>
        <r>
          <rPr>
            <b/>
            <sz val="9"/>
            <color indexed="81"/>
            <rFont val="Tahoma"/>
            <family val="2"/>
          </rPr>
          <t>Administrator:</t>
        </r>
        <r>
          <rPr>
            <sz val="9"/>
            <color indexed="81"/>
            <rFont val="Tahoma"/>
            <family val="2"/>
          </rPr>
          <t xml:space="preserve">
sept 3W</t>
        </r>
      </text>
    </comment>
    <comment ref="H74" authorId="0" shapeId="0" xr:uid="{A99B6BF9-F45C-45B3-957C-350C4D005C15}">
      <text>
        <r>
          <rPr>
            <b/>
            <sz val="9"/>
            <color indexed="81"/>
            <rFont val="Tahoma"/>
            <family val="2"/>
          </rPr>
          <t>Administrator:</t>
        </r>
        <r>
          <rPr>
            <sz val="9"/>
            <color indexed="81"/>
            <rFont val="Tahoma"/>
            <family val="2"/>
          </rPr>
          <t xml:space="preserve">
August 3W</t>
        </r>
      </text>
    </comment>
    <comment ref="L74" authorId="0" shapeId="0" xr:uid="{EED68BAF-3FE5-41CB-85A5-D0A2EA03501C}">
      <text>
        <r>
          <rPr>
            <b/>
            <sz val="9"/>
            <color indexed="81"/>
            <rFont val="Tahoma"/>
            <family val="2"/>
          </rPr>
          <t>Administrator:</t>
        </r>
        <r>
          <rPr>
            <sz val="9"/>
            <color indexed="81"/>
            <rFont val="Tahoma"/>
            <family val="2"/>
          </rPr>
          <t xml:space="preserve">
WFP-nRS</t>
        </r>
      </text>
    </comment>
    <comment ref="H75" authorId="0" shapeId="0" xr:uid="{D9AAA4D6-025E-4618-A4D4-446504A1565F}">
      <text>
        <r>
          <rPr>
            <b/>
            <sz val="9"/>
            <color indexed="81"/>
            <rFont val="Tahoma"/>
            <family val="2"/>
          </rPr>
          <t>Administrator:</t>
        </r>
        <r>
          <rPr>
            <sz val="9"/>
            <color indexed="81"/>
            <rFont val="Tahoma"/>
            <family val="2"/>
          </rPr>
          <t xml:space="preserve">
August 3W, 464 kachin kmss</t>
        </r>
      </text>
    </comment>
    <comment ref="H77" authorId="0" shapeId="0" xr:uid="{0FA68231-A610-4F09-9350-47DC3A999547}">
      <text>
        <r>
          <rPr>
            <b/>
            <sz val="9"/>
            <color indexed="81"/>
            <rFont val="Tahoma"/>
            <family val="2"/>
          </rPr>
          <t>Administrator:</t>
        </r>
        <r>
          <rPr>
            <sz val="9"/>
            <color indexed="81"/>
            <rFont val="Tahoma"/>
            <family val="2"/>
          </rPr>
          <t xml:space="preserve">
June 3W</t>
        </r>
      </text>
    </comment>
    <comment ref="L77" authorId="0" shapeId="0" xr:uid="{1DDC5419-AA8C-42F2-AFB0-05273725BB9D}">
      <text>
        <r>
          <rPr>
            <b/>
            <sz val="9"/>
            <color indexed="81"/>
            <rFont val="Tahoma"/>
            <family val="2"/>
          </rPr>
          <t>Administrator:</t>
        </r>
        <r>
          <rPr>
            <sz val="9"/>
            <color indexed="81"/>
            <rFont val="Tahoma"/>
            <family val="2"/>
          </rPr>
          <t xml:space="preserve">
UNICEF July HPM</t>
        </r>
      </text>
    </comment>
    <comment ref="H78" authorId="0" shapeId="0" xr:uid="{E2D6891F-7F1B-4CCF-AD97-26B401CFF228}">
      <text>
        <r>
          <rPr>
            <b/>
            <sz val="9"/>
            <color indexed="81"/>
            <rFont val="Tahoma"/>
            <family val="2"/>
          </rPr>
          <t>Administrator:</t>
        </r>
        <r>
          <rPr>
            <sz val="9"/>
            <color indexed="81"/>
            <rFont val="Tahoma"/>
            <family val="2"/>
          </rPr>
          <t xml:space="preserve">
August 3W others</t>
        </r>
      </text>
    </comment>
    <comment ref="K80" authorId="0" shapeId="0" xr:uid="{5EACAA1F-27B1-44B7-86A8-4E472CFB6890}">
      <text>
        <r>
          <rPr>
            <b/>
            <sz val="9"/>
            <color indexed="81"/>
            <rFont val="Tahoma"/>
            <family val="2"/>
          </rPr>
          <t>Administrator:</t>
        </r>
        <r>
          <rPr>
            <sz val="9"/>
            <color indexed="81"/>
            <rFont val="Tahoma"/>
            <family val="2"/>
          </rPr>
          <t xml:space="preserve">
7500 increase in may HPM</t>
        </r>
      </text>
    </comment>
    <comment ref="H93" authorId="0" shapeId="0" xr:uid="{CA91F85C-1809-4831-B340-BAC165F6164C}">
      <text>
        <r>
          <rPr>
            <b/>
            <sz val="9"/>
            <color indexed="81"/>
            <rFont val="Tahoma"/>
            <family val="2"/>
          </rPr>
          <t>Administrator:</t>
        </r>
        <r>
          <rPr>
            <sz val="9"/>
            <color indexed="81"/>
            <rFont val="Tahoma"/>
            <family val="2"/>
          </rPr>
          <t xml:space="preserve">
August 3W</t>
        </r>
      </text>
    </comment>
    <comment ref="H94" authorId="0" shapeId="0" xr:uid="{0A5CB28E-A971-4DB2-8505-D6BE68C94F64}">
      <text>
        <r>
          <rPr>
            <b/>
            <sz val="9"/>
            <color indexed="81"/>
            <rFont val="Tahoma"/>
            <family val="2"/>
          </rPr>
          <t>Administrator:</t>
        </r>
        <r>
          <rPr>
            <sz val="9"/>
            <color indexed="81"/>
            <rFont val="Tahoma"/>
            <family val="2"/>
          </rPr>
          <t xml:space="preserve">
August 3W</t>
        </r>
      </text>
    </comment>
    <comment ref="H131" authorId="0" shapeId="0" xr:uid="{07650798-F4FF-4CD6-A16D-7B02EF79DF7C}">
      <text>
        <r>
          <rPr>
            <b/>
            <sz val="9"/>
            <color indexed="81"/>
            <rFont val="Tahoma"/>
            <family val="2"/>
          </rPr>
          <t>Administrator:</t>
        </r>
        <r>
          <rPr>
            <sz val="9"/>
            <color indexed="81"/>
            <rFont val="Tahoma"/>
            <family val="2"/>
          </rPr>
          <t xml:space="preserve">
5343 reported in feb HPM</t>
        </r>
      </text>
    </comment>
    <comment ref="H132" authorId="0" shapeId="0" xr:uid="{4857B1E7-888C-420D-8D19-8CB3515DFF53}">
      <text>
        <r>
          <rPr>
            <b/>
            <sz val="9"/>
            <color indexed="81"/>
            <rFont val="Tahoma"/>
            <family val="2"/>
          </rPr>
          <t>Administrator:</t>
        </r>
        <r>
          <rPr>
            <sz val="9"/>
            <color indexed="81"/>
            <rFont val="Tahoma"/>
            <family val="2"/>
          </rPr>
          <t xml:space="preserve">
August 3W</t>
        </r>
      </text>
    </comment>
    <comment ref="H133" authorId="0" shapeId="0" xr:uid="{B18B368F-6DF7-43DB-9CA5-E01C0850490F}">
      <text>
        <r>
          <rPr>
            <b/>
            <sz val="9"/>
            <color indexed="81"/>
            <rFont val="Tahoma"/>
            <family val="2"/>
          </rPr>
          <t>Administrator:</t>
        </r>
        <r>
          <rPr>
            <sz val="9"/>
            <color indexed="81"/>
            <rFont val="Tahoma"/>
            <family val="2"/>
          </rPr>
          <t xml:space="preserve">
August 3W not include UNICEF</t>
        </r>
      </text>
    </comment>
    <comment ref="K133" authorId="0" shapeId="0" xr:uid="{C46A52B3-C025-4CBE-87B7-E1A68AE17137}">
      <text>
        <r>
          <rPr>
            <b/>
            <sz val="9"/>
            <color indexed="81"/>
            <rFont val="Tahoma"/>
            <family val="2"/>
          </rPr>
          <t>Administrator:</t>
        </r>
        <r>
          <rPr>
            <sz val="9"/>
            <color indexed="81"/>
            <rFont val="Tahoma"/>
            <family val="2"/>
          </rPr>
          <t xml:space="preserve">
UNICEF July HPM</t>
        </r>
      </text>
    </comment>
    <comment ref="H134" authorId="0" shapeId="0" xr:uid="{66BAF36F-68DD-4F79-993F-642C18A4BB20}">
      <text>
        <r>
          <rPr>
            <b/>
            <sz val="9"/>
            <color indexed="81"/>
            <rFont val="Tahoma"/>
            <family val="2"/>
          </rPr>
          <t>Administrator:</t>
        </r>
        <r>
          <rPr>
            <sz val="9"/>
            <color indexed="81"/>
            <rFont val="Tahoma"/>
            <family val="2"/>
          </rPr>
          <t xml:space="preserve">
August 3Wnot include UNICEF</t>
        </r>
      </text>
    </comment>
    <comment ref="K134" authorId="0" shapeId="0" xr:uid="{4D4F19E1-971F-440B-9EA6-EBAA5016A419}">
      <text>
        <r>
          <rPr>
            <b/>
            <sz val="9"/>
            <color indexed="81"/>
            <rFont val="Tahoma"/>
            <family val="2"/>
          </rPr>
          <t>Administrator:</t>
        </r>
        <r>
          <rPr>
            <sz val="9"/>
            <color indexed="81"/>
            <rFont val="Tahoma"/>
            <family val="2"/>
          </rPr>
          <t xml:space="preserve">
UNICEF may HPM-ADRA +10349 increased in Aug HPM
+15105 increase in Sept HPM</t>
        </r>
      </text>
    </comment>
    <comment ref="H135" authorId="0" shapeId="0" xr:uid="{CEB935D4-3970-4265-B5B6-B5469FF3F0AA}">
      <text>
        <r>
          <rPr>
            <b/>
            <sz val="9"/>
            <color indexed="81"/>
            <rFont val="Tahoma"/>
            <family val="2"/>
          </rPr>
          <t>Administrator:</t>
        </r>
        <r>
          <rPr>
            <sz val="9"/>
            <color indexed="81"/>
            <rFont val="Tahoma"/>
            <family val="2"/>
          </rPr>
          <t xml:space="preserve">
reported in feb HPM</t>
        </r>
      </text>
    </comment>
    <comment ref="H138" authorId="0" shapeId="0" xr:uid="{A3265768-4458-43EB-8353-650A9484404C}">
      <text>
        <r>
          <rPr>
            <b/>
            <sz val="9"/>
            <color indexed="81"/>
            <rFont val="Tahoma"/>
            <family val="2"/>
          </rPr>
          <t>Administrator:</t>
        </r>
        <r>
          <rPr>
            <sz val="9"/>
            <color indexed="81"/>
            <rFont val="Tahoma"/>
            <family val="2"/>
          </rPr>
          <t xml:space="preserve">
August 3W</t>
        </r>
      </text>
    </comment>
    <comment ref="H139" authorId="0" shapeId="0" xr:uid="{D93D476F-788E-4487-9E50-8E8A2700C7E4}">
      <text>
        <r>
          <rPr>
            <b/>
            <sz val="9"/>
            <color indexed="81"/>
            <rFont val="Tahoma"/>
            <family val="2"/>
          </rPr>
          <t>Administrator:</t>
        </r>
        <r>
          <rPr>
            <sz val="9"/>
            <color indexed="81"/>
            <rFont val="Tahoma"/>
            <family val="2"/>
          </rPr>
          <t xml:space="preserve">
August 3W</t>
        </r>
      </text>
    </comment>
    <comment ref="H141" authorId="0" shapeId="0" xr:uid="{C4830357-1D99-494E-8E09-2FFB3731D239}">
      <text>
        <r>
          <rPr>
            <b/>
            <sz val="9"/>
            <color indexed="81"/>
            <rFont val="Tahoma"/>
            <family val="2"/>
          </rPr>
          <t>Administrator:</t>
        </r>
        <r>
          <rPr>
            <sz val="9"/>
            <color indexed="81"/>
            <rFont val="Tahoma"/>
            <family val="2"/>
          </rPr>
          <t xml:space="preserve">
June 3W</t>
        </r>
      </text>
    </comment>
    <comment ref="H142" authorId="0" shapeId="0" xr:uid="{F2B57A96-0733-4ABB-9CBB-3DB4D60709E8}">
      <text>
        <r>
          <rPr>
            <b/>
            <sz val="9"/>
            <color indexed="81"/>
            <rFont val="Tahoma"/>
            <family val="2"/>
          </rPr>
          <t>Administrator:</t>
        </r>
        <r>
          <rPr>
            <sz val="9"/>
            <color indexed="81"/>
            <rFont val="Tahoma"/>
            <family val="2"/>
          </rPr>
          <t xml:space="preserve">
August 3W</t>
        </r>
      </text>
    </comment>
    <comment ref="K144" authorId="0" shapeId="0" xr:uid="{B1648FD0-CF66-46A2-9AE0-61EE2823D80F}">
      <text>
        <r>
          <rPr>
            <b/>
            <sz val="9"/>
            <color indexed="81"/>
            <rFont val="Tahoma"/>
            <family val="2"/>
          </rPr>
          <t>Administrator:</t>
        </r>
        <r>
          <rPr>
            <sz val="9"/>
            <color indexed="81"/>
            <rFont val="Tahoma"/>
            <family val="2"/>
          </rPr>
          <t xml:space="preserve">
UNICEF may HPM</t>
        </r>
      </text>
    </comment>
    <comment ref="H150" authorId="0" shapeId="0" xr:uid="{A646BF07-AAC5-4206-9493-AB4E9BCE9DD0}">
      <text>
        <r>
          <rPr>
            <b/>
            <sz val="9"/>
            <color indexed="81"/>
            <rFont val="Tahoma"/>
            <family val="2"/>
          </rPr>
          <t>Administrator:</t>
        </r>
        <r>
          <rPr>
            <sz val="9"/>
            <color indexed="81"/>
            <rFont val="Tahoma"/>
            <family val="2"/>
          </rPr>
          <t xml:space="preserve">
sept 3W</t>
        </r>
      </text>
    </comment>
    <comment ref="K150" authorId="0" shapeId="0" xr:uid="{4D00666F-1853-4D17-81F0-4D728AF45AE2}">
      <text>
        <r>
          <rPr>
            <b/>
            <sz val="9"/>
            <color indexed="81"/>
            <rFont val="Tahoma"/>
            <family val="2"/>
          </rPr>
          <t>Administrator:</t>
        </r>
        <r>
          <rPr>
            <sz val="9"/>
            <color indexed="81"/>
            <rFont val="Tahoma"/>
            <family val="2"/>
          </rPr>
          <t xml:space="preserve">
6600 increased in may hpm+9970 increased in July HPM ; all are reported to cluster. Initial 20870 remain</t>
        </r>
      </text>
    </comment>
    <comment ref="H151" authorId="0" shapeId="0" xr:uid="{6DCB8F2C-8A44-41E9-8720-F53ACA3BF55E}">
      <text>
        <r>
          <rPr>
            <b/>
            <sz val="9"/>
            <color indexed="81"/>
            <rFont val="Tahoma"/>
            <family val="2"/>
          </rPr>
          <t>Administrator:</t>
        </r>
        <r>
          <rPr>
            <sz val="9"/>
            <color indexed="81"/>
            <rFont val="Tahoma"/>
            <family val="2"/>
          </rPr>
          <t xml:space="preserve">
August 3W</t>
        </r>
      </text>
    </comment>
    <comment ref="H152" authorId="0" shapeId="0" xr:uid="{8732210D-D63A-40C3-A3F8-95DC909EE1FD}">
      <text>
        <r>
          <rPr>
            <b/>
            <sz val="9"/>
            <color indexed="81"/>
            <rFont val="Tahoma"/>
            <family val="2"/>
          </rPr>
          <t>Administrator:</t>
        </r>
        <r>
          <rPr>
            <sz val="9"/>
            <color indexed="81"/>
            <rFont val="Tahoma"/>
            <family val="2"/>
          </rPr>
          <t xml:space="preserve">
August 3W not include UNICEF</t>
        </r>
      </text>
    </comment>
    <comment ref="K152" authorId="0" shapeId="0" xr:uid="{A30F6071-0371-4BB9-A38E-F646F8A2DA7F}">
      <text>
        <r>
          <rPr>
            <b/>
            <sz val="9"/>
            <color indexed="81"/>
            <rFont val="Tahoma"/>
            <family val="2"/>
          </rPr>
          <t>Administrator:</t>
        </r>
        <r>
          <rPr>
            <sz val="9"/>
            <color indexed="81"/>
            <rFont val="Tahoma"/>
            <family val="2"/>
          </rPr>
          <t xml:space="preserve">
August unicef HPM</t>
        </r>
      </text>
    </comment>
    <comment ref="H153" authorId="0" shapeId="0" xr:uid="{A77BBC0F-706B-4DFD-931E-8C4986AF3604}">
      <text>
        <r>
          <rPr>
            <b/>
            <sz val="9"/>
            <color indexed="81"/>
            <rFont val="Tahoma"/>
            <family val="2"/>
          </rPr>
          <t>Administrator:</t>
        </r>
        <r>
          <rPr>
            <sz val="9"/>
            <color indexed="81"/>
            <rFont val="Tahoma"/>
            <family val="2"/>
          </rPr>
          <t xml:space="preserve">
August 3W</t>
        </r>
      </text>
    </comment>
    <comment ref="H154" authorId="0" shapeId="0" xr:uid="{89BF838B-FE34-4AEF-80FD-0943B915FEA8}">
      <text>
        <r>
          <rPr>
            <b/>
            <sz val="9"/>
            <color indexed="81"/>
            <rFont val="Tahoma"/>
            <family val="2"/>
          </rPr>
          <t>Administrator:</t>
        </r>
        <r>
          <rPr>
            <sz val="9"/>
            <color indexed="81"/>
            <rFont val="Tahoma"/>
            <family val="2"/>
          </rPr>
          <t xml:space="preserve">
sept 3W</t>
        </r>
      </text>
    </comment>
    <comment ref="H157" authorId="0" shapeId="0" xr:uid="{F21E69C4-F920-4F76-AFFE-D5EE8DD0F619}">
      <text>
        <r>
          <rPr>
            <b/>
            <sz val="9"/>
            <color indexed="81"/>
            <rFont val="Tahoma"/>
            <family val="2"/>
          </rPr>
          <t>Administrator:</t>
        </r>
        <r>
          <rPr>
            <sz val="9"/>
            <color indexed="81"/>
            <rFont val="Tahoma"/>
            <family val="2"/>
          </rPr>
          <t xml:space="preserve">
August 3W</t>
        </r>
      </text>
    </comment>
    <comment ref="L157" authorId="0" shapeId="0" xr:uid="{274D9802-A325-4232-9D9B-36B5291CB461}">
      <text>
        <r>
          <rPr>
            <b/>
            <sz val="9"/>
            <color indexed="81"/>
            <rFont val="Tahoma"/>
            <family val="2"/>
          </rPr>
          <t>Administrator:</t>
        </r>
        <r>
          <rPr>
            <sz val="9"/>
            <color indexed="81"/>
            <rFont val="Tahoma"/>
            <family val="2"/>
          </rPr>
          <t xml:space="preserve">
WFP-nRS</t>
        </r>
      </text>
    </comment>
    <comment ref="H158" authorId="0" shapeId="0" xr:uid="{D7A8065E-FEA8-4F1D-A067-0917E4110E10}">
      <text>
        <r>
          <rPr>
            <b/>
            <sz val="9"/>
            <color indexed="81"/>
            <rFont val="Tahoma"/>
            <family val="2"/>
          </rPr>
          <t>Administrator:</t>
        </r>
        <r>
          <rPr>
            <sz val="9"/>
            <color indexed="81"/>
            <rFont val="Tahoma"/>
            <family val="2"/>
          </rPr>
          <t xml:space="preserve">
August 3W</t>
        </r>
      </text>
    </comment>
    <comment ref="H160" authorId="0" shapeId="0" xr:uid="{3C1F36F9-D566-4EA2-ABC6-A4B54A6A8F9D}">
      <text>
        <r>
          <rPr>
            <b/>
            <sz val="9"/>
            <color indexed="81"/>
            <rFont val="Tahoma"/>
            <family val="2"/>
          </rPr>
          <t>Administrator:</t>
        </r>
        <r>
          <rPr>
            <sz val="9"/>
            <color indexed="81"/>
            <rFont val="Tahoma"/>
            <family val="2"/>
          </rPr>
          <t xml:space="preserve">
June 3W</t>
        </r>
      </text>
    </comment>
    <comment ref="L160" authorId="0" shapeId="0" xr:uid="{BE5CB73B-17DD-4E66-A780-59FCABB433AB}">
      <text>
        <r>
          <rPr>
            <b/>
            <sz val="9"/>
            <color indexed="81"/>
            <rFont val="Tahoma"/>
            <family val="2"/>
          </rPr>
          <t>Administrator:</t>
        </r>
        <r>
          <rPr>
            <sz val="9"/>
            <color indexed="81"/>
            <rFont val="Tahoma"/>
            <family val="2"/>
          </rPr>
          <t xml:space="preserve">
UNICEF July HPM</t>
        </r>
      </text>
    </comment>
    <comment ref="H161" authorId="0" shapeId="0" xr:uid="{4ADFF0B0-EA5F-45D1-ABDA-53BDF84EA105}">
      <text>
        <r>
          <rPr>
            <b/>
            <sz val="9"/>
            <color indexed="81"/>
            <rFont val="Tahoma"/>
            <family val="2"/>
          </rPr>
          <t>Administrator:</t>
        </r>
        <r>
          <rPr>
            <sz val="9"/>
            <color indexed="81"/>
            <rFont val="Tahoma"/>
            <family val="2"/>
          </rPr>
          <t xml:space="preserve">
August 3W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12C701-95E3-4A60-9723-34B5D10516C4}"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3E6344E-F416-40D3-84AE-ABFD84E1994F}" name="WorksheetConnection_20200716_Myanmar_WASH_4W_2020_Q2_KachinShan_camp_Consolidate.xlsx!WWWW" type="102" refreshedVersion="7" minRefreshableVersion="5">
    <extLst>
      <ext xmlns:x15="http://schemas.microsoft.com/office/spreadsheetml/2010/11/main" uri="{DE250136-89BD-433C-8126-D09CA5730AF9}">
        <x15:connection id="WWWW" autoDelete="1">
          <x15:rangePr sourceName="_xlcn.WorksheetConnection_20200716_Myanmar_WASH_4W_2020_Q2_KachinShan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WWWW].[Covered].&amp;[Covered]}"/>
    <s v="{[WWWW].[#_Water sources tested for fecal coliform].&amp;[1],[WWWW].[#_Water sources tested for fecal coliform].&amp;[2],[WWWW].[#_Water sources tested for fecal coliform].&amp;[3],[WWWW].[#_Water sources tested for fecal coliform].&amp;[4],[WWWW].[#_Water sources tested for fecal coliform].&amp;[5],[WWWW].[#_Water sources tested for fecal coliform].&amp;[6],[WWWW].[#_Water sources tested for fecal coliform].&amp;[7],[WWWW].[#_Water sources tested for fecal coliform].&amp;[8],[WWWW].[#_Water sources tested for fecal coliform].&amp;[9],[WWWW].[#_Water sources tested for fecal coliform].&amp;[10],[WWWW].[#_Water sources tested for fecal coliform].&amp;[15]}"/>
    <s v="{[WWWW].[#_Household water samples tested for fecal coliform].&amp;[1],[WWWW].[#_Household water samples tested for fecal coliform].&amp;[2],[WWWW].[#_Household water samples tested for fecal coliform].&amp;[3],[WWWW].[#_Household water samples tested for fecal coliform].&amp;[4],[WWWW].[#_Household water samples tested for fecal coliform].&amp;[6],[WWWW].[#_Household water samples tested for fecal coliform].&amp;[8],[WWWW].[#_Household water samples tested for fecal coliform].&amp;[9],[WWWW].[#_Household water samples tested for fecal coliform].&amp;[10],[WWWW].[#_Household water samples tested for fecal coliform].&amp;[12],[WWWW].[#_Household water samples tested for fecal coliform].&amp;[13],[WWWW].[#_Household water samples tested for fecal coliform].&amp;[15],[WWWW].[#_Household water samples tested for fecal coliform].&amp;[18],[WWWW].[#_Household water samples tested for fecal coliform].&amp;[19],[WWWW].[#_Household water samples tested for fecal coliform].&amp;[21],[WWWW].[#_Household water samples tested for fecal coliform].&amp;[24],[WWWW].[#_Household water samples tested for fecal coliform].&amp;[27],[WWWW].[#_Household water samples tested for fecal coliform].&amp;[28],[WWWW].[#_Household water samples tested for fecal coliform].&amp;[29],[WWWW].[#_Household water samples tested for fecal coliform].&amp;[36],[WWWW].[#_Household water samples tested for fecal coliform].&amp;[38]}"/>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<sst xmlns="http://schemas.openxmlformats.org/spreadsheetml/2006/main" count="18821" uniqueCount="3190">
  <si>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</si>
  <si>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</si>
  <si>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</si>
  <si>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</si>
  <si>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</si>
  <si>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</si>
  <si>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</si>
  <si>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</si>
  <si>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</si>
  <si>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</si>
  <si>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</si>
  <si>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</si>
  <si>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</si>
  <si>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</si>
  <si>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</si>
  <si>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</si>
  <si>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</si>
  <si>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</si>
  <si>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</si>
  <si>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</si>
  <si>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</si>
  <si>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</si>
  <si>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</si>
  <si>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</si>
  <si>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</si>
  <si>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</si>
  <si>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</si>
  <si>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</si>
  <si>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</si>
  <si>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</si>
  <si>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</si>
  <si>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</si>
  <si>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</si>
  <si>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</si>
  <si>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</si>
  <si>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</si>
  <si>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</si>
  <si>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</si>
  <si>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</si>
  <si>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</si>
  <si>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</si>
  <si>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</si>
  <si>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</si>
  <si>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</si>
  <si>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</si>
  <si>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Current Indicators</t>
  </si>
  <si>
    <t>Definitions/Remarks</t>
  </si>
  <si>
    <t>V9</t>
  </si>
  <si>
    <t>V10</t>
  </si>
  <si>
    <t># Work days (approx) lost in this site due to access restrictions</t>
  </si>
  <si>
    <t>Yes/No</t>
  </si>
  <si>
    <t>V11</t>
  </si>
  <si>
    <t>%</t>
  </si>
  <si>
    <t>V12</t>
  </si>
  <si>
    <t>V13</t>
  </si>
  <si>
    <t># of functional public wells/boreholes ( deep tube well, shallow tube well) with water flowing/available all day with a functional flowrate</t>
  </si>
  <si>
    <t xml:space="preserve">Protected/fenced ponds do not count as improved water source or safe drinking water unless the results for ceramic filters and negative e.coli water quality test results are in place. </t>
  </si>
  <si>
    <t>V17</t>
  </si>
  <si>
    <t># of water points that have been fully handed over to families and community as part of the exit strategy. Note repairs might still be done by committees</t>
  </si>
  <si>
    <t>V16</t>
  </si>
  <si>
    <t>WATER
Comments                                         
(If you have gaps or questions)</t>
  </si>
  <si>
    <t>V18</t>
  </si>
  <si>
    <t>V20</t>
  </si>
  <si>
    <t>V21</t>
  </si>
  <si>
    <t>V22</t>
  </si>
  <si>
    <t>Sanitation 
Comments                                               
(If you have gaps or questions)</t>
  </si>
  <si>
    <t>V23</t>
  </si>
  <si>
    <t>V25</t>
  </si>
  <si>
    <t>V26</t>
  </si>
  <si>
    <t>V27</t>
  </si>
  <si>
    <t>V28</t>
  </si>
  <si>
    <t>Is sufficient soap available for TLS? (Yes/No)</t>
  </si>
  <si>
    <t>Hygiene
Comments                                                               
(If you have gaps or questions)</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</si>
  <si>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</si>
  <si>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</si>
  <si>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</si>
  <si>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</si>
  <si>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</si>
  <si>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</si>
  <si>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</si>
  <si>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</si>
  <si>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</si>
  <si>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</si>
  <si>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</si>
  <si>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</si>
  <si>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</si>
  <si>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</si>
  <si>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</si>
  <si>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</si>
  <si>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</si>
  <si>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</si>
  <si>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</si>
  <si>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</si>
  <si>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</si>
  <si>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</si>
  <si>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</si>
  <si>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</si>
  <si>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</si>
  <si>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</si>
  <si>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</si>
  <si>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</si>
  <si>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</si>
  <si>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</si>
  <si>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</si>
  <si>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</si>
  <si>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</si>
  <si>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</si>
  <si>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</si>
  <si>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</si>
  <si>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</si>
  <si>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</si>
  <si>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</si>
  <si>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</si>
  <si>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</si>
  <si>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</si>
  <si>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</si>
  <si>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</si>
  <si>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</si>
  <si>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</si>
  <si>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</si>
  <si>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</si>
  <si>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</si>
  <si>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</si>
  <si>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</si>
  <si>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</si>
  <si>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</si>
  <si>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</si>
  <si>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</si>
  <si>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</si>
  <si>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</si>
  <si>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</si>
  <si>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</si>
  <si>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</si>
  <si>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</si>
  <si>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</si>
  <si>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</si>
  <si>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</si>
  <si>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</si>
  <si>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</si>
  <si>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</si>
  <si>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</si>
  <si>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</si>
  <si>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</si>
  <si>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</si>
  <si>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</si>
  <si>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</si>
  <si>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</si>
  <si>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</si>
  <si>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</si>
  <si>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</si>
  <si>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</si>
  <si>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</si>
  <si>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</si>
  <si>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</si>
  <si>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</si>
  <si>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</si>
  <si>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</si>
  <si>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</si>
  <si>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</si>
  <si>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</si>
  <si>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</si>
  <si>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</si>
  <si>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</si>
  <si>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</si>
  <si>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</si>
  <si>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</si>
  <si>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</si>
  <si>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</si>
  <si>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</si>
  <si>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</si>
  <si>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</si>
  <si>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</si>
  <si>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</si>
  <si>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</si>
  <si>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</si>
  <si>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</si>
  <si>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</si>
  <si>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</si>
  <si>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</si>
  <si>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</si>
  <si>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</si>
  <si>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</si>
  <si>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</si>
  <si>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</si>
  <si>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</si>
  <si>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</si>
  <si>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</si>
  <si>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</si>
  <si>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</si>
  <si>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</si>
  <si>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</si>
  <si>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</si>
  <si>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</si>
  <si>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</si>
  <si>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</si>
  <si>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</si>
  <si>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</si>
  <si>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</si>
  <si>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</si>
  <si>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</si>
  <si>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</si>
  <si>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</si>
  <si>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</si>
  <si>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</si>
  <si>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</si>
  <si>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</si>
  <si>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</si>
  <si>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</si>
  <si>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</si>
  <si>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</si>
  <si>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</si>
  <si>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</si>
  <si>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</si>
  <si>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</si>
  <si>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</si>
  <si>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</si>
  <si>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</si>
  <si>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</si>
  <si>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</si>
  <si>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</si>
  <si>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</si>
  <si>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</si>
  <si>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</si>
  <si>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</si>
  <si>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</si>
  <si>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</si>
  <si>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</si>
  <si>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</si>
  <si>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</si>
  <si>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</si>
  <si>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</si>
  <si>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</si>
  <si>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</si>
  <si>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</si>
  <si>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</si>
  <si>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</si>
  <si>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</si>
  <si>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</si>
  <si>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</si>
  <si>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</si>
  <si>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</si>
  <si>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</si>
  <si>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</si>
  <si>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</si>
  <si>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</si>
  <si>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</si>
  <si>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</si>
  <si>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</si>
  <si>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</si>
  <si>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</si>
  <si>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</si>
  <si>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</si>
  <si>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</si>
  <si>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</si>
  <si>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</si>
  <si>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</si>
  <si>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</si>
  <si>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</si>
  <si>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</si>
  <si>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</si>
  <si>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</si>
  <si>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</si>
  <si>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</si>
  <si>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</si>
  <si>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</si>
  <si>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</si>
  <si>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</si>
  <si>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</si>
  <si>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</si>
  <si>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</si>
  <si>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</si>
  <si>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</si>
  <si>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</si>
  <si>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</si>
  <si>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</si>
  <si>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</si>
  <si>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</si>
  <si>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</si>
  <si>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</si>
  <si>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</si>
  <si>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</si>
  <si>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</si>
  <si>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</si>
  <si>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</si>
  <si>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</si>
  <si>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</si>
  <si>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</si>
  <si>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</si>
  <si>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</si>
  <si>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</si>
  <si>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</si>
  <si>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</si>
  <si>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</si>
  <si>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</si>
  <si>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</si>
  <si>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</si>
  <si>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</si>
  <si>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</si>
  <si>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</si>
  <si>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</si>
  <si>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</si>
  <si>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</si>
  <si>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</si>
  <si>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</si>
  <si>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</si>
  <si>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</si>
  <si>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</si>
  <si>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</si>
  <si>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</si>
  <si>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</si>
  <si>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Kyauktaw</t>
  </si>
  <si>
    <t>CARE</t>
  </si>
  <si>
    <t>Maungdaw</t>
  </si>
  <si>
    <t>Alay Mushee</t>
  </si>
  <si>
    <t>EU</t>
  </si>
  <si>
    <t>Malteser</t>
  </si>
  <si>
    <t>Aung Thay Pyay (NaTaLa)</t>
  </si>
  <si>
    <t>AA</t>
  </si>
  <si>
    <t>Minbya</t>
  </si>
  <si>
    <t>ACF</t>
  </si>
  <si>
    <t>DPA</t>
  </si>
  <si>
    <t>Europaid</t>
  </si>
  <si>
    <t>Fatar</t>
  </si>
  <si>
    <t>CDN</t>
  </si>
  <si>
    <t>Buthidaung</t>
  </si>
  <si>
    <t>ZOA</t>
  </si>
  <si>
    <t>Ma Gyi Koung</t>
  </si>
  <si>
    <t>Ann</t>
  </si>
  <si>
    <t>BMZ</t>
  </si>
  <si>
    <t>Nant Yar Gaing (Nant Yar Gaing)</t>
  </si>
  <si>
    <t>Nat Chaung (Garapyin)</t>
  </si>
  <si>
    <t>GIZ</t>
  </si>
  <si>
    <t>Phas Kawri</t>
  </si>
  <si>
    <t>Rathedaung</t>
  </si>
  <si>
    <t>LIFT</t>
  </si>
  <si>
    <t>Rakhine Ywa</t>
  </si>
  <si>
    <t>Raza Bil</t>
  </si>
  <si>
    <t>Shwe Yin Aye</t>
  </si>
  <si>
    <t>Thit Taw Ywa</t>
  </si>
  <si>
    <t>Thit Tone Na Gwa Sone (Ywa Ma)</t>
  </si>
  <si>
    <t>Wa Khote Chaung</t>
  </si>
  <si>
    <t>Wai Thar Le</t>
  </si>
  <si>
    <t>Ywa Ma</t>
  </si>
  <si>
    <t>Ywa Thar Yar</t>
  </si>
  <si>
    <t>Ramree</t>
  </si>
  <si>
    <t>Ramree Town</t>
  </si>
  <si>
    <t>Kyaukpyu</t>
  </si>
  <si>
    <t>Yae Myet</t>
  </si>
  <si>
    <t>Kyauk Ka Lay</t>
  </si>
  <si>
    <t>Baw Ya Par</t>
  </si>
  <si>
    <t>Rakhine Min Pyin</t>
  </si>
  <si>
    <t>Chin Ywar Min Pyin</t>
  </si>
  <si>
    <t>Wa Hmyaung</t>
  </si>
  <si>
    <t>Pyu Chaing</t>
  </si>
  <si>
    <t>War Net Chun</t>
  </si>
  <si>
    <t>Oxfam</t>
  </si>
  <si>
    <t>Ka Nyin Taw</t>
  </si>
  <si>
    <t>MHDO</t>
  </si>
  <si>
    <t>RI</t>
  </si>
  <si>
    <t>Myebon</t>
  </si>
  <si>
    <t>Taung Paw</t>
  </si>
  <si>
    <t>Kan Thar Htwat Wa</t>
  </si>
  <si>
    <t>Pauktaw</t>
  </si>
  <si>
    <t>Sin Tet Maw Rakhine(Baw Da Li)</t>
  </si>
  <si>
    <t>Sin Tet Maw (Host)</t>
  </si>
  <si>
    <t>Sin Tet Maw</t>
  </si>
  <si>
    <t>Nget Chaung 1</t>
  </si>
  <si>
    <t>Nget Chaung 2</t>
  </si>
  <si>
    <t>Sin Aing</t>
  </si>
  <si>
    <t>DRC</t>
  </si>
  <si>
    <t>Kyein Ni Pyin</t>
  </si>
  <si>
    <t>Bar Sa Yar Host</t>
  </si>
  <si>
    <t>Set Yone Su 1</t>
  </si>
  <si>
    <t>Sat Roe Kya 1</t>
  </si>
  <si>
    <t>Set Yone Su 3</t>
  </si>
  <si>
    <t>Dar Pai</t>
  </si>
  <si>
    <t>Say Tha Mar Nge</t>
  </si>
  <si>
    <t>Ohn Taw Gyi</t>
  </si>
  <si>
    <t>Zaw Pu Gyar</t>
  </si>
  <si>
    <t>Say Tha Mar Gyi</t>
  </si>
  <si>
    <t>Ohn Taw Chay</t>
  </si>
  <si>
    <t>Nga/ Pun Ywar Shey</t>
  </si>
  <si>
    <t>Daung Pyauk Kay</t>
  </si>
  <si>
    <t>Nga/ Pun Ywar Gyi</t>
  </si>
  <si>
    <t>Me la zi Kone</t>
  </si>
  <si>
    <t>Ah Lar Than</t>
  </si>
  <si>
    <t xml:space="preserve">Aung Daing </t>
  </si>
  <si>
    <t>Kyet Taw Pyin</t>
  </si>
  <si>
    <t>Ponnagyun</t>
  </si>
  <si>
    <t>Tan Khoe</t>
  </si>
  <si>
    <t>Tan Zwei</t>
  </si>
  <si>
    <t>Thar Si</t>
  </si>
  <si>
    <t>Irish Aid</t>
  </si>
  <si>
    <t>Ah Nauk Pyin</t>
  </si>
  <si>
    <t>Chein Khar Li</t>
  </si>
  <si>
    <t>Yoe Ngu</t>
  </si>
  <si>
    <t>Koe Tan Kauk</t>
  </si>
  <si>
    <t>Mrauk-U</t>
  </si>
  <si>
    <t>Nyaung Pin Hla</t>
  </si>
  <si>
    <t>Myet Tauk</t>
  </si>
  <si>
    <t xml:space="preserve">U Htoe Dan </t>
  </si>
  <si>
    <t>Tauk Sone</t>
  </si>
  <si>
    <t>Navy Seik</t>
  </si>
  <si>
    <t>Pann Phaw Pyin</t>
  </si>
  <si>
    <t>Sin Oe</t>
  </si>
  <si>
    <t>Kyauk Pan Du (NTL)</t>
  </si>
  <si>
    <t>Pauk Pin Yin</t>
  </si>
  <si>
    <t>Be Lar Mi</t>
  </si>
  <si>
    <t>Ah Du</t>
  </si>
  <si>
    <t>Than Du</t>
  </si>
  <si>
    <t>Ni Lin Paw</t>
  </si>
  <si>
    <t>Yin Chaung</t>
  </si>
  <si>
    <t>Ah Htet Nan Yar</t>
  </si>
  <si>
    <t>Chut Pyin</t>
  </si>
  <si>
    <t>Chin Ywa(Pyaing Taung)</t>
  </si>
  <si>
    <t>Maw Htet</t>
  </si>
  <si>
    <t>Pyin Chay</t>
  </si>
  <si>
    <t>Pyin Hlyar Shey</t>
  </si>
  <si>
    <t>Maw</t>
  </si>
  <si>
    <t>Kyaung Taung</t>
  </si>
  <si>
    <t>Ngwe Taung</t>
  </si>
  <si>
    <t>Pyaing Taung</t>
  </si>
  <si>
    <t>Taung Chaung</t>
  </si>
  <si>
    <t>Taung Maw</t>
  </si>
  <si>
    <t>Thein Taung pyin (Dine Net)</t>
  </si>
  <si>
    <t>Hla Tha Ma</t>
  </si>
  <si>
    <t>Thein Taung pyin (Muslim)</t>
  </si>
  <si>
    <t>Langui</t>
  </si>
  <si>
    <t>Kyauk Pyin Seik</t>
  </si>
  <si>
    <t>Say Tha Ma</t>
  </si>
  <si>
    <t>Gan Gaw Myaing ( Na Ta La )</t>
  </si>
  <si>
    <t>Aung Pa</t>
  </si>
  <si>
    <t>Kar Di (Kywe Cho Maw)</t>
  </si>
  <si>
    <t>Thaing Ta Poke</t>
  </si>
  <si>
    <t>Nyaung Chaung</t>
  </si>
  <si>
    <t>Phyar Pyin</t>
  </si>
  <si>
    <t>Gwa Sone Muslim</t>
  </si>
  <si>
    <t>Gwa Sone Rakhine</t>
  </si>
  <si>
    <t>Doke Kan Chaung</t>
  </si>
  <si>
    <t>Tha Pyay Seik</t>
  </si>
  <si>
    <t>Goke Pi Htaunt</t>
  </si>
  <si>
    <t>Hin Thar Ra</t>
  </si>
  <si>
    <t>Saw Kina Ma</t>
  </si>
  <si>
    <t>Zaw Ma Tat</t>
  </si>
  <si>
    <t>Lam Bar Gone Nah</t>
  </si>
  <si>
    <t>Din Gar</t>
  </si>
  <si>
    <t>Ah Pauk Wa</t>
  </si>
  <si>
    <t>Gaung Gyi</t>
  </si>
  <si>
    <t>Maw Staw Bis</t>
  </si>
  <si>
    <t>Ywar Thit Kay</t>
  </si>
  <si>
    <t>Wet Ma Kya</t>
  </si>
  <si>
    <t>Say Taung</t>
  </si>
  <si>
    <t>Yun Nyar</t>
  </si>
  <si>
    <t>Zedi Taung (Muslim)</t>
  </si>
  <si>
    <t>Thein Tan (Rakhine)</t>
  </si>
  <si>
    <t>Thein Tan (Muslim)</t>
  </si>
  <si>
    <t>Kan Pyin</t>
  </si>
  <si>
    <t xml:space="preserve">Baw Li </t>
  </si>
  <si>
    <t>Kyauk Sar Dine</t>
  </si>
  <si>
    <t>Gudar Pyin</t>
  </si>
  <si>
    <t>Nwar Yone Taung</t>
  </si>
  <si>
    <t>Tha Yet Taung</t>
  </si>
  <si>
    <t>San Go Taung</t>
  </si>
  <si>
    <t>Shat Shar Taung</t>
  </si>
  <si>
    <t>Kyauk Yan (Rakhine)</t>
  </si>
  <si>
    <t>U Yin Thar</t>
  </si>
  <si>
    <t>Godzilla (Hteik Tu Pauk Myauk)</t>
  </si>
  <si>
    <t>Tat Oo Anauk</t>
  </si>
  <si>
    <t>Shwe Hlaing</t>
  </si>
  <si>
    <t>Nur Ru Lar</t>
  </si>
  <si>
    <t>Shwe Hlaing Rakhine</t>
  </si>
  <si>
    <t>Mardilla</t>
  </si>
  <si>
    <t>Taung Ywa</t>
  </si>
  <si>
    <t>Phwe Ra</t>
  </si>
  <si>
    <t>Taungchay Ywa Muslim</t>
  </si>
  <si>
    <t>Chaung Pauk</t>
  </si>
  <si>
    <t>Myauk Ywa</t>
  </si>
  <si>
    <t>Kan Tha Ya</t>
  </si>
  <si>
    <t>Kyar Nyo Pyin (Rakhine)
+ Pyar Yae</t>
  </si>
  <si>
    <t>Hla Nyo Kan</t>
  </si>
  <si>
    <t>Let Saung Kauk</t>
  </si>
  <si>
    <t>Kyar Nyo Pyin (Muslim)</t>
  </si>
  <si>
    <t>Taung Pauk</t>
  </si>
  <si>
    <t>Let Thar Ywa</t>
  </si>
  <si>
    <t>Kin Taung (Taung + Myauk)</t>
  </si>
  <si>
    <t>Kan Pyi Tha Zi</t>
  </si>
  <si>
    <t xml:space="preserve">Kan Kyar Taung </t>
  </si>
  <si>
    <t>Ah Lel Ywa</t>
  </si>
  <si>
    <t>Kan Kyar Myauk</t>
  </si>
  <si>
    <t>Myaung Nar</t>
  </si>
  <si>
    <t>Ywa Gyi (Tha Yet Kin Ma Nu)</t>
  </si>
  <si>
    <t>Ka Doe Seik</t>
  </si>
  <si>
    <t>Play Taung Ywa Gyi North</t>
  </si>
  <si>
    <t>Khaung Htoke</t>
  </si>
  <si>
    <t>Nan Yah Gone Ahtet</t>
  </si>
  <si>
    <t>Doe Tan</t>
  </si>
  <si>
    <t>Kyauk Yit Muslim</t>
  </si>
  <si>
    <t>Kyauk Yit RK</t>
  </si>
  <si>
    <t>Palay Taung Ywa Thit</t>
  </si>
  <si>
    <t>Let Wea Det</t>
  </si>
  <si>
    <t>Si Tar (Pa Zun Chaung)</t>
  </si>
  <si>
    <t>Kha Yu Chaung (Muslim)</t>
  </si>
  <si>
    <t>Laung Chaung (Daing Net)</t>
  </si>
  <si>
    <t>Ba Da Nar</t>
  </si>
  <si>
    <t>Inn Chaung (Muslim)</t>
  </si>
  <si>
    <t>Inn Chaung (Daing Net)</t>
  </si>
  <si>
    <t>Zay Teit Taung</t>
  </si>
  <si>
    <t>Chin Pyin</t>
  </si>
  <si>
    <t>San Pai Pin Yin</t>
  </si>
  <si>
    <t>Khat Pa Kaung</t>
  </si>
  <si>
    <t>Lu Fan Pyin</t>
  </si>
  <si>
    <t>Kywe Ta Ma</t>
  </si>
  <si>
    <t>Hindu</t>
  </si>
  <si>
    <t>Koun Tan</t>
  </si>
  <si>
    <t>Yai Mya</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</si>
  <si>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</si>
  <si>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</si>
  <si>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</si>
  <si>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</si>
  <si>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</si>
  <si>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</si>
  <si>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</si>
  <si>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</si>
  <si>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</si>
  <si>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</si>
  <si>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</si>
  <si>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</si>
  <si>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</si>
  <si>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</si>
  <si>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</si>
  <si>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</si>
  <si>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</si>
  <si>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</si>
  <si>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</si>
  <si>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</si>
  <si>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</si>
  <si>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</si>
  <si>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</si>
  <si>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</si>
  <si>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</si>
  <si>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</si>
  <si>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</si>
  <si>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</si>
  <si>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</si>
  <si>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</si>
  <si>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</si>
  <si>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</si>
  <si>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</si>
  <si>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</si>
  <si>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</si>
  <si>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</si>
  <si>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</si>
  <si>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</si>
  <si>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</si>
  <si>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</si>
  <si>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</si>
  <si>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</si>
  <si>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</si>
  <si>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</si>
  <si>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</si>
  <si>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</si>
  <si>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</si>
  <si>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</si>
  <si>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</si>
  <si>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</si>
  <si>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</si>
  <si>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</si>
  <si>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</si>
  <si>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</si>
  <si>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</si>
  <si>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</si>
  <si>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</si>
  <si>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</si>
  <si>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</si>
  <si>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</si>
  <si>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</si>
  <si>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</si>
  <si>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</si>
  <si>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</si>
  <si>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</si>
  <si>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</si>
  <si>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</si>
  <si>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</si>
  <si>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</si>
  <si>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</si>
  <si>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</si>
  <si>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</si>
  <si>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</si>
  <si>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</si>
  <si>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</si>
  <si>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</si>
  <si>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</si>
  <si>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</si>
  <si>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</si>
  <si>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</si>
  <si>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</si>
  <si>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</si>
  <si>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</si>
  <si>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</si>
  <si>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</si>
  <si>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</si>
  <si>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</si>
  <si>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</si>
  <si>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</si>
  <si>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</si>
  <si>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</si>
  <si>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Ward 6</t>
  </si>
  <si>
    <t>Village</t>
  </si>
  <si>
    <t xml:space="preserve">WASH - resettled, relocated, surrounding communities &amp; host communities </t>
  </si>
  <si>
    <t>Nga/Oke</t>
  </si>
  <si>
    <t xml:space="preserve">Kyauk Ta Lone </t>
  </si>
  <si>
    <t>Q2_2017</t>
  </si>
  <si>
    <t>Q3_2016</t>
  </si>
  <si>
    <t>Chin</t>
  </si>
  <si>
    <t>Nga Shwe Pyin</t>
  </si>
  <si>
    <t>Ah Ngu Ywar Haung</t>
  </si>
  <si>
    <t>Ah Ngu Ywar Thit</t>
  </si>
  <si>
    <t>Ohn Taw</t>
  </si>
  <si>
    <t>Aung Le Byin</t>
  </si>
  <si>
    <t>Pyin Taw Che</t>
  </si>
  <si>
    <t>Relocated</t>
  </si>
  <si>
    <t>Taung Pyin</t>
  </si>
  <si>
    <t xml:space="preserve">Pyar Tha Kywe </t>
  </si>
  <si>
    <t>Gaung Hpyu</t>
  </si>
  <si>
    <t>Yet Chaung</t>
  </si>
  <si>
    <t>Dagon</t>
  </si>
  <si>
    <t>A Nauk Ywe</t>
  </si>
  <si>
    <t>Wet Gaung</t>
  </si>
  <si>
    <t>Pa Lin Pyin (Muslim)</t>
  </si>
  <si>
    <t>Basara</t>
  </si>
  <si>
    <t>Pa Lin Pyin (Rakhine, Fisher)</t>
  </si>
  <si>
    <t>Pa Lin Pyin (Rakhine, Main)</t>
  </si>
  <si>
    <t>Pyar Lay Chaung (New)</t>
  </si>
  <si>
    <t>Pyar Lay Chaung (Old)</t>
  </si>
  <si>
    <t>Ohn Yee Paw</t>
  </si>
  <si>
    <t>Kyauk Nga Nwar</t>
  </si>
  <si>
    <t xml:space="preserve">Thea Chaung </t>
  </si>
  <si>
    <t>Ba Wunn Chaung Wa Su</t>
  </si>
  <si>
    <t>Thet Kel Pyin</t>
  </si>
  <si>
    <t>Hmansi ( from Kaung Doke Khar)</t>
  </si>
  <si>
    <t>Baw Du Pha</t>
  </si>
  <si>
    <t>Kaung Doke Khar (excl. Hmanzi)</t>
  </si>
  <si>
    <t>Ohn Taw Gyi South</t>
  </si>
  <si>
    <t>Maw Ti Ngar (TKP west)</t>
  </si>
  <si>
    <t>Ohn Taw Gyi North</t>
  </si>
  <si>
    <t>Phwe Yar Gone</t>
  </si>
  <si>
    <t>village</t>
  </si>
  <si>
    <t>Sa Par Htar</t>
  </si>
  <si>
    <t>Nat Seik</t>
  </si>
  <si>
    <t>Met Ka Lar Kya</t>
  </si>
  <si>
    <t>Nyaung Pin Gyi</t>
  </si>
  <si>
    <t>Kyauk Seik</t>
  </si>
  <si>
    <t>Shwe Laung Tin</t>
  </si>
  <si>
    <t>Da Pae</t>
  </si>
  <si>
    <t>Kyun Paw (Pauk Taw)</t>
  </si>
  <si>
    <t>Auk Nan Yar</t>
  </si>
  <si>
    <t>Padauk Myaing</t>
  </si>
  <si>
    <t>Pu Yain Kone</t>
  </si>
  <si>
    <t>Doe Wai Chaung</t>
  </si>
  <si>
    <t>Sa Hpo Gyun</t>
  </si>
  <si>
    <t>Kardi</t>
  </si>
  <si>
    <t>Kyawe Lan Chaung</t>
  </si>
  <si>
    <t>Pet Kwet Seik</t>
  </si>
  <si>
    <t>Lan Paik Khwin</t>
  </si>
  <si>
    <t>Zan Kha Ma</t>
  </si>
  <si>
    <t>Prine Taung</t>
  </si>
  <si>
    <t>Zumar Ywa</t>
  </si>
  <si>
    <t>Q3_2017</t>
  </si>
  <si>
    <t>Im Bar Yi</t>
  </si>
  <si>
    <t>Kaing Gyi</t>
  </si>
  <si>
    <t>U Saung Tan (lower)</t>
  </si>
  <si>
    <t>Kha Yai Myaing</t>
  </si>
  <si>
    <t>Ashit Ywa</t>
  </si>
  <si>
    <t>A Nauk Ywa</t>
  </si>
  <si>
    <t>Ywa Gyi</t>
  </si>
  <si>
    <t>Middle</t>
  </si>
  <si>
    <t xml:space="preserve">M </t>
  </si>
  <si>
    <t>Taung Pine Nyar</t>
  </si>
  <si>
    <t>Ywa Haung</t>
  </si>
  <si>
    <t>Ni Din</t>
  </si>
  <si>
    <t>Play Taung South</t>
  </si>
  <si>
    <t>Kyet Mauk Taung Myuak</t>
  </si>
  <si>
    <t>Than Chay  RK</t>
  </si>
  <si>
    <t>Ah Lel Kyun</t>
  </si>
  <si>
    <t>Ah Lel</t>
  </si>
  <si>
    <t>Taung Bwe</t>
  </si>
  <si>
    <t>Tha Pon</t>
  </si>
  <si>
    <t>Ba Gone Nar</t>
  </si>
  <si>
    <t>Thar Yar Koung</t>
  </si>
  <si>
    <t>Thet Kaing Ngyar (Thet Kaing Ngyar)</t>
  </si>
  <si>
    <t>Thet Kaing Ngyar (Thet Ywa)</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</si>
  <si>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</si>
  <si>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</si>
  <si>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</si>
  <si>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</si>
  <si>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</si>
  <si>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</si>
  <si>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</si>
  <si>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</si>
  <si>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</si>
  <si>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</si>
  <si>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</si>
  <si>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</si>
  <si>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</si>
  <si>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</si>
  <si>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</si>
  <si>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</si>
  <si>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</si>
  <si>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</si>
  <si>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</si>
  <si>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</si>
  <si>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</si>
  <si>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</si>
  <si>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</si>
  <si>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</si>
  <si>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</si>
  <si>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</si>
  <si>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</si>
  <si>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</si>
  <si>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</si>
  <si>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</si>
  <si>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</si>
  <si>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</si>
  <si>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</si>
  <si>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</si>
  <si>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</si>
  <si>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</si>
  <si>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</si>
  <si>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</si>
  <si>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</si>
  <si>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</si>
  <si>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</si>
  <si>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</si>
  <si>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</si>
  <si>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</si>
  <si>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</si>
  <si>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</si>
  <si>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</si>
  <si>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</si>
  <si>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</si>
  <si>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</si>
  <si>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</si>
  <si>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</si>
  <si>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</si>
  <si>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</si>
  <si>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</si>
  <si>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</si>
  <si>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</si>
  <si>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</si>
  <si>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</si>
  <si>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</si>
  <si>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</si>
  <si>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</si>
  <si>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</si>
  <si>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</si>
  <si>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</si>
  <si>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</si>
  <si>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</si>
  <si>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</si>
  <si>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</si>
  <si>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</si>
  <si>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</si>
  <si>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</si>
  <si>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</si>
  <si>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</si>
  <si>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</si>
  <si>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</si>
  <si>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</si>
  <si>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</si>
  <si>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</si>
  <si>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</si>
  <si>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</si>
  <si>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</si>
  <si>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</si>
  <si>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</si>
  <si>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</si>
  <si>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</si>
  <si>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</si>
  <si>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</si>
  <si>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</si>
  <si>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</si>
  <si>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</si>
  <si>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</si>
  <si>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</si>
  <si>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</si>
  <si>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</si>
  <si>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</si>
  <si>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</si>
  <si>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</si>
  <si>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</si>
  <si>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</si>
  <si>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</si>
  <si>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</si>
  <si>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</si>
  <si>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</si>
  <si>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</si>
  <si>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</si>
  <si>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</si>
  <si>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</si>
  <si>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</si>
  <si>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</si>
  <si>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</si>
  <si>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</si>
  <si>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</si>
  <si>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</si>
  <si>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</si>
  <si>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</si>
  <si>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</si>
  <si>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</si>
  <si>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</si>
  <si>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</si>
  <si>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</si>
  <si>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</si>
  <si>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</si>
  <si>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</si>
  <si>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</si>
  <si>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</si>
  <si>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</si>
  <si>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</si>
  <si>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</si>
  <si>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</si>
  <si>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</si>
  <si>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</si>
  <si>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</si>
  <si>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</si>
  <si>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Chipwi (School coumpound)</t>
  </si>
  <si>
    <t>School</t>
  </si>
  <si>
    <t>Doke Htan Ward</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</si>
  <si>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</si>
  <si>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</si>
  <si>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</si>
  <si>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</si>
  <si>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</si>
  <si>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</si>
  <si>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</si>
  <si>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</si>
  <si>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</si>
  <si>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</si>
  <si>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</si>
  <si>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</si>
  <si>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</si>
  <si>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</si>
  <si>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</si>
  <si>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</si>
  <si>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</si>
  <si>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</si>
  <si>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</si>
  <si>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</si>
  <si>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</si>
  <si>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</si>
  <si>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</si>
  <si>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</si>
  <si>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</si>
  <si>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</si>
  <si>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</si>
  <si>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</si>
  <si>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</si>
  <si>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</si>
  <si>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</si>
  <si>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</si>
  <si>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</si>
  <si>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</si>
  <si>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</si>
  <si>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</si>
  <si>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</si>
  <si>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</si>
  <si>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</si>
  <si>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</si>
  <si>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</si>
  <si>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Vote Par Yone monastery</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</si>
  <si>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</si>
  <si>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</si>
  <si>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</si>
  <si>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</si>
  <si>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</si>
  <si>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</si>
  <si>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</si>
  <si>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</si>
  <si>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</si>
  <si>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</si>
  <si>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</si>
  <si>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</si>
  <si>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</si>
  <si>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</si>
  <si>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</si>
  <si>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</si>
  <si>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</si>
  <si>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</si>
  <si>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</si>
  <si>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</si>
  <si>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</si>
  <si>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</si>
  <si>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</si>
  <si>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</si>
  <si>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</si>
  <si>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</si>
  <si>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</si>
  <si>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</si>
  <si>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</si>
  <si>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</si>
  <si>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</si>
  <si>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</si>
  <si>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</si>
  <si>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</si>
  <si>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</si>
  <si>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</si>
  <si>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</si>
  <si>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</si>
  <si>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</si>
  <si>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</si>
  <si>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</si>
  <si>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</si>
  <si>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</si>
  <si>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</si>
  <si>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</si>
  <si>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</si>
  <si>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</si>
  <si>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</si>
  <si>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</si>
  <si>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</si>
  <si>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</si>
  <si>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</si>
  <si>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</si>
  <si>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</si>
  <si>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</si>
  <si>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</si>
  <si>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</si>
  <si>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</si>
  <si>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</si>
  <si>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</si>
  <si>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</si>
  <si>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</si>
  <si>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</si>
  <si>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</si>
  <si>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</si>
  <si>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</si>
  <si>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</si>
  <si>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</si>
  <si>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</si>
  <si>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</si>
  <si>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</si>
  <si>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</si>
  <si>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</si>
  <si>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</si>
  <si>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</si>
  <si>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</si>
  <si>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</si>
  <si>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</si>
  <si>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</si>
  <si>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</si>
  <si>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</si>
  <si>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</si>
  <si>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</si>
  <si>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</si>
  <si>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</si>
  <si>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</si>
  <si>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</si>
  <si>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</si>
  <si>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</si>
  <si>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</si>
  <si>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</si>
  <si>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</si>
  <si>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</si>
  <si>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</si>
  <si>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</si>
  <si>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</si>
  <si>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</si>
  <si>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</si>
  <si>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</si>
  <si>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</si>
  <si>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</si>
  <si>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</si>
  <si>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</si>
  <si>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</si>
  <si>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</si>
  <si>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</si>
  <si>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</si>
  <si>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</si>
  <si>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</si>
  <si>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</si>
  <si>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</si>
  <si>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</si>
  <si>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</si>
  <si>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</si>
  <si>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</si>
  <si>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</si>
  <si>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</si>
  <si>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</si>
  <si>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</si>
  <si>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</si>
  <si>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</si>
  <si>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</si>
  <si>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</si>
  <si>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</si>
  <si>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</si>
  <si>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</si>
  <si>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</si>
  <si>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</si>
  <si>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</si>
  <si>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</si>
  <si>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</si>
  <si>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</si>
  <si>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</si>
  <si>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</si>
  <si>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</si>
  <si>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</si>
  <si>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</si>
  <si>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</si>
  <si>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</si>
  <si>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</si>
  <si>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</si>
  <si>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</si>
  <si>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</si>
  <si>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</si>
  <si>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</si>
  <si>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</si>
  <si>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</si>
  <si>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</si>
  <si>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</si>
  <si>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</si>
  <si>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</si>
  <si>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</si>
  <si>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</si>
  <si>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</si>
  <si>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</si>
  <si>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</si>
  <si>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</si>
  <si>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</si>
  <si>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</si>
  <si>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</si>
  <si>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</si>
  <si>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</si>
  <si>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</si>
  <si>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</si>
  <si>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</si>
  <si>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</si>
  <si>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</si>
  <si>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</si>
  <si>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</si>
  <si>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</si>
  <si>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</si>
  <si>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</si>
  <si>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</si>
  <si>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</si>
  <si>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</si>
  <si>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</si>
  <si>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</si>
  <si>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</si>
  <si>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</si>
  <si>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</si>
  <si>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</si>
  <si>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</si>
  <si>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</si>
  <si>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</si>
  <si>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</si>
  <si>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</si>
  <si>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</si>
  <si>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</si>
  <si>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</si>
  <si>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</si>
  <si>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</si>
  <si>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</si>
  <si>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</si>
  <si>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</si>
  <si>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</si>
  <si>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</si>
  <si>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</si>
  <si>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</si>
  <si>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</si>
  <si>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</si>
  <si>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</si>
  <si>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</si>
  <si>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</si>
  <si>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</si>
  <si>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</si>
  <si>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</si>
  <si>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</si>
  <si>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</si>
  <si>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</si>
  <si>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</si>
  <si>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</si>
  <si>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</si>
  <si>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</si>
  <si>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</si>
  <si>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</si>
  <si>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</si>
  <si>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</si>
  <si>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</si>
  <si>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</si>
  <si>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</si>
  <si>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</si>
  <si>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</si>
  <si>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</si>
  <si>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</si>
  <si>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</si>
  <si>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</si>
  <si>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</si>
  <si>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</si>
  <si>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</si>
  <si>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</si>
  <si>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</si>
  <si>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</si>
  <si>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</si>
  <si>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</si>
  <si>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</si>
  <si>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</si>
  <si>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</si>
  <si>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</si>
  <si>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</si>
  <si>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</si>
  <si>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</si>
  <si>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</si>
  <si>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</si>
  <si>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</si>
  <si>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</si>
  <si>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</si>
  <si>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</si>
  <si>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</si>
  <si>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</si>
  <si>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</si>
  <si>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</si>
  <si>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</si>
  <si>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</si>
  <si>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</si>
  <si>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</si>
  <si>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</si>
  <si>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</si>
  <si>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</si>
  <si>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</si>
  <si>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</si>
  <si>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</si>
  <si>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</si>
  <si>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</si>
  <si>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</si>
  <si>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</si>
  <si>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</si>
  <si>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</si>
  <si>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</si>
  <si>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</si>
  <si>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</si>
  <si>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</si>
  <si>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</si>
  <si>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</si>
  <si>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</si>
  <si>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</si>
  <si>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</si>
  <si>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</si>
  <si>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</si>
  <si>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</si>
  <si>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</si>
  <si>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</si>
  <si>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</si>
  <si>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</si>
  <si>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</si>
  <si>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</si>
  <si>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</si>
  <si>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</si>
  <si>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</si>
  <si>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</si>
  <si>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</si>
  <si>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</si>
  <si>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</si>
  <si>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</si>
  <si>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</si>
  <si>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</si>
  <si>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</si>
  <si>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</si>
  <si>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</si>
  <si>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</si>
  <si>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</si>
  <si>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</si>
  <si>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</si>
  <si>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</si>
  <si>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</si>
  <si>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</si>
  <si>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</si>
  <si>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</si>
  <si>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</si>
  <si>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</si>
  <si>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</si>
  <si>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</si>
  <si>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</si>
  <si>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</si>
  <si>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</si>
  <si>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</si>
  <si>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</si>
  <si>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</si>
  <si>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</si>
  <si>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</si>
  <si>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</si>
  <si>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</si>
  <si>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</si>
  <si>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</si>
  <si>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</si>
  <si>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</si>
  <si>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</si>
  <si>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</si>
  <si>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</si>
  <si>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</si>
  <si>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</si>
  <si>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</si>
  <si>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</si>
  <si>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</si>
  <si>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</si>
  <si>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</si>
  <si>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</si>
  <si>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</si>
  <si>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</si>
  <si>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</si>
  <si>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</si>
  <si>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</si>
  <si>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</si>
  <si>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</si>
  <si>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</si>
  <si>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</si>
  <si>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</si>
  <si>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</si>
  <si>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</si>
  <si>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</si>
  <si>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</si>
  <si>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</si>
  <si>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</si>
  <si>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</si>
  <si>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</si>
  <si>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</si>
  <si>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</si>
  <si>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</si>
  <si>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</si>
  <si>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</si>
  <si>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</si>
  <si>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</si>
  <si>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</si>
  <si>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</si>
  <si>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</si>
  <si>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</si>
  <si>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</si>
  <si>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</si>
  <si>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</si>
  <si>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</si>
  <si>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</si>
  <si>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</si>
  <si>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</si>
  <si>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</si>
  <si>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</si>
  <si>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</si>
  <si>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</si>
  <si>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</si>
  <si>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</si>
  <si>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</si>
  <si>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</si>
  <si>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</si>
  <si>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</si>
  <si>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</si>
  <si>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</si>
  <si>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</si>
  <si>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</si>
  <si>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</si>
  <si>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</si>
  <si>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</si>
  <si>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</si>
  <si>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</si>
  <si>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</si>
  <si>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</si>
  <si>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</si>
  <si>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</si>
  <si>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</si>
  <si>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</si>
  <si>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</si>
  <si>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Access to safe drinking water for Camp</t>
  </si>
  <si>
    <t>Access to safe drinking water for Village</t>
  </si>
  <si>
    <t>%Equitable and continuous access to sufficient quantity of safe drinking water</t>
  </si>
  <si>
    <t>#Water points coverage</t>
  </si>
  <si>
    <t>#Potential required new water points</t>
  </si>
  <si>
    <t>WATER Comments</t>
  </si>
  <si>
    <t>Sanitation Comments</t>
  </si>
  <si>
    <t>Hygiene Coverage%</t>
  </si>
  <si>
    <t>Hygiene Gap%</t>
  </si>
  <si>
    <t>%people reached by regular dedicated hygiene promotion</t>
  </si>
  <si>
    <t>%HH with access to soap</t>
  </si>
  <si>
    <t>#HH with access to Hand Washing Station</t>
  </si>
  <si>
    <t>Standard amount of Soap and sanitary pad</t>
  </si>
  <si>
    <t>Camps only</t>
  </si>
  <si>
    <t>#People access to unimproved water sources</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</si>
  <si>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</si>
  <si>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</si>
  <si>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</si>
  <si>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</si>
  <si>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</si>
  <si>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</si>
  <si>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</si>
  <si>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</si>
  <si>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</si>
  <si>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</si>
  <si>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</si>
  <si>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</si>
  <si>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</si>
  <si>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</si>
  <si>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</si>
  <si>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</si>
  <si>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</si>
  <si>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</si>
  <si>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</si>
  <si>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</si>
  <si>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No (6) Ward</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</si>
  <si>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</si>
  <si>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</si>
  <si>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</si>
  <si>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</si>
  <si>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</si>
  <si>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</si>
  <si>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</si>
  <si>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</si>
  <si>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</si>
  <si>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</si>
  <si>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</si>
  <si>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</si>
  <si>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</si>
  <si>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</si>
  <si>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</si>
  <si>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</si>
  <si>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</si>
  <si>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Urban</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</si>
  <si>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</si>
  <si>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</si>
  <si>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</si>
  <si>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</si>
  <si>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</si>
  <si>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</si>
  <si>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</si>
  <si>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</si>
  <si>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</si>
  <si>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</si>
  <si>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</si>
  <si>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</si>
  <si>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</si>
  <si>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</si>
  <si>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</si>
  <si>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</si>
  <si>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</si>
  <si>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</si>
  <si>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</si>
  <si>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</si>
  <si>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</si>
  <si>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</si>
  <si>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</si>
  <si>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</si>
  <si>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</si>
  <si>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</si>
  <si>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</si>
  <si>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</si>
  <si>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</si>
  <si>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</si>
  <si>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</si>
  <si>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</si>
  <si>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</si>
  <si>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</si>
  <si>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</si>
  <si>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</si>
  <si>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</si>
  <si>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</si>
  <si>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</si>
  <si>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</si>
  <si>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</si>
  <si>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</si>
  <si>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</si>
  <si>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</si>
  <si>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</si>
  <si>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</si>
  <si>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</si>
  <si>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</si>
  <si>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</si>
  <si>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</si>
  <si>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</si>
  <si>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</si>
  <si>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</si>
  <si>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</si>
  <si>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</si>
  <si>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</si>
  <si>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</si>
  <si>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</si>
  <si>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</si>
  <si>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</si>
  <si>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</si>
  <si>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</si>
  <si>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</si>
  <si>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</si>
  <si>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</si>
  <si>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</si>
  <si>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</si>
  <si>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</si>
  <si>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</si>
  <si>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</si>
  <si>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</si>
  <si>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</si>
  <si>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</si>
  <si>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</si>
  <si>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</si>
  <si>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</si>
  <si>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</si>
  <si>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</si>
  <si>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</si>
  <si>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</si>
  <si>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</si>
  <si>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</si>
  <si>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</si>
  <si>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</si>
  <si>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</si>
  <si>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</si>
  <si>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</si>
  <si>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</si>
  <si>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</si>
  <si>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</si>
  <si>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</si>
  <si>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</si>
  <si>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</si>
  <si>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</si>
  <si>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</si>
  <si>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</si>
  <si>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</si>
  <si>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</si>
  <si>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</si>
  <si>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</si>
  <si>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</si>
  <si>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</si>
  <si>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</si>
  <si>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</si>
  <si>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</si>
  <si>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</si>
  <si>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</si>
  <si>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</si>
  <si>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</si>
  <si>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</si>
  <si>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</si>
  <si>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</si>
  <si>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</si>
  <si>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</si>
  <si>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</si>
  <si>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</si>
  <si>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</si>
  <si>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</si>
  <si>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</si>
  <si>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</si>
  <si>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</si>
  <si>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</si>
  <si>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</si>
  <si>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</si>
  <si>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</si>
  <si>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</si>
  <si>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</si>
  <si>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</si>
  <si>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</si>
  <si>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</si>
  <si>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</si>
  <si>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</si>
  <si>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</si>
  <si>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</si>
  <si>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</si>
  <si>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</si>
  <si>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</si>
  <si>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</si>
  <si>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Shwe Kyee Nar Ward</t>
  </si>
  <si>
    <t>Myo Thit</t>
  </si>
  <si>
    <t>Khon Sint</t>
  </si>
  <si>
    <t>Hopin Town</t>
  </si>
  <si>
    <t>Myo Ma (South) Ward</t>
  </si>
  <si>
    <t>Moke Lwe</t>
  </si>
  <si>
    <t>Khar Shi</t>
  </si>
  <si>
    <t>Sumprabum Town</t>
  </si>
  <si>
    <t>Inn Lel Yan</t>
  </si>
  <si>
    <t>Doke Tan Ward</t>
  </si>
  <si>
    <t>Ka Bu Dam</t>
  </si>
  <si>
    <t>Ei Naing</t>
  </si>
  <si>
    <t>Bumtsit Pa (1,2,3)</t>
  </si>
  <si>
    <t>Bum Tsit Pa 3</t>
  </si>
  <si>
    <t>SCI/FFO</t>
  </si>
  <si>
    <t>Assume 5 people per hh. 100 hh per Hygiene promoters. So, 500 people per hygiene promotor</t>
  </si>
  <si>
    <t>(All)</t>
  </si>
  <si>
    <t>Column Labels</t>
  </si>
  <si>
    <t>Values</t>
  </si>
  <si>
    <t>Shan</t>
  </si>
  <si>
    <t>Count of Site Name</t>
  </si>
  <si>
    <t>Access to unimproved water points</t>
  </si>
  <si>
    <t>Sum of Total HH</t>
  </si>
  <si>
    <t>Sum of #HH with access to Hand Washing Station</t>
  </si>
  <si>
    <t>#HH reached by regular dedicated hygiene promotion</t>
  </si>
  <si>
    <t xml:space="preserve">PoP </t>
  </si>
  <si>
    <t>none</t>
  </si>
  <si>
    <t>Total population</t>
  </si>
  <si>
    <t>Total</t>
  </si>
  <si>
    <t>Kachin Total</t>
  </si>
  <si>
    <t>Bum Tsit Pa</t>
  </si>
  <si>
    <t>Bum Tsit Pa Camp II</t>
  </si>
  <si>
    <t>MMR015CMP249</t>
  </si>
  <si>
    <t>% Latrines requiring  repairs</t>
  </si>
  <si>
    <t># people reached by regular dedicated hygiene promotion_5</t>
  </si>
  <si>
    <t>SCI, Metta</t>
  </si>
  <si>
    <t xml:space="preserve"> Reached by Sex</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</si>
  <si>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</si>
  <si>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</si>
  <si>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</si>
  <si>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</si>
  <si>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</si>
  <si>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</si>
  <si>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</si>
  <si>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</si>
  <si>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</si>
  <si>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 latrines (target)</t>
  </si>
  <si>
    <t># latrines desludged</t>
  </si>
  <si>
    <t># in GCA (20:1)</t>
  </si>
  <si>
    <t># in NGCA (20:1)</t>
  </si>
  <si>
    <t>HRP target</t>
  </si>
  <si>
    <t>No Test</t>
  </si>
  <si>
    <t>Tested</t>
  </si>
  <si>
    <t>HHs</t>
  </si>
  <si>
    <t>Pops</t>
  </si>
  <si>
    <t>% WATER GAP</t>
  </si>
  <si>
    <t>% LATRINE GAP</t>
  </si>
  <si>
    <t>% HYGIENE GAP</t>
  </si>
  <si>
    <t>WinE</t>
  </si>
  <si>
    <t>GAP</t>
  </si>
  <si>
    <t>Latrines handed over</t>
  </si>
  <si>
    <t>Latrines not handed over</t>
  </si>
  <si>
    <t>%equitable and continuous access to sufficient quantity of safe drinking and domestic water's GAP</t>
  </si>
  <si>
    <t>% of Latrine Gap</t>
  </si>
  <si>
    <t>Functioning</t>
  </si>
  <si>
    <t>Desludging</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</si>
  <si>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</si>
  <si>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</si>
  <si>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</si>
  <si>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</si>
  <si>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</si>
  <si>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</si>
  <si>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</si>
  <si>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</si>
  <si>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</si>
  <si>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</si>
  <si>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</si>
  <si>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</si>
  <si>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</si>
  <si>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</si>
  <si>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</si>
  <si>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</si>
  <si>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</si>
  <si>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</si>
  <si>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</si>
  <si>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</si>
  <si>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</si>
  <si>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</si>
  <si>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</si>
  <si>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</si>
  <si>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</si>
  <si>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</si>
  <si>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</si>
  <si>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</si>
  <si>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</si>
  <si>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</si>
  <si>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</si>
  <si>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</si>
  <si>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</si>
  <si>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</si>
  <si>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</si>
  <si>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</si>
  <si>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</si>
  <si>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</si>
  <si>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</si>
  <si>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</si>
  <si>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</si>
  <si>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</si>
  <si>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</si>
  <si>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Number of paid camp based WASH skilled labor</t>
  </si>
  <si>
    <t>V40</t>
  </si>
  <si>
    <t>Number of paid camp based WASH unskilled labor</t>
  </si>
  <si>
    <t>စခန္းအတြင္း အဖြဲ႕အစည္းမွ အခေၾကးေငြျဖင့္ခန္႔ထားေသာ (က်ြမ္းက်င္) WASH ၀န္ထမ္း အေရအတြက္</t>
  </si>
  <si>
    <t>new site</t>
  </si>
  <si>
    <t>Gaps analysis - Traffic light</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</si>
  <si>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</si>
  <si>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</si>
  <si>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</si>
  <si>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</si>
  <si>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</si>
  <si>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</si>
  <si>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</si>
  <si>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</si>
  <si>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</si>
  <si>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</si>
  <si>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</si>
  <si>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 Reached</t>
  </si>
  <si>
    <t>% Gap</t>
  </si>
  <si>
    <t>National</t>
  </si>
  <si>
    <t>??</t>
  </si>
  <si>
    <t>Pang Hkawn Yang</t>
  </si>
  <si>
    <t>Lone Khin Catholic Church</t>
  </si>
  <si>
    <t>Momauk IDP new Extension camp
(Alen Kawng Lawk)</t>
  </si>
  <si>
    <t>Mohyin</t>
  </si>
  <si>
    <t>Zupra</t>
  </si>
  <si>
    <t>Ban Dang</t>
  </si>
  <si>
    <t>Sut Chyai</t>
  </si>
  <si>
    <t>Da Wei</t>
  </si>
  <si>
    <t>Htai Ra Yang</t>
  </si>
  <si>
    <t>Lawt Awng</t>
  </si>
  <si>
    <t>Water Quality</t>
  </si>
  <si>
    <t>Improved water source</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</si>
  <si>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</si>
  <si>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</si>
  <si>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</si>
  <si>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</si>
  <si>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</si>
  <si>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</si>
  <si>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</si>
  <si>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</si>
  <si>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</si>
  <si>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</si>
  <si>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</si>
  <si>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</si>
  <si>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</si>
  <si>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</si>
  <si>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</si>
  <si>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</si>
  <si>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</si>
  <si>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</si>
  <si>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</si>
  <si>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</si>
  <si>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</si>
  <si>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</si>
  <si>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</si>
  <si>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</si>
  <si>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</si>
  <si>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</si>
  <si>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</si>
  <si>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</si>
  <si>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</si>
  <si>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</si>
  <si>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</si>
  <si>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</si>
  <si>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</si>
  <si>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</si>
  <si>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</si>
  <si>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</si>
  <si>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</si>
  <si>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</si>
  <si>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</si>
  <si>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</si>
  <si>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</si>
  <si>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</si>
  <si>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</si>
  <si>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</si>
  <si>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</si>
  <si>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</si>
  <si>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</si>
  <si>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</si>
  <si>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</si>
  <si>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</si>
  <si>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</si>
  <si>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</si>
  <si>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</si>
  <si>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</si>
  <si>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</si>
  <si>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</si>
  <si>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</si>
  <si>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</si>
  <si>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</si>
  <si>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</si>
  <si>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</si>
  <si>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</si>
  <si>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</si>
  <si>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</si>
  <si>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</si>
  <si>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</si>
  <si>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</si>
  <si>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</si>
  <si>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</si>
  <si>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</si>
  <si>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</si>
  <si>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</si>
  <si>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</si>
  <si>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</si>
  <si>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</si>
  <si>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</si>
  <si>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</si>
  <si>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</si>
  <si>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</si>
  <si>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</si>
  <si>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</si>
  <si>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</si>
  <si>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</si>
  <si>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</si>
  <si>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</si>
  <si>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</si>
  <si>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</si>
  <si>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</si>
  <si>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</si>
  <si>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</si>
  <si>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</si>
  <si>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</si>
  <si>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</si>
  <si>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</si>
  <si>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</si>
  <si>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</si>
  <si>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</si>
  <si>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</si>
  <si>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</si>
  <si>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</si>
  <si>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</si>
  <si>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</si>
  <si>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</si>
  <si>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</si>
  <si>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</si>
  <si>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</si>
  <si>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</si>
  <si>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</si>
  <si>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</si>
  <si>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</si>
  <si>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</si>
  <si>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</si>
  <si>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</si>
  <si>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</si>
  <si>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</si>
  <si>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</si>
  <si>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</si>
  <si>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</si>
  <si>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</si>
  <si>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</si>
  <si>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</si>
  <si>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</si>
  <si>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</si>
  <si>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</si>
  <si>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</si>
  <si>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</si>
  <si>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</si>
  <si>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</si>
  <si>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</si>
  <si>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</si>
  <si>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</si>
  <si>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</si>
  <si>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</si>
  <si>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</si>
  <si>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</si>
  <si>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</si>
  <si>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</si>
  <si>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</si>
  <si>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</si>
  <si>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</si>
  <si>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</si>
  <si>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</si>
  <si>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</si>
  <si>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</si>
  <si>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</si>
  <si>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</si>
  <si>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</si>
  <si>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</si>
  <si>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</si>
  <si>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</si>
  <si>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</si>
  <si>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</si>
  <si>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</si>
  <si>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</si>
  <si>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</si>
  <si>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OXSI (SI)</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</si>
  <si>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</si>
  <si>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</si>
  <si>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</si>
  <si>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</si>
  <si>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</si>
  <si>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</si>
  <si>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</si>
  <si>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</si>
  <si>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</si>
  <si>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</si>
  <si>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</si>
  <si>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</si>
  <si>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</si>
  <si>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</si>
  <si>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</si>
  <si>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</si>
  <si>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</si>
  <si>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</si>
  <si>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</si>
  <si>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</si>
  <si>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</si>
  <si>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</si>
  <si>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</si>
  <si>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</si>
  <si>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</si>
  <si>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</si>
  <si>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 of public open wells with sealed walls with water flowing/available all day used for drinking/domestic water</t>
  </si>
  <si>
    <t>Aim for dry season is 7.5 liters/person/day minimum</t>
  </si>
  <si>
    <t>Water points fully handed over  (managed by families / small group of families with repairs by WASH/camp committees)</t>
  </si>
  <si>
    <t xml:space="preserve">HRP2: Percentage of targeted women, men, boys and girls benefitting from a functional excreta disposal system, reducing safety/public health/environmental risks
</t>
  </si>
  <si>
    <t>V42</t>
  </si>
  <si>
    <t>Report current number of non-functional latrines (Cluster &amp; Non-Cluster Partner)</t>
  </si>
  <si>
    <t>V43</t>
  </si>
  <si>
    <t>V44</t>
  </si>
  <si>
    <t>V45</t>
  </si>
  <si>
    <t>V46</t>
  </si>
  <si>
    <t>V47</t>
  </si>
  <si>
    <t>V48</t>
  </si>
  <si>
    <t>Provide bins, incinerator, regular collection system and final disposal system</t>
  </si>
  <si>
    <t>V49</t>
  </si>
  <si>
    <t xml:space="preserve">Is the drainage system functional/effective? This means no stagnant water / water with continuous flow. No stagnant water around WASH facilities and preventing access. And no standing water/mosquito breeding areas throughout the camp during the dry season. </t>
  </si>
  <si>
    <t>V50</t>
  </si>
  <si>
    <t>V51</t>
  </si>
  <si>
    <t>V52</t>
  </si>
  <si>
    <t>V53</t>
  </si>
  <si>
    <t>V54</t>
  </si>
  <si>
    <t># handwashing stations constructed</t>
  </si>
  <si>
    <t>V55</t>
  </si>
  <si>
    <t># of communal bathing spaces constructed</t>
  </si>
  <si>
    <t>V56</t>
  </si>
  <si>
    <t># of individual bathing spaces constructed</t>
  </si>
  <si>
    <t>V57</t>
  </si>
  <si>
    <t>Number of male hygiene promoters</t>
  </si>
  <si>
    <t># of female hygiene promoters working during the reporting period per site (camp or village based) that are paid or receive some sort of incentive by the cluster partner.</t>
  </si>
  <si>
    <t>V58</t>
  </si>
  <si>
    <t>Number of female hygiene promoters</t>
  </si>
  <si>
    <t># of male hygiene promoters working during the reporting period per site (camp or village based) that are paid or receive some sort of incentive by the cluster partner.</t>
  </si>
  <si>
    <t>V59</t>
  </si>
  <si>
    <t>Number of households that received standard amount of soap for this quarter</t>
  </si>
  <si>
    <t>V60</t>
  </si>
  <si>
    <t>V61</t>
  </si>
  <si>
    <t>V62</t>
  </si>
  <si>
    <t>V63</t>
  </si>
  <si>
    <r>
      <rPr>
        <b/>
        <sz val="12"/>
        <color rgb="FF2C2C2C"/>
        <rFont val="Gill Sans MT"/>
        <family val="2"/>
      </rPr>
      <t>Camp:</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Village:</t>
    </r>
    <r>
      <rPr>
        <sz val="12"/>
        <color rgb="FF2C2C2C"/>
        <rFont val="Gill Sans MT"/>
        <family val="2"/>
      </rPr>
      <t xml:space="preserve"> Hand dug well 250 PPL, Hand Pump 250 PPL,15L/P/D : 8 hr tapstand open</t>
    </r>
  </si>
  <si>
    <t>#_Non-functional latrines</t>
  </si>
  <si>
    <t>#_Operation &amp; maintenance of latrines</t>
  </si>
  <si>
    <t>#_Non Cluster partner latrines</t>
  </si>
  <si>
    <t>#_Latrines desludged during the past quarter</t>
  </si>
  <si>
    <t>#_Cubic meters of desludging in past quarter</t>
  </si>
  <si>
    <t>#_Latrines fully handed over</t>
  </si>
  <si>
    <t>Is there provision of solid waste management equipment (i.e. waste bins, incinerator, community-led waste management system)?</t>
  </si>
  <si>
    <t xml:space="preserve">Is there constructed surface water drainage system?
</t>
  </si>
  <si>
    <t>Is there provision of solid waste management equipment?</t>
  </si>
  <si>
    <t>#_ paid camp based WASH skilled labor</t>
  </si>
  <si>
    <t>#_paid camp based unskilled WASH unskilled labor</t>
  </si>
  <si>
    <t>#_men on camp WASH team</t>
  </si>
  <si>
    <t>#_women on camp WASH team</t>
  </si>
  <si>
    <t>#_Non-functional protected hand dug well</t>
  </si>
  <si>
    <t>#_Operation &amp; Maintenance of hand dug well</t>
  </si>
  <si>
    <t>#_Non-functional tube wells/boreholes/handpumps</t>
  </si>
  <si>
    <t>#_Operation &amp; Maintenance of tube wells/boreholes/handpumps</t>
  </si>
  <si>
    <t>#_Non-Cluster partner water tube-wells/boreholes/handpumps</t>
  </si>
  <si>
    <t>#_Non-functional storage tank gravity fed reticulation system</t>
  </si>
  <si>
    <t>#_Operation &amp; maintenance of storage tank and reticulation system</t>
  </si>
  <si>
    <t>#_Water points fully handed over</t>
  </si>
  <si>
    <t>#_male hygiene promoters</t>
  </si>
  <si>
    <t>#_female hygiene promoters</t>
  </si>
  <si>
    <t>#_households that received standard amount of soap for this quarter</t>
  </si>
  <si>
    <t>#_Hygiene Promotion activities (sessions) in TLS?</t>
  </si>
  <si>
    <t xml:space="preserve">Hygiene
Comments </t>
  </si>
  <si>
    <t>Camp figures is needed to align with CCCM</t>
  </si>
  <si>
    <t>Site information</t>
  </si>
  <si>
    <t>Project Duration</t>
  </si>
  <si>
    <t>WASH Partner &amp; Donor information</t>
  </si>
  <si>
    <t>Total # of Functioning latrine</t>
  </si>
  <si>
    <t># of Functioning latrine</t>
  </si>
  <si>
    <t># people access to continuous sanitation services desluding</t>
  </si>
  <si>
    <t>Number of people with equitable access to continuous sanitation services (desluding)</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</si>
  <si>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</si>
  <si>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</si>
  <si>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</si>
  <si>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</si>
  <si>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</si>
  <si>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</si>
  <si>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</si>
  <si>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</si>
  <si>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</si>
  <si>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</si>
  <si>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</si>
  <si>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</si>
  <si>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</si>
  <si>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</si>
  <si>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</si>
  <si>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</si>
  <si>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</si>
  <si>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</si>
  <si>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</si>
  <si>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</si>
  <si>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</si>
  <si>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</si>
  <si>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</si>
  <si>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</si>
  <si>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</si>
  <si>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</si>
  <si>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</si>
  <si>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</si>
  <si>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</si>
  <si>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</si>
  <si>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</si>
  <si>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</si>
  <si>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</si>
  <si>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</si>
  <si>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</si>
  <si>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</si>
  <si>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</si>
  <si>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</si>
  <si>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</si>
  <si>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</si>
  <si>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</si>
  <si>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</si>
  <si>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</si>
  <si>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</si>
  <si>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</si>
  <si>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</si>
  <si>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</si>
  <si>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</si>
  <si>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</si>
  <si>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Cubic meters of desludging during reporting period</t>
  </si>
  <si>
    <t># Liters/person/day</t>
  </si>
  <si>
    <t>drop down (Yes,No)</t>
  </si>
  <si>
    <t>Dropdown (Functional,Not_Functional,No,NA)</t>
  </si>
  <si>
    <t>Non-functional protected hand dug well during reporting period</t>
  </si>
  <si>
    <t># of non-functional hand dug wells reported l during reporting period</t>
  </si>
  <si>
    <t>Operation &amp; Maintenance of hand dug well during reporting period</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</si>
  <si>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</si>
  <si>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</si>
  <si>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</si>
  <si>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</si>
  <si>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</si>
  <si>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</si>
  <si>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</si>
  <si>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</si>
  <si>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</si>
  <si>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အစီရင္ခံစာ ေပးပို႔သည္႔ကာလအတြင္း မိသားစုသံုး ေသာက္ေရမွ ေရနမူနာယူျပီး ေရစမ္းသပ္ျခင္း</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</si>
  <si>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</si>
  <si>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</si>
  <si>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</si>
  <si>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</si>
  <si>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</si>
  <si>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</si>
  <si>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</si>
  <si>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</si>
  <si>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Constructed/Existing protected/fenced ponds</t>
  </si>
  <si>
    <t>Constructed/Existing hand washing stations</t>
  </si>
  <si>
    <t xml:space="preserve">Constructed/Existing individual bathing spaces </t>
  </si>
  <si>
    <t xml:space="preserve">Constructed/Existing communal bathing spaces </t>
  </si>
  <si>
    <t>#_Constructed/Existingwater storage tank with gravity fed reticulation system</t>
  </si>
  <si>
    <t>#_Constructed/Existing protected/fenced ponds</t>
  </si>
  <si>
    <t>#_Constructed/Existing child friendly latrines</t>
  </si>
  <si>
    <t xml:space="preserve">#_Constructed/Existing disabled &amp; elderly friendly latrines </t>
  </si>
  <si>
    <t>#_Constructed/Existing hand washing stations</t>
  </si>
  <si>
    <t xml:space="preserve">#_Constructed/Existing communal bathing spaces </t>
  </si>
  <si>
    <t>Rakhine/Kachin</t>
  </si>
  <si>
    <t>site A</t>
  </si>
  <si>
    <t>auto calculation</t>
  </si>
  <si>
    <t># of hand dug wells that have undergone operation and maintenance work during reporting period</t>
  </si>
  <si>
    <t>Constructed tube wells/boreholes/handpumps by WASH agency</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</si>
  <si>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</si>
  <si>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</si>
  <si>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</si>
  <si>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Constructed/existing protected hand dug well</t>
  </si>
  <si>
    <t>Constructed water tube-wells/boreholes/handpumps by Non-cluster partners</t>
  </si>
  <si>
    <t xml:space="preserve"># of tube-wells/boreholes/handpumps constructed by non-traditional WASH Cluster partners or partners that have not been reporting to the WASH Cluster </t>
  </si>
  <si>
    <t>Constructed latrines (cluster semi-permanent design for protracted sites; cluster emergency design for new displacement sites) by WASH agency</t>
  </si>
  <si>
    <t xml:space="preserve">Constructed latrines by Non-Cluster partner </t>
  </si>
  <si>
    <t>Report construction of latrines by non-traditional WASH Cluster partners or partners that have not be reporting to the WASH Cluster</t>
  </si>
  <si>
    <t>V64</t>
  </si>
  <si>
    <t>V65</t>
  </si>
  <si>
    <t>Donors should be filled WASH program agency's donor if WASH project agency and WASH implementing agency is different.</t>
  </si>
  <si>
    <t>Non-functional storage tank with gravity fed reticulation system  during reporting period</t>
  </si>
  <si>
    <t>Operation &amp; maintenance of storage tank with gravity fed reticulation system during reporting period</t>
  </si>
  <si>
    <t># of Non-functional storage tank gravity fed reticulation system  during reporting period</t>
  </si>
  <si>
    <t># of water storage tank that have undergone operation and maintenance work  during reporting period</t>
  </si>
  <si>
    <t>Non-Functional hand washing stations during reporting period</t>
  </si>
  <si>
    <t># Non-Functional hand washing stations during reporting period</t>
  </si>
  <si>
    <t>Non-Functional communal bathing spaces during reporting period</t>
  </si>
  <si>
    <t># Non-Functional communal bathing spaces during reporting period</t>
  </si>
  <si>
    <r>
      <t xml:space="preserve">% Latrines requiring  repairs/maintenance
</t>
    </r>
    <r>
      <rPr>
        <b/>
        <sz val="10"/>
        <color rgb="FFFF0000"/>
        <rFont val="Crobel"/>
      </rPr>
      <t>Red &gt;=10%,</t>
    </r>
    <r>
      <rPr>
        <b/>
        <sz val="10"/>
        <color theme="0"/>
        <rFont val="Crobel"/>
      </rPr>
      <t xml:space="preserve">
</t>
    </r>
    <r>
      <rPr>
        <b/>
        <sz val="10"/>
        <color theme="5" tint="-0.249977111117893"/>
        <rFont val="Crobel"/>
      </rPr>
      <t>Orange 0%~9%,</t>
    </r>
    <r>
      <rPr>
        <b/>
        <sz val="10"/>
        <color theme="0"/>
        <rFont val="Crobel"/>
      </rPr>
      <t xml:space="preserve">
</t>
    </r>
    <r>
      <rPr>
        <b/>
        <sz val="10"/>
        <color rgb="FF00B050"/>
        <rFont val="Crobel"/>
      </rPr>
      <t>Green =0%</t>
    </r>
  </si>
  <si>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</si>
  <si>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</si>
  <si>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</si>
  <si>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</si>
  <si>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</si>
  <si>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</si>
  <si>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</si>
  <si>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</si>
  <si>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</si>
  <si>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</si>
  <si>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</si>
  <si>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</si>
  <si>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</si>
  <si>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</si>
  <si>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</si>
  <si>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#_Non-Functional_hand_washing_stations</t>
  </si>
  <si>
    <t xml:space="preserve">#_Constructed/Existing_individual_bathing_spaces </t>
  </si>
  <si>
    <t xml:space="preserve">#_Non-Functional communal_bathing spaces </t>
  </si>
  <si>
    <t>WASH Focal in camp management structure?</t>
  </si>
  <si>
    <t>#_Constructed/existing protected hand dug well</t>
  </si>
  <si>
    <t>#_Constructed/Existing tube wells/boreholes/handpumps_WASH_agency</t>
  </si>
  <si>
    <t>#_Constructed latrines_by_WASHAgencies</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</si>
  <si>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</si>
  <si>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</si>
  <si>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</si>
  <si>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</si>
  <si>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</si>
  <si>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</si>
  <si>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</si>
  <si>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Non-functional tube wells/boreholes/handpumps during reporting period (including non-cluster partners)</t>
  </si>
  <si>
    <t># of non-functional tubewells reported during reporting period including non-cluster partners</t>
  </si>
  <si>
    <t>Operation &amp; Maintenance of tube wells/boreholes/handpumps during reporting period (including non-cluster partners)</t>
  </si>
  <si>
    <t># of tube-wells/boreholes/handpumps that have undergone operation and maintenance work during reporting period including non-cluster partners</t>
  </si>
  <si>
    <t>Constructed/Existing water storage tank with gravity fed reticulation system from spring</t>
  </si>
  <si>
    <t>#cubic meters</t>
  </si>
  <si>
    <t>Estimate liters/person/day (cubic meters)</t>
  </si>
  <si>
    <t>Constructed water distribution system from river</t>
  </si>
  <si>
    <t>A water distribution system constructed from a naturally occuring surface water source. (based on  water flow rate (liter/sec))</t>
  </si>
  <si>
    <t>How many committes/technicians trained and maintaining the water points (ownership by community)?</t>
  </si>
  <si>
    <t># of committes/technicians trained and maintaining the water points (ownership by community)?</t>
  </si>
  <si>
    <t>Indicate the name of Non-Cluster partner who constructed latrines</t>
  </si>
  <si>
    <t>Non-functional latrines during reporting quarter (including Non-Cluster partner)</t>
  </si>
  <si>
    <t>Operation &amp; maintenance of latrines (major repairs/maintenance)  during reporting quarter (including Non-Cluster partner)</t>
  </si>
  <si>
    <t>Major repairs or maintenance include: need for coverage of septic tank, major structural damage with no doors, superstructure/walls, roof, major pipes breakage, steps/access which makes the latrine to be considered a 'non-functional latrine.' (Cluster &amp; Non-Cluster Partner)</t>
  </si>
  <si>
    <t>Latrines desludged during reporting period (including Non-Cluster partner)</t>
  </si>
  <si>
    <t># of latrines desludged during reporting quarter (Count the number of latrine dropholes or doors, not number of septic tanks)  (including Non-Cluster partner)</t>
  </si>
  <si>
    <t>Calculate the cubic meters of sludge removed from latrines during that last quarter (for big septic tanks)</t>
  </si>
  <si>
    <t>Latrines fully handed over (managed by a family or small group of families)</t>
  </si>
  <si>
    <t># of shared latrines accessible to all persons in the family and managed by a family or a small group of families/neighbors. Fully handed over from WASH cluster partner to family/community.</t>
  </si>
  <si>
    <t>Kachin/Shan</t>
  </si>
  <si>
    <t>HHs targeted (i.e. 89% in Rakhine) who received soap at least once in the reporting quarter (Soap means: a pack of soaps as provided in a standard Hygiene Kit )</t>
  </si>
  <si>
    <t>Is soap available for TLS and CFS? (Yes/No)</t>
  </si>
  <si>
    <t>V66</t>
  </si>
  <si>
    <r>
      <t>Provision of Hygiene Promotion activities (</t>
    </r>
    <r>
      <rPr>
        <b/>
        <sz val="10"/>
        <rFont val="Corbel"/>
        <family val="2"/>
      </rPr>
      <t>sessions?</t>
    </r>
    <r>
      <rPr>
        <sz val="10"/>
        <rFont val="Corbel"/>
        <family val="2"/>
      </rPr>
      <t>) in TLS and CFS during the reporting period</t>
    </r>
  </si>
  <si>
    <t># sessions on hygiene promotion are organized with the students and/or support provided to the teachers during the reporting period</t>
  </si>
  <si>
    <t>V67</t>
  </si>
  <si>
    <t>% of students reached by Hygiene Promition activities</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</si>
  <si>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</si>
  <si>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</si>
  <si>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</si>
  <si>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</si>
  <si>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</si>
  <si>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</si>
  <si>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</si>
  <si>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</si>
  <si>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</si>
  <si>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</si>
  <si>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</si>
  <si>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</si>
  <si>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</si>
  <si>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</si>
  <si>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</si>
  <si>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</si>
  <si>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</si>
  <si>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</si>
  <si>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</si>
  <si>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</si>
  <si>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#_committes/technicians trained and maintaining the water points</t>
  </si>
  <si>
    <t>Name of Non-Cluster partner who constructed latrines</t>
  </si>
  <si>
    <t>% of students reached by HP activities</t>
  </si>
  <si>
    <t>% of water sources treated</t>
  </si>
  <si>
    <t>% Household received corrective actions due to contamination</t>
  </si>
  <si>
    <t>Warter quality test done</t>
  </si>
  <si>
    <t>Functional protected hand dug well during reporting period</t>
  </si>
  <si>
    <t>Functional tube wells/boreholes/handpumps during reporting period (including non-cluster partners)</t>
  </si>
  <si>
    <t>Functional storage tank with gravity fed reticulation system  during reporting period</t>
  </si>
  <si>
    <t>Functional protected hand dug well</t>
  </si>
  <si>
    <t>Functional tube wells/boreholes/handpumps (including non-cluster partners)</t>
  </si>
  <si>
    <t>Functional storage tank with gravity fed reticulation system</t>
  </si>
  <si>
    <t xml:space="preserve">
Water boating or water trucking</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</si>
  <si>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</si>
  <si>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</si>
  <si>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</si>
  <si>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</si>
  <si>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</si>
  <si>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</si>
  <si>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</si>
  <si>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</si>
  <si>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</si>
  <si>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</si>
  <si>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 Functional hand washing stations during reporting period</t>
  </si>
  <si>
    <t>Nb of Functional hand washing stations during reporting period</t>
  </si>
  <si>
    <t>HRP3</t>
  </si>
  <si>
    <t>HRP 3a</t>
  </si>
  <si>
    <t>HRP 3b</t>
  </si>
  <si>
    <t xml:space="preserve"> # of women, men, boys and girls benefitting from timely/adequate/tailored personal hygiene items and receiving appropriate/ community tailored messages that enable health seeking behavior</t>
  </si>
  <si>
    <t xml:space="preserve">Camp: 100HH:1 
Village: 100HH:1
Sphere: 750 grams of soap for bathing per person per quater (11kgs/HH/Qtr - HH=5 People)
Sphere: either absorbent cotton material (4 square metres per year), disposable pads (45 pe rquater) or reusable sanitary pads (six per year), as preferred by women and girls. + extra 750grms soap.
</t>
  </si>
  <si>
    <t># of hand washing stations with soap in TLS</t>
  </si>
  <si>
    <t>Nb of hand washing stations with soap in TLS</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</si>
  <si>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</si>
  <si>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</si>
  <si>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</si>
  <si>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</si>
  <si>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</si>
  <si>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</si>
  <si>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</si>
  <si>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Temporary location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</si>
  <si>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</si>
  <si>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</si>
  <si>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</si>
  <si>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Shan (North) Total</t>
  </si>
  <si>
    <t>Boe Taw monastery</t>
  </si>
  <si>
    <t>Man Li</t>
  </si>
  <si>
    <t>Sasana 2500 monastery</t>
  </si>
  <si>
    <t>OXSI (OXFAM)</t>
  </si>
  <si>
    <t>IDP only</t>
  </si>
  <si>
    <t>Northern Rakhine</t>
  </si>
  <si>
    <t>Central Rakhine</t>
  </si>
  <si>
    <t xml:space="preserve"> # People received regular supply of hygiene items</t>
  </si>
  <si>
    <t># People access to Handwashing Station</t>
  </si>
  <si>
    <t xml:space="preserve"> # People access to Handwashing Station</t>
  </si>
  <si>
    <t xml:space="preserve"> # people reached by regular dedicated hygiene promotion</t>
  </si>
  <si>
    <t>New Temporary Site</t>
  </si>
  <si>
    <t>% Access to unimproved water points</t>
  </si>
  <si>
    <t># Operation &amp; maintenance of latrines</t>
  </si>
  <si>
    <t># Latrines desludged</t>
  </si>
  <si>
    <t># handed over</t>
  </si>
  <si>
    <t>Sum of # Existing functional latrines</t>
  </si>
  <si>
    <t xml:space="preserve">  Total # of latrine</t>
  </si>
  <si>
    <t>Operation &amp; maintenance</t>
  </si>
  <si>
    <t>it is included non-functioning latrines</t>
  </si>
  <si>
    <t>functioning latrines</t>
  </si>
  <si>
    <t># Operation &amp; maintenance</t>
  </si>
  <si>
    <t xml:space="preserve">Count of Is there constructed surface water drainage system?
</t>
  </si>
  <si>
    <t>Count of Is there provision of solid waste management equipment?</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</si>
  <si>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</si>
  <si>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</si>
  <si>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</si>
  <si>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</si>
  <si>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</si>
  <si>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</si>
  <si>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</si>
  <si>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</si>
  <si>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Sum of #_households that received standard amount of soap for this quarter</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</si>
  <si>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</si>
  <si>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</si>
  <si>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</si>
  <si>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xml:space="preserve"> #_Hygiene Promotion activities (sessions) in TLS?</t>
  </si>
  <si>
    <t xml:space="preserve"> # of hand washing stations with soap in TLS</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</si>
  <si>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</si>
  <si>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</si>
  <si>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</si>
  <si>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</si>
  <si>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WFP</t>
  </si>
  <si>
    <t># of People adopt basic personal and community hygiene practices</t>
  </si>
  <si>
    <t># of people access to functioning  sanitation facilities</t>
  </si>
  <si>
    <t># of people Equitable and continuous access to sufficient quantity of domestic water</t>
  </si>
  <si>
    <t>Sites with TLS</t>
  </si>
  <si>
    <t>Oxfam/ ICRC</t>
  </si>
  <si>
    <t>Chruch</t>
  </si>
  <si>
    <t>Unicef &amp; World vision</t>
  </si>
  <si>
    <t>remove from db, ipds moved to lawa rc church</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</si>
  <si>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</si>
  <si>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</si>
  <si>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(Non-IDP)</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</si>
  <si>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</si>
  <si>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</si>
  <si>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</si>
  <si>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</si>
  <si>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</si>
  <si>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</si>
  <si>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</si>
  <si>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Latrine Coverage</t>
  </si>
  <si>
    <t xml:space="preserve">  % Hygiene Coverage</t>
  </si>
  <si>
    <t>WVI</t>
  </si>
  <si>
    <t># Tested</t>
  </si>
  <si>
    <t>No test</t>
  </si>
  <si>
    <t xml:space="preserve"> # Tested</t>
  </si>
  <si>
    <t xml:space="preserve"> # Household received remediation action</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</si>
  <si>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</si>
  <si>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</si>
  <si>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</si>
  <si>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</si>
  <si>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</si>
  <si>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 xml:space="preserve">Htang Nya </t>
  </si>
  <si>
    <t>HPA</t>
  </si>
  <si>
    <t>Lian Bang village</t>
  </si>
  <si>
    <t>Lian He village</t>
  </si>
  <si>
    <t>Ci He village</t>
  </si>
  <si>
    <t>New Man Jiu village</t>
  </si>
  <si>
    <t>To be edited</t>
  </si>
  <si>
    <t>Site</t>
  </si>
  <si>
    <t>WATER_17. Water issues/challenges (Community Feedback)</t>
  </si>
  <si>
    <t>General_state</t>
  </si>
  <si>
    <t>Sanitation_23. Sanitation issues/challenges (Community Feedback)</t>
  </si>
  <si>
    <t>Hygiene_29. Hygiene Issues/Challenges (Community Feedback)</t>
  </si>
  <si>
    <t>Hpa Ji Shalat Boarding School ( Daw Hpum Yang)</t>
  </si>
  <si>
    <t>MMR001CMP274</t>
  </si>
  <si>
    <t>Ding Ga Yang</t>
  </si>
  <si>
    <t>Q3_2019</t>
  </si>
  <si>
    <t>31/July/2019: Population update. Data source: UNHCR Bhamo</t>
  </si>
  <si>
    <t>Lwe Mauk Yang Boarding School</t>
  </si>
  <si>
    <t>MMR001CMP275</t>
  </si>
  <si>
    <t>Lwe Mauk Yang</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</si>
  <si>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</si>
  <si>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</si>
  <si>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</si>
  <si>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affected people surveyed who report</t>
    </r>
    <r>
      <rPr>
        <b/>
        <u/>
        <sz val="10"/>
        <rFont val="Corbel"/>
        <family val="2"/>
      </rPr>
      <t xml:space="preserve"> feeling informe</t>
    </r>
    <r>
      <rPr>
        <sz val="10"/>
        <rFont val="Corbel"/>
        <family val="2"/>
      </rPr>
      <t>d about the different WASH services available to them</t>
    </r>
  </si>
  <si>
    <t>% of complaints received that result in timely, corrective action and feedback to the community</t>
  </si>
  <si>
    <t>V69</t>
  </si>
  <si>
    <t>V70</t>
  </si>
  <si>
    <t>V71</t>
  </si>
  <si>
    <t>V72</t>
  </si>
  <si>
    <t>V73</t>
  </si>
  <si>
    <t>%_of_affected_people_surveyed_who_report_feeling_satistfied_with_the_latrine_design_and_sanitation_service</t>
  </si>
  <si>
    <t>%_of_affected_people_surveyed_who_report_feeling_satistfied_with_the_water_point_design_and_water_service</t>
  </si>
  <si>
    <t>#_of_affected_people_surveyed_who_report_feeling_informed_about_the_different_WASH_services_available_to_them</t>
  </si>
  <si>
    <t>%_of_complaints_received_that_result_in_timely_corrective_action_and_feedback_to_the_community</t>
  </si>
  <si>
    <t>စခန္းတြင္းေနထိုင္ေသာ အထူးဂရုစိုက္မွူ လိုအပ္ေသာ အုပ္စုမွ တစ္ကိုယ္ရည္သန္႔ရွင္းေရးဆိုင္ရာ မ်ား ေကာင္းမြန္စြာအသံုးျပဳနိုင္သူ အေရအတြက္</t>
  </si>
  <si>
    <r>
      <t>စခန္းတြင္းေနထိုင္သူမ်ားမွ WASH အဖြဲ႔မ်ား တည္ေဆာက္ေပးေသာ</t>
    </r>
    <r>
      <rPr>
        <b/>
        <sz val="10"/>
        <color theme="1"/>
        <rFont val="zawgyi1"/>
        <family val="2"/>
      </rPr>
      <t xml:space="preserve"> အိမ္သာပံုစံ မ်ားႏွင္႔ မိလႅာစုပ္ယူ သည္႔ စနစ္မ်ား အေပၚေက်နပ္မွဳ ရွိ ၊ မရွိ</t>
    </r>
    <r>
      <rPr>
        <sz val="10"/>
        <color theme="1"/>
        <rFont val="zawgyi1"/>
        <family val="2"/>
      </rPr>
      <t xml:space="preserve"> သတင္းေပးပို႔နိုင္ျခင္း (ရာခိုင္နွုန္းအားျဖင့္ ေဖာ္ျပပါ)</t>
    </r>
  </si>
  <si>
    <r>
      <t>စခန္းတြင္းေနထိုင္သူမ်ားမွ WASH အဖြဲ႔မ်ား တည္ေဆာက္ေပးေ</t>
    </r>
    <r>
      <rPr>
        <b/>
        <sz val="10"/>
        <color theme="1"/>
        <rFont val="zawgyi1"/>
        <family val="2"/>
      </rPr>
      <t>သာ ေရထြက္ပင္ရင္း မ်ားႏွင္႔ေရသြယ္တန္းစနစ္မ်ား အေပၚေက်နပ္မွဳ ရွိ ၊ မရွိ</t>
    </r>
    <r>
      <rPr>
        <sz val="10"/>
        <color theme="1"/>
        <rFont val="zawgyi1"/>
        <family val="2"/>
      </rPr>
      <t xml:space="preserve"> သတင္းေပးပို႔နိုင္ျခင္း (ရာခိုင္နွုန္းအားျဖင့္ ေဖာ္ျပပါ)</t>
    </r>
  </si>
  <si>
    <t>ေရႏွင္႔ သန္႔ရွင္းေရးဆိုင္ရာ လုပ္ငန္းမ်ား၀န္ေဆာင္မွဳမ်ားအေပၚ ေ၀ဖန္မွူမ်ားေပးပို႔ျခင္း အေပၚ ၌ အခ်ိန္ႏွင္႔တေျပးည္ီ ျပန္ လည္ ေျဖရွင္းမွဳမ်ား ျပဳလုပ္ေပးနိုင္ျခင္း (ရာခိုင္နွုန္းအားျဖင့္ ေဖာ္ျပပါ)</t>
  </si>
  <si>
    <r>
      <t>စခန္းေနထိုင္သူမ်ားမွ မတူညီေသာWASH အဖြဲမ်ားမွ ေရႏွင္႔ သန္႔ရွင္းေရးဆိုင္ရာ လုပ္ငန္းမ်ား ၀န္ေဆာင္မွဳမ်ားအေပၚတြင္</t>
    </r>
    <r>
      <rPr>
        <b/>
        <sz val="10"/>
        <color theme="1"/>
        <rFont val="zawgyi1"/>
        <family val="2"/>
      </rPr>
      <t xml:space="preserve"> ျပန္လည္ေ၀ဖန္မွဳမ်ားေပးပို႔နိုင္ေ</t>
    </r>
    <r>
      <rPr>
        <sz val="10"/>
        <color theme="1"/>
        <rFont val="zawgyi1"/>
        <family val="2"/>
      </rPr>
      <t>သာ လူအေရအတြက္</t>
    </r>
  </si>
  <si>
    <r>
      <t>စခန္းတြင္းေနထိုင္သူမ်ားမွ WASH အဖြဲ႔မ်ား တည္ေဆာက္ေပးေသာ</t>
    </r>
    <r>
      <rPr>
        <b/>
        <sz val="8"/>
        <color theme="1"/>
        <rFont val="zawgyi1"/>
        <family val="2"/>
      </rPr>
      <t xml:space="preserve"> အိမ္သာပံုစံ မ်ားႏွင္႔ မိလႅာစုပ္ယူ သည္႔ စနစ္မ်ား အေပၚေက်နပ္မွဳ ရွိ ၊ မရွိ</t>
    </r>
    <r>
      <rPr>
        <sz val="8"/>
        <color theme="1"/>
        <rFont val="zawgyi1"/>
        <family val="2"/>
      </rPr>
      <t xml:space="preserve"> သတင္းေပးပို႔နိုင္ျခင္း (ရာခိုင္နွုန္းအားျဖင့္ ေဖာ္ျပပါ)</t>
    </r>
  </si>
  <si>
    <r>
      <t>စခန္းတြင္းေနထိုင္သူမ်ားမွ WASH အဖြဲ႔မ်ား တည္ေဆာက္ေပးေ</t>
    </r>
    <r>
      <rPr>
        <b/>
        <sz val="8"/>
        <color theme="1"/>
        <rFont val="zawgyi1"/>
        <family val="2"/>
      </rPr>
      <t>သာ ေရထြက္ပင္ရင္း မ်ားႏွင္႔ေရသြယ္တန္းစနစ္မ်ား အေပၚေက်နပ္မွဳ ရွိ ၊ မရွိ</t>
    </r>
    <r>
      <rPr>
        <sz val="8"/>
        <color theme="1"/>
        <rFont val="zawgyi1"/>
        <family val="2"/>
      </rPr>
      <t xml:space="preserve"> သတင္းေပးပို႔နိုင္ျခင္း (ရာခိုင္နွုန္းအားျဖင့္ ေဖာ္ျပပါ)</t>
    </r>
  </si>
  <si>
    <r>
      <t>စခန္းေနထိုင္သူမ်ားမွ မတူညီေသာWASH အဖြဲမ်ားမွ ေရႏွင္႔ သန္႔ရွင္းေရးဆိုင္ရာ လုပ္ငန္းမ်ား ၀န္ေဆာင္မွဳမ်ားအေပၚတြင္</t>
    </r>
    <r>
      <rPr>
        <b/>
        <sz val="8"/>
        <color theme="1"/>
        <rFont val="zawgyi1"/>
        <family val="2"/>
      </rPr>
      <t xml:space="preserve"> ျပန္လည္ေ၀ဖန္မွဳမ်ားေပးပို႔နိုင္ေ</t>
    </r>
    <r>
      <rPr>
        <sz val="8"/>
        <color theme="1"/>
        <rFont val="zawgyi1"/>
        <family val="2"/>
      </rPr>
      <t>သာ လူအေရအတြက္</t>
    </r>
  </si>
  <si>
    <t>Robert -High school</t>
  </si>
  <si>
    <t>AD 2000 School</t>
  </si>
  <si>
    <t>Yi Ku Man Kan school</t>
  </si>
  <si>
    <t>Pamati Camp</t>
  </si>
  <si>
    <t>Mansan</t>
  </si>
  <si>
    <t>Naunghwe-Naung San Primary School</t>
  </si>
  <si>
    <t>Quarter -7 , Lashio</t>
  </si>
  <si>
    <t xml:space="preserve">Mine Tin </t>
  </si>
  <si>
    <t xml:space="preserve">Mat Chi Nu </t>
  </si>
  <si>
    <t xml:space="preserve">Nam Sa Lap ,Upper Church </t>
  </si>
  <si>
    <t xml:space="preserve">SGZ </t>
  </si>
  <si>
    <t>Za Yan Gyi Monastery</t>
  </si>
  <si>
    <t>Ka Yar Lane , 74 Miles</t>
  </si>
  <si>
    <t>38 Mine ManPying Monastery</t>
  </si>
  <si>
    <t>Kho Long</t>
  </si>
  <si>
    <t>Tang Tan</t>
  </si>
  <si>
    <t>Quarter 2 , Edin</t>
  </si>
  <si>
    <t xml:space="preserve">Quarter 4, Khar Nan </t>
  </si>
  <si>
    <t>Maw Han</t>
  </si>
  <si>
    <t>Column1</t>
  </si>
  <si>
    <t>Column2</t>
  </si>
  <si>
    <t>Sum of #_Non-functional latrines</t>
  </si>
  <si>
    <t>Not_Functioing</t>
  </si>
  <si>
    <t>Not_Functioning</t>
  </si>
  <si>
    <t>AAP</t>
  </si>
  <si>
    <t>Average of %_of_affected_people_surveyed_who_report_feeling_satistfied_with_the_latrine_design_and_sanitation_service</t>
  </si>
  <si>
    <t>Average of %_of_affected_people_surveyed_who_report_feeling_satistfied_with_the_water_point_design_and_water_service</t>
  </si>
  <si>
    <t>Average of %_of_complaints_received_that_result_in_timely_corrective_action_and_feedback_to_the_community</t>
  </si>
  <si>
    <t xml:space="preserve"> %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</si>
  <si>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</si>
  <si>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</si>
  <si>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Momauk IDP new extension camp (Kye Nan)</t>
  </si>
  <si>
    <t>change name in Q3-2019</t>
  </si>
  <si>
    <t>Sector 5 Pammati Quarter</t>
  </si>
  <si>
    <t>MMR001CMP276</t>
  </si>
  <si>
    <t>30/September/2019: Population update. Data source: KMSS-M ( 4 HHs out 30 have houses in MKN and under assessment process) 
31/July/2019: Population update. Data source: UNHCR Bhamo</t>
  </si>
  <si>
    <t>Pam Ma Ti</t>
  </si>
  <si>
    <t>Q4_2019</t>
  </si>
  <si>
    <t>Momauk IDP new extension camp (Kye Nan) Total</t>
  </si>
  <si>
    <t>Kyauk Taw</t>
  </si>
  <si>
    <t>Pann Ninn</t>
  </si>
  <si>
    <t>Kyaukme Damma Yone</t>
  </si>
  <si>
    <t>ICRC &amp; DVB</t>
  </si>
  <si>
    <t>Lahkum</t>
  </si>
  <si>
    <t>N-gum La</t>
  </si>
  <si>
    <t>Dam ( Zup Ngai Yang)</t>
  </si>
  <si>
    <t>Um Uma</t>
  </si>
  <si>
    <t>Bum Run</t>
  </si>
  <si>
    <t>N-bau Tu</t>
  </si>
  <si>
    <t>%_of_affected_people_surveyed_who_report_feeling_informed_about_the_different_WASH_services_available_to_them2</t>
  </si>
  <si>
    <r>
      <t>% of affected people surveyed who report</t>
    </r>
    <r>
      <rPr>
        <b/>
        <u/>
        <sz val="10"/>
        <rFont val="Corbel"/>
        <family val="2"/>
      </rPr>
      <t xml:space="preserve"> feeling informe</t>
    </r>
    <r>
      <rPr>
        <sz val="10"/>
        <rFont val="Corbel"/>
        <family val="2"/>
      </rPr>
      <t>d about the different WASH services available to them</t>
    </r>
  </si>
  <si>
    <t>Average of %_of_affected_people_surveyed_who_report_feeling_informed_about_the_different_WASH_services_available_to_them2</t>
  </si>
  <si>
    <t>% of affected people surveyed who report feeling informed about the different WASH services available to them</t>
  </si>
  <si>
    <t>Kachin-NGCA 100%</t>
  </si>
  <si>
    <t>Soap</t>
  </si>
  <si>
    <t>Sanitary pad</t>
  </si>
  <si>
    <t>Closed_cccm_2019May</t>
  </si>
  <si>
    <t>Closed</t>
  </si>
  <si>
    <t>Kachin-GCA 25%</t>
  </si>
  <si>
    <t># of Water samples tested for fecal coliform  (@ water source) during reporting period</t>
  </si>
  <si>
    <t>Quarterly</t>
  </si>
  <si>
    <t>Total number of water samples taken from a water source and tested for faecal coliforms during the reporting period (this value should be equal to the number samples that passed + the number that failed)</t>
  </si>
  <si>
    <t># of Water samples which passed the fecal coliform test  (@ water source) during reporting period</t>
  </si>
  <si>
    <t xml:space="preserve">The number of water samples taken from a water source that show less than 10 coliform forming units (CFU) per 100ml </t>
  </si>
  <si>
    <t># of Water samples tested for fecal coliform (@ HH level) during reporting period</t>
  </si>
  <si>
    <t># of Water samples which passed the fecal coliform test (@ HH level) during reporting period</t>
  </si>
  <si>
    <t>Total number of water samples taken from a household drinking water container and tested for faecal coliforms during the reporting period (this value should be equal to the number samples that passed + the number that failed)</t>
  </si>
  <si>
    <t xml:space="preserve">The number of water samples taken from a household drinking water container that show less than 10 coliform forming units (CFU) per 100ml </t>
  </si>
  <si>
    <t># of sanitation facilities (latrines) built/repaired/rehabilitated following risk-sensitive programming and consultation with communities and/or GBV risk-sensitive programming</t>
  </si>
  <si>
    <t># of sanitation facilities (HH sanitation devices) distributed following risk-sensitive programming and consultation with communities and/or GBV risk-sensitive programming</t>
  </si>
  <si>
    <t># of sanitation facilities (bathing spaces) built following risk-sensitive programming and consultation with communities</t>
  </si>
  <si>
    <t>V74</t>
  </si>
  <si>
    <t>V75</t>
  </si>
  <si>
    <t>V76</t>
  </si>
  <si>
    <t>GENERAL</t>
  </si>
  <si>
    <t>WASHinProtection</t>
  </si>
  <si>
    <t xml:space="preserve">အစီရင္ခံစာ ေပးပို႔သည္႔ကာလအတြင္း ေရထြက္ပင္ရင္းအားေရစမ္းသပ္ျပီးေနာက္ မစင္ပိုးမေတြ႔ရွိသည္႔
ေရထြက္ပင္ရင္းအေရအတြက္ </t>
  </si>
  <si>
    <t>အစီရင္ခံစာ ေပးပို႔သည္႔ကာလအတြင္း မိသားစုသံုး ေသာက္ေရမွေရနမူနာယူျပီး ေရစမ္းသပ္ျပီးေနာက္ မစင္ပိုးမေတြ႔ရွိရေသာ အိမ္ေထာင္စုအေရအတြက္</t>
  </si>
  <si>
    <r>
      <t>အစီရင္ခံစာ ေပးပို႔သည္႔ကာလအတြင္း</t>
    </r>
    <r>
      <rPr>
        <sz val="11"/>
        <color theme="1"/>
        <rFont val="Calibri"/>
        <family val="2"/>
      </rPr>
      <t xml:space="preserve"> </t>
    </r>
    <r>
      <rPr>
        <sz val="10"/>
        <color theme="1"/>
        <rFont val="zawgyi1"/>
        <family val="2"/>
      </rPr>
      <t>မိသားစုသံုး ေသာက္ေရမွေရနမူနာယူျပီး ေရစမ္းသပ္ျပီးေနာက္ မစင္ပိုးမေတြ႔ရွိရေသာ အိမ္ေထာင္စုအေရအတြက္</t>
    </r>
  </si>
  <si>
    <t>#_Water sources passed</t>
  </si>
  <si>
    <t>#_Household water samples tested for fecal coliform</t>
  </si>
  <si>
    <t xml:space="preserve">#_Water sources tested for fecal coliform </t>
  </si>
  <si>
    <t>#_Household passed</t>
  </si>
  <si>
    <t>ယာယီ ေက်ာင္းေဆာင္မ်ား ၊ကေလးေပ်ာ္ေနရာမ်ား ႏွင့္ ယာယီက်န္းမာေရးေစာင့္ေရွာက္မွဳ ေဆးခန္းမ်ားတြင္ ရွိေသာ လက္ေဆးစင္ အေရအတြက္</t>
  </si>
  <si>
    <t>ယာယီ ေက်ာင္းေဆာင္မ်ား ၊ကေလးေပ်ာ္ေနရာမ်ား ႏွင့္ ယာယီက်န္းမာေရးေစာင့္ေရွာက္မွဳ ေဆးခန္းမ်ားတြင္  ေဆာက္လုပ္ထားေသာ ေရထြက္ပင္ရင္း ေရသံုးရန္ ေနရာ</t>
  </si>
  <si>
    <t>ယာယီ ေက်ာင္းေဆာင္မ်ား ၊ကေလးေပ်ာ္ေနရာမ်ား ႏွင့္ ယာယီက်န္းမာေရးေစာင့္ေရွာက္မွဳ ေဆးခန္းမ်ားတြင္ ေဆာက္လုပ္ထားေသာ ေရထြက္ပင္ရင္း ေရသံုးရန္ ေနရာ ေဆာက္လုပ္ျပီးစီးသည္႔ အေရအတြက္ (သို႔) ျပဳျပင္ေပးသည္႔ အေရအတြက္</t>
  </si>
  <si>
    <t xml:space="preserve"># of handwashing stations constructed at temporary learing spacse/Child Friendly Spaces/Temporary Health Facilities
</t>
  </si>
  <si>
    <t>Constructed/Existing hand washing stations at TLS /CFS/THF</t>
  </si>
  <si>
    <t>2020 HRP Indicators</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</si>
  <si>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</si>
  <si>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</si>
  <si>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</si>
  <si>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Number of vulnerable people that are consulted, and their concerns are addressed, through dignified and inclusive WASH services.</t>
  </si>
  <si>
    <t>Number of women, men, girls and boys accessing WASH services in temporary health facilities and learn-ing spaces which received support from the WASH Cluster.</t>
  </si>
  <si>
    <t>HRP 4</t>
  </si>
  <si>
    <t>HRP 5</t>
  </si>
  <si>
    <t># of sanitation facilities (latrines) built/repaired/rehabilitated following risk-sensitive programming and consultation with communities and/or GBV risk-sensitive programming
# of sanitation facilities (HH sanitation devices) distributed following risk-sensitive programming and consultation with communities and/or GBV risk-sensitive programming
# of sanitation facilities (bathing spaces) built following risk-sensitive programming and consultation with communities</t>
  </si>
  <si>
    <r>
      <t>#</t>
    </r>
    <r>
      <rPr>
        <b/>
        <u/>
        <sz val="10"/>
        <rFont val="Corbel"/>
        <family val="2"/>
      </rPr>
      <t xml:space="preserve"> of persons with disabilities with adapted sanitation option</t>
    </r>
    <r>
      <rPr>
        <b/>
        <sz val="10"/>
        <rFont val="Corbel"/>
        <family val="2"/>
      </rPr>
      <t xml:space="preserve"> </t>
    </r>
  </si>
  <si>
    <t xml:space="preserve">HRP2:Number of women, men, boys and girls benefitting from functional excre-ta disposal system, reducing safety/public health/environmental risks.
</t>
  </si>
  <si>
    <t># Constructed/Existing child friendly latrines</t>
  </si>
  <si>
    <t xml:space="preserve"># Constructed/Existing disabled &amp; elderly friendly latrines </t>
  </si>
  <si>
    <t xml:space="preserve">Camp:20PPL:1
TLS/CFS: 50PPL:1
</t>
  </si>
  <si>
    <t>Number</t>
  </si>
  <si>
    <t>HRP1: Number of women, men, boys and girls benefitting from safe/ improved drinking water, meeting demand for domestic purposes, at minimum/agreed standards.</t>
  </si>
  <si>
    <t>HRP2:Number of women, men, boys and girls benefitting from functional excre-ta disposal system, reducing safety/public health/environmental risks.
HRP5:Number of women, men, girls and boys accessing WASH services in temporary health facilities and learn-ing spaces which received support from the WASH Cluster.</t>
  </si>
  <si>
    <t>HRP3: Number of women, men, boys and girls benefitting from timely/ade-quate/tailored personal hygiene items and receiving appropriate/ community tailored messages that enable health seeking behaviour.</t>
  </si>
  <si>
    <r>
      <t>အိမ္သာလွဴထားေသာ ပုဂၢလိက/အျခားအလွဴရွင္မ်ား/အဖြဲ့အစည္းမ်ား</t>
    </r>
    <r>
      <rPr>
        <sz val="8"/>
        <rFont val="zawgyi1"/>
        <family val="2"/>
      </rPr>
      <t>၏</t>
    </r>
    <r>
      <rPr>
        <sz val="8"/>
        <rFont val="Zawgyi-One"/>
        <family val="2"/>
      </rPr>
      <t xml:space="preserve"> အမည္</t>
    </r>
  </si>
  <si>
    <t>WASH in Protection</t>
  </si>
  <si>
    <t>???</t>
  </si>
  <si>
    <t>HRP1: Number of women, men, boys and girls benefitting from safe/ improved drinking water, meeting demand for domestic purposes, at minimum/agreed standards.
HRP5:Number of women, men, girls and boys accessing WASH services in temporary health facilities and learn-ing spaces which received support from the WASH Cluster.</t>
  </si>
  <si>
    <t>HRP4: Number of vulnerable people that are consulted, and their concerns are addressed, through dignified and inclusive WASH services.</t>
  </si>
  <si>
    <r>
      <rPr>
        <b/>
        <sz val="10"/>
        <rFont val="Corbel"/>
        <family val="2"/>
      </rPr>
      <t xml:space="preserve"># of liters </t>
    </r>
    <r>
      <rPr>
        <sz val="10"/>
        <rFont val="Corbel"/>
        <family val="2"/>
      </rPr>
      <t>of water supplied by existing water boating/trucking over90</t>
    </r>
    <r>
      <rPr>
        <b/>
        <u/>
        <sz val="10"/>
        <rFont val="Corbel"/>
        <family val="2"/>
      </rPr>
      <t xml:space="preserve"> days</t>
    </r>
    <r>
      <rPr>
        <sz val="10"/>
        <rFont val="Corbel"/>
        <family val="2"/>
      </rPr>
      <t xml:space="preserve"> to total</t>
    </r>
    <r>
      <rPr>
        <b/>
        <sz val="10"/>
        <rFont val="Corbel"/>
        <family val="2"/>
      </rPr>
      <t xml:space="preserve"> population</t>
    </r>
    <r>
      <rPr>
        <sz val="10"/>
        <rFont val="Corbel"/>
        <family val="2"/>
      </rPr>
      <t xml:space="preserve"> in the site </t>
    </r>
  </si>
  <si>
    <r>
      <t xml:space="preserve">Constructed water distribution system from river
(minimum volume of water </t>
    </r>
    <r>
      <rPr>
        <b/>
        <sz val="10"/>
        <rFont val="Corbel"/>
        <family val="2"/>
      </rPr>
      <t>(in Liters)</t>
    </r>
    <r>
      <rPr>
        <sz val="10"/>
        <rFont val="Corbel"/>
        <family val="2"/>
      </rPr>
      <t xml:space="preserve">
during the reporting period)</t>
    </r>
  </si>
  <si>
    <t># of functional latrines in TLS/CFS supported by WASH partners during the reporting period</t>
  </si>
  <si>
    <t>Minimum number of functional child-friendly toilets for a Child Friendly Space/Temporary Learning Space (1:30 girls and 1:60 boys in CLS/TLS), THF ???</t>
  </si>
  <si>
    <t># of functional latrines in THF (Temporary Health Facility) supported by WASH partners during the reporting period</t>
  </si>
  <si>
    <t>Minimum number of functional toilets forTemporary Health Facility</t>
  </si>
  <si>
    <t># of affected women and girls receiving a sufficient quantity of sanitary pads from direct distribution or from MHM room facilities during the reporting period</t>
  </si>
  <si>
    <t>Sufficient quantity: At least 15 pads per female of menstruating age per month, distributed at least once every three months (in addition to at least 6 pairs of underwear per year and 250g soap per month per women / girl)</t>
  </si>
  <si>
    <t>V77</t>
  </si>
  <si>
    <t>အစီရင္ခံစာ ေပးပို႔သည္႔ကာလအတြင္း  စခန္းတြင္းေနထိုင္သူမ်ားသို႔ ( ကားျဖင္႔ (သို႔မဟုတ္) ေလွျဖင္႔ ) စုစုေပါင္းေရေပးေ၀မွု ပမာဏ လီတာျဖင့္ျပရန္)</t>
  </si>
  <si>
    <t>လက္ရွိ တည္ေဆာက္အသံုးျပဳေနေသာ ေရ အရင္းအျမစ္ ( ျမစ္ေခ်ာင္း) မွ တဆင္ ့ ေရျဖန္႔ျဖဴးေသာ စနစ္
(အနည္္းဆံုးေရေပးေ၀မွုပမာဏ လီတာျဖင့္ျပရန္)</t>
  </si>
  <si>
    <t>စခန္းတြင္းရွိ ယာယီစာသင္ေက်ာင္းမ်ား ႏွင့္ ကေလးေပ်ာ္ေနရာမ်ားတြင္ WASH အဖြဲ႔မ်ားမွ ပံ့ပိုးေပးထားေသာ ေကာင္းမြန္ေသာအိမ္သာအေရအတြက္</t>
  </si>
  <si>
    <t>စခန္းတြင္းရွိ ယာယီစာသင္ေက်ာင္းမ်ား နွင့္ ကေလးေပ်ာ္ေနရာမ်ားတြင္ WASH အဖြဲ႔မ်ားမွ ပံ့ပိုးေပးထားေသာ ေကာင္းမြန္ေသာအိမ္သာအေရအတြက္(  တံခါး အေရအတြက္အတိုင္း ေကာက္ယူပါမည္)</t>
  </si>
  <si>
    <t>စခန္းတြင္းရွိ  ယာယီက်န္းမာေရးေစာင့္ေရွာက္မွဳ ေဆးခန္းမ်ားတြင္  WASH အဖြဲ႔မ်ားမွ ပံ့ပိုးေပးထားေသာ ေကာင္းမြန္ေသာအိမ္သာအေရအတြက္</t>
  </si>
  <si>
    <t>စခန္းတြင္းရွိ  ယာယီက်န္းမာေရးေစာင့္ေရွာက္မွဳ ေဆးခန္းမ်ားတြင္ WASH အဖြဲ႔မ်ားမွ ပံ့ပိုးေပးထားေသာ ေကာင္းမြန္ေသာအိမ္သာအေရအတြက္(  တံခါး အေရအတြက္အတိုင္း ေကာက္ယူပါမည္)</t>
  </si>
  <si>
    <t>တစ္လလွ်င္ လူတစ္ဦး ရသင္႔ေသာ စံခ်ိန္စံညြန္းအတိုင္း အမ်ိဳးသမီးလစဥ္သံုး ပစၥည္း ရရွိေသာ လူဦးေရ (တိုက္္ရိုက္ ျဖန့္ေ၀မွူ (သို႔) အမ်ိဳးသမီးလစဥ္သံုး ပစၥည္း မ်ား သီးသန္႔ထားရွိေသာ အခန္းမ်ားမွ)</t>
  </si>
  <si>
    <t>V63, 64, 65, 66</t>
  </si>
  <si>
    <t xml:space="preserve"># of male hygiene promoters
# of female hygiene promoters
# of households that received standard amount of soap for this quarter
# of affected women and girls receiving a sufficient quantity of sanitary pads from direct distribution or from MHM room facilities during the reporting period
</t>
  </si>
  <si>
    <t>V75, 76, 77</t>
  </si>
  <si>
    <t>စခန္းတြင္းရွိ ယာယီစာသင္ေက်ာင္းမ်ား နွင့္ ကေလးေပ်ာ္ေနရာမ်ားတြင္ WASH အဖြဲ႔မ်ားမွ ပံ့ပိုးေပးထားေသာ ေကာင္းမြန္ေသာအိမ္သာအေရအတြက္</t>
  </si>
  <si>
    <t>စခန္းတြင္းရွိ  ယာယီက်န္းမာေရးေစာင့္ေရွာက္မွဳ ေဆးခန္းမ်ားတြင္ WASH အဖြဲ႔မ်ားမွ ပံ့ပိုးေပးထားေသာ ေကာင္းမြန္ေသာအိမ္သာအေရအတြက္</t>
  </si>
  <si>
    <t>% of water sources passed</t>
  </si>
  <si>
    <t>% Household passed</t>
  </si>
  <si>
    <t>#_Water_Liters_supplied_by_Water boating or water trucking</t>
  </si>
  <si>
    <t>#_Water_Liters_from_Constructed/Existing water distribution system from river or natural spring</t>
  </si>
  <si>
    <t>Liters_Water boating or water trucking</t>
  </si>
  <si>
    <t>Liters_Constructed water distribution system from river</t>
  </si>
  <si>
    <t># of functional latrines in THF supported by WASH partners during the reporting period2</t>
  </si>
  <si>
    <t>Number of people with equitable access to functioning latrines in THF</t>
  </si>
  <si>
    <t>#_of_persons_with_disabilities_with_adapted_sanitation_option</t>
  </si>
  <si>
    <t># students access to functioning school latrines_HRP5</t>
  </si>
  <si>
    <t># of affected women and girls receiving a sufficient quantity of sanitary pads from direct distribution or from MHM room facilities</t>
  </si>
  <si>
    <t>Number of vulnerable people that are consulted, and their concerns are addressed, through dignified and inclusive WASH service</t>
  </si>
  <si>
    <t>HRP4</t>
  </si>
  <si>
    <t>HRP5</t>
  </si>
  <si>
    <t xml:space="preserve"> HRP4</t>
  </si>
  <si>
    <t xml:space="preserve"> HRP5</t>
  </si>
  <si>
    <t>Kayin</t>
  </si>
  <si>
    <t xml:space="preserve">Sum of #_Water sources tested for fecal coliform </t>
  </si>
  <si>
    <t>Sum of #_Water sources passed</t>
  </si>
  <si>
    <t># Passed</t>
  </si>
  <si>
    <t>Sum of #_Household passed</t>
  </si>
  <si>
    <t>Sum of # of affected women and girls receiving a sufficient quantity of sanitary pads from direct distribution or from MHM room facilities</t>
  </si>
  <si>
    <t>To check</t>
  </si>
  <si>
    <t>V20, 23, 24, 27, 30, 31, 32</t>
  </si>
  <si>
    <t xml:space="preserve"> # students access to functioning school latrines_HRP5</t>
  </si>
  <si>
    <t>Metta, KMSS</t>
  </si>
  <si>
    <t>Gap in WASH covered camps / township</t>
  </si>
  <si>
    <t>Sum of #_Household water samples tested for fecal coliform</t>
  </si>
  <si>
    <t>Gap in WASH covered villages / township</t>
  </si>
  <si>
    <t>Accessed</t>
  </si>
  <si>
    <t>Not-accessed</t>
  </si>
  <si>
    <t xml:space="preserve"> # of hand washing stations with sufficient soap in TLS</t>
  </si>
  <si>
    <t>Sum of # of functional latrines in THF supported by WASH partners during the reporting period2</t>
  </si>
  <si>
    <t xml:space="preserve">Sum of Total PoP </t>
  </si>
  <si>
    <t>Target  HH</t>
  </si>
  <si>
    <t>Target women and girls</t>
  </si>
  <si>
    <t>Community Feedback (Q1-2020) from Cluster Team Monitoring</t>
  </si>
  <si>
    <t>There have no water collection tank for drinking and treatment system.</t>
  </si>
  <si>
    <t>There have one water point (STW) attached with pump to 1500 liter overhead tank. IDP used drinking and domestic water from this STW, that need to do water quality testing.</t>
  </si>
  <si>
    <t>3000 gals Water storage tank (bricks structure) was destroyed and need to repair or replace new one.</t>
  </si>
  <si>
    <t>4000 gals water storage tank (bricks structure) was collapse, need to repair or rebuilt. IDP request to do Hand Dug Well dewatering for adequate water usage in summer.</t>
  </si>
  <si>
    <t>Poor water quality and need HH water filter.</t>
  </si>
  <si>
    <t>There have one water treatment system but not working well.</t>
  </si>
  <si>
    <t>Every water points attached with down-flow sand filter but water still have high iron contamination. Cluster recommended to provide HH water treatment filter.</t>
  </si>
  <si>
    <t>The camp is located in paddy field and water point is flood in rainy season, thus IDP request HH water treatment filter or communal treatment tank. And also this water point attached diesel engine that is frequently maintenance and IDP would like to get new one.</t>
  </si>
  <si>
    <t>Water point is close latrine septic tank, need to water quality testing and making treatment system.</t>
  </si>
  <si>
    <t>Existing one hand dug well was damaged and IDP request to renovate. One overhead tank (2000 liter) timber structure is almost damaged and need to repair urgently.</t>
  </si>
  <si>
    <t>There have no water collection tank for drinking and treatment system, IDP request HH water filter.</t>
  </si>
  <si>
    <t>There have no water treatment system, IDP request HH water treatment filter, one overhead tank for new latrine and bathing room area.</t>
  </si>
  <si>
    <t>Need water quality testing, there have poor water quality and treatment system. IDP spend money 8000 MMK per month for purchasing drinking water. Upgrading overhead water tank (1000 liter-2 drum + 500 liter-1 drum) which is made by timber structure, that's post are almost broken.</t>
  </si>
  <si>
    <t>Water treatment system provided by ICRC but it is not well functioning that cannot remove iron contamination. IDP requested HH wate filter, this is urgent need to provide to protect water-washed disease.</t>
  </si>
  <si>
    <t>There have 3 water system; Hand Dug Well, Spring water and Shallow Tube well. Among them STW is not functioning and need to repair for domestic use.</t>
  </si>
  <si>
    <t>New relocation site (RC camp) have no drinking water point. There have only one unit (HDW), poor water quality and not enough for daily personal usage. IDP purchasing water for drinking and domestic. KMSS have plan for new water point installation on 1st quarter of 2020.</t>
  </si>
  <si>
    <t>7 Water tap stand extended from overhead tank are not functioning. Water point is closed drainage channel thus need to setup water treatment system.</t>
  </si>
  <si>
    <t>There are a lot of water standing around 2 bathing room, that need to make waste water drainage channel or improve bathroom apron.</t>
  </si>
  <si>
    <t>Emergency latrine 6 units are totally destroyed and need to decommission. Bad water standing beside the camp that need drainage channel extend to outside the camp.</t>
  </si>
  <si>
    <t>There are 34 latrine in total, 18 emergency latrine of them were damaged, need to make decommissioning. Need to improve on environmental cleaning.</t>
  </si>
  <si>
    <t>Latrine 3 unit have to repair or replacement.</t>
  </si>
  <si>
    <t>Latrine soak away pits are not functioning and need to upgrade. Latrine area have flood in rainy that the camp located beside creek.</t>
  </si>
  <si>
    <t>IDP received individual latrine. But there have to improve on solid waste management system.</t>
  </si>
  <si>
    <t>There have 11 latrine (4 semi-permanent and 7 emergency), among them 7 emergency latrine are need to decommission (pit full) and replacement new structure.</t>
  </si>
  <si>
    <t>Emergency latrine 4 unit are upgrading. Need bathing room renovation.</t>
  </si>
  <si>
    <t>3 latrine pits are leaking and bad water stand around the latrine, these pits are urgent need to renovate or decommissioning.</t>
  </si>
  <si>
    <t>There have 12 latrine; 4 emergency latrine are destroyed and have to make decommission.</t>
  </si>
  <si>
    <t>Latrine outlet pipe are wrong connection, need to repair.</t>
  </si>
  <si>
    <t>Bad water standing around the latrine and bathing area.</t>
  </si>
  <si>
    <t>4 latrine are constructed two years ago and totally damaged post and walling, that's need to upgrading by urgently.</t>
  </si>
  <si>
    <t>4 unit latrine are destroyed and urgent need to decommissioning. Upgrade pipe line system for Bathing room.</t>
  </si>
  <si>
    <t>10 unit latrine are urgent need to replacement, that bad water overflowing outside of the pit and getting bad smell around the latrine area.</t>
  </si>
  <si>
    <t>Latrine (12 units) is not enough to use and cover for all IDPs family. Inadequate for domestic water (bottom cleaning) supply, thus IDP faced very difficult for latrine use.</t>
  </si>
  <si>
    <t>Waste water pipe line of 8 units latrine are not connected yet (even all structure are completed), so IDP could not use this new latrine.</t>
  </si>
  <si>
    <t>No handwashing station at front of the latrine. Hygiene kit (in kind) received from Metta foundation but it is not enough for next three month.</t>
  </si>
  <si>
    <t>Need: upgrade handwashing station, distribution Hygiene kit (in-kind) and supporting on child hygiene promotion activity</t>
  </si>
  <si>
    <t>IDP request Hygiene awareness sessions, Hygiene kit and handwashing station.</t>
  </si>
  <si>
    <t>IDP who are attending Hygiene awareness sessions received soap once a month.</t>
  </si>
  <si>
    <t>Hygiene items received through hygiene awareness session.</t>
  </si>
  <si>
    <t>Never received Hygiene kit.</t>
  </si>
  <si>
    <t>Hygiene incentive items received from awareness sessions attending. IDP request Hygiene full kit.</t>
  </si>
  <si>
    <t>Hygiene kit distributed last year July, IDP request to get Hygiene full kit.</t>
  </si>
  <si>
    <t>Hygiene item received from awareness session.</t>
  </si>
  <si>
    <t>IDP received soap from KMSS (Hygiene promotion session).</t>
  </si>
  <si>
    <t>Women request sanitary pad and soap distribution on monthly basics.</t>
  </si>
  <si>
    <t>Hygiene items received from attending awareness sessions and Women gathering.</t>
  </si>
  <si>
    <t>IDP did not received Hygiene full kit since three years ago. But they received soap and sanitary pad from attending Hygiene awareness session and peer education session.</t>
  </si>
  <si>
    <t>IDP received hygiene incentive item from attend awareness session. Request Hygiene full kit distribution (Soap, sanitary pad, bucket, tooth paste, tooth brush and cup)</t>
  </si>
  <si>
    <t>IDP would like to request Hygiene full kit. Now they received Hygiene refill kit that is not enough for monthly usage.</t>
  </si>
  <si>
    <t>Hygiene full kit distribution for IDP camp, there have gaps since 2016.</t>
  </si>
  <si>
    <t>Hygiene kit received 5 years ago (2014), IDP request Hygiene full kit.</t>
  </si>
  <si>
    <t>#HH received standard amount of soap</t>
  </si>
  <si>
    <t>WPN,HPA</t>
  </si>
  <si>
    <t>Water safety plan need to install</t>
  </si>
  <si>
    <t>#_Water sources tested for fecal coliform</t>
  </si>
  <si>
    <t>Distinct Count of Site Name</t>
  </si>
  <si>
    <t>Du Kahtawng Baptist Total</t>
  </si>
  <si>
    <t>Hkau Shau (BP 12) Total</t>
  </si>
  <si>
    <t>Hlaing Naung Baptist Total</t>
  </si>
  <si>
    <t>Hpare Hkyer - BP6 Total</t>
  </si>
  <si>
    <t>Jan Mai Kawng Baptist Church Total</t>
  </si>
  <si>
    <t>Jaw Masat Camp Total</t>
  </si>
  <si>
    <t>Kyun Taw Baptist Church  Total</t>
  </si>
  <si>
    <t>Laiza Je Yang School Total</t>
  </si>
  <si>
    <t>Le Kone Bethlehem Church Total</t>
  </si>
  <si>
    <t>Le Kone Ziun Baptist Church  Total</t>
  </si>
  <si>
    <t>Lung Sut Total</t>
  </si>
  <si>
    <t>Ma Hawng Baptist Church Total</t>
  </si>
  <si>
    <t>Mading Baptist Church Total</t>
  </si>
  <si>
    <t>Maina KBC (Bawng Ring) Total</t>
  </si>
  <si>
    <t>Maina Lawang Baptist Church Total</t>
  </si>
  <si>
    <t>Maing Khaung Total</t>
  </si>
  <si>
    <t>Maliyang Baptist Church Total</t>
  </si>
  <si>
    <t>Man Hkring Baptist Church Total</t>
  </si>
  <si>
    <t>Namti Labraw Yang KBC Camp Total</t>
  </si>
  <si>
    <t>Nat Gyi Kone Baptist Church  Total</t>
  </si>
  <si>
    <t>Nawng Ing (Indawgyi) Baptist Church  Total</t>
  </si>
  <si>
    <t>Ndup Yang Total</t>
  </si>
  <si>
    <t>Njang Dung Baptist Church  Total</t>
  </si>
  <si>
    <t>Pajau - Jan Mai Total</t>
  </si>
  <si>
    <t>Pang Hkawn Yang Total</t>
  </si>
  <si>
    <t>Qtr. 2 Myoma Baptist Church Total</t>
  </si>
  <si>
    <t>Salang Yang Total</t>
  </si>
  <si>
    <t>Sar Hmaw - KBC Total</t>
  </si>
  <si>
    <t>Sha-It Yang Total</t>
  </si>
  <si>
    <t>Shar Du Zut KBC church  Total</t>
  </si>
  <si>
    <t>Shatapru Sut Ngai Tawng Total</t>
  </si>
  <si>
    <t>Shing Jai Total</t>
  </si>
  <si>
    <t>Shwe Zet Baptist Church Total</t>
  </si>
  <si>
    <t>Tat Kone Baptist Church Total</t>
  </si>
  <si>
    <t>Tat Kone Galile Baptist Church Total</t>
  </si>
  <si>
    <t>Tat Kone San Pya Baptist Church Total</t>
  </si>
  <si>
    <t>Trinity Camp Total</t>
  </si>
  <si>
    <t>Waimaw Baptist Zonal Office 2 Total</t>
  </si>
  <si>
    <t>AD-2000 Extension camp Total</t>
  </si>
  <si>
    <t>AD-2000 Tharthana Compound Total</t>
  </si>
  <si>
    <t>AG Church, Hmaw Si Sa Total</t>
  </si>
  <si>
    <t>AG Church, Maw Wan Total</t>
  </si>
  <si>
    <t>Agritural Compound (KBC) Total</t>
  </si>
  <si>
    <t>Aung Thar Church Total</t>
  </si>
  <si>
    <t>Baptist Church, Hmaw Si Sar(Lon Khin) Total</t>
  </si>
  <si>
    <t>Border Post 8 Total</t>
  </si>
  <si>
    <t>Bum Tsit Pa Total</t>
  </si>
  <si>
    <t>Chin Church, Seik Mu Total</t>
  </si>
  <si>
    <t>Chipwi KBC camp Total</t>
  </si>
  <si>
    <t>Dhama Rakhita, Nyein Chan Tar Yar Ward(Lon Khin) Total</t>
  </si>
  <si>
    <t>Dum Bung  Total</t>
  </si>
  <si>
    <t>Emmanuel AG Church Total</t>
  </si>
  <si>
    <t>Galeng (Palaung) &amp; Kone Khem Total</t>
  </si>
  <si>
    <t>Hka Shi Total</t>
  </si>
  <si>
    <t>Hkat Cho  Total</t>
  </si>
  <si>
    <t>Hpai Kawng Total</t>
  </si>
  <si>
    <t>Hpakant Baptist Church, Nam Ma Hpit Total</t>
  </si>
  <si>
    <t>Hpun Lum Yang  Total</t>
  </si>
  <si>
    <t>Htoi San Church Total</t>
  </si>
  <si>
    <t>Hu Hku &amp; Ho Hko Total</t>
  </si>
  <si>
    <t>IDP Boarding School, A Len Bum Total</t>
  </si>
  <si>
    <t>Jan Mai Kawng Catholic Church Total</t>
  </si>
  <si>
    <t>Je Yang Hka  Total</t>
  </si>
  <si>
    <t>Ka Bu Dam CoC Total</t>
  </si>
  <si>
    <t>Kachin Su Baptist Church (ECCD) Total</t>
  </si>
  <si>
    <t>Karmaing RC Church Total</t>
  </si>
  <si>
    <t>Khar Nan (1) Baptist Church Total</t>
  </si>
  <si>
    <t>Kutkai downtown (KBC Church) Total</t>
  </si>
  <si>
    <t>Kutkai downtown (KBC Church-2) Total</t>
  </si>
  <si>
    <t>Kyu Sot Total</t>
  </si>
  <si>
    <t>Lana Zup Ja Total</t>
  </si>
  <si>
    <t>Lawa RC Church Total</t>
  </si>
  <si>
    <t>Lawng Hkang Shait Yang Camp​ ( Lel Pyin)​  Total</t>
  </si>
  <si>
    <t>Lhaovao Baptist Church (LBC) Total</t>
  </si>
  <si>
    <t>Lisu Baptist Church, Maw Shan Vil,. Seik Mu Total</t>
  </si>
  <si>
    <t>Lisu Baptist Church, Maw Wan Ward Total</t>
  </si>
  <si>
    <t>Lisu Boarding-House Total</t>
  </si>
  <si>
    <t>Lisu Church Namtu Total</t>
  </si>
  <si>
    <t>Loi Je Baptist Church Total</t>
  </si>
  <si>
    <t>Loi Je Catholic Church Total</t>
  </si>
  <si>
    <t>Loi Je Lisu Camp Total</t>
  </si>
  <si>
    <t>Lone Khin Catholic Church Total</t>
  </si>
  <si>
    <t>Lwegel High School Total</t>
  </si>
  <si>
    <t>Maga Yang  Total</t>
  </si>
  <si>
    <t>Mai Yu Lay New (Ta'ang) Total</t>
  </si>
  <si>
    <t>Maina AG Church Total</t>
  </si>
  <si>
    <t>Maina Catholic Church (St. Joseph) Total</t>
  </si>
  <si>
    <t>Maing Khaung Catholic Church Total</t>
  </si>
  <si>
    <t>Man Bung Catholic compound Total</t>
  </si>
  <si>
    <t>Man Bung Edin Baptist Church Total</t>
  </si>
  <si>
    <t>Man Kaung/Naung Ti Kyar Village Total</t>
  </si>
  <si>
    <t>Man Loi Total</t>
  </si>
  <si>
    <t>Man Wing Baptist Church Total</t>
  </si>
  <si>
    <t>Man Wing Baptist Church Cultural Compound Total</t>
  </si>
  <si>
    <t>Man Wing Catholic Church Total</t>
  </si>
  <si>
    <t>Man Wing Catholic Church II Total</t>
  </si>
  <si>
    <t>Mandung - Jinghpaw Total</t>
  </si>
  <si>
    <t>Mandung - RC Total</t>
  </si>
  <si>
    <t>Mansi Baptist Church Total</t>
  </si>
  <si>
    <t>Maw Hpawng Hka Nan Baptist Church Total</t>
  </si>
  <si>
    <t>Maw Hpawng Lhaovo Baptist Church Total</t>
  </si>
  <si>
    <t>Maw Wan, Mu-yin Baptist Church Total</t>
  </si>
  <si>
    <t>Mine Yu Lay village ( Old) Total</t>
  </si>
  <si>
    <t>Momauk Baptist Church Total</t>
  </si>
  <si>
    <t>Mung Hawm  Total</t>
  </si>
  <si>
    <t>Muyin church (Aung Yar pre-school compound) Total</t>
  </si>
  <si>
    <t>Nam Hkam - Nay Win Ni (Palawng) Total</t>
  </si>
  <si>
    <t>Nam Hkam (KBC Jaw Wang) Total</t>
  </si>
  <si>
    <t>Nam Hkam (KBC Jaw Wang) II Total</t>
  </si>
  <si>
    <t>Nam Hkam Catholic Church ( St. Thomas I) Total</t>
  </si>
  <si>
    <t>Nam Hpak Ka Mare  Total</t>
  </si>
  <si>
    <t>Nam Hpak Ka Ta'ang ( Aung Tha Pyay) Total</t>
  </si>
  <si>
    <t>Nam Ma Phyit, COC Total</t>
  </si>
  <si>
    <t>Nam Sa Larp Total</t>
  </si>
  <si>
    <t>Nam Tu Baptist Total</t>
  </si>
  <si>
    <t>Nan Kway St. John Catholic Church Total</t>
  </si>
  <si>
    <t>Nant Ma Hpit Catholic Church Total</t>
  </si>
  <si>
    <t>Nawng Hee Village Total</t>
  </si>
  <si>
    <t>New Pang Ku  Total</t>
  </si>
  <si>
    <t>Nhkawng Pa  Total</t>
  </si>
  <si>
    <t>Nyaung Na Pin  Total</t>
  </si>
  <si>
    <t>Pa Dauk Myaing(Pa La Na) Total</t>
  </si>
  <si>
    <t>Pa Dauk Myaing(Pa La Na)-II Total</t>
  </si>
  <si>
    <t>Pa Kahtawng  Total</t>
  </si>
  <si>
    <t>Pan Law Total</t>
  </si>
  <si>
    <t>Pan Ta Pyae Total</t>
  </si>
  <si>
    <t>Phan Khar Kone Total</t>
  </si>
  <si>
    <t>Qtr. 2 Lhaovo Baptist Church Total</t>
  </si>
  <si>
    <t>Rawan Baptist Church, Maw Shan Vil., Seik Mu Total</t>
  </si>
  <si>
    <t>Robert Church Total</t>
  </si>
  <si>
    <t>Sadung Total</t>
  </si>
  <si>
    <t>Seng Ja  Total</t>
  </si>
  <si>
    <t>Shatapru Thida Aye Baptist Church Total</t>
  </si>
  <si>
    <t>Shwe Gu Baptist Church Total</t>
  </si>
  <si>
    <t>Shwe Gu Catholic Church Total</t>
  </si>
  <si>
    <t>St. Joseph Tanai RC camp  Total</t>
  </si>
  <si>
    <t>St. Patrick Catholic Church  Total</t>
  </si>
  <si>
    <t>Tanai CoC Total</t>
  </si>
  <si>
    <t>Tanai KBC Camp Total</t>
  </si>
  <si>
    <t>Tat Kone COC Baptist - Tat Kone Htoi San Total</t>
  </si>
  <si>
    <t>Thargaya Lisu Baptist Church Total</t>
  </si>
  <si>
    <t>Tsan Lun - Namjarap Total</t>
  </si>
  <si>
    <t>Waingmaw AG Church Total</t>
  </si>
  <si>
    <t>Ward 2 Sai Taung Baptist Church, Seik Mu  Total</t>
  </si>
  <si>
    <t>Woi Chyai  Total</t>
  </si>
  <si>
    <t>Woi Chyai (Mong Lai) Total</t>
  </si>
  <si>
    <t>Woi Chyai host families Total</t>
  </si>
  <si>
    <t>Yumar Baptist Church Total</t>
  </si>
  <si>
    <t>Zup Aung Camp Total</t>
  </si>
  <si>
    <t>Hka Garan Yang  Total</t>
  </si>
  <si>
    <t>Htang Nya  Total</t>
  </si>
  <si>
    <t>Enai (Man Pyein) Total</t>
  </si>
  <si>
    <t>AD 2000 School Total</t>
  </si>
  <si>
    <t>Robert -High school Total</t>
  </si>
  <si>
    <t>Pamati Camp Total</t>
  </si>
  <si>
    <t>Sector 5 Pammati Quarter Total</t>
  </si>
  <si>
    <t>MHF-Metta</t>
  </si>
  <si>
    <t># Liters</t>
  </si>
  <si>
    <t>5-1-2020, 1-1-2020</t>
  </si>
  <si>
    <t>2-28-2020, 12-1-2020</t>
  </si>
  <si>
    <t>UNICEF, MHF</t>
  </si>
  <si>
    <t># of sites</t>
  </si>
  <si>
    <t># of villages</t>
  </si>
  <si>
    <t xml:space="preserve"> %
Hygiene Gap</t>
  </si>
  <si>
    <t xml:space="preserve"> %
Sanitation GAP</t>
  </si>
  <si>
    <t xml:space="preserve"> % 
Water GAP</t>
  </si>
  <si>
    <t>MMR001CMP277</t>
  </si>
  <si>
    <t>MMR001CMP278</t>
  </si>
  <si>
    <t>MMR015CMP251</t>
  </si>
  <si>
    <t>MMR015CMP252</t>
  </si>
  <si>
    <t>MMR015CMP253</t>
  </si>
  <si>
    <t>MMR015CMP254</t>
  </si>
  <si>
    <t>MMR015CMP255</t>
  </si>
  <si>
    <t>Maina Relocation Site</t>
  </si>
  <si>
    <t xml:space="preserve">Yi Hku Man Hkan </t>
  </si>
  <si>
    <t xml:space="preserve">His Aw (Chyu Fan) </t>
  </si>
  <si>
    <t xml:space="preserve">Shwe Sin (Ward 3) </t>
  </si>
  <si>
    <t>Bang Yang Hka (Mung Ji Pa)</t>
  </si>
  <si>
    <t>Pyi Htaung Su</t>
  </si>
  <si>
    <t xml:space="preserve">Lin Hao chun </t>
  </si>
  <si>
    <t>Camp Like setting</t>
  </si>
  <si>
    <t>IDPs in host</t>
  </si>
  <si>
    <t>Q4_2020</t>
  </si>
  <si>
    <t>Man Hkan Yi Hku</t>
  </si>
  <si>
    <t>Myin Su Shan</t>
  </si>
  <si>
    <t>Man Law (Marn Lor)</t>
  </si>
  <si>
    <t>Shwe Yin See</t>
  </si>
  <si>
    <t xml:space="preserve">Htin Par Keng </t>
  </si>
  <si>
    <t>Hsi Aw (Si Hor)</t>
  </si>
  <si>
    <t>Kywee Shan (Kyi Shan)(ward 3)</t>
  </si>
  <si>
    <t xml:space="preserve">Par Hsin Kyaw </t>
  </si>
  <si>
    <t>Mu Kwar Keng</t>
  </si>
  <si>
    <t xml:space="preserve">Laukkaing </t>
  </si>
  <si>
    <t>Closed_CCCM2020Oct</t>
  </si>
  <si>
    <t>HH</t>
  </si>
  <si>
    <t>Population</t>
  </si>
  <si>
    <t>Sum of # Functional hand washing stations during reporting period</t>
  </si>
  <si>
    <t>Namatee Kan Hla AG</t>
  </si>
  <si>
    <t>Namatee Kan Hla AG Total</t>
  </si>
  <si>
    <t>SI (ECHO)</t>
  </si>
  <si>
    <t>from NSS, to be confirm with KMSS NSS</t>
  </si>
  <si>
    <t>(SI (ECHO), HARP - F),UNICEF</t>
  </si>
  <si>
    <t xml:space="preserve">Max of Total PoP </t>
  </si>
  <si>
    <t>Max of HRP1</t>
  </si>
  <si>
    <t>Max of HRP2</t>
  </si>
  <si>
    <t>Max of HRP3</t>
  </si>
  <si>
    <t>Max of HRP4</t>
  </si>
  <si>
    <t>Max of HRP5</t>
  </si>
  <si>
    <t>Max of hygiene items</t>
  </si>
  <si>
    <t>Max of # people reached by regular dedicated hygiene promotion_5</t>
  </si>
  <si>
    <t>Max of # People access to Handwashing Station</t>
  </si>
  <si>
    <t>Max of # students access to functioning school latrines_HRP5</t>
  </si>
  <si>
    <t>Max numbers across quarters</t>
  </si>
  <si>
    <t>Kachin-GCA 29%</t>
  </si>
  <si>
    <t>Kachin-NGCA 29%</t>
  </si>
  <si>
    <t>GCA (29% of Total population)</t>
  </si>
  <si>
    <t>NGCA  (29% of Total population)</t>
  </si>
  <si>
    <t>NShan-GCA 29%</t>
  </si>
  <si>
    <t># women and girls received Sanitary pads</t>
  </si>
  <si>
    <t>Disable</t>
  </si>
  <si>
    <t xml:space="preserve">Male 
</t>
  </si>
  <si>
    <t xml:space="preserve">Female 
</t>
  </si>
  <si>
    <t xml:space="preserve"> Children (&lt;18 yrs)
</t>
  </si>
  <si>
    <t>13-8-2021, 6-1-2020</t>
  </si>
  <si>
    <t>12-20-2022, 30-7-2021</t>
  </si>
  <si>
    <t>30/Nov/2020:Population update. Data source:Shalom (5 hhs locally integreted at 2 miles and 3 miles Bhamo, other 7 hhs return to VoO to Mansi and 2hh at Nant Laing village Bhamaw in November.)
30/Sept/2020:Population update. Data source:Shalom
31/Aug/2020:Population update. Data source:Shalom
31/July/2020:Population update. Data source:Shalom
30/June/2020:Population update. Data source:Shalom
31/May/2020:Population update. Data source:Shalom
30/April/2020:Population update. Data source:Shalom
30/March/2020:Population update. Data source:Shalom
28/February/2020:Population update. Data source:Shalom
30/January/2020:Population update. Data source:Shalom 
30/December/2019: Population update. Data source:Shalom                                                                                                                                                                                                                                                                                                      29/November/2019: Population update. Data source:Shalom
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</si>
  <si>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Closed_CCCM2021March</t>
  </si>
  <si>
    <t>MMR001CMP279</t>
  </si>
  <si>
    <t xml:space="preserve">Lahpai </t>
  </si>
  <si>
    <t>Gaw Nan</t>
  </si>
  <si>
    <t>Q1_2021</t>
  </si>
  <si>
    <t xml:space="preserve">These IDPs relocated from BP 6 camp (to further return to their VoO) and currently staying at Gaw Nan village near Sadung Town, in Wai Maw Township and waiting individual shelter and to address other safety and security related challenges at their village of Origin, before returning! 
17 hhs and 83 pps more arrived to the site in Jan 2021. </t>
  </si>
  <si>
    <t>MMR015CMP256</t>
  </si>
  <si>
    <t xml:space="preserve">Hsaik Hkawng </t>
  </si>
  <si>
    <t xml:space="preserve">Hseng Ja </t>
  </si>
  <si>
    <t>30/Nov/2020: Population update. Data source: (DRC) 13 HH/77 PP(35 M, 42 F) are IDP relocated from Pan Tha Pyay and 6 HH/35(20 M, 15 F) PP are new displacement from Manton in last week of April 2020.</t>
  </si>
  <si>
    <t>His Aw (Chyu Fan)  Total</t>
  </si>
  <si>
    <t>Shwe Sin (Ward 3)  Total</t>
  </si>
  <si>
    <t>Target (20:1)</t>
  </si>
  <si>
    <t>Reached</t>
  </si>
  <si>
    <t>2-01-2019, 07-01-2020</t>
  </si>
  <si>
    <t>Closed_cccm_2021Apr</t>
  </si>
  <si>
    <t>USAID, HOPE-20, Hope-21</t>
  </si>
  <si>
    <t>13-8-2021, 6-1-2020, 1-7-2021</t>
  </si>
  <si>
    <t>12-20-2022, 30-8-2021, 30-6-22</t>
  </si>
  <si>
    <t>12-20-2022, 30-8-2021, 30-6-2022</t>
  </si>
  <si>
    <t>UNICEF, USAID</t>
  </si>
  <si>
    <t>30-09-2021, 28-2-2022</t>
  </si>
  <si>
    <t>STW</t>
  </si>
  <si>
    <t>Closed_cccm_2021July</t>
  </si>
  <si>
    <t>HH
(Kachin/Shan-CCCM as of July 2021)</t>
  </si>
  <si>
    <t>Pop
(Kachin/Shan-CCCM as of July 2021)</t>
  </si>
  <si>
    <t>USAID, HOPE-71, HOPE-94</t>
  </si>
  <si>
    <t>12-2-2022, 30-11-2021, 30.4.2021</t>
  </si>
  <si>
    <t>Metta is negotiating with SI for Desludging service</t>
  </si>
  <si>
    <t>Because of the fully lockdown situation and shotage of materials causes latrines unfunctional</t>
  </si>
  <si>
    <t>yes</t>
  </si>
  <si>
    <t>chruch</t>
  </si>
  <si>
    <t>worldvision/KBC</t>
  </si>
  <si>
    <t>Trocaire/MHF</t>
  </si>
  <si>
    <t>among 9 latrines, only 3 can be used. To imporve for good latrine coverage ratio: it is big issue raised on September.</t>
  </si>
  <si>
    <t>Shan (South)</t>
  </si>
  <si>
    <t>4W camp</t>
  </si>
  <si>
    <t>3W new displcement</t>
  </si>
  <si>
    <t>CCCM data</t>
  </si>
  <si>
    <t xml:space="preserve">(3 mile) Shwe Pyi Tar </t>
  </si>
  <si>
    <t xml:space="preserve">Bum Ra Yang Camp </t>
  </si>
  <si>
    <t>Mang Nawng Kawng (host)</t>
  </si>
  <si>
    <t>Hat Hlan village (host)</t>
  </si>
  <si>
    <t>Kyaukme Town (host)</t>
  </si>
  <si>
    <t>MMR001CMP281</t>
  </si>
  <si>
    <t xml:space="preserve">Wet Kone </t>
  </si>
  <si>
    <t xml:space="preserve">Shew Pyi Tar/Wet Kone </t>
  </si>
  <si>
    <t>Q4_2021</t>
  </si>
  <si>
    <t>30/Sept/2021: Population update: Data Source: UNHCR: the camp site was officially set up and currently there are 30 pp living at the camp and supporting the shelter construction in the site. There are more IDPs coming from 6 collective site and host community to the camp after finishing the shelter construction. Shalom will support CCCM FP appointments, CCCM kit and  CRC for three months until December. KMSS is implementing emergency shelter construction.</t>
  </si>
  <si>
    <t>MMR001CMP280</t>
  </si>
  <si>
    <t xml:space="preserve">Jing Ma yang </t>
  </si>
  <si>
    <t xml:space="preserve">Bum Yar Yang </t>
  </si>
  <si>
    <t>STW/KMSS-MYT</t>
  </si>
  <si>
    <t>MMR001CMP283</t>
  </si>
  <si>
    <t xml:space="preserve">Sun Long </t>
  </si>
  <si>
    <t xml:space="preserve">Hat Hlan </t>
  </si>
  <si>
    <t>30/Sept/2021: Population update: Data Source: UNHCR-lashio: from Chaung Son village Hsipaw were displaced in Hat Hlan, sun long VT, site on 22 March 2021.</t>
  </si>
  <si>
    <t>MMR001CMP282</t>
  </si>
  <si>
    <t xml:space="preserve">Kyaukme Town </t>
  </si>
  <si>
    <t>Ward (9)</t>
  </si>
  <si>
    <t>30/Sept/2021: Population update: Data Source: UNHCR-lashio: IDPs accommodated first at Aung Mingalar Monestary and gradually and prevalenly moved out in the town area in different wards in Kyaukme.</t>
  </si>
  <si>
    <t>MMR001CMP284</t>
  </si>
  <si>
    <t>Mant Sei</t>
  </si>
  <si>
    <t>Mang Nawng Kawng</t>
  </si>
  <si>
    <t>30/Sept/2021: Population update: Data Source: UNHCR-lashio: These IDPs are from Mant Tawng, Muse, were displaced in Mang Nawng Kawng Village on 30 April 2021.</t>
  </si>
  <si>
    <t xml:space="preserve">bathing spaces are needed to renovate pipeline system, walling for women and girls privacy, roofing and water storage tanks. Need to construct new hand dug well </t>
  </si>
  <si>
    <t>Trocaire/Irish</t>
  </si>
  <si>
    <t>15-05-2021</t>
  </si>
  <si>
    <t>14-08-2021</t>
  </si>
  <si>
    <t>Regarding to the water source testing result (Water conterminate), it should not use for the drinking water. Therefore, it needs to find the new water source and construct new water supply.</t>
  </si>
  <si>
    <t>It still needs to construct new sanitations</t>
  </si>
  <si>
    <t>It should support in-kind because there is no accessible market</t>
  </si>
  <si>
    <t>Bum Ra Yang Camp  Total</t>
  </si>
  <si>
    <t>Mang Nawng Kawng (host) Total</t>
  </si>
  <si>
    <t>Hat Hlan village (host) Total</t>
  </si>
  <si>
    <t>Kyaukme Town (host) Total</t>
  </si>
  <si>
    <t xml:space="preserve">still need to do Hygiene promotion to be practical step </t>
  </si>
  <si>
    <t>KMSS,METTA</t>
  </si>
  <si>
    <t>UNICEF,(UNICEF, USAID)</t>
  </si>
  <si>
    <t>Meikswe MM</t>
  </si>
  <si>
    <t>HRP reached</t>
  </si>
  <si>
    <t>2021-4th Qtr 4W Camp DASHBOARD</t>
  </si>
  <si>
    <t>amount of MMK/Voucher or Token distributed per HH/Family</t>
  </si>
  <si>
    <t># of Family/HH Reached</t>
  </si>
  <si>
    <t>Date of Cash distribution</t>
  </si>
  <si>
    <t>Cash distributed for which items ( Hygiene kits, Hygiene items, Sanitary pads, Others…..)</t>
  </si>
  <si>
    <t>Date</t>
  </si>
  <si>
    <t>amount_of_MMK/Voucher_or_Token_distributed_per_HH/Family</t>
  </si>
  <si>
    <t>#_of_Family/HH_Reached</t>
  </si>
  <si>
    <t>Date_of_Cash_distribution</t>
  </si>
  <si>
    <t>Cash_distributed_for_which_items</t>
  </si>
  <si>
    <t>V78</t>
  </si>
  <si>
    <t>V79</t>
  </si>
  <si>
    <t>V80</t>
  </si>
  <si>
    <t>CASH</t>
  </si>
  <si>
    <t>V81</t>
  </si>
  <si>
    <t>Mon</t>
  </si>
  <si>
    <t>Ayeyarwady</t>
  </si>
  <si>
    <t>Bago (East)</t>
  </si>
  <si>
    <t>Bago (West)</t>
  </si>
  <si>
    <t>Kayah</t>
  </si>
  <si>
    <t>Magway</t>
  </si>
  <si>
    <t>Mandalay</t>
  </si>
  <si>
    <t>Nay Pyi Taw</t>
  </si>
  <si>
    <t>Sagaing</t>
  </si>
  <si>
    <t>Shan (East)</t>
  </si>
  <si>
    <t>Tanintharyi</t>
  </si>
  <si>
    <t>Yangon</t>
  </si>
  <si>
    <t>Number of women, men, girls and boys accessing WASH services in temporary health facilities which received support from the WASH Cluster.</t>
  </si>
  <si>
    <t>Number of women, men, girls and boys accessing WASH services in temporary learn-ing spaces which received support from the WASH Cluster.</t>
  </si>
  <si>
    <t>2022_Q1</t>
  </si>
  <si>
    <t>2022_Q2</t>
  </si>
  <si>
    <t>2022_Q3</t>
  </si>
  <si>
    <t>2022_Q4</t>
  </si>
  <si>
    <t>11-11-2021, 07-01-2020</t>
  </si>
  <si>
    <t>10-11-2022, 28-2-2022</t>
  </si>
  <si>
    <t>Metta, KMSS,</t>
  </si>
  <si>
    <t xml:space="preserve">Metta, KMSS, </t>
  </si>
  <si>
    <t>Temporarily removed</t>
  </si>
  <si>
    <t>Closed_cccm2022Jan</t>
  </si>
  <si>
    <t>Nam Hlaing Extension Ward camp</t>
  </si>
  <si>
    <t xml:space="preserve">Naung Tar Law (Kyet Chan) </t>
  </si>
  <si>
    <t>Waingmaw St.Joseph RC Church</t>
  </si>
  <si>
    <t xml:space="preserve">Waingmaw LBC church </t>
  </si>
  <si>
    <t>Lisu Zonal camp</t>
  </si>
  <si>
    <t>Phaug Nhae Camp</t>
  </si>
  <si>
    <t>Yuu Ka lait Kone Camp</t>
  </si>
  <si>
    <t>Lhaovo Baptist Convention  Old Office Camp</t>
  </si>
  <si>
    <t>Ding Jang Yang (1)</t>
  </si>
  <si>
    <t>Ding Jang Yang (2)</t>
  </si>
  <si>
    <t xml:space="preserve">Naung Pataine/lachid </t>
  </si>
  <si>
    <t>MMR001CMP285</t>
  </si>
  <si>
    <t>MMR001CMP286</t>
  </si>
  <si>
    <t>MMR001CMP287</t>
  </si>
  <si>
    <t>MMR001CMP288</t>
  </si>
  <si>
    <t>MMR001CMP289</t>
  </si>
  <si>
    <t>MMR001CMP290</t>
  </si>
  <si>
    <t>MMR001CMP291</t>
  </si>
  <si>
    <t>MMR001CMP292</t>
  </si>
  <si>
    <t>MMR001CMP293</t>
  </si>
  <si>
    <t>MMR001CMP294</t>
  </si>
  <si>
    <t>MMR001CMP295</t>
  </si>
  <si>
    <t xml:space="preserve">Ding Jang Yang </t>
  </si>
  <si>
    <t>Nam Hlaing extension Ward</t>
  </si>
  <si>
    <t>Naung Tar Law village</t>
  </si>
  <si>
    <t>Ward (2)</t>
  </si>
  <si>
    <t>Ward (3)</t>
  </si>
  <si>
    <t>1.9.2021</t>
  </si>
  <si>
    <t>Q1_2022</t>
  </si>
  <si>
    <t xml:space="preserve">Uncovered  </t>
  </si>
  <si>
    <t xml:space="preserve">31 Jan 2022:(8HH ,34PP) have to be removed from the list, (the camp manager mistakenly keep them in the list even after they left from the camp)  31/Dec/2021: Data Source Shalom (this camp was setting up in November after IDPs were asked to move from school building in Nam Hlaing village, IDPs constrcuted makeshifts by themselves for temporary and KMSS-BMO constucted over 30 unit of emergency makeshift shelters) </t>
  </si>
  <si>
    <t>31/Jan/2022:Population update. Data source: Dai Fin (registered in CCCM list due to unstable safely and security condition in the area, IDPs decided themselves staying at the current site, however, some of the IDPs doing back and forth to their VoO)</t>
  </si>
  <si>
    <t xml:space="preserve">31/Jan/2022:Population update. Data source: Dai Fin (registered in CCCM list due to unstable safely and security condition in the area, IDPs decided themselves staying at the current site) </t>
  </si>
  <si>
    <t>KBC, PIN</t>
  </si>
  <si>
    <t>10/1/2020, 4-8-21</t>
  </si>
  <si>
    <t>4/30/2022, 3-8-22</t>
  </si>
  <si>
    <t>KBC,PIN</t>
  </si>
  <si>
    <t>UNICEF,MHG</t>
  </si>
  <si>
    <t>4/30/2022,8-3-2022</t>
  </si>
  <si>
    <t>10/1/2020,8-4-2021</t>
  </si>
  <si>
    <t>UNICEF,MHF</t>
  </si>
  <si>
    <t>10/1/2020, 8-4-21</t>
  </si>
  <si>
    <t>4/30/2022, 8-3-22</t>
  </si>
  <si>
    <t>Nam Hlaing Extension Ward camp Total</t>
  </si>
  <si>
    <t>Naung Tar Law (Kyet Chan)  Total</t>
  </si>
  <si>
    <t>Waingmaw St.Joseph RC Church Total</t>
  </si>
  <si>
    <t>Waingmaw LBC church  Total</t>
  </si>
  <si>
    <t>Lisu Zonal camp Total</t>
  </si>
  <si>
    <t>Phaug Nhae Camp Total</t>
  </si>
  <si>
    <t>Yuu Ka lait Kone Camp Total</t>
  </si>
  <si>
    <t>Lhaovo Baptist Convention  Old Office Camp Total</t>
  </si>
  <si>
    <t>Ding Jang Yang (1) Total</t>
  </si>
  <si>
    <t>Ding Jang Yang (2) Total</t>
  </si>
  <si>
    <t>Naung Pataine/lachid  Total</t>
  </si>
  <si>
    <t>Momauk KBC church Total</t>
  </si>
  <si>
    <t># People access to functional water points or water provision supported by WASH partners in TLS/CFS_HRP5</t>
  </si>
  <si>
    <t># People access to functional water points or water provision supported by WASH partners in THF_HRP6</t>
  </si>
  <si>
    <t>#_Constructed/Existing hand washing stations at TLS/CFS/THF</t>
  </si>
  <si>
    <t># of  functional water points or water provision supported by WASH partners in TLS/CFS with  during the reporting period</t>
  </si>
  <si>
    <t>#_of water points in TLS/CFS</t>
  </si>
  <si>
    <t>#_of water points in THF</t>
  </si>
  <si>
    <t># of  functional water points or water provision supported by WASH partners in THF with  during the reporting period</t>
  </si>
  <si>
    <t>V40a</t>
  </si>
  <si>
    <t>V40b</t>
  </si>
  <si>
    <t>The number of functional and improve water point in child friendly/temporary learning spaces on the premises.
Functional: Is able to provide safe water when needed
Improved: A source that by nature of its design and construction has the potential to deliver safe wate (see: https://www.who.int/water_sanitation_health/monitoring/oms_brochure_core_questionsfinal24608.pdf)</t>
  </si>
  <si>
    <t>The number of functional and improve water point in temporary health facilities on the premises.
Functional: Is able to provide safe water when needed
Improved: A source that by nature of its design and construction has the potential to deliver safe wate (see: https://www.who.int/water_sanitation_health/monitoring/oms_brochure_core_questionsfinal24608.pdf)</t>
  </si>
  <si>
    <t># People access to functioning latrines in THF_HRP6</t>
  </si>
  <si>
    <t>HRP6</t>
  </si>
  <si>
    <r>
      <t xml:space="preserve">Number of women, men, girls and boys accessing WASH services in </t>
    </r>
    <r>
      <rPr>
        <b/>
        <sz val="10"/>
        <rFont val="Corbel"/>
        <family val="2"/>
      </rPr>
      <t>temporary learn-ing spaces</t>
    </r>
    <r>
      <rPr>
        <sz val="10"/>
        <rFont val="Corbel"/>
        <family val="2"/>
      </rPr>
      <t xml:space="preserve"> which received support from the WASH Cluster.</t>
    </r>
  </si>
  <si>
    <r>
      <t xml:space="preserve">Number of women, men, girls and boys accessing WASH services in </t>
    </r>
    <r>
      <rPr>
        <b/>
        <sz val="10"/>
        <rFont val="Corbel"/>
        <family val="2"/>
      </rPr>
      <t>temporary health facilities</t>
    </r>
    <r>
      <rPr>
        <sz val="10"/>
        <rFont val="Corbel"/>
        <family val="2"/>
      </rPr>
      <t xml:space="preserve"> which received support from the WASH Cluster.</t>
    </r>
  </si>
  <si>
    <r>
      <t xml:space="preserve"># People access to functional water points or water provision supported by WASH partners in </t>
    </r>
    <r>
      <rPr>
        <sz val="10"/>
        <color theme="0"/>
        <rFont val="Crobel"/>
      </rPr>
      <t>THF</t>
    </r>
    <r>
      <rPr>
        <b/>
        <sz val="10"/>
        <color theme="0"/>
        <rFont val="Crobel"/>
      </rPr>
      <t xml:space="preserve"> during reporting period</t>
    </r>
  </si>
  <si>
    <r>
      <t xml:space="preserve"># People access to functional water points or water provision supported by WASH partners in </t>
    </r>
    <r>
      <rPr>
        <sz val="10"/>
        <color theme="0"/>
        <rFont val="Crobel"/>
      </rPr>
      <t>TLS/CFS</t>
    </r>
  </si>
  <si>
    <t>Max of HRP6</t>
  </si>
  <si>
    <t xml:space="preserve"> HRP6</t>
  </si>
  <si>
    <t>Max of # People access to water in TLS/CFS_HRP5</t>
  </si>
  <si>
    <t>Max of # People access to water in THF_HRP6</t>
  </si>
  <si>
    <t>Max of # People access to functioning latrines in THF_HRP6</t>
  </si>
  <si>
    <t># People access to water in TLS/CFS_HRP5</t>
  </si>
  <si>
    <t># People access to water in THF_HRP6</t>
  </si>
  <si>
    <t>Other vulnerable crisis-affected people_Reached</t>
  </si>
  <si>
    <t>IDP returnees/ resettled/ locally integrated-Reached</t>
  </si>
  <si>
    <t xml:space="preserve"># male and female reached with critical WASH supplies </t>
  </si>
  <si>
    <t># of people reached with handwashing behaviour change programmes</t>
  </si>
  <si>
    <t xml:space="preserve"> Adult (18-60 yrs)</t>
  </si>
  <si>
    <t xml:space="preserve"> Elderly (&gt;60 yrs)</t>
  </si>
  <si>
    <t>% Female</t>
  </si>
  <si>
    <t>% CHILDREN  (Age 18&lt;)</t>
  </si>
  <si>
    <t xml:space="preserve"> % ADULTS ( Age 18-60)</t>
  </si>
  <si>
    <t>% ELDERS  (Age 60+)</t>
  </si>
  <si>
    <t>% of people with disabilities (Age 5 yrs+)</t>
  </si>
  <si>
    <t>% Male</t>
  </si>
  <si>
    <t>"2022 HPC - baseline PiN and PT" excefile</t>
  </si>
  <si>
    <t>GCA (500:1)</t>
  </si>
  <si>
    <t>NGCA (500:1)</t>
  </si>
  <si>
    <t xml:space="preserve"># women and girls received Sanitary pads
(29% of total population targeted)
</t>
  </si>
  <si>
    <t>GCA (25% of HH targeted)</t>
  </si>
  <si>
    <t>NGCA (100% HH targeted)</t>
  </si>
  <si>
    <t xml:space="preserve"> # of functioning latrines in TLS/CFS </t>
  </si>
  <si>
    <t># Water points in TLS/CFS</t>
  </si>
  <si>
    <t>Sum of #_of water points in THF</t>
  </si>
  <si>
    <t xml:space="preserve">  functional latrines in TLS/CFS supported by WASH partners during the reporting period</t>
  </si>
  <si>
    <t xml:space="preserve"> #_of water points in TLS/CFS</t>
  </si>
  <si>
    <t># Water points in THF</t>
  </si>
  <si>
    <t># of functional latrines in THF</t>
  </si>
  <si>
    <t>Number of women, men, girls and boys accessing WASH services in temporary learning spaces which received support from the WASH Cluster.</t>
  </si>
  <si>
    <t>မိုးတွင်းတွင် ရေခက်ခဲ</t>
  </si>
  <si>
    <t>ရေမသန့်၍သောက်သုံးမရ</t>
  </si>
  <si>
    <t>ရေတွင်းအသစ် တခုလိုအပ်</t>
  </si>
  <si>
    <t>မိလ္လာစုပ်ထုတ်ရန်ရှိ</t>
  </si>
  <si>
    <t>သွားတိုက်ဆေး၊ သွားတိုက်တံ</t>
  </si>
  <si>
    <t>ဆပ်ပြာလုံလောက်စွာရရှိရန်</t>
  </si>
  <si>
    <t>အသိပညာပေး</t>
  </si>
  <si>
    <t>နွေရာသီတွင် ရေအခက်အခဲဖြစ်</t>
  </si>
  <si>
    <t>ရေသန့်လိုအပ်</t>
  </si>
  <si>
    <t>နွေရာသီတွင် ရေရှားပါးမှုဖြစ်</t>
  </si>
  <si>
    <t>နွေရာသီတွင် ရေခမ်း၍ ရေအနည်များခြင်း</t>
  </si>
  <si>
    <t>နွေရာသီတွင် ရေခမ်း၍ ရေအနည်များခြင်း/မသန့်ခြင်း</t>
  </si>
  <si>
    <t>မိလ္လာစုပ်ထုတ်ရန် လိုအပ်ပါက ရုံးမှ တိုက်ရိုက်ဆက်သွယ်လုပ်ဆောင်ပေးပါရန်</t>
  </si>
  <si>
    <t>12နှစ်မှ ၂၅နှစ်များကို တကိုယ်ရည်သန့်ရှင်းရေးသင်တန်းများ လိုအပ်</t>
  </si>
  <si>
    <t>ရေပိုက်နှင့် ရေမော်တာလိုအပ်</t>
  </si>
  <si>
    <t>ရေတွင်း ရေမလုံလောက်ခြင်းကြောင့် စခန်းအနီးရှိ ဘုန်းကြီးကျောင်းမှ ရေပိုက်သွယ်ယူရန်လိုအပ်လျက်ရှိ</t>
  </si>
  <si>
    <t>နွေရာသီတွင် သောက်သုံးရေခက်ခဲ။ ရေမသန့်ရှင်းသောကြောင့် ကလေး၊လူကြီးများတွင် အရေပြားရောဂါများဖြစ်ပွားနေပါသည်။</t>
  </si>
  <si>
    <t>ရေသန့်(ကလိုရင်း ဆေး)</t>
  </si>
  <si>
    <t>ရေနုတ်မြောင်းလိုအပ်/ အိမ်သာအသစ်(၄)လုံးလိုအပ်</t>
  </si>
  <si>
    <t>အမှိုက်စွန့်ပစ်ရန် ဆီဖိုးထောက်ပံ့မူများလိုအပ်နေပါသည်။</t>
  </si>
  <si>
    <t>အိမ်သာ(အသစ်)လိုချင်သော်လည်းနေရာမရှိ</t>
  </si>
  <si>
    <t>မိလု္လာတွင်းတိမ်သည့် အတွက် မကြာမဏပြည့်။</t>
  </si>
  <si>
    <t>အိမ်သာထပ်မံလိုအပ်ပါသည်။</t>
  </si>
  <si>
    <t>အိမ်သာ(၁၀)လုံးပြုပြင်ရန်လိုအပ်နေ</t>
  </si>
  <si>
    <t>Hygiene Promotion ပြုလုပ်ရန်</t>
  </si>
  <si>
    <t>သင်တန်းများ ပြန်လည်ပို့ချပေးစေလိုပါသည်။</t>
  </si>
  <si>
    <t>အိမ်သာအနီးလက်ဆေးစင်(၃)လုံးထောက်ပံ့ပေးရန်။ Hygiene Kits ထောက်ပံ့ပေးပါရန်</t>
  </si>
  <si>
    <t>Hygiene Kit ပုံမှန်ပေးစေလို</t>
  </si>
  <si>
    <t>(12-50)ကြား အမျိုးသမီးသုံးဆောင်ပစ္စည်းများပေးစေလို</t>
  </si>
  <si>
    <t>ရေစင်(၂)လုံးလိုအပ်နေ။ Hygiene Promotion ပြုလုပ်ရန်လို။ Hygiene Kitsဆက်လက်ပေးရန်</t>
  </si>
  <si>
    <t>တောင်ကျရေလုံလောက်မူမရှိ</t>
  </si>
  <si>
    <t>ရေအရည်သွေးစစ်ဆေးမူပြုလုပ်စေချင်။ ရေတွင်းသန့်ရှင်းရေးလုပ်ချင်ပါသည်</t>
  </si>
  <si>
    <t>မီးစက်ဒိုင်နမိုလို</t>
  </si>
  <si>
    <t>မီးကြိုးလှဲလှယ်ရန်လိုအပ် ရေအရည်အသွေးစစ်ဆေးရန်</t>
  </si>
  <si>
    <t>အတွင်းခံဆိုဒ်ကြီးများလဲ ထည့်ပေးစေချင်ပါသည်။ အသက်(၅၀)ထိလစဉ်သုံးပစ္စည်းရချင်</t>
  </si>
  <si>
    <t>Hygiene Kits ထောက်ပံ့ပေးပါရန်</t>
  </si>
  <si>
    <t>သွားတိုက်ဆေး/တံ၊ အမျိုးသမီး(၅၀)ထိအသုံးအဆောင်ရစေလို</t>
  </si>
  <si>
    <t>Hygiene Kits များပုံမှန်ပေးစေလိုပါသည်။</t>
  </si>
  <si>
    <t>HPa</t>
  </si>
  <si>
    <t>IRW</t>
  </si>
  <si>
    <t>4W village</t>
  </si>
  <si>
    <t>OXSI (Oxfam)</t>
  </si>
  <si>
    <t>W_121</t>
  </si>
  <si>
    <t>W_098</t>
  </si>
  <si>
    <t>W_070</t>
  </si>
  <si>
    <t>W_057</t>
  </si>
  <si>
    <t>W_137</t>
  </si>
  <si>
    <t>W_138</t>
  </si>
  <si>
    <t>W_005</t>
  </si>
  <si>
    <t>3W</t>
  </si>
  <si>
    <t>Nway Htwe Thaw Yin Khwin</t>
  </si>
  <si>
    <t>Meikswe Myanmar</t>
  </si>
  <si>
    <t xml:space="preserve">Metta </t>
  </si>
  <si>
    <t>SCI / ICRC</t>
  </si>
  <si>
    <t>TGH-RCDF</t>
  </si>
  <si>
    <t>MA-UK</t>
  </si>
  <si>
    <t>CERA</t>
  </si>
  <si>
    <t>LWF</t>
  </si>
  <si>
    <t>CHRO</t>
  </si>
  <si>
    <t>Acronym</t>
  </si>
  <si>
    <t>reporting</t>
  </si>
  <si>
    <t>PWJ</t>
  </si>
  <si>
    <t>ADRA</t>
  </si>
  <si>
    <t>Mercy Corps</t>
  </si>
  <si>
    <t>Karen Women Organisation</t>
  </si>
  <si>
    <t>TWG</t>
  </si>
  <si>
    <t>nRS
(Stateless)</t>
  </si>
  <si>
    <t>nRS
(Others)</t>
  </si>
  <si>
    <t>IDP sites</t>
  </si>
  <si>
    <t>MMR015CMP036</t>
  </si>
  <si>
    <t>MMR015CMP084</t>
  </si>
  <si>
    <t>MMR015CMP062</t>
  </si>
  <si>
    <t>MMR015CMP071</t>
  </si>
  <si>
    <t>MMR015CMP030</t>
  </si>
  <si>
    <t>MMR015CMP068</t>
  </si>
  <si>
    <t>Mong Wee Shan-relocated</t>
  </si>
  <si>
    <t>Hseng Ja-Relocated</t>
  </si>
  <si>
    <t>MMR015CMP063</t>
  </si>
  <si>
    <t>MMR015CMP038</t>
  </si>
  <si>
    <t>MMR015CMP064</t>
  </si>
  <si>
    <t>MMR015CMP045</t>
  </si>
  <si>
    <t>MMR015CMP043</t>
  </si>
  <si>
    <t>MMR015CMP037</t>
  </si>
  <si>
    <t>MMR015CMP067</t>
  </si>
  <si>
    <t>MMR015CMP075</t>
  </si>
  <si>
    <t>MMR015CMP073</t>
  </si>
  <si>
    <t>MMR015CMP072</t>
  </si>
  <si>
    <t>MMR015CMP069</t>
  </si>
  <si>
    <t>MMR015CMP070</t>
  </si>
  <si>
    <t>MMR015CMP027</t>
  </si>
  <si>
    <t>MMR015CMP065</t>
  </si>
  <si>
    <t>MMR015CMP076</t>
  </si>
  <si>
    <t>MMR015CMP042</t>
  </si>
  <si>
    <t>MMR015CMP074</t>
  </si>
  <si>
    <t>MMR015CMP066</t>
  </si>
  <si>
    <t>MMR015CMP050</t>
  </si>
  <si>
    <t>old-Pcode</t>
  </si>
  <si>
    <t>Closed_cccm_2022Apr</t>
  </si>
  <si>
    <t>MMR015CMP077</t>
  </si>
  <si>
    <t>MMR015CMP078</t>
  </si>
  <si>
    <t>MMR015CMP079</t>
  </si>
  <si>
    <t>MMR015CMP080</t>
  </si>
  <si>
    <t>MMR015CMP081</t>
  </si>
  <si>
    <t>MMR015CMP083</t>
  </si>
  <si>
    <t xml:space="preserve">Man Pint community Hall </t>
  </si>
  <si>
    <t>Mong Tin High School</t>
  </si>
  <si>
    <t>Nar Mun Primary School</t>
  </si>
  <si>
    <t>SLCA Building Compound (Kyaukme town)</t>
  </si>
  <si>
    <t>SLCA Building Compound (Moungnawt town)</t>
  </si>
  <si>
    <t xml:space="preserve">Theravada Monastery </t>
  </si>
  <si>
    <t>Pong Long</t>
  </si>
  <si>
    <t>Mong Tin</t>
  </si>
  <si>
    <t xml:space="preserve">Mong Tin </t>
  </si>
  <si>
    <t xml:space="preserve">Hku Mone </t>
  </si>
  <si>
    <t>Mongngawt Town</t>
  </si>
  <si>
    <t>Man Pint</t>
  </si>
  <si>
    <t>Mong Tin Ywar Ma</t>
  </si>
  <si>
    <t xml:space="preserve">Nar Mun </t>
  </si>
  <si>
    <t xml:space="preserve">30 April 2022: population source UNHCR follow up 31.Mar/2022:Population update. Data Source: UNHCR-Lashio: registered in CCCM list as the displacement prolonged due to insecure cirdumstance in the area. </t>
  </si>
  <si>
    <t xml:space="preserve">30 April 2022: population source UNHCR follow up 31.Mar/2022:Population update. Data Source: UNHCR-Lashio: registered in CCCM list as the displacement prolonged due to insecure circumstance in the area. </t>
  </si>
  <si>
    <t xml:space="preserve">31.Mar/2022:Population update. Data Source: UNHCR-Lashio: registered in CCCM list as the displacement prolonged due to insecure cirdumstance in the area. </t>
  </si>
  <si>
    <t>Q2_2022</t>
  </si>
  <si>
    <t>CCCm_2022Apr</t>
  </si>
  <si>
    <t>cccm_2022Apr</t>
  </si>
  <si>
    <t>Na ru Kawng (Post 6 camp)</t>
  </si>
  <si>
    <t>Maina Mu-yin  Baptist Church</t>
  </si>
  <si>
    <t xml:space="preserve">30/Apr/2022: The camp is temporarily removed from the camp list, all HH/PP return to their village of Origin for their children's education and Usual LLH, The makeshift shelter will be remain for in case of emergency)
31/Jan/2022:Population update. Data source: Dai Fin (registered in CCCM list due to unstable safely and security condition in the area, IDPs decided themselves staying at the current site) </t>
  </si>
  <si>
    <t xml:space="preserve">30/Apr/2022: (all IDPs HH/pp return to their village of origin to Mading, labang, Tang Bau to continue their usual LLH and children education and The host church have many church activities and request IDPs to return to their village of origin, but the makeshift shelter will be keep in the church till end of Nov 2022 in case of emergency)
31/Jan/2022:Population update. Data source: Dai Fin (registered in CCCM list due to unstable safely and security condition in the area, IDPs decided themselves staying at the current site) </t>
  </si>
  <si>
    <t>30/June/2021:Population update. Data source:KBC-MYT (Putao camp was closed in June 15,2021.(Move to sut Chying village near the zedam 2village ) to resettlement site)
31/May/2021:Population update. Data source:KBC-MYT
30/April/2021:Population update. Data source:KBC-MYT (M-2/F-2 Born)
31/March/2021:Population update. Data source:KBC-MYT
28/Feb/2021:Population update. Data source:KBC-MYT
31/Jan/2021:Population update. Data source:KBC-MYT
31/Dec/2020:Population update. Data source:KBC-MYT
30/Nov/2020:Population update. Data source:KBC-MYT (M-6 and F-1 born /F-3 got married )
30/Sept/2020:Population update. Data source:KBC-MYT (M-1 born)
31/Aug/2020:Population update. Data source:KBC-MYT
31/July/2020:Population update. Data source:KBC-MYT
30/June/2020:Population update. Data source:KBC-MYT (1-M new born)
31/May/2020:Population update. Data source:KBC-MYT
30/April/2020:Population update. Data source:KBC-MYT (2hh increase -(HH extension)
30/March/2020:Population update. Data source:KBC-MYT (4 hhs from Tatkone CoC, 2hhs from host (IDP) registered, 5 hhs extened, 2hhs from host  (IDP but never registered in camp) in March)
28/February/2020:Population update. Data source:KBC-MYT (7hhs come from Host and 3hh are extended.)
30/January/2020: Population update. Data source: KBC-MYT 
30/December/2019: Population update. Data source:KBC-MYT  
29/November/2019: Population update. Data source:KBC-MYT
31/October/2019: Population update. Data source:KBC-MYT30/September/2019: Population update. Data source:KBC-MYT
30/August/2019: Population update. Data source: KBC-MYT
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</si>
  <si>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30/April/2020:Population update. Data source:KMSS-Myitkyina
31/March/2020:Population update. Data source:KMSS-Myitkyina
28/Feb/2020:Population update. Data source:KMSS-Myitkyina
31/Dec/2020:Reduced the # of HHs who relocated to Gawnan on December. there are more HHs (extended families in BP6 to be updated in January 2021, after teh site assessment) Data source:KMSS-Myitkyina
31 Oct 2020: 2 HH/ 11 people Increase back from livelihood and new born 30/Sept/2020:Population update. Data source:KMSS-Myitkyina
31/Aug/2020:Population update. Data source: KMSS Myitkyina ((In June 24 hh and 154 moved majorities to Shing Jai camp and othe camps, the total hh was 53 and 335 pp)  One Male new born in Aug)
31/July/2020:Population update. Data source: KMSS Myitkyina
30/June/2020:Population update. Data source: KMSS Myitkyina
31/May/2020:Population update. Data source: KMSS Myitkyina
30/April/2020:Population update. Data source: KMSS Myitkyina
30/March/2020:Population update. Data source: KMSS Myitkyina 
28/February/2020:Population update. Data source:KMSS_Myitkyina
30/January/2020: Population update. Data source: KMSS_Myitkyina
30/December/2019: Population update. Data source: KMSS_Myitkyina 
29/November/2019: Population update. Data source: KMSS_Myitkyina
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</si>
  <si>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Relocated-IDPs in host</t>
  </si>
  <si>
    <t>Relocated-Individual House</t>
  </si>
  <si>
    <t xml:space="preserve">Nan Hlaing_new camp </t>
  </si>
  <si>
    <t xml:space="preserve">Inadequate dirinking water in every summer. Water contamination (iron) is quite high and KBC constructed slow sand filter in attached 2 shallow tube well. </t>
  </si>
  <si>
    <t>There have no child latrine facitity in TLS and CFS</t>
  </si>
  <si>
    <t xml:space="preserve">Hygiene item distribution </t>
  </si>
  <si>
    <t>No Comment</t>
  </si>
  <si>
    <t>Please request to KMSS (MKN) to get more information about Je Yang School /water source pipe line need to repair in every raining season because of  landslide.</t>
  </si>
  <si>
    <t xml:space="preserve">More Need hygiene kits </t>
  </si>
  <si>
    <t xml:space="preserve">Community requested that to construct new water storage tank </t>
  </si>
  <si>
    <t>Saint Matthew (Shin ma ti-sitapru) camp</t>
  </si>
  <si>
    <t>Myo Thit -IDP in Host</t>
  </si>
  <si>
    <t xml:space="preserve">Bhamo- IDPs in Host </t>
  </si>
  <si>
    <t>St.Columban lone Khin camp</t>
  </si>
  <si>
    <t>Momauk-IDPs in Host</t>
  </si>
  <si>
    <t>Chipwi Pan Wa  (Host IDP)</t>
  </si>
  <si>
    <t>Man Wing- IDPs in Host</t>
  </si>
  <si>
    <t>Mansi- IDPs in Host</t>
  </si>
  <si>
    <t>Hopin -IDPs in Host</t>
  </si>
  <si>
    <t>Moenyin- IDPs in Host</t>
  </si>
  <si>
    <t>St.Francis RCC 1</t>
  </si>
  <si>
    <t>St.Francis RCC 2</t>
  </si>
  <si>
    <t>(3 mile) Shwe Pyi Tar (SLCA)</t>
  </si>
  <si>
    <t>Bang Yang Hka (Mung Ji Pa)-relocated</t>
  </si>
  <si>
    <t>Galeng Zup Awng ward 5 RC</t>
  </si>
  <si>
    <t>8/6/2021, 07-01-2020</t>
  </si>
  <si>
    <t>8/5/2022, 12-31-2021</t>
  </si>
  <si>
    <t>Every woman requested Sanitary pads</t>
  </si>
  <si>
    <t xml:space="preserve">Requested Sanitary pads </t>
  </si>
  <si>
    <t>ECHO 2739</t>
  </si>
  <si>
    <t xml:space="preserve"> SI conducted HH Visits and Hygiene promotion when we found the fecal coliform </t>
  </si>
  <si>
    <t>2 sources are not using any more for drinking</t>
  </si>
  <si>
    <t>finished chlorination for HDW</t>
  </si>
  <si>
    <t>PIN/ KBC, SI</t>
  </si>
  <si>
    <t>KBC, SI</t>
  </si>
  <si>
    <t>MHF, ECHO 2739</t>
  </si>
  <si>
    <t>11/1/2021, 4/1/2022</t>
  </si>
  <si>
    <t>10/31/2022, 11/30/2022</t>
  </si>
  <si>
    <t>Needed Water tasting ,O&amp;M Training</t>
  </si>
  <si>
    <t>Needed Solid wates management,Cleaning Tools</t>
  </si>
  <si>
    <t>Needed Solid wates management,Cleaning Tools and Fly Proof Latrine</t>
  </si>
  <si>
    <t>Need Local IEC meterial and Hygiene Promotion,Hygiene Kits Refill Item.</t>
  </si>
  <si>
    <t>USAID/HOPE-94</t>
  </si>
  <si>
    <t>13-8-2021/1-7-2021</t>
  </si>
  <si>
    <t>12-2-2022/30-4-2021</t>
  </si>
  <si>
    <t xml:space="preserve">Provide hygiene 4 clean message to mother group session and adolescent sessions (Under managed by Nutrition Programme) </t>
  </si>
  <si>
    <t>သောက်သုံးရေ ခက်ခဲ</t>
  </si>
  <si>
    <t xml:space="preserve">water intake and water quality testing </t>
  </si>
  <si>
    <t>ရေပိုက်လိုအပ်သည်</t>
  </si>
  <si>
    <t xml:space="preserve">ရေအရည်သွေးစစ်ဆေးမူပြုလုပ်စေချင်။ </t>
  </si>
  <si>
    <t>ထုံးဓာတ်များခြင်း</t>
  </si>
  <si>
    <t>MRC</t>
  </si>
  <si>
    <t>အိမ်သာအသစ် လိုအပ် မလုံလောက်</t>
  </si>
  <si>
    <t>Capacity building training</t>
  </si>
  <si>
    <t>Hygiene Kits</t>
  </si>
  <si>
    <t>အိမ်သာ(အသစ်) (2)</t>
  </si>
  <si>
    <t xml:space="preserve">soap </t>
  </si>
  <si>
    <t>၆ ကျင်း စုပ်ထုတ်ရန်</t>
  </si>
  <si>
    <t>ရေနုတ်မြောင်း ပြုပြင်ရန်</t>
  </si>
  <si>
    <t>Hygiene Kits and capacity building training</t>
  </si>
  <si>
    <t>Hygiene kits</t>
  </si>
  <si>
    <t>World vision</t>
  </si>
  <si>
    <t>Camp 2 တွင်လူဦးရေနှင့် အိမ်သာမမြ</t>
  </si>
  <si>
    <t>နွေရာသီတွင် ရေအခက်အခဲအနည်းငယ် ဖြစ်</t>
  </si>
  <si>
    <t>မိလ္လာစုပ်ထုတ်ရန် အခက်အခဲဖြစ်</t>
  </si>
  <si>
    <t>PIN,IRC</t>
  </si>
  <si>
    <t>MHF,IRC</t>
  </si>
  <si>
    <t>MHF, IRC</t>
  </si>
  <si>
    <t>SIDA</t>
  </si>
  <si>
    <t>IRC, WCM</t>
  </si>
  <si>
    <t>SIDA, LIFT</t>
  </si>
  <si>
    <t>5/31/2022,1/1/2020</t>
  </si>
  <si>
    <t>10/31/2022,12/31/2022</t>
  </si>
  <si>
    <t>MHF,SIDA</t>
  </si>
  <si>
    <t>PIN,IRC,WCM</t>
  </si>
  <si>
    <t>MHF,SIDA,LIFT</t>
  </si>
  <si>
    <t>5/1/2022,1/1/2020</t>
  </si>
  <si>
    <t>Lin Hao chun  Total</t>
  </si>
  <si>
    <t>Pyi Htaung Su Total</t>
  </si>
  <si>
    <t>St.Francis RCC 1 Total</t>
  </si>
  <si>
    <t>St.Francis RCC 2 Total</t>
  </si>
  <si>
    <t>Bang Yang Hka (Mung Ji Pa)-relocated Total</t>
  </si>
  <si>
    <t>Galeng Zup Awng ward 5 RC Total</t>
  </si>
  <si>
    <t>Man Wing- IDPs in Host Total</t>
  </si>
  <si>
    <t>(3 mile) Shwe Pyi Tar (SLCA) Total</t>
  </si>
  <si>
    <t>Bhamo- IDPs in Host  Total</t>
  </si>
  <si>
    <t>Chipwi Pan Wa  (Host IDP) Total</t>
  </si>
  <si>
    <t>St.Columban lone Khin camp Total</t>
  </si>
  <si>
    <t>Mansi- IDPs in Host Total</t>
  </si>
  <si>
    <t>Hopin -IDPs in Host Total</t>
  </si>
  <si>
    <t>Moenyin- IDPs in Host Total</t>
  </si>
  <si>
    <t>Momauk-IDPs in Host Total</t>
  </si>
  <si>
    <t>Myo Thit -IDP in Host Total</t>
  </si>
  <si>
    <t>Saint Matthew (Shin ma ti-sitapru) camp Total</t>
  </si>
  <si>
    <t>Nan Hlaing_new camp  Total</t>
  </si>
  <si>
    <t>Na ru Kawng (Post 6 camp) Total</t>
  </si>
  <si>
    <t>Man Pint community Hall  Total</t>
  </si>
  <si>
    <t>Mong Tin High School Total</t>
  </si>
  <si>
    <t>Nar Mun Primary School Total</t>
  </si>
  <si>
    <t>SLCA Building Compound (Kyaukme town) Total</t>
  </si>
  <si>
    <t>SLCA Building Compound (Moungnawt town) Total</t>
  </si>
  <si>
    <t>Theravada Monastery  Total</t>
  </si>
  <si>
    <t>Mong Wee Shan-relocated Total</t>
  </si>
  <si>
    <t>Hseng Ja-Relocated Total</t>
  </si>
  <si>
    <t>Maina Mu-yin  Baptist Church Total</t>
  </si>
  <si>
    <t>WCM</t>
  </si>
  <si>
    <t>WDC</t>
  </si>
  <si>
    <t>MC</t>
  </si>
  <si>
    <t>KyWO</t>
  </si>
  <si>
    <t>MM</t>
  </si>
  <si>
    <t>NHTYK</t>
  </si>
  <si>
    <t>CIDKP</t>
  </si>
  <si>
    <t>TGH-GJ</t>
  </si>
  <si>
    <t>AYO</t>
  </si>
  <si>
    <t>OXFAM</t>
  </si>
  <si>
    <t>PSSAG</t>
  </si>
  <si>
    <t>SDF</t>
  </si>
  <si>
    <t>TLDA</t>
  </si>
  <si>
    <t>GLAD</t>
  </si>
  <si>
    <t>Mon State</t>
  </si>
  <si>
    <t>Type</t>
  </si>
  <si>
    <t>National NGO</t>
  </si>
  <si>
    <t>International NGO</t>
  </si>
  <si>
    <t>WV</t>
  </si>
  <si>
    <t>CSO</t>
  </si>
  <si>
    <t>Red Cross</t>
  </si>
  <si>
    <t>United Nations</t>
  </si>
  <si>
    <t>Count of Acronym</t>
  </si>
  <si>
    <t xml:space="preserve">HRP 2022 Indicators </t>
  </si>
  <si>
    <t>HPA, PIN</t>
  </si>
  <si>
    <t xml:space="preserve">KBC, SI </t>
  </si>
  <si>
    <t xml:space="preserve">KBC, PIN, Shalom </t>
  </si>
  <si>
    <t>KBC, KMSS, Shalom, PIN, IRC</t>
  </si>
  <si>
    <t>KBC, KMSS, Metta, PIN, SI, WPN</t>
  </si>
  <si>
    <t>KBC, KMSS, IRC, WCM</t>
  </si>
  <si>
    <t>KBC, KMSS, IRC</t>
  </si>
  <si>
    <t>KBC, KMSS, Shalom, PIN, IRC, WCM</t>
  </si>
  <si>
    <t>KBC, PIN, SI</t>
  </si>
  <si>
    <t>KBC , PIN</t>
  </si>
  <si>
    <t>KBC, KMSS, PIN</t>
  </si>
  <si>
    <t>KBC, KMSS, Metta, PIN, IRC, WCM, Shalom, STW</t>
  </si>
  <si>
    <t xml:space="preserve">Shan (South) </t>
  </si>
  <si>
    <t>500:1??</t>
  </si>
  <si>
    <t># of  functional water points or water provision supported by WASH partners in THF with  during the reporting period
# of functional latrines in THF (Temporary Health Facility) supported by WASH partners during the reporting period</t>
  </si>
  <si>
    <t>V40b, V55</t>
  </si>
  <si>
    <t>HRP 6</t>
  </si>
  <si>
    <t xml:space="preserve"># of  functional water points or water provision supported by WASH partners in TLS/CFS with  during the reporting period
# of functional latrines in TLS/CFS supported by WASH partners during the reporting period
</t>
  </si>
  <si>
    <t>V40a, 54</t>
  </si>
  <si>
    <t>Number of women, men, girls and boys accessing WASH services in learn-ing spaces which received support from the WASH Cluster.</t>
  </si>
  <si>
    <t xml:space="preserve"># Constructed latrines (cluster semi-permanent design for protracted sites; cluster emergency design for new displacement sites) by WASH agency
# Constructed latrines by Non-Cluster partner 
# Constructed/Existing child friendly latrines
# of persons with disabilities with adapted sanitation option </t>
  </si>
  <si>
    <t>V42, 43, 52, 56</t>
  </si>
  <si>
    <t xml:space="preserve"># Constructed/Existing protected hand dug well
# Constructed tube wells/boreholes/handpumps by WASH agency
# Constructed water tube-wells/boreholes/handpumps by Non-cluster partners
# Constructed/Existing water storage tank (#cm3) with gravity fed reticulation system from spring
# of liters of water supplied by existing water boating/trucking over90 days to total population in the site 
# Constructed/Existing protected/fenced ponds
# Constructed water distribution system from river
(minimum volume of water (in Liters)
</t>
  </si>
  <si>
    <t>MHF,UNICEF</t>
  </si>
  <si>
    <t>MHF,IRC, UNICEF</t>
  </si>
  <si>
    <t>MHF, IRC,UNICEF</t>
  </si>
  <si>
    <t>SIDA, UNICEF</t>
  </si>
  <si>
    <t>SIDA,UNICEF</t>
  </si>
  <si>
    <t>NO COMMENT</t>
  </si>
  <si>
    <t>MHF,SIDA,UNICEF</t>
  </si>
  <si>
    <t>11/1/2021, 6/1/2022</t>
  </si>
  <si>
    <t xml:space="preserve"> Starting GFS Construction.</t>
  </si>
  <si>
    <t>အဝီစိတွင်းနှင့်မော်တာ</t>
  </si>
  <si>
    <t>အိမ်သာကျင်းတိမ်လာ</t>
  </si>
  <si>
    <t>Need to repair the water tank tower</t>
  </si>
  <si>
    <t>Can't desludging because can't arrive car</t>
  </si>
  <si>
    <t>Hygiene promotion training and 1 hand washing station</t>
  </si>
  <si>
    <t>Requested hand soap</t>
  </si>
  <si>
    <t>8/6/2021,11-11-2021</t>
  </si>
  <si>
    <t>8/5/2022, 11-10-2022</t>
  </si>
  <si>
    <t>8/1/2021, 11-11-2021</t>
  </si>
  <si>
    <t>11-10-2022, 28-2-2022</t>
  </si>
  <si>
    <t>nRS
(IDPs)</t>
  </si>
  <si>
    <t>Swe Tha Har</t>
  </si>
  <si>
    <t>4W Camp</t>
  </si>
  <si>
    <t>SPMO</t>
  </si>
  <si>
    <t>4W Village</t>
  </si>
  <si>
    <t>KACHIN STATE (2022 - Qtr 3 - 4W Analysis, as of 30 September 2022)</t>
  </si>
  <si>
    <t>NORTHERN SHAN STATE  (2022 - Qtr 3 - 4W Analysis, as of 30 September 2022)</t>
  </si>
  <si>
    <t>KBC, WCM</t>
  </si>
  <si>
    <t>HPA, KBC, WVI</t>
  </si>
  <si>
    <t>Meikswe MM, SPMO</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</si>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</sst>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9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5"/>
      <color theme="0"/>
      <name val="Corbel"/>
      <family val="2"/>
    </font>
    <font>
      <sz val="10"/>
      <color rgb="FFFF0000"/>
      <name val="Corbel"/>
      <family val="2"/>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b/>
      <sz val="10"/>
      <color theme="0"/>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sz val="18"/>
      <name val="zawgyi1"/>
      <family val="2"/>
    </font>
    <font>
      <sz val="11"/>
      <name val="zawgyi1"/>
      <family val="2"/>
    </font>
    <font>
      <sz val="8"/>
      <name val="Zawgyi-One"/>
      <family val="2"/>
    </font>
    <font>
      <b/>
      <sz val="10"/>
      <color theme="0"/>
      <name val="Corbel"/>
      <family val="2"/>
    </font>
    <font>
      <b/>
      <sz val="10"/>
      <color rgb="FF0070C0"/>
      <name val="Crobel"/>
    </font>
    <font>
      <sz val="12"/>
      <color theme="0"/>
      <name val="Times New Roman"/>
      <family val="2"/>
    </font>
    <font>
      <sz val="12"/>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5"/>
      <name val="Crobel"/>
    </font>
    <font>
      <sz val="11"/>
      <color theme="1"/>
      <name val="Calibri"/>
      <family val="2"/>
      <scheme val="minor"/>
    </font>
    <font>
      <sz val="11"/>
      <color theme="1"/>
      <name val="Calibri"/>
      <family val="2"/>
      <scheme val="minor"/>
    </font>
    <font>
      <sz val="12"/>
      <color theme="1"/>
      <name val="Times New Roman"/>
      <family val="1"/>
    </font>
    <font>
      <sz val="11"/>
      <color theme="1"/>
      <name val="Calibri"/>
      <family val="2"/>
      <scheme val="minor"/>
    </font>
    <font>
      <sz val="11"/>
      <color theme="1"/>
      <name val="Calibri"/>
      <family val="3"/>
      <charset val="134"/>
      <scheme val="minor"/>
    </font>
    <font>
      <b/>
      <sz val="15"/>
      <color theme="3"/>
      <name val="Calibri"/>
      <family val="3"/>
      <charset val="134"/>
      <scheme val="minor"/>
    </font>
    <font>
      <sz val="12"/>
      <color theme="1"/>
      <name val="Times New Roman"/>
      <family val="1"/>
    </font>
    <font>
      <sz val="10"/>
      <color theme="0"/>
      <name val="Corbel"/>
      <family val="2"/>
    </font>
    <font>
      <sz val="12"/>
      <color theme="1"/>
      <name val="Calibri"/>
      <family val="2"/>
      <scheme val="minor"/>
    </font>
    <font>
      <b/>
      <u/>
      <sz val="10"/>
      <name val="Corbel"/>
      <family val="2"/>
    </font>
    <font>
      <sz val="10"/>
      <color theme="1"/>
      <name val="zawgyi1"/>
      <family val="2"/>
    </font>
    <font>
      <b/>
      <sz val="10"/>
      <color theme="1"/>
      <name val="zawgyi1"/>
      <family val="2"/>
    </font>
    <font>
      <b/>
      <sz val="8"/>
      <color theme="1"/>
      <name val="zawgyi1"/>
      <family val="2"/>
    </font>
    <font>
      <sz val="11"/>
      <color theme="1"/>
      <name val="Calibri"/>
      <family val="2"/>
      <scheme val="minor"/>
    </font>
    <font>
      <sz val="11"/>
      <color rgb="FFFF0000"/>
      <name val="Calibri"/>
      <family val="2"/>
      <scheme val="minor"/>
    </font>
    <font>
      <b/>
      <sz val="12"/>
      <name val="Calibri"/>
      <family val="2"/>
      <scheme val="minor"/>
    </font>
    <font>
      <sz val="12"/>
      <color theme="1"/>
      <name val="Calibri"/>
      <family val="2"/>
      <scheme val="minor"/>
    </font>
    <font>
      <sz val="11"/>
      <color theme="1"/>
      <name val="Calibri"/>
      <family val="2"/>
      <scheme val="minor"/>
    </font>
    <font>
      <sz val="8"/>
      <name val="Times New Roman"/>
      <family val="2"/>
    </font>
    <font>
      <sz val="8"/>
      <color rgb="FF2C2C2C"/>
      <name val="zawgyi1"/>
      <family val="2"/>
    </font>
    <font>
      <sz val="8"/>
      <name val="zawgyi1"/>
      <family val="2"/>
    </font>
    <font>
      <b/>
      <sz val="8"/>
      <color rgb="FFFFC000"/>
      <name val="zawgyi1"/>
      <family val="2"/>
    </font>
    <font>
      <sz val="10"/>
      <color rgb="FF2C2C2C"/>
      <name val="Corbel"/>
      <family val="2"/>
    </font>
    <font>
      <i/>
      <sz val="12"/>
      <color theme="1"/>
      <name val="Calibri"/>
      <family val="2"/>
      <scheme val="minor"/>
    </font>
    <font>
      <sz val="11"/>
      <color theme="1"/>
      <name val="Calibri"/>
      <family val="2"/>
      <scheme val="minor"/>
    </font>
    <font>
      <sz val="11"/>
      <color theme="4" tint="-0.249977111117893"/>
      <name val="Calibri"/>
      <family val="2"/>
      <scheme val="minor"/>
    </font>
    <font>
      <b/>
      <sz val="10"/>
      <color theme="0"/>
      <name val="Calibri"/>
      <family val="2"/>
      <scheme val="minor"/>
    </font>
    <font>
      <sz val="10"/>
      <color rgb="FF000000"/>
      <name val="Calibri"/>
      <family val="2"/>
    </font>
    <font>
      <b/>
      <sz val="11"/>
      <name val="Calibri"/>
      <family val="2"/>
      <scheme val="minor"/>
    </font>
    <font>
      <sz val="9"/>
      <color theme="1"/>
      <name val="Corbel"/>
      <family val="2"/>
    </font>
    <font>
      <sz val="12"/>
      <color theme="1"/>
      <name val="Calibri"/>
      <family val="2"/>
      <scheme val="minor"/>
    </font>
    <font>
      <sz val="12"/>
      <color theme="0"/>
      <name val="Calibri"/>
      <family val="2"/>
      <scheme val="minor"/>
    </font>
    <font>
      <sz val="12"/>
      <name val="Calibri"/>
      <family val="2"/>
      <scheme val="minor"/>
    </font>
    <font>
      <b/>
      <sz val="12"/>
      <color rgb="FFFF0000"/>
      <name val="Times New Roman"/>
      <family val="2"/>
    </font>
    <font>
      <b/>
      <sz val="12"/>
      <color rgb="FFFF0000"/>
      <name val="Times New Roman"/>
      <family val="1"/>
    </font>
    <font>
      <sz val="12"/>
      <color theme="4" tint="-0.249977111117893"/>
      <name val="Calibri"/>
      <family val="2"/>
      <scheme val="minor"/>
    </font>
    <font>
      <sz val="11"/>
      <color theme="1"/>
      <name val="Calibri"/>
      <family val="2"/>
      <scheme val="minor"/>
    </font>
    <font>
      <b/>
      <sz val="10"/>
      <color theme="0"/>
      <name val="Arial"/>
      <family val="2"/>
    </font>
    <font>
      <sz val="10"/>
      <color theme="1"/>
      <name val="Arial"/>
      <family val="2"/>
    </font>
    <font>
      <sz val="10"/>
      <color rgb="FF2C2C2C"/>
      <name val="Corbel"/>
      <family val="2"/>
    </font>
    <font>
      <sz val="11"/>
      <color theme="1"/>
      <name val="Calibri"/>
      <family val="2"/>
      <scheme val="minor"/>
    </font>
    <font>
      <sz val="10"/>
      <color rgb="FF000000"/>
      <name val="Calibri"/>
      <family val="2"/>
    </font>
    <font>
      <b/>
      <sz val="9"/>
      <name val="Corbel"/>
      <family val="2"/>
    </font>
    <font>
      <sz val="10"/>
      <color rgb="FF2C2C2C"/>
      <name val="Corbel"/>
      <family val="2"/>
    </font>
    <font>
      <sz val="10"/>
      <color theme="0"/>
      <name val="Crobel"/>
    </font>
    <font>
      <sz val="10"/>
      <color rgb="FF2C2C2C"/>
      <name val="Corbel"/>
      <family val="2"/>
    </font>
    <font>
      <sz val="10"/>
      <color rgb="FF2C2C2C"/>
      <name val="Corbel"/>
      <family val="2"/>
    </font>
    <font>
      <b/>
      <sz val="12"/>
      <name val="Times New Roman"/>
      <family val="2"/>
    </font>
    <font>
      <sz val="12"/>
      <name val="Times New Roman"/>
      <family val="2"/>
    </font>
    <font>
      <sz val="12"/>
      <name val="Times New Roman"/>
      <family val="1"/>
    </font>
    <font>
      <sz val="12"/>
      <color theme="0"/>
      <name val="Times New Roman"/>
      <family val="1"/>
    </font>
    <font>
      <sz val="11"/>
      <color theme="1"/>
      <name val="Calibri"/>
      <family val="2"/>
      <scheme val="minor"/>
    </font>
    <font>
      <b/>
      <sz val="11"/>
      <color theme="1"/>
      <name val="Calibri"/>
      <family val="2"/>
      <scheme val="minor"/>
    </font>
    <font>
      <sz val="11"/>
      <color theme="4" tint="-0.249977111117893"/>
      <name val="Calibri"/>
      <family val="2"/>
      <scheme val="minor"/>
    </font>
    <font>
      <b/>
      <sz val="11"/>
      <color rgb="FF000000"/>
      <name val="Calibri"/>
      <family val="2"/>
    </font>
    <font>
      <sz val="10"/>
      <color rgb="FF2C2C2C"/>
      <name val="Corbel"/>
    </font>
    <font>
      <sz val="9"/>
      <color indexed="81"/>
      <name val="Tahoma"/>
    </font>
    <font>
      <b/>
      <sz val="9"/>
      <color indexed="81"/>
      <name val="Tahoma"/>
    </font>
    <font>
      <sz val="11"/>
      <color theme="1"/>
      <name val="Calibri"/>
      <scheme val="minor"/>
    </font>
    <font>
      <b/>
      <sz val="11"/>
      <color theme="0"/>
      <name val="Calibri"/>
      <scheme val="minor"/>
    </font>
  </fonts>
  <fills count="64">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rgb="FFC6EFCE"/>
        <bgColor indexed="64"/>
      </patternFill>
    </fill>
    <fill>
      <patternFill patternType="solid">
        <fgColor rgb="FFFFC7CE"/>
        <bgColor indexed="64"/>
      </patternFill>
    </fill>
    <fill>
      <patternFill patternType="solid">
        <fgColor rgb="FF0070C0"/>
        <bgColor theme="8" tint="-0.249977111117893"/>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theme="7" tint="0.59999389629810485"/>
        <bgColor indexed="64"/>
      </patternFill>
    </fill>
    <fill>
      <patternFill patternType="solid">
        <fgColor theme="8" tint="0.39997558519241921"/>
        <bgColor theme="8" tint="0.39997558519241921"/>
      </patternFill>
    </fill>
    <fill>
      <patternFill patternType="solid">
        <fgColor rgb="FFF7FECE"/>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4" tint="0.79998168889431442"/>
        <bgColor indexed="65"/>
      </patternFill>
    </fill>
    <fill>
      <patternFill patternType="solid">
        <fgColor rgb="FFDB7B18"/>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B3B5"/>
        <bgColor indexed="64"/>
      </patternFill>
    </fill>
    <fill>
      <patternFill patternType="solid">
        <fgColor rgb="FFFF0000"/>
        <bgColor theme="4" tint="0.79998168889431442"/>
      </patternFill>
    </fill>
    <fill>
      <patternFill patternType="solid">
        <fgColor rgb="FF009900"/>
        <bgColor indexed="64"/>
      </patternFill>
    </fill>
  </fills>
  <borders count="211">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right style="thin">
        <color theme="4"/>
      </right>
      <top style="double">
        <color theme="4"/>
      </top>
      <bottom/>
      <diagonal/>
    </border>
    <border>
      <left style="thin">
        <color theme="4"/>
      </left>
      <right style="thin">
        <color theme="4"/>
      </right>
      <top style="double">
        <color theme="4"/>
      </top>
      <bottom/>
      <diagonal/>
    </border>
    <border>
      <left/>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4" tint="0.39994506668294322"/>
      </left>
      <right style="thin">
        <color theme="4" tint="0.39994506668294322"/>
      </right>
      <top style="medium">
        <color theme="4"/>
      </top>
      <bottom style="medium">
        <color theme="4"/>
      </bottom>
      <diagonal/>
    </border>
    <border>
      <left/>
      <right/>
      <top/>
      <bottom style="medium">
        <color theme="4"/>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bottom style="thin">
        <color theme="5" tint="0.79998168889431442"/>
      </bottom>
      <diagonal/>
    </border>
    <border>
      <left/>
      <right/>
      <top style="thin">
        <color theme="5" tint="0.79998168889431442"/>
      </top>
      <bottom style="thin">
        <color theme="5" tint="0.39997558519241921"/>
      </bottom>
      <diagonal/>
    </border>
    <border>
      <left/>
      <right/>
      <top style="thin">
        <color theme="5" tint="0.39997558519241921"/>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8" tint="0.79998168889431442"/>
      </top>
      <bottom style="thin">
        <color theme="8" tint="0.39997558519241921"/>
      </bottom>
      <diagonal/>
    </border>
    <border>
      <left/>
      <right/>
      <top style="thin">
        <color theme="8" tint="0.39997558519241921"/>
      </top>
      <bottom style="thin">
        <color theme="8" tint="0.39997558519241921"/>
      </bottom>
      <diagonal/>
    </border>
    <border>
      <left style="thin">
        <color theme="0" tint="-0.249977111117893"/>
      </left>
      <right style="thin">
        <color theme="0" tint="-0.249977111117893"/>
      </right>
      <top/>
      <bottom/>
      <diagonal/>
    </border>
    <border>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70C0"/>
      </left>
      <right/>
      <top style="thin">
        <color rgb="FF0070C0"/>
      </top>
      <bottom style="thin">
        <color rgb="FF0070C0"/>
      </bottom>
      <diagonal/>
    </border>
    <border>
      <left style="medium">
        <color rgb="FF0070C0"/>
      </left>
      <right style="medium">
        <color rgb="FF0070C0"/>
      </right>
      <top style="thin">
        <color rgb="FF0070C0"/>
      </top>
      <bottom style="thin">
        <color rgb="FF0070C0"/>
      </bottom>
      <diagonal/>
    </border>
    <border>
      <left style="medium">
        <color rgb="FF0070C0"/>
      </left>
      <right style="thin">
        <color rgb="FF0070C0"/>
      </right>
      <top/>
      <bottom/>
      <diagonal/>
    </border>
    <border>
      <left style="thin">
        <color indexed="64"/>
      </left>
      <right style="thin">
        <color indexed="64"/>
      </right>
      <top/>
      <bottom/>
      <diagonal/>
    </border>
    <border>
      <left/>
      <right style="thin">
        <color rgb="FF0070C0"/>
      </right>
      <top style="thin">
        <color rgb="FF0070C0"/>
      </top>
      <bottom style="thin">
        <color rgb="FF0070C0"/>
      </bottom>
      <diagonal/>
    </border>
    <border>
      <left/>
      <right style="thin">
        <color rgb="FF0070C0"/>
      </right>
      <top style="thin">
        <color rgb="FF0070C0"/>
      </top>
      <bottom/>
      <diagonal/>
    </border>
    <border>
      <left/>
      <right style="thin">
        <color rgb="FF0070C0"/>
      </right>
      <top/>
      <bottom/>
      <diagonal/>
    </border>
    <border>
      <left/>
      <right style="thin">
        <color rgb="FF0070C0"/>
      </right>
      <top/>
      <bottom style="thin">
        <color indexed="64"/>
      </bottom>
      <diagonal/>
    </border>
    <border>
      <left/>
      <right/>
      <top/>
      <bottom style="thin">
        <color theme="8" tint="0.39997558519241921"/>
      </bottom>
      <diagonal/>
    </border>
    <border>
      <left/>
      <right/>
      <top/>
      <bottom style="thin">
        <color theme="5" tint="0.39997558519241921"/>
      </bottom>
      <diagonal/>
    </border>
    <border>
      <left/>
      <right style="medium">
        <color rgb="FF0070C0"/>
      </right>
      <top style="thin">
        <color rgb="FF0070C0"/>
      </top>
      <bottom style="thin">
        <color rgb="FF0070C0"/>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thin">
        <color theme="4"/>
      </right>
      <top/>
      <bottom/>
      <diagonal/>
    </border>
    <border>
      <left style="double">
        <color rgb="FFFF0000"/>
      </left>
      <right style="medium">
        <color rgb="FF0070C0"/>
      </right>
      <top style="double">
        <color rgb="FFFF0000"/>
      </top>
      <bottom style="thin">
        <color rgb="FF0070C0"/>
      </bottom>
      <diagonal/>
    </border>
    <border>
      <left style="thin">
        <color rgb="FF0070C0"/>
      </left>
      <right style="medium">
        <color rgb="FF0070C0"/>
      </right>
      <top style="double">
        <color rgb="FFFF0000"/>
      </top>
      <bottom style="thin">
        <color rgb="FF0070C0"/>
      </bottom>
      <diagonal/>
    </border>
    <border>
      <left/>
      <right style="double">
        <color rgb="FFFF0000"/>
      </right>
      <top style="double">
        <color rgb="FFFF0000"/>
      </top>
      <bottom style="thin">
        <color rgb="FF0070C0"/>
      </bottom>
      <diagonal/>
    </border>
    <border>
      <left style="double">
        <color rgb="FFFF0000"/>
      </left>
      <right style="medium">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style="thin">
        <color rgb="FF0070C0"/>
      </left>
      <right style="double">
        <color rgb="FFFF0000"/>
      </right>
      <top style="thin">
        <color rgb="FF0070C0"/>
      </top>
      <bottom style="thin">
        <color rgb="FF0070C0"/>
      </bottom>
      <diagonal/>
    </border>
    <border>
      <left style="medium">
        <color theme="4"/>
      </left>
      <right style="thin">
        <color theme="4"/>
      </right>
      <top style="thin">
        <color theme="4"/>
      </top>
      <bottom style="thin">
        <color theme="4"/>
      </bottom>
      <diagonal/>
    </border>
    <border>
      <left style="thin">
        <color theme="4"/>
      </left>
      <right style="medium">
        <color theme="4"/>
      </right>
      <top style="thin">
        <color theme="4"/>
      </top>
      <bottom style="thin">
        <color theme="4"/>
      </bottom>
      <diagonal/>
    </border>
    <border>
      <left/>
      <right style="thin">
        <color theme="4"/>
      </right>
      <top style="thin">
        <color theme="4"/>
      </top>
      <bottom style="medium">
        <color theme="4"/>
      </bottom>
      <diagonal/>
    </border>
    <border>
      <left style="medium">
        <color rgb="FFFFFFFF"/>
      </left>
      <right/>
      <top/>
      <bottom/>
      <diagonal/>
    </border>
    <border>
      <left/>
      <right/>
      <top/>
      <bottom style="medium">
        <color rgb="FFFFFFFF"/>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rgb="FFDB7B18"/>
      </right>
      <top style="thin">
        <color rgb="FFDB7B18"/>
      </top>
      <bottom style="thin">
        <color rgb="FFDB7B18"/>
      </bottom>
      <diagonal/>
    </border>
    <border>
      <left style="thin">
        <color rgb="FFDB7B18"/>
      </left>
      <right style="thin">
        <color rgb="FFDB7B18"/>
      </right>
      <top style="thin">
        <color rgb="FFDB7B18"/>
      </top>
      <bottom style="thin">
        <color rgb="FFDB7B18"/>
      </bottom>
      <diagonal/>
    </border>
    <border>
      <left style="thin">
        <color rgb="FFDB7B18"/>
      </left>
      <right style="medium">
        <color indexed="64"/>
      </right>
      <top style="thin">
        <color rgb="FFDB7B18"/>
      </top>
      <bottom style="thin">
        <color rgb="FFDB7B18"/>
      </bottom>
      <diagonal/>
    </border>
    <border>
      <left style="thin">
        <color theme="4"/>
      </left>
      <right style="double">
        <color theme="4"/>
      </right>
      <top style="double">
        <color theme="4"/>
      </top>
      <bottom/>
      <diagonal/>
    </border>
    <border>
      <left/>
      <right/>
      <top style="double">
        <color rgb="FFFF0000"/>
      </top>
      <bottom style="thin">
        <color rgb="FF0070C0"/>
      </bottom>
      <diagonal/>
    </border>
    <border>
      <left/>
      <right/>
      <top style="thin">
        <color rgb="FF0070C0"/>
      </top>
      <bottom style="thin">
        <color rgb="FF0070C0"/>
      </bottom>
      <diagonal/>
    </border>
    <border>
      <left style="thin">
        <color rgb="FF0070C0"/>
      </left>
      <right/>
      <top/>
      <bottom style="double">
        <color rgb="FFFF0000"/>
      </bottom>
      <diagonal/>
    </border>
    <border>
      <left/>
      <right/>
      <top/>
      <bottom style="double">
        <color rgb="FFFF0000"/>
      </bottom>
      <diagonal/>
    </border>
    <border>
      <left/>
      <right style="medium">
        <color rgb="FF0070C0"/>
      </right>
      <top style="double">
        <color rgb="FFFF0000"/>
      </top>
      <bottom style="thin">
        <color rgb="FF0070C0"/>
      </bottom>
      <diagonal/>
    </border>
    <border>
      <left/>
      <right style="thin">
        <color rgb="FF0070C0"/>
      </right>
      <top/>
      <bottom style="double">
        <color rgb="FFFF0000"/>
      </bottom>
      <diagonal/>
    </border>
    <border>
      <left style="thin">
        <color rgb="FFFF0000"/>
      </left>
      <right style="thin">
        <color rgb="FF0070C0"/>
      </right>
      <top style="thin">
        <color rgb="FF0070C0"/>
      </top>
      <bottom style="thin">
        <color rgb="FF0070C0"/>
      </bottom>
      <diagonal/>
    </border>
    <border>
      <left style="thin">
        <color rgb="FF0070C0"/>
      </left>
      <right style="thin">
        <color rgb="FFFF0000"/>
      </right>
      <top style="thin">
        <color rgb="FF0070C0"/>
      </top>
      <bottom style="thin">
        <color rgb="FF0070C0"/>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style="thin">
        <color theme="6"/>
      </top>
      <bottom style="thin">
        <color theme="6"/>
      </bottom>
      <diagonal/>
    </border>
    <border>
      <left style="thin">
        <color theme="6"/>
      </left>
      <right style="thin">
        <color theme="6"/>
      </right>
      <top style="thin">
        <color theme="6"/>
      </top>
      <bottom style="thin">
        <color theme="6"/>
      </bottom>
      <diagonal/>
    </border>
    <border>
      <left style="medium">
        <color rgb="FF0070C0"/>
      </left>
      <right/>
      <top style="thin">
        <color rgb="FF0070C0"/>
      </top>
      <bottom style="thin">
        <color rgb="FF0070C0"/>
      </bottom>
      <diagonal/>
    </border>
    <border>
      <left style="medium">
        <color rgb="FF0070C0"/>
      </left>
      <right/>
      <top style="medium">
        <color rgb="FF0070C0"/>
      </top>
      <bottom/>
      <diagonal/>
    </border>
    <border>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thin">
        <color rgb="FF0070C0"/>
      </left>
      <right style="double">
        <color rgb="FFFF0000"/>
      </right>
      <top style="double">
        <color rgb="FFFF0000"/>
      </top>
      <bottom style="thin">
        <color rgb="FF0070C0"/>
      </bottom>
      <diagonal/>
    </border>
    <border>
      <left style="medium">
        <color rgb="FF0070C0"/>
      </left>
      <right style="double">
        <color rgb="FFFF0000"/>
      </right>
      <top style="thin">
        <color rgb="FF0070C0"/>
      </top>
      <bottom style="thin">
        <color rgb="FF0070C0"/>
      </bottom>
      <diagonal/>
    </border>
    <border>
      <left style="double">
        <color rgb="FFFF0000"/>
      </left>
      <right/>
      <top style="thin">
        <color rgb="FF0070C0"/>
      </top>
      <bottom style="thin">
        <color rgb="FF0070C0"/>
      </bottom>
      <diagonal/>
    </border>
    <border>
      <left style="thin">
        <color rgb="FF0070C0"/>
      </left>
      <right style="medium">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thin">
        <color theme="4" tint="0.39994506668294322"/>
      </left>
      <right style="thin">
        <color theme="4"/>
      </right>
      <top/>
      <bottom style="thin">
        <color theme="4"/>
      </bottom>
      <diagonal/>
    </border>
    <border>
      <left style="thin">
        <color theme="4" tint="0.39994506668294322"/>
      </left>
      <right style="thin">
        <color theme="4" tint="0.39994506668294322"/>
      </right>
      <top/>
      <bottom style="thin">
        <color theme="4"/>
      </bottom>
      <diagonal/>
    </border>
    <border>
      <left style="thin">
        <color rgb="FF0070C0"/>
      </left>
      <right style="thin">
        <color rgb="FF0070C0"/>
      </right>
      <top style="thin">
        <color rgb="FF0070C0"/>
      </top>
      <bottom style="double">
        <color rgb="FFFF0000"/>
      </bottom>
      <diagonal/>
    </border>
    <border>
      <left/>
      <right style="medium">
        <color rgb="FF0070C0"/>
      </right>
      <top style="thin">
        <color rgb="FF0070C0"/>
      </top>
      <bottom style="double">
        <color rgb="FFFF0000"/>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9" tint="0.79998168889431442"/>
      </top>
      <bottom style="thin">
        <color theme="9" tint="0.39997558519241921"/>
      </bottom>
      <diagonal/>
    </border>
    <border>
      <left/>
      <right/>
      <top style="thin">
        <color theme="9" tint="0.79998168889431442"/>
      </top>
      <bottom style="thin">
        <color theme="9" tint="0.79998168889431442"/>
      </bottom>
      <diagonal/>
    </border>
    <border>
      <left/>
      <right/>
      <top style="thin">
        <color theme="9" tint="0.39997558519241921"/>
      </top>
      <bottom style="thin">
        <color theme="9" tint="0.39997558519241921"/>
      </bottom>
      <diagonal/>
    </border>
    <border>
      <left/>
      <right/>
      <top style="thin">
        <color theme="9" tint="0.39997558519241921"/>
      </top>
      <bottom style="thin">
        <color theme="9" tint="0.79998168889431442"/>
      </bottom>
      <diagonal/>
    </border>
    <border>
      <left/>
      <right/>
      <top style="thin">
        <color theme="9" tint="0.79998168889431442"/>
      </top>
      <bottom style="thin">
        <color theme="9"/>
      </bottom>
      <diagonal/>
    </border>
    <border>
      <left/>
      <right/>
      <top style="thin">
        <color theme="9" tint="0.39997558519241921"/>
      </top>
      <bottom/>
      <diagonal/>
    </border>
    <border>
      <left/>
      <right/>
      <top style="thin">
        <color theme="9" tint="0.79998168889431442"/>
      </top>
      <bottom/>
      <diagonal/>
    </border>
    <border>
      <left style="thin">
        <color theme="4" tint="0.59999389629810485"/>
      </left>
      <right style="thin">
        <color theme="4"/>
      </right>
      <top style="thin">
        <color theme="4" tint="0.59999389629810485"/>
      </top>
      <bottom style="thin">
        <color theme="0"/>
      </bottom>
      <diagonal/>
    </border>
    <border>
      <left style="double">
        <color rgb="FFFF0000"/>
      </left>
      <right style="thin">
        <color rgb="FF0070C0"/>
      </right>
      <top style="thin">
        <color rgb="FF0070C0"/>
      </top>
      <bottom style="double">
        <color rgb="FFFF0000"/>
      </bottom>
      <diagonal/>
    </border>
    <border>
      <left style="thin">
        <color theme="0" tint="-0.24994659260841701"/>
      </left>
      <right/>
      <top/>
      <bottom/>
      <diagonal/>
    </border>
    <border>
      <left/>
      <right style="thin">
        <color theme="0" tint="-0.24994659260841701"/>
      </right>
      <top/>
      <bottom/>
      <diagonal/>
    </border>
    <border>
      <left style="thin">
        <color theme="4"/>
      </left>
      <right style="thin">
        <color theme="4"/>
      </right>
      <top style="thin">
        <color theme="4"/>
      </top>
      <bottom style="double">
        <color theme="4"/>
      </bottom>
      <diagonal/>
    </border>
    <border>
      <left style="thin">
        <color theme="4"/>
      </left>
      <right style="medium">
        <color theme="4"/>
      </right>
      <top style="thin">
        <color theme="4"/>
      </top>
      <bottom style="double">
        <color theme="4"/>
      </bottom>
      <diagonal/>
    </border>
    <border>
      <left style="medium">
        <color theme="4"/>
      </left>
      <right style="thin">
        <color theme="4"/>
      </right>
      <top style="thin">
        <color theme="4"/>
      </top>
      <bottom style="double">
        <color theme="4"/>
      </bottom>
      <diagonal/>
    </border>
    <border>
      <left/>
      <right style="thin">
        <color rgb="FF0070C0"/>
      </right>
      <top/>
      <bottom style="thin">
        <color rgb="FF0070C0"/>
      </bottom>
      <diagonal/>
    </border>
    <border>
      <left style="thin">
        <color rgb="FF0070C0"/>
      </left>
      <right style="thin">
        <color rgb="FF0070C0"/>
      </right>
      <top/>
      <bottom style="thin">
        <color rgb="FF0070C0"/>
      </bottom>
      <diagonal/>
    </border>
    <border>
      <left style="thin">
        <color rgb="FF0070C0"/>
      </left>
      <right/>
      <top/>
      <bottom style="thin">
        <color rgb="FF0070C0"/>
      </bottom>
      <diagonal/>
    </border>
    <border>
      <left style="thin">
        <color rgb="FF0070C0"/>
      </left>
      <right style="thin">
        <color rgb="FF0070C0"/>
      </right>
      <top style="thin">
        <color rgb="FF0070C0"/>
      </top>
      <bottom/>
      <diagonal/>
    </border>
    <border>
      <left style="thin">
        <color rgb="FF0070C0"/>
      </left>
      <right/>
      <top style="thin">
        <color rgb="FF0070C0"/>
      </top>
      <bottom/>
      <diagonal/>
    </border>
    <border>
      <left style="double">
        <color rgb="FF0070C0"/>
      </left>
      <right style="thin">
        <color rgb="FF0070C0"/>
      </right>
      <top style="double">
        <color rgb="FF0070C0"/>
      </top>
      <bottom style="thin">
        <color rgb="FF0070C0"/>
      </bottom>
      <diagonal/>
    </border>
    <border>
      <left style="thin">
        <color rgb="FF0070C0"/>
      </left>
      <right style="thin">
        <color rgb="FF0070C0"/>
      </right>
      <top style="double">
        <color rgb="FF0070C0"/>
      </top>
      <bottom style="thin">
        <color rgb="FF0070C0"/>
      </bottom>
      <diagonal/>
    </border>
    <border>
      <left style="thin">
        <color rgb="FF0070C0"/>
      </left>
      <right style="double">
        <color rgb="FF0070C0"/>
      </right>
      <top style="double">
        <color rgb="FF0070C0"/>
      </top>
      <bottom style="thin">
        <color rgb="FF0070C0"/>
      </bottom>
      <diagonal/>
    </border>
    <border>
      <left style="double">
        <color rgb="FF0070C0"/>
      </left>
      <right style="thin">
        <color rgb="FF0070C0"/>
      </right>
      <top style="thin">
        <color rgb="FF0070C0"/>
      </top>
      <bottom style="thin">
        <color rgb="FF0070C0"/>
      </bottom>
      <diagonal/>
    </border>
    <border>
      <left style="thin">
        <color rgb="FF0070C0"/>
      </left>
      <right style="double">
        <color rgb="FF0070C0"/>
      </right>
      <top style="thin">
        <color rgb="FF0070C0"/>
      </top>
      <bottom style="thin">
        <color rgb="FF0070C0"/>
      </bottom>
      <diagonal/>
    </border>
    <border>
      <left style="double">
        <color rgb="FF0070C0"/>
      </left>
      <right style="thin">
        <color rgb="FF0070C0"/>
      </right>
      <top style="double">
        <color rgb="FF0070C0"/>
      </top>
      <bottom style="double">
        <color rgb="FF0070C0"/>
      </bottom>
      <diagonal/>
    </border>
    <border>
      <left style="thin">
        <color rgb="FF0070C0"/>
      </left>
      <right style="thin">
        <color rgb="FF0070C0"/>
      </right>
      <top style="double">
        <color rgb="FF0070C0"/>
      </top>
      <bottom style="double">
        <color rgb="FF0070C0"/>
      </bottom>
      <diagonal/>
    </border>
    <border>
      <left style="thin">
        <color rgb="FF0070C0"/>
      </left>
      <right style="double">
        <color rgb="FF0070C0"/>
      </right>
      <top style="double">
        <color rgb="FF0070C0"/>
      </top>
      <bottom style="double">
        <color rgb="FF0070C0"/>
      </bottom>
      <diagonal/>
    </border>
    <border>
      <left style="thin">
        <color theme="0" tint="-0.24994659260841701"/>
      </left>
      <right style="thin">
        <color theme="0" tint="-0.24994659260841701"/>
      </right>
      <top/>
      <bottom/>
      <diagonal/>
    </border>
    <border>
      <left style="double">
        <color rgb="FF0070C0"/>
      </left>
      <right style="thin">
        <color rgb="FF0070C0"/>
      </right>
      <top style="thin">
        <color rgb="FF0070C0"/>
      </top>
      <bottom/>
      <diagonal/>
    </border>
    <border>
      <left style="thin">
        <color rgb="FF0070C0"/>
      </left>
      <right style="double">
        <color rgb="FF0070C0"/>
      </right>
      <top style="thin">
        <color rgb="FF0070C0"/>
      </top>
      <bottom/>
      <diagonal/>
    </border>
  </borders>
  <cellStyleXfs count="145">
    <xf numFmtId="0" fontId="0" fillId="0" borderId="0"/>
    <xf numFmtId="9" fontId="33" fillId="0" borderId="0" applyFont="0" applyFill="0" applyBorder="0" applyAlignment="0" applyProtection="0"/>
    <xf numFmtId="0" fontId="34" fillId="0" borderId="0"/>
    <xf numFmtId="9"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43" fontId="34" fillId="0" borderId="0" applyFont="0" applyFill="0" applyBorder="0" applyAlignment="0" applyProtection="0"/>
    <xf numFmtId="166" fontId="34" fillId="0" borderId="0"/>
    <xf numFmtId="0" fontId="60" fillId="0" borderId="0"/>
    <xf numFmtId="0" fontId="32" fillId="0" borderId="0"/>
    <xf numFmtId="9" fontId="32" fillId="0" borderId="0" applyFont="0" applyFill="0" applyBorder="0" applyAlignment="0" applyProtection="0"/>
    <xf numFmtId="0" fontId="73" fillId="0" borderId="26" applyNumberFormat="0" applyFill="0" applyAlignment="0" applyProtection="0"/>
    <xf numFmtId="0" fontId="30"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166" fontId="30" fillId="0" borderId="0"/>
    <xf numFmtId="0" fontId="31" fillId="0" borderId="0"/>
    <xf numFmtId="9" fontId="31" fillId="0" borderId="0" applyFont="0" applyFill="0" applyBorder="0" applyAlignment="0" applyProtection="0"/>
    <xf numFmtId="0" fontId="60" fillId="0" borderId="0"/>
    <xf numFmtId="0" fontId="33" fillId="0" borderId="0"/>
    <xf numFmtId="0" fontId="64" fillId="24" borderId="0" applyNumberFormat="0" applyBorder="0" applyAlignment="0" applyProtection="0"/>
    <xf numFmtId="0" fontId="65" fillId="25" borderId="0" applyNumberFormat="0" applyBorder="0" applyAlignment="0" applyProtection="0"/>
    <xf numFmtId="0" fontId="29" fillId="0" borderId="0"/>
    <xf numFmtId="9" fontId="29" fillId="0" borderId="0" applyFont="0" applyFill="0" applyBorder="0" applyAlignment="0" applyProtection="0"/>
    <xf numFmtId="43" fontId="29" fillId="0" borderId="0" applyFont="0" applyFill="0" applyBorder="0" applyAlignment="0" applyProtection="0"/>
    <xf numFmtId="166" fontId="29" fillId="0" borderId="0"/>
    <xf numFmtId="0" fontId="29"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166" fontId="29" fillId="0" borderId="0"/>
    <xf numFmtId="0" fontId="25" fillId="0" borderId="0"/>
    <xf numFmtId="9" fontId="25" fillId="0" borderId="0" applyFont="0" applyFill="0" applyBorder="0" applyAlignment="0" applyProtection="0"/>
    <xf numFmtId="43" fontId="25" fillId="0" borderId="0" applyFont="0" applyFill="0" applyBorder="0" applyAlignment="0" applyProtection="0"/>
    <xf numFmtId="166" fontId="25" fillId="0" borderId="0"/>
    <xf numFmtId="0" fontId="25" fillId="0" borderId="0"/>
    <xf numFmtId="0" fontId="25" fillId="0" borderId="0"/>
    <xf numFmtId="9" fontId="25" fillId="0" borderId="0" applyFont="0" applyFill="0" applyBorder="0" applyAlignment="0" applyProtection="0"/>
    <xf numFmtId="43" fontId="25" fillId="0" borderId="0" applyFont="0" applyFill="0" applyBorder="0" applyAlignment="0" applyProtection="0"/>
    <xf numFmtId="166" fontId="25" fillId="0" borderId="0"/>
    <xf numFmtId="0" fontId="133" fillId="0" borderId="0"/>
    <xf numFmtId="43" fontId="137" fillId="0" borderId="0" applyFont="0" applyFill="0" applyBorder="0" applyAlignment="0" applyProtection="0"/>
    <xf numFmtId="9" fontId="134" fillId="0" borderId="0" applyFont="0" applyFill="0" applyBorder="0" applyAlignment="0" applyProtection="0"/>
    <xf numFmtId="9" fontId="137"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7" fillId="0" borderId="0" applyFont="0" applyFill="0" applyBorder="0" applyAlignment="0" applyProtection="0"/>
    <xf numFmtId="43" fontId="134" fillId="0" borderId="0" applyFont="0" applyFill="0" applyBorder="0" applyAlignment="0" applyProtection="0"/>
    <xf numFmtId="0" fontId="134" fillId="0" borderId="0"/>
    <xf numFmtId="166" fontId="134" fillId="0" borderId="0"/>
    <xf numFmtId="166" fontId="134" fillId="0" borderId="0"/>
    <xf numFmtId="0" fontId="64" fillId="46" borderId="0" applyNumberFormat="0" applyBorder="0" applyAlignment="0" applyProtection="0"/>
    <xf numFmtId="0" fontId="65" fillId="47" borderId="0" applyNumberFormat="0" applyBorder="0" applyAlignment="0" applyProtection="0"/>
    <xf numFmtId="43" fontId="135" fillId="0" borderId="0" applyFont="0" applyFill="0" applyBorder="0" applyAlignment="0" applyProtection="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6" fillId="0" borderId="26" applyNumberFormat="0" applyFill="0" applyAlignment="0" applyProtection="0"/>
    <xf numFmtId="166" fontId="134" fillId="0" borderId="0"/>
    <xf numFmtId="166" fontId="134" fillId="0" borderId="0"/>
    <xf numFmtId="0" fontId="137" fillId="0" borderId="0"/>
    <xf numFmtId="166" fontId="134" fillId="0" borderId="0"/>
    <xf numFmtId="166"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9" fontId="134" fillId="0" borderId="0" applyFont="0" applyFill="0" applyBorder="0" applyAlignment="0" applyProtection="0"/>
    <xf numFmtId="9" fontId="137"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0" fontId="135" fillId="0" borderId="0"/>
    <xf numFmtId="0" fontId="14" fillId="57" borderId="0" applyNumberFormat="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166"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166"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166"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166"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166"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166" fontId="13" fillId="0" borderId="0"/>
    <xf numFmtId="43" fontId="133" fillId="0" borderId="0" applyFont="0" applyFill="0" applyBorder="0" applyAlignment="0" applyProtection="0"/>
    <xf numFmtId="9" fontId="13" fillId="0" borderId="0" applyFont="0" applyFill="0" applyBorder="0" applyAlignment="0" applyProtection="0"/>
    <xf numFmtId="9" fontId="1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3" fillId="0" borderId="0" applyFont="0" applyFill="0" applyBorder="0" applyAlignment="0" applyProtection="0"/>
    <xf numFmtId="43" fontId="13" fillId="0" borderId="0" applyFont="0" applyFill="0" applyBorder="0" applyAlignment="0" applyProtection="0"/>
    <xf numFmtId="0" fontId="13" fillId="0" borderId="0"/>
    <xf numFmtId="166" fontId="13" fillId="0" borderId="0"/>
    <xf numFmtId="166"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66" fontId="13" fillId="0" borderId="0"/>
    <xf numFmtId="166" fontId="13" fillId="0" borderId="0"/>
    <xf numFmtId="0" fontId="133" fillId="0" borderId="0"/>
    <xf numFmtId="166" fontId="13" fillId="0" borderId="0"/>
    <xf numFmtId="16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57" borderId="0" applyNumberFormat="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cellStyleXfs>
  <cellXfs count="1237">
    <xf numFmtId="0" fontId="0" fillId="0" borderId="0" xfId="0"/>
    <xf numFmtId="0" fontId="37" fillId="2" borderId="1" xfId="0" applyFont="1" applyFill="1" applyBorder="1" applyAlignment="1">
      <alignment horizontal="left" vertical="center" readingOrder="1"/>
    </xf>
    <xf numFmtId="0" fontId="37" fillId="5" borderId="2" xfId="0" applyFont="1" applyFill="1" applyBorder="1" applyAlignment="1">
      <alignment horizontal="left" vertical="center" readingOrder="1"/>
    </xf>
    <xf numFmtId="0" fontId="37" fillId="8" borderId="2" xfId="0" applyFont="1" applyFill="1" applyBorder="1" applyAlignment="1">
      <alignment horizontal="left" vertical="center" readingOrder="1"/>
    </xf>
    <xf numFmtId="0" fontId="37" fillId="8" borderId="3" xfId="0" applyFont="1" applyFill="1" applyBorder="1" applyAlignment="1">
      <alignment horizontal="left" vertical="center" readingOrder="1"/>
    </xf>
    <xf numFmtId="0" fontId="37" fillId="9" borderId="2" xfId="0" applyFont="1" applyFill="1" applyBorder="1" applyAlignment="1">
      <alignment horizontal="left" vertical="center" readingOrder="1"/>
    </xf>
    <xf numFmtId="0" fontId="38" fillId="3" borderId="1" xfId="0" applyFont="1" applyFill="1" applyBorder="1" applyAlignment="1">
      <alignment horizontal="left" vertical="center" readingOrder="1"/>
    </xf>
    <xf numFmtId="0" fontId="38" fillId="4" borderId="2" xfId="0" applyFont="1" applyFill="1" applyBorder="1" applyAlignment="1">
      <alignment horizontal="left" vertical="center" readingOrder="1"/>
    </xf>
    <xf numFmtId="0" fontId="38" fillId="3" borderId="2" xfId="0" applyFont="1" applyFill="1" applyBorder="1" applyAlignment="1">
      <alignment horizontal="left" vertical="center" readingOrder="1"/>
    </xf>
    <xf numFmtId="0" fontId="38" fillId="3" borderId="3" xfId="0" applyFont="1" applyFill="1" applyBorder="1" applyAlignment="1">
      <alignment horizontal="left" vertical="center" readingOrder="1"/>
    </xf>
    <xf numFmtId="14" fontId="38" fillId="3" borderId="2" xfId="0" applyNumberFormat="1" applyFont="1" applyFill="1" applyBorder="1" applyAlignment="1">
      <alignment horizontal="left" vertical="center" readingOrder="1"/>
    </xf>
    <xf numFmtId="14" fontId="38" fillId="6" borderId="2" xfId="0" applyNumberFormat="1" applyFont="1" applyFill="1" applyBorder="1" applyAlignment="1">
      <alignment horizontal="left" vertical="center" readingOrder="1"/>
    </xf>
    <xf numFmtId="0" fontId="38" fillId="7" borderId="2" xfId="0" applyFont="1" applyFill="1" applyBorder="1" applyAlignment="1">
      <alignment horizontal="left" vertical="center" readingOrder="1"/>
    </xf>
    <xf numFmtId="0" fontId="41" fillId="7" borderId="2" xfId="0" applyFont="1" applyFill="1" applyBorder="1" applyAlignment="1">
      <alignment horizontal="left" vertical="top" wrapText="1" readingOrder="1"/>
    </xf>
    <xf numFmtId="14" fontId="41" fillId="6" borderId="1" xfId="0" applyNumberFormat="1" applyFont="1" applyFill="1" applyBorder="1" applyAlignment="1">
      <alignment horizontal="left" vertical="top" wrapText="1" readingOrder="1"/>
    </xf>
    <xf numFmtId="9" fontId="38" fillId="3" borderId="2" xfId="1" applyFont="1" applyFill="1" applyBorder="1" applyAlignment="1">
      <alignment horizontal="left" vertical="center" readingOrder="1"/>
    </xf>
    <xf numFmtId="9" fontId="38" fillId="6" borderId="1" xfId="1" applyFont="1" applyFill="1" applyBorder="1" applyAlignment="1">
      <alignment horizontal="left" vertical="top" wrapText="1" readingOrder="1"/>
    </xf>
    <xf numFmtId="0" fontId="46" fillId="0" borderId="0" xfId="0" applyFont="1"/>
    <xf numFmtId="0" fontId="44" fillId="0" borderId="0" xfId="0" applyFont="1"/>
    <xf numFmtId="0" fontId="49" fillId="0" borderId="0" xfId="0" applyFont="1" applyAlignment="1"/>
    <xf numFmtId="0" fontId="49" fillId="0" borderId="0" xfId="0" applyFont="1" applyFill="1" applyAlignment="1"/>
    <xf numFmtId="166" fontId="34" fillId="13" borderId="0" xfId="8" applyFill="1"/>
    <xf numFmtId="166" fontId="34" fillId="13" borderId="0" xfId="8" applyFill="1" applyAlignment="1">
      <alignment horizontal="center" vertical="center"/>
    </xf>
    <xf numFmtId="166" fontId="34" fillId="20" borderId="8" xfId="8" applyFill="1" applyBorder="1"/>
    <xf numFmtId="166" fontId="34" fillId="20" borderId="0" xfId="8" applyFill="1" applyBorder="1"/>
    <xf numFmtId="166" fontId="34" fillId="20" borderId="9" xfId="8" applyFill="1" applyBorder="1"/>
    <xf numFmtId="166" fontId="43" fillId="20" borderId="0" xfId="8" applyFont="1" applyFill="1" applyBorder="1"/>
    <xf numFmtId="166" fontId="34" fillId="20" borderId="10" xfId="8" applyFill="1" applyBorder="1"/>
    <xf numFmtId="166" fontId="34" fillId="20" borderId="11" xfId="8" applyFill="1" applyBorder="1"/>
    <xf numFmtId="166" fontId="34" fillId="20" borderId="12" xfId="8" applyFill="1" applyBorder="1"/>
    <xf numFmtId="0" fontId="38" fillId="0" borderId="0" xfId="0" applyFont="1" applyFill="1" applyBorder="1" applyAlignment="1">
      <alignment horizontal="left" vertical="center" readingOrder="1"/>
    </xf>
    <xf numFmtId="9" fontId="49" fillId="0" borderId="0" xfId="0" applyNumberFormat="1" applyFont="1" applyFill="1" applyAlignment="1"/>
    <xf numFmtId="9" fontId="49" fillId="0" borderId="0" xfId="1" applyFont="1" applyFill="1" applyAlignment="1"/>
    <xf numFmtId="1" fontId="49" fillId="0" borderId="0" xfId="0" applyNumberFormat="1" applyFont="1" applyFill="1" applyAlignment="1"/>
    <xf numFmtId="0" fontId="47" fillId="22" borderId="2" xfId="0" applyNumberFormat="1" applyFont="1" applyFill="1" applyBorder="1" applyAlignment="1">
      <alignment horizontal="left" vertical="center" readingOrder="1"/>
    </xf>
    <xf numFmtId="14" fontId="49" fillId="0" borderId="0" xfId="0" applyNumberFormat="1" applyFont="1" applyFill="1" applyAlignment="1"/>
    <xf numFmtId="0" fontId="49" fillId="0" borderId="0" xfId="0" applyFont="1" applyFill="1" applyAlignment="1">
      <alignment horizontal="left"/>
    </xf>
    <xf numFmtId="1" fontId="49" fillId="0" borderId="0" xfId="1" applyNumberFormat="1" applyFont="1" applyFill="1" applyAlignment="1"/>
    <xf numFmtId="1" fontId="49" fillId="0" borderId="0" xfId="0" applyNumberFormat="1" applyFont="1" applyFill="1" applyAlignment="1">
      <alignment horizontal="left"/>
    </xf>
    <xf numFmtId="0" fontId="47" fillId="22" borderId="13" xfId="0" applyNumberFormat="1" applyFont="1" applyFill="1" applyBorder="1" applyAlignment="1">
      <alignment horizontal="left" vertical="center" readingOrder="1"/>
    </xf>
    <xf numFmtId="0" fontId="38" fillId="3" borderId="0" xfId="0" applyFont="1" applyFill="1" applyBorder="1" applyAlignment="1">
      <alignment horizontal="left" vertical="center" readingOrder="1"/>
    </xf>
    <xf numFmtId="0" fontId="38" fillId="0" borderId="1" xfId="0" applyFont="1" applyFill="1" applyBorder="1" applyAlignment="1">
      <alignment horizontal="left" vertical="center" readingOrder="1"/>
    </xf>
    <xf numFmtId="14" fontId="38" fillId="3" borderId="18" xfId="0" applyNumberFormat="1" applyFont="1" applyFill="1" applyBorder="1" applyAlignment="1">
      <alignment horizontal="left" vertical="center" readingOrder="1"/>
    </xf>
    <xf numFmtId="0" fontId="46" fillId="0" borderId="0" xfId="0" applyNumberFormat="1" applyFont="1"/>
    <xf numFmtId="1" fontId="46" fillId="0" borderId="0" xfId="0" applyNumberFormat="1" applyFont="1"/>
    <xf numFmtId="0" fontId="46" fillId="0" borderId="0" xfId="0" applyFont="1" applyAlignment="1">
      <alignment wrapText="1" readingOrder="1"/>
    </xf>
    <xf numFmtId="0" fontId="38" fillId="7" borderId="0" xfId="0" applyFont="1" applyFill="1" applyBorder="1" applyAlignment="1">
      <alignment horizontal="left" vertical="center" readingOrder="1"/>
    </xf>
    <xf numFmtId="0" fontId="37" fillId="9" borderId="15" xfId="0" applyFont="1" applyFill="1" applyBorder="1" applyAlignment="1">
      <alignment horizontal="left" vertical="center" readingOrder="1"/>
    </xf>
    <xf numFmtId="0" fontId="38" fillId="7" borderId="15" xfId="0" applyFont="1" applyFill="1" applyBorder="1" applyAlignment="1">
      <alignment horizontal="left" vertical="center" readingOrder="1"/>
    </xf>
    <xf numFmtId="0" fontId="62" fillId="2" borderId="1" xfId="0" applyFont="1" applyFill="1" applyBorder="1" applyAlignment="1">
      <alignment horizontal="left" vertical="center" readingOrder="1"/>
    </xf>
    <xf numFmtId="14" fontId="63" fillId="6" borderId="2" xfId="0" applyNumberFormat="1" applyFont="1" applyFill="1" applyBorder="1" applyAlignment="1">
      <alignment horizontal="left" vertical="center" readingOrder="1"/>
    </xf>
    <xf numFmtId="14" fontId="62" fillId="6" borderId="1" xfId="0" applyNumberFormat="1" applyFont="1" applyFill="1" applyBorder="1" applyAlignment="1">
      <alignment horizontal="left" vertical="top" wrapText="1" readingOrder="1"/>
    </xf>
    <xf numFmtId="0" fontId="63" fillId="3" borderId="2" xfId="0" applyFont="1" applyFill="1" applyBorder="1" applyAlignment="1">
      <alignment horizontal="left" vertical="center" readingOrder="1"/>
    </xf>
    <xf numFmtId="0" fontId="63" fillId="7" borderId="2" xfId="0" applyFont="1" applyFill="1" applyBorder="1" applyAlignment="1">
      <alignment horizontal="left" vertical="center" readingOrder="1"/>
    </xf>
    <xf numFmtId="0" fontId="63" fillId="7" borderId="2" xfId="0" applyFont="1" applyFill="1" applyBorder="1" applyAlignment="1">
      <alignment horizontal="left" vertical="top" wrapText="1" readingOrder="1"/>
    </xf>
    <xf numFmtId="0" fontId="38" fillId="3" borderId="16" xfId="0" applyFont="1" applyFill="1" applyBorder="1" applyAlignment="1">
      <alignment horizontal="left" vertical="center" readingOrder="1"/>
    </xf>
    <xf numFmtId="165" fontId="38" fillId="0" borderId="0" xfId="0" applyNumberFormat="1" applyFont="1" applyFill="1" applyAlignment="1">
      <alignment horizontal="left" vertical="center" readingOrder="1"/>
    </xf>
    <xf numFmtId="0" fontId="41" fillId="7" borderId="15" xfId="0" applyFont="1" applyFill="1" applyBorder="1" applyAlignment="1">
      <alignment horizontal="left" vertical="top" wrapText="1" readingOrder="1"/>
    </xf>
    <xf numFmtId="0" fontId="38" fillId="3" borderId="15" xfId="0" applyFont="1" applyFill="1" applyBorder="1" applyAlignment="1">
      <alignment horizontal="left" vertical="center" readingOrder="1"/>
    </xf>
    <xf numFmtId="0" fontId="71" fillId="0" borderId="0" xfId="0" applyFont="1"/>
    <xf numFmtId="0" fontId="71" fillId="0" borderId="0" xfId="0" applyFont="1" applyAlignment="1">
      <alignment wrapText="1"/>
    </xf>
    <xf numFmtId="164" fontId="71" fillId="0" borderId="0" xfId="0" applyNumberFormat="1" applyFont="1"/>
    <xf numFmtId="0" fontId="44" fillId="0" borderId="21" xfId="0" applyFont="1" applyFill="1" applyBorder="1"/>
    <xf numFmtId="0" fontId="44" fillId="0" borderId="25" xfId="0" applyFont="1" applyFill="1" applyBorder="1"/>
    <xf numFmtId="0" fontId="44" fillId="0" borderId="23" xfId="0" applyFont="1" applyFill="1" applyBorder="1"/>
    <xf numFmtId="0" fontId="44" fillId="0" borderId="0" xfId="0" applyFont="1" applyBorder="1"/>
    <xf numFmtId="0" fontId="63" fillId="0" borderId="0" xfId="0" applyFont="1"/>
    <xf numFmtId="0" fontId="63" fillId="0" borderId="0" xfId="0" applyFont="1" applyAlignment="1"/>
    <xf numFmtId="0" fontId="46" fillId="0" borderId="0" xfId="0" applyNumberFormat="1" applyFont="1" applyAlignment="1">
      <alignment wrapText="1"/>
    </xf>
    <xf numFmtId="0" fontId="46" fillId="0" borderId="0" xfId="0" applyFont="1" applyFill="1"/>
    <xf numFmtId="14" fontId="53" fillId="16" borderId="0" xfId="0" applyNumberFormat="1" applyFont="1" applyFill="1" applyBorder="1" applyAlignment="1">
      <alignment horizontal="left"/>
    </xf>
    <xf numFmtId="9" fontId="75" fillId="23" borderId="0" xfId="0" applyNumberFormat="1" applyFont="1" applyFill="1" applyBorder="1" applyAlignment="1">
      <alignment vertical="center"/>
    </xf>
    <xf numFmtId="1" fontId="75" fillId="23" borderId="0" xfId="0" applyNumberFormat="1" applyFont="1" applyFill="1" applyBorder="1" applyAlignment="1">
      <alignment vertical="center"/>
    </xf>
    <xf numFmtId="0" fontId="72" fillId="0" borderId="29" xfId="0" applyFont="1" applyBorder="1" applyAlignment="1">
      <alignment horizontal="center" vertical="center"/>
    </xf>
    <xf numFmtId="0" fontId="78" fillId="0" borderId="30" xfId="0" applyFont="1" applyBorder="1" applyAlignment="1">
      <alignment horizontal="center" vertical="center" wrapText="1"/>
    </xf>
    <xf numFmtId="0" fontId="46" fillId="0" borderId="0" xfId="0" applyFont="1" applyFill="1" applyBorder="1" applyAlignment="1">
      <alignment horizontal="left"/>
    </xf>
    <xf numFmtId="0" fontId="77" fillId="8" borderId="22" xfId="0" applyFont="1" applyFill="1" applyBorder="1" applyAlignment="1">
      <alignment horizontal="center" vertical="center" wrapText="1"/>
    </xf>
    <xf numFmtId="0" fontId="77" fillId="36" borderId="22" xfId="0" applyFont="1" applyFill="1" applyBorder="1" applyAlignment="1">
      <alignment horizontal="center" vertical="center" wrapText="1"/>
    </xf>
    <xf numFmtId="0" fontId="0" fillId="0" borderId="22" xfId="0" applyBorder="1"/>
    <xf numFmtId="0" fontId="71" fillId="0" borderId="22" xfId="0" applyFont="1" applyBorder="1"/>
    <xf numFmtId="0" fontId="77" fillId="14" borderId="22" xfId="0" applyFont="1" applyFill="1" applyBorder="1" applyAlignment="1">
      <alignment horizontal="center" vertical="center" wrapText="1"/>
    </xf>
    <xf numFmtId="0" fontId="0" fillId="37" borderId="22" xfId="0" applyFill="1" applyBorder="1"/>
    <xf numFmtId="164" fontId="77" fillId="14" borderId="22" xfId="4" applyNumberFormat="1" applyFont="1" applyFill="1" applyBorder="1" applyAlignment="1">
      <alignment horizontal="right" vertical="center"/>
    </xf>
    <xf numFmtId="164" fontId="77" fillId="8" borderId="22" xfId="4" applyNumberFormat="1" applyFont="1" applyFill="1" applyBorder="1" applyAlignment="1">
      <alignment horizontal="right" vertical="center"/>
    </xf>
    <xf numFmtId="164" fontId="77" fillId="36" borderId="22" xfId="4" applyNumberFormat="1" applyFont="1" applyFill="1" applyBorder="1" applyAlignment="1">
      <alignment horizontal="right" vertical="center"/>
    </xf>
    <xf numFmtId="164" fontId="77" fillId="14" borderId="22" xfId="4" applyNumberFormat="1" applyFont="1" applyFill="1" applyBorder="1" applyAlignment="1">
      <alignment horizontal="center" vertical="center" wrapText="1"/>
    </xf>
    <xf numFmtId="164" fontId="77" fillId="36" borderId="22" xfId="4" applyNumberFormat="1" applyFont="1" applyFill="1" applyBorder="1" applyAlignment="1">
      <alignment horizontal="center" vertical="center" wrapText="1"/>
    </xf>
    <xf numFmtId="166" fontId="30" fillId="20" borderId="0" xfId="8" applyFont="1" applyFill="1" applyBorder="1"/>
    <xf numFmtId="0" fontId="71" fillId="0" borderId="0" xfId="0" applyFont="1" applyAlignment="1">
      <alignment horizontal="center" vertical="center" wrapText="1"/>
    </xf>
    <xf numFmtId="0" fontId="0" fillId="0" borderId="0" xfId="0" applyFill="1"/>
    <xf numFmtId="14" fontId="46" fillId="0" borderId="0" xfId="0" applyNumberFormat="1" applyFont="1"/>
    <xf numFmtId="165" fontId="46" fillId="0" borderId="0" xfId="0" applyNumberFormat="1" applyFont="1"/>
    <xf numFmtId="0" fontId="82" fillId="8" borderId="0" xfId="0" applyFont="1" applyFill="1"/>
    <xf numFmtId="0" fontId="82" fillId="38" borderId="0" xfId="0" applyFont="1" applyFill="1"/>
    <xf numFmtId="0" fontId="30" fillId="0" borderId="0" xfId="0" applyFont="1"/>
    <xf numFmtId="0" fontId="43" fillId="0" borderId="0" xfId="0" applyFont="1"/>
    <xf numFmtId="0" fontId="30" fillId="0" borderId="0" xfId="0" applyFont="1" applyAlignment="1">
      <alignment horizontal="left"/>
    </xf>
    <xf numFmtId="9" fontId="30" fillId="0" borderId="0" xfId="0" applyNumberFormat="1" applyFont="1"/>
    <xf numFmtId="0" fontId="30" fillId="0" borderId="0" xfId="0" applyNumberFormat="1" applyFont="1"/>
    <xf numFmtId="0" fontId="30" fillId="0" borderId="0" xfId="0" applyFont="1" applyAlignment="1">
      <alignment wrapText="1"/>
    </xf>
    <xf numFmtId="164" fontId="30" fillId="0" borderId="0" xfId="0" applyNumberFormat="1" applyFont="1"/>
    <xf numFmtId="0" fontId="84" fillId="0" borderId="0" xfId="0" applyFont="1"/>
    <xf numFmtId="0" fontId="83" fillId="14" borderId="0" xfId="0" applyFont="1" applyFill="1"/>
    <xf numFmtId="1" fontId="30" fillId="0" borderId="0" xfId="0" applyNumberFormat="1" applyFont="1"/>
    <xf numFmtId="0" fontId="30" fillId="0" borderId="0" xfId="0" applyFont="1" applyFill="1"/>
    <xf numFmtId="0" fontId="30" fillId="0" borderId="0" xfId="0" applyFont="1" applyFill="1" applyBorder="1" applyAlignment="1">
      <alignment horizontal="left"/>
    </xf>
    <xf numFmtId="0" fontId="30" fillId="0" borderId="0" xfId="0" applyNumberFormat="1" applyFont="1" applyFill="1" applyBorder="1"/>
    <xf numFmtId="9" fontId="30" fillId="0" borderId="0" xfId="0" applyNumberFormat="1" applyFont="1" applyFill="1"/>
    <xf numFmtId="0" fontId="30" fillId="0" borderId="0" xfId="0" applyNumberFormat="1" applyFont="1" applyFill="1"/>
    <xf numFmtId="0" fontId="30" fillId="17" borderId="27" xfId="0" applyFont="1" applyFill="1" applyBorder="1"/>
    <xf numFmtId="164" fontId="84" fillId="0" borderId="0" xfId="0" applyNumberFormat="1" applyFont="1"/>
    <xf numFmtId="0" fontId="30" fillId="19" borderId="0" xfId="0" applyFont="1" applyFill="1"/>
    <xf numFmtId="1" fontId="30" fillId="0" borderId="0" xfId="4" applyNumberFormat="1" applyFont="1"/>
    <xf numFmtId="0" fontId="30" fillId="34" borderId="0" xfId="0" applyFont="1" applyFill="1"/>
    <xf numFmtId="0" fontId="43" fillId="10" borderId="0" xfId="0" applyFont="1" applyFill="1"/>
    <xf numFmtId="0" fontId="85" fillId="0" borderId="37" xfId="0" applyFont="1" applyBorder="1" applyAlignment="1">
      <alignment horizontal="left"/>
    </xf>
    <xf numFmtId="0" fontId="85" fillId="0" borderId="34" xfId="0" applyFont="1" applyBorder="1" applyAlignment="1">
      <alignment horizontal="left"/>
    </xf>
    <xf numFmtId="0" fontId="82" fillId="8" borderId="0" xfId="0" applyFont="1" applyFill="1" applyAlignment="1">
      <alignment horizontal="left"/>
    </xf>
    <xf numFmtId="9" fontId="82" fillId="8" borderId="0" xfId="0" applyNumberFormat="1" applyFont="1" applyFill="1"/>
    <xf numFmtId="0" fontId="82" fillId="8" borderId="0" xfId="0" applyNumberFormat="1" applyFont="1" applyFill="1"/>
    <xf numFmtId="0" fontId="80" fillId="0" borderId="0" xfId="0" applyFont="1"/>
    <xf numFmtId="0" fontId="74" fillId="0" borderId="0" xfId="0" applyFont="1"/>
    <xf numFmtId="0" fontId="83" fillId="29" borderId="43" xfId="0" applyFont="1" applyFill="1" applyBorder="1" applyAlignment="1">
      <alignment horizontal="left" vertical="center" wrapText="1"/>
    </xf>
    <xf numFmtId="164" fontId="43" fillId="0" borderId="44" xfId="4" applyNumberFormat="1" applyFont="1" applyBorder="1"/>
    <xf numFmtId="164" fontId="43" fillId="0" borderId="45" xfId="4" applyNumberFormat="1" applyFont="1" applyBorder="1"/>
    <xf numFmtId="164" fontId="86" fillId="0" borderId="46" xfId="4" applyNumberFormat="1" applyFont="1" applyBorder="1" applyAlignment="1">
      <alignment horizontal="left" wrapText="1"/>
    </xf>
    <xf numFmtId="164" fontId="86" fillId="0" borderId="41" xfId="4" applyNumberFormat="1" applyFont="1" applyBorder="1" applyAlignment="1">
      <alignment horizontal="left" wrapText="1"/>
    </xf>
    <xf numFmtId="164" fontId="86" fillId="0" borderId="47" xfId="4" applyNumberFormat="1" applyFont="1" applyBorder="1" applyAlignment="1">
      <alignment horizontal="left" wrapText="1"/>
    </xf>
    <xf numFmtId="0" fontId="86" fillId="0" borderId="48" xfId="0" applyFont="1" applyBorder="1" applyAlignment="1">
      <alignment horizontal="left"/>
    </xf>
    <xf numFmtId="0" fontId="86" fillId="0" borderId="49" xfId="0" applyNumberFormat="1" applyFont="1" applyBorder="1"/>
    <xf numFmtId="0" fontId="86" fillId="0" borderId="50" xfId="0" applyNumberFormat="1" applyFont="1" applyBorder="1"/>
    <xf numFmtId="0" fontId="83" fillId="29" borderId="42" xfId="0" applyFont="1" applyFill="1" applyBorder="1"/>
    <xf numFmtId="0" fontId="86" fillId="0" borderId="0" xfId="0" applyFont="1" applyBorder="1" applyAlignment="1">
      <alignment horizontal="left"/>
    </xf>
    <xf numFmtId="0" fontId="86" fillId="0" borderId="0" xfId="0" applyNumberFormat="1" applyFont="1" applyBorder="1"/>
    <xf numFmtId="0" fontId="86" fillId="0" borderId="52" xfId="0" applyFont="1" applyBorder="1"/>
    <xf numFmtId="0" fontId="86" fillId="0" borderId="52" xfId="0" applyFont="1" applyBorder="1" applyAlignment="1">
      <alignment horizontal="left"/>
    </xf>
    <xf numFmtId="0" fontId="86" fillId="0" borderId="52" xfId="0" applyNumberFormat="1" applyFont="1" applyBorder="1"/>
    <xf numFmtId="0" fontId="30" fillId="0" borderId="51" xfId="0" applyFont="1" applyBorder="1" applyAlignment="1">
      <alignment horizontal="left"/>
    </xf>
    <xf numFmtId="0" fontId="30" fillId="0" borderId="51" xfId="0" applyNumberFormat="1" applyFont="1" applyBorder="1"/>
    <xf numFmtId="0" fontId="30" fillId="0" borderId="55" xfId="0" applyFont="1" applyBorder="1" applyAlignment="1">
      <alignment horizontal="left"/>
    </xf>
    <xf numFmtId="0" fontId="30" fillId="0" borderId="55" xfId="0" applyNumberFormat="1" applyFont="1" applyBorder="1"/>
    <xf numFmtId="0" fontId="30" fillId="0" borderId="56" xfId="0" applyNumberFormat="1" applyFont="1" applyBorder="1"/>
    <xf numFmtId="0" fontId="30" fillId="0" borderId="57" xfId="0" applyNumberFormat="1" applyFont="1" applyBorder="1"/>
    <xf numFmtId="0" fontId="87" fillId="39" borderId="53" xfId="0" applyFont="1" applyFill="1" applyBorder="1"/>
    <xf numFmtId="0" fontId="87" fillId="9" borderId="0" xfId="0" applyFont="1" applyFill="1"/>
    <xf numFmtId="0" fontId="83" fillId="32" borderId="0" xfId="0" applyFont="1" applyFill="1"/>
    <xf numFmtId="0" fontId="82" fillId="14" borderId="0" xfId="0" applyFont="1" applyFill="1"/>
    <xf numFmtId="0" fontId="82" fillId="9" borderId="0" xfId="0" applyFont="1" applyFill="1"/>
    <xf numFmtId="0" fontId="80" fillId="34" borderId="0" xfId="0" applyFont="1" applyFill="1"/>
    <xf numFmtId="0" fontId="82" fillId="32" borderId="0" xfId="0" applyFont="1" applyFill="1"/>
    <xf numFmtId="0" fontId="80" fillId="10" borderId="0" xfId="0" applyFont="1" applyFill="1"/>
    <xf numFmtId="0" fontId="89" fillId="0" borderId="0" xfId="0" applyFont="1"/>
    <xf numFmtId="0" fontId="30" fillId="31" borderId="0" xfId="0" applyFont="1" applyFill="1" applyBorder="1" applyAlignment="1">
      <alignment horizontal="left" vertical="center"/>
    </xf>
    <xf numFmtId="0" fontId="53" fillId="21" borderId="0" xfId="1" applyNumberFormat="1" applyFont="1" applyFill="1" applyBorder="1" applyAlignment="1">
      <alignment horizontal="center"/>
    </xf>
    <xf numFmtId="0" fontId="53" fillId="21" borderId="0" xfId="0" applyNumberFormat="1" applyFont="1" applyFill="1" applyBorder="1" applyAlignment="1">
      <alignment horizontal="center"/>
    </xf>
    <xf numFmtId="0" fontId="71" fillId="0" borderId="0" xfId="0" applyFont="1" applyFill="1"/>
    <xf numFmtId="0" fontId="90" fillId="26" borderId="58" xfId="0" applyFont="1" applyFill="1" applyBorder="1"/>
    <xf numFmtId="0" fontId="82" fillId="41" borderId="0" xfId="0" applyFont="1" applyFill="1" applyAlignment="1">
      <alignment vertical="center"/>
    </xf>
    <xf numFmtId="164" fontId="71" fillId="0" borderId="0" xfId="4" applyNumberFormat="1" applyFont="1"/>
    <xf numFmtId="0" fontId="93" fillId="0" borderId="0" xfId="0" applyFont="1"/>
    <xf numFmtId="164" fontId="77" fillId="8" borderId="22" xfId="4" applyNumberFormat="1" applyFont="1" applyFill="1" applyBorder="1" applyAlignment="1">
      <alignment horizontal="center" vertical="center" wrapText="1"/>
    </xf>
    <xf numFmtId="0" fontId="96" fillId="0" borderId="0" xfId="0" applyFont="1"/>
    <xf numFmtId="49" fontId="95" fillId="0" borderId="0" xfId="20" applyNumberFormat="1" applyFont="1" applyFill="1" applyBorder="1" applyAlignment="1">
      <alignment horizontal="left" vertical="center" wrapText="1"/>
    </xf>
    <xf numFmtId="0" fontId="93" fillId="0" borderId="25" xfId="0" applyFont="1" applyBorder="1"/>
    <xf numFmtId="0" fontId="93" fillId="31" borderId="25" xfId="0" applyFont="1" applyFill="1" applyBorder="1"/>
    <xf numFmtId="0" fontId="30" fillId="0" borderId="0" xfId="0" applyFont="1" applyFill="1" applyBorder="1" applyAlignment="1">
      <alignment horizontal="left" vertical="center"/>
    </xf>
    <xf numFmtId="0" fontId="44" fillId="0" borderId="0" xfId="21" applyFont="1" applyAlignment="1">
      <alignment horizontal="left" vertical="center"/>
    </xf>
    <xf numFmtId="0" fontId="66" fillId="26" borderId="62" xfId="21" applyFont="1" applyFill="1" applyBorder="1" applyAlignment="1">
      <alignment horizontal="center" vertical="center"/>
    </xf>
    <xf numFmtId="0" fontId="45" fillId="18" borderId="62" xfId="18" applyFont="1" applyFill="1" applyBorder="1" applyAlignment="1">
      <alignment horizontal="left" vertical="center" wrapText="1" readingOrder="1"/>
    </xf>
    <xf numFmtId="1" fontId="45" fillId="18" borderId="62" xfId="18" applyNumberFormat="1" applyFont="1" applyFill="1" applyBorder="1" applyAlignment="1">
      <alignment horizontal="left" vertical="center" wrapText="1" readingOrder="1"/>
    </xf>
    <xf numFmtId="9" fontId="45" fillId="18" borderId="62" xfId="18" applyNumberFormat="1" applyFont="1" applyFill="1" applyBorder="1" applyAlignment="1">
      <alignment horizontal="left" vertical="center" wrapText="1" readingOrder="1"/>
    </xf>
    <xf numFmtId="1" fontId="45" fillId="7" borderId="62" xfId="18" applyNumberFormat="1" applyFont="1" applyFill="1" applyBorder="1" applyAlignment="1">
      <alignment horizontal="left" vertical="center" wrapText="1" readingOrder="1"/>
    </xf>
    <xf numFmtId="0" fontId="33" fillId="0" borderId="0" xfId="21" applyAlignment="1">
      <alignment vertical="top" wrapText="1"/>
    </xf>
    <xf numFmtId="0" fontId="58" fillId="0" borderId="0" xfId="21" applyFont="1" applyAlignment="1">
      <alignment vertical="top" wrapText="1"/>
    </xf>
    <xf numFmtId="0" fontId="33" fillId="0" borderId="0" xfId="21" applyAlignment="1">
      <alignment wrapText="1"/>
    </xf>
    <xf numFmtId="0" fontId="39" fillId="12" borderId="4" xfId="21" applyFont="1" applyFill="1" applyBorder="1" applyAlignment="1">
      <alignment vertical="top" wrapText="1"/>
    </xf>
    <xf numFmtId="0" fontId="42" fillId="10" borderId="4" xfId="21" applyFont="1" applyFill="1" applyBorder="1" applyAlignment="1">
      <alignment horizontal="left" vertical="top" wrapText="1"/>
    </xf>
    <xf numFmtId="0" fontId="42" fillId="10" borderId="4" xfId="21" applyFont="1" applyFill="1" applyBorder="1" applyAlignment="1">
      <alignment horizontal="left" vertical="center" wrapText="1"/>
    </xf>
    <xf numFmtId="0" fontId="40" fillId="7" borderId="4" xfId="21" applyFont="1" applyFill="1" applyBorder="1" applyAlignment="1">
      <alignment vertical="top" wrapText="1"/>
    </xf>
    <xf numFmtId="0" fontId="40" fillId="11" borderId="4" xfId="21" applyFont="1" applyFill="1" applyBorder="1" applyAlignment="1">
      <alignment vertical="top" wrapText="1"/>
    </xf>
    <xf numFmtId="9" fontId="33" fillId="0" borderId="0" xfId="21" applyNumberFormat="1" applyAlignment="1">
      <alignment vertical="top" wrapText="1"/>
    </xf>
    <xf numFmtId="0" fontId="37" fillId="44" borderId="62" xfId="21" applyNumberFormat="1" applyFont="1" applyFill="1" applyBorder="1" applyAlignment="1">
      <alignment horizontal="center" vertical="center"/>
    </xf>
    <xf numFmtId="0" fontId="37" fillId="2" borderId="62" xfId="21" applyNumberFormat="1" applyFont="1" applyFill="1" applyBorder="1" applyAlignment="1">
      <alignment horizontal="center" vertical="center"/>
    </xf>
    <xf numFmtId="0" fontId="37" fillId="37" borderId="62" xfId="21" applyNumberFormat="1" applyFont="1" applyFill="1" applyBorder="1" applyAlignment="1">
      <alignment horizontal="center" vertical="center"/>
    </xf>
    <xf numFmtId="1" fontId="70" fillId="18" borderId="14" xfId="0" applyNumberFormat="1" applyFont="1" applyFill="1" applyBorder="1" applyAlignment="1">
      <alignment horizontal="left" vertical="top" wrapText="1" readingOrder="1"/>
    </xf>
    <xf numFmtId="0" fontId="37" fillId="38" borderId="62" xfId="21" applyNumberFormat="1" applyFont="1" applyFill="1" applyBorder="1" applyAlignment="1">
      <alignment horizontal="center" vertical="center"/>
    </xf>
    <xf numFmtId="0" fontId="70" fillId="27" borderId="62" xfId="21" applyNumberFormat="1" applyFont="1" applyFill="1" applyBorder="1" applyAlignment="1">
      <alignment horizontal="center" vertical="center" wrapText="1"/>
    </xf>
    <xf numFmtId="14" fontId="69" fillId="12" borderId="62" xfId="18" applyNumberFormat="1" applyFont="1" applyFill="1" applyBorder="1" applyAlignment="1">
      <alignment horizontal="center" vertical="center" wrapText="1"/>
    </xf>
    <xf numFmtId="14" fontId="69" fillId="22" borderId="62" xfId="18" applyNumberFormat="1" applyFont="1" applyFill="1" applyBorder="1" applyAlignment="1">
      <alignment horizontal="center" vertical="center" wrapText="1"/>
    </xf>
    <xf numFmtId="1" fontId="68" fillId="7" borderId="62" xfId="18" applyNumberFormat="1" applyFont="1" applyFill="1" applyBorder="1" applyAlignment="1">
      <alignment horizontal="center" vertical="center" wrapText="1"/>
    </xf>
    <xf numFmtId="0" fontId="68" fillId="7" borderId="62" xfId="18" applyFont="1" applyFill="1" applyBorder="1" applyAlignment="1">
      <alignment horizontal="center" vertical="center" wrapText="1"/>
    </xf>
    <xf numFmtId="0" fontId="68" fillId="7" borderId="0" xfId="18" applyFont="1" applyFill="1" applyBorder="1" applyAlignment="1">
      <alignment horizontal="center" vertical="center" wrapText="1"/>
    </xf>
    <xf numFmtId="0" fontId="37" fillId="9" borderId="62" xfId="21" applyNumberFormat="1" applyFont="1" applyFill="1" applyBorder="1" applyAlignment="1">
      <alignment horizontal="center" vertical="center"/>
    </xf>
    <xf numFmtId="14" fontId="38" fillId="17" borderId="62" xfId="18" applyNumberFormat="1" applyFont="1" applyFill="1" applyBorder="1" applyAlignment="1">
      <alignment horizontal="center" vertical="center" wrapText="1" readingOrder="1"/>
    </xf>
    <xf numFmtId="1" fontId="68" fillId="7" borderId="62" xfId="19" applyNumberFormat="1" applyFont="1" applyFill="1" applyBorder="1" applyAlignment="1">
      <alignment horizontal="center" vertical="center" wrapText="1"/>
    </xf>
    <xf numFmtId="1" fontId="70" fillId="7" borderId="62" xfId="18" applyNumberFormat="1" applyFont="1" applyFill="1" applyBorder="1" applyAlignment="1">
      <alignment horizontal="center" vertical="center" wrapText="1"/>
    </xf>
    <xf numFmtId="14" fontId="69" fillId="7" borderId="62" xfId="18" applyNumberFormat="1" applyFont="1" applyFill="1" applyBorder="1" applyAlignment="1">
      <alignment horizontal="center" vertical="center" wrapText="1"/>
    </xf>
    <xf numFmtId="0" fontId="69" fillId="7" borderId="62" xfId="18" applyFont="1" applyFill="1" applyBorder="1" applyAlignment="1">
      <alignment horizontal="center" vertical="center" wrapText="1"/>
    </xf>
    <xf numFmtId="0" fontId="53" fillId="14" borderId="0" xfId="0" applyFont="1" applyFill="1" applyBorder="1" applyAlignment="1"/>
    <xf numFmtId="1" fontId="53" fillId="8" borderId="0" xfId="0" applyNumberFormat="1" applyFont="1" applyFill="1" applyBorder="1" applyAlignment="1"/>
    <xf numFmtId="0" fontId="37" fillId="9" borderId="66" xfId="21" applyNumberFormat="1" applyFont="1" applyFill="1" applyBorder="1" applyAlignment="1">
      <alignment horizontal="center" vertical="center"/>
    </xf>
    <xf numFmtId="0" fontId="37" fillId="14" borderId="65" xfId="21" applyNumberFormat="1" applyFont="1" applyFill="1" applyBorder="1" applyAlignment="1">
      <alignment horizontal="center" vertical="center"/>
    </xf>
    <xf numFmtId="0" fontId="102" fillId="37" borderId="62" xfId="21" applyNumberFormat="1" applyFont="1" applyFill="1" applyBorder="1" applyAlignment="1">
      <alignment horizontal="left" vertical="center"/>
    </xf>
    <xf numFmtId="0" fontId="37" fillId="6" borderId="62" xfId="21" applyNumberFormat="1" applyFont="1" applyFill="1" applyBorder="1" applyAlignment="1">
      <alignment horizontal="center" vertical="center"/>
    </xf>
    <xf numFmtId="0" fontId="102" fillId="6" borderId="62" xfId="21" applyNumberFormat="1" applyFont="1" applyFill="1" applyBorder="1" applyAlignment="1">
      <alignment horizontal="left" vertical="center"/>
    </xf>
    <xf numFmtId="14" fontId="69" fillId="17" borderId="14" xfId="0" applyNumberFormat="1" applyFont="1" applyFill="1" applyBorder="1" applyAlignment="1">
      <alignment horizontal="left" vertical="top" wrapText="1" readingOrder="1"/>
    </xf>
    <xf numFmtId="0" fontId="70" fillId="18" borderId="14" xfId="0" applyFont="1" applyFill="1" applyBorder="1" applyAlignment="1">
      <alignment horizontal="left" vertical="top" wrapText="1" readingOrder="1"/>
    </xf>
    <xf numFmtId="0" fontId="70" fillId="22" borderId="19" xfId="0" applyNumberFormat="1" applyFont="1" applyFill="1" applyBorder="1" applyAlignment="1">
      <alignment horizontal="left" vertical="top" wrapText="1" readingOrder="1"/>
    </xf>
    <xf numFmtId="0" fontId="70" fillId="22" borderId="20" xfId="0" applyNumberFormat="1" applyFont="1" applyFill="1" applyBorder="1" applyAlignment="1">
      <alignment horizontal="left" vertical="top" wrapText="1" readingOrder="1"/>
    </xf>
    <xf numFmtId="0" fontId="70" fillId="22" borderId="2" xfId="0" applyNumberFormat="1" applyFont="1" applyFill="1" applyBorder="1" applyAlignment="1">
      <alignment horizontal="left" vertical="center" wrapText="1" readingOrder="1"/>
    </xf>
    <xf numFmtId="0" fontId="68" fillId="0" borderId="0" xfId="0" applyFont="1" applyAlignment="1">
      <alignment vertical="top" wrapText="1"/>
    </xf>
    <xf numFmtId="0" fontId="103" fillId="18" borderId="62" xfId="18" applyFont="1" applyFill="1" applyBorder="1" applyAlignment="1">
      <alignment horizontal="left" vertical="center" wrapText="1" readingOrder="1"/>
    </xf>
    <xf numFmtId="1" fontId="103" fillId="18" borderId="62" xfId="18" applyNumberFormat="1" applyFont="1" applyFill="1" applyBorder="1" applyAlignment="1">
      <alignment horizontal="left" vertical="center" wrapText="1" readingOrder="1"/>
    </xf>
    <xf numFmtId="0" fontId="104" fillId="18" borderId="62" xfId="18" applyFont="1" applyFill="1" applyBorder="1" applyAlignment="1">
      <alignment horizontal="left" vertical="center" wrapText="1" readingOrder="1"/>
    </xf>
    <xf numFmtId="0" fontId="103" fillId="18" borderId="62" xfId="18" applyFont="1" applyFill="1" applyBorder="1" applyAlignment="1">
      <alignment horizontal="left" vertical="center" wrapText="1"/>
    </xf>
    <xf numFmtId="1" fontId="104" fillId="18" borderId="62" xfId="18" applyNumberFormat="1" applyFont="1" applyFill="1" applyBorder="1" applyAlignment="1">
      <alignment horizontal="left" vertical="center" wrapText="1" readingOrder="1"/>
    </xf>
    <xf numFmtId="1" fontId="104" fillId="7" borderId="62" xfId="18" applyNumberFormat="1" applyFont="1" applyFill="1" applyBorder="1" applyAlignment="1">
      <alignment horizontal="left" vertical="center" wrapText="1" readingOrder="1"/>
    </xf>
    <xf numFmtId="0" fontId="103" fillId="28" borderId="62" xfId="18" applyFont="1" applyFill="1" applyBorder="1" applyAlignment="1">
      <alignment horizontal="left" vertical="center" wrapText="1"/>
    </xf>
    <xf numFmtId="14" fontId="104" fillId="7" borderId="62" xfId="18" applyNumberFormat="1" applyFont="1" applyFill="1" applyBorder="1" applyAlignment="1">
      <alignment horizontal="left" vertical="center" wrapText="1" readingOrder="1"/>
    </xf>
    <xf numFmtId="0" fontId="104" fillId="11" borderId="62" xfId="19" applyNumberFormat="1" applyFont="1" applyFill="1" applyBorder="1" applyAlignment="1">
      <alignment horizontal="left" vertical="center" wrapText="1" readingOrder="1"/>
    </xf>
    <xf numFmtId="1" fontId="104" fillId="11" borderId="62" xfId="18" applyNumberFormat="1" applyFont="1" applyFill="1" applyBorder="1" applyAlignment="1">
      <alignment horizontal="left" vertical="center" wrapText="1" readingOrder="1"/>
    </xf>
    <xf numFmtId="0" fontId="103" fillId="30" borderId="62" xfId="19" applyNumberFormat="1" applyFont="1" applyFill="1" applyBorder="1" applyAlignment="1">
      <alignment horizontal="left" vertical="center" wrapText="1" readingOrder="1"/>
    </xf>
    <xf numFmtId="14" fontId="104" fillId="17" borderId="62" xfId="18" applyNumberFormat="1" applyFont="1" applyFill="1" applyBorder="1" applyAlignment="1">
      <alignment horizontal="left" vertical="center" wrapText="1" readingOrder="1"/>
    </xf>
    <xf numFmtId="0" fontId="106" fillId="16" borderId="62" xfId="18" applyFont="1" applyFill="1" applyBorder="1" applyAlignment="1">
      <alignment horizontal="center" vertical="center" wrapText="1"/>
    </xf>
    <xf numFmtId="0" fontId="109" fillId="22" borderId="13" xfId="0" applyNumberFormat="1" applyFont="1" applyFill="1" applyBorder="1" applyAlignment="1">
      <alignment horizontal="left" vertical="center" wrapText="1" readingOrder="1"/>
    </xf>
    <xf numFmtId="0" fontId="109" fillId="22" borderId="2" xfId="0" applyNumberFormat="1" applyFont="1" applyFill="1" applyBorder="1" applyAlignment="1">
      <alignment horizontal="left" vertical="center" wrapText="1" readingOrder="1"/>
    </xf>
    <xf numFmtId="0" fontId="107" fillId="0" borderId="0" xfId="0" applyFont="1" applyAlignment="1"/>
    <xf numFmtId="14" fontId="45" fillId="18" borderId="62" xfId="18" applyNumberFormat="1" applyFont="1" applyFill="1" applyBorder="1" applyAlignment="1">
      <alignment horizontal="left" vertical="center" wrapText="1" readingOrder="1"/>
    </xf>
    <xf numFmtId="0" fontId="45" fillId="10" borderId="62" xfId="18" applyFont="1" applyFill="1" applyBorder="1" applyAlignment="1">
      <alignment horizontal="left" vertical="center" wrapText="1"/>
    </xf>
    <xf numFmtId="14" fontId="103" fillId="18" borderId="62" xfId="18" applyNumberFormat="1" applyFont="1" applyFill="1" applyBorder="1" applyAlignment="1">
      <alignment horizontal="left" vertical="center" wrapText="1" readingOrder="1"/>
    </xf>
    <xf numFmtId="9" fontId="45" fillId="11" borderId="62" xfId="18" applyNumberFormat="1" applyFont="1" applyFill="1" applyBorder="1" applyAlignment="1">
      <alignment horizontal="left" vertical="center" wrapText="1" readingOrder="1"/>
    </xf>
    <xf numFmtId="1" fontId="45" fillId="18" borderId="62" xfId="19" applyNumberFormat="1" applyFont="1" applyFill="1" applyBorder="1" applyAlignment="1">
      <alignment horizontal="left" vertical="center" wrapText="1" readingOrder="1"/>
    </xf>
    <xf numFmtId="0" fontId="110" fillId="22" borderId="13" xfId="0" applyNumberFormat="1" applyFont="1" applyFill="1" applyBorder="1" applyAlignment="1">
      <alignment horizontal="left" vertical="center" wrapText="1" readingOrder="1"/>
    </xf>
    <xf numFmtId="0" fontId="110" fillId="22" borderId="2" xfId="0" applyNumberFormat="1" applyFont="1" applyFill="1" applyBorder="1" applyAlignment="1">
      <alignment horizontal="left" vertical="center" wrapText="1" readingOrder="1"/>
    </xf>
    <xf numFmtId="0" fontId="117" fillId="0" borderId="0" xfId="0" applyFont="1" applyAlignment="1"/>
    <xf numFmtId="0" fontId="37" fillId="2" borderId="62" xfId="21" applyNumberFormat="1" applyFont="1" applyFill="1" applyBorder="1" applyAlignment="1">
      <alignment horizontal="center" vertical="center" wrapText="1"/>
    </xf>
    <xf numFmtId="0" fontId="37" fillId="6" borderId="62" xfId="21" applyNumberFormat="1" applyFont="1" applyFill="1" applyBorder="1" applyAlignment="1">
      <alignment horizontal="center" vertical="center" wrapText="1"/>
    </xf>
    <xf numFmtId="0" fontId="37" fillId="37" borderId="62" xfId="21" applyNumberFormat="1" applyFont="1" applyFill="1" applyBorder="1" applyAlignment="1">
      <alignment horizontal="center" vertical="center" wrapText="1"/>
    </xf>
    <xf numFmtId="0" fontId="37" fillId="44" borderId="62" xfId="21" applyNumberFormat="1" applyFont="1" applyFill="1" applyBorder="1" applyAlignment="1">
      <alignment horizontal="center" vertical="center" wrapText="1"/>
    </xf>
    <xf numFmtId="0" fontId="37" fillId="14" borderId="65" xfId="21" applyNumberFormat="1" applyFont="1" applyFill="1" applyBorder="1" applyAlignment="1">
      <alignment horizontal="center" vertical="center" wrapText="1"/>
    </xf>
    <xf numFmtId="0" fontId="37" fillId="38" borderId="62" xfId="21" applyNumberFormat="1" applyFont="1" applyFill="1" applyBorder="1" applyAlignment="1">
      <alignment horizontal="center" vertical="center" wrapText="1"/>
    </xf>
    <xf numFmtId="0" fontId="37" fillId="9" borderId="62" xfId="21" applyNumberFormat="1" applyFont="1" applyFill="1" applyBorder="1" applyAlignment="1">
      <alignment horizontal="center" vertical="center" wrapText="1"/>
    </xf>
    <xf numFmtId="0" fontId="47" fillId="22" borderId="13" xfId="0" applyNumberFormat="1" applyFont="1" applyFill="1" applyBorder="1" applyAlignment="1">
      <alignment horizontal="left" vertical="center" wrapText="1" readingOrder="1"/>
    </xf>
    <xf numFmtId="0" fontId="47" fillId="22" borderId="2" xfId="0" applyNumberFormat="1" applyFont="1" applyFill="1" applyBorder="1" applyAlignment="1">
      <alignment horizontal="left" vertical="center" wrapText="1" readingOrder="1"/>
    </xf>
    <xf numFmtId="0" fontId="49" fillId="0" borderId="0" xfId="0" applyFont="1" applyAlignment="1">
      <alignment wrapText="1"/>
    </xf>
    <xf numFmtId="0" fontId="119" fillId="0" borderId="0" xfId="18" applyFont="1" applyAlignment="1">
      <alignment horizontal="left" vertical="center"/>
    </xf>
    <xf numFmtId="0" fontId="45" fillId="0" borderId="0" xfId="21" applyFont="1" applyAlignment="1">
      <alignment horizontal="left" vertical="center"/>
    </xf>
    <xf numFmtId="0" fontId="47" fillId="16" borderId="62" xfId="21" applyFont="1" applyFill="1" applyBorder="1" applyAlignment="1">
      <alignment horizontal="center" vertical="center" wrapText="1"/>
    </xf>
    <xf numFmtId="0" fontId="47" fillId="16" borderId="62" xfId="18" applyFont="1" applyFill="1" applyBorder="1" applyAlignment="1">
      <alignment horizontal="center" vertical="center" wrapText="1"/>
    </xf>
    <xf numFmtId="0" fontId="119" fillId="0" borderId="0" xfId="18" applyFont="1" applyAlignment="1">
      <alignment horizontal="center" vertical="center"/>
    </xf>
    <xf numFmtId="14" fontId="45" fillId="17" borderId="62" xfId="18" applyNumberFormat="1" applyFont="1" applyFill="1" applyBorder="1" applyAlignment="1">
      <alignment horizontal="left" vertical="center" wrapText="1" readingOrder="1"/>
    </xf>
    <xf numFmtId="1" fontId="45" fillId="18" borderId="65" xfId="19" applyNumberFormat="1" applyFont="1" applyFill="1" applyBorder="1" applyAlignment="1">
      <alignment horizontal="left" vertical="center" wrapText="1" readingOrder="1"/>
    </xf>
    <xf numFmtId="0" fontId="45" fillId="18" borderId="65" xfId="18" applyFont="1" applyFill="1" applyBorder="1" applyAlignment="1">
      <alignment horizontal="left" vertical="center" wrapText="1" readingOrder="1"/>
    </xf>
    <xf numFmtId="1" fontId="45" fillId="18" borderId="65" xfId="18" applyNumberFormat="1" applyFont="1" applyFill="1" applyBorder="1" applyAlignment="1">
      <alignment horizontal="left" vertical="center" wrapText="1" readingOrder="1"/>
    </xf>
    <xf numFmtId="0" fontId="45" fillId="10" borderId="65" xfId="18" applyFont="1" applyFill="1" applyBorder="1" applyAlignment="1">
      <alignment horizontal="left" vertical="center" wrapText="1"/>
    </xf>
    <xf numFmtId="0" fontId="45" fillId="28" borderId="62" xfId="18" applyFont="1" applyFill="1" applyBorder="1" applyAlignment="1">
      <alignment horizontal="left" vertical="center" wrapText="1"/>
    </xf>
    <xf numFmtId="1" fontId="45" fillId="7" borderId="62" xfId="19" applyNumberFormat="1" applyFont="1" applyFill="1" applyBorder="1" applyAlignment="1">
      <alignment horizontal="left" vertical="center" wrapText="1" readingOrder="1"/>
    </xf>
    <xf numFmtId="14" fontId="45" fillId="7" borderId="62" xfId="18" applyNumberFormat="1" applyFont="1" applyFill="1" applyBorder="1" applyAlignment="1">
      <alignment horizontal="left" vertical="center" wrapText="1"/>
    </xf>
    <xf numFmtId="14" fontId="45" fillId="7" borderId="62" xfId="18" applyNumberFormat="1" applyFont="1" applyFill="1" applyBorder="1" applyAlignment="1">
      <alignment horizontal="left" vertical="center" wrapText="1" readingOrder="1"/>
    </xf>
    <xf numFmtId="0" fontId="45" fillId="7" borderId="62" xfId="18" applyFont="1" applyFill="1" applyBorder="1" applyAlignment="1">
      <alignment horizontal="left" vertical="center" wrapText="1"/>
    </xf>
    <xf numFmtId="0" fontId="45" fillId="7" borderId="62" xfId="18" applyFont="1" applyFill="1" applyBorder="1" applyAlignment="1">
      <alignment horizontal="left" vertical="center" wrapText="1" readingOrder="1"/>
    </xf>
    <xf numFmtId="0" fontId="45" fillId="11" borderId="62" xfId="19" applyNumberFormat="1" applyFont="1" applyFill="1" applyBorder="1" applyAlignment="1">
      <alignment horizontal="left" vertical="center" wrapText="1" readingOrder="1"/>
    </xf>
    <xf numFmtId="0" fontId="45" fillId="30" borderId="62" xfId="19" applyNumberFormat="1" applyFont="1" applyFill="1" applyBorder="1" applyAlignment="1">
      <alignment horizontal="left" vertical="center" wrapText="1" readingOrder="1"/>
    </xf>
    <xf numFmtId="1" fontId="45" fillId="11" borderId="62" xfId="18" applyNumberFormat="1" applyFont="1" applyFill="1" applyBorder="1" applyAlignment="1">
      <alignment horizontal="left" vertical="center" wrapText="1" readingOrder="1"/>
    </xf>
    <xf numFmtId="0" fontId="45" fillId="30" borderId="62" xfId="18" applyFont="1" applyFill="1" applyBorder="1" applyAlignment="1">
      <alignment horizontal="left" vertical="center" wrapText="1"/>
    </xf>
    <xf numFmtId="9" fontId="45" fillId="11" borderId="65" xfId="18" applyNumberFormat="1" applyFont="1" applyFill="1" applyBorder="1" applyAlignment="1">
      <alignment horizontal="left" vertical="center" wrapText="1" readingOrder="1"/>
    </xf>
    <xf numFmtId="0" fontId="45" fillId="30" borderId="65" xfId="18" applyFont="1" applyFill="1" applyBorder="1" applyAlignment="1">
      <alignment horizontal="left" vertical="center" wrapText="1"/>
    </xf>
    <xf numFmtId="0" fontId="70" fillId="0" borderId="0" xfId="18" applyFont="1" applyAlignment="1">
      <alignment horizontal="left" vertical="center"/>
    </xf>
    <xf numFmtId="0" fontId="45" fillId="0" borderId="0" xfId="18" applyFont="1" applyAlignment="1">
      <alignment horizontal="left" vertical="center"/>
    </xf>
    <xf numFmtId="0" fontId="121" fillId="0" borderId="0" xfId="18" applyFont="1" applyAlignment="1">
      <alignment horizontal="left" vertical="center"/>
    </xf>
    <xf numFmtId="0" fontId="121" fillId="0" borderId="0" xfId="18" applyFont="1" applyAlignment="1">
      <alignment horizontal="center" vertical="center"/>
    </xf>
    <xf numFmtId="0" fontId="105" fillId="0" borderId="0" xfId="18" applyFont="1" applyAlignment="1">
      <alignment horizontal="left" vertical="center"/>
    </xf>
    <xf numFmtId="0" fontId="103" fillId="0" borderId="0" xfId="18" applyFont="1" applyAlignment="1">
      <alignment horizontal="left" vertical="center"/>
    </xf>
    <xf numFmtId="0" fontId="104" fillId="0" borderId="0" xfId="18" applyFont="1" applyAlignment="1">
      <alignment horizontal="left" vertical="center"/>
    </xf>
    <xf numFmtId="0" fontId="37" fillId="9" borderId="0" xfId="21" applyNumberFormat="1" applyFont="1" applyFill="1" applyBorder="1" applyAlignment="1">
      <alignment horizontal="center" vertical="center"/>
    </xf>
    <xf numFmtId="14" fontId="38" fillId="17" borderId="62" xfId="18" applyNumberFormat="1" applyFont="1" applyFill="1" applyBorder="1" applyAlignment="1">
      <alignment horizontal="center" vertical="center" wrapText="1"/>
    </xf>
    <xf numFmtId="14" fontId="38" fillId="7" borderId="62" xfId="18" applyNumberFormat="1" applyFont="1" applyFill="1" applyBorder="1" applyAlignment="1">
      <alignment horizontal="center" vertical="center" wrapText="1"/>
    </xf>
    <xf numFmtId="14" fontId="38" fillId="27" borderId="62" xfId="18" applyNumberFormat="1" applyFont="1" applyFill="1" applyBorder="1" applyAlignment="1">
      <alignment horizontal="center" vertical="center" wrapText="1"/>
    </xf>
    <xf numFmtId="14" fontId="38" fillId="22" borderId="62" xfId="18" applyNumberFormat="1" applyFont="1" applyFill="1" applyBorder="1" applyAlignment="1">
      <alignment horizontal="center" vertical="center" wrapText="1"/>
    </xf>
    <xf numFmtId="14" fontId="38" fillId="17" borderId="67" xfId="18" applyNumberFormat="1" applyFont="1" applyFill="1" applyBorder="1" applyAlignment="1">
      <alignment horizontal="center" vertical="center" wrapText="1"/>
    </xf>
    <xf numFmtId="0" fontId="37" fillId="9" borderId="67" xfId="21" applyNumberFormat="1" applyFont="1" applyFill="1" applyBorder="1" applyAlignment="1">
      <alignment horizontal="center" vertical="center" wrapText="1"/>
    </xf>
    <xf numFmtId="1" fontId="101" fillId="18" borderId="0" xfId="0" applyNumberFormat="1" applyFont="1" applyFill="1" applyBorder="1" applyAlignment="1">
      <alignment vertical="top" wrapText="1"/>
    </xf>
    <xf numFmtId="0" fontId="101" fillId="18" borderId="68" xfId="0" applyFont="1" applyFill="1" applyBorder="1" applyAlignment="1">
      <alignment vertical="top" wrapText="1"/>
    </xf>
    <xf numFmtId="0" fontId="101" fillId="18" borderId="69" xfId="0" applyFont="1" applyFill="1" applyBorder="1" applyAlignment="1">
      <alignment vertical="top" wrapText="1"/>
    </xf>
    <xf numFmtId="1" fontId="111" fillId="18" borderId="72" xfId="0" applyNumberFormat="1" applyFont="1" applyFill="1" applyBorder="1" applyAlignment="1">
      <alignment vertical="top" wrapText="1"/>
    </xf>
    <xf numFmtId="0" fontId="111" fillId="18" borderId="72" xfId="0" applyFont="1" applyFill="1" applyBorder="1" applyAlignment="1">
      <alignment vertical="top" wrapText="1"/>
    </xf>
    <xf numFmtId="0" fontId="123" fillId="5" borderId="72" xfId="0" applyFont="1" applyFill="1" applyBorder="1" applyAlignment="1">
      <alignment horizontal="center" vertical="center" wrapText="1"/>
    </xf>
    <xf numFmtId="1" fontId="111" fillId="18" borderId="73" xfId="0" applyNumberFormat="1" applyFont="1" applyFill="1" applyBorder="1" applyAlignment="1">
      <alignment vertical="top" wrapText="1"/>
    </xf>
    <xf numFmtId="0" fontId="123" fillId="5" borderId="73" xfId="0" applyFont="1" applyFill="1" applyBorder="1" applyAlignment="1">
      <alignment horizontal="center" vertical="center" wrapText="1"/>
    </xf>
    <xf numFmtId="0" fontId="111" fillId="18" borderId="74" xfId="0" applyFont="1" applyFill="1" applyBorder="1" applyAlignment="1">
      <alignment vertical="top" wrapText="1"/>
    </xf>
    <xf numFmtId="1" fontId="111" fillId="18" borderId="75" xfId="0" applyNumberFormat="1" applyFont="1" applyFill="1" applyBorder="1" applyAlignment="1">
      <alignment vertical="top" wrapText="1"/>
    </xf>
    <xf numFmtId="0" fontId="101" fillId="18" borderId="76" xfId="0" applyFont="1" applyFill="1" applyBorder="1" applyAlignment="1">
      <alignment vertical="top" wrapText="1"/>
    </xf>
    <xf numFmtId="0" fontId="101" fillId="18" borderId="77" xfId="0" applyFont="1" applyFill="1" applyBorder="1" applyAlignment="1">
      <alignment vertical="top" wrapText="1"/>
    </xf>
    <xf numFmtId="1" fontId="101" fillId="18" borderId="78" xfId="0" applyNumberFormat="1" applyFont="1" applyFill="1" applyBorder="1" applyAlignment="1">
      <alignment vertical="top" wrapText="1"/>
    </xf>
    <xf numFmtId="0" fontId="123" fillId="5" borderId="79" xfId="0" applyFont="1" applyFill="1" applyBorder="1" applyAlignment="1">
      <alignment horizontal="center" vertical="center" wrapText="1"/>
    </xf>
    <xf numFmtId="0" fontId="101" fillId="18" borderId="70" xfId="0" applyFont="1" applyFill="1" applyBorder="1" applyAlignment="1">
      <alignment vertical="top" wrapText="1"/>
    </xf>
    <xf numFmtId="1" fontId="111" fillId="18" borderId="79" xfId="0" applyNumberFormat="1" applyFont="1" applyFill="1" applyBorder="1" applyAlignment="1">
      <alignment vertical="top" wrapText="1"/>
    </xf>
    <xf numFmtId="1" fontId="124" fillId="18" borderId="72" xfId="0" applyNumberFormat="1" applyFont="1" applyFill="1" applyBorder="1" applyAlignment="1">
      <alignment vertical="top" wrapText="1"/>
    </xf>
    <xf numFmtId="1" fontId="124" fillId="18" borderId="79" xfId="0" applyNumberFormat="1" applyFont="1" applyFill="1" applyBorder="1" applyAlignment="1">
      <alignment vertical="top" wrapText="1"/>
    </xf>
    <xf numFmtId="1" fontId="101" fillId="5" borderId="71" xfId="0" applyNumberFormat="1" applyFont="1" applyFill="1" applyBorder="1" applyAlignment="1">
      <alignment vertical="top" wrapText="1"/>
    </xf>
    <xf numFmtId="0" fontId="48" fillId="5" borderId="72" xfId="0" applyFont="1" applyFill="1" applyBorder="1" applyAlignment="1">
      <alignment vertical="center" wrapText="1"/>
    </xf>
    <xf numFmtId="0" fontId="101" fillId="18" borderId="72" xfId="0" applyFont="1" applyFill="1" applyBorder="1" applyAlignment="1">
      <alignment vertical="top" wrapText="1"/>
    </xf>
    <xf numFmtId="9" fontId="101" fillId="18" borderId="72" xfId="0" applyNumberFormat="1" applyFont="1" applyFill="1" applyBorder="1" applyAlignment="1">
      <alignment vertical="top" wrapText="1"/>
    </xf>
    <xf numFmtId="0" fontId="48" fillId="5" borderId="79" xfId="0" applyFont="1" applyFill="1" applyBorder="1" applyAlignment="1">
      <alignment vertical="center" wrapText="1"/>
    </xf>
    <xf numFmtId="1" fontId="101" fillId="18" borderId="79" xfId="0" applyNumberFormat="1" applyFont="1" applyFill="1" applyBorder="1" applyAlignment="1">
      <alignment vertical="top" wrapText="1"/>
    </xf>
    <xf numFmtId="1" fontId="111" fillId="18" borderId="74" xfId="0" applyNumberFormat="1" applyFont="1" applyFill="1" applyBorder="1" applyAlignment="1">
      <alignment vertical="top" wrapText="1"/>
    </xf>
    <xf numFmtId="0" fontId="48" fillId="5" borderId="74" xfId="0" applyFont="1" applyFill="1" applyBorder="1" applyAlignment="1">
      <alignment vertical="center" wrapText="1"/>
    </xf>
    <xf numFmtId="1" fontId="101" fillId="18" borderId="84" xfId="0" applyNumberFormat="1" applyFont="1" applyFill="1" applyBorder="1" applyAlignment="1">
      <alignment vertical="top" wrapText="1"/>
    </xf>
    <xf numFmtId="0" fontId="111" fillId="18" borderId="75" xfId="0" applyFont="1" applyFill="1" applyBorder="1" applyAlignment="1">
      <alignment vertical="top" wrapText="1"/>
    </xf>
    <xf numFmtId="1" fontId="101" fillId="18" borderId="80" xfId="0" applyNumberFormat="1" applyFont="1" applyFill="1" applyBorder="1" applyAlignment="1">
      <alignment vertical="top" wrapText="1"/>
    </xf>
    <xf numFmtId="0" fontId="111" fillId="6" borderId="72" xfId="0" applyFont="1" applyFill="1" applyBorder="1" applyAlignment="1">
      <alignment vertical="top" wrapText="1"/>
    </xf>
    <xf numFmtId="1" fontId="111" fillId="6" borderId="72" xfId="0" applyNumberFormat="1" applyFont="1" applyFill="1" applyBorder="1" applyAlignment="1">
      <alignment vertical="top" wrapText="1"/>
    </xf>
    <xf numFmtId="1" fontId="113" fillId="6" borderId="72" xfId="0" applyNumberFormat="1" applyFont="1" applyFill="1" applyBorder="1" applyAlignment="1">
      <alignment vertical="top" wrapText="1"/>
    </xf>
    <xf numFmtId="0" fontId="48" fillId="8" borderId="72" xfId="0" applyFont="1" applyFill="1" applyBorder="1" applyAlignment="1">
      <alignment vertical="center" wrapText="1"/>
    </xf>
    <xf numFmtId="1" fontId="48" fillId="8" borderId="72" xfId="0" applyNumberFormat="1" applyFont="1" applyFill="1" applyBorder="1" applyAlignment="1">
      <alignment vertical="center" wrapText="1"/>
    </xf>
    <xf numFmtId="1" fontId="53" fillId="8" borderId="72" xfId="0" applyNumberFormat="1" applyFont="1" applyFill="1" applyBorder="1" applyAlignment="1">
      <alignment vertical="center" wrapText="1"/>
    </xf>
    <xf numFmtId="0" fontId="101" fillId="6" borderId="72" xfId="0" applyFont="1" applyFill="1" applyBorder="1" applyAlignment="1">
      <alignment vertical="top" wrapText="1"/>
    </xf>
    <xf numFmtId="1" fontId="111" fillId="6" borderId="79" xfId="0" applyNumberFormat="1" applyFont="1" applyFill="1" applyBorder="1" applyAlignment="1">
      <alignment vertical="top" wrapText="1"/>
    </xf>
    <xf numFmtId="0" fontId="48" fillId="8" borderId="79" xfId="0" applyFont="1" applyFill="1" applyBorder="1" applyAlignment="1">
      <alignment vertical="center" wrapText="1"/>
    </xf>
    <xf numFmtId="1" fontId="101" fillId="6" borderId="79" xfId="0" applyNumberFormat="1" applyFont="1" applyFill="1" applyBorder="1" applyAlignment="1">
      <alignment vertical="top" wrapText="1"/>
    </xf>
    <xf numFmtId="0" fontId="111" fillId="6" borderId="73" xfId="0" applyFont="1" applyFill="1" applyBorder="1" applyAlignment="1">
      <alignment vertical="top" wrapText="1"/>
    </xf>
    <xf numFmtId="0" fontId="48" fillId="8" borderId="73" xfId="0" applyFont="1" applyFill="1" applyBorder="1" applyAlignment="1">
      <alignment vertical="center" wrapText="1"/>
    </xf>
    <xf numFmtId="0" fontId="101" fillId="6" borderId="73" xfId="0" applyFont="1" applyFill="1" applyBorder="1" applyAlignment="1">
      <alignment vertical="top" wrapText="1"/>
    </xf>
    <xf numFmtId="1" fontId="111" fillId="6" borderId="74" xfId="0" applyNumberFormat="1" applyFont="1" applyFill="1" applyBorder="1" applyAlignment="1">
      <alignment vertical="top" wrapText="1"/>
    </xf>
    <xf numFmtId="0" fontId="111" fillId="6" borderId="75" xfId="0" applyFont="1" applyFill="1" applyBorder="1" applyAlignment="1">
      <alignment vertical="top" wrapText="1"/>
    </xf>
    <xf numFmtId="0" fontId="48" fillId="8" borderId="74" xfId="0" applyFont="1" applyFill="1" applyBorder="1" applyAlignment="1">
      <alignment vertical="center" wrapText="1"/>
    </xf>
    <xf numFmtId="0" fontId="48" fillId="8" borderId="75" xfId="0" applyFont="1" applyFill="1" applyBorder="1" applyAlignment="1">
      <alignment vertical="center" wrapText="1"/>
    </xf>
    <xf numFmtId="1" fontId="101" fillId="6" borderId="76" xfId="0" applyNumberFormat="1" applyFont="1" applyFill="1" applyBorder="1" applyAlignment="1">
      <alignment vertical="top" wrapText="1"/>
    </xf>
    <xf numFmtId="0" fontId="101" fillId="6" borderId="78" xfId="0" applyFont="1" applyFill="1" applyBorder="1" applyAlignment="1">
      <alignment vertical="top" wrapText="1"/>
    </xf>
    <xf numFmtId="1" fontId="111" fillId="9" borderId="72" xfId="0" applyNumberFormat="1" applyFont="1" applyFill="1" applyBorder="1" applyAlignment="1">
      <alignment vertical="top" wrapText="1"/>
    </xf>
    <xf numFmtId="1" fontId="54" fillId="9" borderId="72" xfId="1" applyNumberFormat="1" applyFont="1" applyFill="1" applyBorder="1" applyAlignment="1">
      <alignment vertical="center"/>
    </xf>
    <xf numFmtId="1" fontId="48" fillId="9" borderId="72" xfId="0" applyNumberFormat="1" applyFont="1" applyFill="1" applyBorder="1" applyAlignment="1">
      <alignment vertical="center" wrapText="1"/>
    </xf>
    <xf numFmtId="1" fontId="108" fillId="9" borderId="72" xfId="0" applyNumberFormat="1" applyFont="1" applyFill="1" applyBorder="1" applyAlignment="1">
      <alignment vertical="top" wrapText="1"/>
    </xf>
    <xf numFmtId="1" fontId="108" fillId="9" borderId="72" xfId="0" applyNumberFormat="1" applyFont="1" applyFill="1" applyBorder="1" applyAlignment="1">
      <alignment vertical="top"/>
    </xf>
    <xf numFmtId="1" fontId="54" fillId="9" borderId="72" xfId="1" applyNumberFormat="1" applyFont="1" applyFill="1" applyBorder="1" applyAlignment="1">
      <alignment vertical="center" wrapText="1"/>
    </xf>
    <xf numFmtId="1" fontId="56" fillId="9" borderId="72" xfId="0" applyNumberFormat="1" applyFont="1" applyFill="1" applyBorder="1" applyAlignment="1">
      <alignment horizontal="center" vertical="center" wrapText="1"/>
    </xf>
    <xf numFmtId="1" fontId="101" fillId="9" borderId="72" xfId="0" applyNumberFormat="1" applyFont="1" applyFill="1" applyBorder="1" applyAlignment="1">
      <alignment vertical="top" wrapText="1"/>
    </xf>
    <xf numFmtId="1" fontId="101" fillId="19" borderId="72" xfId="0" applyNumberFormat="1" applyFont="1" applyFill="1" applyBorder="1" applyAlignment="1">
      <alignment vertical="top" wrapText="1"/>
    </xf>
    <xf numFmtId="1" fontId="115" fillId="9" borderId="72" xfId="0" applyNumberFormat="1" applyFont="1" applyFill="1" applyBorder="1" applyAlignment="1">
      <alignment vertical="top" wrapText="1"/>
    </xf>
    <xf numFmtId="9" fontId="111" fillId="9" borderId="79" xfId="1" applyNumberFormat="1" applyFont="1" applyFill="1" applyBorder="1" applyAlignment="1">
      <alignment vertical="top" wrapText="1"/>
    </xf>
    <xf numFmtId="9" fontId="48" fillId="9" borderId="79" xfId="1" applyFont="1" applyFill="1" applyBorder="1" applyAlignment="1">
      <alignment vertical="center" wrapText="1"/>
    </xf>
    <xf numFmtId="9" fontId="108" fillId="9" borderId="79" xfId="1" applyNumberFormat="1" applyFont="1" applyFill="1" applyBorder="1" applyAlignment="1">
      <alignment vertical="top" wrapText="1"/>
    </xf>
    <xf numFmtId="1" fontId="56" fillId="9" borderId="79" xfId="0" applyNumberFormat="1" applyFont="1" applyFill="1" applyBorder="1" applyAlignment="1">
      <alignment horizontal="center" vertical="center" wrapText="1"/>
    </xf>
    <xf numFmtId="1" fontId="101" fillId="19" borderId="79" xfId="0" applyNumberFormat="1" applyFont="1" applyFill="1" applyBorder="1" applyAlignment="1">
      <alignment vertical="top" wrapText="1"/>
    </xf>
    <xf numFmtId="1" fontId="111" fillId="9" borderId="73" xfId="0" applyNumberFormat="1" applyFont="1" applyFill="1" applyBorder="1" applyAlignment="1">
      <alignment vertical="top" wrapText="1"/>
    </xf>
    <xf numFmtId="1" fontId="48" fillId="9" borderId="73" xfId="0" applyNumberFormat="1" applyFont="1" applyFill="1" applyBorder="1" applyAlignment="1">
      <alignment vertical="center" wrapText="1"/>
    </xf>
    <xf numFmtId="1" fontId="108" fillId="9" borderId="73" xfId="0" applyNumberFormat="1" applyFont="1" applyFill="1" applyBorder="1" applyAlignment="1">
      <alignment vertical="top" wrapText="1"/>
    </xf>
    <xf numFmtId="1" fontId="56" fillId="9" borderId="73" xfId="0" applyNumberFormat="1" applyFont="1" applyFill="1" applyBorder="1" applyAlignment="1">
      <alignment horizontal="center" vertical="center" wrapText="1"/>
    </xf>
    <xf numFmtId="1" fontId="101" fillId="19" borderId="73" xfId="0" applyNumberFormat="1" applyFont="1" applyFill="1" applyBorder="1" applyAlignment="1">
      <alignment vertical="top" wrapText="1"/>
    </xf>
    <xf numFmtId="9" fontId="48" fillId="9" borderId="93" xfId="1" applyFont="1" applyFill="1" applyBorder="1" applyAlignment="1">
      <alignment vertical="center" wrapText="1"/>
    </xf>
    <xf numFmtId="9" fontId="108" fillId="9" borderId="93" xfId="1" applyNumberFormat="1" applyFont="1" applyFill="1" applyBorder="1" applyAlignment="1">
      <alignment vertical="top" wrapText="1"/>
    </xf>
    <xf numFmtId="9" fontId="111" fillId="9" borderId="93" xfId="1" applyNumberFormat="1" applyFont="1" applyFill="1" applyBorder="1" applyAlignment="1">
      <alignment vertical="top" wrapText="1"/>
    </xf>
    <xf numFmtId="1" fontId="56" fillId="9" borderId="93" xfId="0" applyNumberFormat="1" applyFont="1" applyFill="1" applyBorder="1" applyAlignment="1">
      <alignment horizontal="center" vertical="center" wrapText="1"/>
    </xf>
    <xf numFmtId="9" fontId="101" fillId="9" borderId="94" xfId="0" applyNumberFormat="1" applyFont="1" applyFill="1" applyBorder="1" applyAlignment="1">
      <alignment vertical="top" wrapText="1"/>
    </xf>
    <xf numFmtId="1" fontId="101" fillId="5" borderId="72" xfId="0" applyNumberFormat="1" applyFont="1" applyFill="1" applyBorder="1" applyAlignment="1">
      <alignment horizontal="center" vertical="center" wrapText="1"/>
    </xf>
    <xf numFmtId="0" fontId="101" fillId="8" borderId="72" xfId="0" applyFont="1" applyFill="1" applyBorder="1" applyAlignment="1">
      <alignment horizontal="center" vertical="center" wrapText="1"/>
    </xf>
    <xf numFmtId="1" fontId="101" fillId="9" borderId="72" xfId="0" applyNumberFormat="1" applyFont="1" applyFill="1" applyBorder="1" applyAlignment="1">
      <alignment horizontal="center" vertical="center" wrapText="1"/>
    </xf>
    <xf numFmtId="0" fontId="71" fillId="45" borderId="0" xfId="0" applyFont="1" applyFill="1"/>
    <xf numFmtId="0" fontId="0" fillId="45" borderId="0" xfId="0" applyFill="1"/>
    <xf numFmtId="0" fontId="50" fillId="45" borderId="0" xfId="0" applyFont="1" applyFill="1"/>
    <xf numFmtId="1" fontId="46" fillId="0" borderId="0" xfId="0" applyNumberFormat="1" applyFont="1" applyFill="1" applyBorder="1" applyAlignment="1">
      <alignment wrapText="1"/>
    </xf>
    <xf numFmtId="0" fontId="46" fillId="0" borderId="0" xfId="0" applyFont="1" applyFill="1" applyAlignment="1">
      <alignment wrapText="1"/>
    </xf>
    <xf numFmtId="0" fontId="46" fillId="0" borderId="0" xfId="0" applyNumberFormat="1" applyFont="1" applyFill="1" applyAlignment="1">
      <alignment wrapText="1"/>
    </xf>
    <xf numFmtId="0" fontId="0" fillId="0" borderId="0" xfId="0"/>
    <xf numFmtId="14" fontId="38" fillId="3" borderId="2" xfId="0" applyNumberFormat="1" applyFont="1" applyFill="1" applyBorder="1" applyAlignment="1">
      <alignment horizontal="left" vertical="center" readingOrder="1"/>
    </xf>
    <xf numFmtId="0" fontId="0" fillId="0" borderId="0" xfId="0" pivotButton="1"/>
    <xf numFmtId="0" fontId="46" fillId="0" borderId="0" xfId="0" applyFont="1" applyFill="1"/>
    <xf numFmtId="0" fontId="0" fillId="0" borderId="0" xfId="0" applyFill="1"/>
    <xf numFmtId="1" fontId="61" fillId="0" borderId="0" xfId="0" applyNumberFormat="1" applyFont="1" applyFill="1" applyBorder="1" applyAlignment="1">
      <alignment horizontal="left" vertical="center" readingOrder="1"/>
    </xf>
    <xf numFmtId="0" fontId="38" fillId="0" borderId="0" xfId="0" applyFont="1" applyFill="1" applyAlignment="1">
      <alignment horizontal="left" vertical="center" readingOrder="1"/>
    </xf>
    <xf numFmtId="0" fontId="71" fillId="0" borderId="0" xfId="0" pivotButton="1" applyFont="1"/>
    <xf numFmtId="0" fontId="50" fillId="0" borderId="0" xfId="0" applyFont="1" applyFill="1"/>
    <xf numFmtId="0" fontId="71" fillId="0" borderId="0" xfId="0" applyFont="1" applyBorder="1"/>
    <xf numFmtId="0" fontId="125" fillId="26" borderId="0" xfId="0" applyFont="1" applyFill="1"/>
    <xf numFmtId="164" fontId="126" fillId="0" borderId="0" xfId="0" applyNumberFormat="1" applyFont="1" applyFill="1"/>
    <xf numFmtId="164" fontId="71" fillId="0" borderId="0" xfId="0" applyNumberFormat="1" applyFont="1" applyFill="1"/>
    <xf numFmtId="1" fontId="101" fillId="19" borderId="0" xfId="0" applyNumberFormat="1" applyFont="1" applyFill="1" applyBorder="1" applyAlignment="1">
      <alignment vertical="top" wrapText="1"/>
    </xf>
    <xf numFmtId="0" fontId="30" fillId="0" borderId="0" xfId="0" pivotButton="1" applyFont="1"/>
    <xf numFmtId="0" fontId="30" fillId="0" borderId="0" xfId="0" pivotButton="1" applyFont="1" applyAlignment="1">
      <alignment wrapText="1"/>
    </xf>
    <xf numFmtId="0" fontId="127" fillId="0" borderId="0" xfId="0" applyFont="1" applyAlignment="1">
      <alignment wrapText="1"/>
    </xf>
    <xf numFmtId="0" fontId="128" fillId="40" borderId="0" xfId="0" applyFont="1" applyFill="1" applyAlignment="1">
      <alignment wrapText="1"/>
    </xf>
    <xf numFmtId="0" fontId="128" fillId="40" borderId="0" xfId="0" applyFont="1" applyFill="1" applyAlignment="1"/>
    <xf numFmtId="0" fontId="28" fillId="0" borderId="0" xfId="0" applyFont="1" applyFill="1"/>
    <xf numFmtId="0" fontId="84" fillId="0" borderId="0" xfId="0" applyFont="1" applyFill="1"/>
    <xf numFmtId="0" fontId="83" fillId="0" borderId="0" xfId="0" applyFont="1" applyFill="1" applyAlignment="1">
      <alignment wrapText="1"/>
    </xf>
    <xf numFmtId="0" fontId="128" fillId="0" borderId="0" xfId="0" applyFont="1" applyFill="1" applyAlignment="1">
      <alignment wrapText="1"/>
    </xf>
    <xf numFmtId="0" fontId="48" fillId="8" borderId="72" xfId="0" applyFont="1" applyFill="1" applyBorder="1" applyAlignment="1">
      <alignment horizontal="center" vertical="center" wrapText="1"/>
    </xf>
    <xf numFmtId="0" fontId="129" fillId="39" borderId="54" xfId="0" applyFont="1" applyFill="1" applyBorder="1"/>
    <xf numFmtId="0" fontId="95" fillId="0" borderId="0" xfId="0" applyFont="1" applyFill="1" applyAlignment="1">
      <alignment vertical="center"/>
    </xf>
    <xf numFmtId="0" fontId="46" fillId="9" borderId="0" xfId="0" applyFont="1" applyFill="1"/>
    <xf numFmtId="0" fontId="76" fillId="0" borderId="0" xfId="0" applyFont="1" applyFill="1"/>
    <xf numFmtId="0" fontId="76" fillId="0" borderId="0" xfId="0" applyNumberFormat="1" applyFont="1" applyFill="1" applyBorder="1"/>
    <xf numFmtId="0" fontId="43" fillId="0" borderId="35" xfId="0" applyFont="1" applyBorder="1" applyAlignment="1">
      <alignment horizontal="center" vertical="center" wrapText="1"/>
    </xf>
    <xf numFmtId="0" fontId="43" fillId="0" borderId="36" xfId="0" applyFont="1" applyBorder="1" applyAlignment="1">
      <alignment horizontal="center" vertical="center" wrapText="1"/>
    </xf>
    <xf numFmtId="0" fontId="30" fillId="0" borderId="0" xfId="0" pivotButton="1" applyNumberFormat="1" applyFont="1" applyFill="1" applyBorder="1"/>
    <xf numFmtId="0" fontId="30" fillId="0" borderId="0" xfId="0" applyFont="1" applyAlignment="1">
      <alignment horizontal="center" vertical="center" wrapText="1"/>
    </xf>
    <xf numFmtId="0" fontId="43" fillId="0" borderId="33" xfId="0" applyFont="1" applyBorder="1" applyAlignment="1">
      <alignment horizontal="center" vertical="center" wrapText="1"/>
    </xf>
    <xf numFmtId="0" fontId="84" fillId="0" borderId="0" xfId="0" applyFont="1" applyAlignment="1">
      <alignment horizontal="center" vertical="center" wrapText="1"/>
    </xf>
    <xf numFmtId="14" fontId="38" fillId="3" borderId="0" xfId="0" applyNumberFormat="1" applyFont="1" applyFill="1" applyBorder="1" applyAlignment="1">
      <alignment horizontal="left" vertical="center" readingOrder="1"/>
    </xf>
    <xf numFmtId="1" fontId="46" fillId="0" borderId="23" xfId="0" applyNumberFormat="1" applyFont="1" applyFill="1" applyBorder="1"/>
    <xf numFmtId="0" fontId="89" fillId="0" borderId="0" xfId="0" pivotButton="1" applyFont="1"/>
    <xf numFmtId="1" fontId="56" fillId="9" borderId="0" xfId="0" applyNumberFormat="1" applyFont="1" applyFill="1" applyBorder="1" applyAlignment="1">
      <alignment horizontal="center" vertical="center" wrapText="1"/>
    </xf>
    <xf numFmtId="166" fontId="27" fillId="20" borderId="0" xfId="8" applyFont="1" applyFill="1" applyBorder="1"/>
    <xf numFmtId="0" fontId="131" fillId="0" borderId="0" xfId="0" applyFont="1" applyAlignment="1">
      <alignment horizontal="left"/>
    </xf>
    <xf numFmtId="9" fontId="131" fillId="0" borderId="0" xfId="0" applyNumberFormat="1" applyFont="1"/>
    <xf numFmtId="0" fontId="26" fillId="0" borderId="0" xfId="0" applyFont="1"/>
    <xf numFmtId="0" fontId="26" fillId="0" borderId="0" xfId="0" applyFont="1" applyAlignment="1">
      <alignment horizontal="left"/>
    </xf>
    <xf numFmtId="0" fontId="43" fillId="0" borderId="33" xfId="0" applyFont="1" applyBorder="1" applyAlignment="1">
      <alignment horizontal="left"/>
    </xf>
    <xf numFmtId="0" fontId="43" fillId="0" borderId="35" xfId="0" applyFont="1" applyBorder="1" applyAlignment="1">
      <alignment wrapText="1"/>
    </xf>
    <xf numFmtId="0" fontId="43" fillId="0" borderId="35" xfId="0" applyFont="1" applyBorder="1"/>
    <xf numFmtId="0" fontId="43" fillId="0" borderId="36" xfId="0" applyFont="1" applyBorder="1"/>
    <xf numFmtId="0" fontId="85" fillId="0" borderId="38" xfId="0" applyNumberFormat="1" applyFont="1" applyBorder="1"/>
    <xf numFmtId="0" fontId="85" fillId="0" borderId="39" xfId="0" applyNumberFormat="1" applyFont="1" applyBorder="1"/>
    <xf numFmtId="0" fontId="25" fillId="14" borderId="0" xfId="0" applyFont="1" applyFill="1" applyAlignment="1">
      <alignment horizontal="left"/>
    </xf>
    <xf numFmtId="164" fontId="25" fillId="14" borderId="0" xfId="0" applyNumberFormat="1" applyFont="1" applyFill="1"/>
    <xf numFmtId="9" fontId="25" fillId="14" borderId="0" xfId="0" applyNumberFormat="1" applyFont="1" applyFill="1"/>
    <xf numFmtId="0" fontId="82" fillId="0" borderId="0" xfId="0" applyFont="1" applyFill="1"/>
    <xf numFmtId="0" fontId="83" fillId="0" borderId="0" xfId="0" applyFont="1" applyFill="1"/>
    <xf numFmtId="0" fontId="25" fillId="0" borderId="0" xfId="0" applyFont="1" applyFill="1" applyAlignment="1">
      <alignment horizontal="left"/>
    </xf>
    <xf numFmtId="0" fontId="0" fillId="0" borderId="0" xfId="0" applyNumberFormat="1"/>
    <xf numFmtId="0" fontId="0" fillId="0" borderId="0" xfId="0"/>
    <xf numFmtId="14" fontId="38" fillId="3" borderId="2" xfId="0" applyNumberFormat="1" applyFont="1" applyFill="1" applyBorder="1" applyAlignment="1">
      <alignment horizontal="left" vertical="center" readingOrder="1"/>
    </xf>
    <xf numFmtId="0" fontId="38" fillId="0" borderId="0" xfId="0" applyFont="1" applyFill="1" applyBorder="1" applyAlignment="1">
      <alignment horizontal="left" vertical="center" readingOrder="1"/>
    </xf>
    <xf numFmtId="9" fontId="38" fillId="0" borderId="0" xfId="1" applyFont="1" applyFill="1" applyAlignment="1">
      <alignment horizontal="left" vertical="center" readingOrder="1"/>
    </xf>
    <xf numFmtId="1" fontId="38" fillId="0" borderId="0" xfId="1" applyNumberFormat="1" applyFont="1" applyFill="1" applyAlignment="1">
      <alignment horizontal="left" vertical="center" readingOrder="1"/>
    </xf>
    <xf numFmtId="0" fontId="38" fillId="0" borderId="0" xfId="1" applyNumberFormat="1" applyFont="1" applyFill="1" applyAlignment="1">
      <alignment horizontal="left" vertical="center" readingOrder="1"/>
    </xf>
    <xf numFmtId="0" fontId="0" fillId="0" borderId="0" xfId="0" pivotButton="1"/>
    <xf numFmtId="0" fontId="46" fillId="0" borderId="0" xfId="0" applyFont="1" applyFill="1"/>
    <xf numFmtId="1" fontId="38" fillId="0" borderId="0" xfId="0" applyNumberFormat="1" applyFont="1" applyFill="1" applyAlignment="1">
      <alignment horizontal="left" vertical="center" readingOrder="1"/>
    </xf>
    <xf numFmtId="0" fontId="46" fillId="0" borderId="0" xfId="0" applyFont="1" applyFill="1" applyBorder="1"/>
    <xf numFmtId="0" fontId="76" fillId="0" borderId="0" xfId="0" applyNumberFormat="1" applyFont="1" applyFill="1"/>
    <xf numFmtId="0" fontId="46" fillId="0" borderId="0" xfId="0" applyNumberFormat="1" applyFont="1" applyFill="1"/>
    <xf numFmtId="1" fontId="46" fillId="0" borderId="0" xfId="0" applyNumberFormat="1" applyFont="1" applyFill="1"/>
    <xf numFmtId="0" fontId="46" fillId="0" borderId="0" xfId="0" applyFont="1" applyFill="1" applyAlignment="1">
      <alignment wrapText="1" readingOrder="1"/>
    </xf>
    <xf numFmtId="0" fontId="46" fillId="0" borderId="17" xfId="0" applyFont="1" applyFill="1" applyBorder="1"/>
    <xf numFmtId="0" fontId="46" fillId="0" borderId="0" xfId="0" applyNumberFormat="1" applyFont="1" applyFill="1" applyBorder="1"/>
    <xf numFmtId="1" fontId="46" fillId="0" borderId="0" xfId="0" applyNumberFormat="1" applyFont="1" applyFill="1" applyBorder="1"/>
    <xf numFmtId="0" fontId="46" fillId="0" borderId="0" xfId="0" applyFont="1" applyFill="1" applyBorder="1" applyAlignment="1">
      <alignment wrapText="1" readingOrder="1"/>
    </xf>
    <xf numFmtId="0" fontId="0" fillId="0" borderId="0" xfId="0" applyFill="1"/>
    <xf numFmtId="0" fontId="46" fillId="0" borderId="0" xfId="0" applyNumberFormat="1" applyFont="1" applyFill="1" applyAlignment="1">
      <alignment wrapText="1" readingOrder="1"/>
    </xf>
    <xf numFmtId="0" fontId="46" fillId="0" borderId="0" xfId="0" applyNumberFormat="1" applyFont="1" applyFill="1" applyBorder="1" applyAlignment="1">
      <alignment wrapText="1" readingOrder="1"/>
    </xf>
    <xf numFmtId="0" fontId="61" fillId="0" borderId="0" xfId="0" applyFont="1" applyFill="1" applyBorder="1" applyAlignment="1">
      <alignment horizontal="left" vertical="center" readingOrder="1"/>
    </xf>
    <xf numFmtId="0" fontId="46" fillId="0" borderId="24" xfId="0" applyFont="1" applyFill="1" applyBorder="1"/>
    <xf numFmtId="0" fontId="46" fillId="0" borderId="23" xfId="0" applyFont="1" applyFill="1" applyBorder="1"/>
    <xf numFmtId="165" fontId="46" fillId="0" borderId="0" xfId="0" applyNumberFormat="1" applyFont="1" applyFill="1"/>
    <xf numFmtId="165" fontId="46" fillId="0" borderId="0" xfId="0" applyNumberFormat="1" applyFont="1" applyFill="1" applyBorder="1"/>
    <xf numFmtId="0" fontId="46" fillId="0" borderId="23" xfId="0" applyNumberFormat="1" applyFont="1" applyFill="1" applyBorder="1"/>
    <xf numFmtId="49" fontId="95" fillId="0" borderId="0" xfId="0" applyNumberFormat="1" applyFont="1" applyFill="1" applyBorder="1" applyAlignment="1">
      <alignment horizontal="left" vertical="center"/>
    </xf>
    <xf numFmtId="164" fontId="38" fillId="0" borderId="0" xfId="4" applyNumberFormat="1" applyFont="1" applyFill="1" applyAlignment="1">
      <alignment horizontal="left" vertical="center" readingOrder="1"/>
    </xf>
    <xf numFmtId="0" fontId="85" fillId="0" borderId="40" xfId="0" applyNumberFormat="1" applyFont="1" applyBorder="1"/>
    <xf numFmtId="0" fontId="43" fillId="0" borderId="95" xfId="0" applyNumberFormat="1" applyFont="1" applyBorder="1"/>
    <xf numFmtId="0" fontId="43" fillId="0" borderId="33" xfId="0" applyFont="1" applyBorder="1" applyAlignment="1">
      <alignment wrapText="1"/>
    </xf>
    <xf numFmtId="0" fontId="132" fillId="0" borderId="0" xfId="0" applyFont="1"/>
    <xf numFmtId="1" fontId="46" fillId="42" borderId="0" xfId="0" applyNumberFormat="1" applyFont="1" applyFill="1" applyBorder="1"/>
    <xf numFmtId="0" fontId="0" fillId="0" borderId="0" xfId="0" applyNumberFormat="1" applyFill="1"/>
    <xf numFmtId="0" fontId="38" fillId="0" borderId="23" xfId="42" applyFont="1" applyFill="1" applyBorder="1" applyAlignment="1">
      <alignment horizontal="left" vertical="center" readingOrder="1"/>
    </xf>
    <xf numFmtId="0" fontId="38" fillId="0" borderId="23" xfId="79" applyFont="1" applyFill="1" applyBorder="1" applyAlignment="1">
      <alignment horizontal="left" vertical="center" readingOrder="1"/>
    </xf>
    <xf numFmtId="0" fontId="71" fillId="32" borderId="0" xfId="0" applyFont="1" applyFill="1" applyAlignment="1">
      <alignment vertical="center"/>
    </xf>
    <xf numFmtId="0" fontId="23" fillId="0" borderId="0" xfId="0" applyFont="1"/>
    <xf numFmtId="0" fontId="138" fillId="0" borderId="0" xfId="21" applyFont="1" applyAlignment="1">
      <alignment horizontal="left" vertical="center"/>
    </xf>
    <xf numFmtId="0" fontId="138" fillId="43" borderId="62" xfId="21" applyFont="1" applyFill="1" applyBorder="1" applyAlignment="1">
      <alignment horizontal="left" vertical="center"/>
    </xf>
    <xf numFmtId="0" fontId="138" fillId="26" borderId="62" xfId="21" applyFont="1" applyFill="1" applyBorder="1" applyAlignment="1">
      <alignment horizontal="left" vertical="center" wrapText="1"/>
    </xf>
    <xf numFmtId="0" fontId="138" fillId="43" borderId="63" xfId="21" applyFont="1" applyFill="1" applyBorder="1" applyAlignment="1">
      <alignment horizontal="left" vertical="center"/>
    </xf>
    <xf numFmtId="0" fontId="138" fillId="43" borderId="65" xfId="21" applyFont="1" applyFill="1" applyBorder="1" applyAlignment="1">
      <alignment horizontal="left" vertical="center"/>
    </xf>
    <xf numFmtId="0" fontId="139" fillId="0" borderId="0" xfId="0" applyFont="1"/>
    <xf numFmtId="0" fontId="90" fillId="26" borderId="58" xfId="0" applyFont="1" applyFill="1" applyBorder="1" applyAlignment="1">
      <alignment wrapText="1"/>
    </xf>
    <xf numFmtId="0" fontId="71" fillId="0" borderId="0" xfId="0" applyFont="1" applyFill="1" applyBorder="1" applyAlignment="1">
      <alignment wrapText="1"/>
    </xf>
    <xf numFmtId="0" fontId="0" fillId="0" borderId="0" xfId="0" applyAlignment="1">
      <alignment wrapText="1"/>
    </xf>
    <xf numFmtId="0" fontId="0" fillId="0" borderId="22" xfId="0" applyBorder="1" applyAlignment="1">
      <alignment wrapText="1"/>
    </xf>
    <xf numFmtId="0" fontId="71" fillId="0" borderId="22" xfId="0" applyFont="1" applyBorder="1" applyAlignment="1">
      <alignment wrapText="1"/>
    </xf>
    <xf numFmtId="0" fontId="0" fillId="37" borderId="22" xfId="0" applyFill="1" applyBorder="1" applyAlignment="1">
      <alignment wrapText="1"/>
    </xf>
    <xf numFmtId="164" fontId="77" fillId="14" borderId="22" xfId="4" applyNumberFormat="1" applyFont="1" applyFill="1" applyBorder="1" applyAlignment="1">
      <alignment vertical="center" wrapText="1"/>
    </xf>
    <xf numFmtId="9" fontId="84" fillId="0" borderId="0" xfId="1" applyFont="1"/>
    <xf numFmtId="0" fontId="87" fillId="48" borderId="0" xfId="0" applyFont="1" applyFill="1" applyBorder="1" applyAlignment="1">
      <alignment wrapText="1"/>
    </xf>
    <xf numFmtId="0" fontId="87" fillId="48" borderId="97" xfId="0" applyFont="1" applyFill="1" applyBorder="1" applyAlignment="1">
      <alignment wrapText="1"/>
    </xf>
    <xf numFmtId="0" fontId="0" fillId="0" borderId="98" xfId="0" applyFont="1" applyBorder="1" applyAlignment="1">
      <alignment wrapText="1"/>
    </xf>
    <xf numFmtId="0" fontId="87" fillId="39" borderId="99" xfId="0" applyFont="1" applyFill="1" applyBorder="1" applyAlignment="1">
      <alignment wrapText="1"/>
    </xf>
    <xf numFmtId="0" fontId="0" fillId="0" borderId="51" xfId="0" applyFont="1" applyBorder="1" applyAlignment="1">
      <alignment wrapText="1"/>
    </xf>
    <xf numFmtId="0" fontId="87" fillId="50" borderId="102" xfId="0" applyFont="1" applyFill="1" applyBorder="1" applyAlignment="1">
      <alignment wrapText="1"/>
    </xf>
    <xf numFmtId="0" fontId="87" fillId="51" borderId="103" xfId="0" applyFont="1" applyFill="1" applyBorder="1" applyAlignment="1">
      <alignment wrapText="1"/>
    </xf>
    <xf numFmtId="0" fontId="0" fillId="0" borderId="104" xfId="0" applyFont="1" applyBorder="1" applyAlignment="1">
      <alignment horizontal="left" vertical="center" wrapText="1"/>
    </xf>
    <xf numFmtId="0" fontId="76" fillId="42" borderId="0" xfId="0" applyFont="1" applyFill="1"/>
    <xf numFmtId="0" fontId="95" fillId="0" borderId="0" xfId="0" applyFont="1" applyFill="1" applyAlignment="1">
      <alignment horizontal="left" vertical="center" wrapText="1"/>
    </xf>
    <xf numFmtId="1" fontId="76" fillId="0" borderId="0" xfId="0" applyNumberFormat="1" applyFont="1" applyFill="1" applyBorder="1" applyAlignment="1">
      <alignment horizontal="left" vertical="center"/>
    </xf>
    <xf numFmtId="0" fontId="95" fillId="0" borderId="0" xfId="0" applyFont="1" applyFill="1" applyAlignment="1">
      <alignment horizontal="left" vertical="center"/>
    </xf>
    <xf numFmtId="1" fontId="67" fillId="7" borderId="62" xfId="18" applyNumberFormat="1" applyFont="1" applyFill="1" applyBorder="1" applyAlignment="1">
      <alignment horizontal="left" vertical="center" wrapText="1" readingOrder="1"/>
    </xf>
    <xf numFmtId="9" fontId="45" fillId="34" borderId="65" xfId="18" applyNumberFormat="1" applyFont="1" applyFill="1" applyBorder="1" applyAlignment="1">
      <alignment horizontal="left" vertical="center" wrapText="1" readingOrder="1"/>
    </xf>
    <xf numFmtId="9" fontId="45" fillId="52" borderId="65" xfId="18" applyNumberFormat="1" applyFont="1" applyFill="1" applyBorder="1" applyAlignment="1">
      <alignment horizontal="left" vertical="center" wrapText="1" readingOrder="1"/>
    </xf>
    <xf numFmtId="9" fontId="70" fillId="34" borderId="14" xfId="18" applyNumberFormat="1" applyFont="1" applyFill="1" applyBorder="1" applyAlignment="1">
      <alignment horizontal="left" vertical="center" wrapText="1" readingOrder="1"/>
    </xf>
    <xf numFmtId="9" fontId="123" fillId="16" borderId="65" xfId="18" applyNumberFormat="1" applyFont="1" applyFill="1" applyBorder="1" applyAlignment="1">
      <alignment horizontal="center" vertical="center" wrapText="1" readingOrder="1"/>
    </xf>
    <xf numFmtId="9" fontId="141" fillId="34" borderId="65" xfId="18" applyNumberFormat="1" applyFont="1" applyFill="1" applyBorder="1" applyAlignment="1">
      <alignment horizontal="left" vertical="center" wrapText="1" readingOrder="1"/>
    </xf>
    <xf numFmtId="0" fontId="0" fillId="0" borderId="0" xfId="0" applyAlignment="1">
      <alignment horizontal="left"/>
    </xf>
    <xf numFmtId="0" fontId="144" fillId="0" borderId="0" xfId="0" applyFont="1"/>
    <xf numFmtId="0" fontId="145" fillId="0" borderId="0" xfId="0" applyFont="1"/>
    <xf numFmtId="0" fontId="22" fillId="0" borderId="0" xfId="0" applyFont="1"/>
    <xf numFmtId="0" fontId="80" fillId="16" borderId="0" xfId="0" applyFont="1" applyFill="1"/>
    <xf numFmtId="0" fontId="43" fillId="16" borderId="0" xfId="0" applyFont="1" applyFill="1"/>
    <xf numFmtId="0" fontId="21" fillId="0" borderId="0" xfId="0" applyFont="1"/>
    <xf numFmtId="0" fontId="84" fillId="0" borderId="0" xfId="0" pivotButton="1" applyFont="1"/>
    <xf numFmtId="0" fontId="87" fillId="49" borderId="100" xfId="0" applyFont="1" applyFill="1" applyBorder="1"/>
    <xf numFmtId="0" fontId="87" fillId="49" borderId="101" xfId="0" applyFont="1" applyFill="1" applyBorder="1"/>
    <xf numFmtId="0" fontId="87" fillId="39" borderId="99" xfId="0" applyFont="1" applyFill="1" applyBorder="1" applyAlignment="1"/>
    <xf numFmtId="1" fontId="48" fillId="9" borderId="0" xfId="0" applyNumberFormat="1" applyFont="1" applyFill="1" applyBorder="1" applyAlignment="1">
      <alignment vertical="center" wrapText="1"/>
    </xf>
    <xf numFmtId="1" fontId="108" fillId="9" borderId="0" xfId="0" applyNumberFormat="1" applyFont="1" applyFill="1" applyBorder="1" applyAlignment="1">
      <alignment vertical="top" wrapText="1"/>
    </xf>
    <xf numFmtId="0" fontId="147" fillId="0" borderId="0" xfId="0" applyFont="1"/>
    <xf numFmtId="0" fontId="87" fillId="53" borderId="105" xfId="0" applyFont="1" applyFill="1" applyBorder="1"/>
    <xf numFmtId="0" fontId="87" fillId="53" borderId="106" xfId="0" applyFont="1" applyFill="1" applyBorder="1"/>
    <xf numFmtId="0" fontId="148" fillId="0" borderId="0" xfId="0" applyFont="1"/>
    <xf numFmtId="164" fontId="148" fillId="0" borderId="0" xfId="0" applyNumberFormat="1" applyFont="1"/>
    <xf numFmtId="9" fontId="148" fillId="0" borderId="0" xfId="0" applyNumberFormat="1" applyFont="1"/>
    <xf numFmtId="3" fontId="148" fillId="0" borderId="0" xfId="0" applyNumberFormat="1" applyFont="1"/>
    <xf numFmtId="0" fontId="20" fillId="19" borderId="0" xfId="0" applyFont="1" applyFill="1"/>
    <xf numFmtId="0" fontId="20" fillId="0" borderId="0" xfId="0" applyFont="1"/>
    <xf numFmtId="0" fontId="19" fillId="19" borderId="0" xfId="0" applyFont="1" applyFill="1"/>
    <xf numFmtId="0" fontId="47" fillId="42" borderId="0" xfId="21" applyFont="1" applyFill="1" applyAlignment="1">
      <alignment horizontal="left" vertical="center" indent="1" readingOrder="1"/>
    </xf>
    <xf numFmtId="0" fontId="45" fillId="17" borderId="0" xfId="18" applyFont="1" applyFill="1" applyAlignment="1">
      <alignment horizontal="left" vertical="center"/>
    </xf>
    <xf numFmtId="0" fontId="119" fillId="0" borderId="0" xfId="18" applyFont="1" applyAlignment="1">
      <alignment horizontal="left" vertical="center" textRotation="90"/>
    </xf>
    <xf numFmtId="0" fontId="47" fillId="16" borderId="62" xfId="21" applyFont="1" applyFill="1" applyBorder="1" applyAlignment="1">
      <alignment horizontal="center" vertical="center" textRotation="90" wrapText="1"/>
    </xf>
    <xf numFmtId="0" fontId="45" fillId="0" borderId="0" xfId="21" applyFont="1" applyAlignment="1">
      <alignment horizontal="left" vertical="center" textRotation="90"/>
    </xf>
    <xf numFmtId="0" fontId="47" fillId="42" borderId="0" xfId="21" applyFont="1" applyFill="1" applyAlignment="1">
      <alignment horizontal="center" vertical="center" readingOrder="1"/>
    </xf>
    <xf numFmtId="14" fontId="150" fillId="17" borderId="62" xfId="18" applyNumberFormat="1" applyFont="1" applyFill="1" applyBorder="1" applyAlignment="1">
      <alignment horizontal="center" vertical="center" wrapText="1"/>
    </xf>
    <xf numFmtId="14" fontId="150" fillId="7" borderId="62" xfId="18" applyNumberFormat="1" applyFont="1" applyFill="1" applyBorder="1" applyAlignment="1">
      <alignment horizontal="center" vertical="center" wrapText="1"/>
    </xf>
    <xf numFmtId="14" fontId="150" fillId="27" borderId="62" xfId="18" applyNumberFormat="1" applyFont="1" applyFill="1" applyBorder="1" applyAlignment="1">
      <alignment horizontal="center" vertical="center" wrapText="1"/>
    </xf>
    <xf numFmtId="14" fontId="150" fillId="22" borderId="62" xfId="18" applyNumberFormat="1" applyFont="1" applyFill="1" applyBorder="1" applyAlignment="1">
      <alignment horizontal="center" vertical="center" wrapText="1"/>
    </xf>
    <xf numFmtId="14" fontId="150" fillId="17" borderId="67" xfId="18" applyNumberFormat="1" applyFont="1" applyFill="1" applyBorder="1" applyAlignment="1">
      <alignment horizontal="center" vertical="center" wrapText="1"/>
    </xf>
    <xf numFmtId="9" fontId="107" fillId="34" borderId="65" xfId="18" applyNumberFormat="1" applyFont="1" applyFill="1" applyBorder="1" applyAlignment="1">
      <alignment horizontal="center" vertical="center" wrapText="1" readingOrder="1"/>
    </xf>
    <xf numFmtId="9" fontId="45" fillId="42" borderId="65" xfId="18" applyNumberFormat="1" applyFont="1" applyFill="1" applyBorder="1" applyAlignment="1">
      <alignment horizontal="left" vertical="center" wrapText="1" readingOrder="1"/>
    </xf>
    <xf numFmtId="0" fontId="40" fillId="34" borderId="4" xfId="21" applyFont="1" applyFill="1" applyBorder="1" applyAlignment="1">
      <alignment vertical="top" wrapText="1"/>
    </xf>
    <xf numFmtId="0" fontId="40" fillId="42" borderId="4" xfId="21" applyFont="1" applyFill="1" applyBorder="1" applyAlignment="1">
      <alignment vertical="top" wrapText="1"/>
    </xf>
    <xf numFmtId="0" fontId="47" fillId="7" borderId="62" xfId="18" applyFont="1" applyFill="1" applyBorder="1" applyAlignment="1">
      <alignment horizontal="left" vertical="center" wrapText="1" readingOrder="1"/>
    </xf>
    <xf numFmtId="0" fontId="45" fillId="18" borderId="62" xfId="18" applyFont="1" applyFill="1" applyBorder="1" applyAlignment="1">
      <alignment horizontal="center" vertical="center" wrapText="1" readingOrder="1"/>
    </xf>
    <xf numFmtId="1" fontId="45" fillId="18" borderId="62" xfId="18" applyNumberFormat="1" applyFont="1" applyFill="1" applyBorder="1" applyAlignment="1">
      <alignment horizontal="center" vertical="center" wrapText="1" readingOrder="1"/>
    </xf>
    <xf numFmtId="9" fontId="45" fillId="18" borderId="62" xfId="18" applyNumberFormat="1" applyFont="1" applyFill="1" applyBorder="1" applyAlignment="1">
      <alignment horizontal="center" vertical="center" wrapText="1" readingOrder="1"/>
    </xf>
    <xf numFmtId="14" fontId="45" fillId="18" borderId="62" xfId="18" applyNumberFormat="1" applyFont="1" applyFill="1" applyBorder="1" applyAlignment="1">
      <alignment horizontal="center" vertical="center" wrapText="1" readingOrder="1"/>
    </xf>
    <xf numFmtId="1" fontId="45" fillId="7" borderId="62" xfId="18" applyNumberFormat="1" applyFont="1" applyFill="1" applyBorder="1" applyAlignment="1">
      <alignment horizontal="center" vertical="center" wrapText="1" readingOrder="1"/>
    </xf>
    <xf numFmtId="1" fontId="45" fillId="7" borderId="62" xfId="19" applyNumberFormat="1" applyFont="1" applyFill="1" applyBorder="1" applyAlignment="1">
      <alignment horizontal="center" vertical="center" wrapText="1" readingOrder="1"/>
    </xf>
    <xf numFmtId="14" fontId="45" fillId="7" borderId="62" xfId="18" applyNumberFormat="1" applyFont="1" applyFill="1" applyBorder="1" applyAlignment="1">
      <alignment horizontal="center" vertical="center" wrapText="1"/>
    </xf>
    <xf numFmtId="0" fontId="45" fillId="7" borderId="62" xfId="18" applyFont="1" applyFill="1" applyBorder="1" applyAlignment="1">
      <alignment horizontal="center" vertical="center" wrapText="1"/>
    </xf>
    <xf numFmtId="0" fontId="45" fillId="7" borderId="62" xfId="18" applyFont="1" applyFill="1" applyBorder="1" applyAlignment="1">
      <alignment horizontal="center" vertical="center" wrapText="1" readingOrder="1"/>
    </xf>
    <xf numFmtId="0" fontId="47" fillId="7" borderId="62" xfId="18" applyFont="1" applyFill="1" applyBorder="1" applyAlignment="1">
      <alignment horizontal="center" vertical="center" wrapText="1" readingOrder="1"/>
    </xf>
    <xf numFmtId="0" fontId="45" fillId="11" borderId="62" xfId="19" applyNumberFormat="1" applyFont="1" applyFill="1" applyBorder="1" applyAlignment="1">
      <alignment horizontal="center" vertical="center" wrapText="1" readingOrder="1"/>
    </xf>
    <xf numFmtId="1" fontId="45" fillId="11" borderId="62" xfId="18" applyNumberFormat="1" applyFont="1" applyFill="1" applyBorder="1" applyAlignment="1">
      <alignment horizontal="center" vertical="center" wrapText="1" readingOrder="1"/>
    </xf>
    <xf numFmtId="9" fontId="45" fillId="11" borderId="62" xfId="18" applyNumberFormat="1" applyFont="1" applyFill="1" applyBorder="1" applyAlignment="1">
      <alignment horizontal="center" vertical="center" wrapText="1" readingOrder="1"/>
    </xf>
    <xf numFmtId="9" fontId="45" fillId="11" borderId="65" xfId="18" applyNumberFormat="1" applyFont="1" applyFill="1" applyBorder="1" applyAlignment="1">
      <alignment horizontal="center" vertical="center" wrapText="1" readingOrder="1"/>
    </xf>
    <xf numFmtId="9" fontId="45" fillId="34" borderId="65" xfId="18" applyNumberFormat="1" applyFont="1" applyFill="1" applyBorder="1" applyAlignment="1">
      <alignment horizontal="center" vertical="center" wrapText="1" readingOrder="1"/>
    </xf>
    <xf numFmtId="9" fontId="45" fillId="52" borderId="65" xfId="18" applyNumberFormat="1" applyFont="1" applyFill="1" applyBorder="1" applyAlignment="1">
      <alignment horizontal="center" vertical="center" wrapText="1" readingOrder="1"/>
    </xf>
    <xf numFmtId="0" fontId="122" fillId="18" borderId="62" xfId="18" applyFont="1" applyFill="1" applyBorder="1" applyAlignment="1">
      <alignment horizontal="center" vertical="center" wrapText="1" readingOrder="1"/>
    </xf>
    <xf numFmtId="1" fontId="122" fillId="18" borderId="62" xfId="18" applyNumberFormat="1" applyFont="1" applyFill="1" applyBorder="1" applyAlignment="1">
      <alignment horizontal="center" vertical="center" wrapText="1" readingOrder="1"/>
    </xf>
    <xf numFmtId="1" fontId="151" fillId="18" borderId="62" xfId="18" applyNumberFormat="1" applyFont="1" applyFill="1" applyBorder="1" applyAlignment="1">
      <alignment horizontal="center" vertical="center" wrapText="1" readingOrder="1"/>
    </xf>
    <xf numFmtId="1" fontId="122" fillId="7" borderId="62" xfId="18" applyNumberFormat="1" applyFont="1" applyFill="1" applyBorder="1" applyAlignment="1">
      <alignment horizontal="center" vertical="center" wrapText="1" readingOrder="1"/>
    </xf>
    <xf numFmtId="14" fontId="122" fillId="7" borderId="62" xfId="18" applyNumberFormat="1" applyFont="1" applyFill="1" applyBorder="1" applyAlignment="1">
      <alignment horizontal="center" vertical="center" wrapText="1" readingOrder="1"/>
    </xf>
    <xf numFmtId="0" fontId="122" fillId="11" borderId="62" xfId="19" applyNumberFormat="1" applyFont="1" applyFill="1" applyBorder="1" applyAlignment="1">
      <alignment horizontal="center" vertical="center" wrapText="1" readingOrder="1"/>
    </xf>
    <xf numFmtId="1" fontId="122" fillId="11" borderId="62" xfId="18" applyNumberFormat="1" applyFont="1" applyFill="1" applyBorder="1" applyAlignment="1">
      <alignment horizontal="center" vertical="center" wrapText="1" readingOrder="1"/>
    </xf>
    <xf numFmtId="0" fontId="108" fillId="8" borderId="72" xfId="0" applyFont="1" applyFill="1" applyBorder="1" applyAlignment="1">
      <alignment horizontal="center" vertical="center" wrapText="1"/>
    </xf>
    <xf numFmtId="1" fontId="108" fillId="9" borderId="72" xfId="0" applyNumberFormat="1" applyFont="1" applyFill="1" applyBorder="1" applyAlignment="1">
      <alignment horizontal="center" vertical="center"/>
    </xf>
    <xf numFmtId="1" fontId="152" fillId="9" borderId="72" xfId="0" applyNumberFormat="1" applyFont="1" applyFill="1" applyBorder="1" applyAlignment="1">
      <alignment horizontal="center" vertical="center"/>
    </xf>
    <xf numFmtId="0" fontId="48" fillId="8" borderId="79" xfId="0" applyFont="1" applyFill="1" applyBorder="1" applyAlignment="1">
      <alignment horizontal="center" vertical="center" wrapText="1"/>
    </xf>
    <xf numFmtId="0" fontId="47" fillId="2" borderId="62" xfId="21" applyFont="1" applyFill="1" applyBorder="1" applyAlignment="1">
      <alignment horizontal="left" vertical="center" indent="1" readingOrder="1"/>
    </xf>
    <xf numFmtId="0" fontId="45" fillId="0" borderId="62" xfId="18" applyFont="1" applyBorder="1" applyAlignment="1">
      <alignment horizontal="left" vertical="center" wrapText="1"/>
    </xf>
    <xf numFmtId="0" fontId="47" fillId="14" borderId="62" xfId="21" applyFont="1" applyFill="1" applyBorder="1" applyAlignment="1">
      <alignment horizontal="left" vertical="center" indent="1" readingOrder="1"/>
    </xf>
    <xf numFmtId="0" fontId="138" fillId="14" borderId="62" xfId="21" applyFont="1" applyFill="1" applyBorder="1" applyAlignment="1">
      <alignment horizontal="left" vertical="center" wrapText="1"/>
    </xf>
    <xf numFmtId="9" fontId="45" fillId="18" borderId="62" xfId="19" applyFont="1" applyFill="1" applyBorder="1" applyAlignment="1">
      <alignment horizontal="left" vertical="center" wrapText="1" readingOrder="1"/>
    </xf>
    <xf numFmtId="0" fontId="47" fillId="38" borderId="62" xfId="21" applyFont="1" applyFill="1" applyBorder="1" applyAlignment="1">
      <alignment horizontal="left" vertical="center" indent="1" readingOrder="1"/>
    </xf>
    <xf numFmtId="0" fontId="138" fillId="8" borderId="62" xfId="21" applyFont="1" applyFill="1" applyBorder="1" applyAlignment="1">
      <alignment horizontal="left" vertical="center" wrapText="1"/>
    </xf>
    <xf numFmtId="0" fontId="47" fillId="9" borderId="62" xfId="21" applyFont="1" applyFill="1" applyBorder="1" applyAlignment="1">
      <alignment horizontal="left" vertical="center" indent="1" readingOrder="1"/>
    </xf>
    <xf numFmtId="0" fontId="138" fillId="9" borderId="62" xfId="21" applyFont="1" applyFill="1" applyBorder="1" applyAlignment="1">
      <alignment horizontal="left" vertical="center" wrapText="1"/>
    </xf>
    <xf numFmtId="0" fontId="47" fillId="16" borderId="62" xfId="21" applyFont="1" applyFill="1" applyBorder="1" applyAlignment="1">
      <alignment horizontal="left" vertical="center" indent="1" readingOrder="1"/>
    </xf>
    <xf numFmtId="0" fontId="47" fillId="42" borderId="62" xfId="21" applyFont="1" applyFill="1" applyBorder="1" applyAlignment="1">
      <alignment horizontal="left" vertical="center" wrapText="1"/>
    </xf>
    <xf numFmtId="0" fontId="103" fillId="0" borderId="62" xfId="18" applyFont="1" applyBorder="1" applyAlignment="1">
      <alignment horizontal="left" vertical="center" wrapText="1"/>
    </xf>
    <xf numFmtId="0" fontId="45" fillId="18" borderId="62" xfId="18" applyFont="1" applyFill="1" applyBorder="1" applyAlignment="1">
      <alignment horizontal="center" vertical="center" wrapText="1"/>
    </xf>
    <xf numFmtId="1" fontId="53" fillId="8" borderId="79" xfId="0" applyNumberFormat="1" applyFont="1" applyFill="1" applyBorder="1" applyAlignment="1">
      <alignment vertical="center" wrapText="1"/>
    </xf>
    <xf numFmtId="9" fontId="45" fillId="34" borderId="0" xfId="18" applyNumberFormat="1" applyFont="1" applyFill="1" applyAlignment="1">
      <alignment horizontal="center" vertical="center" wrapText="1" readingOrder="1"/>
    </xf>
    <xf numFmtId="9" fontId="138" fillId="16" borderId="0" xfId="18" applyNumberFormat="1" applyFont="1" applyFill="1" applyAlignment="1">
      <alignment horizontal="center" vertical="center" wrapText="1" readingOrder="1"/>
    </xf>
    <xf numFmtId="164" fontId="70" fillId="34" borderId="0" xfId="4" applyNumberFormat="1" applyFont="1" applyFill="1" applyAlignment="1">
      <alignment horizontal="center" vertical="center" wrapText="1" readingOrder="1"/>
    </xf>
    <xf numFmtId="164" fontId="38" fillId="0" borderId="0" xfId="1" applyNumberFormat="1" applyFont="1" applyFill="1" applyAlignment="1">
      <alignment horizontal="left" vertical="center" readingOrder="1"/>
    </xf>
    <xf numFmtId="164" fontId="71" fillId="17" borderId="28" xfId="4" applyNumberFormat="1" applyFont="1" applyFill="1" applyBorder="1" applyAlignment="1">
      <alignment vertical="center" wrapText="1"/>
    </xf>
    <xf numFmtId="164" fontId="71" fillId="17" borderId="117" xfId="4" applyNumberFormat="1" applyFont="1" applyFill="1" applyBorder="1" applyAlignment="1">
      <alignment vertical="center" wrapText="1"/>
    </xf>
    <xf numFmtId="9" fontId="71" fillId="17" borderId="118" xfId="1" applyFont="1" applyFill="1" applyBorder="1" applyAlignment="1">
      <alignment vertical="center" wrapText="1"/>
    </xf>
    <xf numFmtId="0" fontId="126" fillId="2" borderId="22" xfId="0" applyFont="1" applyFill="1" applyBorder="1" applyAlignment="1">
      <alignment horizontal="center" vertical="center" wrapText="1"/>
    </xf>
    <xf numFmtId="0" fontId="126" fillId="42" borderId="22" xfId="0" applyFont="1" applyFill="1" applyBorder="1" applyAlignment="1">
      <alignment horizontal="center" vertical="center" wrapText="1"/>
    </xf>
    <xf numFmtId="164" fontId="71" fillId="16" borderId="22" xfId="4" applyNumberFormat="1" applyFont="1" applyFill="1" applyBorder="1" applyAlignment="1">
      <alignment vertical="center"/>
    </xf>
    <xf numFmtId="164" fontId="0" fillId="16" borderId="22" xfId="4" applyNumberFormat="1" applyFont="1" applyFill="1" applyBorder="1"/>
    <xf numFmtId="164" fontId="71" fillId="42" borderId="22" xfId="4" applyNumberFormat="1" applyFont="1" applyFill="1" applyBorder="1" applyAlignment="1">
      <alignment vertical="center"/>
    </xf>
    <xf numFmtId="164" fontId="0" fillId="16" borderId="22" xfId="4" applyNumberFormat="1" applyFont="1" applyFill="1" applyBorder="1" applyAlignment="1">
      <alignment vertical="center"/>
    </xf>
    <xf numFmtId="164" fontId="0" fillId="42" borderId="22" xfId="4" applyNumberFormat="1" applyFont="1" applyFill="1" applyBorder="1" applyAlignment="1">
      <alignment vertical="center"/>
    </xf>
    <xf numFmtId="164" fontId="0" fillId="16" borderId="22" xfId="4" applyNumberFormat="1" applyFont="1" applyFill="1" applyBorder="1" applyAlignment="1">
      <alignment horizontal="center" vertical="center"/>
    </xf>
    <xf numFmtId="164" fontId="0" fillId="42" borderId="22" xfId="4" applyNumberFormat="1" applyFont="1" applyFill="1" applyBorder="1" applyAlignment="1">
      <alignment horizontal="center" vertical="center"/>
    </xf>
    <xf numFmtId="0" fontId="18" fillId="32" borderId="0" xfId="0" applyFont="1" applyFill="1"/>
    <xf numFmtId="168" fontId="38" fillId="0" borderId="0" xfId="0" applyNumberFormat="1" applyFont="1" applyAlignment="1">
      <alignment horizontal="left" vertical="center" readingOrder="1"/>
    </xf>
    <xf numFmtId="165" fontId="38" fillId="0" borderId="0" xfId="0" applyNumberFormat="1" applyFont="1" applyAlignment="1">
      <alignment horizontal="left" vertical="center" readingOrder="1"/>
    </xf>
    <xf numFmtId="0" fontId="38" fillId="0" borderId="0" xfId="0" applyFont="1" applyAlignment="1">
      <alignment horizontal="left" vertical="center" readingOrder="1"/>
    </xf>
    <xf numFmtId="0" fontId="153" fillId="0" borderId="0" xfId="1" applyNumberFormat="1" applyFont="1" applyFill="1" applyAlignment="1">
      <alignment horizontal="left" vertical="center" readingOrder="1"/>
    </xf>
    <xf numFmtId="0" fontId="72" fillId="0" borderId="0" xfId="0" applyFont="1"/>
    <xf numFmtId="164" fontId="90" fillId="14" borderId="28" xfId="4" applyNumberFormat="1" applyFont="1" applyFill="1" applyBorder="1" applyAlignment="1">
      <alignment vertical="center" wrapText="1"/>
    </xf>
    <xf numFmtId="164" fontId="90" fillId="14" borderId="28" xfId="4" applyNumberFormat="1" applyFont="1" applyFill="1" applyBorder="1" applyAlignment="1">
      <alignment vertical="center"/>
    </xf>
    <xf numFmtId="164" fontId="71" fillId="10" borderId="28" xfId="4" applyNumberFormat="1" applyFont="1" applyFill="1" applyBorder="1" applyAlignment="1">
      <alignment vertical="center" wrapText="1"/>
    </xf>
    <xf numFmtId="164" fontId="71" fillId="10" borderId="28" xfId="4" applyNumberFormat="1" applyFont="1" applyFill="1" applyBorder="1" applyAlignment="1">
      <alignment vertical="center"/>
    </xf>
    <xf numFmtId="164" fontId="71" fillId="10" borderId="31" xfId="4" applyNumberFormat="1" applyFont="1" applyFill="1" applyBorder="1" applyAlignment="1">
      <alignment vertical="center"/>
    </xf>
    <xf numFmtId="9" fontId="71" fillId="10" borderId="31" xfId="1" applyFont="1" applyFill="1" applyBorder="1" applyAlignment="1">
      <alignment vertical="center"/>
    </xf>
    <xf numFmtId="164" fontId="71" fillId="7" borderId="28" xfId="4" applyNumberFormat="1" applyFont="1" applyFill="1" applyBorder="1" applyAlignment="1">
      <alignment vertical="center" wrapText="1"/>
    </xf>
    <xf numFmtId="164" fontId="71" fillId="7" borderId="28" xfId="4" applyNumberFormat="1" applyFont="1" applyFill="1" applyBorder="1" applyAlignment="1">
      <alignment vertical="center"/>
    </xf>
    <xf numFmtId="9" fontId="71" fillId="7" borderId="31" xfId="1" applyFont="1" applyFill="1" applyBorder="1" applyAlignment="1">
      <alignment vertical="center"/>
    </xf>
    <xf numFmtId="164" fontId="71" fillId="11" borderId="28" xfId="4" applyNumberFormat="1" applyFont="1" applyFill="1" applyBorder="1" applyAlignment="1">
      <alignment vertical="center" wrapText="1"/>
    </xf>
    <xf numFmtId="164" fontId="71" fillId="11" borderId="28" xfId="4" applyNumberFormat="1" applyFont="1" applyFill="1" applyBorder="1" applyAlignment="1">
      <alignment vertical="center"/>
    </xf>
    <xf numFmtId="9" fontId="71" fillId="11" borderId="31" xfId="1" applyFont="1" applyFill="1" applyBorder="1" applyAlignment="1">
      <alignment vertical="center"/>
    </xf>
    <xf numFmtId="9" fontId="90" fillId="14" borderId="31" xfId="1" applyFont="1" applyFill="1" applyBorder="1" applyAlignment="1">
      <alignment vertical="center"/>
    </xf>
    <xf numFmtId="164" fontId="90" fillId="8" borderId="28" xfId="4" applyNumberFormat="1" applyFont="1" applyFill="1" applyBorder="1" applyAlignment="1">
      <alignment vertical="center" wrapText="1"/>
    </xf>
    <xf numFmtId="164" fontId="90" fillId="8" borderId="28" xfId="4" applyNumberFormat="1" applyFont="1" applyFill="1" applyBorder="1" applyAlignment="1">
      <alignment vertical="center"/>
    </xf>
    <xf numFmtId="9" fontId="90" fillId="8" borderId="31" xfId="1" applyFont="1" applyFill="1" applyBorder="1" applyAlignment="1">
      <alignment vertical="center"/>
    </xf>
    <xf numFmtId="164" fontId="90" fillId="8" borderId="31" xfId="4" applyNumberFormat="1" applyFont="1" applyFill="1" applyBorder="1" applyAlignment="1">
      <alignment vertical="center"/>
    </xf>
    <xf numFmtId="0" fontId="154" fillId="0" borderId="0" xfId="0" applyFont="1"/>
    <xf numFmtId="164" fontId="90" fillId="9" borderId="28" xfId="4" applyNumberFormat="1" applyFont="1" applyFill="1" applyBorder="1" applyAlignment="1">
      <alignment vertical="center" wrapText="1"/>
    </xf>
    <xf numFmtId="164" fontId="90" fillId="9" borderId="28" xfId="4" applyNumberFormat="1" applyFont="1" applyFill="1" applyBorder="1" applyAlignment="1">
      <alignment vertical="center"/>
    </xf>
    <xf numFmtId="9" fontId="90" fillId="9" borderId="31" xfId="1" applyFont="1" applyFill="1" applyBorder="1" applyAlignment="1">
      <alignment vertical="center"/>
    </xf>
    <xf numFmtId="164" fontId="90" fillId="9" borderId="31" xfId="4" applyNumberFormat="1" applyFont="1" applyFill="1" applyBorder="1" applyAlignment="1">
      <alignment vertical="center"/>
    </xf>
    <xf numFmtId="164" fontId="72" fillId="42" borderId="28" xfId="4" applyNumberFormat="1" applyFont="1" applyFill="1" applyBorder="1" applyAlignment="1">
      <alignment vertical="center" wrapText="1"/>
    </xf>
    <xf numFmtId="9" fontId="72" fillId="42" borderId="118" xfId="1" applyFont="1" applyFill="1" applyBorder="1" applyAlignment="1">
      <alignment vertical="center" wrapText="1"/>
    </xf>
    <xf numFmtId="164" fontId="72" fillId="42" borderId="118" xfId="4" applyNumberFormat="1" applyFont="1" applyFill="1" applyBorder="1" applyAlignment="1">
      <alignment vertical="center" wrapText="1"/>
    </xf>
    <xf numFmtId="164" fontId="71" fillId="17" borderId="121" xfId="4" applyNumberFormat="1" applyFont="1" applyFill="1" applyBorder="1" applyAlignment="1">
      <alignment vertical="center" wrapText="1"/>
    </xf>
    <xf numFmtId="164" fontId="72" fillId="16" borderId="121" xfId="4" applyNumberFormat="1" applyFont="1" applyFill="1" applyBorder="1" applyAlignment="1">
      <alignment vertical="center" wrapText="1"/>
    </xf>
    <xf numFmtId="164" fontId="72" fillId="16" borderId="28" xfId="4" applyNumberFormat="1" applyFont="1" applyFill="1" applyBorder="1" applyAlignment="1">
      <alignment vertical="center" wrapText="1"/>
    </xf>
    <xf numFmtId="9" fontId="72" fillId="16" borderId="118" xfId="1" applyFont="1" applyFill="1" applyBorder="1" applyAlignment="1">
      <alignment vertical="center" wrapText="1"/>
    </xf>
    <xf numFmtId="164" fontId="72" fillId="16" borderId="118" xfId="4" applyNumberFormat="1" applyFont="1" applyFill="1" applyBorder="1" applyAlignment="1">
      <alignment vertical="center" wrapText="1"/>
    </xf>
    <xf numFmtId="164" fontId="71" fillId="54" borderId="28" xfId="4" applyNumberFormat="1" applyFont="1" applyFill="1" applyBorder="1" applyAlignment="1">
      <alignment vertical="center" wrapText="1"/>
    </xf>
    <xf numFmtId="164" fontId="71" fillId="54" borderId="117" xfId="4" applyNumberFormat="1" applyFont="1" applyFill="1" applyBorder="1" applyAlignment="1">
      <alignment vertical="center" wrapText="1"/>
    </xf>
    <xf numFmtId="9" fontId="71" fillId="54" borderId="118" xfId="1" applyFont="1" applyFill="1" applyBorder="1" applyAlignment="1">
      <alignment vertical="center" wrapText="1"/>
    </xf>
    <xf numFmtId="0" fontId="17" fillId="17" borderId="27" xfId="0" applyFont="1" applyFill="1" applyBorder="1"/>
    <xf numFmtId="164" fontId="30" fillId="0" borderId="0" xfId="4" applyNumberFormat="1" applyFont="1"/>
    <xf numFmtId="0" fontId="17" fillId="17" borderId="27" xfId="0" applyFont="1" applyFill="1" applyBorder="1" applyAlignment="1">
      <alignment vertical="top"/>
    </xf>
    <xf numFmtId="0" fontId="87" fillId="53" borderId="125" xfId="0" applyFont="1" applyFill="1" applyBorder="1"/>
    <xf numFmtId="0" fontId="87" fillId="49" borderId="126" xfId="0" applyFont="1" applyFill="1" applyBorder="1"/>
    <xf numFmtId="9" fontId="38" fillId="0" borderId="0" xfId="1" applyNumberFormat="1" applyFont="1" applyFill="1" applyAlignment="1">
      <alignment horizontal="left" vertical="center" readingOrder="1"/>
    </xf>
    <xf numFmtId="0" fontId="16" fillId="17" borderId="27" xfId="0" applyFont="1" applyFill="1" applyBorder="1"/>
    <xf numFmtId="164" fontId="72" fillId="16" borderId="117" xfId="4" applyNumberFormat="1" applyFont="1" applyFill="1" applyBorder="1" applyAlignment="1">
      <alignment vertical="center" wrapText="1"/>
    </xf>
    <xf numFmtId="0" fontId="78" fillId="13" borderId="128" xfId="0" applyFont="1" applyFill="1" applyBorder="1" applyAlignment="1">
      <alignment horizontal="center" vertical="center" wrapText="1"/>
    </xf>
    <xf numFmtId="164" fontId="71" fillId="10" borderId="117" xfId="4" applyNumberFormat="1" applyFont="1" applyFill="1" applyBorder="1" applyAlignment="1">
      <alignment vertical="center"/>
    </xf>
    <xf numFmtId="164" fontId="71" fillId="7" borderId="117" xfId="4" applyNumberFormat="1" applyFont="1" applyFill="1" applyBorder="1" applyAlignment="1">
      <alignment vertical="center"/>
    </xf>
    <xf numFmtId="164" fontId="71" fillId="11" borderId="117" xfId="4" applyNumberFormat="1" applyFont="1" applyFill="1" applyBorder="1" applyAlignment="1">
      <alignment vertical="center"/>
    </xf>
    <xf numFmtId="164" fontId="72" fillId="42" borderId="117" xfId="4" applyNumberFormat="1" applyFont="1" applyFill="1" applyBorder="1" applyAlignment="1">
      <alignment vertical="center" wrapText="1"/>
    </xf>
    <xf numFmtId="0" fontId="79" fillId="13" borderId="129" xfId="0" applyFont="1" applyFill="1" applyBorder="1" applyAlignment="1">
      <alignment horizontal="center" vertical="center" wrapText="1"/>
    </xf>
    <xf numFmtId="164" fontId="146" fillId="42" borderId="28" xfId="4" applyNumberFormat="1" applyFont="1" applyFill="1" applyBorder="1" applyAlignment="1">
      <alignment vertical="center" wrapText="1"/>
    </xf>
    <xf numFmtId="0" fontId="156" fillId="0" borderId="37" xfId="0" applyFont="1" applyBorder="1" applyAlignment="1">
      <alignment horizontal="left"/>
    </xf>
    <xf numFmtId="0" fontId="156" fillId="0" borderId="34" xfId="0" applyFont="1" applyBorder="1" applyAlignment="1">
      <alignment horizontal="left"/>
    </xf>
    <xf numFmtId="0" fontId="156" fillId="0" borderId="130" xfId="0" applyFont="1" applyBorder="1" applyAlignment="1">
      <alignment horizontal="left"/>
    </xf>
    <xf numFmtId="0" fontId="155" fillId="0" borderId="0" xfId="0" applyFont="1" applyFill="1" applyBorder="1" applyAlignment="1">
      <alignment horizontal="left" vertical="center"/>
    </xf>
    <xf numFmtId="0" fontId="146" fillId="45" borderId="131" xfId="0" applyFont="1" applyFill="1" applyBorder="1" applyAlignment="1">
      <alignment horizontal="center" vertical="center" wrapText="1"/>
    </xf>
    <xf numFmtId="0" fontId="146" fillId="45" borderId="132" xfId="0" applyFont="1" applyFill="1" applyBorder="1" applyAlignment="1">
      <alignment horizontal="center" vertical="center" wrapText="1"/>
    </xf>
    <xf numFmtId="0" fontId="146" fillId="56" borderId="133" xfId="0" applyFont="1" applyFill="1" applyBorder="1" applyAlignment="1">
      <alignment horizontal="center" vertical="center" wrapText="1"/>
    </xf>
    <xf numFmtId="164" fontId="90" fillId="14" borderId="135" xfId="4" applyNumberFormat="1" applyFont="1" applyFill="1" applyBorder="1" applyAlignment="1">
      <alignment vertical="center"/>
    </xf>
    <xf numFmtId="164" fontId="90" fillId="8" borderId="135" xfId="4" applyNumberFormat="1" applyFont="1" applyFill="1" applyBorder="1" applyAlignment="1">
      <alignment vertical="center"/>
    </xf>
    <xf numFmtId="164" fontId="90" fillId="9" borderId="135" xfId="4" applyNumberFormat="1" applyFont="1" applyFill="1" applyBorder="1" applyAlignment="1">
      <alignment vertical="center"/>
    </xf>
    <xf numFmtId="164" fontId="146" fillId="42" borderId="135" xfId="4" applyNumberFormat="1" applyFont="1" applyFill="1" applyBorder="1" applyAlignment="1">
      <alignment vertical="center" wrapText="1"/>
    </xf>
    <xf numFmtId="164" fontId="72" fillId="16" borderId="135" xfId="4" applyNumberFormat="1" applyFont="1" applyFill="1" applyBorder="1" applyAlignment="1">
      <alignment vertical="center" wrapText="1"/>
    </xf>
    <xf numFmtId="164" fontId="0" fillId="0" borderId="0" xfId="4" applyNumberFormat="1" applyFont="1"/>
    <xf numFmtId="0" fontId="97" fillId="35" borderId="22" xfId="0" applyFont="1" applyFill="1" applyBorder="1" applyAlignment="1">
      <alignment horizontal="center" vertical="center" wrapText="1"/>
    </xf>
    <xf numFmtId="0" fontId="97" fillId="35" borderId="22" xfId="0" applyFont="1" applyFill="1" applyBorder="1" applyAlignment="1">
      <alignment horizontal="center" vertical="center"/>
    </xf>
    <xf numFmtId="0" fontId="97" fillId="35" borderId="96" xfId="0" applyFont="1" applyFill="1" applyBorder="1" applyAlignment="1">
      <alignment horizontal="center" vertical="center" wrapText="1"/>
    </xf>
    <xf numFmtId="0" fontId="97" fillId="35" borderId="139" xfId="0" applyFont="1" applyFill="1" applyBorder="1" applyAlignment="1">
      <alignment horizontal="center" vertical="center" wrapText="1"/>
    </xf>
    <xf numFmtId="0" fontId="88" fillId="0" borderId="0" xfId="0" applyFont="1"/>
    <xf numFmtId="0" fontId="14" fillId="57" borderId="23" xfId="80" applyBorder="1" applyAlignment="1">
      <alignment horizontal="right" vertical="center"/>
    </xf>
    <xf numFmtId="0" fontId="160" fillId="0" borderId="141" xfId="0" applyFont="1" applyFill="1" applyBorder="1" applyAlignment="1">
      <alignment vertical="top" wrapText="1"/>
    </xf>
    <xf numFmtId="0" fontId="161" fillId="0" borderId="0" xfId="0" applyFont="1" applyFill="1"/>
    <xf numFmtId="164" fontId="162" fillId="0" borderId="0" xfId="0" applyNumberFormat="1" applyFont="1" applyFill="1"/>
    <xf numFmtId="164" fontId="161" fillId="0" borderId="0" xfId="0" applyNumberFormat="1" applyFont="1" applyFill="1"/>
    <xf numFmtId="164" fontId="163" fillId="0" borderId="0" xfId="0" applyNumberFormat="1" applyFont="1" applyFill="1"/>
    <xf numFmtId="0" fontId="0" fillId="0" borderId="0" xfId="0" applyAlignment="1">
      <alignment horizontal="center" vertical="center" wrapText="1"/>
    </xf>
    <xf numFmtId="0" fontId="165" fillId="0" borderId="0" xfId="0" applyFont="1"/>
    <xf numFmtId="164" fontId="165" fillId="0" borderId="0" xfId="0" applyNumberFormat="1" applyFont="1"/>
    <xf numFmtId="164" fontId="164" fillId="0" borderId="0" xfId="4" applyNumberFormat="1" applyFont="1"/>
    <xf numFmtId="164" fontId="79" fillId="0" borderId="0" xfId="4" applyNumberFormat="1" applyFont="1"/>
    <xf numFmtId="164" fontId="165" fillId="0" borderId="0" xfId="0" applyNumberFormat="1" applyFont="1" applyAlignment="1">
      <alignment wrapText="1"/>
    </xf>
    <xf numFmtId="0" fontId="0" fillId="0" borderId="4" xfId="0" applyBorder="1"/>
    <xf numFmtId="164" fontId="164" fillId="0" borderId="4" xfId="4" applyNumberFormat="1" applyFont="1" applyBorder="1"/>
    <xf numFmtId="164" fontId="79" fillId="0" borderId="4" xfId="4" applyNumberFormat="1" applyFont="1" applyBorder="1"/>
    <xf numFmtId="0" fontId="79" fillId="0" borderId="0" xfId="0" applyFont="1" applyBorder="1" applyAlignment="1">
      <alignment horizontal="center" vertical="center" wrapText="1"/>
    </xf>
    <xf numFmtId="0" fontId="0" fillId="0" borderId="0" xfId="0" applyBorder="1"/>
    <xf numFmtId="164" fontId="79" fillId="0" borderId="0" xfId="4" applyNumberFormat="1" applyFont="1" applyBorder="1"/>
    <xf numFmtId="0" fontId="77" fillId="14" borderId="22" xfId="0" applyFont="1" applyFill="1" applyBorder="1" applyAlignment="1">
      <alignment horizontal="center" vertical="center"/>
    </xf>
    <xf numFmtId="0" fontId="77" fillId="8" borderId="22" xfId="0" applyFont="1" applyFill="1" applyBorder="1" applyAlignment="1">
      <alignment horizontal="center" vertical="center"/>
    </xf>
    <xf numFmtId="0" fontId="77" fillId="9" borderId="22" xfId="0" applyFont="1" applyFill="1" applyBorder="1" applyAlignment="1">
      <alignment horizontal="center" vertical="center"/>
    </xf>
    <xf numFmtId="0" fontId="166" fillId="42" borderId="22" xfId="0" applyFont="1" applyFill="1" applyBorder="1" applyAlignment="1">
      <alignment vertical="center"/>
    </xf>
    <xf numFmtId="0" fontId="166" fillId="16" borderId="22" xfId="0" applyFont="1" applyFill="1" applyBorder="1" applyAlignment="1">
      <alignment vertical="center"/>
    </xf>
    <xf numFmtId="0" fontId="126" fillId="12" borderId="22" xfId="0" applyFont="1" applyFill="1" applyBorder="1" applyAlignment="1">
      <alignment horizontal="center" vertical="center" wrapText="1"/>
    </xf>
    <xf numFmtId="0" fontId="166" fillId="0" borderId="22" xfId="0" applyFont="1" applyBorder="1" applyAlignment="1">
      <alignment horizontal="center" vertical="center" wrapText="1"/>
    </xf>
    <xf numFmtId="164" fontId="146" fillId="10" borderId="134" xfId="4" applyNumberFormat="1" applyFont="1" applyFill="1" applyBorder="1" applyAlignment="1">
      <alignment vertical="center"/>
    </xf>
    <xf numFmtId="164" fontId="146" fillId="7" borderId="134" xfId="4" applyNumberFormat="1" applyFont="1" applyFill="1" applyBorder="1" applyAlignment="1">
      <alignment vertical="center"/>
    </xf>
    <xf numFmtId="164" fontId="146" fillId="54" borderId="135" xfId="4" applyNumberFormat="1" applyFont="1" applyFill="1" applyBorder="1" applyAlignment="1">
      <alignment vertical="center" wrapText="1"/>
    </xf>
    <xf numFmtId="164" fontId="146" fillId="17" borderId="135" xfId="4" applyNumberFormat="1" applyFont="1" applyFill="1" applyBorder="1" applyAlignment="1">
      <alignment vertical="center" wrapText="1"/>
    </xf>
    <xf numFmtId="164" fontId="146" fillId="12" borderId="135" xfId="4" applyNumberFormat="1" applyFont="1" applyFill="1" applyBorder="1" applyAlignment="1">
      <alignment vertical="center"/>
    </xf>
    <xf numFmtId="164" fontId="146" fillId="10" borderId="31" xfId="4" applyNumberFormat="1" applyFont="1" applyFill="1" applyBorder="1" applyAlignment="1">
      <alignment vertical="center"/>
    </xf>
    <xf numFmtId="164" fontId="146" fillId="10" borderId="127" xfId="4" applyNumberFormat="1" applyFont="1" applyFill="1" applyBorder="1" applyAlignment="1">
      <alignment vertical="center"/>
    </xf>
    <xf numFmtId="164" fontId="146" fillId="12" borderId="28" xfId="4" applyNumberFormat="1" applyFont="1" applyFill="1" applyBorder="1" applyAlignment="1">
      <alignment vertical="center"/>
    </xf>
    <xf numFmtId="0" fontId="167" fillId="0" borderId="0" xfId="0" applyFont="1"/>
    <xf numFmtId="0" fontId="12" fillId="19" borderId="0" xfId="0" applyFont="1" applyFill="1"/>
    <xf numFmtId="0" fontId="12" fillId="17" borderId="27" xfId="0" applyFont="1" applyFill="1" applyBorder="1"/>
    <xf numFmtId="164" fontId="71" fillId="7" borderId="31" xfId="4" applyNumberFormat="1" applyFont="1" applyFill="1" applyBorder="1" applyAlignment="1">
      <alignment vertical="center"/>
    </xf>
    <xf numFmtId="9" fontId="168" fillId="58" borderId="142" xfId="1" applyFont="1" applyFill="1" applyBorder="1" applyAlignment="1">
      <alignment horizontal="center" vertical="center" wrapText="1"/>
    </xf>
    <xf numFmtId="9" fontId="168" fillId="58" borderId="143" xfId="1" applyFont="1" applyFill="1" applyBorder="1" applyAlignment="1">
      <alignment horizontal="center" vertical="center" wrapText="1"/>
    </xf>
    <xf numFmtId="169" fontId="168" fillId="58" borderId="144" xfId="1" applyNumberFormat="1" applyFont="1" applyFill="1" applyBorder="1" applyAlignment="1">
      <alignment horizontal="center" vertical="center" wrapText="1"/>
    </xf>
    <xf numFmtId="9" fontId="169" fillId="0" borderId="145" xfId="1" applyFont="1" applyBorder="1" applyAlignment="1">
      <alignment horizontal="center"/>
    </xf>
    <xf numFmtId="9" fontId="169" fillId="0" borderId="146" xfId="1" applyFont="1" applyBorder="1" applyAlignment="1">
      <alignment horizontal="center"/>
    </xf>
    <xf numFmtId="169" fontId="169" fillId="0" borderId="147" xfId="1" applyNumberFormat="1" applyFont="1" applyBorder="1" applyAlignment="1">
      <alignment horizontal="center"/>
    </xf>
    <xf numFmtId="49" fontId="11" fillId="57" borderId="23" xfId="80" applyNumberFormat="1" applyFont="1" applyBorder="1" applyAlignment="1">
      <alignment horizontal="left" vertical="center"/>
    </xf>
    <xf numFmtId="1" fontId="46" fillId="42" borderId="23" xfId="0" applyNumberFormat="1" applyFont="1" applyFill="1" applyBorder="1"/>
    <xf numFmtId="0" fontId="43" fillId="59" borderId="59" xfId="0" applyFont="1" applyFill="1" applyBorder="1" applyAlignment="1">
      <alignment horizontal="left" vertical="center"/>
    </xf>
    <xf numFmtId="0" fontId="43" fillId="59" borderId="60" xfId="0" applyFont="1" applyFill="1" applyBorder="1" applyAlignment="1">
      <alignment vertical="center"/>
    </xf>
    <xf numFmtId="164" fontId="43" fillId="59" borderId="61" xfId="4" applyNumberFormat="1" applyFont="1" applyFill="1" applyBorder="1" applyAlignment="1">
      <alignment vertical="center"/>
    </xf>
    <xf numFmtId="167" fontId="38" fillId="0" borderId="0" xfId="0" applyNumberFormat="1" applyFont="1" applyFill="1" applyAlignment="1">
      <alignment horizontal="left" vertical="center" readingOrder="1"/>
    </xf>
    <xf numFmtId="0" fontId="71" fillId="0" borderId="0" xfId="0" applyFont="1" applyAlignment="1"/>
    <xf numFmtId="9" fontId="43" fillId="59" borderId="60" xfId="0" applyNumberFormat="1" applyFont="1" applyFill="1" applyBorder="1" applyAlignment="1">
      <alignment horizontal="center" vertical="center"/>
    </xf>
    <xf numFmtId="9" fontId="95" fillId="0" borderId="58" xfId="0" applyNumberFormat="1" applyFont="1" applyBorder="1" applyAlignment="1">
      <alignment horizontal="center" vertical="center"/>
    </xf>
    <xf numFmtId="9" fontId="95" fillId="0" borderId="138" xfId="0" applyNumberFormat="1" applyFont="1" applyBorder="1" applyAlignment="1">
      <alignment horizontal="center" vertical="center"/>
    </xf>
    <xf numFmtId="0" fontId="9" fillId="0" borderId="0" xfId="0" applyFont="1"/>
    <xf numFmtId="0" fontId="97" fillId="35" borderId="28" xfId="0" applyFont="1" applyFill="1" applyBorder="1" applyAlignment="1">
      <alignment horizontal="center" vertical="center" wrapText="1"/>
    </xf>
    <xf numFmtId="0" fontId="83" fillId="35" borderId="28" xfId="0" applyFont="1" applyFill="1" applyBorder="1" applyAlignment="1">
      <alignment horizontal="center" vertical="center" wrapText="1"/>
    </xf>
    <xf numFmtId="0" fontId="157" fillId="35" borderId="28" xfId="0" applyFont="1" applyFill="1" applyBorder="1" applyAlignment="1">
      <alignment horizontal="center" vertical="center" wrapText="1"/>
    </xf>
    <xf numFmtId="0" fontId="95" fillId="0" borderId="0" xfId="0" applyFont="1" applyBorder="1" applyAlignment="1">
      <alignment horizontal="left" vertical="center"/>
    </xf>
    <xf numFmtId="1" fontId="38" fillId="0" borderId="0" xfId="0" applyNumberFormat="1" applyFont="1" applyAlignment="1">
      <alignment horizontal="left" vertical="center" readingOrder="1"/>
    </xf>
    <xf numFmtId="164" fontId="146" fillId="7" borderId="28" xfId="4" applyNumberFormat="1" applyFont="1" applyFill="1" applyBorder="1" applyAlignment="1">
      <alignment vertical="center" wrapText="1"/>
    </xf>
    <xf numFmtId="164" fontId="146" fillId="11" borderId="28" xfId="4" applyNumberFormat="1" applyFont="1" applyFill="1" applyBorder="1" applyAlignment="1">
      <alignment vertical="center" wrapText="1"/>
    </xf>
    <xf numFmtId="164" fontId="146" fillId="17" borderId="28" xfId="4" applyNumberFormat="1" applyFont="1" applyFill="1" applyBorder="1" applyAlignment="1">
      <alignment vertical="center" wrapText="1"/>
    </xf>
    <xf numFmtId="164" fontId="72" fillId="54" borderId="135" xfId="4" applyNumberFormat="1" applyFont="1" applyFill="1" applyBorder="1" applyAlignment="1">
      <alignment vertical="center" wrapText="1"/>
    </xf>
    <xf numFmtId="164" fontId="72" fillId="54" borderId="28" xfId="4" applyNumberFormat="1" applyFont="1" applyFill="1" applyBorder="1" applyAlignment="1">
      <alignment vertical="center" wrapText="1"/>
    </xf>
    <xf numFmtId="164" fontId="146" fillId="54" borderId="28" xfId="4" applyNumberFormat="1" applyFont="1" applyFill="1" applyBorder="1" applyAlignment="1">
      <alignment vertical="center" wrapText="1"/>
    </xf>
    <xf numFmtId="0" fontId="146" fillId="60" borderId="132" xfId="0" applyFont="1" applyFill="1" applyBorder="1" applyAlignment="1">
      <alignment horizontal="center" vertical="center" wrapText="1"/>
    </xf>
    <xf numFmtId="167" fontId="170" fillId="0" borderId="0" xfId="0" applyNumberFormat="1" applyFont="1" applyFill="1" applyAlignment="1">
      <alignment horizontal="left" vertical="center" readingOrder="1"/>
    </xf>
    <xf numFmtId="0" fontId="170" fillId="0" borderId="0" xfId="0" applyFont="1" applyFill="1" applyAlignment="1">
      <alignment horizontal="left" vertical="center" readingOrder="1"/>
    </xf>
    <xf numFmtId="0" fontId="170" fillId="0" borderId="0" xfId="1" applyNumberFormat="1" applyFont="1" applyFill="1" applyAlignment="1">
      <alignment horizontal="left" vertical="center" readingOrder="1"/>
    </xf>
    <xf numFmtId="164" fontId="170" fillId="0" borderId="0" xfId="4" applyNumberFormat="1" applyFont="1" applyFill="1" applyAlignment="1">
      <alignment horizontal="left" vertical="center" readingOrder="1"/>
    </xf>
    <xf numFmtId="168" fontId="170" fillId="0" borderId="0" xfId="0" applyNumberFormat="1" applyFont="1" applyFill="1" applyAlignment="1">
      <alignment horizontal="left" vertical="center" readingOrder="1"/>
    </xf>
    <xf numFmtId="165" fontId="170" fillId="0" borderId="0" xfId="0" applyNumberFormat="1" applyFont="1" applyFill="1" applyAlignment="1">
      <alignment horizontal="left" vertical="center" readingOrder="1"/>
    </xf>
    <xf numFmtId="1" fontId="170" fillId="0" borderId="0" xfId="0" applyNumberFormat="1" applyFont="1" applyFill="1" applyAlignment="1">
      <alignment horizontal="left" vertical="center" readingOrder="1"/>
    </xf>
    <xf numFmtId="0" fontId="170" fillId="0" borderId="0" xfId="0" applyNumberFormat="1" applyFont="1" applyFill="1" applyAlignment="1">
      <alignment horizontal="left" vertical="center" readingOrder="1"/>
    </xf>
    <xf numFmtId="9" fontId="170" fillId="0" borderId="0" xfId="1" applyFont="1" applyFill="1" applyAlignment="1">
      <alignment horizontal="left" vertical="center" readingOrder="1"/>
    </xf>
    <xf numFmtId="1" fontId="170" fillId="0" borderId="0" xfId="1" applyNumberFormat="1" applyFont="1" applyFill="1" applyAlignment="1">
      <alignment horizontal="left" vertical="center" readingOrder="1"/>
    </xf>
    <xf numFmtId="9" fontId="170" fillId="0" borderId="0" xfId="1" applyNumberFormat="1" applyFont="1" applyFill="1" applyAlignment="1">
      <alignment horizontal="left" vertical="center" readingOrder="1"/>
    </xf>
    <xf numFmtId="9" fontId="170" fillId="0" borderId="0" xfId="0" applyNumberFormat="1" applyFont="1" applyFill="1" applyAlignment="1">
      <alignment horizontal="left" vertical="center" readingOrder="1"/>
    </xf>
    <xf numFmtId="1" fontId="170" fillId="0" borderId="0" xfId="4" applyNumberFormat="1" applyFont="1" applyFill="1" applyAlignment="1">
      <alignment horizontal="left" vertical="center" readingOrder="1"/>
    </xf>
    <xf numFmtId="0" fontId="170" fillId="0" borderId="0" xfId="0" applyFont="1" applyAlignment="1">
      <alignment horizontal="left" vertical="center" wrapText="1" readingOrder="1"/>
    </xf>
    <xf numFmtId="0" fontId="170" fillId="0" borderId="0" xfId="1" applyNumberFormat="1" applyFont="1" applyFill="1" applyAlignment="1">
      <alignment horizontal="left" vertical="center" wrapText="1" readingOrder="1"/>
    </xf>
    <xf numFmtId="168" fontId="170" fillId="0" borderId="0" xfId="0" applyNumberFormat="1" applyFont="1" applyAlignment="1">
      <alignment horizontal="left" vertical="center" readingOrder="1"/>
    </xf>
    <xf numFmtId="165" fontId="170" fillId="0" borderId="0" xfId="0" applyNumberFormat="1" applyFont="1" applyAlignment="1">
      <alignment horizontal="left" vertical="center" readingOrder="1"/>
    </xf>
    <xf numFmtId="164" fontId="170" fillId="0" borderId="0" xfId="0" applyNumberFormat="1" applyFont="1" applyAlignment="1">
      <alignment horizontal="left" vertical="center" readingOrder="1"/>
    </xf>
    <xf numFmtId="0" fontId="170" fillId="0" borderId="0" xfId="0" applyFont="1" applyAlignment="1">
      <alignment horizontal="left" vertical="center" readingOrder="1"/>
    </xf>
    <xf numFmtId="1" fontId="170" fillId="0" borderId="0" xfId="0" applyNumberFormat="1" applyFont="1" applyAlignment="1">
      <alignment horizontal="left" vertical="center" readingOrder="1"/>
    </xf>
    <xf numFmtId="0" fontId="171" fillId="0" borderId="0" xfId="0" applyFont="1" applyFill="1" applyBorder="1" applyAlignment="1">
      <alignment horizontal="left" vertical="center"/>
    </xf>
    <xf numFmtId="0" fontId="146" fillId="60" borderId="149" xfId="0" applyFont="1" applyFill="1" applyBorder="1" applyAlignment="1">
      <alignment horizontal="center" vertical="center" wrapText="1"/>
    </xf>
    <xf numFmtId="164" fontId="146" fillId="10" borderId="150" xfId="4" applyNumberFormat="1" applyFont="1" applyFill="1" applyBorder="1" applyAlignment="1">
      <alignment vertical="center"/>
    </xf>
    <xf numFmtId="164" fontId="146" fillId="17" borderId="117" xfId="4" applyNumberFormat="1" applyFont="1" applyFill="1" applyBorder="1" applyAlignment="1">
      <alignment vertical="center" wrapText="1"/>
    </xf>
    <xf numFmtId="0" fontId="146" fillId="45" borderId="0" xfId="0" applyFont="1" applyFill="1" applyBorder="1" applyAlignment="1">
      <alignment horizontal="center" vertical="center" wrapText="1"/>
    </xf>
    <xf numFmtId="0" fontId="146" fillId="60" borderId="151" xfId="0" applyFont="1" applyFill="1" applyBorder="1" applyAlignment="1">
      <alignment vertical="center" wrapText="1"/>
    </xf>
    <xf numFmtId="0" fontId="146" fillId="60" borderId="152" xfId="0" applyFont="1" applyFill="1" applyBorder="1" applyAlignment="1">
      <alignment vertical="center" wrapText="1"/>
    </xf>
    <xf numFmtId="0" fontId="146" fillId="60" borderId="0" xfId="0" applyFont="1" applyFill="1" applyBorder="1" applyAlignment="1">
      <alignment vertical="center" wrapText="1"/>
    </xf>
    <xf numFmtId="0" fontId="146" fillId="45" borderId="153" xfId="0" applyFont="1" applyFill="1" applyBorder="1" applyAlignment="1">
      <alignment horizontal="center" vertical="center" wrapText="1"/>
    </xf>
    <xf numFmtId="164" fontId="146" fillId="10" borderId="136" xfId="4" applyNumberFormat="1" applyFont="1" applyFill="1" applyBorder="1" applyAlignment="1">
      <alignment vertical="center"/>
    </xf>
    <xf numFmtId="164" fontId="146" fillId="7" borderId="136" xfId="4" applyNumberFormat="1" applyFont="1" applyFill="1" applyBorder="1" applyAlignment="1">
      <alignment vertical="center"/>
    </xf>
    <xf numFmtId="164" fontId="146" fillId="11" borderId="136" xfId="4" applyNumberFormat="1" applyFont="1" applyFill="1" applyBorder="1" applyAlignment="1">
      <alignment vertical="center"/>
    </xf>
    <xf numFmtId="164" fontId="146" fillId="11" borderId="136" xfId="4" applyNumberFormat="1" applyFont="1" applyFill="1" applyBorder="1" applyAlignment="1">
      <alignment vertical="center" wrapText="1"/>
    </xf>
    <xf numFmtId="164" fontId="72" fillId="54" borderId="136" xfId="4" applyNumberFormat="1" applyFont="1" applyFill="1" applyBorder="1" applyAlignment="1">
      <alignment vertical="center" wrapText="1"/>
    </xf>
    <xf numFmtId="164" fontId="146" fillId="54" borderId="136" xfId="4" applyNumberFormat="1" applyFont="1" applyFill="1" applyBorder="1" applyAlignment="1">
      <alignment vertical="center" wrapText="1"/>
    </xf>
    <xf numFmtId="164" fontId="146" fillId="42" borderId="136" xfId="4" applyNumberFormat="1" applyFont="1" applyFill="1" applyBorder="1" applyAlignment="1">
      <alignment vertical="center" wrapText="1"/>
    </xf>
    <xf numFmtId="164" fontId="146" fillId="17" borderId="136" xfId="4" applyNumberFormat="1" applyFont="1" applyFill="1" applyBorder="1" applyAlignment="1">
      <alignment vertical="center" wrapText="1"/>
    </xf>
    <xf numFmtId="164" fontId="72" fillId="16" borderId="136" xfId="4" applyNumberFormat="1" applyFont="1" applyFill="1" applyBorder="1" applyAlignment="1">
      <alignment vertical="center" wrapText="1"/>
    </xf>
    <xf numFmtId="164" fontId="146" fillId="12" borderId="136" xfId="4" applyNumberFormat="1" applyFont="1" applyFill="1" applyBorder="1" applyAlignment="1">
      <alignment vertical="center"/>
    </xf>
    <xf numFmtId="164" fontId="90" fillId="14" borderId="136" xfId="4" applyNumberFormat="1" applyFont="1" applyFill="1" applyBorder="1" applyAlignment="1">
      <alignment vertical="center"/>
    </xf>
    <xf numFmtId="164" fontId="146" fillId="55" borderId="135" xfId="4" applyNumberFormat="1" applyFont="1" applyFill="1" applyBorder="1" applyAlignment="1">
      <alignment vertical="center"/>
    </xf>
    <xf numFmtId="164" fontId="90" fillId="9" borderId="155" xfId="4" applyNumberFormat="1" applyFont="1" applyFill="1" applyBorder="1" applyAlignment="1">
      <alignment vertical="center"/>
    </xf>
    <xf numFmtId="164" fontId="90" fillId="8" borderId="136" xfId="4" applyNumberFormat="1" applyFont="1" applyFill="1" applyBorder="1" applyAlignment="1">
      <alignment vertical="center"/>
    </xf>
    <xf numFmtId="164" fontId="90" fillId="9" borderId="156" xfId="4" applyNumberFormat="1" applyFont="1" applyFill="1" applyBorder="1" applyAlignment="1">
      <alignment vertical="center"/>
    </xf>
    <xf numFmtId="164" fontId="146" fillId="42" borderId="135" xfId="4" applyNumberFormat="1" applyFont="1" applyFill="1" applyBorder="1" applyAlignment="1">
      <alignment vertical="center"/>
    </xf>
    <xf numFmtId="9" fontId="71" fillId="0" borderId="0" xfId="1" applyFont="1"/>
    <xf numFmtId="9" fontId="84" fillId="0" borderId="0" xfId="0" applyNumberFormat="1" applyFont="1"/>
    <xf numFmtId="0" fontId="47" fillId="42" borderId="0" xfId="21" applyFont="1" applyFill="1" applyAlignment="1">
      <alignment horizontal="center" vertical="center" readingOrder="1"/>
    </xf>
    <xf numFmtId="0" fontId="47" fillId="38" borderId="0" xfId="0" applyFont="1" applyFill="1" applyAlignment="1">
      <alignment horizontal="center" vertical="center" wrapText="1"/>
    </xf>
    <xf numFmtId="9" fontId="45" fillId="52" borderId="0" xfId="18" applyNumberFormat="1" applyFont="1" applyFill="1" applyAlignment="1">
      <alignment horizontal="center" vertical="center" wrapText="1" readingOrder="1"/>
    </xf>
    <xf numFmtId="0" fontId="47" fillId="61" borderId="157" xfId="0" applyFont="1" applyFill="1" applyBorder="1" applyAlignment="1">
      <alignment vertical="top" wrapText="1"/>
    </xf>
    <xf numFmtId="0" fontId="45" fillId="38" borderId="0" xfId="0" applyFont="1" applyFill="1" applyAlignment="1">
      <alignment horizontal="center" vertical="center" wrapText="1"/>
    </xf>
    <xf numFmtId="168" fontId="38" fillId="0" borderId="0" xfId="4" applyNumberFormat="1" applyFont="1" applyFill="1" applyAlignment="1">
      <alignment horizontal="left" vertical="center" readingOrder="1"/>
    </xf>
    <xf numFmtId="0" fontId="173" fillId="61" borderId="157" xfId="0" applyFont="1" applyFill="1" applyBorder="1" applyAlignment="1">
      <alignment vertical="top" wrapText="1"/>
    </xf>
    <xf numFmtId="0" fontId="45" fillId="61" borderId="157" xfId="0" applyFont="1" applyFill="1" applyBorder="1" applyAlignment="1">
      <alignment vertical="top" wrapText="1"/>
    </xf>
    <xf numFmtId="0" fontId="45" fillId="38" borderId="159" xfId="0" applyFont="1" applyFill="1" applyBorder="1" applyAlignment="1">
      <alignment horizontal="left" vertical="center" wrapText="1"/>
    </xf>
    <xf numFmtId="0" fontId="45" fillId="38" borderId="160" xfId="0" applyFont="1" applyFill="1" applyBorder="1" applyAlignment="1">
      <alignment horizontal="center" vertical="center" wrapText="1"/>
    </xf>
    <xf numFmtId="0" fontId="45" fillId="61" borderId="160" xfId="0" applyFont="1" applyFill="1" applyBorder="1" applyAlignment="1">
      <alignment vertical="top" wrapText="1"/>
    </xf>
    <xf numFmtId="0" fontId="47" fillId="61" borderId="160" xfId="0" applyFont="1" applyFill="1" applyBorder="1" applyAlignment="1">
      <alignment vertical="top" wrapText="1"/>
    </xf>
    <xf numFmtId="164" fontId="146" fillId="11" borderId="135" xfId="4" applyNumberFormat="1" applyFont="1" applyFill="1" applyBorder="1" applyAlignment="1">
      <alignment vertical="center"/>
    </xf>
    <xf numFmtId="164" fontId="146" fillId="11" borderId="28" xfId="4" applyNumberFormat="1" applyFont="1" applyFill="1" applyBorder="1" applyAlignment="1">
      <alignment vertical="center"/>
    </xf>
    <xf numFmtId="0" fontId="174" fillId="0" borderId="0" xfId="0" applyFont="1" applyFill="1" applyAlignment="1">
      <alignment horizontal="left" vertical="center" readingOrder="1"/>
    </xf>
    <xf numFmtId="0" fontId="174" fillId="0" borderId="0" xfId="1" applyNumberFormat="1" applyFont="1" applyFill="1" applyAlignment="1">
      <alignment horizontal="left" vertical="center" readingOrder="1"/>
    </xf>
    <xf numFmtId="164" fontId="174" fillId="0" borderId="0" xfId="4" applyNumberFormat="1" applyFont="1" applyFill="1" applyAlignment="1">
      <alignment horizontal="left" vertical="center" readingOrder="1"/>
    </xf>
    <xf numFmtId="168" fontId="174" fillId="0" borderId="0" xfId="0" applyNumberFormat="1" applyFont="1" applyFill="1" applyAlignment="1">
      <alignment horizontal="left" vertical="center" readingOrder="1"/>
    </xf>
    <xf numFmtId="165" fontId="174" fillId="0" borderId="0" xfId="0" applyNumberFormat="1" applyFont="1" applyFill="1" applyAlignment="1">
      <alignment horizontal="left" vertical="center" readingOrder="1"/>
    </xf>
    <xf numFmtId="1" fontId="174" fillId="0" borderId="0" xfId="0" applyNumberFormat="1" applyFont="1" applyFill="1" applyAlignment="1">
      <alignment horizontal="left" vertical="center" readingOrder="1"/>
    </xf>
    <xf numFmtId="0" fontId="174" fillId="0" borderId="0" xfId="0" applyNumberFormat="1" applyFont="1" applyFill="1" applyAlignment="1">
      <alignment horizontal="left" vertical="center" readingOrder="1"/>
    </xf>
    <xf numFmtId="9" fontId="174" fillId="0" borderId="0" xfId="1" applyFont="1" applyFill="1" applyAlignment="1">
      <alignment horizontal="left" vertical="center" readingOrder="1"/>
    </xf>
    <xf numFmtId="1" fontId="174" fillId="0" borderId="0" xfId="1" applyNumberFormat="1" applyFont="1" applyFill="1" applyAlignment="1">
      <alignment horizontal="left" vertical="center" readingOrder="1"/>
    </xf>
    <xf numFmtId="9" fontId="174" fillId="0" borderId="0" xfId="1" applyNumberFormat="1" applyFont="1" applyFill="1" applyAlignment="1">
      <alignment horizontal="left" vertical="center" readingOrder="1"/>
    </xf>
    <xf numFmtId="9" fontId="174" fillId="0" borderId="0" xfId="0" applyNumberFormat="1" applyFont="1" applyFill="1" applyAlignment="1">
      <alignment horizontal="left" vertical="center" readingOrder="1"/>
    </xf>
    <xf numFmtId="1" fontId="174" fillId="0" borderId="0" xfId="4" applyNumberFormat="1" applyFont="1" applyFill="1" applyAlignment="1">
      <alignment horizontal="left" vertical="center" readingOrder="1"/>
    </xf>
    <xf numFmtId="168" fontId="174" fillId="0" borderId="0" xfId="0" applyNumberFormat="1" applyFont="1" applyAlignment="1">
      <alignment horizontal="left" vertical="center" readingOrder="1"/>
    </xf>
    <xf numFmtId="165" fontId="174" fillId="0" borderId="0" xfId="0" applyNumberFormat="1" applyFont="1" applyAlignment="1">
      <alignment horizontal="left" vertical="center" readingOrder="1"/>
    </xf>
    <xf numFmtId="168" fontId="38" fillId="0" borderId="0" xfId="0" applyNumberFormat="1" applyFont="1" applyFill="1" applyAlignment="1">
      <alignment horizontal="left" vertical="center" readingOrder="1"/>
    </xf>
    <xf numFmtId="0" fontId="146" fillId="45" borderId="151" xfId="0" applyFont="1" applyFill="1" applyBorder="1" applyAlignment="1">
      <alignment vertical="center" wrapText="1"/>
    </xf>
    <xf numFmtId="0" fontId="146" fillId="45" borderId="152" xfId="0" applyFont="1" applyFill="1" applyBorder="1" applyAlignment="1">
      <alignment vertical="center" wrapText="1"/>
    </xf>
    <xf numFmtId="0" fontId="146" fillId="45" borderId="154" xfId="0" applyFont="1" applyFill="1" applyBorder="1" applyAlignment="1">
      <alignment vertical="center" wrapText="1"/>
    </xf>
    <xf numFmtId="164" fontId="146" fillId="10" borderId="118" xfId="4" applyNumberFormat="1" applyFont="1" applyFill="1" applyBorder="1" applyAlignment="1">
      <alignment vertical="center" wrapText="1"/>
    </xf>
    <xf numFmtId="164" fontId="146" fillId="10" borderId="118" xfId="4" applyNumberFormat="1" applyFont="1" applyFill="1" applyBorder="1" applyAlignment="1">
      <alignment vertical="center"/>
    </xf>
    <xf numFmtId="164" fontId="71" fillId="12" borderId="28" xfId="4" applyNumberFormat="1" applyFont="1" applyFill="1" applyBorder="1" applyAlignment="1">
      <alignment vertical="center" wrapText="1"/>
    </xf>
    <xf numFmtId="164" fontId="71" fillId="12" borderId="28" xfId="4" applyNumberFormat="1" applyFont="1" applyFill="1" applyBorder="1" applyAlignment="1">
      <alignment vertical="center"/>
    </xf>
    <xf numFmtId="164" fontId="71" fillId="12" borderId="117" xfId="4" applyNumberFormat="1" applyFont="1" applyFill="1" applyBorder="1" applyAlignment="1">
      <alignment vertical="center"/>
    </xf>
    <xf numFmtId="9" fontId="71" fillId="12" borderId="31" xfId="1" applyFont="1" applyFill="1" applyBorder="1" applyAlignment="1">
      <alignment vertical="center"/>
    </xf>
    <xf numFmtId="164" fontId="146" fillId="12" borderId="28" xfId="4" applyNumberFormat="1" applyFont="1" applyFill="1" applyBorder="1" applyAlignment="1">
      <alignment vertical="center" wrapText="1"/>
    </xf>
    <xf numFmtId="164" fontId="146" fillId="12" borderId="136" xfId="4" applyNumberFormat="1" applyFont="1" applyFill="1" applyBorder="1" applyAlignment="1">
      <alignment vertical="center" wrapText="1"/>
    </xf>
    <xf numFmtId="164" fontId="90" fillId="45" borderId="28" xfId="4" applyNumberFormat="1" applyFont="1" applyFill="1" applyBorder="1" applyAlignment="1">
      <alignment vertical="center" wrapText="1"/>
    </xf>
    <xf numFmtId="164" fontId="90" fillId="45" borderId="28" xfId="4" applyNumberFormat="1" applyFont="1" applyFill="1" applyBorder="1" applyAlignment="1">
      <alignment vertical="center"/>
    </xf>
    <xf numFmtId="164" fontId="90" fillId="45" borderId="135" xfId="4" applyNumberFormat="1" applyFont="1" applyFill="1" applyBorder="1" applyAlignment="1">
      <alignment vertical="center"/>
    </xf>
    <xf numFmtId="164" fontId="90" fillId="45" borderId="156" xfId="4" applyNumberFormat="1" applyFont="1" applyFill="1" applyBorder="1" applyAlignment="1">
      <alignment vertical="center"/>
    </xf>
    <xf numFmtId="164" fontId="90" fillId="45" borderId="155" xfId="4" applyNumberFormat="1" applyFont="1" applyFill="1" applyBorder="1" applyAlignment="1">
      <alignment vertical="center"/>
    </xf>
    <xf numFmtId="9" fontId="90" fillId="45" borderId="31" xfId="1" applyFont="1" applyFill="1" applyBorder="1" applyAlignment="1">
      <alignment vertical="center"/>
    </xf>
    <xf numFmtId="164" fontId="90" fillId="45" borderId="31" xfId="4" applyNumberFormat="1" applyFont="1" applyFill="1" applyBorder="1" applyAlignment="1">
      <alignment vertical="center"/>
    </xf>
    <xf numFmtId="164" fontId="79" fillId="12" borderId="28" xfId="4" applyNumberFormat="1" applyFont="1" applyFill="1" applyBorder="1" applyAlignment="1">
      <alignment vertical="center" wrapText="1"/>
    </xf>
    <xf numFmtId="9" fontId="71" fillId="0" borderId="0" xfId="1" applyFont="1" applyAlignment="1">
      <alignment horizontal="center" vertical="center" wrapText="1"/>
    </xf>
    <xf numFmtId="164" fontId="71" fillId="0" borderId="0" xfId="1" applyNumberFormat="1" applyFont="1"/>
    <xf numFmtId="164" fontId="72" fillId="12" borderId="136" xfId="4" applyNumberFormat="1" applyFont="1" applyFill="1" applyBorder="1" applyAlignment="1">
      <alignment vertical="center" wrapText="1"/>
    </xf>
    <xf numFmtId="0" fontId="79" fillId="13" borderId="128" xfId="0" applyFont="1" applyFill="1" applyBorder="1" applyAlignment="1">
      <alignment horizontal="center" vertical="center" wrapText="1"/>
    </xf>
    <xf numFmtId="9" fontId="71" fillId="10" borderId="117" xfId="1" applyFont="1" applyFill="1" applyBorder="1" applyAlignment="1">
      <alignment vertical="center"/>
    </xf>
    <xf numFmtId="9" fontId="90" fillId="14" borderId="117" xfId="1" applyFont="1" applyFill="1" applyBorder="1" applyAlignment="1">
      <alignment vertical="center"/>
    </xf>
    <xf numFmtId="9" fontId="71" fillId="7" borderId="117" xfId="1" applyFont="1" applyFill="1" applyBorder="1" applyAlignment="1">
      <alignment vertical="center"/>
    </xf>
    <xf numFmtId="9" fontId="90" fillId="8" borderId="117" xfId="1" applyFont="1" applyFill="1" applyBorder="1" applyAlignment="1">
      <alignment vertical="center"/>
    </xf>
    <xf numFmtId="9" fontId="71" fillId="11" borderId="117" xfId="1" applyFont="1" applyFill="1" applyBorder="1" applyAlignment="1">
      <alignment vertical="center"/>
    </xf>
    <xf numFmtId="9" fontId="90" fillId="9" borderId="117" xfId="1" applyFont="1" applyFill="1" applyBorder="1" applyAlignment="1">
      <alignment vertical="center"/>
    </xf>
    <xf numFmtId="9" fontId="71" fillId="54" borderId="161" xfId="1" applyFont="1" applyFill="1" applyBorder="1" applyAlignment="1">
      <alignment vertical="center" wrapText="1"/>
    </xf>
    <xf numFmtId="9" fontId="72" fillId="42" borderId="161" xfId="1" applyFont="1" applyFill="1" applyBorder="1" applyAlignment="1">
      <alignment vertical="center" wrapText="1"/>
    </xf>
    <xf numFmtId="9" fontId="71" fillId="17" borderId="161" xfId="1" applyFont="1" applyFill="1" applyBorder="1" applyAlignment="1">
      <alignment vertical="center" wrapText="1"/>
    </xf>
    <xf numFmtId="9" fontId="72" fillId="16" borderId="161" xfId="1" applyFont="1" applyFill="1" applyBorder="1" applyAlignment="1">
      <alignment vertical="center" wrapText="1"/>
    </xf>
    <xf numFmtId="9" fontId="71" fillId="12" borderId="117" xfId="1" applyFont="1" applyFill="1" applyBorder="1" applyAlignment="1">
      <alignment vertical="center"/>
    </xf>
    <xf numFmtId="9" fontId="90" fillId="45" borderId="117" xfId="1" applyFont="1" applyFill="1" applyBorder="1" applyAlignment="1">
      <alignment vertical="center"/>
    </xf>
    <xf numFmtId="0" fontId="78" fillId="33" borderId="166" xfId="0" applyFont="1" applyFill="1" applyBorder="1" applyAlignment="1">
      <alignment horizontal="center" vertical="center" wrapText="1"/>
    </xf>
    <xf numFmtId="0" fontId="78" fillId="33" borderId="167" xfId="0" applyFont="1" applyFill="1" applyBorder="1" applyAlignment="1">
      <alignment horizontal="center" vertical="center" wrapText="1"/>
    </xf>
    <xf numFmtId="0" fontId="78" fillId="33" borderId="132" xfId="0" applyFont="1" applyFill="1" applyBorder="1" applyAlignment="1">
      <alignment horizontal="center" vertical="center" wrapText="1"/>
    </xf>
    <xf numFmtId="0" fontId="79" fillId="13" borderId="168" xfId="0" applyFont="1" applyFill="1" applyBorder="1" applyAlignment="1">
      <alignment horizontal="center" vertical="center" wrapText="1"/>
    </xf>
    <xf numFmtId="164" fontId="71" fillId="10" borderId="134" xfId="4" applyNumberFormat="1" applyFont="1" applyFill="1" applyBorder="1" applyAlignment="1">
      <alignment vertical="center"/>
    </xf>
    <xf numFmtId="164" fontId="71" fillId="10" borderId="136" xfId="4" applyNumberFormat="1" applyFont="1" applyFill="1" applyBorder="1" applyAlignment="1">
      <alignment vertical="center"/>
    </xf>
    <xf numFmtId="164" fontId="71" fillId="7" borderId="134" xfId="4" applyNumberFormat="1" applyFont="1" applyFill="1" applyBorder="1" applyAlignment="1">
      <alignment vertical="center"/>
    </xf>
    <xf numFmtId="164" fontId="126" fillId="7" borderId="136" xfId="4" applyNumberFormat="1" applyFont="1" applyFill="1" applyBorder="1" applyAlignment="1">
      <alignment vertical="center"/>
    </xf>
    <xf numFmtId="164" fontId="90" fillId="8" borderId="134" xfId="4" applyNumberFormat="1" applyFont="1" applyFill="1" applyBorder="1" applyAlignment="1">
      <alignment vertical="center"/>
    </xf>
    <xf numFmtId="164" fontId="146" fillId="11" borderId="135" xfId="4" applyNumberFormat="1" applyFont="1" applyFill="1" applyBorder="1" applyAlignment="1">
      <alignment vertical="center" wrapText="1"/>
    </xf>
    <xf numFmtId="164" fontId="90" fillId="9" borderId="134" xfId="4" applyNumberFormat="1" applyFont="1" applyFill="1" applyBorder="1" applyAlignment="1">
      <alignment vertical="center"/>
    </xf>
    <xf numFmtId="164" fontId="90" fillId="9" borderId="136" xfId="4" applyNumberFormat="1" applyFont="1" applyFill="1" applyBorder="1" applyAlignment="1">
      <alignment vertical="center"/>
    </xf>
    <xf numFmtId="164" fontId="71" fillId="54" borderId="135" xfId="4" applyNumberFormat="1" applyFont="1" applyFill="1" applyBorder="1" applyAlignment="1">
      <alignment vertical="center" wrapText="1"/>
    </xf>
    <xf numFmtId="164" fontId="72" fillId="42" borderId="134" xfId="4" applyNumberFormat="1" applyFont="1" applyFill="1" applyBorder="1" applyAlignment="1">
      <alignment vertical="center" wrapText="1"/>
    </xf>
    <xf numFmtId="164" fontId="72" fillId="42" borderId="169" xfId="4" applyNumberFormat="1" applyFont="1" applyFill="1" applyBorder="1" applyAlignment="1">
      <alignment vertical="center" wrapText="1"/>
    </xf>
    <xf numFmtId="164" fontId="71" fillId="17" borderId="170" xfId="4" applyNumberFormat="1" applyFont="1" applyFill="1" applyBorder="1" applyAlignment="1">
      <alignment vertical="center" wrapText="1"/>
    </xf>
    <xf numFmtId="164" fontId="71" fillId="17" borderId="136" xfId="4" applyNumberFormat="1" applyFont="1" applyFill="1" applyBorder="1" applyAlignment="1">
      <alignment vertical="center" wrapText="1"/>
    </xf>
    <xf numFmtId="164" fontId="72" fillId="16" borderId="134" xfId="4" applyNumberFormat="1" applyFont="1" applyFill="1" applyBorder="1" applyAlignment="1">
      <alignment vertical="center" wrapText="1"/>
    </xf>
    <xf numFmtId="164" fontId="72" fillId="16" borderId="169" xfId="4" applyNumberFormat="1" applyFont="1" applyFill="1" applyBorder="1" applyAlignment="1">
      <alignment vertical="center" wrapText="1"/>
    </xf>
    <xf numFmtId="164" fontId="71" fillId="12" borderId="135" xfId="4" applyNumberFormat="1" applyFont="1" applyFill="1" applyBorder="1" applyAlignment="1">
      <alignment vertical="center" wrapText="1"/>
    </xf>
    <xf numFmtId="164" fontId="90" fillId="45" borderId="134" xfId="4" applyNumberFormat="1" applyFont="1" applyFill="1" applyBorder="1" applyAlignment="1">
      <alignment vertical="center"/>
    </xf>
    <xf numFmtId="164" fontId="90" fillId="45" borderId="136" xfId="4" applyNumberFormat="1" applyFont="1" applyFill="1" applyBorder="1" applyAlignment="1">
      <alignment vertical="center"/>
    </xf>
    <xf numFmtId="164" fontId="90" fillId="45" borderId="171" xfId="4" applyNumberFormat="1" applyFont="1" applyFill="1" applyBorder="1" applyAlignment="1">
      <alignment vertical="center"/>
    </xf>
    <xf numFmtId="164" fontId="90" fillId="45" borderId="172" xfId="4" applyNumberFormat="1" applyFont="1" applyFill="1" applyBorder="1" applyAlignment="1">
      <alignment vertical="center"/>
    </xf>
    <xf numFmtId="0" fontId="38" fillId="0" borderId="0" xfId="0" applyNumberFormat="1" applyFont="1" applyFill="1" applyAlignment="1">
      <alignment horizontal="left" vertical="center" readingOrder="1"/>
    </xf>
    <xf numFmtId="43" fontId="46" fillId="0" borderId="0" xfId="0" applyNumberFormat="1" applyFont="1"/>
    <xf numFmtId="0" fontId="30" fillId="17" borderId="27" xfId="0" applyFont="1" applyFill="1" applyBorder="1" applyAlignment="1">
      <alignment vertical="center" wrapText="1"/>
    </xf>
    <xf numFmtId="1" fontId="30" fillId="0" borderId="0" xfId="4" applyNumberFormat="1" applyFont="1" applyAlignment="1">
      <alignment vertical="center" wrapText="1"/>
    </xf>
    <xf numFmtId="0" fontId="30" fillId="0" borderId="0" xfId="0" applyFont="1" applyAlignment="1">
      <alignment vertical="center" wrapText="1"/>
    </xf>
    <xf numFmtId="1" fontId="30" fillId="0" borderId="0" xfId="0" applyNumberFormat="1" applyFont="1" applyAlignment="1">
      <alignment vertical="center" wrapText="1"/>
    </xf>
    <xf numFmtId="164" fontId="30" fillId="0" borderId="0" xfId="4" applyNumberFormat="1" applyFont="1" applyAlignment="1">
      <alignment vertical="center" wrapText="1"/>
    </xf>
    <xf numFmtId="0" fontId="6" fillId="17" borderId="27" xfId="0" applyFont="1" applyFill="1" applyBorder="1" applyAlignment="1">
      <alignment vertical="center" wrapText="1"/>
    </xf>
    <xf numFmtId="0" fontId="6" fillId="19" borderId="0" xfId="0" applyFont="1" applyFill="1"/>
    <xf numFmtId="164" fontId="85" fillId="0" borderId="38" xfId="0" applyNumberFormat="1" applyFont="1" applyBorder="1"/>
    <xf numFmtId="164" fontId="85" fillId="0" borderId="174" xfId="0" applyNumberFormat="1" applyFont="1" applyBorder="1"/>
    <xf numFmtId="164" fontId="85" fillId="0" borderId="173" xfId="0" applyNumberFormat="1" applyFont="1" applyBorder="1"/>
    <xf numFmtId="164" fontId="0" fillId="16" borderId="0" xfId="4" applyNumberFormat="1" applyFont="1" applyFill="1" applyBorder="1" applyAlignment="1">
      <alignment vertical="center"/>
    </xf>
    <xf numFmtId="164" fontId="126" fillId="2" borderId="22" xfId="4" applyNumberFormat="1" applyFont="1" applyFill="1" applyBorder="1" applyAlignment="1">
      <alignment horizontal="center" vertical="center" wrapText="1"/>
    </xf>
    <xf numFmtId="164" fontId="67" fillId="0" borderId="0" xfId="4" applyNumberFormat="1" applyFont="1" applyFill="1" applyAlignment="1">
      <alignment horizontal="left" vertical="center" readingOrder="1"/>
    </xf>
    <xf numFmtId="0" fontId="45" fillId="0" borderId="0" xfId="0" applyFont="1" applyFill="1" applyAlignment="1">
      <alignment horizontal="left" vertical="center" readingOrder="1"/>
    </xf>
    <xf numFmtId="167" fontId="174" fillId="0" borderId="0" xfId="0" applyNumberFormat="1" applyFont="1" applyFill="1" applyAlignment="1">
      <alignment horizontal="left" vertical="center" readingOrder="1"/>
    </xf>
    <xf numFmtId="2" fontId="71" fillId="0" borderId="0" xfId="1" applyNumberFormat="1" applyFont="1"/>
    <xf numFmtId="169" fontId="0" fillId="0" borderId="0" xfId="1" applyNumberFormat="1" applyFont="1"/>
    <xf numFmtId="169" fontId="71" fillId="0" borderId="0" xfId="1" applyNumberFormat="1" applyFont="1"/>
    <xf numFmtId="0" fontId="93" fillId="0" borderId="0" xfId="0" applyFont="1" applyBorder="1"/>
    <xf numFmtId="9" fontId="71" fillId="45" borderId="175" xfId="1" applyFont="1" applyFill="1" applyBorder="1" applyAlignment="1">
      <alignment vertical="center"/>
    </xf>
    <xf numFmtId="9" fontId="71" fillId="45" borderId="172" xfId="1" applyFont="1" applyFill="1" applyBorder="1" applyAlignment="1">
      <alignment vertical="center"/>
    </xf>
    <xf numFmtId="164" fontId="90" fillId="45" borderId="176" xfId="4" applyNumberFormat="1" applyFont="1" applyFill="1" applyBorder="1" applyAlignment="1">
      <alignment vertical="center"/>
    </xf>
    <xf numFmtId="167" fontId="176" fillId="0" borderId="0" xfId="0" applyNumberFormat="1" applyFont="1" applyFill="1" applyAlignment="1">
      <alignment horizontal="left" vertical="center" readingOrder="1"/>
    </xf>
    <xf numFmtId="0" fontId="176" fillId="0" borderId="0" xfId="0" applyFont="1" applyFill="1" applyAlignment="1">
      <alignment horizontal="left" vertical="center" readingOrder="1"/>
    </xf>
    <xf numFmtId="0" fontId="176" fillId="0" borderId="0" xfId="1" applyNumberFormat="1" applyFont="1" applyFill="1" applyAlignment="1">
      <alignment horizontal="left" vertical="center" readingOrder="1"/>
    </xf>
    <xf numFmtId="164" fontId="176" fillId="0" borderId="0" xfId="4" applyNumberFormat="1" applyFont="1" applyFill="1" applyAlignment="1">
      <alignment horizontal="left" vertical="center" readingOrder="1"/>
    </xf>
    <xf numFmtId="168" fontId="176" fillId="0" borderId="0" xfId="0" applyNumberFormat="1" applyFont="1" applyFill="1" applyAlignment="1">
      <alignment horizontal="left" vertical="center" readingOrder="1"/>
    </xf>
    <xf numFmtId="165" fontId="176" fillId="0" borderId="0" xfId="0" applyNumberFormat="1" applyFont="1" applyFill="1" applyAlignment="1">
      <alignment horizontal="left" vertical="center" readingOrder="1"/>
    </xf>
    <xf numFmtId="1" fontId="176" fillId="0" borderId="0" xfId="0" applyNumberFormat="1" applyFont="1" applyFill="1" applyAlignment="1">
      <alignment horizontal="left" vertical="center" readingOrder="1"/>
    </xf>
    <xf numFmtId="0" fontId="176" fillId="0" borderId="0" xfId="0" applyNumberFormat="1" applyFont="1" applyFill="1" applyAlignment="1">
      <alignment horizontal="left" vertical="center" readingOrder="1"/>
    </xf>
    <xf numFmtId="9" fontId="176" fillId="0" borderId="0" xfId="1" applyFont="1" applyFill="1" applyAlignment="1">
      <alignment horizontal="left" vertical="center" readingOrder="1"/>
    </xf>
    <xf numFmtId="1" fontId="176" fillId="0" borderId="0" xfId="1" applyNumberFormat="1" applyFont="1" applyFill="1" applyAlignment="1">
      <alignment horizontal="left" vertical="center" readingOrder="1"/>
    </xf>
    <xf numFmtId="9" fontId="176" fillId="0" borderId="0" xfId="1" applyNumberFormat="1" applyFont="1" applyFill="1" applyAlignment="1">
      <alignment horizontal="left" vertical="center" readingOrder="1"/>
    </xf>
    <xf numFmtId="9" fontId="176" fillId="0" borderId="0" xfId="0" applyNumberFormat="1" applyFont="1" applyFill="1" applyAlignment="1">
      <alignment horizontal="left" vertical="center" readingOrder="1"/>
    </xf>
    <xf numFmtId="1" fontId="176" fillId="0" borderId="0" xfId="4" applyNumberFormat="1" applyFont="1" applyFill="1" applyAlignment="1">
      <alignment horizontal="left" vertical="center" readingOrder="1"/>
    </xf>
    <xf numFmtId="49" fontId="95" fillId="62" borderId="23" xfId="0" applyNumberFormat="1" applyFont="1" applyFill="1" applyBorder="1" applyAlignment="1">
      <alignment horizontal="left" vertical="center"/>
    </xf>
    <xf numFmtId="9" fontId="38" fillId="0" borderId="0" xfId="0" applyNumberFormat="1" applyFont="1" applyFill="1" applyAlignment="1">
      <alignment horizontal="left" vertical="center" readingOrder="1"/>
    </xf>
    <xf numFmtId="1" fontId="38" fillId="0" borderId="0" xfId="4" applyNumberFormat="1" applyFont="1" applyFill="1" applyAlignment="1">
      <alignment horizontal="left" vertical="center" readingOrder="1"/>
    </xf>
    <xf numFmtId="164" fontId="146" fillId="10" borderId="28" xfId="4" applyNumberFormat="1" applyFont="1" applyFill="1" applyBorder="1" applyAlignment="1">
      <alignment vertical="center"/>
    </xf>
    <xf numFmtId="164" fontId="146" fillId="7" borderId="28" xfId="4" applyNumberFormat="1" applyFont="1" applyFill="1" applyBorder="1" applyAlignment="1">
      <alignment vertical="center"/>
    </xf>
    <xf numFmtId="164" fontId="38" fillId="0" borderId="0" xfId="0" applyNumberFormat="1" applyFont="1" applyAlignment="1">
      <alignment horizontal="left" vertical="center" readingOrder="1"/>
    </xf>
    <xf numFmtId="9" fontId="38" fillId="0" borderId="0" xfId="0" applyNumberFormat="1" applyFont="1" applyAlignment="1">
      <alignment horizontal="left" vertical="center" readingOrder="1"/>
    </xf>
    <xf numFmtId="164" fontId="177" fillId="0" borderId="0" xfId="4" applyNumberFormat="1" applyFont="1" applyFill="1" applyAlignment="1">
      <alignment horizontal="left" vertical="center" readingOrder="1"/>
    </xf>
    <xf numFmtId="168" fontId="45" fillId="0" borderId="0" xfId="0" applyNumberFormat="1" applyFont="1" applyAlignment="1">
      <alignment horizontal="left" vertical="center" readingOrder="1"/>
    </xf>
    <xf numFmtId="165" fontId="45" fillId="0" borderId="0" xfId="0" applyNumberFormat="1" applyFont="1" applyAlignment="1">
      <alignment horizontal="left" vertical="center" readingOrder="1"/>
    </xf>
    <xf numFmtId="1" fontId="177" fillId="0" borderId="0" xfId="1" applyNumberFormat="1" applyFont="1" applyFill="1" applyAlignment="1">
      <alignment horizontal="left" vertical="center" readingOrder="1"/>
    </xf>
    <xf numFmtId="9" fontId="177" fillId="0" borderId="0" xfId="1" applyFont="1" applyFill="1" applyAlignment="1">
      <alignment horizontal="left" vertical="center" readingOrder="1"/>
    </xf>
    <xf numFmtId="0" fontId="177" fillId="0" borderId="0" xfId="1" applyNumberFormat="1" applyFont="1" applyFill="1" applyAlignment="1">
      <alignment horizontal="left" vertical="center" readingOrder="1"/>
    </xf>
    <xf numFmtId="164" fontId="38" fillId="0" borderId="0" xfId="4" applyNumberFormat="1" applyFont="1" applyFill="1" applyBorder="1" applyAlignment="1">
      <alignment horizontal="left" vertical="center" readingOrder="1"/>
    </xf>
    <xf numFmtId="9" fontId="38" fillId="0" borderId="0" xfId="1" applyFont="1" applyFill="1" applyBorder="1" applyAlignment="1">
      <alignment horizontal="left" vertical="center" readingOrder="1"/>
    </xf>
    <xf numFmtId="164" fontId="38" fillId="63" borderId="0" xfId="4" applyNumberFormat="1" applyFont="1" applyFill="1" applyAlignment="1">
      <alignment horizontal="left" vertical="center" readingOrder="1"/>
    </xf>
    <xf numFmtId="167" fontId="177" fillId="0" borderId="0" xfId="0" applyNumberFormat="1" applyFont="1" applyFill="1" applyAlignment="1">
      <alignment horizontal="left" vertical="center" readingOrder="1"/>
    </xf>
    <xf numFmtId="0" fontId="177" fillId="0" borderId="0" xfId="0" applyFont="1" applyFill="1" applyAlignment="1">
      <alignment horizontal="left" vertical="center" readingOrder="1"/>
    </xf>
    <xf numFmtId="168" fontId="177" fillId="0" borderId="0" xfId="0" applyNumberFormat="1" applyFont="1" applyFill="1" applyAlignment="1">
      <alignment horizontal="left" vertical="center" readingOrder="1"/>
    </xf>
    <xf numFmtId="165" fontId="177" fillId="0" borderId="0" xfId="0" applyNumberFormat="1" applyFont="1" applyFill="1" applyAlignment="1">
      <alignment horizontal="left" vertical="center" readingOrder="1"/>
    </xf>
    <xf numFmtId="1" fontId="177" fillId="0" borderId="0" xfId="0" applyNumberFormat="1" applyFont="1" applyFill="1" applyAlignment="1">
      <alignment horizontal="left" vertical="center" readingOrder="1"/>
    </xf>
    <xf numFmtId="0" fontId="177" fillId="0" borderId="0" xfId="0" applyNumberFormat="1" applyFont="1" applyFill="1" applyAlignment="1">
      <alignment horizontal="left" vertical="center" readingOrder="1"/>
    </xf>
    <xf numFmtId="9" fontId="177" fillId="0" borderId="0" xfId="1" applyNumberFormat="1" applyFont="1" applyFill="1" applyAlignment="1">
      <alignment horizontal="left" vertical="center" readingOrder="1"/>
    </xf>
    <xf numFmtId="9" fontId="177" fillId="0" borderId="0" xfId="0" applyNumberFormat="1" applyFont="1" applyFill="1" applyAlignment="1">
      <alignment horizontal="left" vertical="center" readingOrder="1"/>
    </xf>
    <xf numFmtId="1" fontId="177" fillId="0" borderId="0" xfId="4" applyNumberFormat="1" applyFont="1" applyFill="1" applyAlignment="1">
      <alignment horizontal="left" vertical="center" readingOrder="1"/>
    </xf>
    <xf numFmtId="0" fontId="38" fillId="0" borderId="0" xfId="42" applyFont="1" applyFill="1" applyBorder="1" applyAlignment="1">
      <alignment horizontal="left" vertical="center" readingOrder="1"/>
    </xf>
    <xf numFmtId="0" fontId="10" fillId="57" borderId="23" xfId="80" applyFont="1" applyBorder="1" applyAlignment="1">
      <alignment horizontal="left" vertical="center"/>
    </xf>
    <xf numFmtId="49" fontId="5" fillId="57" borderId="0" xfId="80" applyNumberFormat="1" applyFont="1" applyBorder="1" applyAlignment="1">
      <alignment horizontal="left" vertical="center"/>
    </xf>
    <xf numFmtId="49" fontId="95" fillId="62" borderId="0" xfId="0" applyNumberFormat="1" applyFont="1" applyFill="1" applyBorder="1" applyAlignment="1">
      <alignment horizontal="left" vertical="center"/>
    </xf>
    <xf numFmtId="1" fontId="95" fillId="0" borderId="0" xfId="0" applyNumberFormat="1" applyFont="1" applyBorder="1" applyAlignment="1">
      <alignment horizontal="right" vertical="center"/>
    </xf>
    <xf numFmtId="0" fontId="46" fillId="0" borderId="23" xfId="0" applyNumberFormat="1" applyFont="1" applyFill="1" applyBorder="1" applyAlignment="1">
      <alignment wrapText="1"/>
    </xf>
    <xf numFmtId="9" fontId="78" fillId="0" borderId="164" xfId="1" applyNumberFormat="1" applyFont="1" applyBorder="1" applyAlignment="1">
      <alignment vertical="center" wrapText="1"/>
    </xf>
    <xf numFmtId="9" fontId="78" fillId="0" borderId="165" xfId="1" applyNumberFormat="1" applyFont="1" applyBorder="1" applyAlignment="1">
      <alignment vertical="center" wrapText="1"/>
    </xf>
    <xf numFmtId="9" fontId="0" fillId="0" borderId="0" xfId="1" applyFont="1" applyFill="1"/>
    <xf numFmtId="0" fontId="178" fillId="0" borderId="25" xfId="0" applyFont="1" applyFill="1" applyBorder="1"/>
    <xf numFmtId="0" fontId="180" fillId="0" borderId="0" xfId="0" applyFont="1" applyFill="1" applyBorder="1"/>
    <xf numFmtId="0" fontId="180" fillId="0" borderId="0" xfId="0" applyFont="1" applyFill="1"/>
    <xf numFmtId="0" fontId="180" fillId="0" borderId="184" xfId="0" applyFont="1" applyFill="1" applyBorder="1"/>
    <xf numFmtId="0" fontId="180" fillId="0" borderId="182" xfId="0" applyFont="1" applyFill="1" applyBorder="1"/>
    <xf numFmtId="0" fontId="180" fillId="0" borderId="183" xfId="0" applyFont="1" applyFill="1" applyBorder="1"/>
    <xf numFmtId="0" fontId="180" fillId="0" borderId="181" xfId="0" applyFont="1" applyFill="1" applyBorder="1"/>
    <xf numFmtId="0" fontId="180" fillId="0" borderId="25" xfId="0" applyFont="1" applyFill="1" applyBorder="1"/>
    <xf numFmtId="0" fontId="180" fillId="0" borderId="186" xfId="0" applyFont="1" applyFill="1" applyBorder="1"/>
    <xf numFmtId="0" fontId="181" fillId="0" borderId="179" xfId="0" applyFont="1" applyFill="1" applyBorder="1"/>
    <xf numFmtId="0" fontId="181" fillId="0" borderId="25" xfId="0" applyFont="1" applyFill="1" applyBorder="1"/>
    <xf numFmtId="0" fontId="181" fillId="0" borderId="180" xfId="0" applyFont="1" applyFill="1" applyBorder="1"/>
    <xf numFmtId="0" fontId="133" fillId="0" borderId="0" xfId="0" applyFont="1" applyFill="1" applyBorder="1"/>
    <xf numFmtId="0" fontId="133" fillId="0" borderId="177" xfId="0" applyFont="1" applyFill="1" applyBorder="1"/>
    <xf numFmtId="0" fontId="133" fillId="0" borderId="0" xfId="0" applyFont="1" applyFill="1"/>
    <xf numFmtId="0" fontId="133" fillId="0" borderId="178" xfId="0" applyFont="1" applyFill="1" applyBorder="1"/>
    <xf numFmtId="0" fontId="133" fillId="0" borderId="182" xfId="0" applyFont="1" applyFill="1" applyBorder="1"/>
    <xf numFmtId="0" fontId="133" fillId="0" borderId="187" xfId="0" applyFont="1" applyFill="1" applyBorder="1"/>
    <xf numFmtId="0" fontId="133" fillId="0" borderId="185" xfId="0" applyFont="1" applyFill="1" applyBorder="1"/>
    <xf numFmtId="0" fontId="179" fillId="0" borderId="0" xfId="0" applyFont="1" applyFill="1" applyAlignment="1">
      <alignment horizontal="left"/>
    </xf>
    <xf numFmtId="0" fontId="182" fillId="0" borderId="0" xfId="0" applyFont="1"/>
    <xf numFmtId="9" fontId="43" fillId="59" borderId="61" xfId="0" applyNumberFormat="1" applyFont="1" applyFill="1" applyBorder="1" applyAlignment="1">
      <alignment horizontal="center" vertical="center"/>
    </xf>
    <xf numFmtId="0" fontId="184" fillId="0" borderId="34" xfId="0" applyFont="1" applyBorder="1" applyAlignment="1">
      <alignment horizontal="left" indent="1"/>
    </xf>
    <xf numFmtId="0" fontId="184" fillId="0" borderId="37" xfId="0" applyFont="1" applyBorder="1" applyAlignment="1">
      <alignment horizontal="left" indent="1"/>
    </xf>
    <xf numFmtId="0" fontId="183" fillId="31" borderId="188" xfId="0" applyFont="1" applyFill="1" applyBorder="1" applyAlignment="1">
      <alignment horizontal="left"/>
    </xf>
    <xf numFmtId="0" fontId="184" fillId="0" borderId="39" xfId="0" applyNumberFormat="1" applyFont="1" applyBorder="1"/>
    <xf numFmtId="0" fontId="184" fillId="0" borderId="40" xfId="0" applyNumberFormat="1" applyFont="1" applyBorder="1"/>
    <xf numFmtId="0" fontId="184" fillId="0" borderId="38" xfId="0" applyNumberFormat="1" applyFont="1" applyBorder="1"/>
    <xf numFmtId="0" fontId="4" fillId="31"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171" fillId="0" borderId="0" xfId="0" applyFont="1" applyFill="1" applyBorder="1" applyAlignment="1">
      <alignment horizontal="left" vertical="center" wrapText="1"/>
    </xf>
    <xf numFmtId="9" fontId="185" fillId="59" borderId="61" xfId="0" applyNumberFormat="1" applyFont="1" applyFill="1" applyBorder="1" applyAlignment="1">
      <alignment horizontal="center" vertical="center"/>
    </xf>
    <xf numFmtId="9" fontId="185" fillId="59" borderId="148" xfId="0" applyNumberFormat="1" applyFont="1" applyFill="1" applyBorder="1" applyAlignment="1">
      <alignment horizontal="center" vertical="center"/>
    </xf>
    <xf numFmtId="164" fontId="15" fillId="0" borderId="0" xfId="4" applyNumberFormat="1" applyFont="1" applyAlignment="1">
      <alignment horizontal="center" vertical="center"/>
    </xf>
    <xf numFmtId="164" fontId="15" fillId="0" borderId="0" xfId="4" applyNumberFormat="1" applyFont="1" applyFill="1" applyBorder="1" applyAlignment="1">
      <alignment horizontal="center" vertical="center"/>
    </xf>
    <xf numFmtId="164" fontId="46" fillId="0" borderId="0" xfId="4" applyNumberFormat="1" applyFont="1" applyAlignment="1">
      <alignment horizontal="center" vertical="center"/>
    </xf>
    <xf numFmtId="164" fontId="8" fillId="0" borderId="0" xfId="4" applyNumberFormat="1" applyFont="1" applyFill="1" applyBorder="1" applyAlignment="1">
      <alignment horizontal="center" vertical="center"/>
    </xf>
    <xf numFmtId="9" fontId="15" fillId="0" borderId="0" xfId="0" applyNumberFormat="1" applyFont="1" applyFill="1" applyBorder="1" applyAlignment="1">
      <alignment horizontal="center" vertical="center"/>
    </xf>
    <xf numFmtId="9" fontId="158" fillId="31" borderId="0" xfId="0" applyNumberFormat="1" applyFont="1" applyFill="1" applyBorder="1" applyAlignment="1">
      <alignment horizontal="center" vertical="center"/>
    </xf>
    <xf numFmtId="9" fontId="158" fillId="0" borderId="0" xfId="0" applyNumberFormat="1" applyFont="1" applyFill="1" applyBorder="1" applyAlignment="1">
      <alignment horizontal="center" vertical="center"/>
    </xf>
    <xf numFmtId="9" fontId="8" fillId="0" borderId="0" xfId="0" applyNumberFormat="1" applyFont="1" applyFill="1" applyBorder="1" applyAlignment="1">
      <alignment horizontal="center" vertical="center"/>
    </xf>
    <xf numFmtId="9" fontId="172" fillId="0" borderId="0" xfId="0" applyNumberFormat="1" applyFont="1" applyFill="1" applyBorder="1" applyAlignment="1">
      <alignment horizontal="center" vertical="center"/>
    </xf>
    <xf numFmtId="164" fontId="95" fillId="0" borderId="58" xfId="0" applyNumberFormat="1" applyFont="1" applyBorder="1" applyAlignment="1">
      <alignment horizontal="center" vertical="center"/>
    </xf>
    <xf numFmtId="0" fontId="43" fillId="59" borderId="59" xfId="0" applyFont="1" applyFill="1" applyBorder="1" applyAlignment="1">
      <alignment horizontal="center" vertical="center"/>
    </xf>
    <xf numFmtId="164" fontId="43" fillId="59" borderId="61" xfId="4" applyNumberFormat="1" applyFont="1" applyFill="1" applyBorder="1" applyAlignment="1">
      <alignment horizontal="center" vertical="center"/>
    </xf>
    <xf numFmtId="164" fontId="43" fillId="59" borderId="59" xfId="4" applyNumberFormat="1" applyFont="1" applyFill="1" applyBorder="1" applyAlignment="1">
      <alignment horizontal="center" vertical="center"/>
    </xf>
    <xf numFmtId="0" fontId="95" fillId="0" borderId="22" xfId="0" applyFont="1" applyBorder="1" applyAlignment="1">
      <alignment horizontal="left" vertical="center"/>
    </xf>
    <xf numFmtId="0" fontId="46" fillId="31" borderId="21" xfId="0" applyFont="1" applyFill="1" applyBorder="1"/>
    <xf numFmtId="0" fontId="67" fillId="0" borderId="0" xfId="0" applyFont="1" applyFill="1" applyAlignment="1">
      <alignment horizontal="left" vertical="center" readingOrder="1"/>
    </xf>
    <xf numFmtId="0" fontId="72" fillId="0" borderId="0" xfId="0" applyFont="1" applyAlignment="1">
      <alignment wrapText="1"/>
    </xf>
    <xf numFmtId="164" fontId="0" fillId="42" borderId="22" xfId="4" applyNumberFormat="1" applyFont="1" applyFill="1" applyBorder="1" applyAlignment="1">
      <alignment vertical="center" wrapText="1"/>
    </xf>
    <xf numFmtId="164" fontId="77" fillId="36" borderId="22" xfId="4" applyNumberFormat="1" applyFont="1" applyFill="1" applyBorder="1" applyAlignment="1">
      <alignment horizontal="right" vertical="center" wrapText="1"/>
    </xf>
    <xf numFmtId="164" fontId="77" fillId="8" borderId="22" xfId="4" applyNumberFormat="1" applyFont="1" applyFill="1" applyBorder="1" applyAlignment="1">
      <alignment horizontal="right" vertical="center" wrapText="1"/>
    </xf>
    <xf numFmtId="164" fontId="77" fillId="14" borderId="22" xfId="4" applyNumberFormat="1" applyFont="1" applyFill="1" applyBorder="1" applyAlignment="1">
      <alignment horizontal="right" vertical="center" wrapText="1"/>
    </xf>
    <xf numFmtId="164" fontId="90" fillId="45" borderId="121" xfId="4" applyNumberFormat="1" applyFont="1" applyFill="1" applyBorder="1" applyAlignment="1">
      <alignment vertical="center"/>
    </xf>
    <xf numFmtId="164" fontId="90" fillId="45" borderId="189" xfId="4" applyNumberFormat="1" applyFont="1" applyFill="1" applyBorder="1" applyAlignment="1">
      <alignment vertical="center"/>
    </xf>
    <xf numFmtId="164" fontId="90" fillId="45" borderId="175" xfId="4" applyNumberFormat="1" applyFont="1" applyFill="1" applyBorder="1" applyAlignment="1">
      <alignment vertical="center"/>
    </xf>
    <xf numFmtId="167" fontId="186" fillId="0" borderId="0" xfId="0" applyNumberFormat="1" applyFont="1" applyFill="1" applyAlignment="1">
      <alignment horizontal="left" vertical="center" readingOrder="1"/>
    </xf>
    <xf numFmtId="0" fontId="186" fillId="0" borderId="0" xfId="0" applyFont="1" applyFill="1" applyAlignment="1">
      <alignment horizontal="left" vertical="center" readingOrder="1"/>
    </xf>
    <xf numFmtId="0" fontId="186" fillId="0" borderId="0" xfId="1" applyNumberFormat="1" applyFont="1" applyFill="1" applyAlignment="1">
      <alignment horizontal="left" vertical="center" readingOrder="1"/>
    </xf>
    <xf numFmtId="164" fontId="186" fillId="0" borderId="0" xfId="4" applyNumberFormat="1" applyFont="1" applyFill="1" applyAlignment="1">
      <alignment horizontal="left" vertical="center" readingOrder="1"/>
    </xf>
    <xf numFmtId="168" fontId="186" fillId="0" borderId="0" xfId="0" applyNumberFormat="1" applyFont="1" applyFill="1" applyAlignment="1">
      <alignment horizontal="left" vertical="center" readingOrder="1"/>
    </xf>
    <xf numFmtId="165" fontId="186" fillId="0" borderId="0" xfId="0" applyNumberFormat="1" applyFont="1" applyFill="1" applyAlignment="1">
      <alignment horizontal="left" vertical="center" readingOrder="1"/>
    </xf>
    <xf numFmtId="1" fontId="186" fillId="0" borderId="0" xfId="0" applyNumberFormat="1" applyFont="1" applyFill="1" applyAlignment="1">
      <alignment horizontal="left" vertical="center" readingOrder="1"/>
    </xf>
    <xf numFmtId="0" fontId="186" fillId="0" borderId="0" xfId="0" applyNumberFormat="1" applyFont="1" applyFill="1" applyAlignment="1">
      <alignment horizontal="left" vertical="center" readingOrder="1"/>
    </xf>
    <xf numFmtId="9" fontId="186" fillId="0" borderId="0" xfId="1" applyFont="1" applyFill="1" applyAlignment="1">
      <alignment horizontal="left" vertical="center" readingOrder="1"/>
    </xf>
    <xf numFmtId="1" fontId="186" fillId="0" borderId="0" xfId="1" applyNumberFormat="1" applyFont="1" applyFill="1" applyAlignment="1">
      <alignment horizontal="left" vertical="center" readingOrder="1"/>
    </xf>
    <xf numFmtId="9" fontId="186" fillId="0" borderId="0" xfId="1" applyNumberFormat="1" applyFont="1" applyFill="1" applyAlignment="1">
      <alignment horizontal="left" vertical="center" readingOrder="1"/>
    </xf>
    <xf numFmtId="9" fontId="186" fillId="0" borderId="0" xfId="0" applyNumberFormat="1" applyFont="1" applyFill="1" applyAlignment="1">
      <alignment horizontal="left" vertical="center" readingOrder="1"/>
    </xf>
    <xf numFmtId="1" fontId="186" fillId="0" borderId="0" xfId="4" applyNumberFormat="1" applyFont="1" applyFill="1" applyAlignment="1">
      <alignment horizontal="left" vertical="center" readingOrder="1"/>
    </xf>
    <xf numFmtId="164" fontId="38" fillId="54" borderId="0" xfId="4" applyNumberFormat="1" applyFont="1" applyFill="1" applyAlignment="1">
      <alignment horizontal="left" vertical="center" readingOrder="1"/>
    </xf>
    <xf numFmtId="168" fontId="38" fillId="54" borderId="0" xfId="0" applyNumberFormat="1" applyFont="1" applyFill="1" applyAlignment="1">
      <alignment horizontal="left" vertical="center" readingOrder="1"/>
    </xf>
    <xf numFmtId="165" fontId="38" fillId="54" borderId="0" xfId="0" applyNumberFormat="1" applyFont="1" applyFill="1" applyAlignment="1">
      <alignment horizontal="left" vertical="center" readingOrder="1"/>
    </xf>
    <xf numFmtId="1" fontId="38" fillId="54" borderId="0" xfId="0" applyNumberFormat="1" applyFont="1" applyFill="1" applyAlignment="1">
      <alignment horizontal="left" vertical="center" readingOrder="1"/>
    </xf>
    <xf numFmtId="0" fontId="38" fillId="54" borderId="0" xfId="0" applyFont="1" applyFill="1" applyAlignment="1">
      <alignment horizontal="left" vertical="center" readingOrder="1"/>
    </xf>
    <xf numFmtId="9" fontId="38" fillId="54" borderId="0" xfId="1" applyFont="1" applyFill="1" applyAlignment="1">
      <alignment horizontal="left" vertical="center" readingOrder="1"/>
    </xf>
    <xf numFmtId="0" fontId="38" fillId="54" borderId="0" xfId="1" applyNumberFormat="1" applyFont="1" applyFill="1" applyAlignment="1">
      <alignment horizontal="left" vertical="center" readingOrder="1"/>
    </xf>
    <xf numFmtId="0" fontId="71" fillId="0" borderId="0" xfId="0" applyNumberFormat="1" applyFont="1"/>
    <xf numFmtId="164" fontId="77" fillId="14" borderId="0" xfId="0" applyNumberFormat="1" applyFont="1" applyFill="1"/>
    <xf numFmtId="164" fontId="77" fillId="8" borderId="0" xfId="0" applyNumberFormat="1" applyFont="1" applyFill="1"/>
    <xf numFmtId="164" fontId="77" fillId="9" borderId="0" xfId="0" applyNumberFormat="1" applyFont="1" applyFill="1"/>
    <xf numFmtId="164" fontId="77" fillId="26" borderId="0" xfId="0" applyNumberFormat="1" applyFont="1" applyFill="1"/>
    <xf numFmtId="0" fontId="77" fillId="26" borderId="0" xfId="0" applyFont="1" applyFill="1" applyAlignment="1">
      <alignment horizontal="center" vertical="center" wrapText="1"/>
    </xf>
    <xf numFmtId="0" fontId="77" fillId="14" borderId="0" xfId="0" applyFont="1" applyFill="1" applyAlignment="1">
      <alignment horizontal="center" vertical="center"/>
    </xf>
    <xf numFmtId="0" fontId="77" fillId="8" borderId="0" xfId="0" applyFont="1" applyFill="1" applyAlignment="1">
      <alignment horizontal="center" vertical="center"/>
    </xf>
    <xf numFmtId="0" fontId="77" fillId="9" borderId="0" xfId="0" applyFont="1" applyFill="1" applyAlignment="1">
      <alignment horizontal="center" vertical="center"/>
    </xf>
    <xf numFmtId="0" fontId="77" fillId="9" borderId="0" xfId="0" applyFont="1" applyFill="1" applyAlignment="1">
      <alignment horizontal="center" vertical="center" wrapText="1"/>
    </xf>
    <xf numFmtId="164" fontId="126" fillId="12" borderId="0" xfId="0" applyNumberFormat="1" applyFont="1" applyFill="1"/>
    <xf numFmtId="0" fontId="126" fillId="12" borderId="0" xfId="0" applyFont="1" applyFill="1" applyAlignment="1">
      <alignment horizontal="center" vertical="center" wrapText="1"/>
    </xf>
    <xf numFmtId="164" fontId="71" fillId="42" borderId="0" xfId="0" applyNumberFormat="1" applyFont="1" applyFill="1"/>
    <xf numFmtId="164" fontId="71" fillId="16" borderId="0" xfId="0" applyNumberFormat="1" applyFont="1" applyFill="1"/>
    <xf numFmtId="0" fontId="71" fillId="42" borderId="0" xfId="0" applyFont="1" applyFill="1" applyAlignment="1">
      <alignment vertical="center"/>
    </xf>
    <xf numFmtId="0" fontId="71" fillId="16" borderId="0" xfId="0" applyFont="1" applyFill="1" applyAlignment="1">
      <alignment vertical="center"/>
    </xf>
    <xf numFmtId="0" fontId="77" fillId="14" borderId="0" xfId="0" applyFont="1" applyFill="1" applyAlignment="1">
      <alignment horizontal="center" vertical="center" wrapText="1"/>
    </xf>
    <xf numFmtId="0" fontId="77" fillId="8" borderId="0" xfId="0" applyFont="1" applyFill="1" applyAlignment="1">
      <alignment horizontal="center" vertical="center" wrapText="1"/>
    </xf>
    <xf numFmtId="0" fontId="71" fillId="42" borderId="0" xfId="0" applyFont="1" applyFill="1" applyAlignment="1">
      <alignment horizontal="center" vertical="center" wrapText="1"/>
    </xf>
    <xf numFmtId="0" fontId="71" fillId="16" borderId="0" xfId="0" applyFont="1" applyFill="1" applyAlignment="1">
      <alignment horizontal="center" vertical="center" wrapText="1"/>
    </xf>
    <xf numFmtId="164" fontId="126" fillId="12" borderId="0" xfId="0" applyNumberFormat="1" applyFont="1" applyFill="1" applyAlignment="1">
      <alignment wrapText="1"/>
    </xf>
    <xf numFmtId="164" fontId="71" fillId="0" borderId="0" xfId="0" applyNumberFormat="1" applyFont="1" applyAlignment="1">
      <alignment wrapText="1"/>
    </xf>
    <xf numFmtId="0" fontId="126" fillId="0" borderId="0" xfId="0" applyFont="1" applyFill="1" applyAlignment="1">
      <alignment horizontal="center" vertical="center" wrapText="1"/>
    </xf>
    <xf numFmtId="0" fontId="83" fillId="40" borderId="0" xfId="0" applyFont="1" applyFill="1"/>
    <xf numFmtId="0" fontId="71" fillId="0" borderId="0" xfId="0" pivotButton="1" applyFont="1" applyAlignment="1">
      <alignment horizontal="center" vertical="center" wrapText="1"/>
    </xf>
    <xf numFmtId="164" fontId="79" fillId="10" borderId="127" xfId="4" applyNumberFormat="1" applyFont="1" applyFill="1" applyBorder="1" applyAlignment="1">
      <alignment vertical="center"/>
    </xf>
    <xf numFmtId="164" fontId="79" fillId="10" borderId="31" xfId="4" applyNumberFormat="1" applyFont="1" applyFill="1" applyBorder="1" applyAlignment="1">
      <alignment vertical="center"/>
    </xf>
    <xf numFmtId="164" fontId="79" fillId="7" borderId="28" xfId="4" applyNumberFormat="1" applyFont="1" applyFill="1" applyBorder="1" applyAlignment="1">
      <alignment vertical="center"/>
    </xf>
    <xf numFmtId="164" fontId="79" fillId="11" borderId="28" xfId="4" applyNumberFormat="1" applyFont="1" applyFill="1" applyBorder="1" applyAlignment="1">
      <alignment vertical="center" wrapText="1"/>
    </xf>
    <xf numFmtId="164" fontId="79" fillId="54" borderId="28" xfId="4" applyNumberFormat="1" applyFont="1" applyFill="1" applyBorder="1" applyAlignment="1">
      <alignment vertical="center" wrapText="1"/>
    </xf>
    <xf numFmtId="164" fontId="79" fillId="17" borderId="28" xfId="4" applyNumberFormat="1" applyFont="1" applyFill="1" applyBorder="1" applyAlignment="1">
      <alignment vertical="center" wrapText="1"/>
    </xf>
    <xf numFmtId="164" fontId="79" fillId="11" borderId="28" xfId="4" applyNumberFormat="1" applyFont="1" applyFill="1" applyBorder="1" applyAlignment="1">
      <alignment vertical="center"/>
    </xf>
    <xf numFmtId="164" fontId="79" fillId="12" borderId="28" xfId="4" applyNumberFormat="1" applyFont="1" applyFill="1" applyBorder="1" applyAlignment="1">
      <alignment vertical="center"/>
    </xf>
    <xf numFmtId="167" fontId="186" fillId="19" borderId="0" xfId="0" applyNumberFormat="1" applyFont="1" applyFill="1" applyAlignment="1">
      <alignment horizontal="left" vertical="center" readingOrder="1"/>
    </xf>
    <xf numFmtId="0" fontId="186" fillId="19" borderId="0" xfId="0" applyFont="1" applyFill="1" applyAlignment="1">
      <alignment horizontal="left" vertical="center" readingOrder="1"/>
    </xf>
    <xf numFmtId="0" fontId="153" fillId="19" borderId="0" xfId="1" applyNumberFormat="1" applyFont="1" applyFill="1" applyAlignment="1">
      <alignment horizontal="left" vertical="center" readingOrder="1"/>
    </xf>
    <xf numFmtId="167" fontId="38" fillId="19" borderId="0" xfId="0" applyNumberFormat="1" applyFont="1" applyFill="1" applyAlignment="1">
      <alignment horizontal="left" vertical="center" readingOrder="1"/>
    </xf>
    <xf numFmtId="0" fontId="38" fillId="19" borderId="0" xfId="0" applyFont="1" applyFill="1" applyAlignment="1">
      <alignment horizontal="left" vertical="center" readingOrder="1"/>
    </xf>
    <xf numFmtId="0" fontId="170" fillId="19" borderId="0" xfId="0" applyFont="1" applyFill="1" applyAlignment="1">
      <alignment horizontal="left" vertical="center" readingOrder="1"/>
    </xf>
    <xf numFmtId="0" fontId="2" fillId="0" borderId="0" xfId="0" pivotButton="1" applyFont="1"/>
    <xf numFmtId="0" fontId="2" fillId="0" borderId="0" xfId="0" applyFont="1"/>
    <xf numFmtId="0" fontId="2" fillId="0" borderId="0" xfId="0" pivotButton="1" applyFont="1" applyAlignment="1">
      <alignment wrapText="1"/>
    </xf>
    <xf numFmtId="0" fontId="2" fillId="0" borderId="0" xfId="0" applyFont="1" applyAlignment="1">
      <alignment horizontal="left"/>
    </xf>
    <xf numFmtId="0" fontId="2" fillId="0" borderId="0" xfId="0" applyNumberFormat="1" applyFont="1"/>
    <xf numFmtId="0" fontId="2" fillId="0" borderId="0" xfId="0" applyFont="1" applyAlignment="1">
      <alignment horizontal="left" indent="1"/>
    </xf>
    <xf numFmtId="9" fontId="2" fillId="0" borderId="0" xfId="0" applyNumberFormat="1" applyFont="1"/>
    <xf numFmtId="164" fontId="79" fillId="10" borderId="28" xfId="4" applyNumberFormat="1" applyFont="1" applyFill="1" applyBorder="1" applyAlignment="1">
      <alignment vertical="center"/>
    </xf>
    <xf numFmtId="164" fontId="79" fillId="10" borderId="134" xfId="4" applyNumberFormat="1" applyFont="1" applyFill="1" applyBorder="1" applyAlignment="1">
      <alignment vertical="center"/>
    </xf>
    <xf numFmtId="164" fontId="79" fillId="7" borderId="134" xfId="4" applyNumberFormat="1" applyFont="1" applyFill="1" applyBorder="1" applyAlignment="1">
      <alignment vertical="center"/>
    </xf>
    <xf numFmtId="164" fontId="79" fillId="11" borderId="135" xfId="4" applyNumberFormat="1" applyFont="1" applyFill="1" applyBorder="1" applyAlignment="1">
      <alignment vertical="center"/>
    </xf>
    <xf numFmtId="164" fontId="79" fillId="54" borderId="135" xfId="4" applyNumberFormat="1" applyFont="1" applyFill="1" applyBorder="1" applyAlignment="1">
      <alignment vertical="center" wrapText="1"/>
    </xf>
    <xf numFmtId="164" fontId="79" fillId="17" borderId="135" xfId="4" applyNumberFormat="1" applyFont="1" applyFill="1" applyBorder="1" applyAlignment="1">
      <alignment vertical="center" wrapText="1"/>
    </xf>
    <xf numFmtId="164" fontId="79" fillId="12" borderId="135" xfId="4" applyNumberFormat="1" applyFont="1" applyFill="1" applyBorder="1" applyAlignment="1">
      <alignment vertical="center"/>
    </xf>
    <xf numFmtId="164" fontId="146" fillId="10" borderId="117" xfId="4" applyNumberFormat="1" applyFont="1" applyFill="1" applyBorder="1" applyAlignment="1">
      <alignment vertical="center"/>
    </xf>
    <xf numFmtId="0" fontId="133" fillId="0" borderId="0" xfId="0" applyFont="1" applyBorder="1"/>
    <xf numFmtId="0" fontId="133" fillId="0" borderId="0" xfId="0" applyFont="1"/>
    <xf numFmtId="0" fontId="133" fillId="0" borderId="25" xfId="0" applyFont="1" applyBorder="1"/>
    <xf numFmtId="0" fontId="71" fillId="0" borderId="0" xfId="0" applyFont="1" applyAlignment="1">
      <alignment vertical="center"/>
    </xf>
    <xf numFmtId="164" fontId="71" fillId="0" borderId="0" xfId="0" applyNumberFormat="1" applyFont="1" applyAlignment="1">
      <alignment vertical="center"/>
    </xf>
    <xf numFmtId="0" fontId="189" fillId="0" borderId="0" xfId="0" pivotButton="1" applyFont="1"/>
    <xf numFmtId="0" fontId="189" fillId="0" borderId="0" xfId="0" applyFont="1"/>
    <xf numFmtId="0" fontId="189" fillId="0" borderId="0" xfId="0" pivotButton="1" applyFont="1" applyAlignment="1">
      <alignment wrapText="1"/>
    </xf>
    <xf numFmtId="0" fontId="189" fillId="0" borderId="0" xfId="0" applyFont="1" applyAlignment="1">
      <alignment wrapText="1"/>
    </xf>
    <xf numFmtId="0" fontId="189" fillId="0" borderId="0" xfId="0" applyFont="1" applyAlignment="1">
      <alignment horizontal="left"/>
    </xf>
    <xf numFmtId="0" fontId="189" fillId="0" borderId="0" xfId="0" applyNumberFormat="1" applyFont="1"/>
    <xf numFmtId="164" fontId="189" fillId="0" borderId="0" xfId="0" applyNumberFormat="1" applyFont="1"/>
    <xf numFmtId="9" fontId="189" fillId="0" borderId="0" xfId="0" applyNumberFormat="1" applyFont="1"/>
    <xf numFmtId="0" fontId="190" fillId="29" borderId="0" xfId="0" applyFont="1" applyFill="1"/>
    <xf numFmtId="0" fontId="85" fillId="0" borderId="34" xfId="0" applyFont="1" applyBorder="1" applyAlignment="1">
      <alignment horizontal="left" indent="1"/>
    </xf>
    <xf numFmtId="0" fontId="189" fillId="0" borderId="0" xfId="0" pivotButton="1" applyFont="1" applyAlignment="1">
      <alignment horizontal="center" vertical="center" wrapText="1"/>
    </xf>
    <xf numFmtId="0" fontId="190" fillId="40" borderId="0" xfId="0" applyFont="1" applyFill="1" applyAlignment="1">
      <alignment wrapText="1"/>
    </xf>
    <xf numFmtId="0" fontId="190" fillId="29" borderId="0" xfId="0" applyFont="1" applyFill="1" applyAlignment="1">
      <alignment horizontal="left" vertical="center" wrapText="1"/>
    </xf>
    <xf numFmtId="0" fontId="190" fillId="40" borderId="0" xfId="0" applyFont="1" applyFill="1" applyAlignment="1"/>
    <xf numFmtId="0" fontId="190" fillId="40" borderId="0" xfId="0" applyFont="1" applyFill="1"/>
    <xf numFmtId="3" fontId="189" fillId="0" borderId="0" xfId="0" applyNumberFormat="1" applyFont="1"/>
    <xf numFmtId="0" fontId="189" fillId="0" borderId="0" xfId="0" applyFont="1" applyAlignment="1">
      <alignment horizontal="left" indent="1"/>
    </xf>
    <xf numFmtId="0" fontId="189" fillId="0" borderId="0" xfId="0" applyFont="1" applyAlignment="1">
      <alignment horizontal="center" vertical="center" wrapText="1"/>
    </xf>
    <xf numFmtId="164" fontId="95" fillId="0" borderId="192" xfId="0" applyNumberFormat="1" applyFont="1" applyBorder="1" applyAlignment="1">
      <alignment horizontal="center" vertical="center"/>
    </xf>
    <xf numFmtId="9" fontId="95" fillId="0" borderId="192" xfId="0" applyNumberFormat="1" applyFont="1" applyBorder="1" applyAlignment="1">
      <alignment horizontal="center" vertical="center"/>
    </xf>
    <xf numFmtId="9" fontId="95" fillId="0" borderId="193" xfId="0" applyNumberFormat="1" applyFont="1" applyBorder="1" applyAlignment="1">
      <alignment horizontal="center" vertical="center"/>
    </xf>
    <xf numFmtId="0" fontId="95" fillId="0" borderId="137" xfId="0" applyFont="1" applyBorder="1" applyAlignment="1">
      <alignment vertical="center"/>
    </xf>
    <xf numFmtId="164" fontId="95" fillId="0" borderId="22" xfId="0" applyNumberFormat="1" applyFont="1" applyBorder="1" applyAlignment="1">
      <alignment horizontal="center" vertical="center"/>
    </xf>
    <xf numFmtId="9" fontId="95" fillId="0" borderId="22" xfId="0" applyNumberFormat="1" applyFont="1" applyBorder="1" applyAlignment="1">
      <alignment horizontal="center" vertical="center"/>
    </xf>
    <xf numFmtId="0" fontId="95" fillId="0" borderId="194" xfId="0" applyFont="1" applyBorder="1" applyAlignment="1">
      <alignment vertical="center"/>
    </xf>
    <xf numFmtId="0" fontId="95" fillId="0" borderId="192" xfId="0" applyFont="1" applyBorder="1" applyAlignment="1">
      <alignment horizontal="left" vertical="center"/>
    </xf>
    <xf numFmtId="0" fontId="95" fillId="0" borderId="22" xfId="0" applyFont="1" applyBorder="1" applyAlignment="1">
      <alignment vertical="center"/>
    </xf>
    <xf numFmtId="0" fontId="97" fillId="35" borderId="195" xfId="0" applyFont="1" applyFill="1" applyBorder="1" applyAlignment="1">
      <alignment horizontal="center" vertical="center" wrapText="1"/>
    </xf>
    <xf numFmtId="0" fontId="97" fillId="35" borderId="196" xfId="0" applyFont="1" applyFill="1" applyBorder="1" applyAlignment="1">
      <alignment horizontal="center" vertical="center"/>
    </xf>
    <xf numFmtId="0" fontId="97" fillId="35" borderId="196" xfId="0" applyFont="1" applyFill="1" applyBorder="1" applyAlignment="1">
      <alignment horizontal="center" vertical="center" wrapText="1"/>
    </xf>
    <xf numFmtId="0" fontId="83" fillId="35" borderId="196" xfId="0" applyFont="1" applyFill="1" applyBorder="1" applyAlignment="1">
      <alignment horizontal="center" vertical="center" wrapText="1"/>
    </xf>
    <xf numFmtId="0" fontId="97" fillId="35" borderId="197" xfId="0" applyFont="1" applyFill="1" applyBorder="1" applyAlignment="1">
      <alignment horizontal="center" vertical="center" wrapText="1"/>
    </xf>
    <xf numFmtId="0" fontId="95" fillId="0" borderId="121" xfId="0" applyFont="1" applyFill="1" applyBorder="1"/>
    <xf numFmtId="0" fontId="95" fillId="0" borderId="28" xfId="0" applyFont="1" applyFill="1" applyBorder="1"/>
    <xf numFmtId="164" fontId="95" fillId="0" borderId="28" xfId="0" applyNumberFormat="1" applyFont="1" applyFill="1" applyBorder="1"/>
    <xf numFmtId="164" fontId="95" fillId="0" borderId="28" xfId="4" applyNumberFormat="1" applyFont="1" applyFill="1" applyBorder="1"/>
    <xf numFmtId="9" fontId="95" fillId="0" borderId="28" xfId="0" applyNumberFormat="1" applyFont="1" applyFill="1" applyBorder="1" applyAlignment="1">
      <alignment horizontal="center" vertical="center"/>
    </xf>
    <xf numFmtId="9" fontId="95" fillId="0" borderId="117" xfId="0" applyNumberFormat="1" applyFont="1" applyFill="1" applyBorder="1" applyAlignment="1">
      <alignment horizontal="center" vertical="center"/>
    </xf>
    <xf numFmtId="0" fontId="95" fillId="0" borderId="122" xfId="0" applyFont="1" applyFill="1" applyBorder="1"/>
    <xf numFmtId="0" fontId="95" fillId="0" borderId="198" xfId="0" applyFont="1" applyFill="1" applyBorder="1"/>
    <xf numFmtId="164" fontId="95" fillId="0" borderId="198" xfId="0" applyNumberFormat="1" applyFont="1" applyFill="1" applyBorder="1"/>
    <xf numFmtId="164" fontId="95" fillId="0" borderId="198" xfId="4" applyNumberFormat="1" applyFont="1" applyFill="1" applyBorder="1"/>
    <xf numFmtId="9" fontId="95" fillId="0" borderId="198" xfId="0" applyNumberFormat="1" applyFont="1" applyFill="1" applyBorder="1" applyAlignment="1">
      <alignment horizontal="center" vertical="center"/>
    </xf>
    <xf numFmtId="9" fontId="95" fillId="0" borderId="199" xfId="0" applyNumberFormat="1" applyFont="1" applyFill="1" applyBorder="1" applyAlignment="1">
      <alignment horizontal="center" vertical="center"/>
    </xf>
    <xf numFmtId="0" fontId="159" fillId="59" borderId="205" xfId="0" applyFont="1" applyFill="1" applyBorder="1" applyAlignment="1">
      <alignment vertical="center"/>
    </xf>
    <xf numFmtId="0" fontId="159" fillId="59" borderId="206" xfId="0" applyFont="1" applyFill="1" applyBorder="1" applyAlignment="1">
      <alignment vertical="center"/>
    </xf>
    <xf numFmtId="164" fontId="159" fillId="59" borderId="206" xfId="0" applyNumberFormat="1" applyFont="1" applyFill="1" applyBorder="1" applyAlignment="1">
      <alignment vertical="center"/>
    </xf>
    <xf numFmtId="164" fontId="159" fillId="59" borderId="206" xfId="4" applyNumberFormat="1" applyFont="1" applyFill="1" applyBorder="1" applyAlignment="1">
      <alignment vertical="center"/>
    </xf>
    <xf numFmtId="9" fontId="159" fillId="59" borderId="206" xfId="0" applyNumberFormat="1" applyFont="1" applyFill="1" applyBorder="1" applyAlignment="1">
      <alignment horizontal="center" vertical="center"/>
    </xf>
    <xf numFmtId="9" fontId="159" fillId="59" borderId="207" xfId="0" applyNumberFormat="1" applyFont="1" applyFill="1" applyBorder="1" applyAlignment="1">
      <alignment horizontal="center" vertical="center"/>
    </xf>
    <xf numFmtId="0" fontId="6" fillId="0" borderId="191" xfId="0" applyFont="1" applyFill="1" applyBorder="1" applyAlignment="1">
      <alignment horizontal="left" vertical="center"/>
    </xf>
    <xf numFmtId="0" fontId="6" fillId="0" borderId="208" xfId="0" applyNumberFormat="1" applyFont="1" applyFill="1" applyBorder="1" applyAlignment="1">
      <alignment vertical="center"/>
    </xf>
    <xf numFmtId="0" fontId="6" fillId="0" borderId="208" xfId="4" applyNumberFormat="1" applyFont="1" applyFill="1" applyBorder="1" applyAlignment="1">
      <alignment vertical="center"/>
    </xf>
    <xf numFmtId="164" fontId="6" fillId="0" borderId="208" xfId="4" applyNumberFormat="1" applyFont="1" applyFill="1" applyBorder="1" applyAlignment="1">
      <alignment vertical="center"/>
    </xf>
    <xf numFmtId="9" fontId="6" fillId="0" borderId="208" xfId="0" applyNumberFormat="1" applyFont="1" applyFill="1" applyBorder="1" applyAlignment="1">
      <alignment horizontal="center" vertical="center"/>
    </xf>
    <xf numFmtId="0" fontId="6" fillId="0" borderId="190" xfId="0" applyFont="1" applyFill="1" applyBorder="1" applyAlignment="1">
      <alignment horizontal="center" vertical="center"/>
    </xf>
    <xf numFmtId="0" fontId="83" fillId="35" borderId="200" xfId="0" applyFont="1" applyFill="1" applyBorder="1" applyAlignment="1">
      <alignment horizontal="center" vertical="center" wrapText="1"/>
    </xf>
    <xf numFmtId="0" fontId="83" fillId="35" borderId="201" xfId="0" applyFont="1" applyFill="1" applyBorder="1" applyAlignment="1">
      <alignment horizontal="center" vertical="center"/>
    </xf>
    <xf numFmtId="0" fontId="83" fillId="35" borderId="201" xfId="0" applyFont="1" applyFill="1" applyBorder="1" applyAlignment="1">
      <alignment horizontal="center" vertical="center" wrapText="1"/>
    </xf>
    <xf numFmtId="0" fontId="83" fillId="35" borderId="202" xfId="0" applyFont="1" applyFill="1" applyBorder="1" applyAlignment="1">
      <alignment horizontal="center" vertical="center" wrapText="1"/>
    </xf>
    <xf numFmtId="0" fontId="3" fillId="0" borderId="203" xfId="0" applyFont="1" applyFill="1" applyBorder="1" applyAlignment="1">
      <alignment horizontal="left" vertical="center"/>
    </xf>
    <xf numFmtId="0" fontId="3" fillId="0" borderId="28" xfId="0" applyFont="1" applyFill="1" applyBorder="1" applyAlignment="1">
      <alignment horizontal="left" vertical="center"/>
    </xf>
    <xf numFmtId="0" fontId="3" fillId="0" borderId="28" xfId="4" applyNumberFormat="1" applyFont="1" applyFill="1" applyBorder="1" applyAlignment="1">
      <alignment vertical="center"/>
    </xf>
    <xf numFmtId="164" fontId="3" fillId="0" borderId="28" xfId="4" applyNumberFormat="1" applyFont="1" applyFill="1" applyBorder="1" applyAlignment="1">
      <alignment vertical="center"/>
    </xf>
    <xf numFmtId="9" fontId="3" fillId="0" borderId="28" xfId="0" applyNumberFormat="1" applyFont="1" applyFill="1" applyBorder="1" applyAlignment="1">
      <alignment horizontal="center" vertical="center"/>
    </xf>
    <xf numFmtId="9" fontId="3" fillId="0" borderId="204" xfId="0" applyNumberFormat="1" applyFont="1" applyFill="1" applyBorder="1" applyAlignment="1">
      <alignment horizontal="center" vertical="center"/>
    </xf>
    <xf numFmtId="0" fontId="3" fillId="0" borderId="209" xfId="0" applyFont="1" applyFill="1" applyBorder="1" applyAlignment="1">
      <alignment horizontal="left" vertical="center"/>
    </xf>
    <xf numFmtId="0" fontId="3" fillId="0" borderId="198" xfId="0" applyFont="1" applyFill="1" applyBorder="1" applyAlignment="1">
      <alignment horizontal="left" vertical="center"/>
    </xf>
    <xf numFmtId="0" fontId="3" fillId="0" borderId="198" xfId="4" applyNumberFormat="1" applyFont="1" applyFill="1" applyBorder="1" applyAlignment="1">
      <alignment vertical="center"/>
    </xf>
    <xf numFmtId="164" fontId="3" fillId="0" borderId="198" xfId="4" applyNumberFormat="1" applyFont="1" applyFill="1" applyBorder="1" applyAlignment="1">
      <alignment vertical="center"/>
    </xf>
    <xf numFmtId="9" fontId="3" fillId="0" borderId="198" xfId="0" applyNumberFormat="1" applyFont="1" applyFill="1" applyBorder="1" applyAlignment="1">
      <alignment horizontal="center" vertical="center"/>
    </xf>
    <xf numFmtId="9" fontId="3" fillId="0" borderId="210" xfId="0" applyNumberFormat="1" applyFont="1" applyFill="1" applyBorder="1" applyAlignment="1">
      <alignment horizontal="center" vertical="center"/>
    </xf>
    <xf numFmtId="0" fontId="1" fillId="0" borderId="0" xfId="0" pivotButton="1" applyFont="1"/>
    <xf numFmtId="0" fontId="1" fillId="0" borderId="0" xfId="0" applyFont="1"/>
    <xf numFmtId="0" fontId="1" fillId="0" borderId="0" xfId="0" applyFont="1" applyAlignment="1">
      <alignment horizontal="left"/>
    </xf>
    <xf numFmtId="0" fontId="1" fillId="0" borderId="0" xfId="0" applyNumberFormat="1" applyFont="1"/>
    <xf numFmtId="166" fontId="50" fillId="15" borderId="5" xfId="8" applyFont="1" applyFill="1" applyBorder="1" applyAlignment="1">
      <alignment horizontal="center" vertical="center"/>
    </xf>
    <xf numFmtId="166" fontId="50" fillId="15" borderId="6" xfId="8" applyFont="1" applyFill="1" applyBorder="1" applyAlignment="1">
      <alignment horizontal="center" vertical="center"/>
    </xf>
    <xf numFmtId="166" fontId="50" fillId="15" borderId="7" xfId="8" applyFont="1" applyFill="1" applyBorder="1" applyAlignment="1">
      <alignment horizontal="center" vertical="center"/>
    </xf>
    <xf numFmtId="166" fontId="27" fillId="20" borderId="0" xfId="8" applyFont="1" applyFill="1" applyBorder="1" applyAlignment="1">
      <alignment horizontal="left" wrapText="1"/>
    </xf>
    <xf numFmtId="166" fontId="34" fillId="20" borderId="0" xfId="8" applyFill="1" applyBorder="1" applyAlignment="1">
      <alignment horizontal="left" wrapText="1"/>
    </xf>
    <xf numFmtId="166" fontId="34" fillId="20" borderId="9" xfId="8" applyFill="1" applyBorder="1" applyAlignment="1">
      <alignment horizontal="left" wrapText="1"/>
    </xf>
    <xf numFmtId="0" fontId="49" fillId="0" borderId="140" xfId="0" applyFont="1" applyBorder="1" applyAlignment="1">
      <alignment horizontal="center" vertical="center" wrapText="1"/>
    </xf>
    <xf numFmtId="0" fontId="49" fillId="0" borderId="0" xfId="0" applyFont="1" applyAlignment="1">
      <alignment horizontal="center" vertical="center" wrapText="1"/>
    </xf>
    <xf numFmtId="0" fontId="48" fillId="5" borderId="79" xfId="0" applyFont="1" applyFill="1" applyBorder="1" applyAlignment="1">
      <alignment horizontal="center" vertical="center" wrapText="1"/>
    </xf>
    <xf numFmtId="0" fontId="48" fillId="5" borderId="74" xfId="0" applyFont="1" applyFill="1" applyBorder="1" applyAlignment="1">
      <alignment horizontal="center" vertical="center" wrapText="1"/>
    </xf>
    <xf numFmtId="0" fontId="48" fillId="5" borderId="72" xfId="0" applyFont="1" applyFill="1" applyBorder="1" applyAlignment="1">
      <alignment horizontal="center" vertical="center" wrapText="1"/>
    </xf>
    <xf numFmtId="0" fontId="48" fillId="5" borderId="75" xfId="0" applyFont="1" applyFill="1" applyBorder="1" applyAlignment="1">
      <alignment horizontal="center" vertical="center" wrapText="1"/>
    </xf>
    <xf numFmtId="0" fontId="48" fillId="8" borderId="73" xfId="0" applyFont="1" applyFill="1" applyBorder="1" applyAlignment="1">
      <alignment horizontal="center" vertical="center" wrapText="1"/>
    </xf>
    <xf numFmtId="0" fontId="48" fillId="8" borderId="79" xfId="0" applyFont="1" applyFill="1" applyBorder="1" applyAlignment="1">
      <alignment horizontal="center" vertical="center" wrapText="1"/>
    </xf>
    <xf numFmtId="0" fontId="48" fillId="8" borderId="85" xfId="0" applyFont="1" applyFill="1" applyBorder="1" applyAlignment="1">
      <alignment horizontal="center" vertical="center" wrapText="1"/>
    </xf>
    <xf numFmtId="0" fontId="48" fillId="8" borderId="86" xfId="0" applyFont="1" applyFill="1" applyBorder="1" applyAlignment="1">
      <alignment horizontal="center" vertical="center" wrapText="1"/>
    </xf>
    <xf numFmtId="0" fontId="48" fillId="8" borderId="87" xfId="0" applyFont="1" applyFill="1" applyBorder="1" applyAlignment="1">
      <alignment horizontal="center" vertical="center" wrapText="1"/>
    </xf>
    <xf numFmtId="0" fontId="48" fillId="8" borderId="88" xfId="0" applyFont="1" applyFill="1" applyBorder="1" applyAlignment="1">
      <alignment horizontal="center" vertical="center" wrapText="1"/>
    </xf>
    <xf numFmtId="0" fontId="48" fillId="5" borderId="85" xfId="0" applyFont="1" applyFill="1" applyBorder="1" applyAlignment="1">
      <alignment horizontal="center" vertical="center"/>
    </xf>
    <xf numFmtId="0" fontId="48" fillId="5" borderId="91" xfId="0" applyFont="1" applyFill="1" applyBorder="1" applyAlignment="1">
      <alignment horizontal="center" vertical="center"/>
    </xf>
    <xf numFmtId="0" fontId="48" fillId="5" borderId="87" xfId="0" applyFont="1" applyFill="1" applyBorder="1" applyAlignment="1">
      <alignment horizontal="center" vertical="center"/>
    </xf>
    <xf numFmtId="0" fontId="48" fillId="5" borderId="92" xfId="0" applyFont="1" applyFill="1" applyBorder="1" applyAlignment="1">
      <alignment horizontal="center" vertical="center"/>
    </xf>
    <xf numFmtId="0" fontId="48" fillId="5" borderId="89" xfId="0" applyFont="1" applyFill="1" applyBorder="1" applyAlignment="1">
      <alignment horizontal="center" vertical="center"/>
    </xf>
    <xf numFmtId="0" fontId="48" fillId="5" borderId="90" xfId="0" applyFont="1" applyFill="1" applyBorder="1" applyAlignment="1">
      <alignment horizontal="center" vertical="center"/>
    </xf>
    <xf numFmtId="0" fontId="48" fillId="8" borderId="72" xfId="0" applyFont="1" applyFill="1" applyBorder="1" applyAlignment="1">
      <alignment horizontal="center" vertical="center" wrapText="1"/>
    </xf>
    <xf numFmtId="0" fontId="48" fillId="5" borderId="85" xfId="0" applyFont="1" applyFill="1" applyBorder="1" applyAlignment="1">
      <alignment horizontal="center" vertical="center" wrapText="1"/>
    </xf>
    <xf numFmtId="0" fontId="48" fillId="5" borderId="86" xfId="0" applyFont="1" applyFill="1" applyBorder="1" applyAlignment="1">
      <alignment horizontal="center" vertical="center" wrapText="1"/>
    </xf>
    <xf numFmtId="0" fontId="48" fillId="5" borderId="87" xfId="0" applyFont="1" applyFill="1" applyBorder="1" applyAlignment="1">
      <alignment horizontal="center" vertical="center" wrapText="1"/>
    </xf>
    <xf numFmtId="0" fontId="48" fillId="5" borderId="88" xfId="0" applyFont="1" applyFill="1" applyBorder="1" applyAlignment="1">
      <alignment horizontal="center" vertical="center" wrapText="1"/>
    </xf>
    <xf numFmtId="0" fontId="37" fillId="44" borderId="67" xfId="21" applyNumberFormat="1" applyFont="1" applyFill="1" applyBorder="1" applyAlignment="1">
      <alignment horizontal="center" vertical="center"/>
    </xf>
    <xf numFmtId="0" fontId="37" fillId="44" borderId="64" xfId="21" applyNumberFormat="1" applyFont="1" applyFill="1" applyBorder="1" applyAlignment="1">
      <alignment horizontal="center" vertical="center"/>
    </xf>
    <xf numFmtId="0" fontId="48" fillId="5" borderId="74" xfId="0" applyFont="1" applyFill="1" applyBorder="1" applyAlignment="1">
      <alignment horizontal="center" vertical="center"/>
    </xf>
    <xf numFmtId="0" fontId="48" fillId="5" borderId="72" xfId="0" applyFont="1" applyFill="1" applyBorder="1" applyAlignment="1">
      <alignment horizontal="center" vertical="center"/>
    </xf>
    <xf numFmtId="0" fontId="48" fillId="5" borderId="75" xfId="0" applyFont="1" applyFill="1" applyBorder="1" applyAlignment="1">
      <alignment horizontal="center" vertical="center"/>
    </xf>
    <xf numFmtId="0" fontId="48" fillId="5" borderId="73" xfId="0" applyFont="1" applyFill="1" applyBorder="1" applyAlignment="1">
      <alignment horizontal="center" vertical="center"/>
    </xf>
    <xf numFmtId="0" fontId="48" fillId="5" borderId="80" xfId="0" applyFont="1" applyFill="1" applyBorder="1" applyAlignment="1">
      <alignment horizontal="center" vertical="center" wrapText="1"/>
    </xf>
    <xf numFmtId="0" fontId="48" fillId="5" borderId="81" xfId="0" applyFont="1" applyFill="1" applyBorder="1" applyAlignment="1">
      <alignment horizontal="center" vertical="center" wrapText="1"/>
    </xf>
    <xf numFmtId="0" fontId="48" fillId="5" borderId="82" xfId="0" applyFont="1" applyFill="1" applyBorder="1" applyAlignment="1">
      <alignment horizontal="center" vertical="center" wrapText="1"/>
    </xf>
    <xf numFmtId="0" fontId="48" fillId="5" borderId="83" xfId="0" applyFont="1" applyFill="1" applyBorder="1" applyAlignment="1">
      <alignment horizontal="center" vertical="center" wrapText="1"/>
    </xf>
    <xf numFmtId="9" fontId="123" fillId="16" borderId="109" xfId="18" applyNumberFormat="1" applyFont="1" applyFill="1" applyBorder="1" applyAlignment="1">
      <alignment horizontal="center" vertical="center" wrapText="1" readingOrder="1"/>
    </xf>
    <xf numFmtId="9" fontId="123" fillId="16" borderId="110" xfId="18" applyNumberFormat="1" applyFont="1" applyFill="1" applyBorder="1" applyAlignment="1">
      <alignment horizontal="center" vertical="center" wrapText="1" readingOrder="1"/>
    </xf>
    <xf numFmtId="9" fontId="123" fillId="16" borderId="111" xfId="18" applyNumberFormat="1" applyFont="1" applyFill="1" applyBorder="1" applyAlignment="1">
      <alignment horizontal="center" vertical="center" wrapText="1" readingOrder="1"/>
    </xf>
    <xf numFmtId="0" fontId="47" fillId="42" borderId="112" xfId="21" applyFont="1" applyFill="1" applyBorder="1" applyAlignment="1">
      <alignment horizontal="center" vertical="center" readingOrder="1"/>
    </xf>
    <xf numFmtId="0" fontId="47" fillId="42" borderId="0" xfId="21" applyFont="1" applyFill="1" applyAlignment="1">
      <alignment horizontal="center" vertical="center" readingOrder="1"/>
    </xf>
    <xf numFmtId="0" fontId="47" fillId="38" borderId="158" xfId="0" applyFont="1" applyFill="1" applyBorder="1" applyAlignment="1">
      <alignment horizontal="center" vertical="center" textRotation="90" wrapText="1"/>
    </xf>
    <xf numFmtId="0" fontId="47" fillId="42" borderId="108" xfId="21" applyFont="1" applyFill="1" applyBorder="1" applyAlignment="1">
      <alignment horizontal="center" vertical="center" textRotation="90" readingOrder="1"/>
    </xf>
    <xf numFmtId="0" fontId="47" fillId="42" borderId="0" xfId="21" applyFont="1" applyFill="1" applyAlignment="1">
      <alignment horizontal="center" vertical="center" textRotation="90" readingOrder="1"/>
    </xf>
    <xf numFmtId="0" fontId="118" fillId="0" borderId="0" xfId="18" applyFont="1" applyAlignment="1">
      <alignment horizontal="left" vertical="center"/>
    </xf>
    <xf numFmtId="0" fontId="47" fillId="2" borderId="63" xfId="21" applyFont="1" applyFill="1" applyBorder="1" applyAlignment="1">
      <alignment horizontal="center" vertical="center" textRotation="90" readingOrder="1"/>
    </xf>
    <xf numFmtId="0" fontId="47" fillId="2" borderId="107" xfId="21" applyFont="1" applyFill="1" applyBorder="1" applyAlignment="1">
      <alignment horizontal="center" vertical="center" textRotation="90" readingOrder="1"/>
    </xf>
    <xf numFmtId="0" fontId="47" fillId="2" borderId="65" xfId="21" applyFont="1" applyFill="1" applyBorder="1" applyAlignment="1">
      <alignment horizontal="center" vertical="center" textRotation="90" readingOrder="1"/>
    </xf>
    <xf numFmtId="0" fontId="47" fillId="14" borderId="63" xfId="21" applyFont="1" applyFill="1" applyBorder="1" applyAlignment="1">
      <alignment horizontal="center" vertical="center" textRotation="90" readingOrder="1"/>
    </xf>
    <xf numFmtId="0" fontId="47" fillId="14" borderId="107" xfId="21" applyFont="1" applyFill="1" applyBorder="1" applyAlignment="1">
      <alignment horizontal="center" vertical="center" textRotation="90" readingOrder="1"/>
    </xf>
    <xf numFmtId="0" fontId="47" fillId="14" borderId="65" xfId="21" applyFont="1" applyFill="1" applyBorder="1" applyAlignment="1">
      <alignment horizontal="center" vertical="center" textRotation="90" readingOrder="1"/>
    </xf>
    <xf numFmtId="0" fontId="47" fillId="38" borderId="63" xfId="21" applyFont="1" applyFill="1" applyBorder="1" applyAlignment="1">
      <alignment horizontal="center" vertical="center" textRotation="90" readingOrder="1"/>
    </xf>
    <xf numFmtId="0" fontId="47" fillId="38" borderId="107" xfId="21" applyFont="1" applyFill="1" applyBorder="1" applyAlignment="1">
      <alignment horizontal="center" vertical="center" textRotation="90" readingOrder="1"/>
    </xf>
    <xf numFmtId="0" fontId="47" fillId="38" borderId="65" xfId="21" applyFont="1" applyFill="1" applyBorder="1" applyAlignment="1">
      <alignment horizontal="center" vertical="center" textRotation="90" readingOrder="1"/>
    </xf>
    <xf numFmtId="0" fontId="47" fillId="9" borderId="63" xfId="21" applyFont="1" applyFill="1" applyBorder="1" applyAlignment="1">
      <alignment horizontal="center" vertical="center" textRotation="90" readingOrder="1"/>
    </xf>
    <xf numFmtId="0" fontId="47" fillId="9" borderId="107" xfId="21" applyFont="1" applyFill="1" applyBorder="1" applyAlignment="1">
      <alignment horizontal="center" vertical="center" textRotation="90" readingOrder="1"/>
    </xf>
    <xf numFmtId="0" fontId="47" fillId="9" borderId="65" xfId="21" applyFont="1" applyFill="1" applyBorder="1" applyAlignment="1">
      <alignment horizontal="center" vertical="center" textRotation="90" readingOrder="1"/>
    </xf>
    <xf numFmtId="0" fontId="47" fillId="16" borderId="63" xfId="21" applyFont="1" applyFill="1" applyBorder="1" applyAlignment="1">
      <alignment horizontal="center" vertical="center" textRotation="90" readingOrder="1"/>
    </xf>
    <xf numFmtId="0" fontId="47" fillId="16" borderId="107" xfId="21" applyFont="1" applyFill="1" applyBorder="1" applyAlignment="1">
      <alignment horizontal="center" vertical="center" textRotation="90" readingOrder="1"/>
    </xf>
    <xf numFmtId="0" fontId="47" fillId="16" borderId="65" xfId="21" applyFont="1" applyFill="1" applyBorder="1" applyAlignment="1">
      <alignment horizontal="center" vertical="center" textRotation="90" readingOrder="1"/>
    </xf>
    <xf numFmtId="0" fontId="47" fillId="38" borderId="160" xfId="0" applyFont="1" applyFill="1" applyBorder="1" applyAlignment="1">
      <alignment horizontal="center" vertical="center" textRotation="90" wrapText="1"/>
    </xf>
    <xf numFmtId="0" fontId="120" fillId="0" borderId="0" xfId="18" applyFont="1" applyAlignment="1">
      <alignment horizontal="left" vertical="center"/>
    </xf>
    <xf numFmtId="0" fontId="78" fillId="0" borderId="162" xfId="0" applyFont="1" applyBorder="1" applyAlignment="1">
      <alignment horizontal="center" vertical="center" wrapText="1"/>
    </xf>
    <xf numFmtId="0" fontId="78" fillId="0" borderId="163" xfId="0" applyFont="1" applyBorder="1" applyAlignment="1">
      <alignment horizontal="center" vertical="center" wrapText="1"/>
    </xf>
    <xf numFmtId="0" fontId="79" fillId="0" borderId="115" xfId="0" applyFont="1" applyBorder="1" applyAlignment="1">
      <alignment horizontal="center" vertical="center" wrapText="1"/>
    </xf>
    <xf numFmtId="0" fontId="79" fillId="0" borderId="116" xfId="0" applyFont="1" applyBorder="1" applyAlignment="1">
      <alignment horizontal="center" vertical="center" wrapText="1"/>
    </xf>
    <xf numFmtId="0" fontId="77" fillId="14" borderId="113" xfId="0" applyFont="1" applyFill="1" applyBorder="1" applyAlignment="1">
      <alignment horizontal="center" vertical="center" wrapText="1"/>
    </xf>
    <xf numFmtId="0" fontId="77" fillId="14" borderId="119" xfId="0" applyFont="1" applyFill="1" applyBorder="1" applyAlignment="1">
      <alignment horizontal="center" vertical="center" wrapText="1"/>
    </xf>
    <xf numFmtId="0" fontId="77" fillId="14" borderId="114" xfId="0" applyFont="1" applyFill="1" applyBorder="1" applyAlignment="1">
      <alignment horizontal="center" vertical="center" wrapText="1"/>
    </xf>
    <xf numFmtId="0" fontId="71" fillId="0" borderId="0" xfId="0" applyFont="1" applyBorder="1" applyAlignment="1">
      <alignment horizontal="center"/>
    </xf>
    <xf numFmtId="0" fontId="71" fillId="0" borderId="32" xfId="0" applyFont="1" applyBorder="1" applyAlignment="1">
      <alignment horizontal="center"/>
    </xf>
    <xf numFmtId="0" fontId="40" fillId="16" borderId="4" xfId="21" applyFont="1" applyFill="1" applyBorder="1" applyAlignment="1">
      <alignment horizontal="center" vertical="center" wrapText="1"/>
    </xf>
    <xf numFmtId="0" fontId="77" fillId="45" borderId="122" xfId="0" applyFont="1" applyFill="1" applyBorder="1" applyAlignment="1">
      <alignment horizontal="center" vertical="center" wrapText="1"/>
    </xf>
    <xf numFmtId="0" fontId="77" fillId="45" borderId="123" xfId="0" applyFont="1" applyFill="1" applyBorder="1" applyAlignment="1">
      <alignment horizontal="center" vertical="center" wrapText="1"/>
    </xf>
    <xf numFmtId="0" fontId="77" fillId="45" borderId="124" xfId="0" applyFont="1" applyFill="1" applyBorder="1" applyAlignment="1">
      <alignment horizontal="center" vertical="center" wrapText="1"/>
    </xf>
    <xf numFmtId="0" fontId="40" fillId="42" borderId="115" xfId="21" applyFont="1" applyFill="1" applyBorder="1" applyAlignment="1">
      <alignment horizontal="center" vertical="center" wrapText="1"/>
    </xf>
    <xf numFmtId="0" fontId="40" fillId="42" borderId="120" xfId="21" applyFont="1" applyFill="1" applyBorder="1" applyAlignment="1">
      <alignment horizontal="center" vertical="center" wrapText="1"/>
    </xf>
    <xf numFmtId="0" fontId="40" fillId="42" borderId="116" xfId="21" applyFont="1" applyFill="1" applyBorder="1" applyAlignment="1">
      <alignment horizontal="center" vertical="center" wrapText="1"/>
    </xf>
    <xf numFmtId="0" fontId="77" fillId="36" borderId="122" xfId="0" applyFont="1" applyFill="1" applyBorder="1" applyAlignment="1">
      <alignment horizontal="center" vertical="center" wrapText="1"/>
    </xf>
    <xf numFmtId="0" fontId="77" fillId="36" borderId="123" xfId="0" applyFont="1" applyFill="1" applyBorder="1" applyAlignment="1">
      <alignment horizontal="center" vertical="center" wrapText="1"/>
    </xf>
    <xf numFmtId="0" fontId="77" fillId="36" borderId="124" xfId="0" applyFont="1" applyFill="1" applyBorder="1" applyAlignment="1">
      <alignment horizontal="center" vertical="center" wrapText="1"/>
    </xf>
    <xf numFmtId="0" fontId="77" fillId="8" borderId="113" xfId="0" applyFont="1" applyFill="1" applyBorder="1" applyAlignment="1">
      <alignment horizontal="center" vertical="center" wrapText="1"/>
    </xf>
    <xf numFmtId="0" fontId="77" fillId="8" borderId="119" xfId="0" applyFont="1" applyFill="1" applyBorder="1" applyAlignment="1">
      <alignment horizontal="center" vertical="center" wrapText="1"/>
    </xf>
    <xf numFmtId="0" fontId="77" fillId="8" borderId="114" xfId="0" applyFont="1" applyFill="1" applyBorder="1" applyAlignment="1">
      <alignment horizontal="center" vertical="center" wrapText="1"/>
    </xf>
    <xf numFmtId="0" fontId="25" fillId="0" borderId="0" xfId="0" applyFont="1" applyAlignment="1">
      <alignment horizontal="center"/>
    </xf>
    <xf numFmtId="0" fontId="30" fillId="0" borderId="0" xfId="0" applyFont="1" applyAlignment="1">
      <alignment horizontal="center"/>
    </xf>
    <xf numFmtId="0" fontId="24" fillId="0" borderId="96" xfId="0" applyFont="1" applyBorder="1" applyAlignment="1">
      <alignment horizontal="center"/>
    </xf>
    <xf numFmtId="0" fontId="30" fillId="0" borderId="96" xfId="0" applyFont="1" applyBorder="1" applyAlignment="1">
      <alignment horizontal="center"/>
    </xf>
    <xf numFmtId="0" fontId="94" fillId="41" borderId="0" xfId="0" applyFont="1" applyFill="1" applyAlignment="1">
      <alignment horizontal="center" vertical="center"/>
    </xf>
    <xf numFmtId="0" fontId="82" fillId="26" borderId="0" xfId="0" applyFont="1" applyFill="1" applyAlignment="1">
      <alignment horizontal="center" vertical="center" wrapText="1"/>
    </xf>
    <xf numFmtId="164" fontId="81" fillId="15" borderId="0" xfId="4" applyNumberFormat="1" applyFont="1" applyFill="1" applyAlignment="1">
      <alignment horizontal="center" vertical="center" wrapText="1"/>
    </xf>
  </cellXfs>
  <cellStyles count="145">
    <cellStyle name="20% - Accent1" xfId="80" builtinId="30"/>
    <cellStyle name="20% - Accent1 2" xfId="140" xr:uid="{B490BE49-AD5C-4126-AD8A-5C1543AEBB76}"/>
    <cellStyle name="Bad 2" xfId="23" xr:uid="{00000000-0005-0000-0000-000000000000}"/>
    <cellStyle name="Bad 2 2" xfId="56" xr:uid="{00000000-0005-0000-0000-00003C000000}"/>
    <cellStyle name="Comma" xfId="4" builtinId="3"/>
    <cellStyle name="Comma 2" xfId="7" xr:uid="{00000000-0005-0000-0000-000002000000}"/>
    <cellStyle name="Comma 2 2" xfId="16" xr:uid="{00000000-0005-0000-0000-000003000000}"/>
    <cellStyle name="Comma 2 2 2" xfId="31" xr:uid="{00000000-0005-0000-0000-000003000000}"/>
    <cellStyle name="Comma 2 2 2 2" xfId="48" xr:uid="{00000000-0005-0000-0000-000014000000}"/>
    <cellStyle name="Comma 2 2 2 2 2" xfId="113" xr:uid="{57F9FD4F-C2CE-471B-85AA-8D74E5C3A409}"/>
    <cellStyle name="Comma 2 2 2 3" xfId="97" xr:uid="{CB89F8A7-D9E0-4349-9E02-6C03D67A8FA8}"/>
    <cellStyle name="Comma 2 2 3" xfId="40" xr:uid="{00000000-0005-0000-0000-000003000000}"/>
    <cellStyle name="Comma 2 2 3 2" xfId="51" xr:uid="{00000000-0005-0000-0000-00001F000000}"/>
    <cellStyle name="Comma 2 2 3 2 2" xfId="116" xr:uid="{4BB1A080-227B-41BF-93A2-B9320B2C1CF9}"/>
    <cellStyle name="Comma 2 2 3 3" xfId="106" xr:uid="{704546F9-1387-4160-9C51-D6854149F41D}"/>
    <cellStyle name="Comma 2 2 4" xfId="58" xr:uid="{00000000-0005-0000-0000-00003E000000}"/>
    <cellStyle name="Comma 2 2 4 2" xfId="120" xr:uid="{1C7594AD-09D7-4193-B7C0-C694E3265C91}"/>
    <cellStyle name="Comma 2 2 5" xfId="88" xr:uid="{59E3C9B4-CD5C-4B76-BC7B-EA94E2A9C3AE}"/>
    <cellStyle name="Comma 2 3" xfId="26" xr:uid="{00000000-0005-0000-0000-000002000000}"/>
    <cellStyle name="Comma 2 3 2" xfId="46" xr:uid="{00000000-0005-0000-0000-00000E000000}"/>
    <cellStyle name="Comma 2 3 2 2" xfId="111" xr:uid="{CC61F93B-680D-42AD-8765-6B7A1ABEA53B}"/>
    <cellStyle name="Comma 2 3 3" xfId="92" xr:uid="{E4302EEA-E4DC-4A3F-9F71-F41A49C774DF}"/>
    <cellStyle name="Comma 2 4" xfId="35" xr:uid="{00000000-0005-0000-0000-000001000000}"/>
    <cellStyle name="Comma 2 4 2" xfId="60" xr:uid="{00000000-0005-0000-0000-000040000000}"/>
    <cellStyle name="Comma 2 4 2 2" xfId="122" xr:uid="{974F39D7-0353-4C31-AAC7-1A20D3E3DFFA}"/>
    <cellStyle name="Comma 2 4 3" xfId="101" xr:uid="{C45408F6-EC26-4605-9A4C-996C7BCE689F}"/>
    <cellStyle name="Comma 2 5" xfId="47" xr:uid="{00000000-0005-0000-0000-000011000000}"/>
    <cellStyle name="Comma 2 5 2" xfId="112" xr:uid="{FAB957B3-FD0E-475C-982E-C3BFEAEB17B3}"/>
    <cellStyle name="Comma 2 6" xfId="83" xr:uid="{F97A1E7F-7767-4857-874C-B0AF638786C9}"/>
    <cellStyle name="Comma 3" xfId="43" xr:uid="{00000000-0005-0000-0000-000058000000}"/>
    <cellStyle name="Comma 3 2" xfId="108" xr:uid="{1BB44DCD-7D33-46F1-A79F-AAE17842018B}"/>
    <cellStyle name="Comma 4" xfId="5" xr:uid="{00000000-0005-0000-0000-000004000000}"/>
    <cellStyle name="Comma 4 2" xfId="50" xr:uid="{00000000-0005-0000-0000-00001C000000}"/>
    <cellStyle name="Comma 4 2 2" xfId="115" xr:uid="{6BEEC0EA-8725-487D-8571-8B4F02CFBAB9}"/>
    <cellStyle name="Comma 5" xfId="144" xr:uid="{7FB21548-766E-45E5-81D5-3BE96843685D}"/>
    <cellStyle name="Currency 2" xfId="143" xr:uid="{2DFFC304-68C9-404F-B900-66654532EBAA}"/>
    <cellStyle name="Good 2" xfId="22" xr:uid="{00000000-0005-0000-0000-000005000000}"/>
    <cellStyle name="Good 2 2" xfId="55" xr:uid="{00000000-0005-0000-0000-00003A000000}"/>
    <cellStyle name="Heading 1 2" xfId="12" xr:uid="{00000000-0005-0000-0000-000006000000}"/>
    <cellStyle name="Heading 1 2 2" xfId="61" xr:uid="{00000000-0005-0000-0000-000041000000}"/>
    <cellStyle name="Normal" xfId="0" builtinId="0"/>
    <cellStyle name="Normal 2" xfId="8" xr:uid="{00000000-0005-0000-0000-000008000000}"/>
    <cellStyle name="Normal 2 2" xfId="13" xr:uid="{00000000-0005-0000-0000-000009000000}"/>
    <cellStyle name="Normal 2 2 2" xfId="28" xr:uid="{00000000-0005-0000-0000-000009000000}"/>
    <cellStyle name="Normal 2 2 2 2" xfId="59" xr:uid="{00000000-0005-0000-0000-00003F000000}"/>
    <cellStyle name="Normal 2 2 2 2 2" xfId="121" xr:uid="{33934AB4-6900-4496-96F4-70AC14946F0A}"/>
    <cellStyle name="Normal 2 2 2 3" xfId="94" xr:uid="{9CE9BCFF-154B-49EE-BFC9-9FA6C67BEB73}"/>
    <cellStyle name="Normal 2 2 3" xfId="37" xr:uid="{00000000-0005-0000-0000-00001F000000}"/>
    <cellStyle name="Normal 2 2 3 2" xfId="49" xr:uid="{00000000-0005-0000-0000-000017000000}"/>
    <cellStyle name="Normal 2 2 3 2 2" xfId="114" xr:uid="{E75890A6-B0BB-44E7-AAB4-2F86540C9070}"/>
    <cellStyle name="Normal 2 2 3 3" xfId="103" xr:uid="{8CBED9B1-321A-4738-9258-C17B83FD4270}"/>
    <cellStyle name="Normal 2 2 4" xfId="52" xr:uid="{00000000-0005-0000-0000-000021000000}"/>
    <cellStyle name="Normal 2 2 4 2" xfId="117" xr:uid="{A36540CB-A95E-4D98-9B0B-8ABF5E9ED017}"/>
    <cellStyle name="Normal 2 2 5" xfId="85" xr:uid="{8CFE22E8-C7B9-4162-801A-A519AD95C7D2}"/>
    <cellStyle name="Normal 2 3" xfId="17" xr:uid="{00000000-0005-0000-0000-00000A000000}"/>
    <cellStyle name="Normal 2 3 2" xfId="32" xr:uid="{00000000-0005-0000-0000-00000A000000}"/>
    <cellStyle name="Normal 2 3 2 2" xfId="53" xr:uid="{00000000-0005-0000-0000-00002C000000}"/>
    <cellStyle name="Normal 2 3 2 2 2" xfId="118" xr:uid="{CAD2CFC8-4480-4605-8512-E69FBDDFB3EB}"/>
    <cellStyle name="Normal 2 3 2 3" xfId="98" xr:uid="{443C0551-EC0B-4C83-86D0-4444A12E1B1C}"/>
    <cellStyle name="Normal 2 3 3" xfId="41" xr:uid="{00000000-0005-0000-0000-000020000000}"/>
    <cellStyle name="Normal 2 3 3 2" xfId="63" xr:uid="{00000000-0005-0000-0000-000043000000}"/>
    <cellStyle name="Normal 2 3 3 2 2" xfId="124" xr:uid="{59EC2101-EACF-4362-A30F-8A98674F2529}"/>
    <cellStyle name="Normal 2 3 3 3" xfId="107" xr:uid="{579E8BAE-9D1D-4F02-B9F7-7BE6748D87F2}"/>
    <cellStyle name="Normal 2 3 4" xfId="62" xr:uid="{00000000-0005-0000-0000-000042000000}"/>
    <cellStyle name="Normal 2 3 4 2" xfId="123" xr:uid="{BF5F6A8A-8736-4C5A-8549-3531C6797252}"/>
    <cellStyle name="Normal 2 3 5" xfId="89" xr:uid="{1C975370-F3E4-42B6-A881-E4512D44B15B}"/>
    <cellStyle name="Normal 2 4" xfId="21" xr:uid="{00000000-0005-0000-0000-00000B000000}"/>
    <cellStyle name="Normal 2 4 2" xfId="64" xr:uid="{00000000-0005-0000-0000-000044000000}"/>
    <cellStyle name="Normal 2 4 2 2" xfId="125" xr:uid="{3726D794-64AA-46DD-A6E1-E66D48C691E2}"/>
    <cellStyle name="Normal 2 5" xfId="27" xr:uid="{00000000-0005-0000-0000-000008000000}"/>
    <cellStyle name="Normal 2 5 2" xfId="65" xr:uid="{00000000-0005-0000-0000-000045000000}"/>
    <cellStyle name="Normal 2 5 2 2" xfId="126" xr:uid="{ACEE3486-C2F5-4026-B594-E2D004EF89AA}"/>
    <cellStyle name="Normal 2 5 3" xfId="93" xr:uid="{A210B21A-FA10-458A-9381-98458C652EE5}"/>
    <cellStyle name="Normal 2 6" xfId="36" xr:uid="{00000000-0005-0000-0000-000005000000}"/>
    <cellStyle name="Normal 2 6 2" xfId="66" xr:uid="{00000000-0005-0000-0000-000046000000}"/>
    <cellStyle name="Normal 2 6 2 2" xfId="127" xr:uid="{90D191FC-121D-42C1-8833-A6D9AC775992}"/>
    <cellStyle name="Normal 2 6 3" xfId="102" xr:uid="{CE50BC16-625D-4F0F-8268-A756A77753B9}"/>
    <cellStyle name="Normal 2 7" xfId="54" xr:uid="{00000000-0005-0000-0000-000033000000}"/>
    <cellStyle name="Normal 2 7 2" xfId="119" xr:uid="{F6FECD52-C60D-4FF0-BEDF-2F888B19AAB8}"/>
    <cellStyle name="Normal 2 8" xfId="84" xr:uid="{5C5DC6ED-4CB5-4AEE-8999-A05F6EDFF38A}"/>
    <cellStyle name="Normal 3" xfId="10" xr:uid="{00000000-0005-0000-0000-00000C000000}"/>
    <cellStyle name="Normal 3 2" xfId="18" xr:uid="{00000000-0005-0000-0000-00000D000000}"/>
    <cellStyle name="Normal 4" xfId="2" xr:uid="{00000000-0005-0000-0000-00000E000000}"/>
    <cellStyle name="Normal 4 2" xfId="14" xr:uid="{00000000-0005-0000-0000-00000F000000}"/>
    <cellStyle name="Normal 4 2 2" xfId="29" xr:uid="{00000000-0005-0000-0000-00000F000000}"/>
    <cellStyle name="Normal 4 2 2 2" xfId="69" xr:uid="{00000000-0005-0000-0000-00004B000000}"/>
    <cellStyle name="Normal 4 2 2 2 2" xfId="130" xr:uid="{E2ACB85C-4414-4D46-88CE-E4E6DBB2C6D4}"/>
    <cellStyle name="Normal 4 2 2 3" xfId="95" xr:uid="{E1F4ECEE-5661-4442-AD4C-6694AE6534D0}"/>
    <cellStyle name="Normal 4 2 3" xfId="38" xr:uid="{00000000-0005-0000-0000-000025000000}"/>
    <cellStyle name="Normal 4 2 3 2" xfId="70" xr:uid="{00000000-0005-0000-0000-00004C000000}"/>
    <cellStyle name="Normal 4 2 3 2 2" xfId="131" xr:uid="{99BAFC7A-5ACA-47C4-88C7-366F54392871}"/>
    <cellStyle name="Normal 4 2 3 3" xfId="104" xr:uid="{8E963DF1-4861-47DB-AB21-F924774C7E97}"/>
    <cellStyle name="Normal 4 2 4" xfId="68" xr:uid="{00000000-0005-0000-0000-00004A000000}"/>
    <cellStyle name="Normal 4 2 4 2" xfId="129" xr:uid="{6E1DE146-8569-402C-8F17-E15C3FA61AFB}"/>
    <cellStyle name="Normal 4 2 5" xfId="86" xr:uid="{AD9D6F0B-6142-4128-9355-2A51DE56684F}"/>
    <cellStyle name="Normal 4 3" xfId="24" xr:uid="{00000000-0005-0000-0000-00000E000000}"/>
    <cellStyle name="Normal 4 3 2" xfId="71" xr:uid="{00000000-0005-0000-0000-00004D000000}"/>
    <cellStyle name="Normal 4 3 2 2" xfId="132" xr:uid="{B8AB876D-41DC-4086-91A8-E0393F022C58}"/>
    <cellStyle name="Normal 4 3 3" xfId="90" xr:uid="{E74C908C-9C1D-4E7E-A0C7-F4D372FD592C}"/>
    <cellStyle name="Normal 4 4" xfId="33" xr:uid="{00000000-0005-0000-0000-000006000000}"/>
    <cellStyle name="Normal 4 4 2" xfId="72" xr:uid="{00000000-0005-0000-0000-00004E000000}"/>
    <cellStyle name="Normal 4 4 2 2" xfId="133" xr:uid="{1175A1C2-5F27-44EF-8E25-2BC3ED8EDECB}"/>
    <cellStyle name="Normal 4 4 3" xfId="99" xr:uid="{CB72B3DA-63EC-46D3-9CC3-333555F670C9}"/>
    <cellStyle name="Normal 4 5" xfId="67" xr:uid="{00000000-0005-0000-0000-000049000000}"/>
    <cellStyle name="Normal 4 5 2" xfId="128" xr:uid="{BD483519-F13B-44D7-ABAB-4844E43974A9}"/>
    <cellStyle name="Normal 4 6" xfId="81" xr:uid="{5E122B7C-F10C-4D11-888C-2B491059E25C}"/>
    <cellStyle name="Normal 5" xfId="42" xr:uid="{00000000-0005-0000-0000-000062000000}"/>
    <cellStyle name="Normal 6" xfId="141" xr:uid="{9B0E6D57-9917-4640-92C3-AA9393F4237D}"/>
    <cellStyle name="Normal_Sheet3_1" xfId="20" xr:uid="{00000000-0005-0000-0000-000011000000}"/>
    <cellStyle name="Normal_Township" xfId="9" xr:uid="{00000000-0005-0000-0000-000012000000}"/>
    <cellStyle name="Percent" xfId="1" builtinId="5"/>
    <cellStyle name="Percent 2" xfId="3" xr:uid="{00000000-0005-0000-0000-000014000000}"/>
    <cellStyle name="Percent 2 2" xfId="6" xr:uid="{00000000-0005-0000-0000-000015000000}"/>
    <cellStyle name="Percent 2 2 2" xfId="74" xr:uid="{00000000-0005-0000-0000-000053000000}"/>
    <cellStyle name="Percent 2 2 2 2" xfId="135" xr:uid="{E0223DB7-594F-457C-8A83-86E30EC8AFAF}"/>
    <cellStyle name="Percent 2 3" xfId="15" xr:uid="{00000000-0005-0000-0000-000016000000}"/>
    <cellStyle name="Percent 2 3 2" xfId="30" xr:uid="{00000000-0005-0000-0000-000016000000}"/>
    <cellStyle name="Percent 2 3 2 2" xfId="76" xr:uid="{00000000-0005-0000-0000-000055000000}"/>
    <cellStyle name="Percent 2 3 2 2 2" xfId="137" xr:uid="{4220C140-9489-4651-9232-528DB3711A2C}"/>
    <cellStyle name="Percent 2 3 2 3" xfId="96" xr:uid="{9481DD10-F119-407B-8E22-ECC7BAC44AB5}"/>
    <cellStyle name="Percent 2 3 3" xfId="39" xr:uid="{00000000-0005-0000-0000-00002C000000}"/>
    <cellStyle name="Percent 2 3 3 2" xfId="77" xr:uid="{00000000-0005-0000-0000-000056000000}"/>
    <cellStyle name="Percent 2 3 3 2 2" xfId="138" xr:uid="{C39D7C6E-B8BF-4D51-A5F7-E1E456EA13C5}"/>
    <cellStyle name="Percent 2 3 3 3" xfId="105" xr:uid="{9074F0BA-69CD-4B33-9CF3-D19E48700397}"/>
    <cellStyle name="Percent 2 3 4" xfId="75" xr:uid="{00000000-0005-0000-0000-000054000000}"/>
    <cellStyle name="Percent 2 3 4 2" xfId="136" xr:uid="{9BF6BEE2-77B3-4026-8A73-6E88F33510F5}"/>
    <cellStyle name="Percent 2 3 5" xfId="87" xr:uid="{D7B5473F-7834-4911-A629-DE9D37CFC1E0}"/>
    <cellStyle name="Percent 2 4" xfId="25" xr:uid="{00000000-0005-0000-0000-000014000000}"/>
    <cellStyle name="Percent 2 4 2" xfId="78" xr:uid="{00000000-0005-0000-0000-000057000000}"/>
    <cellStyle name="Percent 2 4 2 2" xfId="139" xr:uid="{51BC2321-42BB-49C5-8A9E-603BE56C0020}"/>
    <cellStyle name="Percent 2 4 3" xfId="91" xr:uid="{99056B64-3B42-4702-B17C-1C699F2D3B7B}"/>
    <cellStyle name="Percent 2 5" xfId="34" xr:uid="{00000000-0005-0000-0000-000008000000}"/>
    <cellStyle name="Percent 2 5 2" xfId="44" xr:uid="{00000000-0005-0000-0000-00000B000000}"/>
    <cellStyle name="Percent 2 5 2 2" xfId="109" xr:uid="{F80D1310-BCA1-4E23-9AEC-87B66DE5F322}"/>
    <cellStyle name="Percent 2 5 3" xfId="100" xr:uid="{ABC1F253-CDD5-4DEC-8471-E945F90FDF6F}"/>
    <cellStyle name="Percent 2 6" xfId="73" xr:uid="{00000000-0005-0000-0000-000052000000}"/>
    <cellStyle name="Percent 2 6 2" xfId="134" xr:uid="{CAA637E1-4094-4F1A-AF55-AE6DF3240674}"/>
    <cellStyle name="Percent 2 7" xfId="82" xr:uid="{C37DDD9A-239F-4981-A8A5-162E075D44D4}"/>
    <cellStyle name="Percent 3" xfId="11" xr:uid="{00000000-0005-0000-0000-000017000000}"/>
    <cellStyle name="Percent 3 2" xfId="19" xr:uid="{00000000-0005-0000-0000-000018000000}"/>
    <cellStyle name="Percent 4" xfId="45" xr:uid="{00000000-0005-0000-0000-000073000000}"/>
    <cellStyle name="Percent 4 2" xfId="110" xr:uid="{BD8C62F9-1AE1-4C43-9D0D-A65C218FC891}"/>
    <cellStyle name="Percent 5" xfId="142" xr:uid="{C39961BD-C969-44BB-B849-0ECE56343370}"/>
    <cellStyle name="千位分隔 3" xfId="57" xr:uid="{00000000-0005-0000-0000-00003D000000}"/>
    <cellStyle name="常规 2" xfId="79" xr:uid="{00000000-0005-0000-0000-00005A000000}"/>
  </cellStyles>
  <dxfs count="1270">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rgb="FF0070C0"/>
        </left>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numFmt numFmtId="1" formatCode="0"/>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fill>
        <patternFill patternType="none">
          <fgColor indexed="64"/>
          <bgColor indexed="65"/>
        </patternFill>
      </fill>
      <border diagonalUp="0" diagonalDown="0">
        <left/>
        <right style="thin">
          <color rgb="FF0070C0"/>
        </right>
        <top style="thin">
          <color rgb="FF0070C0"/>
        </top>
        <bottom style="thin">
          <color rgb="FF0070C0"/>
        </bottom>
        <vertical style="thin">
          <color rgb="FF0070C0"/>
        </vertical>
        <horizontal style="thin">
          <color rgb="FF0070C0"/>
        </horizontal>
      </border>
    </dxf>
    <dxf>
      <border>
        <top style="thin">
          <color rgb="FF0070C0"/>
        </top>
      </border>
    </dxf>
    <dxf>
      <border diagonalUp="0" diagonalDown="0">
        <left style="double">
          <color rgb="FF0070C0"/>
        </left>
        <right style="double">
          <color rgb="FF0070C0"/>
        </right>
        <top style="double">
          <color rgb="FF0070C0"/>
        </top>
        <bottom style="double">
          <color rgb="FF0070C0"/>
        </bottom>
      </border>
    </dxf>
    <dxf>
      <font>
        <b val="0"/>
        <strike val="0"/>
        <outline val="0"/>
        <shadow val="0"/>
        <u val="none"/>
        <vertAlign val="baseline"/>
        <sz val="11"/>
        <color auto="1"/>
        <name val="Calibri"/>
        <family val="2"/>
        <scheme val="minor"/>
      </font>
    </dxf>
    <dxf>
      <border>
        <bottom style="thin">
          <color rgb="FF0070C0"/>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left style="thin">
          <color rgb="FF0070C0"/>
        </left>
        <right style="thin">
          <color rgb="FF0070C0"/>
        </right>
        <top/>
        <bottom/>
        <vertical style="thin">
          <color rgb="FF0070C0"/>
        </vertical>
        <horizontal style="thin">
          <color rgb="FF0070C0"/>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auto="1"/>
        <name val="Calibri"/>
        <family val="2"/>
        <scheme val="minor"/>
      </font>
      <numFmt numFmtId="13" formatCode="0%"/>
      <alignment horizontal="center" vertical="center" textRotation="0" wrapText="0" indent="0" justifyLastLine="0" shrinkToFit="0" readingOrder="0"/>
      <border diagonalUp="0" diagonalDown="0" outline="0">
        <left style="thin">
          <color theme="4"/>
        </left>
        <right style="medium">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3" formatCode="0%"/>
      <alignment horizontal="center" vertical="center" textRotation="0" wrapText="0" indent="0" justifyLastLine="0" shrinkToFit="0" readingOrder="0"/>
      <border diagonalUp="0" diagonalDown="0" outline="0">
        <left style="thin">
          <color theme="4"/>
        </left>
        <right style="thin">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3" formatCode="0%"/>
      <alignment horizontal="center" vertical="center" textRotation="0" wrapText="0" indent="0" justifyLastLine="0" shrinkToFit="0" readingOrder="0"/>
      <border diagonalUp="0" diagonalDown="0" outline="0">
        <left style="thin">
          <color theme="4"/>
        </left>
        <right style="thin">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64" formatCode="_(* #,##0_);_(* \(#,##0\);_(* &quot;-&quot;??_);_(@_)"/>
      <alignment horizontal="center" vertical="center" textRotation="0" wrapText="0" indent="0" justifyLastLine="0" shrinkToFit="0" readingOrder="0"/>
      <border diagonalUp="0" diagonalDown="0" outline="0">
        <left style="thin">
          <color theme="4"/>
        </left>
        <right style="thin">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64" formatCode="_(* #,##0_);_(* \(#,##0\);_(* &quot;-&quot;??_);_(@_)"/>
      <alignment horizontal="center" vertical="center" textRotation="0" wrapText="0" indent="0" justifyLastLine="0" shrinkToFit="0" readingOrder="0"/>
      <border diagonalUp="0" diagonalDown="0" outline="0">
        <left style="thin">
          <color theme="4"/>
        </left>
        <right style="thin">
          <color theme="4"/>
        </right>
        <top style="thin">
          <color theme="4"/>
        </top>
        <bottom style="double">
          <color theme="4"/>
        </bottom>
      </border>
    </dxf>
    <dxf>
      <alignment horizontal="center" vertical="center" textRotation="0" wrapText="0" indent="0" justifyLastLine="0" shrinkToFit="0" readingOrder="0"/>
    </dxf>
    <dxf>
      <alignment horizontal="center" vertical="center" textRotation="0" wrapText="0" indent="0" justifyLastLine="0" shrinkToFit="0" readingOrder="0"/>
    </dxf>
    <dxf>
      <border diagonalUp="0" diagonalDown="0">
        <left style="medium">
          <color theme="4"/>
        </left>
        <right style="medium">
          <color theme="4"/>
        </right>
        <top style="medium">
          <color theme="4"/>
        </top>
        <bottom style="medium">
          <color theme="4"/>
        </bottom>
      </border>
    </dxf>
    <dxf>
      <alignment horizontal="center" vertical="center" textRotation="0" wrapText="0" indent="0" justifyLastLine="0" shrinkToFit="0" readingOrder="0"/>
    </dxf>
    <dxf>
      <border outline="0">
        <bottom style="medium">
          <color theme="4"/>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border>
        <bottom style="thin">
          <color rgb="FF0070C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left style="thin">
          <color rgb="FF0070C0"/>
        </left>
        <right style="thin">
          <color rgb="FF0070C0"/>
        </right>
        <top/>
        <bottom/>
        <vertical style="thin">
          <color rgb="FF0070C0"/>
        </vertical>
        <horizontal/>
      </border>
    </dxf>
    <dxf>
      <font>
        <b val="0"/>
        <family val="1"/>
      </font>
      <fill>
        <patternFill patternType="none">
          <fgColor indexed="64"/>
          <bgColor auto="1"/>
        </patternFill>
      </fill>
    </dxf>
    <dxf>
      <font>
        <b val="0"/>
        <family val="1"/>
      </font>
      <fill>
        <patternFill patternType="none">
          <fgColor indexed="64"/>
          <bgColor auto="1"/>
        </patternFill>
      </fill>
    </dxf>
    <dxf>
      <font>
        <b val="0"/>
        <i val="0"/>
        <strike val="0"/>
        <outline val="0"/>
        <shadow val="0"/>
        <u val="none"/>
        <vertAlign val="baseline"/>
        <sz val="12"/>
        <color auto="1"/>
        <name val="Times New Roman"/>
        <family val="1"/>
        <scheme val="none"/>
      </font>
      <fill>
        <patternFill patternType="none">
          <fgColor indexed="64"/>
          <bgColor auto="1"/>
        </patternFill>
      </fill>
    </dxf>
    <dxf>
      <border outline="0">
        <top style="thin">
          <color rgb="FF9BC2E6"/>
        </top>
      </border>
    </dxf>
    <dxf>
      <border outline="0">
        <bottom style="thin">
          <color rgb="FF9BC2E6"/>
        </bottom>
      </border>
    </dxf>
    <dxf>
      <font>
        <b val="0"/>
        <i val="0"/>
        <strike val="0"/>
        <condense val="0"/>
        <extend val="0"/>
        <outline val="0"/>
        <shadow val="0"/>
        <u val="none"/>
        <vertAlign val="baseline"/>
        <sz val="12"/>
        <color theme="0"/>
        <name val="Times New Roman"/>
        <family val="1"/>
        <scheme val="none"/>
      </font>
      <fill>
        <patternFill patternType="none">
          <fgColor indexed="64"/>
          <bgColor auto="1"/>
        </patternFill>
      </fill>
    </dxf>
    <dxf>
      <font>
        <strike val="0"/>
        <outline val="0"/>
        <shadow val="0"/>
        <u val="none"/>
        <vertAlign val="baseline"/>
        <sz val="12"/>
        <color auto="1"/>
        <name val="Times New Roman"/>
        <family val="2"/>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rgb="FF000000"/>
          <bgColor auto="1"/>
        </patternFill>
      </fill>
      <alignment horizontal="left" vertical="bottom" textRotation="0" wrapText="0" indent="0" justifyLastLine="0" shrinkToFit="0" readingOrder="0"/>
    </dxf>
    <dxf>
      <border outline="0">
        <bottom style="thin">
          <color rgb="FF9BC2E6"/>
        </bottom>
      </border>
    </dxf>
    <dxf>
      <font>
        <b/>
        <i val="0"/>
        <strike val="0"/>
        <condense val="0"/>
        <extend val="0"/>
        <outline val="0"/>
        <shadow val="0"/>
        <u val="none"/>
        <vertAlign val="baseline"/>
        <sz val="12"/>
        <color auto="1"/>
        <name val="Times New Roman"/>
        <family val="2"/>
        <scheme val="none"/>
      </font>
      <fill>
        <patternFill patternType="none">
          <fgColor indexed="64"/>
          <bgColor auto="1"/>
        </patternFill>
      </fill>
    </dxf>
    <dxf>
      <font>
        <strike val="0"/>
        <outline val="0"/>
        <shadow val="0"/>
        <u val="none"/>
        <vertAlign val="baseline"/>
        <sz val="12"/>
        <color auto="1"/>
        <name val="Times New Roman"/>
        <family val="2"/>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indexed="64"/>
          <bgColor auto="1"/>
        </patternFill>
      </fill>
      <alignment horizontal="left"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2"/>
        <color auto="1"/>
        <name val="Times New Roman"/>
        <family val="2"/>
        <scheme val="none"/>
      </font>
      <fill>
        <patternFill patternType="none">
          <fgColor indexed="64"/>
          <bgColor auto="1"/>
        </patternFill>
      </fill>
    </dxf>
    <dxf>
      <font>
        <b val="0"/>
        <family val="1"/>
      </font>
      <fill>
        <patternFill patternType="none">
          <fgColor indexed="64"/>
          <bgColor auto="1"/>
        </patternFill>
      </fill>
    </dxf>
    <dxf>
      <font>
        <b val="0"/>
        <family val="1"/>
      </font>
      <fill>
        <patternFill patternType="none">
          <fgColor indexed="64"/>
          <bgColor auto="1"/>
        </patternFill>
      </fill>
    </dxf>
    <dxf>
      <font>
        <b val="0"/>
        <i val="0"/>
        <strike val="0"/>
        <outline val="0"/>
        <shadow val="0"/>
        <u val="none"/>
        <vertAlign val="baseline"/>
        <sz val="12"/>
        <color auto="1"/>
        <name val="Times New Roman"/>
        <family val="1"/>
        <scheme val="none"/>
      </font>
      <fill>
        <patternFill patternType="none">
          <fgColor indexed="64"/>
          <bgColor auto="1"/>
        </patternFill>
      </fill>
    </dxf>
    <dxf>
      <border outline="0">
        <top style="thin">
          <color theme="4" tint="0.39997558519241921"/>
        </top>
      </border>
    </dxf>
    <dxf>
      <font>
        <b val="0"/>
        <family val="1"/>
      </font>
      <fill>
        <patternFill patternType="none">
          <fgColor indexed="64"/>
          <bgColor auto="1"/>
        </patternFill>
      </fill>
    </dxf>
    <dxf>
      <border outline="0">
        <bottom style="thin">
          <color theme="4" tint="0.39997558519241921"/>
        </bottom>
      </border>
    </dxf>
    <dxf>
      <font>
        <b val="0"/>
        <i val="0"/>
        <strike val="0"/>
        <condense val="0"/>
        <extend val="0"/>
        <outline val="0"/>
        <shadow val="0"/>
        <u val="none"/>
        <vertAlign val="baseline"/>
        <sz val="12"/>
        <color theme="0"/>
        <name val="Times New Roman"/>
        <family val="1"/>
        <scheme val="none"/>
      </font>
      <fill>
        <patternFill patternType="none">
          <fgColor indexed="64"/>
          <bgColor auto="1"/>
        </patternFill>
      </fill>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alignment wrapText="1"/>
    </dxf>
    <dxf>
      <font>
        <sz val="10"/>
      </font>
    </dxf>
    <dxf>
      <font>
        <sz val="10"/>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alignment horizontal="center"/>
    </dxf>
    <dxf>
      <alignment horizontal="center"/>
    </dxf>
    <dxf>
      <alignment vertical="center"/>
    </dxf>
    <dxf>
      <alignment vertical="center"/>
    </dxf>
    <dxf>
      <alignment wrapText="1"/>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wrapText="1"/>
    </dxf>
    <dxf>
      <fill>
        <patternFill patternType="none">
          <fgColor indexed="64"/>
          <bgColor indexed="65"/>
        </patternFill>
      </fill>
    </dxf>
    <dxf>
      <font>
        <color auto="1"/>
      </font>
      <fill>
        <patternFill patternType="solid">
          <fgColor indexed="64"/>
          <bgColor theme="0" tint="-0.249977111117893"/>
        </patternFill>
      </fill>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alignment horizontal="center" vertical="center" wrapText="1"/>
    </dxf>
    <dxf>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wrapText="1"/>
    </dxf>
    <dxf>
      <alignment wrapText="1"/>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val="0"/>
        <i val="0"/>
        <strike val="0"/>
        <condense val="0"/>
        <extend val="0"/>
        <outline val="0"/>
        <shadow val="0"/>
        <u val="none"/>
        <vertAlign val="baseline"/>
        <sz val="12"/>
        <color theme="1"/>
        <name val="Calibri"/>
        <family val="2"/>
        <scheme val="minor"/>
      </font>
      <numFmt numFmtId="164" formatCode="_(* #,##0_);_(* \(#,##0\);_(* &quot;-&quot;??_);_(@_)"/>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fill>
        <patternFill>
          <bgColor rgb="FF85C2FF"/>
        </patternFill>
      </fill>
    </dxf>
    <dxf>
      <alignment horizontal="center"/>
    </dxf>
    <dxf>
      <alignment vertical="center"/>
    </dxf>
    <dxf>
      <alignment wrapText="1"/>
    </dxf>
    <dxf>
      <alignment vertical="center"/>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numFmt numFmtId="165" formatCode="[$-409]d\-mmm\-yy;@"/>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0" formatCode="General"/>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269"/>
      <tableStyleElement type="headerRow" dxfId="1268"/>
    </tableStyle>
    <tableStyle name="4W Style" pivot="0" table="0" count="1" xr9:uid="{00000000-0011-0000-FFFF-FFFF01000000}">
      <tableStyleElement type="wholeTable" dxfId="1267"/>
    </tableStyle>
    <tableStyle name="CUSTOM" table="0" count="13" xr9:uid="{00000000-0011-0000-FFFF-FFFF02000000}">
      <tableStyleElement type="wholeTable" dxfId="1266"/>
      <tableStyleElement type="headerRow" dxfId="1265"/>
      <tableStyleElement type="totalRow" dxfId="1264"/>
      <tableStyleElement type="firstColumn" dxfId="1263"/>
      <tableStyleElement type="firstRowStripe" dxfId="1262"/>
      <tableStyleElement type="secondRowStripe" dxfId="1261"/>
      <tableStyleElement type="firstColumnStripe" dxfId="1260"/>
      <tableStyleElement type="firstSubtotalRow" dxfId="1259"/>
      <tableStyleElement type="secondSubtotalRow" dxfId="1258"/>
      <tableStyleElement type="secondColumnSubheading" dxfId="1257"/>
      <tableStyleElement type="thirdColumnSubheading" dxfId="1256"/>
      <tableStyleElement type="firstRowSubheading" dxfId="1255"/>
      <tableStyleElement type="secondRowSubheading" dxfId="1254"/>
    </tableStyle>
    <tableStyle name="PivotStyleLight10 2" table="0" count="12" xr9:uid="{00000000-0011-0000-FFFF-FFFF03000000}">
      <tableStyleElement type="wholeTable" dxfId="1253"/>
      <tableStyleElement type="headerRow" dxfId="1252"/>
      <tableStyleElement type="totalRow" dxfId="1251"/>
      <tableStyleElement type="firstColumn" dxfId="1250"/>
      <tableStyleElement type="firstRowStripe" dxfId="1249"/>
      <tableStyleElement type="firstColumnStripe" dxfId="1248"/>
      <tableStyleElement type="firstSubtotalRow" dxfId="1247"/>
      <tableStyleElement type="secondSubtotalRow" dxfId="1246"/>
      <tableStyleElement type="secondColumnSubheading" dxfId="1245"/>
      <tableStyleElement type="thirdColumnSubheading" dxfId="1244"/>
      <tableStyleElement type="firstRowSubheading" dxfId="1243"/>
      <tableStyleElement type="secondRowSubheading" dxfId="1242"/>
    </tableStyle>
    <tableStyle name="PivotStyleLight14 2" table="0" count="12" xr9:uid="{00000000-0011-0000-FFFF-FFFF04000000}">
      <tableStyleElement type="wholeTable" dxfId="1241"/>
      <tableStyleElement type="headerRow" dxfId="1240"/>
      <tableStyleElement type="totalRow" dxfId="1239"/>
      <tableStyleElement type="firstColumn" dxfId="1238"/>
      <tableStyleElement type="firstRowStripe" dxfId="1237"/>
      <tableStyleElement type="firstColumnStripe" dxfId="1236"/>
      <tableStyleElement type="firstSubtotalRow" dxfId="1235"/>
      <tableStyleElement type="secondSubtotalRow" dxfId="1234"/>
      <tableStyleElement type="secondColumnSubheading" dxfId="1233"/>
      <tableStyleElement type="thirdColumnSubheading" dxfId="1232"/>
      <tableStyleElement type="firstRowSubheading" dxfId="1231"/>
      <tableStyleElement type="secondRowSubheading" dxfId="1230"/>
    </tableStyle>
    <tableStyle name="PivotStyleLight23 2" table="0" count="10" xr9:uid="{00000000-0011-0000-FFFF-FFFF05000000}">
      <tableStyleElement type="wholeTable" dxfId="1229"/>
      <tableStyleElement type="headerRow" dxfId="1228"/>
      <tableStyleElement type="totalRow" dxfId="1227"/>
      <tableStyleElement type="firstColumn" dxfId="1226"/>
      <tableStyleElement type="firstRowStripe" dxfId="1225"/>
      <tableStyleElement type="firstColumnStripe" dxfId="1224"/>
      <tableStyleElement type="firstSubtotalColumn" dxfId="1223"/>
      <tableStyleElement type="firstSubtotalRow" dxfId="1222"/>
      <tableStyleElement type="secondSubtotalRow" dxfId="1221"/>
      <tableStyleElement type="pageFieldLabels" dxfId="1220"/>
    </tableStyle>
    <tableStyle name="PivotStyleLight9 2" table="0" count="13" xr9:uid="{00000000-0011-0000-FFFF-FFFF06000000}">
      <tableStyleElement type="wholeTable" dxfId="1219"/>
      <tableStyleElement type="headerRow" dxfId="1218"/>
      <tableStyleElement type="totalRow" dxfId="1217"/>
      <tableStyleElement type="firstColumn" dxfId="1216"/>
      <tableStyleElement type="firstRowStripe" dxfId="1215"/>
      <tableStyleElement type="secondRowStripe" dxfId="1214"/>
      <tableStyleElement type="firstColumnStripe" dxfId="1213"/>
      <tableStyleElement type="firstSubtotalRow" dxfId="1212"/>
      <tableStyleElement type="secondSubtotalRow" dxfId="1211"/>
      <tableStyleElement type="secondColumnSubheading" dxfId="1210"/>
      <tableStyleElement type="thirdColumnSubheading" dxfId="1209"/>
      <tableStyleElement type="firstRowSubheading" dxfId="1208"/>
      <tableStyleElement type="secondRowSubheading" dxfId="1207"/>
    </tableStyle>
    <tableStyle name="PivotTable Style 1" table="0" count="1" xr9:uid="{00000000-0011-0000-FFFF-FFFF07000000}">
      <tableStyleElement type="wholeTable" dxfId="1206"/>
    </tableStyle>
    <tableStyle name="PivotTable Style a" table="0" count="7" xr9:uid="{00000000-0011-0000-FFFF-FFFF08000000}">
      <tableStyleElement type="wholeTable" dxfId="1205"/>
      <tableStyleElement type="headerRow" dxfId="1204"/>
      <tableStyleElement type="totalRow" dxfId="1203"/>
      <tableStyleElement type="firstColumn" dxfId="1202"/>
      <tableStyleElement type="secondSubtotalRow" dxfId="1201"/>
      <tableStyleElement type="firstRowSubheading" dxfId="1200"/>
      <tableStyleElement type="secondRowSubheading" dxfId="1199"/>
    </tableStyle>
    <tableStyle name="Slicer Style 1" pivot="0" table="0" count="5" xr9:uid="{00000000-0011-0000-FFFF-FFFF09000000}">
      <tableStyleElement type="wholeTable" dxfId="1198"/>
    </tableStyle>
  </tableStyles>
  <colors>
    <mruColors>
      <color rgb="FFBF9000"/>
      <color rgb="FFFFFF00"/>
      <color rgb="FF7F6000"/>
      <color rgb="FF000000"/>
      <color rgb="FFFF898C"/>
      <color rgb="FFF7FECE"/>
      <color rgb="FF85C2FF"/>
      <color rgb="FF44546A"/>
      <color rgb="FFD4E8C6"/>
      <color rgb="FF098A9B"/>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microsoft.com/office/2007/relationships/slicerCache" Target="slicerCaches/slicerCache4.xml"/><Relationship Id="rId21" Type="http://schemas.openxmlformats.org/officeDocument/2006/relationships/worksheet" Target="worksheets/sheet21.xml"/><Relationship Id="rId34" Type="http://schemas.openxmlformats.org/officeDocument/2006/relationships/pivotCacheDefinition" Target="pivotCache/pivotCacheDefinition7.xml"/><Relationship Id="rId42" Type="http://schemas.microsoft.com/office/2007/relationships/slicerCache" Target="slicerCaches/slicerCache7.xml"/><Relationship Id="rId47" Type="http://schemas.microsoft.com/office/2007/relationships/slicerCache" Target="slicerCaches/slicerCache12.xml"/><Relationship Id="rId50" Type="http://schemas.microsoft.com/office/2007/relationships/slicerCache" Target="slicerCaches/slicerCache15.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2.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pivotCacheDefinition" Target="pivotCache/pivotCacheDefinition5.xml"/><Relationship Id="rId37" Type="http://schemas.microsoft.com/office/2007/relationships/slicerCache" Target="slicerCaches/slicerCache2.xml"/><Relationship Id="rId40" Type="http://schemas.microsoft.com/office/2007/relationships/slicerCache" Target="slicerCaches/slicerCache5.xml"/><Relationship Id="rId45" Type="http://schemas.microsoft.com/office/2007/relationships/slicerCache" Target="slicerCaches/slicerCache10.xml"/><Relationship Id="rId53" Type="http://schemas.openxmlformats.org/officeDocument/2006/relationships/connections" Target="connections.xml"/><Relationship Id="rId58" Type="http://schemas.microsoft.com/office/2017/10/relationships/person" Target="persons/perso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pivotCacheDefinition" Target="pivotCache/pivotCacheDefinition3.xml"/><Relationship Id="rId35" Type="http://schemas.openxmlformats.org/officeDocument/2006/relationships/pivotCacheDefinition" Target="pivotCache/pivotCacheDefinition8.xml"/><Relationship Id="rId43" Type="http://schemas.microsoft.com/office/2007/relationships/slicerCache" Target="slicerCaches/slicerCache8.xml"/><Relationship Id="rId48" Type="http://schemas.microsoft.com/office/2007/relationships/slicerCache" Target="slicerCaches/slicerCache13.xml"/><Relationship Id="rId56" Type="http://schemas.openxmlformats.org/officeDocument/2006/relationships/sheetMetadata" Target="metadata.xml"/><Relationship Id="rId8" Type="http://schemas.openxmlformats.org/officeDocument/2006/relationships/worksheet" Target="worksheets/sheet8.xml"/><Relationship Id="rId51" Type="http://schemas.microsoft.com/office/2007/relationships/slicerCache" Target="slicerCaches/slicerCache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pivotCacheDefinition" Target="pivotCache/pivotCacheDefinition6.xml"/><Relationship Id="rId38" Type="http://schemas.microsoft.com/office/2007/relationships/slicerCache" Target="slicerCaches/slicerCache3.xml"/><Relationship Id="rId46" Type="http://schemas.microsoft.com/office/2007/relationships/slicerCache" Target="slicerCaches/slicerCache11.xml"/><Relationship Id="rId59" Type="http://schemas.openxmlformats.org/officeDocument/2006/relationships/calcChain" Target="calcChain.xml"/><Relationship Id="rId20" Type="http://schemas.openxmlformats.org/officeDocument/2006/relationships/worksheet" Target="worksheets/sheet20.xml"/><Relationship Id="rId41" Type="http://schemas.microsoft.com/office/2007/relationships/slicerCache" Target="slicerCaches/slicerCache6.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1.xml"/><Relationship Id="rId36" Type="http://schemas.microsoft.com/office/2007/relationships/slicerCache" Target="slicerCaches/slicerCache1.xml"/><Relationship Id="rId49" Type="http://schemas.microsoft.com/office/2007/relationships/slicerCache" Target="slicerCaches/slicerCache14.xml"/><Relationship Id="rId57" Type="http://schemas.openxmlformats.org/officeDocument/2006/relationships/powerPivotData" Target="model/item.data"/><Relationship Id="rId10" Type="http://schemas.openxmlformats.org/officeDocument/2006/relationships/worksheet" Target="worksheets/sheet10.xml"/><Relationship Id="rId31" Type="http://schemas.openxmlformats.org/officeDocument/2006/relationships/pivotCacheDefinition" Target="pivotCache/pivotCacheDefinition4.xml"/><Relationship Id="rId44" Type="http://schemas.microsoft.com/office/2007/relationships/slicerCache" Target="slicerCaches/slicerCache9.xml"/><Relationship Id="rId5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600" b="1" i="0" baseline="0">
                <a:effectLst/>
              </a:rPr>
              <a:t>Number of ppl covered against 2022 HRP targets</a:t>
            </a:r>
            <a:endParaRPr lang="en-US"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r>
              <a:rPr lang="en-US" sz="1600" b="1" i="0" u="none" strike="noStrike" baseline="0">
                <a:effectLst/>
              </a:rPr>
              <a:t>Object 1: (IDPs- protracted+new displacement)</a:t>
            </a:r>
            <a:endParaRPr lang="en-US" sz="1600"/>
          </a:p>
        </c:rich>
      </c:tx>
      <c:layout>
        <c:manualLayout>
          <c:xMode val="edge"/>
          <c:yMode val="edge"/>
          <c:x val="0.30382739254279356"/>
          <c:y val="1.678640908875478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HRP!$E$171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HRP!$C$172:$C$177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HRP!$E$172:$E$177</c:f>
              <c:numCache>
                <c:formatCode>_(* #,##0_);_(* \(#,##0\);_(* "-"??_);_(@_)</c:formatCode>
                <c:ptCount val="6"/>
                <c:pt idx="0">
                  <c:v>4995</c:v>
                </c:pt>
                <c:pt idx="1">
                  <c:v>30690</c:v>
                </c:pt>
                <c:pt idx="2">
                  <c:v>8840</c:v>
                </c:pt>
                <c:pt idx="3">
                  <c:v>564559.06182531896</c:v>
                </c:pt>
                <c:pt idx="4">
                  <c:v>318164</c:v>
                </c:pt>
                <c:pt idx="5">
                  <c:v>518953.05185185187</c:v>
                </c:pt>
              </c:numCache>
            </c:numRef>
          </c:val>
          <c:extLst>
            <c:ext xmlns:c16="http://schemas.microsoft.com/office/drawing/2014/chart" uri="{C3380CC4-5D6E-409C-BE32-E72D297353CC}">
              <c16:uniqueId val="{00000001-CAD5-4496-BE8A-D440D686860E}"/>
            </c:ext>
          </c:extLst>
        </c:ser>
        <c:ser>
          <c:idx val="1"/>
          <c:order val="1"/>
          <c:tx>
            <c:strRef>
              <c:f>HRP!$F$171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HRP!$C$172:$C$177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HRP!$F$172:$F$177</c:f>
              <c:numCache>
                <c:formatCode>_(* #,##0_);_(* \(#,##0\);_(* "-"??_);_(@_)</c:formatCode>
                <c:ptCount val="6"/>
                <c:pt idx="0">
                  <c:v>11447.099999999999</c:v>
                </c:pt>
                <c:pt idx="2">
                  <c:v>62409.100000000006</c:v>
                </c:pt>
                <c:pt idx="4">
                  <c:v>229906</c:v>
                </c:pt>
                <c:pt idx="5">
                  <c:v>29116.948148148134</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1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a:p>
            <a:pPr>
              <a:defRPr sz="1400"/>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Analysis!$H$221:$H$223</c:f>
              <c:numCache>
                <c:formatCode>0</c:formatCode>
                <c:ptCount val="3"/>
                <c:pt idx="0">
                  <c:v>1353.6</c:v>
                </c:pt>
                <c:pt idx="1">
                  <c:v>1262</c:v>
                </c:pt>
                <c:pt idx="2" formatCode="General">
                  <c:v>0</c:v>
                </c:pt>
              </c:numCache>
            </c:numRef>
          </c:val>
          <c:extLst>
            <c:ext xmlns:c16="http://schemas.microsoft.com/office/drawing/2014/chart" uri="{C3380CC4-5D6E-409C-BE32-E72D297353CC}">
              <c16:uniqueId val="{00000000-CBDF-46C4-8398-2F2620566A1B}"/>
            </c:ext>
          </c:extLst>
        </c:ser>
        <c:ser>
          <c:idx val="1"/>
          <c:order val="1"/>
          <c:tx>
            <c:strRef>
              <c:f>Analysis!$I$220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Analysis!$I$221:$I$223</c:f>
              <c:numCache>
                <c:formatCode>0</c:formatCode>
                <c:ptCount val="3"/>
                <c:pt idx="0">
                  <c:v>776.40000000000009</c:v>
                </c:pt>
                <c:pt idx="1">
                  <c:v>868</c:v>
                </c:pt>
                <c:pt idx="2" formatCode="General">
                  <c:v>2130</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Constructed surface water drainage system</a:t>
            </a:r>
          </a:p>
          <a:p>
            <a:pPr>
              <a:defRPr sz="1400"/>
            </a:pPr>
            <a:r>
              <a:rPr lang="en-US" sz="1400"/>
              <a:t> in protracted camps</a:t>
            </a:r>
          </a:p>
          <a:p>
            <a:pPr>
              <a:defRPr sz="1400"/>
            </a:pPr>
            <a:r>
              <a:rPr lang="en-US" sz="1400"/>
              <a:t> Kachin</a:t>
            </a:r>
          </a:p>
        </c:rich>
      </c:tx>
      <c:layout>
        <c:manualLayout>
          <c:xMode val="edge"/>
          <c:yMode val="edge"/>
          <c:x val="0.15073689493992534"/>
          <c:y val="2.8268549944141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Analysis!$B$160</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6EA3-4AE5-BCC7-AFE91316573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6EA3-4AE5-BCC7-AFE91316573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Analysis!$C$160:$F$160</c:f>
              <c:numCache>
                <c:formatCode>General</c:formatCode>
                <c:ptCount val="4"/>
                <c:pt idx="0">
                  <c:v>103</c:v>
                </c:pt>
                <c:pt idx="1">
                  <c:v>9</c:v>
                </c:pt>
                <c:pt idx="2">
                  <c:v>9</c:v>
                </c:pt>
                <c:pt idx="3">
                  <c:v>7</c:v>
                </c:pt>
              </c:numCache>
            </c:numRef>
          </c:val>
          <c:extLs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 </a:t>
            </a:r>
          </a:p>
          <a:p>
            <a:pPr>
              <a:defRPr sz="1400"/>
            </a:pPr>
            <a:r>
              <a:rPr lang="en-US" sz="1400"/>
              <a:t> in protracted camps</a:t>
            </a:r>
          </a:p>
          <a:p>
            <a:pPr>
              <a:defRPr sz="1400"/>
            </a:pPr>
            <a:r>
              <a:rPr lang="en-US" sz="1400"/>
              <a:t>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Analysis!$B$162</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ED64-4863-9E70-B065B74F7F22}"/>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ED64-4863-9E70-B065B74F7F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Analysis!$C$162:$F$162</c:f>
              <c:numCache>
                <c:formatCode>General</c:formatCode>
                <c:ptCount val="4"/>
                <c:pt idx="0">
                  <c:v>14</c:v>
                </c:pt>
                <c:pt idx="1">
                  <c:v>14</c:v>
                </c:pt>
                <c:pt idx="2">
                  <c:v>4</c:v>
                </c:pt>
                <c:pt idx="3">
                  <c:v>6</c:v>
                </c:pt>
              </c:numCache>
            </c:numRef>
          </c:val>
          <c:extLs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Provision of solid waste management equipment place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Analysis!$B$176</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DC22-4C4F-B666-8182F921E260}"/>
              </c:ext>
            </c:extLst>
          </c:dPt>
          <c:dLbls>
            <c:dLbl>
              <c:idx val="0"/>
              <c:layout>
                <c:manualLayout>
                  <c:x val="-3.2754562354770776E-2"/>
                  <c:y val="0.1228470726873426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22-4C4F-B666-8182F921E260}"/>
                </c:ext>
              </c:extLst>
            </c:dLbl>
            <c:dLbl>
              <c:idx val="1"/>
              <c:layout>
                <c:manualLayout>
                  <c:x val="-4.8230864853986186E-2"/>
                  <c:y val="0.1449967325512882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C22-4C4F-B666-8182F921E26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Analysis!$C$175:$E$175</c:f>
              <c:strCache>
                <c:ptCount val="3"/>
                <c:pt idx="0">
                  <c:v>NA</c:v>
                </c:pt>
                <c:pt idx="1">
                  <c:v>No</c:v>
                </c:pt>
                <c:pt idx="2">
                  <c:v>Yes</c:v>
                </c:pt>
              </c:strCache>
            </c:strRef>
          </c:cat>
          <c:val>
            <c:numRef>
              <c:f>Analysis!$C$176:$E$176</c:f>
              <c:numCache>
                <c:formatCode>General</c:formatCode>
                <c:ptCount val="3"/>
                <c:pt idx="0">
                  <c:v>8</c:v>
                </c:pt>
                <c:pt idx="1">
                  <c:v>6</c:v>
                </c:pt>
                <c:pt idx="2">
                  <c:v>114</c:v>
                </c:pt>
              </c:numCache>
            </c:numRef>
          </c:val>
          <c:extLs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Analysis!$B$178</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5-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5C59-490F-B426-9FB57D35929B}"/>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5C59-490F-B426-9FB57D35929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Analysis!$C$175:$E$175</c:f>
              <c:strCache>
                <c:ptCount val="3"/>
                <c:pt idx="0">
                  <c:v>NA</c:v>
                </c:pt>
                <c:pt idx="1">
                  <c:v>No</c:v>
                </c:pt>
                <c:pt idx="2">
                  <c:v>Yes</c:v>
                </c:pt>
              </c:strCache>
            </c:strRef>
          </c:cat>
          <c:val>
            <c:numRef>
              <c:f>Analysis!$C$178:$E$178</c:f>
              <c:numCache>
                <c:formatCode>General</c:formatCode>
                <c:ptCount val="3"/>
                <c:pt idx="0">
                  <c:v>14</c:v>
                </c:pt>
                <c:pt idx="1">
                  <c:v>6</c:v>
                </c:pt>
                <c:pt idx="2">
                  <c:v>18</c:v>
                </c:pt>
              </c:numCache>
            </c:numRef>
          </c:val>
          <c:extLs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[20221027_Myanmar_WASH_4W_2022_Q3_KachinShan_camp_Consolidate.xlsx]Analysis!K_water1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 people Coverage</a:t>
            </a:r>
            <a:endParaRPr lang="en-US" sz="1200">
              <a:effectLst/>
            </a:endParaRPr>
          </a:p>
          <a:p>
            <a:pPr>
              <a:defRPr sz="1200"/>
            </a:pPr>
            <a:r>
              <a:rPr lang="en-US" sz="1200" b="1" i="0" baseline="0">
                <a:effectLst/>
              </a:rPr>
              <a:t>in protracted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Analysis!$C$39:$C$40</c:f>
              <c:numCache>
                <c:formatCode>_(* #,##0_);_(* \(#,##0\);_(* "-"??_);_(@_)</c:formatCode>
                <c:ptCount val="2"/>
                <c:pt idx="0">
                  <c:v>48014.333333333336</c:v>
                </c:pt>
                <c:pt idx="1">
                  <c:v>17210.333333333336</c:v>
                </c:pt>
              </c:numCache>
            </c:numRef>
          </c:val>
          <c:extLst>
            <c:ext xmlns:c16="http://schemas.microsoft.com/office/drawing/2014/chart" uri="{C3380CC4-5D6E-409C-BE32-E72D297353CC}">
              <c16:uniqueId val="{00000001-96F2-476D-807A-787E9E02E9E8}"/>
            </c:ext>
          </c:extLst>
        </c:ser>
        <c:ser>
          <c:idx val="1"/>
          <c:order val="1"/>
          <c:tx>
            <c:strRef>
              <c:f>Analysis!$D$38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Analysis!$D$39:$D$40</c:f>
              <c:numCache>
                <c:formatCode>_(* #,##0_);_(* \(#,##0\);_(* "-"??_);_(@_)</c:formatCode>
                <c:ptCount val="2"/>
                <c:pt idx="0">
                  <c:v>13123.666666666668</c:v>
                </c:pt>
                <c:pt idx="1">
                  <c:v>28867.666666666664</c:v>
                </c:pt>
              </c:numCache>
            </c:numRef>
          </c:val>
          <c:extLst>
            <c:ext xmlns:c16="http://schemas.microsoft.com/office/drawing/2014/chart" uri="{C3380CC4-5D6E-409C-BE32-E72D297353CC}">
              <c16:uniqueId val="{00000002-96F2-476D-807A-787E9E02E9E8}"/>
            </c:ext>
          </c:extLst>
        </c:ser>
        <c:dLbls>
          <c:dLblPos val="ctr"/>
          <c:showLegendKey val="0"/>
          <c:showVal val="1"/>
          <c:showCatName val="0"/>
          <c:showSerName val="0"/>
          <c:showPercent val="0"/>
          <c:showBubbleSize val="0"/>
        </c:dLbls>
        <c:gapWidth val="150"/>
        <c:overlap val="100"/>
        <c:axId val="392752096"/>
        <c:axId val="392752488"/>
      </c:barChart>
      <c:catAx>
        <c:axId val="392752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488"/>
        <c:crosses val="autoZero"/>
        <c:auto val="1"/>
        <c:lblAlgn val="ctr"/>
        <c:lblOffset val="100"/>
        <c:noMultiLvlLbl val="0"/>
      </c:catAx>
      <c:valAx>
        <c:axId val="3927524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[20221027_Myanmar_WASH_4W_2022_Q3_KachinShan_camp_Consolidate.xlsx]Analysis!S_water1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Analysis!$J$39</c:f>
              <c:numCache>
                <c:formatCode>_(* #,##0_);_(* \(#,##0\);_(* "-"??_);_(@_)</c:formatCode>
                <c:ptCount val="1"/>
                <c:pt idx="0">
                  <c:v>9816.3333333333339</c:v>
                </c:pt>
              </c:numCache>
            </c:numRef>
          </c:val>
          <c:extLst>
            <c:ext xmlns:c16="http://schemas.microsoft.com/office/drawing/2014/chart" uri="{C3380CC4-5D6E-409C-BE32-E72D297353CC}">
              <c16:uniqueId val="{00000001-2E08-4A40-8F14-1AD23D01CF82}"/>
            </c:ext>
          </c:extLst>
        </c:ser>
        <c:ser>
          <c:idx val="1"/>
          <c:order val="1"/>
          <c:tx>
            <c:strRef>
              <c:f>Analysis!$K$38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Analysis!$K$39</c:f>
              <c:numCache>
                <c:formatCode>_(* #,##0_);_(* \(#,##0\);_(* "-"??_);_(@_)</c:formatCode>
                <c:ptCount val="1"/>
                <c:pt idx="0">
                  <c:v>680.66666666666663</c:v>
                </c:pt>
              </c:numCache>
            </c:numRef>
          </c:val>
          <c:extLst>
            <c:ext xmlns:c16="http://schemas.microsoft.com/office/drawing/2014/chart" uri="{C3380CC4-5D6E-409C-BE32-E72D297353CC}">
              <c16:uniqueId val="{00000002-2E08-4A40-8F14-1AD23D01CF82}"/>
            </c:ext>
          </c:extLst>
        </c:ser>
        <c:dLbls>
          <c:dLblPos val="ctr"/>
          <c:showLegendKey val="0"/>
          <c:showVal val="1"/>
          <c:showCatName val="0"/>
          <c:showSerName val="0"/>
          <c:showPercent val="0"/>
          <c:showBubbleSize val="0"/>
        </c:dLbls>
        <c:gapWidth val="150"/>
        <c:overlap val="100"/>
        <c:axId val="395279088"/>
        <c:axId val="395281832"/>
      </c:barChart>
      <c:catAx>
        <c:axId val="395279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832"/>
        <c:crosses val="autoZero"/>
        <c:auto val="1"/>
        <c:lblAlgn val="ctr"/>
        <c:lblOffset val="100"/>
        <c:noMultiLvlLbl val="0"/>
      </c:catAx>
      <c:valAx>
        <c:axId val="395281832"/>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7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p>
          <a:p>
            <a:pPr>
              <a:defRPr sz="1400"/>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Analysis!$C$221:$C$222</c:f>
              <c:numCache>
                <c:formatCode>0</c:formatCode>
                <c:ptCount val="2"/>
                <c:pt idx="0">
                  <c:v>12584.2</c:v>
                </c:pt>
                <c:pt idx="1">
                  <c:v>10663</c:v>
                </c:pt>
              </c:numCache>
            </c:numRef>
          </c:val>
          <c:extLst>
            <c:ext xmlns:c16="http://schemas.microsoft.com/office/drawing/2014/chart" uri="{C3380CC4-5D6E-409C-BE32-E72D297353CC}">
              <c16:uniqueId val="{00000000-8A12-41BD-89DE-DD9C030FDA43}"/>
            </c:ext>
          </c:extLst>
        </c:ser>
        <c:ser>
          <c:idx val="1"/>
          <c:order val="1"/>
          <c:tx>
            <c:strRef>
              <c:f>Analysis!$D$220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Analysis!$D$221:$D$222</c:f>
              <c:numCache>
                <c:formatCode>0</c:formatCode>
                <c:ptCount val="2"/>
                <c:pt idx="0">
                  <c:v>8207</c:v>
                </c:pt>
                <c:pt idx="1">
                  <c:v>10128.200000000001</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59480724896107673"/>
        </c:manualLayout>
      </c:layout>
      <c:barChart>
        <c:barDir val="col"/>
        <c:grouping val="stacked"/>
        <c:varyColors val="0"/>
        <c:ser>
          <c:idx val="0"/>
          <c:order val="0"/>
          <c:tx>
            <c:strRef>
              <c:f>Analysis!$B$131</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Analysis!$C$131:$D$131</c:f>
              <c:numCache>
                <c:formatCode>_(* #,##0_);_(* \(#,##0\);_(* "-"??_);_(@_)</c:formatCode>
                <c:ptCount val="2"/>
                <c:pt idx="0">
                  <c:v>2403</c:v>
                </c:pt>
                <c:pt idx="1">
                  <c:v>3793</c:v>
                </c:pt>
              </c:numCache>
            </c:numRef>
          </c:val>
          <c:extLst>
            <c:ext xmlns:c16="http://schemas.microsoft.com/office/drawing/2014/chart" uri="{C3380CC4-5D6E-409C-BE32-E72D297353CC}">
              <c16:uniqueId val="{00000000-11DD-45FB-9A7E-843D5E549A65}"/>
            </c:ext>
          </c:extLst>
        </c:ser>
        <c:ser>
          <c:idx val="1"/>
          <c:order val="1"/>
          <c:tx>
            <c:strRef>
              <c:f>Analysis!$B$132</c:f>
              <c:strCache>
                <c:ptCount val="1"/>
                <c:pt idx="0">
                  <c:v> GAP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Analysis!$C$132:$D$132</c:f>
              <c:numCache>
                <c:formatCode>_(* #,##0_);_(* \(#,##0\);_(* "-"??_);_(@_)</c:formatCode>
                <c:ptCount val="2"/>
                <c:pt idx="0">
                  <c:v>656</c:v>
                </c:pt>
                <c:pt idx="1">
                  <c:v>0</c:v>
                </c:pt>
              </c:numCache>
            </c:numRef>
          </c:val>
          <c:extLs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395450424"/>
        <c:axId val="395455912"/>
      </c:barChart>
      <c:catAx>
        <c:axId val="3954504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912"/>
        <c:crosses val="autoZero"/>
        <c:auto val="1"/>
        <c:lblAlgn val="ctr"/>
        <c:lblOffset val="100"/>
        <c:noMultiLvlLbl val="0"/>
      </c:catAx>
      <c:valAx>
        <c:axId val="395455912"/>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0424"/>
        <c:crosses val="autoZero"/>
        <c:crossBetween val="between"/>
      </c:valAx>
      <c:spPr>
        <a:noFill/>
        <a:ln>
          <a:noFill/>
        </a:ln>
        <a:effectLst/>
      </c:spPr>
    </c:plotArea>
    <c:legend>
      <c:legendPos val="b"/>
      <c:layout>
        <c:manualLayout>
          <c:xMode val="edge"/>
          <c:yMode val="edge"/>
          <c:x val="0.302049734490351"/>
          <c:y val="0.87048214494440412"/>
          <c:w val="0.40905918922419376"/>
          <c:h val="0.1295178550555957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Latrines handed over to families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59974688892629069"/>
        </c:manualLayout>
      </c:layout>
      <c:barChart>
        <c:barDir val="col"/>
        <c:grouping val="stacked"/>
        <c:varyColors val="0"/>
        <c:ser>
          <c:idx val="2"/>
          <c:order val="2"/>
          <c:tx>
            <c:strRef>
              <c:f>Analysis!$B$133</c:f>
              <c:strCache>
                <c:ptCount val="1"/>
                <c:pt idx="0">
                  <c:v> Latrines handed over </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4E0-415C-A43D-9C28CBB598A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EB4B-4449-92F2-CA4E30606C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Analysis!$C$133:$D$133</c:f>
              <c:numCache>
                <c:formatCode>_(* #,##0_);_(* \(#,##0\);_(* "-"??_);_(@_)</c:formatCode>
                <c:ptCount val="2"/>
                <c:pt idx="0">
                  <c:v>663</c:v>
                </c:pt>
                <c:pt idx="1">
                  <c:v>1055</c:v>
                </c:pt>
              </c:numCache>
            </c:numRef>
          </c:val>
          <c:extLst>
            <c:ext xmlns:c16="http://schemas.microsoft.com/office/drawing/2014/chart" uri="{C3380CC4-5D6E-409C-BE32-E72D297353CC}">
              <c16:uniqueId val="{00000000-EDB8-4005-B0CC-AA882CBF326D}"/>
            </c:ext>
          </c:extLst>
        </c:ser>
        <c:ser>
          <c:idx val="3"/>
          <c:order val="3"/>
          <c:tx>
            <c:strRef>
              <c:f>Analysis!$B$134</c:f>
              <c:strCache>
                <c:ptCount val="1"/>
                <c:pt idx="0">
                  <c:v> Latrines not handed over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Analysis!$C$134:$D$134</c:f>
              <c:numCache>
                <c:formatCode>_(* #,##0_);_(* \(#,##0\);_(* "-"??_);_(@_)</c:formatCode>
                <c:ptCount val="2"/>
                <c:pt idx="0">
                  <c:v>2396</c:v>
                </c:pt>
                <c:pt idx="1">
                  <c:v>2738</c:v>
                </c:pt>
              </c:numCache>
            </c:numRef>
          </c:val>
          <c:extLs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395453560"/>
        <c:axId val="395451600"/>
        <c:extLst>
          <c:ext xmlns:c15="http://schemas.microsoft.com/office/drawing/2012/chart" uri="{02D57815-91ED-43cb-92C2-25804820EDAC}">
            <c15:filteredBarSeries>
              <c15:ser>
                <c:idx val="0"/>
                <c:order val="0"/>
                <c:tx>
                  <c:strRef>
                    <c:extLst>
                      <c:ext uri="{02D57815-91ED-43cb-92C2-25804820EDAC}">
                        <c15:formulaRef>
                          <c15:sqref>Analysis!$B$131</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Analysis!$C$130:$D$130</c15:sqref>
                        </c15:formulaRef>
                      </c:ext>
                    </c:extLst>
                    <c:strCache>
                      <c:ptCount val="2"/>
                      <c:pt idx="0">
                        <c:v> # in GCA (20:1) </c:v>
                      </c:pt>
                      <c:pt idx="1">
                        <c:v> # in NGCA (20:1) </c:v>
                      </c:pt>
                    </c:strCache>
                  </c:strRef>
                </c:cat>
                <c:val>
                  <c:numRef>
                    <c:extLst>
                      <c:ext uri="{02D57815-91ED-43cb-92C2-25804820EDAC}">
                        <c15:formulaRef>
                          <c15:sqref>Analysis!$C$131:$D$131</c15:sqref>
                        </c15:formulaRef>
                      </c:ext>
                    </c:extLst>
                    <c:numCache>
                      <c:formatCode>_(* #,##0_);_(* \(#,##0\);_(* "-"??_);_(@_)</c:formatCode>
                      <c:ptCount val="2"/>
                      <c:pt idx="0">
                        <c:v>2403</c:v>
                      </c:pt>
                      <c:pt idx="1">
                        <c:v>3793</c:v>
                      </c:pt>
                    </c:numCache>
                  </c:numRef>
                </c:val>
                <c:extLs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Analysis!$B$132</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Analysis!$C$130:$D$130</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Analysis!$C$132:$D$132</c15:sqref>
                        </c15:formulaRef>
                      </c:ext>
                    </c:extLst>
                    <c:numCache>
                      <c:formatCode>_(* #,##0_);_(* \(#,##0\);_(* "-"??_);_(@_)</c:formatCode>
                      <c:ptCount val="2"/>
                      <c:pt idx="0">
                        <c:v>656</c:v>
                      </c:pt>
                      <c:pt idx="1">
                        <c:v>0</c:v>
                      </c:pt>
                    </c:numCache>
                  </c:numRef>
                </c:val>
                <c:extLst xmlns:c15="http://schemas.microsoft.com/office/drawing/2012/chart">
                  <c:ext xmlns:c16="http://schemas.microsoft.com/office/drawing/2014/chart" uri="{C3380CC4-5D6E-409C-BE32-E72D297353CC}">
                    <c16:uniqueId val="{00000002-4E65-4764-B72A-B684BBEB32AF}"/>
                  </c:ext>
                </c:extLst>
              </c15:ser>
            </c15:filteredBarSeries>
          </c:ext>
        </c:extLst>
      </c:barChart>
      <c:catAx>
        <c:axId val="3954535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600"/>
        <c:crosses val="autoZero"/>
        <c:auto val="1"/>
        <c:lblAlgn val="ctr"/>
        <c:lblOffset val="100"/>
        <c:noMultiLvlLbl val="0"/>
      </c:catAx>
      <c:valAx>
        <c:axId val="395451600"/>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3560"/>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Kachin  Number of ppl Covered against 2022 HRP targets</a:t>
            </a:r>
            <a:endParaRPr lang="en-US" sz="16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HRP!$E$189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D1D7-4153-9C9E-72479DC73F8A}"/>
              </c:ext>
            </c:extLst>
          </c:dPt>
          <c:dPt>
            <c:idx val="1"/>
            <c:invertIfNegative val="0"/>
            <c:bubble3D val="0"/>
            <c:spPr>
              <a:solidFill>
                <a:srgbClr val="BF9000"/>
              </a:solidFill>
              <a:ln>
                <a:noFill/>
              </a:ln>
              <a:effectLst/>
            </c:spPr>
            <c:extLst>
              <c:ext xmlns:c16="http://schemas.microsoft.com/office/drawing/2014/chart" uri="{C3380CC4-5D6E-409C-BE32-E72D297353CC}">
                <c16:uniqueId val="{00000012-94F1-45DC-BEEE-D687EB4B1985}"/>
              </c:ext>
            </c:extLst>
          </c:dPt>
          <c:dPt>
            <c:idx val="2"/>
            <c:invertIfNegative val="0"/>
            <c:bubble3D val="0"/>
            <c:spPr>
              <a:solidFill>
                <a:srgbClr val="FFFF00"/>
              </a:solidFill>
              <a:ln>
                <a:noFill/>
              </a:ln>
              <a:effectLst/>
            </c:spPr>
            <c:extLst>
              <c:ext xmlns:c16="http://schemas.microsoft.com/office/drawing/2014/chart" uri="{C3380CC4-5D6E-409C-BE32-E72D297353CC}">
                <c16:uniqueId val="{00000015-99D3-4CC4-8A54-53B33EDD96F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D1D7-4153-9C9E-72479DC73F8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1-D1D7-4153-9C9E-72479DC73F8A}"/>
              </c:ext>
            </c:extLst>
          </c:dPt>
          <c:dPt>
            <c:idx val="5"/>
            <c:invertIfNegative val="0"/>
            <c:bubble3D val="0"/>
            <c:spPr>
              <a:solidFill>
                <a:srgbClr val="0070C0"/>
              </a:solidFill>
              <a:ln>
                <a:noFill/>
              </a:ln>
              <a:effectLst/>
            </c:spPr>
            <c:extLst>
              <c:ext xmlns:c16="http://schemas.microsoft.com/office/drawing/2014/chart" uri="{C3380CC4-5D6E-409C-BE32-E72D297353CC}">
                <c16:uniqueId val="{00000009-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HRP!$E$190:$E$195</c:f>
              <c:numCache>
                <c:formatCode>_(* #,##0_);_(* \(#,##0\);_(* "-"??_);_(@_)</c:formatCode>
                <c:ptCount val="6"/>
                <c:pt idx="0">
                  <c:v>4395</c:v>
                </c:pt>
                <c:pt idx="1">
                  <c:v>20217</c:v>
                </c:pt>
                <c:pt idx="2">
                  <c:v>1365</c:v>
                </c:pt>
                <c:pt idx="3">
                  <c:v>91382</c:v>
                </c:pt>
                <c:pt idx="4">
                  <c:v>86748</c:v>
                </c:pt>
                <c:pt idx="5">
                  <c:v>81939.718518518508</c:v>
                </c:pt>
              </c:numCache>
            </c:numRef>
          </c:val>
          <c:extLst>
            <c:ext xmlns:c16="http://schemas.microsoft.com/office/drawing/2014/chart" uri="{C3380CC4-5D6E-409C-BE32-E72D297353CC}">
              <c16:uniqueId val="{00000008-E8A8-4037-987C-1EFA4CA8A785}"/>
            </c:ext>
          </c:extLst>
        </c:ser>
        <c:ser>
          <c:idx val="1"/>
          <c:order val="1"/>
          <c:tx>
            <c:strRef>
              <c:f>HRP!$F$189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1-94F1-45DC-BEEE-D687EB4B1985}"/>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6-D1D7-4153-9C9E-72479DC73F8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D1D7-4153-9C9E-72479DC73F8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D1D7-4153-9C9E-72479DC73F8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HRP!$F$190:$F$195</c:f>
              <c:numCache>
                <c:formatCode>_(* #,##0_);_(* \(#,##0\);_(* "-"??_);_(@_)</c:formatCode>
                <c:ptCount val="6"/>
                <c:pt idx="2">
                  <c:v>14334.894428130017</c:v>
                </c:pt>
                <c:pt idx="3">
                  <c:v>34656.34428130016</c:v>
                </c:pt>
                <c:pt idx="4">
                  <c:v>21021.268856260038</c:v>
                </c:pt>
                <c:pt idx="5">
                  <c:v>39531.356906521614</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repaired and desludged</a:t>
            </a:r>
            <a:endParaRPr lang="en-US" sz="14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5111635068569228"/>
        </c:manualLayout>
      </c:layout>
      <c:barChart>
        <c:barDir val="col"/>
        <c:grouping val="clustered"/>
        <c:varyColors val="0"/>
        <c:ser>
          <c:idx val="0"/>
          <c:order val="0"/>
          <c:tx>
            <c:strRef>
              <c:f>Analysis!$B$135</c:f>
              <c:strCache>
                <c:ptCount val="1"/>
                <c:pt idx="0">
                  <c:v> # Operation &amp; maintenance of latrines </c:v>
                </c:pt>
              </c:strCache>
            </c:strRef>
          </c:tx>
          <c:spPr>
            <a:solidFill>
              <a:schemeClr val="accent2">
                <a:lumMod val="75000"/>
              </a:schemeClr>
            </a:solidFill>
            <a:ln>
              <a:noFill/>
            </a:ln>
            <a:effectLst/>
          </c:spPr>
          <c:invertIfNegative val="0"/>
          <c:dLbls>
            <c:dLbl>
              <c:idx val="0"/>
              <c:layout>
                <c:manualLayout>
                  <c:x val="6.5794586193497952E-3"/>
                  <c:y val="9.8888618641820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CF-4E08-8ACC-53561D274419}"/>
                </c:ext>
              </c:extLst>
            </c:dLbl>
            <c:dLbl>
              <c:idx val="1"/>
              <c:layout>
                <c:manualLayout>
                  <c:x val="0"/>
                  <c:y val="0.103837968958433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CF-4E08-8ACC-53561D274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Analysis!$C$135:$D$135</c:f>
              <c:numCache>
                <c:formatCode>_(* #,##0_);_(* \(#,##0\);_(* "-"??_);_(@_)</c:formatCode>
                <c:ptCount val="2"/>
                <c:pt idx="0">
                  <c:v>63</c:v>
                </c:pt>
                <c:pt idx="1">
                  <c:v>0</c:v>
                </c:pt>
              </c:numCache>
            </c:numRef>
          </c:val>
          <c:extLst>
            <c:ext xmlns:c16="http://schemas.microsoft.com/office/drawing/2014/chart" uri="{C3380CC4-5D6E-409C-BE32-E72D297353CC}">
              <c16:uniqueId val="{00000000-177F-4830-A166-C2511012B919}"/>
            </c:ext>
          </c:extLst>
        </c:ser>
        <c:ser>
          <c:idx val="1"/>
          <c:order val="1"/>
          <c:tx>
            <c:strRef>
              <c:f>Analysis!$B$136</c:f>
              <c:strCache>
                <c:ptCount val="1"/>
                <c:pt idx="0">
                  <c:v> # latrines desludged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Analysis!$C$136:$D$136</c:f>
              <c:numCache>
                <c:formatCode>_(* #,##0_);_(* \(#,##0\);_(* "-"??_);_(@_)</c:formatCode>
                <c:ptCount val="2"/>
                <c:pt idx="0">
                  <c:v>494</c:v>
                </c:pt>
                <c:pt idx="1">
                  <c:v>0</c:v>
                </c:pt>
              </c:numCache>
            </c:numRef>
          </c:val>
          <c:extLs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395454344"/>
        <c:axId val="395455128"/>
      </c:barChart>
      <c:catAx>
        <c:axId val="395454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128"/>
        <c:crosses val="autoZero"/>
        <c:auto val="1"/>
        <c:lblAlgn val="ctr"/>
        <c:lblOffset val="100"/>
        <c:noMultiLvlLbl val="0"/>
      </c:catAx>
      <c:valAx>
        <c:axId val="39545512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4344"/>
        <c:crosses val="autoZero"/>
        <c:crossBetween val="between"/>
      </c:valAx>
      <c:spPr>
        <a:noFill/>
        <a:ln>
          <a:noFill/>
        </a:ln>
        <a:effectLst/>
      </c:spPr>
    </c:plotArea>
    <c:legend>
      <c:legendPos val="b"/>
      <c:layout>
        <c:manualLayout>
          <c:xMode val="edge"/>
          <c:yMode val="edge"/>
          <c:x val="0.16094236497862971"/>
          <c:y val="0.76844432080779779"/>
          <c:w val="0.67811527004274053"/>
          <c:h val="0.19349912075365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E5B6-42BD-AEB1-651CA93AFD89}"/>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5B6-42BD-AEB1-651CA93AFD89}"/>
                </c:ext>
              </c:extLst>
            </c:dLbl>
            <c:dLbl>
              <c:idx val="1"/>
              <c:layout>
                <c:manualLayout>
                  <c:x val="-8.9066164212274035E-2"/>
                  <c:y val="5.001114338617836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B6-42BD-AEB1-651CA93AFD8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Analysis!$F$130:$F$131</c:f>
              <c:strCache>
                <c:ptCount val="2"/>
                <c:pt idx="0">
                  <c:v>Functioning</c:v>
                </c:pt>
                <c:pt idx="1">
                  <c:v>Not_Functioing</c:v>
                </c:pt>
              </c:strCache>
            </c:strRef>
          </c:cat>
          <c:val>
            <c:numRef>
              <c:f>Analysis!$G$130:$G$131</c:f>
              <c:numCache>
                <c:formatCode>_(* #,##0_);_(* \(#,##0\);_(* "-"??_);_(@_)</c:formatCode>
                <c:ptCount val="2"/>
                <c:pt idx="0">
                  <c:v>6196</c:v>
                </c:pt>
                <c:pt idx="1">
                  <c:v>74</c:v>
                </c:pt>
              </c:numCache>
            </c:numRef>
          </c:val>
          <c:extLs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594413773883998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Analysis!$J$131</c:f>
              <c:strCache>
                <c:ptCount val="1"/>
                <c:pt idx="0">
                  <c:v> Coverage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Analysis!$K$131:$L$131</c15:sqref>
                  </c15:fullRef>
                </c:ext>
              </c:extLst>
              <c:f>Analysis!$K$131</c:f>
              <c:numCache>
                <c:formatCode>General</c:formatCode>
                <c:ptCount val="1"/>
                <c:pt idx="0" formatCode="_(* #,##0_);_(* \(#,##0\);_(* &quot;-&quot;??_);_(@_)">
                  <c:v>1066</c:v>
                </c:pt>
              </c:numCache>
            </c:numRef>
          </c:val>
          <c:extLst>
            <c:ext xmlns:c16="http://schemas.microsoft.com/office/drawing/2014/chart" uri="{C3380CC4-5D6E-409C-BE32-E72D297353CC}">
              <c16:uniqueId val="{00000000-5769-47EB-833D-C7F3A5603476}"/>
            </c:ext>
          </c:extLst>
        </c:ser>
        <c:ser>
          <c:idx val="1"/>
          <c:order val="1"/>
          <c:tx>
            <c:strRef>
              <c:f>Analysis!$J$132</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Analysis!$K$132:$L$132</c15:sqref>
                  </c15:fullRef>
                </c:ext>
              </c:extLst>
              <c:f>Analysis!$K$132</c:f>
              <c:numCache>
                <c:formatCode>General</c:formatCode>
                <c:ptCount val="1"/>
                <c:pt idx="0" formatCode="_(* #,##0_);_(* \(#,##0\);_(* &quot;-&quot;??_);_(@_)">
                  <c:v>16</c:v>
                </c:pt>
              </c:numCache>
            </c:numRef>
          </c:val>
          <c:extLs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395518344"/>
        <c:axId val="395518736"/>
      </c:barChart>
      <c:catAx>
        <c:axId val="395518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8736"/>
        <c:crosses val="autoZero"/>
        <c:auto val="1"/>
        <c:lblAlgn val="ctr"/>
        <c:lblOffset val="100"/>
        <c:noMultiLvlLbl val="0"/>
      </c:catAx>
      <c:valAx>
        <c:axId val="39551873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8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a:t>
            </a:r>
            <a:r>
              <a:rPr lang="en-US" sz="1400" baseline="0"/>
              <a:t> over to families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Analysis!$J$133</c:f>
              <c:strCache>
                <c:ptCount val="1"/>
                <c:pt idx="0">
                  <c:v> Latrines handed over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Analysis!$K$133:$L$133</c15:sqref>
                  </c15:fullRef>
                </c:ext>
              </c:extLst>
              <c:f>Analysis!$K$133</c:f>
              <c:numCache>
                <c:formatCode>General</c:formatCode>
                <c:ptCount val="1"/>
                <c:pt idx="0" formatCode="_(* #,##0_);_(* \(#,##0\);_(* &quot;-&quot;??_);_(@_)">
                  <c:v>121</c:v>
                </c:pt>
              </c:numCache>
            </c:numRef>
          </c:val>
          <c:extLst>
            <c:ext xmlns:c16="http://schemas.microsoft.com/office/drawing/2014/chart" uri="{C3380CC4-5D6E-409C-BE32-E72D297353CC}">
              <c16:uniqueId val="{00000000-56C5-41B0-B00A-3A7F63BCC9E4}"/>
            </c:ext>
          </c:extLst>
        </c:ser>
        <c:ser>
          <c:idx val="1"/>
          <c:order val="1"/>
          <c:tx>
            <c:strRef>
              <c:f>Analysis!$J$134</c:f>
              <c:strCache>
                <c:ptCount val="1"/>
                <c:pt idx="0">
                  <c:v> Latrines not handed over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Analysis!$K$134:$L$134</c15:sqref>
                  </c15:fullRef>
                </c:ext>
              </c:extLst>
              <c:f>Analysis!$K$134</c:f>
              <c:numCache>
                <c:formatCode>General</c:formatCode>
                <c:ptCount val="1"/>
                <c:pt idx="0" formatCode="_(* #,##0_);_(* \(#,##0\);_(* &quot;-&quot;??_);_(@_)">
                  <c:v>961</c:v>
                </c:pt>
              </c:numCache>
            </c:numRef>
          </c:val>
          <c:extLs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395515600"/>
        <c:axId val="395514424"/>
      </c:barChart>
      <c:catAx>
        <c:axId val="3955156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4424"/>
        <c:crosses val="autoZero"/>
        <c:auto val="1"/>
        <c:lblAlgn val="ctr"/>
        <c:lblOffset val="100"/>
        <c:noMultiLvlLbl val="0"/>
      </c:catAx>
      <c:valAx>
        <c:axId val="3955144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a:t>
            </a:r>
            <a:r>
              <a:rPr lang="en-US" sz="1400" baseline="0"/>
              <a:t> and desludged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Analysis!$J$135</c:f>
              <c:strCache>
                <c:ptCount val="1"/>
                <c:pt idx="0">
                  <c:v> # Operation &amp; maintenance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Analysis!$K$135:$L$135</c15:sqref>
                  </c15:fullRef>
                </c:ext>
              </c:extLst>
              <c:f>Analysis!$K$135</c:f>
              <c:numCache>
                <c:formatCode>General</c:formatCode>
                <c:ptCount val="1"/>
                <c:pt idx="0" formatCode="_(* #,##0_);_(* \(#,##0\);_(* &quot;-&quot;??_);_(@_)">
                  <c:v>0</c:v>
                </c:pt>
              </c:numCache>
            </c:numRef>
          </c:val>
          <c:extLst>
            <c:ext xmlns:c16="http://schemas.microsoft.com/office/drawing/2014/chart" uri="{C3380CC4-5D6E-409C-BE32-E72D297353CC}">
              <c16:uniqueId val="{00000000-33CE-4B6D-9AB7-C8657740D81A}"/>
            </c:ext>
          </c:extLst>
        </c:ser>
        <c:ser>
          <c:idx val="1"/>
          <c:order val="1"/>
          <c:tx>
            <c:strRef>
              <c:f>Analysis!$J$136</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General</c:formatCode>
                <c:ptCount val="1"/>
                <c:pt idx="0" formatCode="_(* #,##0_);_(* \(#,##0\);_(* &quot;-&quot;??_);_(@_)">
                  <c:v>20</c:v>
                </c:pt>
              </c:numCache>
            </c:numRef>
          </c:val>
          <c:extLs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395515208"/>
        <c:axId val="395521088"/>
      </c:barChart>
      <c:catAx>
        <c:axId val="395515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21088"/>
        <c:crosses val="autoZero"/>
        <c:auto val="1"/>
        <c:lblAlgn val="ctr"/>
        <c:lblOffset val="100"/>
        <c:noMultiLvlLbl val="0"/>
      </c:catAx>
      <c:valAx>
        <c:axId val="3955210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B88-47EA-BC4C-384013D44AB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Analysis!$N$129:$N$130</c:f>
              <c:strCache>
                <c:ptCount val="2"/>
                <c:pt idx="0">
                  <c:v>Functioning</c:v>
                </c:pt>
                <c:pt idx="1">
                  <c:v>Not_Functioning</c:v>
                </c:pt>
              </c:strCache>
            </c:strRef>
          </c:cat>
          <c:val>
            <c:numRef>
              <c:f>Analysis!$O$129:$O$130</c:f>
              <c:numCache>
                <c:formatCode>_(* #,##0_);_(* \(#,##0\);_(* "-"??_);_(@_)</c:formatCode>
                <c:ptCount val="2"/>
                <c:pt idx="0">
                  <c:v>1066</c:v>
                </c:pt>
                <c:pt idx="1">
                  <c:v>16</c:v>
                </c:pt>
              </c:numCache>
            </c:numRef>
          </c:val>
          <c:extLs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64385993735368"/>
          <c:y val="0.36818502966703448"/>
          <c:w val="0.39973435279209069"/>
          <c:h val="0.420220370182208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Analysis!$C$377</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05E0-4644-B94D-5EE578900F59}"/>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70B3-445E-A388-5E77EED1F4C2}"/>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70B3-445E-A388-5E77EED1F4C2}"/>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0014-4D5A-B67A-85A5684664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Analysis!$D$377:$I$377</c:f>
              <c:numCache>
                <c:formatCode>_(* #,##0_);_(* \(#,##0\);_(* "-"??_);_(@_)</c:formatCode>
                <c:ptCount val="6"/>
                <c:pt idx="0">
                  <c:v>120</c:v>
                </c:pt>
                <c:pt idx="1">
                  <c:v>34</c:v>
                </c:pt>
                <c:pt idx="2">
                  <c:v>299</c:v>
                </c:pt>
                <c:pt idx="3">
                  <c:v>38</c:v>
                </c:pt>
                <c:pt idx="4">
                  <c:v>2</c:v>
                </c:pt>
                <c:pt idx="5">
                  <c:v>33</c:v>
                </c:pt>
              </c:numCache>
            </c:numRef>
          </c:val>
          <c:extLs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395519520"/>
        <c:axId val="395515992"/>
      </c:barChart>
      <c:catAx>
        <c:axId val="3955195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5992"/>
        <c:crosses val="autoZero"/>
        <c:auto val="1"/>
        <c:lblAlgn val="ctr"/>
        <c:lblOffset val="100"/>
        <c:noMultiLvlLbl val="0"/>
      </c:catAx>
      <c:valAx>
        <c:axId val="39551599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Analysis!$C$378</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02F-4689-B178-0039CEEBCF8F}"/>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411-4C91-9586-0CAC856F90A9}"/>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02F-4689-B178-0039CEEBCF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Analysis!$D$378:$I$378</c:f>
              <c:numCache>
                <c:formatCode>_(* #,##0_);_(* \(#,##0\);_(* "-"??_);_(@_)</c:formatCode>
                <c:ptCount val="6"/>
                <c:pt idx="0">
                  <c:v>25</c:v>
                </c:pt>
                <c:pt idx="1">
                  <c:v>54</c:v>
                </c:pt>
                <c:pt idx="2">
                  <c:v>11</c:v>
                </c:pt>
                <c:pt idx="3">
                  <c:v>6</c:v>
                </c:pt>
                <c:pt idx="4">
                  <c:v>0</c:v>
                </c:pt>
                <c:pt idx="5">
                  <c:v>0</c:v>
                </c:pt>
              </c:numCache>
            </c:numRef>
          </c:val>
          <c:extLs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395521872"/>
        <c:axId val="395517168"/>
      </c:barChart>
      <c:catAx>
        <c:axId val="39552187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168"/>
        <c:crosses val="autoZero"/>
        <c:auto val="1"/>
        <c:lblAlgn val="ctr"/>
        <c:lblOffset val="100"/>
        <c:noMultiLvlLbl val="0"/>
      </c:catAx>
      <c:valAx>
        <c:axId val="39551716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2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[20221027_Myanmar_WASH_4W_2022_Q3_KachinShan_camp_Consolidate.xlsx]Analysis!K_Geo</c:name>
    <c:fmtId val="1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 Number of Sites - Coverage/Gaps</a:t>
            </a:r>
            <a:endParaRPr lang="en-US" sz="14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Analysis!$D$294:$D$295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multiLvlStrRef>
              <c:f>Analysis!$C$296:$C$306</c:f>
              <c:multiLvlStrCache>
                <c:ptCount val="9"/>
                <c:lvl>
                  <c:pt idx="0">
                    <c:v>Boarding School</c:v>
                  </c:pt>
                  <c:pt idx="1">
                    <c:v>Camp</c:v>
                  </c:pt>
                  <c:pt idx="2">
                    <c:v>Camp like setting</c:v>
                  </c:pt>
                  <c:pt idx="3">
                    <c:v>Closed Camp</c:v>
                  </c:pt>
                  <c:pt idx="4">
                    <c:v>IDPs in host</c:v>
                  </c:pt>
                  <c:pt idx="5">
                    <c:v>Camp</c:v>
                  </c:pt>
                  <c:pt idx="6">
                    <c:v>Camp like setting</c:v>
                  </c:pt>
                  <c:pt idx="7">
                    <c:v>Host Families</c:v>
                  </c:pt>
                  <c:pt idx="8">
                    <c:v>School</c:v>
                  </c:pt>
                </c:lvl>
                <c:lvl>
                  <c:pt idx="0">
                    <c:v>Camp</c:v>
                  </c:pt>
                  <c:pt idx="5">
                    <c:v>Camp_not registered</c:v>
                  </c:pt>
                </c:lvl>
              </c:multiLvlStrCache>
            </c:multiLvlStrRef>
          </c:cat>
          <c:val>
            <c:numRef>
              <c:f>Analysis!$D$296:$D$306</c:f>
              <c:numCache>
                <c:formatCode>General</c:formatCode>
                <c:ptCount val="9"/>
                <c:pt idx="0">
                  <c:v>1</c:v>
                </c:pt>
                <c:pt idx="1">
                  <c:v>107</c:v>
                </c:pt>
                <c:pt idx="2">
                  <c:v>5</c:v>
                </c:pt>
                <c:pt idx="3">
                  <c:v>1</c:v>
                </c:pt>
                <c:pt idx="4">
                  <c:v>1</c:v>
                </c:pt>
                <c:pt idx="5">
                  <c:v>8</c:v>
                </c:pt>
                <c:pt idx="6">
                  <c:v>3</c:v>
                </c:pt>
                <c:pt idx="7">
                  <c:v>1</c:v>
                </c:pt>
                <c:pt idx="8">
                  <c:v>1</c:v>
                </c:pt>
              </c:numCache>
            </c:numRef>
          </c:val>
          <c:extLst>
            <c:ext xmlns:c16="http://schemas.microsoft.com/office/drawing/2014/chart" uri="{C3380CC4-5D6E-409C-BE32-E72D297353CC}">
              <c16:uniqueId val="{00000001-92F7-487E-80E7-3326B452F2EC}"/>
            </c:ext>
          </c:extLst>
        </c:ser>
        <c:ser>
          <c:idx val="1"/>
          <c:order val="1"/>
          <c:tx>
            <c:strRef>
              <c:f>Analysis!$E$294:$E$295</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multiLvlStrRef>
              <c:f>Analysis!$C$296:$C$306</c:f>
              <c:multiLvlStrCache>
                <c:ptCount val="9"/>
                <c:lvl>
                  <c:pt idx="0">
                    <c:v>Boarding School</c:v>
                  </c:pt>
                  <c:pt idx="1">
                    <c:v>Camp</c:v>
                  </c:pt>
                  <c:pt idx="2">
                    <c:v>Camp like setting</c:v>
                  </c:pt>
                  <c:pt idx="3">
                    <c:v>Closed Camp</c:v>
                  </c:pt>
                  <c:pt idx="4">
                    <c:v>IDPs in host</c:v>
                  </c:pt>
                  <c:pt idx="5">
                    <c:v>Camp</c:v>
                  </c:pt>
                  <c:pt idx="6">
                    <c:v>Camp like setting</c:v>
                  </c:pt>
                  <c:pt idx="7">
                    <c:v>Host Families</c:v>
                  </c:pt>
                  <c:pt idx="8">
                    <c:v>School</c:v>
                  </c:pt>
                </c:lvl>
                <c:lvl>
                  <c:pt idx="0">
                    <c:v>Camp</c:v>
                  </c:pt>
                  <c:pt idx="5">
                    <c:v>Camp_not registered</c:v>
                  </c:pt>
                </c:lvl>
              </c:multiLvlStrCache>
            </c:multiLvlStrRef>
          </c:cat>
          <c:val>
            <c:numRef>
              <c:f>Analysis!$E$296:$E$306</c:f>
              <c:numCache>
                <c:formatCode>General</c:formatCode>
                <c:ptCount val="9"/>
                <c:pt idx="1">
                  <c:v>3</c:v>
                </c:pt>
                <c:pt idx="2">
                  <c:v>11</c:v>
                </c:pt>
                <c:pt idx="4">
                  <c:v>7</c:v>
                </c:pt>
              </c:numCache>
            </c:numRef>
          </c:val>
          <c:extLst>
            <c:ext xmlns:c16="http://schemas.microsoft.com/office/drawing/2014/chart" uri="{C3380CC4-5D6E-409C-BE32-E72D297353CC}">
              <c16:uniqueId val="{00000002-92F7-487E-80E7-3326B452F2EC}"/>
            </c:ext>
          </c:extLst>
        </c:ser>
        <c:dLbls>
          <c:showLegendKey val="0"/>
          <c:showVal val="0"/>
          <c:showCatName val="0"/>
          <c:showSerName val="0"/>
          <c:showPercent val="0"/>
          <c:showBubbleSize val="0"/>
        </c:dLbls>
        <c:gapWidth val="50"/>
        <c:axId val="395626848"/>
        <c:axId val="395621752"/>
      </c:barChart>
      <c:catAx>
        <c:axId val="3956268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1752"/>
        <c:crosses val="autoZero"/>
        <c:auto val="1"/>
        <c:lblAlgn val="ctr"/>
        <c:lblOffset val="100"/>
        <c:noMultiLvlLbl val="0"/>
      </c:catAx>
      <c:valAx>
        <c:axId val="395621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6848"/>
        <c:crosses val="autoZero"/>
        <c:crossBetween val="between"/>
      </c:valAx>
      <c:spPr>
        <a:noFill/>
        <a:ln>
          <a:noFill/>
        </a:ln>
        <a:effectLst/>
      </c:spPr>
    </c:plotArea>
    <c:legend>
      <c:legendPos val="r"/>
      <c:layout>
        <c:manualLayout>
          <c:xMode val="edge"/>
          <c:yMode val="edge"/>
          <c:x val="0.85701662292213476"/>
          <c:y val="0.29254560571232946"/>
          <c:w val="0.10110951553774671"/>
          <c:h val="0.1355114810976328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[20221027_Myanmar_WASH_4W_2022_Q3_KachinShan_camp_Consolidate.xlsx]Analysis!S_Geo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Shan - Number of Sites - Coverage/Gaps</a:t>
            </a:r>
          </a:p>
        </c:rich>
      </c:tx>
      <c:layout>
        <c:manualLayout>
          <c:xMode val="edge"/>
          <c:yMode val="edge"/>
          <c:x val="0.23635039267117552"/>
          <c:y val="5.11610604687845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336753277183592"/>
          <c:y val="0.2017504968066309"/>
          <c:w val="0.75360974690749882"/>
          <c:h val="0.58889356005193771"/>
        </c:manualLayout>
      </c:layout>
      <c:barChart>
        <c:barDir val="bar"/>
        <c:grouping val="clustered"/>
        <c:varyColors val="0"/>
        <c:ser>
          <c:idx val="0"/>
          <c:order val="0"/>
          <c:tx>
            <c:strRef>
              <c:f>Analysis!$I$295:$I$296</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Analysis!$H$297:$H$299</c:f>
              <c:strCache>
                <c:ptCount val="3"/>
                <c:pt idx="0">
                  <c:v>Camp</c:v>
                </c:pt>
                <c:pt idx="1">
                  <c:v>Camp_not registered</c:v>
                </c:pt>
                <c:pt idx="2">
                  <c:v>Relocated</c:v>
                </c:pt>
              </c:strCache>
            </c:strRef>
          </c:cat>
          <c:val>
            <c:numRef>
              <c:f>Analysis!$I$297:$I$299</c:f>
              <c:numCache>
                <c:formatCode>General</c:formatCode>
                <c:ptCount val="3"/>
                <c:pt idx="0">
                  <c:v>35</c:v>
                </c:pt>
                <c:pt idx="1">
                  <c:v>1</c:v>
                </c:pt>
                <c:pt idx="2">
                  <c:v>2</c:v>
                </c:pt>
              </c:numCache>
            </c:numRef>
          </c:val>
          <c:extLst>
            <c:ext xmlns:c16="http://schemas.microsoft.com/office/drawing/2014/chart" uri="{C3380CC4-5D6E-409C-BE32-E72D297353CC}">
              <c16:uniqueId val="{00000001-3222-4433-8213-89AC5F497E04}"/>
            </c:ext>
          </c:extLst>
        </c:ser>
        <c:ser>
          <c:idx val="1"/>
          <c:order val="1"/>
          <c:tx>
            <c:strRef>
              <c:f>Analysis!$J$295:$J$296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Analysis!$H$297:$H$299</c:f>
              <c:strCache>
                <c:ptCount val="3"/>
                <c:pt idx="0">
                  <c:v>Camp</c:v>
                </c:pt>
                <c:pt idx="1">
                  <c:v>Camp_not registered</c:v>
                </c:pt>
                <c:pt idx="2">
                  <c:v>Relocated</c:v>
                </c:pt>
              </c:strCache>
            </c:strRef>
          </c:cat>
          <c:val>
            <c:numRef>
              <c:f>Analysis!$J$297:$J$299</c:f>
              <c:numCache>
                <c:formatCode>General</c:formatCode>
                <c:ptCount val="3"/>
                <c:pt idx="0">
                  <c:v>3</c:v>
                </c:pt>
                <c:pt idx="2">
                  <c:v>2</c:v>
                </c:pt>
              </c:numCache>
            </c:numRef>
          </c:val>
          <c:extLst>
            <c:ext xmlns:c16="http://schemas.microsoft.com/office/drawing/2014/chart" uri="{C3380CC4-5D6E-409C-BE32-E72D297353CC}">
              <c16:uniqueId val="{00000002-3222-4433-8213-89AC5F497E04}"/>
            </c:ext>
          </c:extLst>
        </c:ser>
        <c:dLbls>
          <c:showLegendKey val="0"/>
          <c:showVal val="0"/>
          <c:showCatName val="0"/>
          <c:showSerName val="0"/>
          <c:showPercent val="0"/>
          <c:showBubbleSize val="0"/>
        </c:dLbls>
        <c:gapWidth val="100"/>
        <c:axId val="395622144"/>
        <c:axId val="395627240"/>
      </c:barChart>
      <c:catAx>
        <c:axId val="3956221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7240"/>
        <c:crosses val="autoZero"/>
        <c:auto val="1"/>
        <c:lblAlgn val="ctr"/>
        <c:lblOffset val="100"/>
        <c:noMultiLvlLbl val="0"/>
      </c:catAx>
      <c:valAx>
        <c:axId val="3956272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144"/>
        <c:crosses val="autoZero"/>
        <c:crossBetween val="between"/>
      </c:valAx>
      <c:spPr>
        <a:noFill/>
        <a:ln>
          <a:noFill/>
        </a:ln>
        <a:effectLst/>
      </c:spPr>
    </c:plotArea>
    <c:legend>
      <c:legendPos val="r"/>
      <c:layout>
        <c:manualLayout>
          <c:xMode val="edge"/>
          <c:yMode val="edge"/>
          <c:x val="0.82983209802781255"/>
          <c:y val="0.27349499223044882"/>
          <c:w val="9.0744528430735855E-2"/>
          <c:h val="0.1366796700308847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Shan(North) Number of ppl Covered against 2022 HRP targets</a:t>
            </a:r>
            <a:endParaRPr lang="en-US" sz="1600">
              <a:effectLst/>
            </a:endParaRPr>
          </a:p>
        </c:rich>
      </c:tx>
      <c:layout>
        <c:manualLayout>
          <c:xMode val="edge"/>
          <c:yMode val="edge"/>
          <c:x val="0.29043627426778662"/>
          <c:y val="1.48738442027560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2-ECCE-4705-8E13-3FA2A75322D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ECCE-4705-8E13-3FA2A75322D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C30E-4F5B-BB8F-2D4C569F6B73}"/>
              </c:ext>
            </c:extLst>
          </c:dPt>
          <c:dPt>
            <c:idx val="5"/>
            <c:invertIfNegative val="0"/>
            <c:bubble3D val="0"/>
            <c:spPr>
              <a:solidFill>
                <a:srgbClr val="0070C0"/>
              </a:solidFill>
              <a:ln>
                <a:noFill/>
              </a:ln>
              <a:effectLst/>
            </c:spPr>
            <c:extLst>
              <c:ext xmlns:c16="http://schemas.microsoft.com/office/drawing/2014/chart" uri="{C3380CC4-5D6E-409C-BE32-E72D297353CC}">
                <c16:uniqueId val="{00000007-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HRP!$E$206:$E$211</c:f>
              <c:numCache>
                <c:formatCode>_(* #,##0_);_(* \(#,##0\);_(* "-"??_);_(@_)</c:formatCode>
                <c:ptCount val="6"/>
                <c:pt idx="0">
                  <c:v>0</c:v>
                </c:pt>
                <c:pt idx="1">
                  <c:v>2223</c:v>
                </c:pt>
                <c:pt idx="2">
                  <c:v>0</c:v>
                </c:pt>
                <c:pt idx="3">
                  <c:v>35318</c:v>
                </c:pt>
                <c:pt idx="4">
                  <c:v>14016</c:v>
                </c:pt>
                <c:pt idx="5">
                  <c:v>17736.333333333332</c:v>
                </c:pt>
              </c:numCache>
            </c:numRef>
          </c:val>
          <c:extLst>
            <c:ext xmlns:c16="http://schemas.microsoft.com/office/drawing/2014/chart" uri="{C3380CC4-5D6E-409C-BE32-E72D297353CC}">
              <c16:uniqueId val="{00000001-0CB7-4264-A3F9-A84426FA15A3}"/>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C30E-4F5B-BB8F-2D4C569F6B73}"/>
              </c:ext>
            </c:extLst>
          </c:dPt>
          <c:dPt>
            <c:idx val="2"/>
            <c:invertIfNegative val="0"/>
            <c:bubble3D val="0"/>
            <c:spPr>
              <a:solidFill>
                <a:srgbClr val="FFFF00">
                  <a:alpha val="29804"/>
                </a:srgbClr>
              </a:solidFill>
              <a:ln>
                <a:noFill/>
              </a:ln>
              <a:effectLst/>
            </c:spPr>
            <c:extLst>
              <c:ext xmlns:c16="http://schemas.microsoft.com/office/drawing/2014/chart" uri="{C3380CC4-5D6E-409C-BE32-E72D297353CC}">
                <c16:uniqueId val="{0000000F-7D73-40A0-A891-00815A3FCB59}"/>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7D73-40A0-A891-00815A3FCB59}"/>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C30E-4F5B-BB8F-2D4C569F6B73}"/>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HRP!$F$206:$F$211</c:f>
              <c:numCache>
                <c:formatCode>_(* #,##0_);_(* \(#,##0\);_(* "-"??_);_(@_)</c:formatCode>
                <c:ptCount val="6"/>
                <c:pt idx="0">
                  <c:v>463.46999999999997</c:v>
                </c:pt>
                <c:pt idx="2">
                  <c:v>5099.0036928268628</c:v>
                </c:pt>
                <c:pt idx="3">
                  <c:v>11037.336928268625</c:v>
                </c:pt>
                <c:pt idx="4">
                  <c:v>7614.2673856537258</c:v>
                </c:pt>
                <c:pt idx="5">
                  <c:v>22437.736209281571</c:v>
                </c:pt>
              </c:numCache>
            </c:numRef>
          </c:val>
          <c:extLst>
            <c:ext xmlns:c16="http://schemas.microsoft.com/office/drawing/2014/chart" uri="{C3380CC4-5D6E-409C-BE32-E72D297353CC}">
              <c16:uniqueId val="{0000000D-7D73-40A0-A891-00815A3FCB59}"/>
            </c:ext>
          </c:extLst>
        </c:ser>
        <c:dLbls>
          <c:showLegendKey val="0"/>
          <c:showVal val="0"/>
          <c:showCatName val="0"/>
          <c:showSerName val="0"/>
          <c:showPercent val="0"/>
          <c:showBubbleSize val="0"/>
        </c:dLbls>
        <c:gapWidth val="1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3928"/>
        <c:crosses val="autoZero"/>
        <c:auto val="1"/>
        <c:lblAlgn val="ctr"/>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[20221027_Myanmar_WASH_4W_2022_Q3_KachinShan_camp_Consolidate.xlsx]Analysis!W_K_C_G_C</c:name>
    <c:fmtId val="2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Coverage VS GAP in protracted camps</a:t>
            </a:r>
            <a:endParaRPr lang="en-US" sz="1400">
              <a:effectLst/>
            </a:endParaRP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pivotFmt>
    </c:pivotFmts>
    <c:plotArea>
      <c:layout/>
      <c:barChart>
        <c:barDir val="col"/>
        <c:grouping val="percentStacked"/>
        <c:varyColors val="0"/>
        <c:ser>
          <c:idx val="0"/>
          <c:order val="0"/>
          <c:tx>
            <c:strRef>
              <c:f>Analysis!$C$80</c:f>
              <c:strCache>
                <c:ptCount val="1"/>
                <c:pt idx="0">
                  <c:v> % Water Coverage</c:v>
                </c:pt>
              </c:strCache>
            </c:strRef>
          </c:tx>
          <c:spPr>
            <a:solidFill>
              <a:schemeClr val="accent1">
                <a:lumMod val="75000"/>
              </a:schemeClr>
            </a:solidFill>
            <a:ln>
              <a:noFill/>
            </a:ln>
            <a:effectLst/>
          </c:spPr>
          <c:invertIfNegative val="0"/>
          <c:cat>
            <c:strRef>
              <c:f>Analysis!$B$81:$B$93</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Analysis!$C$81:$C$93</c:f>
              <c:numCache>
                <c:formatCode>0%</c:formatCode>
                <c:ptCount val="13"/>
                <c:pt idx="0">
                  <c:v>1</c:v>
                </c:pt>
                <c:pt idx="1">
                  <c:v>0.62930693069306931</c:v>
                </c:pt>
                <c:pt idx="2">
                  <c:v>0.82852900069881208</c:v>
                </c:pt>
                <c:pt idx="3">
                  <c:v>0.75874312563404356</c:v>
                </c:pt>
                <c:pt idx="4">
                  <c:v>1</c:v>
                </c:pt>
                <c:pt idx="5">
                  <c:v>1</c:v>
                </c:pt>
                <c:pt idx="6">
                  <c:v>0.36051809179562483</c:v>
                </c:pt>
                <c:pt idx="7">
                  <c:v>0.96974439227960352</c:v>
                </c:pt>
                <c:pt idx="8">
                  <c:v>1</c:v>
                </c:pt>
                <c:pt idx="9">
                  <c:v>1</c:v>
                </c:pt>
                <c:pt idx="10">
                  <c:v>1</c:v>
                </c:pt>
                <c:pt idx="11">
                  <c:v>0.4850165158182187</c:v>
                </c:pt>
                <c:pt idx="12">
                  <c:v>1</c:v>
                </c:pt>
              </c:numCache>
            </c:numRef>
          </c:val>
          <c:extLst>
            <c:ext xmlns:c16="http://schemas.microsoft.com/office/drawing/2014/chart" uri="{C3380CC4-5D6E-409C-BE32-E72D297353CC}">
              <c16:uniqueId val="{00000001-629E-4E0F-8944-9E77F04558F1}"/>
            </c:ext>
          </c:extLst>
        </c:ser>
        <c:ser>
          <c:idx val="1"/>
          <c:order val="1"/>
          <c:tx>
            <c:strRef>
              <c:f>Analysis!$D$80</c:f>
              <c:strCache>
                <c:ptCount val="1"/>
                <c:pt idx="0">
                  <c:v> % Water GAP</c:v>
                </c:pt>
              </c:strCache>
            </c:strRef>
          </c:tx>
          <c:spPr>
            <a:solidFill>
              <a:schemeClr val="accent1">
                <a:lumMod val="40000"/>
                <a:lumOff val="60000"/>
              </a:schemeClr>
            </a:solidFill>
            <a:ln>
              <a:noFill/>
            </a:ln>
            <a:effectLst/>
          </c:spPr>
          <c:invertIfNegative val="0"/>
          <c:cat>
            <c:strRef>
              <c:f>Analysis!$B$81:$B$93</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Analysis!$D$81:$D$93</c:f>
              <c:numCache>
                <c:formatCode>0%</c:formatCode>
                <c:ptCount val="13"/>
                <c:pt idx="0">
                  <c:v>0</c:v>
                </c:pt>
                <c:pt idx="1">
                  <c:v>0.37069306930693069</c:v>
                </c:pt>
                <c:pt idx="2">
                  <c:v>0.17147099930118792</c:v>
                </c:pt>
                <c:pt idx="3">
                  <c:v>0.24125687436595644</c:v>
                </c:pt>
                <c:pt idx="4">
                  <c:v>0</c:v>
                </c:pt>
                <c:pt idx="5">
                  <c:v>0</c:v>
                </c:pt>
                <c:pt idx="6">
                  <c:v>0.63948190820437523</c:v>
                </c:pt>
                <c:pt idx="7">
                  <c:v>3.0255607720396482E-2</c:v>
                </c:pt>
                <c:pt idx="8">
                  <c:v>0</c:v>
                </c:pt>
                <c:pt idx="9">
                  <c:v>0</c:v>
                </c:pt>
                <c:pt idx="10">
                  <c:v>0</c:v>
                </c:pt>
                <c:pt idx="11">
                  <c:v>0.5149834841817813</c:v>
                </c:pt>
                <c:pt idx="12">
                  <c:v>0</c:v>
                </c:pt>
              </c:numCache>
            </c:numRef>
          </c:val>
          <c:extLst>
            <c:ext xmlns:c16="http://schemas.microsoft.com/office/drawing/2014/chart" uri="{C3380CC4-5D6E-409C-BE32-E72D297353CC}">
              <c16:uniqueId val="{00000002-629E-4E0F-8944-9E77F04558F1}"/>
            </c:ext>
          </c:extLst>
        </c:ser>
        <c:dLbls>
          <c:showLegendKey val="0"/>
          <c:showVal val="0"/>
          <c:showCatName val="0"/>
          <c:showSerName val="0"/>
          <c:showPercent val="0"/>
          <c:showBubbleSize val="0"/>
        </c:dLbls>
        <c:gapWidth val="150"/>
        <c:overlap val="100"/>
        <c:axId val="395624888"/>
        <c:axId val="395623320"/>
      </c:barChart>
      <c:catAx>
        <c:axId val="3956248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3320"/>
        <c:crosses val="autoZero"/>
        <c:auto val="1"/>
        <c:lblAlgn val="ctr"/>
        <c:lblOffset val="100"/>
        <c:noMultiLvlLbl val="0"/>
      </c:catAx>
      <c:valAx>
        <c:axId val="395623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4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protracted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Analysis!$C$101</c:f>
              <c:strCache>
                <c:ptCount val="1"/>
                <c:pt idx="0">
                  <c:v> % Water Coverage</c:v>
                </c:pt>
              </c:strCache>
            </c:strRef>
          </c:tx>
          <c:spPr>
            <a:solidFill>
              <a:srgbClr val="0070C0"/>
            </a:solidFill>
            <a:ln>
              <a:noFill/>
            </a:ln>
            <a:effectLst/>
          </c:spPr>
          <c:invertIfNegative val="0"/>
          <c:cat>
            <c:strRef>
              <c:f>Analysis!$B$102:$B$110</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Analysis!$C$102:$C$110</c:f>
              <c:numCache>
                <c:formatCode>0%</c:formatCode>
                <c:ptCount val="9"/>
                <c:pt idx="0">
                  <c:v>1</c:v>
                </c:pt>
                <c:pt idx="1">
                  <c:v>0.93791542921793258</c:v>
                </c:pt>
                <c:pt idx="2">
                  <c:v>1</c:v>
                </c:pt>
                <c:pt idx="3">
                  <c:v>1</c:v>
                </c:pt>
                <c:pt idx="4">
                  <c:v>0.81288076588337688</c:v>
                </c:pt>
                <c:pt idx="5">
                  <c:v>1</c:v>
                </c:pt>
                <c:pt idx="6">
                  <c:v>1</c:v>
                </c:pt>
                <c:pt idx="7">
                  <c:v>0.95579450418160095</c:v>
                </c:pt>
                <c:pt idx="8">
                  <c:v>0.67434210526315785</c:v>
                </c:pt>
              </c:numCache>
            </c:numRef>
          </c:val>
          <c:extLst>
            <c:ext xmlns:c16="http://schemas.microsoft.com/office/drawing/2014/chart" uri="{C3380CC4-5D6E-409C-BE32-E72D297353CC}">
              <c16:uniqueId val="{00000001-43E1-4126-B57D-9F25D87AB5CF}"/>
            </c:ext>
          </c:extLst>
        </c:ser>
        <c:ser>
          <c:idx val="1"/>
          <c:order val="1"/>
          <c:tx>
            <c:strRef>
              <c:f>Analysis!$D$101</c:f>
              <c:strCache>
                <c:ptCount val="1"/>
                <c:pt idx="0">
                  <c:v> % Water GAP</c:v>
                </c:pt>
              </c:strCache>
            </c:strRef>
          </c:tx>
          <c:spPr>
            <a:solidFill>
              <a:schemeClr val="accent1">
                <a:lumMod val="40000"/>
                <a:lumOff val="60000"/>
              </a:schemeClr>
            </a:solidFill>
            <a:ln>
              <a:noFill/>
            </a:ln>
            <a:effectLst/>
          </c:spPr>
          <c:invertIfNegative val="0"/>
          <c:cat>
            <c:strRef>
              <c:f>Analysis!$B$102:$B$110</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Analysis!$D$102:$D$110</c:f>
              <c:numCache>
                <c:formatCode>0%</c:formatCode>
                <c:ptCount val="9"/>
                <c:pt idx="0">
                  <c:v>0</c:v>
                </c:pt>
                <c:pt idx="1">
                  <c:v>6.2084570782067416E-2</c:v>
                </c:pt>
                <c:pt idx="2">
                  <c:v>0</c:v>
                </c:pt>
                <c:pt idx="3">
                  <c:v>0</c:v>
                </c:pt>
                <c:pt idx="4">
                  <c:v>0.18711923411662312</c:v>
                </c:pt>
                <c:pt idx="5">
                  <c:v>0</c:v>
                </c:pt>
                <c:pt idx="6">
                  <c:v>0</c:v>
                </c:pt>
                <c:pt idx="7">
                  <c:v>4.4205495818399054E-2</c:v>
                </c:pt>
                <c:pt idx="8">
                  <c:v>0.32565789473684215</c:v>
                </c:pt>
              </c:numCache>
            </c:numRef>
          </c:val>
          <c:extLst>
            <c:ext xmlns:c16="http://schemas.microsoft.com/office/drawing/2014/chart" uri="{C3380CC4-5D6E-409C-BE32-E72D297353CC}">
              <c16:uniqueId val="{00000002-43E1-4126-B57D-9F25D87AB5CF}"/>
            </c:ext>
          </c:extLst>
        </c:ser>
        <c:dLbls>
          <c:showLegendKey val="0"/>
          <c:showVal val="0"/>
          <c:showCatName val="0"/>
          <c:showSerName val="0"/>
          <c:showPercent val="0"/>
          <c:showBubbleSize val="0"/>
        </c:dLbls>
        <c:gapWidth val="150"/>
        <c:overlap val="100"/>
        <c:axId val="395628416"/>
        <c:axId val="414766728"/>
      </c:barChart>
      <c:catAx>
        <c:axId val="395628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6728"/>
        <c:crosses val="autoZero"/>
        <c:auto val="1"/>
        <c:lblAlgn val="ctr"/>
        <c:lblOffset val="100"/>
        <c:noMultiLvlLbl val="0"/>
      </c:catAx>
      <c:valAx>
        <c:axId val="4147667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[20221027_Myanmar_WASH_4W_2022_Q3_KachinShan_camp_Consolidate.xlsx]Analysis!K_L_CG_C</c:name>
    <c:fmtId val="3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a:t>
            </a:r>
            <a:r>
              <a:rPr lang="en-US" sz="1400" baseline="0"/>
              <a:t> Coverage VS GAP in protracted camps</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Analysis!$C$187</c:f>
              <c:strCache>
                <c:ptCount val="1"/>
                <c:pt idx="0">
                  <c:v> % Latrine Coverage</c:v>
                </c:pt>
              </c:strCache>
            </c:strRef>
          </c:tx>
          <c:spPr>
            <a:solidFill>
              <a:schemeClr val="accent2">
                <a:lumMod val="75000"/>
              </a:schemeClr>
            </a:solidFill>
            <a:ln>
              <a:noFill/>
            </a:ln>
            <a:effectLst/>
          </c:spPr>
          <c:invertIfNegative val="0"/>
          <c:cat>
            <c:strRef>
              <c:f>Analysis!$B$188:$B$200</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Analysis!$C$188:$C$200</c:f>
              <c:numCache>
                <c:formatCode>0%</c:formatCode>
                <c:ptCount val="13"/>
                <c:pt idx="0">
                  <c:v>0.76488222698072805</c:v>
                </c:pt>
                <c:pt idx="1">
                  <c:v>0.71485148514851482</c:v>
                </c:pt>
                <c:pt idx="2">
                  <c:v>0.66142557651991618</c:v>
                </c:pt>
                <c:pt idx="3">
                  <c:v>0.93280474131026747</c:v>
                </c:pt>
                <c:pt idx="4">
                  <c:v>0.69567510548523204</c:v>
                </c:pt>
                <c:pt idx="5">
                  <c:v>0.84848484848484851</c:v>
                </c:pt>
                <c:pt idx="6">
                  <c:v>0.61004744154523893</c:v>
                </c:pt>
                <c:pt idx="7">
                  <c:v>0.71465832029212306</c:v>
                </c:pt>
                <c:pt idx="8">
                  <c:v>0.25864821713677488</c:v>
                </c:pt>
                <c:pt idx="9">
                  <c:v>1</c:v>
                </c:pt>
                <c:pt idx="10">
                  <c:v>0.42521534847298353</c:v>
                </c:pt>
                <c:pt idx="11">
                  <c:v>0.72274889993918368</c:v>
                </c:pt>
                <c:pt idx="12">
                  <c:v>1</c:v>
                </c:pt>
              </c:numCache>
            </c:numRef>
          </c:val>
          <c:extLst>
            <c:ext xmlns:c16="http://schemas.microsoft.com/office/drawing/2014/chart" uri="{C3380CC4-5D6E-409C-BE32-E72D297353CC}">
              <c16:uniqueId val="{00000001-B265-4EBA-83E6-756511A9CB9F}"/>
            </c:ext>
          </c:extLst>
        </c:ser>
        <c:ser>
          <c:idx val="1"/>
          <c:order val="1"/>
          <c:tx>
            <c:strRef>
              <c:f>Analysis!$D$187</c:f>
              <c:strCache>
                <c:ptCount val="1"/>
                <c:pt idx="0">
                  <c:v>  % Latrine GAP</c:v>
                </c:pt>
              </c:strCache>
            </c:strRef>
          </c:tx>
          <c:spPr>
            <a:solidFill>
              <a:schemeClr val="accent2">
                <a:lumMod val="40000"/>
                <a:lumOff val="60000"/>
              </a:schemeClr>
            </a:solidFill>
            <a:ln>
              <a:noFill/>
            </a:ln>
            <a:effectLst/>
          </c:spPr>
          <c:invertIfNegative val="0"/>
          <c:cat>
            <c:strRef>
              <c:f>Analysis!$B$188:$B$200</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Analysis!$D$188:$D$200</c:f>
              <c:numCache>
                <c:formatCode>0%</c:formatCode>
                <c:ptCount val="13"/>
                <c:pt idx="0">
                  <c:v>0.23511777301927195</c:v>
                </c:pt>
                <c:pt idx="1">
                  <c:v>0.28514851485148518</c:v>
                </c:pt>
                <c:pt idx="2">
                  <c:v>0.33857442348008382</c:v>
                </c:pt>
                <c:pt idx="3">
                  <c:v>6.7195258689732529E-2</c:v>
                </c:pt>
                <c:pt idx="4">
                  <c:v>0.30432489451476796</c:v>
                </c:pt>
                <c:pt idx="5">
                  <c:v>0.15151515151515149</c:v>
                </c:pt>
                <c:pt idx="6">
                  <c:v>0.38995255845476107</c:v>
                </c:pt>
                <c:pt idx="7">
                  <c:v>0.28534167970787694</c:v>
                </c:pt>
                <c:pt idx="8">
                  <c:v>0.74135178286322512</c:v>
                </c:pt>
                <c:pt idx="9">
                  <c:v>0</c:v>
                </c:pt>
                <c:pt idx="10">
                  <c:v>0.57478465152701652</c:v>
                </c:pt>
                <c:pt idx="11">
                  <c:v>0.27725110006081632</c:v>
                </c:pt>
                <c:pt idx="12">
                  <c:v>0</c:v>
                </c:pt>
              </c:numCache>
            </c:numRef>
          </c:val>
          <c:extLst>
            <c:ext xmlns:c16="http://schemas.microsoft.com/office/drawing/2014/chart" uri="{C3380CC4-5D6E-409C-BE32-E72D297353CC}">
              <c16:uniqueId val="{00000002-B265-4EBA-83E6-756511A9CB9F}"/>
            </c:ext>
          </c:extLst>
        </c:ser>
        <c:dLbls>
          <c:showLegendKey val="0"/>
          <c:showVal val="0"/>
          <c:showCatName val="0"/>
          <c:showSerName val="0"/>
          <c:showPercent val="0"/>
          <c:showBubbleSize val="0"/>
        </c:dLbls>
        <c:gapWidth val="150"/>
        <c:overlap val="100"/>
        <c:axId val="414768296"/>
        <c:axId val="414767904"/>
      </c:barChart>
      <c:catAx>
        <c:axId val="414768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7904"/>
        <c:crosses val="autoZero"/>
        <c:auto val="1"/>
        <c:lblAlgn val="ctr"/>
        <c:lblOffset val="100"/>
        <c:noMultiLvlLbl val="0"/>
      </c:catAx>
      <c:valAx>
        <c:axId val="4147679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Analysis!$K$188</c:f>
              <c:strCache>
                <c:ptCount val="1"/>
                <c:pt idx="0">
                  <c:v>  % Latrine Coverage</c:v>
                </c:pt>
              </c:strCache>
            </c:strRef>
          </c:tx>
          <c:spPr>
            <a:solidFill>
              <a:schemeClr val="accent2">
                <a:lumMod val="75000"/>
              </a:schemeClr>
            </a:solidFill>
            <a:ln>
              <a:noFill/>
            </a:ln>
            <a:effectLst/>
          </c:spPr>
          <c:invertIfNegative val="0"/>
          <c:cat>
            <c:strRef>
              <c:f>Analysis!$J$189:$J$197</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Analysis!$K$189:$K$197</c:f>
              <c:numCache>
                <c:formatCode>0%</c:formatCode>
                <c:ptCount val="9"/>
                <c:pt idx="0">
                  <c:v>1</c:v>
                </c:pt>
                <c:pt idx="1">
                  <c:v>0.9140857021637675</c:v>
                </c:pt>
                <c:pt idx="2">
                  <c:v>1</c:v>
                </c:pt>
                <c:pt idx="3">
                  <c:v>1</c:v>
                </c:pt>
                <c:pt idx="4">
                  <c:v>0.6962576153176675</c:v>
                </c:pt>
                <c:pt idx="5">
                  <c:v>0.88844621513944222</c:v>
                </c:pt>
                <c:pt idx="6">
                  <c:v>0.90731707317073174</c:v>
                </c:pt>
                <c:pt idx="7">
                  <c:v>0.16726403823178015</c:v>
                </c:pt>
                <c:pt idx="8">
                  <c:v>1</c:v>
                </c:pt>
              </c:numCache>
            </c:numRef>
          </c:val>
          <c:extLst>
            <c:ext xmlns:c16="http://schemas.microsoft.com/office/drawing/2014/chart" uri="{C3380CC4-5D6E-409C-BE32-E72D297353CC}">
              <c16:uniqueId val="{00000000-2EBA-4304-A312-0DEF5F3783A9}"/>
            </c:ext>
          </c:extLst>
        </c:ser>
        <c:ser>
          <c:idx val="1"/>
          <c:order val="1"/>
          <c:tx>
            <c:strRef>
              <c:f>Analysis!$L$188</c:f>
              <c:strCache>
                <c:ptCount val="1"/>
                <c:pt idx="0">
                  <c:v>  % Latrine GAP</c:v>
                </c:pt>
              </c:strCache>
            </c:strRef>
          </c:tx>
          <c:spPr>
            <a:solidFill>
              <a:schemeClr val="accent2">
                <a:lumMod val="40000"/>
                <a:lumOff val="60000"/>
              </a:schemeClr>
            </a:solidFill>
            <a:ln>
              <a:noFill/>
            </a:ln>
            <a:effectLst/>
          </c:spPr>
          <c:invertIfNegative val="0"/>
          <c:cat>
            <c:strRef>
              <c:f>Analysis!$J$189:$J$197</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Analysis!$L$189:$L$197</c:f>
              <c:numCache>
                <c:formatCode>0%</c:formatCode>
                <c:ptCount val="9"/>
                <c:pt idx="0">
                  <c:v>0</c:v>
                </c:pt>
                <c:pt idx="1">
                  <c:v>8.59142978362325E-2</c:v>
                </c:pt>
                <c:pt idx="2">
                  <c:v>0</c:v>
                </c:pt>
                <c:pt idx="3">
                  <c:v>0</c:v>
                </c:pt>
                <c:pt idx="4">
                  <c:v>0.3037423846823325</c:v>
                </c:pt>
                <c:pt idx="5">
                  <c:v>0.11155378486055778</c:v>
                </c:pt>
                <c:pt idx="6">
                  <c:v>9.2682926829268264E-2</c:v>
                </c:pt>
                <c:pt idx="7">
                  <c:v>0.83273596176821985</c:v>
                </c:pt>
                <c:pt idx="8">
                  <c:v>0</c:v>
                </c:pt>
              </c:numCache>
            </c:numRef>
          </c:val>
          <c:extLst>
            <c:ext xmlns:c16="http://schemas.microsoft.com/office/drawing/2014/chart" uri="{C3380CC4-5D6E-409C-BE32-E72D297353CC}">
              <c16:uniqueId val="{00000001-2EBA-4304-A312-0DEF5F3783A9}"/>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Analysis!$C$267</c:f>
              <c:strCache>
                <c:ptCount val="1"/>
                <c:pt idx="0">
                  <c:v>  % Hygiene Coverage</c:v>
                </c:pt>
              </c:strCache>
            </c:strRef>
          </c:tx>
          <c:spPr>
            <a:solidFill>
              <a:schemeClr val="accent6">
                <a:lumMod val="75000"/>
              </a:schemeClr>
            </a:solidFill>
            <a:ln>
              <a:noFill/>
            </a:ln>
            <a:effectLst/>
          </c:spPr>
          <c:invertIfNegative val="0"/>
          <c:cat>
            <c:strRef>
              <c:f>Analysis!$B$268:$B$280</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Analysis!$C$268:$C$280</c:f>
              <c:numCache>
                <c:formatCode>0%</c:formatCode>
                <c:ptCount val="13"/>
                <c:pt idx="0">
                  <c:v>0.83997144896502496</c:v>
                </c:pt>
                <c:pt idx="1">
                  <c:v>0.91920792079207925</c:v>
                </c:pt>
                <c:pt idx="2">
                  <c:v>0.8367400419287212</c:v>
                </c:pt>
                <c:pt idx="3">
                  <c:v>0.78479897485183403</c:v>
                </c:pt>
                <c:pt idx="4">
                  <c:v>0.72890295358649793</c:v>
                </c:pt>
                <c:pt idx="5">
                  <c:v>0.34343434343434343</c:v>
                </c:pt>
                <c:pt idx="6">
                  <c:v>0.53829210437139952</c:v>
                </c:pt>
                <c:pt idx="7">
                  <c:v>0.46731003303773255</c:v>
                </c:pt>
                <c:pt idx="8">
                  <c:v>0.15965939329430548</c:v>
                </c:pt>
                <c:pt idx="9">
                  <c:v>0.47781065088757396</c:v>
                </c:pt>
                <c:pt idx="10">
                  <c:v>0.52388410336726698</c:v>
                </c:pt>
                <c:pt idx="11">
                  <c:v>0.56187171323292673</c:v>
                </c:pt>
                <c:pt idx="12">
                  <c:v>1</c:v>
                </c:pt>
              </c:numCache>
            </c:numRef>
          </c:val>
          <c:extLst>
            <c:ext xmlns:c16="http://schemas.microsoft.com/office/drawing/2014/chart" uri="{C3380CC4-5D6E-409C-BE32-E72D297353CC}">
              <c16:uniqueId val="{00000001-4564-414E-8925-63724EF63043}"/>
            </c:ext>
          </c:extLst>
        </c:ser>
        <c:ser>
          <c:idx val="1"/>
          <c:order val="1"/>
          <c:tx>
            <c:strRef>
              <c:f>Analysis!$D$267</c:f>
              <c:strCache>
                <c:ptCount val="1"/>
                <c:pt idx="0">
                  <c:v>  % Hygiene Gap</c:v>
                </c:pt>
              </c:strCache>
            </c:strRef>
          </c:tx>
          <c:spPr>
            <a:solidFill>
              <a:schemeClr val="accent6">
                <a:lumMod val="40000"/>
                <a:lumOff val="60000"/>
              </a:schemeClr>
            </a:solidFill>
            <a:ln>
              <a:noFill/>
            </a:ln>
            <a:effectLst/>
          </c:spPr>
          <c:invertIfNegative val="0"/>
          <c:cat>
            <c:strRef>
              <c:f>Analysis!$B$268:$B$280</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Analysis!$D$268:$D$280</c:f>
              <c:numCache>
                <c:formatCode>0%</c:formatCode>
                <c:ptCount val="13"/>
                <c:pt idx="0">
                  <c:v>0.16002855103497504</c:v>
                </c:pt>
                <c:pt idx="1">
                  <c:v>8.0792079207920753E-2</c:v>
                </c:pt>
                <c:pt idx="2">
                  <c:v>0.1632599580712788</c:v>
                </c:pt>
                <c:pt idx="3">
                  <c:v>0.21520102514816597</c:v>
                </c:pt>
                <c:pt idx="4">
                  <c:v>0.27109704641350207</c:v>
                </c:pt>
                <c:pt idx="5">
                  <c:v>0.65656565656565657</c:v>
                </c:pt>
                <c:pt idx="6">
                  <c:v>0.46170789562860048</c:v>
                </c:pt>
                <c:pt idx="7">
                  <c:v>0.53268996696226745</c:v>
                </c:pt>
                <c:pt idx="8">
                  <c:v>0.84034060670569455</c:v>
                </c:pt>
                <c:pt idx="9">
                  <c:v>0.52218934911242609</c:v>
                </c:pt>
                <c:pt idx="10">
                  <c:v>0.47611589663273302</c:v>
                </c:pt>
                <c:pt idx="11">
                  <c:v>0.43812828676707327</c:v>
                </c:pt>
                <c:pt idx="12">
                  <c:v>0</c:v>
                </c:pt>
              </c:numCache>
            </c:numRef>
          </c:val>
          <c:extLst>
            <c:ext xmlns:c16="http://schemas.microsoft.com/office/drawing/2014/chart" uri="{C3380CC4-5D6E-409C-BE32-E72D297353CC}">
              <c16:uniqueId val="{00000002-4564-414E-8925-63724EF63043}"/>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[20221027_Myanmar_WASH_4W_2022_Q3_KachinShan_camp_Consolidate.xlsx]Analysis!S_H_CG_C</c:name>
    <c:fmtId val="5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Analysis!$L$266</c:f>
              <c:strCache>
                <c:ptCount val="1"/>
                <c:pt idx="0">
                  <c:v>  % Hygiene Coverage</c:v>
                </c:pt>
              </c:strCache>
            </c:strRef>
          </c:tx>
          <c:spPr>
            <a:solidFill>
              <a:schemeClr val="accent6">
                <a:lumMod val="75000"/>
              </a:schemeClr>
            </a:solidFill>
            <a:ln>
              <a:noFill/>
            </a:ln>
            <a:effectLst/>
          </c:spPr>
          <c:invertIfNegative val="0"/>
          <c:cat>
            <c:strRef>
              <c:f>Analysis!$K$267:$K$275</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Analysis!$L$267:$L$275</c:f>
              <c:numCache>
                <c:formatCode>0%</c:formatCode>
                <c:ptCount val="9"/>
                <c:pt idx="0">
                  <c:v>1</c:v>
                </c:pt>
                <c:pt idx="1">
                  <c:v>0.78086550700042423</c:v>
                </c:pt>
                <c:pt idx="2">
                  <c:v>0</c:v>
                </c:pt>
                <c:pt idx="3">
                  <c:v>1</c:v>
                </c:pt>
                <c:pt idx="4">
                  <c:v>0.81288076588337688</c:v>
                </c:pt>
                <c:pt idx="5">
                  <c:v>0.7426294820717132</c:v>
                </c:pt>
                <c:pt idx="6">
                  <c:v>0.87479674796747964</c:v>
                </c:pt>
                <c:pt idx="7">
                  <c:v>0</c:v>
                </c:pt>
                <c:pt idx="8">
                  <c:v>0</c:v>
                </c:pt>
              </c:numCache>
            </c:numRef>
          </c:val>
          <c:extLst>
            <c:ext xmlns:c16="http://schemas.microsoft.com/office/drawing/2014/chart" uri="{C3380CC4-5D6E-409C-BE32-E72D297353CC}">
              <c16:uniqueId val="{00000001-079F-45E9-A6E9-675CF9B1E9D8}"/>
            </c:ext>
          </c:extLst>
        </c:ser>
        <c:ser>
          <c:idx val="1"/>
          <c:order val="1"/>
          <c:tx>
            <c:strRef>
              <c:f>Analysis!$M$266</c:f>
              <c:strCache>
                <c:ptCount val="1"/>
                <c:pt idx="0">
                  <c:v>  % Hygiene Gap</c:v>
                </c:pt>
              </c:strCache>
            </c:strRef>
          </c:tx>
          <c:spPr>
            <a:solidFill>
              <a:schemeClr val="accent6">
                <a:lumMod val="40000"/>
                <a:lumOff val="60000"/>
              </a:schemeClr>
            </a:solidFill>
            <a:ln>
              <a:noFill/>
            </a:ln>
            <a:effectLst/>
          </c:spPr>
          <c:invertIfNegative val="0"/>
          <c:cat>
            <c:strRef>
              <c:f>Analysis!$K$267:$K$275</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Analysis!$M$267:$M$275</c:f>
              <c:numCache>
                <c:formatCode>0%</c:formatCode>
                <c:ptCount val="9"/>
                <c:pt idx="0">
                  <c:v>0</c:v>
                </c:pt>
                <c:pt idx="1">
                  <c:v>0.21913449299957577</c:v>
                </c:pt>
                <c:pt idx="2">
                  <c:v>1</c:v>
                </c:pt>
                <c:pt idx="3">
                  <c:v>0</c:v>
                </c:pt>
                <c:pt idx="4">
                  <c:v>0.18711923411662312</c:v>
                </c:pt>
                <c:pt idx="5">
                  <c:v>0.2573705179282868</c:v>
                </c:pt>
                <c:pt idx="6">
                  <c:v>0.12520325203252036</c:v>
                </c:pt>
                <c:pt idx="7">
                  <c:v>1</c:v>
                </c:pt>
                <c:pt idx="8">
                  <c:v>1</c:v>
                </c:pt>
              </c:numCache>
            </c:numRef>
          </c:val>
          <c:extLst>
            <c:ext xmlns:c16="http://schemas.microsoft.com/office/drawing/2014/chart" uri="{C3380CC4-5D6E-409C-BE32-E72D297353CC}">
              <c16:uniqueId val="{00000002-079F-45E9-A6E9-675CF9B1E9D8}"/>
            </c:ext>
          </c:extLst>
        </c:ser>
        <c:dLbls>
          <c:showLegendKey val="0"/>
          <c:showVal val="0"/>
          <c:showCatName val="0"/>
          <c:showSerName val="0"/>
          <c:showPercent val="0"/>
          <c:showBubbleSize val="0"/>
        </c:dLbls>
        <c:gapWidth val="150"/>
        <c:overlap val="100"/>
        <c:axId val="415872352"/>
        <c:axId val="415870784"/>
      </c:barChart>
      <c:catAx>
        <c:axId val="4158723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0784"/>
        <c:crosses val="autoZero"/>
        <c:auto val="1"/>
        <c:lblAlgn val="ctr"/>
        <c:lblOffset val="100"/>
        <c:noMultiLvlLbl val="0"/>
      </c:catAx>
      <c:valAx>
        <c:axId val="4158707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2352"/>
        <c:crosses val="autoZero"/>
        <c:crossBetween val="between"/>
      </c:valAx>
      <c:spPr>
        <a:noFill/>
        <a:ln>
          <a:noFill/>
        </a:ln>
        <a:effectLst/>
      </c:spPr>
    </c:plotArea>
    <c:legend>
      <c:legendPos val="b"/>
      <c:layout>
        <c:manualLayout>
          <c:xMode val="edge"/>
          <c:yMode val="edge"/>
          <c:x val="0.19890780627636068"/>
          <c:y val="0.90610661938639792"/>
          <c:w val="0.56581537182738895"/>
          <c:h val="7.49954494974862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sz="1400"/>
            </a:pPr>
            <a:r>
              <a:rPr lang="en-US" sz="1400" b="1" i="0" baseline="0">
                <a:effectLst/>
              </a:rPr>
              <a:t>at water sources, </a:t>
            </a:r>
          </a:p>
          <a:p>
            <a:pPr>
              <a:defRPr sz="1400"/>
            </a:pPr>
            <a:r>
              <a:rPr lang="en-US" sz="1400" b="1" i="0" baseline="0">
                <a:effectLst/>
              </a:rPr>
              <a:t>in Kachin</a:t>
            </a:r>
            <a:endParaRPr lang="en-US" sz="1400">
              <a:effectLst/>
            </a:endParaRPr>
          </a:p>
        </c:rich>
      </c:tx>
      <c:layout>
        <c:manualLayout>
          <c:xMode val="edge"/>
          <c:yMode val="edge"/>
          <c:x val="6.9592379601115043E-2"/>
          <c:y val="1.083016174462819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336002365901446"/>
          <c:y val="0.30315830989423864"/>
          <c:w val="0.42067472551846513"/>
          <c:h val="0.56783112993867646"/>
        </c:manualLayout>
      </c:layout>
      <c:pieChart>
        <c:varyColors val="1"/>
        <c:ser>
          <c:idx val="0"/>
          <c:order val="0"/>
          <c:tx>
            <c:strRef>
              <c:f>Analysis!$H$53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8-4595-40E7-B79F-6C0F1E417323}"/>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C-4595-40E7-B79F-6C0F1E417323}"/>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595-40E7-B79F-6C0F1E41732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strRef>
          </c:cat>
          <c:val>
            <c:numRef>
              <c:f>Analysis!$J$53:$K$53</c:f>
              <c:numCache>
                <c:formatCode>General</c:formatCode>
                <c:ptCount val="2"/>
                <c:pt idx="0">
                  <c:v>37</c:v>
                </c:pt>
                <c:pt idx="1">
                  <c:v>91</c:v>
                </c:pt>
              </c:numCache>
            </c:numRef>
          </c:val>
          <c:extLst>
            <c:ext xmlns:c16="http://schemas.microsoft.com/office/drawing/2014/chart" uri="{C3380CC4-5D6E-409C-BE32-E72D297353CC}">
              <c16:uniqueId val="{00000000-4595-40E7-B79F-6C0F1E4173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5C4C-409D-A3A5-0103C148A17F}"/>
                    </c:ext>
                  </c:extLst>
                </c:dPt>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Analysis!$J$54:$K$54</c15:sqref>
                        </c15:formulaRef>
                      </c:ext>
                    </c:extLst>
                    <c:numCache>
                      <c:formatCode>General</c:formatCode>
                      <c:ptCount val="2"/>
                      <c:pt idx="0">
                        <c:v>2</c:v>
                      </c:pt>
                      <c:pt idx="1">
                        <c:v>36</c:v>
                      </c:pt>
                    </c:numCache>
                  </c:numRef>
                </c:val>
                <c:extLst>
                  <c:ext xmlns:c16="http://schemas.microsoft.com/office/drawing/2014/chart" uri="{C3380CC4-5D6E-409C-BE32-E72D297353CC}">
                    <c16:uniqueId val="{0000000D-4595-40E7-B79F-6C0F1E4173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5C4C-409D-A3A5-0103C148A17F}"/>
                    </c:ext>
                  </c:extLst>
                </c:dPt>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4595-40E7-B79F-6C0F1E4173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Northern Shan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1"/>
          <c:order val="1"/>
          <c:tx>
            <c:strRef>
              <c:f>Analysis!$H$54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extLst xmlns:c15="http://schemas.microsoft.com/office/drawing/2012/chart"/>
            </c:strRef>
          </c:cat>
          <c:val>
            <c:numRef>
              <c:f>Analysis!$J$54:$K$54</c:f>
              <c:numCache>
                <c:formatCode>General</c:formatCode>
                <c:ptCount val="2"/>
                <c:pt idx="0">
                  <c:v>2</c:v>
                </c:pt>
                <c:pt idx="1">
                  <c:v>36</c:v>
                </c:pt>
              </c:numCache>
              <c:extLst xmlns:c15="http://schemas.microsoft.com/office/drawing/2012/chart"/>
            </c:numRef>
          </c:val>
          <c:extLst>
            <c:ext xmlns:c16="http://schemas.microsoft.com/office/drawing/2014/chart" uri="{C3380CC4-5D6E-409C-BE32-E72D297353CC}">
              <c16:uniqueId val="{0000000E-A6D4-4BA5-AFB7-3712F0A6AC0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Analysis!$H$53</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Analysis!$J$53:$K$53</c15:sqref>
                        </c15:formulaRef>
                      </c:ext>
                    </c:extLst>
                    <c:numCache>
                      <c:formatCode>General</c:formatCode>
                      <c:ptCount val="2"/>
                      <c:pt idx="0">
                        <c:v>37</c:v>
                      </c:pt>
                      <c:pt idx="1">
                        <c:v>91</c:v>
                      </c:pt>
                    </c:numCache>
                  </c:numRef>
                </c:val>
                <c:extLst>
                  <c:ext xmlns:c16="http://schemas.microsoft.com/office/drawing/2014/chart" uri="{C3380CC4-5D6E-409C-BE32-E72D297353CC}">
                    <c16:uniqueId val="{00000009-A6D4-4BA5-AFB7-3712F0A6AC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A6D4-4BA5-AFB7-3712F0A6AC0C}"/>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A6D4-4BA5-AFB7-3712F0A6AC0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&amp; Passed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Analysis!$K$61:$K$63</c:f>
              <c:strCache>
                <c:ptCount val="3"/>
                <c:pt idx="0">
                  <c:v>2022_Q1</c:v>
                </c:pt>
                <c:pt idx="1">
                  <c:v>2022_Q2</c:v>
                </c:pt>
                <c:pt idx="2">
                  <c:v>2022_Q3</c:v>
                </c:pt>
              </c:strCache>
            </c:strRef>
          </c:cat>
          <c:val>
            <c:numRef>
              <c:f>Analysis!$L$61:$L$63</c:f>
              <c:numCache>
                <c:formatCode>General</c:formatCode>
                <c:ptCount val="3"/>
                <c:pt idx="0">
                  <c:v>46</c:v>
                </c:pt>
                <c:pt idx="1">
                  <c:v>140</c:v>
                </c:pt>
                <c:pt idx="2">
                  <c:v>56</c:v>
                </c:pt>
              </c:numCache>
            </c:numRef>
          </c:val>
          <c:extLst>
            <c:ext xmlns:c16="http://schemas.microsoft.com/office/drawing/2014/chart" uri="{C3380CC4-5D6E-409C-BE32-E72D297353CC}">
              <c16:uniqueId val="{00000000-F935-4EB7-A6DD-5FF2CD715C68}"/>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Analysis!$K$61:$K$63</c:f>
              <c:strCache>
                <c:ptCount val="3"/>
                <c:pt idx="0">
                  <c:v>2022_Q1</c:v>
                </c:pt>
                <c:pt idx="1">
                  <c:v>2022_Q2</c:v>
                </c:pt>
                <c:pt idx="2">
                  <c:v>2022_Q3</c:v>
                </c:pt>
              </c:strCache>
            </c:strRef>
          </c:cat>
          <c:val>
            <c:numRef>
              <c:f>Analysis!$M$61:$M$63</c:f>
              <c:numCache>
                <c:formatCode>General</c:formatCode>
                <c:ptCount val="3"/>
                <c:pt idx="0">
                  <c:v>31</c:v>
                </c:pt>
                <c:pt idx="1">
                  <c:v>99</c:v>
                </c:pt>
                <c:pt idx="2">
                  <c:v>55</c:v>
                </c:pt>
              </c:numCache>
            </c:numRef>
          </c:val>
          <c:extLst>
            <c:ext xmlns:c16="http://schemas.microsoft.com/office/drawing/2014/chart" uri="{C3380CC4-5D6E-409C-BE32-E72D297353CC}">
              <c16:uniqueId val="{00000001-F935-4EB7-A6DD-5FF2CD715C6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7094460732583057"/>
          <c:y val="0.32044659190328484"/>
          <c:w val="0.33702595389173745"/>
          <c:h val="0.51766682573769185"/>
        </c:manualLayout>
      </c:layout>
      <c:pieChart>
        <c:varyColors val="1"/>
        <c:ser>
          <c:idx val="0"/>
          <c:order val="0"/>
          <c:tx>
            <c:strRef>
              <c:f>Analysis!$V$53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9-145C-4BDE-A747-E22127BA9BB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145C-4BDE-A747-E22127BA9BB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45C-4BDE-A747-E22127BA9B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strRef>
          </c:cat>
          <c:val>
            <c:numRef>
              <c:f>Analysis!$X$53:$Y$53</c:f>
              <c:numCache>
                <c:formatCode>General</c:formatCode>
                <c:ptCount val="2"/>
                <c:pt idx="0">
                  <c:v>29</c:v>
                </c:pt>
                <c:pt idx="1">
                  <c:v>99</c:v>
                </c:pt>
              </c:numCache>
            </c:numRef>
          </c:val>
          <c:extLst>
            <c:ext xmlns:c16="http://schemas.microsoft.com/office/drawing/2014/chart" uri="{C3380CC4-5D6E-409C-BE32-E72D297353CC}">
              <c16:uniqueId val="{00000000-145C-4BDE-A747-E22127BA9BB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88F0-4740-8197-C333F6E5CE3C}"/>
                    </c:ext>
                  </c:extLst>
                </c:dPt>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Analysis!$X$54:$Y$54</c15:sqref>
                        </c15:formulaRef>
                      </c:ext>
                    </c:extLst>
                    <c:numCache>
                      <c:formatCode>General</c:formatCode>
                      <c:ptCount val="2"/>
                      <c:pt idx="0">
                        <c:v>0</c:v>
                      </c:pt>
                      <c:pt idx="1">
                        <c:v>34</c:v>
                      </c:pt>
                    </c:numCache>
                  </c:numRef>
                </c:val>
                <c:extLst>
                  <c:ext xmlns:c16="http://schemas.microsoft.com/office/drawing/2014/chart" uri="{C3380CC4-5D6E-409C-BE32-E72D297353CC}">
                    <c16:uniqueId val="{00000001-145C-4BDE-A747-E22127BA9BB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8F0-4740-8197-C333F6E5CE3C}"/>
                    </c:ext>
                  </c:extLst>
                </c:dPt>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145C-4BDE-A747-E22127BA9BBA}"/>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2022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b="1" i="0" baseline="0">
                <a:effectLst/>
              </a:rPr>
              <a:t>HRP Objective 2: (Non-IDPs) </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HRP!$S$171</c:f>
              <c:strCache>
                <c:ptCount val="1"/>
                <c:pt idx="0">
                  <c:v>Coverage</c:v>
                </c:pt>
              </c:strCache>
            </c:strRef>
          </c:tx>
          <c:spPr>
            <a:solidFill>
              <a:srgbClr val="0070C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9-F654-4E6C-B062-4A2622CDB622}"/>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3FE3-484D-8596-F3C5C9549EEA}"/>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3-F379-4455-BCD4-40AFC80E23A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F654-4E6C-B062-4A2622CDB6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HRP!$Q$174:$Q$177</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HRP!$S$174:$S$177</c:f>
              <c:numCache>
                <c:formatCode>_(* #,##0_);_(* \(#,##0\);_(* "-"??_);_(@_)</c:formatCode>
                <c:ptCount val="4"/>
                <c:pt idx="0">
                  <c:v>44877</c:v>
                </c:pt>
                <c:pt idx="1">
                  <c:v>292175</c:v>
                </c:pt>
                <c:pt idx="2">
                  <c:v>71552</c:v>
                </c:pt>
                <c:pt idx="3">
                  <c:v>158794</c:v>
                </c:pt>
              </c:numCache>
            </c:numRef>
          </c:val>
          <c:extLst>
            <c:ext xmlns:c16="http://schemas.microsoft.com/office/drawing/2014/chart" uri="{C3380CC4-5D6E-409C-BE32-E72D297353CC}">
              <c16:uniqueId val="{00000000-851F-45C7-9C99-A7FF6B6487FE}"/>
            </c:ext>
          </c:extLst>
        </c:ser>
        <c:ser>
          <c:idx val="1"/>
          <c:order val="1"/>
          <c:tx>
            <c:strRef>
              <c:f>HRP!$T$171</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FFFF00">
                  <a:alpha val="30196"/>
                </a:srgbClr>
              </a:solidFill>
              <a:ln>
                <a:noFill/>
              </a:ln>
              <a:effectLst/>
            </c:spPr>
            <c:extLst>
              <c:ext xmlns:c16="http://schemas.microsoft.com/office/drawing/2014/chart" uri="{C3380CC4-5D6E-409C-BE32-E72D297353CC}">
                <c16:uniqueId val="{0000000A-F654-4E6C-B062-4A2622CDB622}"/>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FE3-484D-8596-F3C5C9549EEA}"/>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F379-4455-BCD4-40AFC80E23A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HRP!$Q$174:$Q$177</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HRP!$T$174:$T$177</c:f>
              <c:numCache>
                <c:formatCode>_(* #,##0_);_(* \(#,##0\);_(* "-"??_);_(@_)</c:formatCode>
                <c:ptCount val="4"/>
                <c:pt idx="0">
                  <c:v>32048.49016123444</c:v>
                </c:pt>
                <c:pt idx="1">
                  <c:v>477079.90161234443</c:v>
                </c:pt>
                <c:pt idx="2">
                  <c:v>82298.98032246888</c:v>
                </c:pt>
                <c:pt idx="3">
                  <c:v>456609.92128987552</c:v>
                </c:pt>
              </c:numCache>
            </c:numRef>
          </c:val>
          <c:extLs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150"/>
        <c:overlap val="100"/>
        <c:axId val="391607064"/>
        <c:axId val="391607456"/>
      </c:barChart>
      <c:catAx>
        <c:axId val="3916070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7456"/>
        <c:crosses val="autoZero"/>
        <c:auto val="1"/>
        <c:lblAlgn val="ctr"/>
        <c:lblOffset val="100"/>
        <c:noMultiLvlLbl val="0"/>
      </c:catAx>
      <c:valAx>
        <c:axId val="391607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70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Northern Shan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2710694251453865"/>
          <c:y val="0.32853195982081185"/>
          <c:w val="0.35559029386032626"/>
          <c:h val="0.54541669133463577"/>
        </c:manualLayout>
      </c:layout>
      <c:pieChart>
        <c:varyColors val="1"/>
        <c:ser>
          <c:idx val="1"/>
          <c:order val="1"/>
          <c:tx>
            <c:strRef>
              <c:f>Analysis!$V$54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EEE7-487F-B3C3-D4E58A56A3D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EEE7-487F-B3C3-D4E58A56A3D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EEE7-487F-B3C3-D4E58A56A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extLst xmlns:c15="http://schemas.microsoft.com/office/drawing/2012/chart"/>
            </c:strRef>
          </c:cat>
          <c:val>
            <c:numRef>
              <c:f>Analysis!$X$54:$Y$54</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E-EEE7-487F-B3C3-D4E58A56A3D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Analysis!$V$53</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Analysis!$X$53:$Y$53</c15:sqref>
                        </c15:formulaRef>
                      </c:ext>
                    </c:extLst>
                    <c:numCache>
                      <c:formatCode>General</c:formatCode>
                      <c:ptCount val="2"/>
                      <c:pt idx="0">
                        <c:v>29</c:v>
                      </c:pt>
                      <c:pt idx="1">
                        <c:v>99</c:v>
                      </c:pt>
                    </c:numCache>
                  </c:numRef>
                </c:val>
                <c:extLst>
                  <c:ext xmlns:c16="http://schemas.microsoft.com/office/drawing/2014/chart" uri="{C3380CC4-5D6E-409C-BE32-E72D297353CC}">
                    <c16:uniqueId val="{00000009-EEE7-487F-B3C3-D4E58A56A3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1-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3-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EEE7-487F-B3C3-D4E58A56A3D4}"/>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&amp; Passed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Analysis!$Z$58</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Analysis!$Y$59:$Y$61</c:f>
              <c:strCache>
                <c:ptCount val="3"/>
                <c:pt idx="0">
                  <c:v>2022_Q1</c:v>
                </c:pt>
                <c:pt idx="1">
                  <c:v>2022_Q2</c:v>
                </c:pt>
                <c:pt idx="2">
                  <c:v>2022_Q3</c:v>
                </c:pt>
              </c:strCache>
            </c:strRef>
          </c:cat>
          <c:val>
            <c:numRef>
              <c:f>Analysis!$Z$59:$Z$61</c:f>
              <c:numCache>
                <c:formatCode>General</c:formatCode>
                <c:ptCount val="3"/>
                <c:pt idx="0">
                  <c:v>100</c:v>
                </c:pt>
                <c:pt idx="1">
                  <c:v>181</c:v>
                </c:pt>
                <c:pt idx="2">
                  <c:v>274</c:v>
                </c:pt>
              </c:numCache>
            </c:numRef>
          </c:val>
          <c:extLst>
            <c:ext xmlns:c16="http://schemas.microsoft.com/office/drawing/2014/chart" uri="{C3380CC4-5D6E-409C-BE32-E72D297353CC}">
              <c16:uniqueId val="{00000000-A528-4231-8455-2E23C4C4DBA8}"/>
            </c:ext>
          </c:extLst>
        </c:ser>
        <c:ser>
          <c:idx val="1"/>
          <c:order val="1"/>
          <c:tx>
            <c:strRef>
              <c:f>Analysis!$AA$58</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Analysis!$Y$59:$Y$61</c:f>
              <c:strCache>
                <c:ptCount val="3"/>
                <c:pt idx="0">
                  <c:v>2022_Q1</c:v>
                </c:pt>
                <c:pt idx="1">
                  <c:v>2022_Q2</c:v>
                </c:pt>
                <c:pt idx="2">
                  <c:v>2022_Q3</c:v>
                </c:pt>
              </c:strCache>
            </c:strRef>
          </c:cat>
          <c:val>
            <c:numRef>
              <c:f>Analysis!$AA$59:$AA$61</c:f>
              <c:numCache>
                <c:formatCode>General</c:formatCode>
                <c:ptCount val="3"/>
                <c:pt idx="0">
                  <c:v>71</c:v>
                </c:pt>
                <c:pt idx="1">
                  <c:v>163</c:v>
                </c:pt>
                <c:pt idx="2">
                  <c:v>265</c:v>
                </c:pt>
              </c:numCache>
            </c:numRef>
          </c:val>
          <c:extLst>
            <c:ext xmlns:c16="http://schemas.microsoft.com/office/drawing/2014/chart" uri="{C3380CC4-5D6E-409C-BE32-E72D297353CC}">
              <c16:uniqueId val="{00000001-A528-4231-8455-2E23C4C4DBA8}"/>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ayout>
        <c:manualLayout>
          <c:xMode val="edge"/>
          <c:yMode val="edge"/>
          <c:x val="0.15863310773444289"/>
          <c:y val="0.91366017850991954"/>
          <c:w val="0.68830770108585926"/>
          <c:h val="8.63398214900804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a:p>
            <a:pPr>
              <a:defRPr sz="1400"/>
            </a:pPr>
            <a:r>
              <a:rPr lang="en-US" sz="1400" b="1" i="0" baseline="0">
                <a:effectLst/>
              </a:rPr>
              <a:t>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Analysis!$H$240:$H$241</c:f>
              <c:numCache>
                <c:formatCode>General</c:formatCode>
                <c:ptCount val="2"/>
                <c:pt idx="0">
                  <c:v>1843</c:v>
                </c:pt>
                <c:pt idx="1">
                  <c:v>0</c:v>
                </c:pt>
              </c:numCache>
            </c:numRef>
          </c:val>
          <c:extLst>
            <c:ext xmlns:c16="http://schemas.microsoft.com/office/drawing/2014/chart" uri="{C3380CC4-5D6E-409C-BE32-E72D297353CC}">
              <c16:uniqueId val="{00000000-508F-4540-BAAC-3440C3BC2E85}"/>
            </c:ext>
          </c:extLst>
        </c:ser>
        <c:ser>
          <c:idx val="1"/>
          <c:order val="1"/>
          <c:tx>
            <c:strRef>
              <c:f>Analysis!$I$239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Analysis!$I$240:$I$241</c:f>
              <c:numCache>
                <c:formatCode>0</c:formatCode>
                <c:ptCount val="2"/>
                <c:pt idx="0">
                  <c:v>1093</c:v>
                </c:pt>
                <c:pt idx="1">
                  <c:v>9047.2000000000007</c:v>
                </c:pt>
              </c:numCache>
            </c:numRef>
          </c:val>
          <c:extLst>
            <c:ext xmlns:c16="http://schemas.microsoft.com/office/drawing/2014/chart" uri="{C3380CC4-5D6E-409C-BE32-E72D297353CC}">
              <c16:uniqueId val="{00000001-508F-4540-BAAC-3440C3BC2E85}"/>
            </c:ext>
          </c:extLst>
        </c:ser>
        <c:dLbls>
          <c:showLegendKey val="0"/>
          <c:showVal val="0"/>
          <c:showCatName val="0"/>
          <c:showSerName val="0"/>
          <c:showPercent val="0"/>
          <c:showBubbleSize val="0"/>
        </c:dLbls>
        <c:gapWidth val="15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Analysis!$L$240:$L$241</c:f>
              <c:numCache>
                <c:formatCode>0</c:formatCode>
                <c:ptCount val="2"/>
                <c:pt idx="0">
                  <c:v>1654</c:v>
                </c:pt>
                <c:pt idx="1">
                  <c:v>0</c:v>
                </c:pt>
              </c:numCache>
            </c:numRef>
          </c:val>
          <c:extLst>
            <c:ext xmlns:c16="http://schemas.microsoft.com/office/drawing/2014/chart" uri="{C3380CC4-5D6E-409C-BE32-E72D297353CC}">
              <c16:uniqueId val="{00000000-60D0-4AE6-A456-9C602536AFEE}"/>
            </c:ext>
          </c:extLst>
        </c:ser>
        <c:ser>
          <c:idx val="1"/>
          <c:order val="1"/>
          <c:tx>
            <c:strRef>
              <c:f>Analysis!$M$239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Analysis!$M$240:$M$241</c:f>
              <c:numCache>
                <c:formatCode>0</c:formatCode>
                <c:ptCount val="2"/>
                <c:pt idx="0">
                  <c:v>16076.02</c:v>
                </c:pt>
                <c:pt idx="1">
                  <c:v>13362.619999999999</c:v>
                </c:pt>
              </c:numCache>
            </c:numRef>
          </c:val>
          <c:extLst>
            <c:ext xmlns:c16="http://schemas.microsoft.com/office/drawing/2014/chart" uri="{C3380CC4-5D6E-409C-BE32-E72D297353CC}">
              <c16:uniqueId val="{00000001-60D0-4AE6-A456-9C602536AFEE}"/>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[20221027_Myanmar_WASH_4W_2022_Q3_KachinShan_camp_Consolidate.xlsx]Analysis!PivotTable1</c:name>
    <c:fmtId val="27"/>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People access to functioning</a:t>
            </a:r>
            <a:r>
              <a:rPr lang="en-US" baseline="0"/>
              <a:t> latrine</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Analysis!$P$121:$P$122</c:f>
              <c:numCache>
                <c:formatCode>_(* #,##0_);_(* \(#,##0\);_(* "-"??_);_(@_)</c:formatCode>
                <c:ptCount val="2"/>
                <c:pt idx="0">
                  <c:v>39086</c:v>
                </c:pt>
                <c:pt idx="1">
                  <c:v>36057</c:v>
                </c:pt>
              </c:numCache>
            </c:numRef>
          </c:val>
          <c:extLst>
            <c:ext xmlns:c16="http://schemas.microsoft.com/office/drawing/2014/chart" uri="{C3380CC4-5D6E-409C-BE32-E72D297353CC}">
              <c16:uniqueId val="{00000001-850C-4C98-97BF-FA72C0FA135E}"/>
            </c:ext>
          </c:extLst>
        </c:ser>
        <c:ser>
          <c:idx val="1"/>
          <c:order val="1"/>
          <c:tx>
            <c:strRef>
              <c:f>Analysis!$Q$120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Analysis!$Q$121:$Q$122</c:f>
              <c:numCache>
                <c:formatCode>_(* #,##0_);_(* \(#,##0\);_(* "-"??_);_(@_)</c:formatCode>
                <c:ptCount val="2"/>
                <c:pt idx="0">
                  <c:v>22052</c:v>
                </c:pt>
                <c:pt idx="1">
                  <c:v>10021</c:v>
                </c:pt>
              </c:numCache>
            </c:numRef>
          </c:val>
          <c:extLst>
            <c:ext xmlns:c16="http://schemas.microsoft.com/office/drawing/2014/chart" uri="{C3380CC4-5D6E-409C-BE32-E72D297353CC}">
              <c16:uniqueId val="{00000002-850C-4C98-97BF-FA72C0FA135E}"/>
            </c:ext>
          </c:extLst>
        </c:ser>
        <c:dLbls>
          <c:showLegendKey val="0"/>
          <c:showVal val="0"/>
          <c:showCatName val="0"/>
          <c:showSerName val="0"/>
          <c:showPercent val="0"/>
          <c:showBubbleSize val="0"/>
        </c:dLbls>
        <c:gapWidth val="1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[20221027_Myanmar_WASH_4W_2022_Q3_KachinShan_camp_Consolidate.xlsx]Analysis!PivotTable11</c:name>
    <c:fmtId val="3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People access to functioning latrine</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Analysis!$Y$120</c:f>
              <c:strCache>
                <c:ptCount val="1"/>
                <c:pt idx="0">
                  <c:v>Accessed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Analysis!$X$121</c:f>
              <c:strCache>
                <c:ptCount val="1"/>
                <c:pt idx="0">
                  <c:v># in GCA (20:1)</c:v>
                </c:pt>
              </c:strCache>
            </c:strRef>
          </c:cat>
          <c:val>
            <c:numRef>
              <c:f>Analysis!$Y$121</c:f>
              <c:numCache>
                <c:formatCode>_(* #,##0_);_(* \(#,##0\);_(* "-"??_);_(@_)</c:formatCode>
                <c:ptCount val="1"/>
                <c:pt idx="0">
                  <c:v>8152</c:v>
                </c:pt>
              </c:numCache>
            </c:numRef>
          </c:val>
          <c:extLst>
            <c:ext xmlns:c16="http://schemas.microsoft.com/office/drawing/2014/chart" uri="{C3380CC4-5D6E-409C-BE32-E72D297353CC}">
              <c16:uniqueId val="{00000001-F10B-484E-A393-549D94337AB0}"/>
            </c:ext>
          </c:extLst>
        </c:ser>
        <c:ser>
          <c:idx val="1"/>
          <c:order val="1"/>
          <c:tx>
            <c:strRef>
              <c:f>Analysis!$Z$120</c:f>
              <c:strCache>
                <c:ptCount val="1"/>
                <c:pt idx="0">
                  <c:v>Not-accessed</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Analysis!$X$121</c:f>
              <c:strCache>
                <c:ptCount val="1"/>
                <c:pt idx="0">
                  <c:v># in GCA (20:1)</c:v>
                </c:pt>
              </c:strCache>
            </c:strRef>
          </c:cat>
          <c:val>
            <c:numRef>
              <c:f>Analysis!$Z$121</c:f>
              <c:numCache>
                <c:formatCode>_(* #,##0_);_(* \(#,##0\);_(* "-"??_);_(@_)</c:formatCode>
                <c:ptCount val="1"/>
                <c:pt idx="0">
                  <c:v>2345</c:v>
                </c:pt>
              </c:numCache>
            </c:numRef>
          </c:val>
          <c:extLst>
            <c:ext xmlns:c16="http://schemas.microsoft.com/office/drawing/2014/chart" uri="{C3380CC4-5D6E-409C-BE32-E72D297353CC}">
              <c16:uniqueId val="{00000002-F10B-484E-A393-549D94337AB0}"/>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Analysis!$L$220</c:f>
              <c:strCache>
                <c:ptCount val="1"/>
                <c:pt idx="0">
                  <c:v>Covered</c:v>
                </c:pt>
              </c:strCache>
            </c:strRef>
          </c:tx>
          <c:spPr>
            <a:solidFill>
              <a:schemeClr val="accent6">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690F-44CB-B473-33BAE2E627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Analysis!$L$221</c:f>
              <c:numCache>
                <c:formatCode>_(* #,##0_);_(* \(#,##0\);_(* "-"??_);_(@_)</c:formatCode>
                <c:ptCount val="1"/>
                <c:pt idx="0">
                  <c:v>0</c:v>
                </c:pt>
              </c:numCache>
            </c:numRef>
          </c:val>
          <c:extLst>
            <c:ext xmlns:c16="http://schemas.microsoft.com/office/drawing/2014/chart" uri="{C3380CC4-5D6E-409C-BE32-E72D297353CC}">
              <c16:uniqueId val="{00000000-35E5-4CBD-893B-463E52BE8668}"/>
            </c:ext>
          </c:extLst>
        </c:ser>
        <c:ser>
          <c:idx val="1"/>
          <c:order val="1"/>
          <c:tx>
            <c:strRef>
              <c:f>Analysis!$M$220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Analysis!$M$221</c:f>
              <c:numCache>
                <c:formatCode>_(* #,##0_);_(* \(#,##0\);_(* "-"??_);_(@_)</c:formatCode>
                <c:ptCount val="1"/>
                <c:pt idx="0">
                  <c:v>3044.1299999999997</c:v>
                </c:pt>
              </c:numCache>
            </c:numRef>
          </c:val>
          <c:extLst>
            <c:ext xmlns:c16="http://schemas.microsoft.com/office/drawing/2014/chart" uri="{C3380CC4-5D6E-409C-BE32-E72D297353CC}">
              <c16:uniqueId val="{00000001-35E5-4CBD-893B-463E52BE8668}"/>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[20221027_Myanmar_WASH_4W_2022_Q3_KachinShan_camp_Consolidate.xlsx]Analysis!PivotTable13</c:name>
    <c:fmtId val="24"/>
  </c:pivotSource>
  <c:chart>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Analysis!$AJ$120</c:f>
              <c:strCache>
                <c:ptCount val="1"/>
                <c:pt idx="0">
                  <c:v>Reached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Analysis!$AJ$121:$AJ$134</c:f>
              <c:numCache>
                <c:formatCode>General</c:formatCode>
                <c:ptCount val="14"/>
                <c:pt idx="0">
                  <c:v>286</c:v>
                </c:pt>
                <c:pt idx="1">
                  <c:v>129</c:v>
                </c:pt>
                <c:pt idx="2">
                  <c:v>191</c:v>
                </c:pt>
                <c:pt idx="3">
                  <c:v>12</c:v>
                </c:pt>
                <c:pt idx="4">
                  <c:v>1015</c:v>
                </c:pt>
                <c:pt idx="5">
                  <c:v>70</c:v>
                </c:pt>
                <c:pt idx="6">
                  <c:v>12</c:v>
                </c:pt>
                <c:pt idx="7">
                  <c:v>1003</c:v>
                </c:pt>
                <c:pt idx="8">
                  <c:v>441</c:v>
                </c:pt>
                <c:pt idx="9">
                  <c:v>12</c:v>
                </c:pt>
                <c:pt idx="10">
                  <c:v>27</c:v>
                </c:pt>
                <c:pt idx="11">
                  <c:v>155</c:v>
                </c:pt>
                <c:pt idx="12">
                  <c:v>0</c:v>
                </c:pt>
                <c:pt idx="13">
                  <c:v>2106</c:v>
                </c:pt>
              </c:numCache>
            </c:numRef>
          </c:val>
          <c:extLst>
            <c:ext xmlns:c16="http://schemas.microsoft.com/office/drawing/2014/chart" uri="{C3380CC4-5D6E-409C-BE32-E72D297353CC}">
              <c16:uniqueId val="{00000001-22C4-49E8-928E-A208164A9841}"/>
            </c:ext>
          </c:extLst>
        </c:ser>
        <c:ser>
          <c:idx val="1"/>
          <c:order val="1"/>
          <c:tx>
            <c:strRef>
              <c:f>Analysis!$AK$120</c:f>
              <c:strCache>
                <c:ptCount val="1"/>
                <c:pt idx="0">
                  <c:v>Target (20:1)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Analysis!$AK$121:$AK$134</c:f>
              <c:numCache>
                <c:formatCode>General</c:formatCode>
                <c:ptCount val="14"/>
                <c:pt idx="0">
                  <c:v>335</c:v>
                </c:pt>
                <c:pt idx="1">
                  <c:v>130</c:v>
                </c:pt>
                <c:pt idx="2">
                  <c:v>192</c:v>
                </c:pt>
                <c:pt idx="3">
                  <c:v>29</c:v>
                </c:pt>
                <c:pt idx="4">
                  <c:v>590</c:v>
                </c:pt>
                <c:pt idx="5">
                  <c:v>76</c:v>
                </c:pt>
                <c:pt idx="6">
                  <c:v>9</c:v>
                </c:pt>
                <c:pt idx="7">
                  <c:v>1308</c:v>
                </c:pt>
                <c:pt idx="8">
                  <c:v>549</c:v>
                </c:pt>
                <c:pt idx="9">
                  <c:v>14</c:v>
                </c:pt>
                <c:pt idx="10">
                  <c:v>94</c:v>
                </c:pt>
                <c:pt idx="11">
                  <c:v>43</c:v>
                </c:pt>
                <c:pt idx="12">
                  <c:v>62</c:v>
                </c:pt>
                <c:pt idx="13">
                  <c:v>1725</c:v>
                </c:pt>
              </c:numCache>
            </c:numRef>
          </c:val>
          <c:extLst>
            <c:ext xmlns:c16="http://schemas.microsoft.com/office/drawing/2014/chart" uri="{C3380CC4-5D6E-409C-BE32-E72D297353CC}">
              <c16:uniqueId val="{00000002-22C4-49E8-928E-A208164A9841}"/>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[20221027_Myanmar_WASH_4W_2022_Q3_KachinShan_camp_Consolidate.xlsx]Analysis!PivotTable15</c:name>
    <c:fmtId val="31"/>
  </c:pivotSource>
  <c:chart>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Analysis!$AJ$140</c:f>
              <c:strCache>
                <c:ptCount val="1"/>
                <c:pt idx="0">
                  <c:v>Reached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Analysis!$AJ$141:$AJ$148</c:f>
              <c:numCache>
                <c:formatCode>General</c:formatCode>
                <c:ptCount val="8"/>
                <c:pt idx="0">
                  <c:v>48</c:v>
                </c:pt>
                <c:pt idx="1">
                  <c:v>685</c:v>
                </c:pt>
                <c:pt idx="2">
                  <c:v>23</c:v>
                </c:pt>
                <c:pt idx="3">
                  <c:v>641</c:v>
                </c:pt>
                <c:pt idx="4">
                  <c:v>26</c:v>
                </c:pt>
                <c:pt idx="5">
                  <c:v>40</c:v>
                </c:pt>
                <c:pt idx="6">
                  <c:v>54</c:v>
                </c:pt>
                <c:pt idx="7">
                  <c:v>42</c:v>
                </c:pt>
              </c:numCache>
            </c:numRef>
          </c:val>
          <c:extLst>
            <c:ext xmlns:c16="http://schemas.microsoft.com/office/drawing/2014/chart" uri="{C3380CC4-5D6E-409C-BE32-E72D297353CC}">
              <c16:uniqueId val="{00000001-EADF-4CA0-85F4-D98B78383CFD}"/>
            </c:ext>
          </c:extLst>
        </c:ser>
        <c:ser>
          <c:idx val="1"/>
          <c:order val="1"/>
          <c:tx>
            <c:strRef>
              <c:f>Analysis!$AK$140</c:f>
              <c:strCache>
                <c:ptCount val="1"/>
                <c:pt idx="0">
                  <c:v>Target (20:1)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Analysis!$AK$141:$AK$148</c:f>
              <c:numCache>
                <c:formatCode>General</c:formatCode>
                <c:ptCount val="8"/>
                <c:pt idx="0">
                  <c:v>20</c:v>
                </c:pt>
                <c:pt idx="1">
                  <c:v>473</c:v>
                </c:pt>
                <c:pt idx="2">
                  <c:v>5</c:v>
                </c:pt>
                <c:pt idx="3">
                  <c:v>257</c:v>
                </c:pt>
                <c:pt idx="4">
                  <c:v>14</c:v>
                </c:pt>
                <c:pt idx="5">
                  <c:v>47</c:v>
                </c:pt>
                <c:pt idx="6">
                  <c:v>49</c:v>
                </c:pt>
                <c:pt idx="7">
                  <c:v>32</c:v>
                </c:pt>
              </c:numCache>
            </c:numRef>
          </c:val>
          <c:extLst>
            <c:ext xmlns:c16="http://schemas.microsoft.com/office/drawing/2014/chart" uri="{C3380CC4-5D6E-409C-BE32-E72D297353CC}">
              <c16:uniqueId val="{00000002-EADF-4CA0-85F4-D98B78383CFD}"/>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[20221027_Myanmar_WASH_4W_2022_Q3_KachinShan_camp_Consolidate.xlsx]Analysis!PivotTable3</c:name>
    <c:fmtId val="18"/>
  </c:pivotSource>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Analysis!$D$404:$D$405</c:f>
              <c:strCache>
                <c:ptCount val="1"/>
                <c:pt idx="0">
                  <c:v>2022_Q1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Analysis!$D$406:$D$409</c:f>
              <c:numCache>
                <c:formatCode>0%</c:formatCode>
                <c:ptCount val="4"/>
                <c:pt idx="0">
                  <c:v>0.91302402761184143</c:v>
                </c:pt>
                <c:pt idx="1">
                  <c:v>0.89170506912442404</c:v>
                </c:pt>
                <c:pt idx="2">
                  <c:v>0.73531249999999981</c:v>
                </c:pt>
                <c:pt idx="3">
                  <c:v>0.23460921737679713</c:v>
                </c:pt>
              </c:numCache>
            </c:numRef>
          </c:val>
          <c:extLst>
            <c:ext xmlns:c16="http://schemas.microsoft.com/office/drawing/2014/chart" uri="{C3380CC4-5D6E-409C-BE32-E72D297353CC}">
              <c16:uniqueId val="{00000000-4BC3-4991-AC11-AEBD3462C7AA}"/>
            </c:ext>
          </c:extLst>
        </c:ser>
        <c:ser>
          <c:idx val="1"/>
          <c:order val="1"/>
          <c:tx>
            <c:strRef>
              <c:f>Analysis!$E$404:$E$405</c:f>
              <c:strCache>
                <c:ptCount val="1"/>
                <c:pt idx="0">
                  <c:v>2022_Q2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Analysis!$E$406:$E$409</c:f>
              <c:numCache>
                <c:formatCode>0%</c:formatCode>
                <c:ptCount val="4"/>
                <c:pt idx="0">
                  <c:v>0.80333333333333357</c:v>
                </c:pt>
                <c:pt idx="1">
                  <c:v>0.8036585365853659</c:v>
                </c:pt>
                <c:pt idx="2">
                  <c:v>0.33873239436619729</c:v>
                </c:pt>
                <c:pt idx="3">
                  <c:v>8.9258899888097043E-2</c:v>
                </c:pt>
              </c:numCache>
            </c:numRef>
          </c:val>
          <c:extLst>
            <c:ext xmlns:c16="http://schemas.microsoft.com/office/drawing/2014/chart" uri="{C3380CC4-5D6E-409C-BE32-E72D297353CC}">
              <c16:uniqueId val="{00000000-5582-4FD5-85B0-59C58AA9BE3A}"/>
            </c:ext>
          </c:extLst>
        </c:ser>
        <c:ser>
          <c:idx val="2"/>
          <c:order val="2"/>
          <c:tx>
            <c:strRef>
              <c:f>Analysis!$F$404:$F$405</c:f>
              <c:strCache>
                <c:ptCount val="1"/>
                <c:pt idx="0">
                  <c:v>2022_Q3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Analysis!$F$406:$F$409</c:f>
              <c:numCache>
                <c:formatCode>0%</c:formatCode>
                <c:ptCount val="4"/>
                <c:pt idx="0">
                  <c:v>0.83241379310344832</c:v>
                </c:pt>
                <c:pt idx="1">
                  <c:v>0.80821428571428577</c:v>
                </c:pt>
                <c:pt idx="2">
                  <c:v>0.81264705882352939</c:v>
                </c:pt>
                <c:pt idx="3">
                  <c:v>9.2514516630750374E-2</c:v>
                </c:pt>
              </c:numCache>
            </c:numRef>
          </c:val>
          <c:extLst>
            <c:ext xmlns:c16="http://schemas.microsoft.com/office/drawing/2014/chart" uri="{C3380CC4-5D6E-409C-BE32-E72D297353CC}">
              <c16:uniqueId val="{00000000-8FDF-4D3F-9E35-98C87671CCB9}"/>
            </c:ext>
          </c:extLst>
        </c:ser>
        <c:dLbls>
          <c:showLegendKey val="0"/>
          <c:showVal val="0"/>
          <c:showCatName val="0"/>
          <c:showSerName val="0"/>
          <c:showPercent val="0"/>
          <c:showBubbleSize val="0"/>
        </c:dLbls>
        <c:gapWidth val="10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2022 HRP targets</a:t>
            </a:r>
          </a:p>
          <a:p>
            <a:pPr>
              <a:defRPr sz="1400"/>
            </a:pPr>
            <a:r>
              <a:rPr lang="en-US" sz="1400" b="1" i="0" baseline="0">
                <a:effectLst/>
              </a:rPr>
              <a:t>Total (IDPs &amp; Non-IDPs)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HRP!$AC$171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D-2D21-4D0E-AF91-A8A56D77EF1E}"/>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F-2D21-4D0E-AF91-A8A56D77EF1E}"/>
              </c:ext>
            </c:extLst>
          </c:dPt>
          <c:dPt>
            <c:idx val="2"/>
            <c:invertIfNegative val="0"/>
            <c:bubble3D val="0"/>
            <c:spPr>
              <a:solidFill>
                <a:srgbClr val="FFFF00"/>
              </a:solidFill>
              <a:ln>
                <a:noFill/>
              </a:ln>
              <a:effectLst/>
            </c:spPr>
            <c:extLst>
              <c:ext xmlns:c16="http://schemas.microsoft.com/office/drawing/2014/chart" uri="{C3380CC4-5D6E-409C-BE32-E72D297353CC}">
                <c16:uniqueId val="{00000005-DF59-4E13-A78D-D1FAA2870958}"/>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1277-43EF-B124-13DB270E2D9D}"/>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1277-43EF-B124-13DB270E2D9D}"/>
              </c:ext>
            </c:extLst>
          </c:dPt>
          <c:dPt>
            <c:idx val="5"/>
            <c:invertIfNegative val="0"/>
            <c:bubble3D val="0"/>
            <c:spPr>
              <a:solidFill>
                <a:srgbClr val="0070C0"/>
              </a:solidFill>
              <a:ln>
                <a:noFill/>
              </a:ln>
              <a:effectLst/>
            </c:spPr>
            <c:extLst>
              <c:ext xmlns:c16="http://schemas.microsoft.com/office/drawing/2014/chart" uri="{C3380CC4-5D6E-409C-BE32-E72D297353CC}">
                <c16:uniqueId val="{0000000B-2C08-4149-A500-9760685181D2}"/>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5-DF59-4E13-A78D-D1FAA28709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HRP!$AA$172:$AA$177</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HRP!$AC$172:$AC$177</c:f>
              <c:numCache>
                <c:formatCode>_(* #,##0_);_(* \(#,##0\);_(* "-"??_);_(@_)</c:formatCode>
                <c:ptCount val="6"/>
                <c:pt idx="0">
                  <c:v>4995</c:v>
                </c:pt>
                <c:pt idx="1">
                  <c:v>30690</c:v>
                </c:pt>
                <c:pt idx="2">
                  <c:v>53717</c:v>
                </c:pt>
                <c:pt idx="3">
                  <c:v>856734.06182531896</c:v>
                </c:pt>
                <c:pt idx="4">
                  <c:v>389716</c:v>
                </c:pt>
                <c:pt idx="5">
                  <c:v>677747.05185185187</c:v>
                </c:pt>
              </c:numCache>
            </c:numRef>
          </c:val>
          <c:extLst>
            <c:ext xmlns:c16="http://schemas.microsoft.com/office/drawing/2014/chart" uri="{C3380CC4-5D6E-409C-BE32-E72D297353CC}">
              <c16:uniqueId val="{00000006-DF59-4E13-A78D-D1FAA2870958}"/>
            </c:ext>
          </c:extLst>
        </c:ser>
        <c:ser>
          <c:idx val="1"/>
          <c:order val="1"/>
          <c:tx>
            <c:strRef>
              <c:f>HRP!$AD$171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2D21-4D0E-AF91-A8A56D77EF1E}"/>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E-2D21-4D0E-AF91-A8A56D77EF1E}"/>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C-DF59-4E13-A78D-D1FAA287095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1277-43EF-B124-13DB270E2D9D}"/>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B-1277-43EF-B124-13DB270E2D9D}"/>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2C08-4149-A500-9760685181D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HRP!$AA$172:$AA$177</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HRP!$AD$172:$AD$177</c:f>
              <c:numCache>
                <c:formatCode>_(* #,##0_);_(* \(#,##0\);_(* "-"??_);_(@_)</c:formatCode>
                <c:ptCount val="6"/>
                <c:pt idx="0">
                  <c:v>11447.099999999999</c:v>
                </c:pt>
                <c:pt idx="2">
                  <c:v>94457.590161234431</c:v>
                </c:pt>
                <c:pt idx="3">
                  <c:v>460590.83978702547</c:v>
                </c:pt>
                <c:pt idx="4">
                  <c:v>312204.98032246891</c:v>
                </c:pt>
                <c:pt idx="5">
                  <c:v>485726.86943802377</c:v>
                </c:pt>
              </c:numCache>
            </c:numRef>
          </c:val>
          <c:extLst>
            <c:ext xmlns:c16="http://schemas.microsoft.com/office/drawing/2014/chart" uri="{C3380CC4-5D6E-409C-BE32-E72D297353CC}">
              <c16:uniqueId val="{0000000D-DF59-4E13-A78D-D1FAA2870958}"/>
            </c:ext>
          </c:extLst>
        </c:ser>
        <c:dLbls>
          <c:showLegendKey val="0"/>
          <c:showVal val="0"/>
          <c:showCatName val="0"/>
          <c:showSerName val="0"/>
          <c:showPercent val="0"/>
          <c:showBubbleSize val="0"/>
        </c:dLbls>
        <c:gapWidth val="150"/>
        <c:overlap val="100"/>
        <c:axId val="391609808"/>
        <c:axId val="391604712"/>
      </c:barChart>
      <c:catAx>
        <c:axId val="3916098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4712"/>
        <c:crosses val="autoZero"/>
        <c:auto val="1"/>
        <c:lblAlgn val="ctr"/>
        <c:lblOffset val="100"/>
        <c:noMultiLvlLbl val="0"/>
      </c:catAx>
      <c:valAx>
        <c:axId val="3916047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[20221027_Myanmar_WASH_4W_2022_Q3_KachinShan_camp_Consolidate.xlsx]Analysis!PivotTable4</c:name>
    <c:fmtId val="24"/>
  </c:pivotSource>
  <c:chart>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Analysis!$D$419:$D$420</c:f>
              <c:strCache>
                <c:ptCount val="1"/>
                <c:pt idx="0">
                  <c:v>2022_Q1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Analysis!$C$421:$C$424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Analysis!$D$421:$D$424</c:f>
              <c:numCache>
                <c:formatCode>0%</c:formatCode>
                <c:ptCount val="4"/>
                <c:pt idx="3">
                  <c:v>#N/A</c:v>
                </c:pt>
              </c:numCache>
            </c:numRef>
          </c:val>
          <c:extLst>
            <c:ext xmlns:c16="http://schemas.microsoft.com/office/drawing/2014/chart" uri="{C3380CC4-5D6E-409C-BE32-E72D297353CC}">
              <c16:uniqueId val="{00000000-F8BB-4D3C-80CD-661BBADB251C}"/>
            </c:ext>
          </c:extLst>
        </c:ser>
        <c:ser>
          <c:idx val="1"/>
          <c:order val="1"/>
          <c:tx>
            <c:strRef>
              <c:f>Analysis!$E$419:$E$420</c:f>
              <c:strCache>
                <c:ptCount val="1"/>
                <c:pt idx="0">
                  <c:v>2022_Q2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Analysis!$C$421:$C$424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Analysis!$E$421:$E$424</c:f>
              <c:numCache>
                <c:formatCode>0%</c:formatCode>
                <c:ptCount val="4"/>
                <c:pt idx="3">
                  <c:v>#N/A</c:v>
                </c:pt>
              </c:numCache>
            </c:numRef>
          </c:val>
          <c:extLst>
            <c:ext xmlns:c16="http://schemas.microsoft.com/office/drawing/2014/chart" uri="{C3380CC4-5D6E-409C-BE32-E72D297353CC}">
              <c16:uniqueId val="{00000001-F8BB-4D3C-80CD-661BBADB251C}"/>
            </c:ext>
          </c:extLst>
        </c:ser>
        <c:ser>
          <c:idx val="2"/>
          <c:order val="2"/>
          <c:tx>
            <c:strRef>
              <c:f>Analysis!$F$419:$F$420</c:f>
              <c:strCache>
                <c:ptCount val="1"/>
                <c:pt idx="0">
                  <c:v>2022_Q3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f>Analysis!$C$421:$C$424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Analysis!$F$421:$F$424</c:f>
              <c:numCache>
                <c:formatCode>0%</c:formatCode>
                <c:ptCount val="4"/>
                <c:pt idx="3">
                  <c:v>#N/A</c:v>
                </c:pt>
              </c:numCache>
            </c:numRef>
          </c:val>
          <c:extLst>
            <c:ext xmlns:c16="http://schemas.microsoft.com/office/drawing/2014/chart" uri="{C3380CC4-5D6E-409C-BE32-E72D297353CC}">
              <c16:uniqueId val="{00000000-1B41-4EBE-9BB0-C4B9E1EA0A4E}"/>
            </c:ext>
          </c:extLst>
        </c:ser>
        <c:dLbls>
          <c:showLegendKey val="0"/>
          <c:showVal val="0"/>
          <c:showCatName val="0"/>
          <c:showSerName val="0"/>
          <c:showPercent val="0"/>
          <c:showBubbleSize val="0"/>
        </c:dLbls>
        <c:gapWidth val="100"/>
        <c:axId val="1404068640"/>
        <c:axId val="1404074048"/>
      </c:barChart>
      <c:catAx>
        <c:axId val="14040686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74048"/>
        <c:crosses val="autoZero"/>
        <c:auto val="1"/>
        <c:lblAlgn val="ctr"/>
        <c:lblOffset val="100"/>
        <c:noMultiLvlLbl val="0"/>
      </c:catAx>
      <c:valAx>
        <c:axId val="140407404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68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Actor - Coverage/Gaps</a:t>
            </a:r>
            <a:endParaRPr lang="en-US" sz="1400">
              <a:effectLst/>
            </a:endParaRPr>
          </a:p>
        </c:rich>
      </c:tx>
      <c:layout>
        <c:manualLayout>
          <c:xMode val="edge"/>
          <c:yMode val="edge"/>
          <c:x val="0.18708073099273048"/>
          <c:y val="2.75701813788632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342052287314363"/>
          <c:y val="0.12119842136173928"/>
          <c:w val="0.79912272070914081"/>
          <c:h val="0.75865969620125884"/>
        </c:manualLayout>
      </c:layout>
      <c:barChart>
        <c:barDir val="bar"/>
        <c:grouping val="clustered"/>
        <c:varyColors val="0"/>
        <c:ser>
          <c:idx val="0"/>
          <c:order val="0"/>
          <c:tx>
            <c:strRef>
              <c:f>Analysis!$D$294:$D$295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Analysis!$C$296:$C$306</c:f>
              <c:multiLvlStrCache>
                <c:ptCount val="9"/>
                <c:lvl>
                  <c:pt idx="0">
                    <c:v>Boarding School</c:v>
                  </c:pt>
                  <c:pt idx="1">
                    <c:v>Camp</c:v>
                  </c:pt>
                  <c:pt idx="2">
                    <c:v>Camp like setting</c:v>
                  </c:pt>
                  <c:pt idx="3">
                    <c:v>Closed Camp</c:v>
                  </c:pt>
                  <c:pt idx="4">
                    <c:v>IDPs in host</c:v>
                  </c:pt>
                  <c:pt idx="5">
                    <c:v>Camp</c:v>
                  </c:pt>
                  <c:pt idx="6">
                    <c:v>Camp like setting</c:v>
                  </c:pt>
                  <c:pt idx="7">
                    <c:v>Host Families</c:v>
                  </c:pt>
                  <c:pt idx="8">
                    <c:v>School</c:v>
                  </c:pt>
                </c:lvl>
                <c:lvl>
                  <c:pt idx="0">
                    <c:v>Camp</c:v>
                  </c:pt>
                  <c:pt idx="5">
                    <c:v>Camp_not registered</c:v>
                  </c:pt>
                </c:lvl>
              </c:multiLvlStrCache>
            </c:multiLvlStrRef>
          </c:cat>
          <c:val>
            <c:numRef>
              <c:f>Analysis!$D$296:$D$306</c:f>
              <c:numCache>
                <c:formatCode>General</c:formatCode>
                <c:ptCount val="9"/>
                <c:pt idx="0">
                  <c:v>1</c:v>
                </c:pt>
                <c:pt idx="1">
                  <c:v>107</c:v>
                </c:pt>
                <c:pt idx="2">
                  <c:v>5</c:v>
                </c:pt>
                <c:pt idx="3">
                  <c:v>1</c:v>
                </c:pt>
                <c:pt idx="4">
                  <c:v>1</c:v>
                </c:pt>
                <c:pt idx="5">
                  <c:v>8</c:v>
                </c:pt>
                <c:pt idx="6">
                  <c:v>3</c:v>
                </c:pt>
                <c:pt idx="7">
                  <c:v>1</c:v>
                </c:pt>
                <c:pt idx="8">
                  <c:v>1</c:v>
                </c:pt>
              </c:numCache>
            </c:numRef>
          </c:val>
          <c:extLst>
            <c:ext xmlns:c16="http://schemas.microsoft.com/office/drawing/2014/chart" uri="{C3380CC4-5D6E-409C-BE32-E72D297353CC}">
              <c16:uniqueId val="{00000001-AE8F-45E4-B286-B13599EF8A91}"/>
            </c:ext>
          </c:extLst>
        </c:ser>
        <c:ser>
          <c:idx val="1"/>
          <c:order val="1"/>
          <c:tx>
            <c:strRef>
              <c:f>Analysis!$E$294:$E$295</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Analysis!$C$296:$C$306</c:f>
              <c:multiLvlStrCache>
                <c:ptCount val="9"/>
                <c:lvl>
                  <c:pt idx="0">
                    <c:v>Boarding School</c:v>
                  </c:pt>
                  <c:pt idx="1">
                    <c:v>Camp</c:v>
                  </c:pt>
                  <c:pt idx="2">
                    <c:v>Camp like setting</c:v>
                  </c:pt>
                  <c:pt idx="3">
                    <c:v>Closed Camp</c:v>
                  </c:pt>
                  <c:pt idx="4">
                    <c:v>IDPs in host</c:v>
                  </c:pt>
                  <c:pt idx="5">
                    <c:v>Camp</c:v>
                  </c:pt>
                  <c:pt idx="6">
                    <c:v>Camp like setting</c:v>
                  </c:pt>
                  <c:pt idx="7">
                    <c:v>Host Families</c:v>
                  </c:pt>
                  <c:pt idx="8">
                    <c:v>School</c:v>
                  </c:pt>
                </c:lvl>
                <c:lvl>
                  <c:pt idx="0">
                    <c:v>Camp</c:v>
                  </c:pt>
                  <c:pt idx="5">
                    <c:v>Camp_not registered</c:v>
                  </c:pt>
                </c:lvl>
              </c:multiLvlStrCache>
            </c:multiLvlStrRef>
          </c:cat>
          <c:val>
            <c:numRef>
              <c:f>Analysis!$E$296:$E$306</c:f>
              <c:numCache>
                <c:formatCode>General</c:formatCode>
                <c:ptCount val="9"/>
                <c:pt idx="1">
                  <c:v>3</c:v>
                </c:pt>
                <c:pt idx="2">
                  <c:v>11</c:v>
                </c:pt>
                <c:pt idx="4">
                  <c:v>7</c:v>
                </c:pt>
              </c:numCache>
            </c:numRef>
          </c:val>
          <c:extLst>
            <c:ext xmlns:c16="http://schemas.microsoft.com/office/drawing/2014/chart" uri="{C3380CC4-5D6E-409C-BE32-E72D297353CC}">
              <c16:uniqueId val="{00000002-AE8F-45E4-B286-B13599EF8A91}"/>
            </c:ext>
          </c:extLst>
        </c:ser>
        <c:dLbls>
          <c:showLegendKey val="0"/>
          <c:showVal val="0"/>
          <c:showCatName val="0"/>
          <c:showSerName val="0"/>
          <c:showPercent val="0"/>
          <c:showBubbleSize val="0"/>
        </c:dLbls>
        <c:gapWidth val="50"/>
        <c:axId val="415868824"/>
        <c:axId val="415871568"/>
      </c:barChart>
      <c:catAx>
        <c:axId val="4158688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5871568"/>
        <c:crosses val="autoZero"/>
        <c:auto val="1"/>
        <c:lblAlgn val="ctr"/>
        <c:lblOffset val="100"/>
        <c:noMultiLvlLbl val="0"/>
      </c:catAx>
      <c:valAx>
        <c:axId val="415871568"/>
        <c:scaling>
          <c:orientation val="minMax"/>
          <c:max val="1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824"/>
        <c:crosses val="autoZero"/>
        <c:crossBetween val="between"/>
      </c:valAx>
      <c:spPr>
        <a:noFill/>
        <a:ln>
          <a:noFill/>
        </a:ln>
        <a:effectLst/>
      </c:spPr>
    </c:plotArea>
    <c:legend>
      <c:legendPos val="r"/>
      <c:layout>
        <c:manualLayout>
          <c:xMode val="edge"/>
          <c:yMode val="edge"/>
          <c:x val="0.87273581809316403"/>
          <c:y val="0.41433301104795317"/>
          <c:w val="0.10575840945144105"/>
          <c:h val="0.153677138434245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a:t>
            </a:r>
            <a:r>
              <a:rPr lang="en-US" sz="1400" b="1" i="0" u="none" strike="noStrike" baseline="0">
                <a:effectLst/>
              </a:rPr>
              <a:t>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2.6069449236698843E-2"/>
          <c:y val="0.18299363465606358"/>
          <c:w val="0.9478611015266023"/>
          <c:h val="0.53354523017471334"/>
        </c:manualLayout>
      </c:layout>
      <c:barChart>
        <c:barDir val="bar"/>
        <c:grouping val="clustered"/>
        <c:varyColors val="0"/>
        <c:ser>
          <c:idx val="0"/>
          <c:order val="0"/>
          <c:tx>
            <c:strRef>
              <c:f>Analysis!$C$377</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D0A-434C-BFE9-8ABE13DC62FB}"/>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B709-46A6-BC97-AA9E33A7C330}"/>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D0A-434C-BFE9-8ABE13DC62FB}"/>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B709-46A6-BC97-AA9E33A7C330}"/>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859-4B72-AFAC-BFC40A277172}"/>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2944-48D6-BA4A-20E4707EC1A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Analysis!$D$377:$I$377</c:f>
              <c:numCache>
                <c:formatCode>_(* #,##0_);_(* \(#,##0\);_(* "-"??_);_(@_)</c:formatCode>
                <c:ptCount val="6"/>
                <c:pt idx="0">
                  <c:v>120</c:v>
                </c:pt>
                <c:pt idx="1">
                  <c:v>34</c:v>
                </c:pt>
                <c:pt idx="2">
                  <c:v>299</c:v>
                </c:pt>
                <c:pt idx="3">
                  <c:v>38</c:v>
                </c:pt>
                <c:pt idx="4">
                  <c:v>2</c:v>
                </c:pt>
                <c:pt idx="5">
                  <c:v>33</c:v>
                </c:pt>
              </c:numCache>
            </c:numRef>
          </c:val>
          <c:extLs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115"/>
        <c:overlap val="-20"/>
        <c:axId val="417014280"/>
        <c:axId val="417016240"/>
      </c:barChart>
      <c:catAx>
        <c:axId val="417014280"/>
        <c:scaling>
          <c:orientation val="minMax"/>
        </c:scaling>
        <c:delete val="1"/>
        <c:axPos val="l"/>
        <c:numFmt formatCode="General" sourceLinked="1"/>
        <c:majorTickMark val="none"/>
        <c:minorTickMark val="none"/>
        <c:tickLblPos val="nextTo"/>
        <c:crossAx val="417016240"/>
        <c:crosses val="autoZero"/>
        <c:auto val="1"/>
        <c:lblAlgn val="ctr"/>
        <c:lblOffset val="100"/>
        <c:noMultiLvlLbl val="0"/>
      </c:catAx>
      <c:valAx>
        <c:axId val="41701624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7014280"/>
        <c:crosses val="autoZero"/>
        <c:crossBetween val="between"/>
      </c:valAx>
      <c:spPr>
        <a:noFill/>
        <a:ln>
          <a:noFill/>
        </a:ln>
        <a:effectLst/>
      </c:spPr>
    </c:plotArea>
    <c:legend>
      <c:legendPos val="b"/>
      <c:layout>
        <c:manualLayout>
          <c:xMode val="edge"/>
          <c:yMode val="edge"/>
          <c:x val="0.21855181099570711"/>
          <c:y val="0.73082254347293263"/>
          <c:w val="0.6563348564832191"/>
          <c:h val="0.2609825323580416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[20221027_Myanmar_WASH_4W_2022_Q3_KachinShan_camp_Consolidate.xlsx]Analysis!K_water1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400">
              <a:effectLst/>
            </a:endParaRPr>
          </a:p>
        </c:rich>
      </c:tx>
      <c:layout>
        <c:manualLayout>
          <c:xMode val="edge"/>
          <c:yMode val="edge"/>
          <c:x val="0.2430529546896211"/>
          <c:y val="2.856061291100062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Analysis!$C$39:$C$40</c:f>
              <c:numCache>
                <c:formatCode>_(* #,##0_);_(* \(#,##0\);_(* "-"??_);_(@_)</c:formatCode>
                <c:ptCount val="2"/>
                <c:pt idx="0">
                  <c:v>48014.333333333336</c:v>
                </c:pt>
                <c:pt idx="1">
                  <c:v>17210.333333333336</c:v>
                </c:pt>
              </c:numCache>
            </c:numRef>
          </c:val>
          <c:extLst>
            <c:ext xmlns:c16="http://schemas.microsoft.com/office/drawing/2014/chart" uri="{C3380CC4-5D6E-409C-BE32-E72D297353CC}">
              <c16:uniqueId val="{00000000-7B97-4ED9-881B-D1166C8A0E61}"/>
            </c:ext>
          </c:extLst>
        </c:ser>
        <c:ser>
          <c:idx val="1"/>
          <c:order val="1"/>
          <c:tx>
            <c:strRef>
              <c:f>Analysis!$D$38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Analysis!$D$39:$D$40</c:f>
              <c:numCache>
                <c:formatCode>_(* #,##0_);_(* \(#,##0\);_(* "-"??_);_(@_)</c:formatCode>
                <c:ptCount val="2"/>
                <c:pt idx="0">
                  <c:v>13123.666666666668</c:v>
                </c:pt>
                <c:pt idx="1">
                  <c:v>28867.666666666664</c:v>
                </c:pt>
              </c:numCache>
            </c:numRef>
          </c:val>
          <c:extLst>
            <c:ext xmlns:c16="http://schemas.microsoft.com/office/drawing/2014/chart" uri="{C3380CC4-5D6E-409C-BE32-E72D297353CC}">
              <c16:uniqueId val="{00000001-7B97-4ED9-881B-D1166C8A0E61}"/>
            </c:ext>
          </c:extLst>
        </c:ser>
        <c:dLbls>
          <c:dLblPos val="ctr"/>
          <c:showLegendKey val="0"/>
          <c:showVal val="1"/>
          <c:showCatName val="0"/>
          <c:showSerName val="0"/>
          <c:showPercent val="0"/>
          <c:showBubbleSize val="0"/>
        </c:dLbls>
        <c:gapWidth val="150"/>
        <c:overlap val="100"/>
        <c:axId val="415866864"/>
        <c:axId val="415872744"/>
      </c:barChart>
      <c:catAx>
        <c:axId val="415866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2744"/>
        <c:crosses val="autoZero"/>
        <c:auto val="1"/>
        <c:lblAlgn val="ctr"/>
        <c:lblOffset val="100"/>
        <c:noMultiLvlLbl val="0"/>
      </c:catAx>
      <c:valAx>
        <c:axId val="415872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 as of Q3-2022</a:t>
            </a:r>
            <a:endParaRPr lang="en-US" sz="1400">
              <a:effectLst/>
            </a:endParaRPr>
          </a:p>
        </c:rich>
      </c:tx>
      <c:layout>
        <c:manualLayout>
          <c:xMode val="edge"/>
          <c:yMode val="edge"/>
          <c:x val="0.1426146731658543"/>
          <c:y val="1.7372427222183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3366379970673833E-2"/>
          <c:y val="0.20703547840802838"/>
          <c:w val="0.49333439632829035"/>
          <c:h val="0.37400288453903668"/>
        </c:manualLayout>
      </c:layout>
      <c:pieChart>
        <c:varyColors val="1"/>
        <c:ser>
          <c:idx val="0"/>
          <c:order val="0"/>
          <c:tx>
            <c:strRef>
              <c:f>Analysis!$H$53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7870-4DBE-A5BB-05318958220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7870-4DBE-A5BB-05318958220A}"/>
              </c:ext>
            </c:extLst>
          </c:dPt>
          <c:dLbls>
            <c:dLbl>
              <c:idx val="0"/>
              <c:layout>
                <c:manualLayout>
                  <c:x val="-0.15533420248803348"/>
                  <c:y val="4.9186012474386975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70-4DBE-A5BB-05318958220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strRef>
          </c:cat>
          <c:val>
            <c:numRef>
              <c:f>Analysis!$J$53:$K$53</c:f>
              <c:numCache>
                <c:formatCode>General</c:formatCode>
                <c:ptCount val="2"/>
                <c:pt idx="0">
                  <c:v>37</c:v>
                </c:pt>
                <c:pt idx="1">
                  <c:v>91</c:v>
                </c:pt>
              </c:numCache>
            </c:numRef>
          </c:val>
          <c:extLst>
            <c:ext xmlns:c16="http://schemas.microsoft.com/office/drawing/2014/chart" uri="{C3380CC4-5D6E-409C-BE32-E72D297353CC}">
              <c16:uniqueId val="{00000004-7870-4DBE-A5BB-05318958220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7870-4DBE-A5BB-05318958220A}"/>
                    </c:ext>
                  </c:extLst>
                </c:dPt>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Analysis!$J$54:$K$54</c15:sqref>
                        </c15:formulaRef>
                      </c:ext>
                    </c:extLst>
                    <c:numCache>
                      <c:formatCode>General</c:formatCode>
                      <c:ptCount val="2"/>
                      <c:pt idx="0">
                        <c:v>2</c:v>
                      </c:pt>
                      <c:pt idx="1">
                        <c:v>36</c:v>
                      </c:pt>
                    </c:numCache>
                  </c:numRef>
                </c:val>
                <c:extLst>
                  <c:ext xmlns:c16="http://schemas.microsoft.com/office/drawing/2014/chart" uri="{C3380CC4-5D6E-409C-BE32-E72D297353CC}">
                    <c16:uniqueId val="{00000009-7870-4DBE-A5BB-05318958220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870-4DBE-A5BB-05318958220A}"/>
                    </c:ext>
                  </c:extLst>
                </c:dPt>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7870-4DBE-A5BB-05318958220A}"/>
                  </c:ext>
                </c:extLst>
              </c15:ser>
            </c15:filteredPieSeries>
          </c:ext>
        </c:extLst>
      </c:pieChart>
      <c:spPr>
        <a:noFill/>
        <a:ln>
          <a:noFill/>
        </a:ln>
        <a:effectLst/>
      </c:spPr>
    </c:plotArea>
    <c:legend>
      <c:legendPos val="b"/>
      <c:layout>
        <c:manualLayout>
          <c:xMode val="edge"/>
          <c:yMode val="edge"/>
          <c:x val="0.68482449640613907"/>
          <c:y val="0.20705017367674433"/>
          <c:w val="0.30866841122897848"/>
          <c:h val="0.1706234467752773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sz="1400"/>
            </a:pPr>
            <a:r>
              <a:rPr lang="en-US" sz="1400" b="1" i="0" baseline="0">
                <a:effectLst/>
              </a:rPr>
              <a:t>as of Q3-2022</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9398213746792757E-2"/>
          <c:y val="0.20552195661201295"/>
          <c:w val="0.54492070914695012"/>
          <c:h val="0.36761942504565009"/>
        </c:manualLayout>
      </c:layout>
      <c:pieChart>
        <c:varyColors val="1"/>
        <c:ser>
          <c:idx val="0"/>
          <c:order val="0"/>
          <c:tx>
            <c:strRef>
              <c:f>Analysis!$V$53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D0AA-407D-BDD5-45EE421413A5}"/>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D0AA-407D-BDD5-45EE421413A5}"/>
              </c:ext>
            </c:extLst>
          </c:dPt>
          <c:dLbls>
            <c:dLbl>
              <c:idx val="0"/>
              <c:layout>
                <c:manualLayout>
                  <c:x val="-0.16349441185429614"/>
                  <c:y val="7.726150543914171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A-407D-BDD5-45EE421413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strRef>
          </c:cat>
          <c:val>
            <c:numRef>
              <c:f>Analysis!$X$53:$Y$53</c:f>
              <c:numCache>
                <c:formatCode>General</c:formatCode>
                <c:ptCount val="2"/>
                <c:pt idx="0">
                  <c:v>29</c:v>
                </c:pt>
                <c:pt idx="1">
                  <c:v>99</c:v>
                </c:pt>
              </c:numCache>
            </c:numRef>
          </c:val>
          <c:extLst>
            <c:ext xmlns:c16="http://schemas.microsoft.com/office/drawing/2014/chart" uri="{C3380CC4-5D6E-409C-BE32-E72D297353CC}">
              <c16:uniqueId val="{00000004-D0AA-407D-BDD5-45EE421413A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0AA-407D-BDD5-45EE421413A5}"/>
                    </c:ext>
                  </c:extLst>
                </c:dPt>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Analysis!$X$54:$Y$54</c15:sqref>
                        </c15:formulaRef>
                      </c:ext>
                    </c:extLst>
                    <c:numCache>
                      <c:formatCode>General</c:formatCode>
                      <c:ptCount val="2"/>
                      <c:pt idx="0">
                        <c:v>0</c:v>
                      </c:pt>
                      <c:pt idx="1">
                        <c:v>34</c:v>
                      </c:pt>
                    </c:numCache>
                  </c:numRef>
                </c:val>
                <c:extLst>
                  <c:ext xmlns:c16="http://schemas.microsoft.com/office/drawing/2014/chart" uri="{C3380CC4-5D6E-409C-BE32-E72D297353CC}">
                    <c16:uniqueId val="{00000009-D0AA-407D-BDD5-45EE421413A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0AA-407D-BDD5-45EE421413A5}"/>
                    </c:ext>
                  </c:extLst>
                </c:dPt>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D0AA-407D-BDD5-45EE421413A5}"/>
                  </c:ext>
                </c:extLst>
              </c15:ser>
            </c15:filteredPieSeries>
          </c:ext>
        </c:extLst>
      </c:pieChart>
      <c:spPr>
        <a:noFill/>
        <a:ln>
          <a:noFill/>
        </a:ln>
        <a:effectLst/>
      </c:spPr>
    </c:plotArea>
    <c:legend>
      <c:legendPos val="b"/>
      <c:layout>
        <c:manualLayout>
          <c:xMode val="edge"/>
          <c:yMode val="edge"/>
          <c:x val="0.7210350445298499"/>
          <c:y val="0.23118841027644144"/>
          <c:w val="0.27328142253801696"/>
          <c:h val="0.164075639812583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Analysis!$C$221:$C$222</c:f>
              <c:numCache>
                <c:formatCode>0</c:formatCode>
                <c:ptCount val="2"/>
                <c:pt idx="0">
                  <c:v>12584.2</c:v>
                </c:pt>
                <c:pt idx="1">
                  <c:v>10663</c:v>
                </c:pt>
              </c:numCache>
            </c:numRef>
          </c:val>
          <c:extLst>
            <c:ext xmlns:c16="http://schemas.microsoft.com/office/drawing/2014/chart" uri="{C3380CC4-5D6E-409C-BE32-E72D297353CC}">
              <c16:uniqueId val="{00000000-1389-4B41-AB26-BD561376BE5E}"/>
            </c:ext>
          </c:extLst>
        </c:ser>
        <c:ser>
          <c:idx val="1"/>
          <c:order val="1"/>
          <c:tx>
            <c:strRef>
              <c:f>Analysis!$D$220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Analysis!$D$221:$D$222</c:f>
              <c:numCache>
                <c:formatCode>0</c:formatCode>
                <c:ptCount val="2"/>
                <c:pt idx="0">
                  <c:v>8207</c:v>
                </c:pt>
                <c:pt idx="1">
                  <c:v>10128.200000000001</c:v>
                </c:pt>
              </c:numCache>
            </c:numRef>
          </c:val>
          <c:extLst>
            <c:ext xmlns:c16="http://schemas.microsoft.com/office/drawing/2014/chart" uri="{C3380CC4-5D6E-409C-BE32-E72D297353CC}">
              <c16:uniqueId val="{00000001-1389-4B41-AB26-BD561376BE5E}"/>
            </c:ext>
          </c:extLst>
        </c:ser>
        <c:dLbls>
          <c:dLblPos val="ctr"/>
          <c:showLegendKey val="0"/>
          <c:showVal val="1"/>
          <c:showCatName val="0"/>
          <c:showSerName val="0"/>
          <c:showPercent val="0"/>
          <c:showBubbleSize val="0"/>
        </c:dLbls>
        <c:gapWidth val="8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Analysis!$H$240:$H$241</c:f>
              <c:numCache>
                <c:formatCode>General</c:formatCode>
                <c:ptCount val="2"/>
                <c:pt idx="0">
                  <c:v>1843</c:v>
                </c:pt>
                <c:pt idx="1">
                  <c:v>0</c:v>
                </c:pt>
              </c:numCache>
            </c:numRef>
          </c:val>
          <c:extLst>
            <c:ext xmlns:c16="http://schemas.microsoft.com/office/drawing/2014/chart" uri="{C3380CC4-5D6E-409C-BE32-E72D297353CC}">
              <c16:uniqueId val="{00000000-D8C3-41A2-A2F3-A019286DD688}"/>
            </c:ext>
          </c:extLst>
        </c:ser>
        <c:ser>
          <c:idx val="1"/>
          <c:order val="1"/>
          <c:tx>
            <c:strRef>
              <c:f>Analysis!$I$239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Analysis!$I$240:$I$241</c:f>
              <c:numCache>
                <c:formatCode>0</c:formatCode>
                <c:ptCount val="2"/>
                <c:pt idx="0">
                  <c:v>1093</c:v>
                </c:pt>
                <c:pt idx="1">
                  <c:v>9047.2000000000007</c:v>
                </c:pt>
              </c:numCache>
            </c:numRef>
          </c:val>
          <c:extLst>
            <c:ext xmlns:c16="http://schemas.microsoft.com/office/drawing/2014/chart" uri="{C3380CC4-5D6E-409C-BE32-E72D297353CC}">
              <c16:uniqueId val="{00000001-D8C3-41A2-A2F3-A019286DD688}"/>
            </c:ext>
          </c:extLst>
        </c:ser>
        <c:dLbls>
          <c:showLegendKey val="0"/>
          <c:showVal val="0"/>
          <c:showCatName val="0"/>
          <c:showSerName val="0"/>
          <c:showPercent val="0"/>
          <c:showBubbleSize val="0"/>
        </c:dLbls>
        <c:gapWidth val="8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Analysis!$L$239</c:f>
              <c:strCache>
                <c:ptCount val="1"/>
                <c:pt idx="0">
                  <c:v>Covered</c:v>
                </c:pt>
              </c:strCache>
            </c:strRef>
          </c:tx>
          <c:spPr>
            <a:solidFill>
              <a:schemeClr val="accent6">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053D-452A-A466-5C3EC762DB54}"/>
                </c:ext>
              </c:extLst>
            </c:dLbl>
            <c:dLbl>
              <c:idx val="1"/>
              <c:layout>
                <c:manualLayout>
                  <c:x val="7.8567931446309913E-17"/>
                  <c:y val="-2.484456130344343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3D-452A-A466-5C3EC762DB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Analysis!$L$240:$L$241</c:f>
              <c:numCache>
                <c:formatCode>0</c:formatCode>
                <c:ptCount val="2"/>
                <c:pt idx="0">
                  <c:v>1654</c:v>
                </c:pt>
                <c:pt idx="1">
                  <c:v>0</c:v>
                </c:pt>
              </c:numCache>
            </c:numRef>
          </c:val>
          <c:extLst>
            <c:ext xmlns:c16="http://schemas.microsoft.com/office/drawing/2014/chart" uri="{C3380CC4-5D6E-409C-BE32-E72D297353CC}">
              <c16:uniqueId val="{00000000-06ED-4B2E-A650-D2BCC4F3ED16}"/>
            </c:ext>
          </c:extLst>
        </c:ser>
        <c:ser>
          <c:idx val="1"/>
          <c:order val="1"/>
          <c:tx>
            <c:strRef>
              <c:f>Analysis!$M$239</c:f>
              <c:strCache>
                <c:ptCount val="1"/>
                <c:pt idx="0">
                  <c:v>Gap</c:v>
                </c:pt>
              </c:strCache>
            </c:strRef>
          </c:tx>
          <c:spPr>
            <a:solidFill>
              <a:schemeClr val="accent6">
                <a:lumMod val="40000"/>
                <a:lumOff val="60000"/>
              </a:schemeClr>
            </a:solidFill>
            <a:ln>
              <a:noFill/>
            </a:ln>
            <a:effectLst/>
          </c:spPr>
          <c:invertIfNegative val="0"/>
          <c:dLbls>
            <c:dLbl>
              <c:idx val="1"/>
              <c:layout>
                <c:manualLayout>
                  <c:x val="-7.8567931446309913E-17"/>
                  <c:y val="-4.6500407031121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71-40B9-AE05-9A1CC3A0B8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Analysis!$M$240:$M$241</c:f>
              <c:numCache>
                <c:formatCode>0</c:formatCode>
                <c:ptCount val="2"/>
                <c:pt idx="0">
                  <c:v>16076.02</c:v>
                </c:pt>
                <c:pt idx="1">
                  <c:v>13362.619999999999</c:v>
                </c:pt>
              </c:numCache>
            </c:numRef>
          </c:val>
          <c:extLst>
            <c:ext xmlns:c16="http://schemas.microsoft.com/office/drawing/2014/chart" uri="{C3380CC4-5D6E-409C-BE32-E72D297353CC}">
              <c16:uniqueId val="{00000001-06ED-4B2E-A650-D2BCC4F3ED16}"/>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2022 HRP targets</a:t>
            </a:r>
            <a:endParaRPr lang="en-US" sz="1600">
              <a:effectLst/>
            </a:endParaRPr>
          </a:p>
        </c:rich>
      </c:tx>
      <c:layout>
        <c:manualLayout>
          <c:xMode val="edge"/>
          <c:yMode val="edge"/>
          <c:x val="0.39053625044274309"/>
          <c:y val="2.7107713674240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592398441544288"/>
          <c:y val="0.10104524782569099"/>
          <c:w val="0.48029054845652946"/>
          <c:h val="0.79157761201675703"/>
        </c:manualLayout>
      </c:layout>
      <c:barChart>
        <c:barDir val="bar"/>
        <c:grouping val="percentStacked"/>
        <c:varyColors val="0"/>
        <c:ser>
          <c:idx val="0"/>
          <c:order val="0"/>
          <c:tx>
            <c:strRef>
              <c:f>HRP!$E$189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8-4A3C-4B47-99DD-18DFA3A2EBEF}"/>
              </c:ext>
            </c:extLst>
          </c:dPt>
          <c:dPt>
            <c:idx val="1"/>
            <c:invertIfNegative val="0"/>
            <c:bubble3D val="0"/>
            <c:spPr>
              <a:solidFill>
                <a:srgbClr val="BF9000"/>
              </a:solidFill>
              <a:ln>
                <a:noFill/>
              </a:ln>
              <a:effectLst/>
            </c:spPr>
            <c:extLst>
              <c:ext xmlns:c16="http://schemas.microsoft.com/office/drawing/2014/chart" uri="{C3380CC4-5D6E-409C-BE32-E72D297353CC}">
                <c16:uniqueId val="{00000009-4A3C-4B47-99DD-18DFA3A2EBEF}"/>
              </c:ext>
            </c:extLst>
          </c:dPt>
          <c:dPt>
            <c:idx val="2"/>
            <c:invertIfNegative val="0"/>
            <c:bubble3D val="0"/>
            <c:spPr>
              <a:solidFill>
                <a:srgbClr val="FFFF00"/>
              </a:solidFill>
              <a:ln>
                <a:noFill/>
              </a:ln>
              <a:effectLst/>
            </c:spPr>
            <c:extLst>
              <c:ext xmlns:c16="http://schemas.microsoft.com/office/drawing/2014/chart" uri="{C3380CC4-5D6E-409C-BE32-E72D297353CC}">
                <c16:uniqueId val="{00000005-4A3C-4B47-99DD-18DFA3A2EBE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4A3C-4B47-99DD-18DFA3A2EBEF}"/>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2-4A3C-4B47-99DD-18DFA3A2EBEF}"/>
              </c:ext>
            </c:extLst>
          </c:dPt>
          <c:dPt>
            <c:idx val="5"/>
            <c:invertIfNegative val="0"/>
            <c:bubble3D val="0"/>
            <c:spPr>
              <a:solidFill>
                <a:srgbClr val="0070C0"/>
              </a:solidFill>
              <a:ln>
                <a:noFill/>
              </a:ln>
              <a:effectLst/>
            </c:spPr>
            <c:extLst>
              <c:ext xmlns:c16="http://schemas.microsoft.com/office/drawing/2014/chart" uri="{C3380CC4-5D6E-409C-BE32-E72D297353CC}">
                <c16:uniqueId val="{0000000B-3D5E-4673-B1FF-1E8E1FE5CEC2}"/>
              </c:ext>
            </c:extLst>
          </c:dPt>
          <c:dLbls>
            <c:dLbl>
              <c:idx val="2"/>
              <c:layout>
                <c:manualLayout>
                  <c:x val="2.7726206548449692E-2"/>
                  <c:y val="-8.1837791167416265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3C-4B47-99DD-18DFA3A2EBE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HRP!$E$190:$E$195</c:f>
              <c:numCache>
                <c:formatCode>_(* #,##0_);_(* \(#,##0\);_(* "-"??_);_(@_)</c:formatCode>
                <c:ptCount val="6"/>
                <c:pt idx="0">
                  <c:v>4395</c:v>
                </c:pt>
                <c:pt idx="1">
                  <c:v>20217</c:v>
                </c:pt>
                <c:pt idx="2">
                  <c:v>1365</c:v>
                </c:pt>
                <c:pt idx="3">
                  <c:v>91382</c:v>
                </c:pt>
                <c:pt idx="4">
                  <c:v>86748</c:v>
                </c:pt>
                <c:pt idx="5">
                  <c:v>81939.718518518508</c:v>
                </c:pt>
              </c:numCache>
            </c:numRef>
          </c:val>
          <c:extLst>
            <c:ext xmlns:c16="http://schemas.microsoft.com/office/drawing/2014/chart" uri="{C3380CC4-5D6E-409C-BE32-E72D297353CC}">
              <c16:uniqueId val="{00000008-B308-4468-B0EF-D5596C95F4FD}"/>
            </c:ext>
          </c:extLst>
        </c:ser>
        <c:ser>
          <c:idx val="1"/>
          <c:order val="1"/>
          <c:tx>
            <c:strRef>
              <c:f>HRP!$F$189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3-93B7-4774-BC91-4B7E19D11E06}"/>
              </c:ext>
            </c:extLst>
          </c:dPt>
          <c:dPt>
            <c:idx val="2"/>
            <c:invertIfNegative val="0"/>
            <c:bubble3D val="0"/>
            <c:spPr>
              <a:solidFill>
                <a:srgbClr val="F7FECE"/>
              </a:solidFill>
              <a:ln>
                <a:noFill/>
              </a:ln>
              <a:effectLst/>
            </c:spPr>
            <c:extLst>
              <c:ext xmlns:c16="http://schemas.microsoft.com/office/drawing/2014/chart" uri="{C3380CC4-5D6E-409C-BE32-E72D297353CC}">
                <c16:uniqueId val="{00000006-4A3C-4B47-99DD-18DFA3A2EBEF}"/>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4A3C-4B47-99DD-18DFA3A2EBEF}"/>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4A3C-4B47-99DD-18DFA3A2EBEF}"/>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5-3D5E-4673-B1FF-1E8E1FE5CEC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HRP!$F$190:$F$195</c:f>
              <c:numCache>
                <c:formatCode>_(* #,##0_);_(* \(#,##0\);_(* "-"??_);_(@_)</c:formatCode>
                <c:ptCount val="6"/>
                <c:pt idx="2">
                  <c:v>14334.894428130017</c:v>
                </c:pt>
                <c:pt idx="3">
                  <c:v>34656.34428130016</c:v>
                </c:pt>
                <c:pt idx="4">
                  <c:v>21021.268856260038</c:v>
                </c:pt>
                <c:pt idx="5">
                  <c:v>39531.356906521614</c:v>
                </c:pt>
              </c:numCache>
            </c:numRef>
          </c:val>
          <c:extLst>
            <c:ext xmlns:c16="http://schemas.microsoft.com/office/drawing/2014/chart" uri="{C3380CC4-5D6E-409C-BE32-E72D297353CC}">
              <c16:uniqueId val="{00000011-B308-4468-B0EF-D5596C95F4FD}"/>
            </c:ext>
          </c:extLst>
        </c:ser>
        <c:dLbls>
          <c:showLegendKey val="0"/>
          <c:showVal val="0"/>
          <c:showCatName val="0"/>
          <c:showSerName val="0"/>
          <c:showPercent val="0"/>
          <c:showBubbleSize val="0"/>
        </c:dLbls>
        <c:gapWidth val="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Kayin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HRP!$E$219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2"/>
            <c:invertIfNegative val="0"/>
            <c:bubble3D val="0"/>
            <c:spPr>
              <a:solidFill>
                <a:srgbClr val="FFFF00"/>
              </a:solidFill>
              <a:ln>
                <a:noFill/>
              </a:ln>
              <a:effectLst/>
            </c:spPr>
            <c:extLst>
              <c:ext xmlns:c16="http://schemas.microsoft.com/office/drawing/2014/chart" uri="{C3380CC4-5D6E-409C-BE32-E72D297353CC}">
                <c16:uniqueId val="{00000011-C862-4B01-A4CD-34DAB467B30C}"/>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13-046B-47CF-91D0-69549E2F40B6}"/>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dLbl>
              <c:idx val="2"/>
              <c:layout>
                <c:manualLayout>
                  <c:x val="4.4251938974395173E-2"/>
                  <c:y val="4.5759112143512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62-4B01-A4CD-34DAB467B30C}"/>
                </c:ext>
              </c:extLst>
            </c:dLbl>
            <c:dLbl>
              <c:idx val="4"/>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13-046B-47CF-91D0-69549E2F40B6}"/>
                </c:ext>
              </c:extLst>
            </c:dLbl>
            <c:dLbl>
              <c:idx val="5"/>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4536-470B-9DC6-209F9010E8C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HRP!$C$220:$C$225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HRP!$E$220:$E$225</c:f>
              <c:numCache>
                <c:formatCode>_(* #,##0_);_(* \(#,##0\);_(* "-"??_);_(@_)</c:formatCode>
                <c:ptCount val="6"/>
                <c:pt idx="0">
                  <c:v>0</c:v>
                </c:pt>
                <c:pt idx="1">
                  <c:v>0</c:v>
                </c:pt>
                <c:pt idx="2">
                  <c:v>150</c:v>
                </c:pt>
                <c:pt idx="3">
                  <c:v>68332</c:v>
                </c:pt>
                <c:pt idx="4">
                  <c:v>23872</c:v>
                </c:pt>
                <c:pt idx="5">
                  <c:v>75638</c:v>
                </c:pt>
              </c:numCache>
            </c:numRef>
          </c:val>
          <c:extLst>
            <c:ext xmlns:c16="http://schemas.microsoft.com/office/drawing/2014/chart" uri="{C3380CC4-5D6E-409C-BE32-E72D297353CC}">
              <c16:uniqueId val="{00000000-4536-470B-9DC6-209F9010E8C8}"/>
            </c:ext>
          </c:extLst>
        </c:ser>
        <c:ser>
          <c:idx val="1"/>
          <c:order val="1"/>
          <c:tx>
            <c:strRef>
              <c:f>HRP!$F$219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HRP!$C$220:$C$225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HRP!$F$220:$F$225</c:f>
              <c:numCache>
                <c:formatCode>_(* #,##0_);_(* \(#,##0\);_(* "-"??_);_(@_)</c:formatCode>
                <c:ptCount val="6"/>
                <c:pt idx="0">
                  <c:v>1776.72</c:v>
                </c:pt>
                <c:pt idx="1">
                  <c:v>2961.2000000000003</c:v>
                </c:pt>
                <c:pt idx="2">
                  <c:v>8484.3915255669617</c:v>
                </c:pt>
                <c:pt idx="3">
                  <c:v>244.71525566960918</c:v>
                </c:pt>
                <c:pt idx="4">
                  <c:v>37222.543051133922</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u="none" strike="noStrike" baseline="0">
                <a:effectLst/>
              </a:rPr>
              <a:t>Constructed surface water drainage system</a:t>
            </a:r>
            <a:r>
              <a:rPr lang="en-US" sz="1200"/>
              <a:t> </a:t>
            </a:r>
          </a:p>
        </c:rich>
      </c:tx>
      <c:layout>
        <c:manualLayout>
          <c:xMode val="edge"/>
          <c:yMode val="edge"/>
          <c:x val="0.19102874670995068"/>
          <c:y val="5.5132305314836809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6648821590936264E-2"/>
          <c:y val="0.2979842137113754"/>
          <c:w val="0.42977897445616753"/>
          <c:h val="0.67825951443569554"/>
        </c:manualLayout>
      </c:layout>
      <c:pieChart>
        <c:varyColors val="1"/>
        <c:ser>
          <c:idx val="0"/>
          <c:order val="0"/>
          <c:tx>
            <c:strRef>
              <c:f>Analysis!$B$160</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layout>
                <c:manualLayout>
                  <c:x val="0.13149758852384683"/>
                  <c:y val="-2.368575928804945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Analysis!$C$160:$F$160</c:f>
              <c:numCache>
                <c:formatCode>General</c:formatCode>
                <c:ptCount val="4"/>
                <c:pt idx="0">
                  <c:v>103</c:v>
                </c:pt>
                <c:pt idx="1">
                  <c:v>9</c:v>
                </c:pt>
                <c:pt idx="2">
                  <c:v>9</c:v>
                </c:pt>
                <c:pt idx="3">
                  <c:v>7</c:v>
                </c:pt>
              </c:numCache>
            </c:numRef>
          </c:val>
          <c:extLs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Analysis!$B$161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Analysis!$C$161:$F$161</c15:sqref>
                        </c15:formulaRef>
                      </c:ext>
                    </c:extLst>
                    <c:numCache>
                      <c:formatCode>General</c:formatCode>
                      <c:ptCount val="4"/>
                    </c:numCache>
                  </c:numRef>
                </c:val>
                <c:extLs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Analysis!$B$162</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Analysis!$C$162:$F$162</c15:sqref>
                        </c15:formulaRef>
                      </c:ext>
                    </c:extLst>
                    <c:numCache>
                      <c:formatCode>General</c:formatCode>
                      <c:ptCount val="4"/>
                      <c:pt idx="0">
                        <c:v>14</c:v>
                      </c:pt>
                      <c:pt idx="1">
                        <c:v>14</c:v>
                      </c:pt>
                      <c:pt idx="2">
                        <c:v>4</c:v>
                      </c:pt>
                      <c:pt idx="3">
                        <c:v>6</c:v>
                      </c:pt>
                    </c:numCache>
                  </c:numRef>
                </c:val>
                <c:extLst xmlns:c15="http://schemas.microsoft.com/office/drawing/2012/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5576606377313342"/>
          <c:y val="0.37689577865266843"/>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0997552043223934E-2"/>
          <c:y val="0.23919892825896763"/>
          <c:w val="0.4796720559641337"/>
          <c:h val="0.74691218285214356"/>
        </c:manualLayout>
      </c:layout>
      <c:pieChart>
        <c:varyColors val="1"/>
        <c:ser>
          <c:idx val="0"/>
          <c:order val="0"/>
          <c:tx>
            <c:strRef>
              <c:f>Analysis!$B$176</c:f>
              <c:strCache>
                <c:ptCount val="1"/>
                <c:pt idx="0">
                  <c:v>Kachin</c:v>
                </c:pt>
              </c:strCache>
            </c:strRef>
          </c:tx>
          <c:dPt>
            <c:idx val="0"/>
            <c:bubble3D val="0"/>
            <c:spPr>
              <a:solidFill>
                <a:schemeClr val="bg1">
                  <a:lumMod val="75000"/>
                </a:schemeClr>
              </a:solidFill>
              <a:ln>
                <a:noFill/>
              </a:ln>
              <a:effectLst/>
            </c:spPr>
            <c:extLst>
              <c:ext xmlns:c16="http://schemas.microsoft.com/office/drawing/2014/chart" uri="{C3380CC4-5D6E-409C-BE32-E72D297353CC}">
                <c16:uniqueId val="{00000001-7D04-4B5A-8D19-1128D053B92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7D04-4B5A-8D19-1128D053B92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7D04-4B5A-8D19-1128D053B922}"/>
              </c:ext>
            </c:extLst>
          </c:dPt>
          <c:dLbls>
            <c:dLbl>
              <c:idx val="0"/>
              <c:layout>
                <c:manualLayout>
                  <c:x val="-4.4874374274467062E-2"/>
                  <c:y val="0.12608177908894386"/>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04-4B5A-8D19-1128D053B922}"/>
                </c:ext>
              </c:extLst>
            </c:dLbl>
            <c:dLbl>
              <c:idx val="1"/>
              <c:layout>
                <c:manualLayout>
                  <c:x val="-9.2241951918743736E-2"/>
                  <c:y val="0.130989642798536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04-4B5A-8D19-1128D053B922}"/>
                </c:ext>
              </c:extLst>
            </c:dLbl>
            <c:dLbl>
              <c:idx val="2"/>
              <c:layout>
                <c:manualLayout>
                  <c:x val="9.8528749029452148E-2"/>
                  <c:y val="-0.1268060418889716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ext>
              </c:extLst>
              <c:f>Analysis!$C$175:$E$175</c:f>
              <c:strCache>
                <c:ptCount val="3"/>
                <c:pt idx="0">
                  <c:v>NA</c:v>
                </c:pt>
                <c:pt idx="1">
                  <c:v>No</c:v>
                </c:pt>
                <c:pt idx="2">
                  <c:v>Yes</c:v>
                </c:pt>
              </c:strCache>
            </c:strRef>
          </c:cat>
          <c:val>
            <c:numRef>
              <c:extLst>
                <c:ext xmlns:c15="http://schemas.microsoft.com/office/drawing/2012/chart" uri="{02D57815-91ED-43cb-92C2-25804820EDAC}">
                  <c15:fullRef>
                    <c15:sqref>Analysis!$C$176:$F$176</c15:sqref>
                  </c15:fullRef>
                </c:ext>
              </c:extLst>
              <c:f>Analysis!$C$176:$E$176</c:f>
              <c:numCache>
                <c:formatCode>General</c:formatCode>
                <c:ptCount val="3"/>
                <c:pt idx="0">
                  <c:v>8</c:v>
                </c:pt>
                <c:pt idx="1">
                  <c:v>6</c:v>
                </c:pt>
                <c:pt idx="2">
                  <c:v>114</c:v>
                </c:pt>
              </c:numCache>
            </c:numRef>
          </c:val>
          <c:extLst>
            <c:ext xmlns:c15="http://schemas.microsoft.com/office/drawing/2012/chart" uri="{02D57815-91ED-43cb-92C2-25804820EDAC}">
              <c15:categoryFilterExceptions>
                <c15:categoryFilterException>
                  <c15:sqref>Analysis!$F$176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5.662479690038745E-2"/>
                        <c:y val="0.14276360835330365"/>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13-E63D-403E-BAA6-0D4E120B2993}"/>
                      </c:ext>
                    </c:extLst>
                  </c15:dLbl>
                </c15:categoryFilterException>
              </c15:categoryFilterExceptions>
            </c:ex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Analysis!$B$177</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AC1-48F1-AA19-3F4A7F775559}"/>
                    </c:ext>
                  </c:extLst>
                </c:dPt>
                <c:cat>
                  <c:strRef>
                    <c:extLst>
                      <c:ex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uri="{02D57815-91ED-43cb-92C2-25804820EDAC}">
                        <c15:fullRef>
                          <c15:sqref>Analysis!$C$177:$F$177</c15:sqref>
                        </c15:fullRef>
                        <c15:formulaRef>
                          <c15:sqref>Analysis!$C$177:$E$177</c15:sqref>
                        </c15:formulaRef>
                      </c:ext>
                    </c:extLst>
                    <c:numCache>
                      <c:formatCode>General</c:formatCode>
                      <c:ptCount val="3"/>
                    </c:numCache>
                  </c:numRef>
                </c:val>
                <c:extLst>
                  <c:ext uri="{02D57815-91ED-43cb-92C2-25804820EDAC}">
                    <c15:categoryFilterExceptions>
                      <c15:categoryFilterException>
                        <c15:sqref>Analysis!$F$177</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Analysis!$B$178</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AC1-48F1-AA19-3F4A7F775559}"/>
                    </c:ext>
                  </c:extLst>
                </c:dPt>
                <c:cat>
                  <c:strRef>
                    <c:extLst>
                      <c:ext xmlns:c15="http://schemas.microsoft.com/office/drawing/2012/char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Analysis!$C$178:$F$178</c15:sqref>
                        </c15:fullRef>
                        <c15:formulaRef>
                          <c15:sqref>Analysis!$C$178:$E$178</c15:sqref>
                        </c15:formulaRef>
                      </c:ext>
                    </c:extLst>
                    <c:numCache>
                      <c:formatCode>General</c:formatCode>
                      <c:ptCount val="3"/>
                      <c:pt idx="0">
                        <c:v>14</c:v>
                      </c:pt>
                      <c:pt idx="1">
                        <c:v>6</c:v>
                      </c:pt>
                      <c:pt idx="2">
                        <c:v>18</c:v>
                      </c:pt>
                    </c:numCache>
                  </c:numRef>
                </c:val>
                <c:extLst xmlns:c15="http://schemas.microsoft.com/office/drawing/2012/chart">
                  <c:ext xmlns:c15="http://schemas.microsoft.com/office/drawing/2012/chart" uri="{02D57815-91ED-43cb-92C2-25804820EDAC}">
                    <c15:categoryFilterExceptions>
                      <c15:categoryFilterException>
                        <c15:sqref>Analysis!$F$178</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68966239359902159"/>
          <c:y val="0.38963576581559156"/>
          <c:w val="0.29131894098645039"/>
          <c:h val="0.370666264505445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 handed over to families</a:t>
            </a:r>
          </a:p>
        </c:rich>
      </c:tx>
      <c:layout>
        <c:manualLayout>
          <c:xMode val="edge"/>
          <c:yMode val="edge"/>
          <c:x val="0.17240594925634298"/>
          <c:y val="4.9212598425212798E-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2347872922134733"/>
          <c:w val="0.89814814814814814"/>
          <c:h val="0.44178368328958878"/>
        </c:manualLayout>
      </c:layout>
      <c:barChart>
        <c:barDir val="col"/>
        <c:grouping val="percentStacked"/>
        <c:varyColors val="0"/>
        <c:ser>
          <c:idx val="2"/>
          <c:order val="2"/>
          <c:tx>
            <c:strRef>
              <c:f>Analysis!$B$133</c:f>
              <c:strCache>
                <c:ptCount val="1"/>
                <c:pt idx="0">
                  <c:v> Latrines handed over </c:v>
                </c:pt>
              </c:strCache>
            </c:strRef>
          </c:tx>
          <c:spPr>
            <a:solidFill>
              <a:schemeClr val="accent2">
                <a:lumMod val="75000"/>
              </a:schemeClr>
            </a:solidFill>
            <a:ln>
              <a:noFill/>
            </a:ln>
            <a:effectLst/>
          </c:spPr>
          <c:invertIfNegative val="0"/>
          <c:dLbls>
            <c:dLbl>
              <c:idx val="1"/>
              <c:layout>
                <c:manualLayout>
                  <c:x val="1.686114515056206E-2"/>
                  <c:y val="-6.4584614433289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45-466F-8A61-2179A0D75A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Analysis!$C$133:$D$133</c:f>
              <c:numCache>
                <c:formatCode>_(* #,##0_);_(* \(#,##0\);_(* "-"??_);_(@_)</c:formatCode>
                <c:ptCount val="2"/>
                <c:pt idx="0">
                  <c:v>663</c:v>
                </c:pt>
                <c:pt idx="1">
                  <c:v>1055</c:v>
                </c:pt>
              </c:numCache>
            </c:numRef>
          </c:val>
          <c:extLst>
            <c:ext xmlns:c16="http://schemas.microsoft.com/office/drawing/2014/chart" uri="{C3380CC4-5D6E-409C-BE32-E72D297353CC}">
              <c16:uniqueId val="{00000000-89DD-4829-838C-9132D2EEC9DD}"/>
            </c:ext>
          </c:extLst>
        </c:ser>
        <c:ser>
          <c:idx val="3"/>
          <c:order val="3"/>
          <c:tx>
            <c:strRef>
              <c:f>Analysis!$B$134</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Analysis!$C$134:$D$134</c:f>
              <c:numCache>
                <c:formatCode>_(* #,##0_);_(* \(#,##0\);_(* "-"??_);_(@_)</c:formatCode>
                <c:ptCount val="2"/>
                <c:pt idx="0">
                  <c:v>2396</c:v>
                </c:pt>
                <c:pt idx="1">
                  <c:v>2738</c:v>
                </c:pt>
              </c:numCache>
            </c:numRef>
          </c:val>
          <c:extLs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415875096"/>
        <c:axId val="415875488"/>
        <c:extLst>
          <c:ext xmlns:c15="http://schemas.microsoft.com/office/drawing/2012/chart" uri="{02D57815-91ED-43cb-92C2-25804820EDAC}">
            <c15:filteredBarSeries>
              <c15:ser>
                <c:idx val="0"/>
                <c:order val="0"/>
                <c:tx>
                  <c:strRef>
                    <c:extLst>
                      <c:ext uri="{02D57815-91ED-43cb-92C2-25804820EDAC}">
                        <c15:formulaRef>
                          <c15:sqref>Analysis!$B$131</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Analysis!$C$130:$D$130</c15:sqref>
                        </c15:formulaRef>
                      </c:ext>
                    </c:extLst>
                    <c:strCache>
                      <c:ptCount val="2"/>
                      <c:pt idx="0">
                        <c:v> # in GCA (20:1) </c:v>
                      </c:pt>
                      <c:pt idx="1">
                        <c:v> # in NGCA (20:1) </c:v>
                      </c:pt>
                    </c:strCache>
                  </c:strRef>
                </c:cat>
                <c:val>
                  <c:numRef>
                    <c:extLst>
                      <c:ext uri="{02D57815-91ED-43cb-92C2-25804820EDAC}">
                        <c15:formulaRef>
                          <c15:sqref>Analysis!$C$131:$D$131</c15:sqref>
                        </c15:formulaRef>
                      </c:ext>
                    </c:extLst>
                    <c:numCache>
                      <c:formatCode>_(* #,##0_);_(* \(#,##0\);_(* "-"??_);_(@_)</c:formatCode>
                      <c:ptCount val="2"/>
                      <c:pt idx="0">
                        <c:v>2403</c:v>
                      </c:pt>
                      <c:pt idx="1">
                        <c:v>3793</c:v>
                      </c:pt>
                    </c:numCache>
                  </c:numRef>
                </c:val>
                <c:extLs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Analysis!$B$132</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Analysis!$C$130:$D$130</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Analysis!$C$132:$D$132</c15:sqref>
                        </c15:formulaRef>
                      </c:ext>
                    </c:extLst>
                    <c:numCache>
                      <c:formatCode>_(* #,##0_);_(* \(#,##0\);_(* "-"??_);_(@_)</c:formatCode>
                      <c:ptCount val="2"/>
                      <c:pt idx="0">
                        <c:v>656</c:v>
                      </c:pt>
                      <c:pt idx="1">
                        <c:v>0</c:v>
                      </c:pt>
                    </c:numCache>
                  </c:numRef>
                </c:val>
                <c:extLst xmlns:c15="http://schemas.microsoft.com/office/drawing/2012/chart">
                  <c:ext xmlns:c16="http://schemas.microsoft.com/office/drawing/2014/chart" uri="{C3380CC4-5D6E-409C-BE32-E72D297353CC}">
                    <c16:uniqueId val="{00000002-C16D-4B5C-864C-7CC8470434C5}"/>
                  </c:ext>
                </c:extLst>
              </c15:ser>
            </c15:filteredBarSeries>
          </c:ext>
        </c:extLst>
      </c:barChart>
      <c:catAx>
        <c:axId val="415875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crossAx val="415875488"/>
        <c:crosses val="autoZero"/>
        <c:auto val="1"/>
        <c:lblAlgn val="ctr"/>
        <c:lblOffset val="100"/>
        <c:noMultiLvlLbl val="0"/>
      </c:catAx>
      <c:valAx>
        <c:axId val="415875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096"/>
        <c:crosses val="autoZero"/>
        <c:crossBetween val="between"/>
        <c:majorUnit val="0.5"/>
      </c:valAx>
      <c:spPr>
        <a:noFill/>
        <a:ln>
          <a:noFill/>
        </a:ln>
        <a:effectLst/>
      </c:spPr>
    </c:plotArea>
    <c:legend>
      <c:legendPos val="b"/>
      <c:layout>
        <c:manualLayout>
          <c:xMode val="edge"/>
          <c:yMode val="edge"/>
          <c:x val="1.303769320501603E-2"/>
          <c:y val="0.80444444444444441"/>
          <c:w val="0.94206328375619719"/>
          <c:h val="0.195555555555555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85768361558"/>
          <c:y val="0.18110503941046066"/>
          <c:w val="0.8269872515935508"/>
          <c:h val="0.45797951668100412"/>
        </c:manualLayout>
      </c:layout>
      <c:barChart>
        <c:barDir val="col"/>
        <c:grouping val="clustered"/>
        <c:varyColors val="0"/>
        <c:ser>
          <c:idx val="0"/>
          <c:order val="0"/>
          <c:tx>
            <c:strRef>
              <c:f>Analysis!$B$135</c:f>
              <c:strCache>
                <c:ptCount val="1"/>
                <c:pt idx="0">
                  <c:v> # Operation &amp; maintenance of latrines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Analysis!$C$135:$D$135</c:f>
              <c:numCache>
                <c:formatCode>_(* #,##0_);_(* \(#,##0\);_(* "-"??_);_(@_)</c:formatCode>
                <c:ptCount val="2"/>
                <c:pt idx="0">
                  <c:v>63</c:v>
                </c:pt>
                <c:pt idx="1">
                  <c:v>0</c:v>
                </c:pt>
              </c:numCache>
            </c:numRef>
          </c:val>
          <c:extLst>
            <c:ext xmlns:c16="http://schemas.microsoft.com/office/drawing/2014/chart" uri="{C3380CC4-5D6E-409C-BE32-E72D297353CC}">
              <c16:uniqueId val="{00000000-BE5C-460C-9416-9E341743CD67}"/>
            </c:ext>
          </c:extLst>
        </c:ser>
        <c:ser>
          <c:idx val="1"/>
          <c:order val="1"/>
          <c:tx>
            <c:strRef>
              <c:f>Analysis!$B$136</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Analysis!$C$136:$D$136</c:f>
              <c:numCache>
                <c:formatCode>_(* #,##0_);_(* \(#,##0\);_(* "-"??_);_(@_)</c:formatCode>
                <c:ptCount val="2"/>
                <c:pt idx="0">
                  <c:v>494</c:v>
                </c:pt>
                <c:pt idx="1">
                  <c:v>0</c:v>
                </c:pt>
              </c:numCache>
            </c:numRef>
          </c:val>
          <c:extLs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100"/>
        <c:overlap val="-24"/>
        <c:axId val="415864904"/>
        <c:axId val="417008008"/>
      </c:barChart>
      <c:catAx>
        <c:axId val="415864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8008"/>
        <c:crosses val="autoZero"/>
        <c:auto val="1"/>
        <c:lblAlgn val="ctr"/>
        <c:lblOffset val="100"/>
        <c:noMultiLvlLbl val="0"/>
      </c:catAx>
      <c:valAx>
        <c:axId val="417008008"/>
        <c:scaling>
          <c:orientation val="minMax"/>
          <c:max val="6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4904"/>
        <c:crosses val="autoZero"/>
        <c:crossBetween val="between"/>
        <c:majorUnit val="200"/>
      </c:valAx>
      <c:spPr>
        <a:noFill/>
        <a:ln>
          <a:noFill/>
        </a:ln>
        <a:effectLst/>
      </c:spPr>
    </c:plotArea>
    <c:legend>
      <c:legendPos val="b"/>
      <c:layout>
        <c:manualLayout>
          <c:xMode val="edge"/>
          <c:yMode val="edge"/>
          <c:x val="0"/>
          <c:y val="0.78632327209098862"/>
          <c:w val="0.9750901434403646"/>
          <c:h val="0.213676727909011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a:t>
            </a:r>
            <a:r>
              <a:rPr lang="en-US" sz="1200" baseline="0"/>
              <a:t> Functionality</a:t>
            </a:r>
            <a:endParaRPr lang="en-US" sz="1200"/>
          </a:p>
        </c:rich>
      </c:tx>
      <c:overlay val="0"/>
      <c:spPr>
        <a:noFill/>
        <a:ln>
          <a:noFill/>
        </a:ln>
        <a:effectLst/>
      </c:spPr>
    </c:title>
    <c:autoTitleDeleted val="0"/>
    <c:plotArea>
      <c:layout>
        <c:manualLayout>
          <c:layoutTarget val="inner"/>
          <c:xMode val="edge"/>
          <c:yMode val="edge"/>
          <c:x val="5.0253170913455547E-2"/>
          <c:y val="0.23318952318460193"/>
          <c:w val="0.4711272084197633"/>
          <c:h val="0.73360673665791776"/>
        </c:manualLayout>
      </c:layout>
      <c:pieChart>
        <c:varyColors val="1"/>
        <c:ser>
          <c:idx val="1"/>
          <c:order val="0"/>
          <c:dPt>
            <c:idx val="0"/>
            <c:bubble3D val="0"/>
            <c:spPr>
              <a:solidFill>
                <a:schemeClr val="accent2">
                  <a:lumMod val="75000"/>
                </a:schemeClr>
              </a:solidFill>
            </c:spPr>
            <c:extLs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10-D4AE-42C3-98C8-A49BC4C43D3C}"/>
              </c:ext>
            </c:extLst>
          </c:dPt>
          <c:dLbls>
            <c:dLbl>
              <c:idx val="0"/>
              <c:numFmt formatCode="0.0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F-D4AE-42C3-98C8-A49BC4C43D3C}"/>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10-D4AE-42C3-98C8-A49BC4C43D3C}"/>
                </c:ext>
              </c:extLst>
            </c:dLbl>
            <c:numFmt formatCode="0.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Analysis!$F$130:$F$131</c:f>
              <c:strCache>
                <c:ptCount val="2"/>
                <c:pt idx="0">
                  <c:v>Functioning</c:v>
                </c:pt>
                <c:pt idx="1">
                  <c:v>Not_Functioing</c:v>
                </c:pt>
              </c:strCache>
            </c:strRef>
          </c:cat>
          <c:val>
            <c:numRef>
              <c:f>Analysis!$G$130:$G$131</c:f>
              <c:numCache>
                <c:formatCode>_(* #,##0_);_(* \(#,##0\);_(* "-"??_);_(@_)</c:formatCode>
                <c:ptCount val="2"/>
                <c:pt idx="0">
                  <c:v>6196</c:v>
                </c:pt>
                <c:pt idx="1">
                  <c:v>74</c:v>
                </c:pt>
              </c:numCache>
            </c:numRef>
          </c:val>
          <c:extLst>
            <c:ext xmlns:c16="http://schemas.microsoft.com/office/drawing/2014/chart" uri="{C3380CC4-5D6E-409C-BE32-E72D297353CC}">
              <c16:uniqueId val="{0000000E-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8099485160030218"/>
          <c:y val="0.43217793088363954"/>
          <c:w val="0.39224653323177699"/>
          <c:h val="0.320713035870516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2">
          <a:lumMod val="75000"/>
        </a:schemeClr>
      </a:solidFill>
    </a:ln>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[20221027_Myanmar_WASH_4W_2022_Q3_KachinShan_camp_Consolidate.xlsx]Analysis!PivotTable1</c:name>
    <c:fmtId val="2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people access to functioning</a:t>
            </a:r>
            <a:r>
              <a:rPr lang="en-US" sz="1200" baseline="0"/>
              <a:t> latrine</a:t>
            </a:r>
            <a:endParaRPr lang="en-US" sz="1200"/>
          </a:p>
        </c:rich>
      </c:tx>
      <c:layout>
        <c:manualLayout>
          <c:xMode val="edge"/>
          <c:yMode val="edge"/>
          <c:x val="0.13883092738407701"/>
          <c:y val="1.388888888888888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650080198308545"/>
          <c:y val="0.26597222222222222"/>
          <c:w val="0.78720290172061824"/>
          <c:h val="0.44040846456692917"/>
        </c:manualLayout>
      </c:layout>
      <c:barChart>
        <c:barDir val="col"/>
        <c:grouping val="percentStacked"/>
        <c:varyColors val="0"/>
        <c:ser>
          <c:idx val="0"/>
          <c:order val="0"/>
          <c:tx>
            <c:strRef>
              <c:f>Analysis!$P$120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Analysis!$P$121:$P$122</c:f>
              <c:numCache>
                <c:formatCode>_(* #,##0_);_(* \(#,##0\);_(* "-"??_);_(@_)</c:formatCode>
                <c:ptCount val="2"/>
                <c:pt idx="0">
                  <c:v>39086</c:v>
                </c:pt>
                <c:pt idx="1">
                  <c:v>36057</c:v>
                </c:pt>
              </c:numCache>
            </c:numRef>
          </c:val>
          <c:extLst>
            <c:ext xmlns:c16="http://schemas.microsoft.com/office/drawing/2014/chart" uri="{C3380CC4-5D6E-409C-BE32-E72D297353CC}">
              <c16:uniqueId val="{00000000-5E5B-49CC-95ED-B9B52369944B}"/>
            </c:ext>
          </c:extLst>
        </c:ser>
        <c:ser>
          <c:idx val="1"/>
          <c:order val="1"/>
          <c:tx>
            <c:strRef>
              <c:f>Analysis!$Q$120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Analysis!$Q$121:$Q$122</c:f>
              <c:numCache>
                <c:formatCode>_(* #,##0_);_(* \(#,##0\);_(* "-"??_);_(@_)</c:formatCode>
                <c:ptCount val="2"/>
                <c:pt idx="0">
                  <c:v>22052</c:v>
                </c:pt>
                <c:pt idx="1">
                  <c:v>10021</c:v>
                </c:pt>
              </c:numCache>
            </c:numRef>
          </c:val>
          <c:extLst>
            <c:ext xmlns:c16="http://schemas.microsoft.com/office/drawing/2014/chart" uri="{C3380CC4-5D6E-409C-BE32-E72D297353CC}">
              <c16:uniqueId val="{00000001-5E5B-49CC-95ED-B9B52369944B}"/>
            </c:ext>
          </c:extLst>
        </c:ser>
        <c:dLbls>
          <c:showLegendKey val="0"/>
          <c:showVal val="0"/>
          <c:showCatName val="0"/>
          <c:showSerName val="0"/>
          <c:showPercent val="0"/>
          <c:showBubbleSize val="0"/>
        </c:dLbls>
        <c:gapWidth val="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[20221027_Myanmar_WASH_4W_2022_Q3_KachinShan_camp_Consolidate.xlsx]Analysis!PivotTable13</c:name>
    <c:fmtId val="2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Functioning Latrine Target and Reached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Analysis!$AJ$120</c:f>
              <c:strCache>
                <c:ptCount val="1"/>
                <c:pt idx="0">
                  <c:v>Reached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Analysis!$AJ$121:$AJ$134</c:f>
              <c:numCache>
                <c:formatCode>General</c:formatCode>
                <c:ptCount val="14"/>
                <c:pt idx="0">
                  <c:v>286</c:v>
                </c:pt>
                <c:pt idx="1">
                  <c:v>129</c:v>
                </c:pt>
                <c:pt idx="2">
                  <c:v>191</c:v>
                </c:pt>
                <c:pt idx="3">
                  <c:v>12</c:v>
                </c:pt>
                <c:pt idx="4">
                  <c:v>1015</c:v>
                </c:pt>
                <c:pt idx="5">
                  <c:v>70</c:v>
                </c:pt>
                <c:pt idx="6">
                  <c:v>12</c:v>
                </c:pt>
                <c:pt idx="7">
                  <c:v>1003</c:v>
                </c:pt>
                <c:pt idx="8">
                  <c:v>441</c:v>
                </c:pt>
                <c:pt idx="9">
                  <c:v>12</c:v>
                </c:pt>
                <c:pt idx="10">
                  <c:v>27</c:v>
                </c:pt>
                <c:pt idx="11">
                  <c:v>155</c:v>
                </c:pt>
                <c:pt idx="12">
                  <c:v>0</c:v>
                </c:pt>
                <c:pt idx="13">
                  <c:v>2106</c:v>
                </c:pt>
              </c:numCache>
            </c:numRef>
          </c:val>
          <c:extLst>
            <c:ext xmlns:c16="http://schemas.microsoft.com/office/drawing/2014/chart" uri="{C3380CC4-5D6E-409C-BE32-E72D297353CC}">
              <c16:uniqueId val="{00000000-AB53-4569-A138-4B2EA2158C48}"/>
            </c:ext>
          </c:extLst>
        </c:ser>
        <c:ser>
          <c:idx val="1"/>
          <c:order val="1"/>
          <c:tx>
            <c:strRef>
              <c:f>Analysis!$AK$120</c:f>
              <c:strCache>
                <c:ptCount val="1"/>
                <c:pt idx="0">
                  <c:v>Target (20:1)</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Analysis!$AK$121:$AK$134</c:f>
              <c:numCache>
                <c:formatCode>General</c:formatCode>
                <c:ptCount val="14"/>
                <c:pt idx="0">
                  <c:v>335</c:v>
                </c:pt>
                <c:pt idx="1">
                  <c:v>130</c:v>
                </c:pt>
                <c:pt idx="2">
                  <c:v>192</c:v>
                </c:pt>
                <c:pt idx="3">
                  <c:v>29</c:v>
                </c:pt>
                <c:pt idx="4">
                  <c:v>590</c:v>
                </c:pt>
                <c:pt idx="5">
                  <c:v>76</c:v>
                </c:pt>
                <c:pt idx="6">
                  <c:v>9</c:v>
                </c:pt>
                <c:pt idx="7">
                  <c:v>1308</c:v>
                </c:pt>
                <c:pt idx="8">
                  <c:v>549</c:v>
                </c:pt>
                <c:pt idx="9">
                  <c:v>14</c:v>
                </c:pt>
                <c:pt idx="10">
                  <c:v>94</c:v>
                </c:pt>
                <c:pt idx="11">
                  <c:v>43</c:v>
                </c:pt>
                <c:pt idx="12">
                  <c:v>62</c:v>
                </c:pt>
                <c:pt idx="13">
                  <c:v>1725</c:v>
                </c:pt>
              </c:numCache>
            </c:numRef>
          </c:val>
          <c:extLst>
            <c:ext xmlns:c16="http://schemas.microsoft.com/office/drawing/2014/chart" uri="{C3380CC4-5D6E-409C-BE32-E72D297353CC}">
              <c16:uniqueId val="{00000001-AB53-4569-A138-4B2EA2158C48}"/>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max val="250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[20221027_Myanmar_WASH_4W_2022_Q3_KachinShan_camp_Consolidate.xlsx]Analysis!PivotTable3</c:name>
    <c:fmtId val="2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4">
              <a:lumMod val="50000"/>
            </a:schemeClr>
          </a:solidFill>
          <a:ln>
            <a:noFill/>
          </a:ln>
          <a:effectLst/>
        </c:spPr>
      </c:pivotFmt>
      <c:pivotFmt>
        <c:idx val="13"/>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4199635741184523"/>
          <c:y val="0.16105528260650198"/>
          <c:w val="0.52086611434440266"/>
          <c:h val="0.65017441414310484"/>
        </c:manualLayout>
      </c:layout>
      <c:barChart>
        <c:barDir val="bar"/>
        <c:grouping val="clustered"/>
        <c:varyColors val="0"/>
        <c:ser>
          <c:idx val="0"/>
          <c:order val="0"/>
          <c:tx>
            <c:strRef>
              <c:f>Analysis!$D$404:$D$405</c:f>
              <c:strCache>
                <c:ptCount val="1"/>
                <c:pt idx="0">
                  <c:v>2022_Q1</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Analysis!$D$406:$D$409</c:f>
              <c:numCache>
                <c:formatCode>0%</c:formatCode>
                <c:ptCount val="4"/>
                <c:pt idx="0">
                  <c:v>0.91302402761184143</c:v>
                </c:pt>
                <c:pt idx="1">
                  <c:v>0.89170506912442404</c:v>
                </c:pt>
                <c:pt idx="2">
                  <c:v>0.73531249999999981</c:v>
                </c:pt>
                <c:pt idx="3">
                  <c:v>0.23460921737679713</c:v>
                </c:pt>
              </c:numCache>
            </c:numRef>
          </c:val>
          <c:extLst>
            <c:ext xmlns:c16="http://schemas.microsoft.com/office/drawing/2014/chart" uri="{C3380CC4-5D6E-409C-BE32-E72D297353CC}">
              <c16:uniqueId val="{00000000-7DF0-45A1-94D6-738D4888EEB7}"/>
            </c:ext>
          </c:extLst>
        </c:ser>
        <c:ser>
          <c:idx val="1"/>
          <c:order val="1"/>
          <c:tx>
            <c:strRef>
              <c:f>Analysis!$E$404:$E$405</c:f>
              <c:strCache>
                <c:ptCount val="1"/>
                <c:pt idx="0">
                  <c:v>2022_Q2</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Analysis!$E$406:$E$409</c:f>
              <c:numCache>
                <c:formatCode>0%</c:formatCode>
                <c:ptCount val="4"/>
                <c:pt idx="0">
                  <c:v>0.80333333333333357</c:v>
                </c:pt>
                <c:pt idx="1">
                  <c:v>0.8036585365853659</c:v>
                </c:pt>
                <c:pt idx="2">
                  <c:v>0.33873239436619729</c:v>
                </c:pt>
                <c:pt idx="3">
                  <c:v>8.9258899888097043E-2</c:v>
                </c:pt>
              </c:numCache>
            </c:numRef>
          </c:val>
          <c:extLst>
            <c:ext xmlns:c16="http://schemas.microsoft.com/office/drawing/2014/chart" uri="{C3380CC4-5D6E-409C-BE32-E72D297353CC}">
              <c16:uniqueId val="{00000000-34DD-4BE5-ACC4-11D0444DFE0C}"/>
            </c:ext>
          </c:extLst>
        </c:ser>
        <c:ser>
          <c:idx val="2"/>
          <c:order val="2"/>
          <c:tx>
            <c:strRef>
              <c:f>Analysis!$F$404:$F$405</c:f>
              <c:strCache>
                <c:ptCount val="1"/>
                <c:pt idx="0">
                  <c:v>2022_Q3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Analysis!$F$406:$F$409</c:f>
              <c:numCache>
                <c:formatCode>0%</c:formatCode>
                <c:ptCount val="4"/>
                <c:pt idx="0">
                  <c:v>0.83241379310344832</c:v>
                </c:pt>
                <c:pt idx="1">
                  <c:v>0.80821428571428577</c:v>
                </c:pt>
                <c:pt idx="2">
                  <c:v>0.81264705882352939</c:v>
                </c:pt>
                <c:pt idx="3">
                  <c:v>9.2514516630750374E-2</c:v>
                </c:pt>
              </c:numCache>
            </c:numRef>
          </c:val>
          <c:extLst>
            <c:ext xmlns:c16="http://schemas.microsoft.com/office/drawing/2014/chart" uri="{C3380CC4-5D6E-409C-BE32-E72D297353CC}">
              <c16:uniqueId val="{00000000-59CC-459D-B7F6-80ADACCECFBC}"/>
            </c:ext>
          </c:extLst>
        </c:ser>
        <c:dLbls>
          <c:showLegendKey val="0"/>
          <c:showVal val="0"/>
          <c:showCatName val="0"/>
          <c:showSerName val="0"/>
          <c:showPercent val="0"/>
          <c:showBubbleSize val="0"/>
        </c:dLbls>
        <c:gapWidth val="5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layout>
        <c:manualLayout>
          <c:xMode val="edge"/>
          <c:yMode val="edge"/>
          <c:x val="0.91146418349880176"/>
          <c:y val="0.37428586275634168"/>
          <c:w val="8.8535816501198225E-2"/>
          <c:h val="0.2049103739879513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BF9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Analysis!$K$61:$K$63</c:f>
              <c:strCache>
                <c:ptCount val="3"/>
                <c:pt idx="0">
                  <c:v>2022_Q1</c:v>
                </c:pt>
                <c:pt idx="1">
                  <c:v>2022_Q2</c:v>
                </c:pt>
                <c:pt idx="2">
                  <c:v>2022_Q3</c:v>
                </c:pt>
              </c:strCache>
            </c:strRef>
          </c:cat>
          <c:val>
            <c:numRef>
              <c:f>Analysis!$L$61:$L$63</c:f>
              <c:numCache>
                <c:formatCode>General</c:formatCode>
                <c:ptCount val="3"/>
                <c:pt idx="0">
                  <c:v>46</c:v>
                </c:pt>
                <c:pt idx="1">
                  <c:v>140</c:v>
                </c:pt>
                <c:pt idx="2">
                  <c:v>56</c:v>
                </c:pt>
              </c:numCache>
            </c:numRef>
          </c:val>
          <c:extLst>
            <c:ext xmlns:c16="http://schemas.microsoft.com/office/drawing/2014/chart" uri="{C3380CC4-5D6E-409C-BE32-E72D297353CC}">
              <c16:uniqueId val="{00000000-A3F4-4E19-8020-F240E8954E2B}"/>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Analysis!$K$61:$K$63</c:f>
              <c:strCache>
                <c:ptCount val="3"/>
                <c:pt idx="0">
                  <c:v>2022_Q1</c:v>
                </c:pt>
                <c:pt idx="1">
                  <c:v>2022_Q2</c:v>
                </c:pt>
                <c:pt idx="2">
                  <c:v>2022_Q3</c:v>
                </c:pt>
              </c:strCache>
            </c:strRef>
          </c:cat>
          <c:val>
            <c:numRef>
              <c:f>Analysis!$M$61:$M$63</c:f>
              <c:numCache>
                <c:formatCode>General</c:formatCode>
                <c:ptCount val="3"/>
                <c:pt idx="0">
                  <c:v>31</c:v>
                </c:pt>
                <c:pt idx="1">
                  <c:v>99</c:v>
                </c:pt>
                <c:pt idx="2">
                  <c:v>55</c:v>
                </c:pt>
              </c:numCache>
            </c:numRef>
          </c:val>
          <c:extLst>
            <c:ext xmlns:c16="http://schemas.microsoft.com/office/drawing/2014/chart" uri="{C3380CC4-5D6E-409C-BE32-E72D297353CC}">
              <c16:uniqueId val="{00000001-A3F4-4E19-8020-F240E8954E2B}"/>
            </c:ext>
          </c:extLst>
        </c:ser>
        <c:dLbls>
          <c:showLegendKey val="0"/>
          <c:showVal val="0"/>
          <c:showCatName val="0"/>
          <c:showSerName val="0"/>
          <c:showPercent val="0"/>
          <c:showBubbleSize val="0"/>
        </c:dLbls>
        <c:gapWidth val="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25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0196850393699"/>
          <c:y val="5.6798964648793998E-2"/>
          <c:w val="0.77965445725534288"/>
          <c:h val="0.5612655184874964"/>
        </c:manualLayout>
      </c:layout>
      <c:barChart>
        <c:barDir val="col"/>
        <c:grouping val="stacked"/>
        <c:varyColors val="0"/>
        <c:ser>
          <c:idx val="0"/>
          <c:order val="0"/>
          <c:tx>
            <c:strRef>
              <c:f>Analysis!$Z$58</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Analysis!$Y$59:$Y$61</c:f>
              <c:strCache>
                <c:ptCount val="3"/>
                <c:pt idx="0">
                  <c:v>2022_Q1</c:v>
                </c:pt>
                <c:pt idx="1">
                  <c:v>2022_Q2</c:v>
                </c:pt>
                <c:pt idx="2">
                  <c:v>2022_Q3</c:v>
                </c:pt>
              </c:strCache>
            </c:strRef>
          </c:cat>
          <c:val>
            <c:numRef>
              <c:f>Analysis!$Z$59:$Z$61</c:f>
              <c:numCache>
                <c:formatCode>General</c:formatCode>
                <c:ptCount val="3"/>
                <c:pt idx="0">
                  <c:v>100</c:v>
                </c:pt>
                <c:pt idx="1">
                  <c:v>181</c:v>
                </c:pt>
                <c:pt idx="2">
                  <c:v>274</c:v>
                </c:pt>
              </c:numCache>
            </c:numRef>
          </c:val>
          <c:extLst>
            <c:ext xmlns:c16="http://schemas.microsoft.com/office/drawing/2014/chart" uri="{C3380CC4-5D6E-409C-BE32-E72D297353CC}">
              <c16:uniqueId val="{00000000-B2B9-4CF1-AB93-D37D38D113BC}"/>
            </c:ext>
          </c:extLst>
        </c:ser>
        <c:ser>
          <c:idx val="1"/>
          <c:order val="1"/>
          <c:tx>
            <c:strRef>
              <c:f>Analysis!$AA$58</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Analysis!$Y$59:$Y$61</c:f>
              <c:strCache>
                <c:ptCount val="3"/>
                <c:pt idx="0">
                  <c:v>2022_Q1</c:v>
                </c:pt>
                <c:pt idx="1">
                  <c:v>2022_Q2</c:v>
                </c:pt>
                <c:pt idx="2">
                  <c:v>2022_Q3</c:v>
                </c:pt>
              </c:strCache>
            </c:strRef>
          </c:cat>
          <c:val>
            <c:numRef>
              <c:f>Analysis!$AA$59:$AA$61</c:f>
              <c:numCache>
                <c:formatCode>General</c:formatCode>
                <c:ptCount val="3"/>
                <c:pt idx="0">
                  <c:v>71</c:v>
                </c:pt>
                <c:pt idx="1">
                  <c:v>163</c:v>
                </c:pt>
                <c:pt idx="2">
                  <c:v>265</c:v>
                </c:pt>
              </c:numCache>
            </c:numRef>
          </c:val>
          <c:extLst>
            <c:ext xmlns:c16="http://schemas.microsoft.com/office/drawing/2014/chart" uri="{C3380CC4-5D6E-409C-BE32-E72D297353CC}">
              <c16:uniqueId val="{00000001-B2B9-4CF1-AB93-D37D38D113BC}"/>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Entry>
      <c:layout>
        <c:manualLayout>
          <c:xMode val="edge"/>
          <c:yMode val="edge"/>
          <c:x val="8.1930316725686049E-3"/>
          <c:y val="0.76229107502448745"/>
          <c:w val="0.99180696832743143"/>
          <c:h val="0.237708924975512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Kayah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HRP!$S$219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4"/>
            <c:invertIfNegative val="0"/>
            <c:bubble3D val="0"/>
            <c:spPr>
              <a:solidFill>
                <a:srgbClr val="ED7D31">
                  <a:lumMod val="75000"/>
                </a:srgbClr>
              </a:solidFill>
              <a:ln>
                <a:noFill/>
              </a:ln>
              <a:effectLst/>
            </c:spPr>
            <c:extLst>
              <c:ext xmlns:c16="http://schemas.microsoft.com/office/drawing/2014/chart" uri="{C3380CC4-5D6E-409C-BE32-E72D297353CC}">
                <c16:uniqueId val="{00000011-6EDD-46FF-B657-D8AD6C198DB7}"/>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HRP!$Q$220:$Q$225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HRP!$S$220:$S$225</c:f>
              <c:numCache>
                <c:formatCode>_(* #,##0_);_(* \(#,##0\);_(* "-"??_);_(@_)</c:formatCode>
                <c:ptCount val="6"/>
                <c:pt idx="0">
                  <c:v>0</c:v>
                </c:pt>
                <c:pt idx="1">
                  <c:v>0</c:v>
                </c:pt>
                <c:pt idx="2">
                  <c:v>0</c:v>
                </c:pt>
                <c:pt idx="3">
                  <c:v>89260</c:v>
                </c:pt>
                <c:pt idx="4">
                  <c:v>39304</c:v>
                </c:pt>
                <c:pt idx="5">
                  <c:v>59762</c:v>
                </c:pt>
              </c:numCache>
            </c:numRef>
          </c:val>
          <c:extLst>
            <c:ext xmlns:c16="http://schemas.microsoft.com/office/drawing/2014/chart" uri="{C3380CC4-5D6E-409C-BE32-E72D297353CC}">
              <c16:uniqueId val="{00000000-4536-470B-9DC6-209F9010E8C8}"/>
            </c:ext>
          </c:extLst>
        </c:ser>
        <c:ser>
          <c:idx val="1"/>
          <c:order val="1"/>
          <c:tx>
            <c:strRef>
              <c:f>HRP!$T$219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rgbClr val="ED7D31">
                  <a:lumMod val="40000"/>
                  <a:lumOff val="60000"/>
                </a:srgb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HRP!$Q$220:$Q$225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HRP!$T$220:$T$225</c:f>
              <c:numCache>
                <c:formatCode>_(* #,##0_);_(* \(#,##0\);_(* "-"??_);_(@_)</c:formatCode>
                <c:ptCount val="6"/>
                <c:pt idx="0">
                  <c:v>2406.69</c:v>
                </c:pt>
                <c:pt idx="1">
                  <c:v>4011.15</c:v>
                </c:pt>
                <c:pt idx="2">
                  <c:v>10430.134801816714</c:v>
                </c:pt>
                <c:pt idx="4">
                  <c:v>40921.289603633428</c:v>
                </c:pt>
                <c:pt idx="5">
                  <c:v>20470.158414533711</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2022-Q3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[6]National!$D$3</c:f>
              <c:strCache>
                <c:ptCount val="1"/>
                <c:pt idx="0">
                  <c:v>Cumulative Funding Received for 2022</c:v>
                </c:pt>
              </c:strCache>
            </c:strRef>
          </c:tx>
          <c:spPr>
            <a:solidFill>
              <a:srgbClr val="0070C0"/>
            </a:solidFill>
            <a:ln>
              <a:noFill/>
            </a:ln>
            <a:effectLst/>
          </c:spPr>
          <c:invertIfNegative val="0"/>
          <c:dLbls>
            <c:dLbl>
              <c:idx val="0"/>
              <c:layout>
                <c:manualLayout>
                  <c:x val="6.6901086557717107E-2"/>
                  <c:y val="-5.94740248367274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B5-4801-AFA5-6324AF0E82A3}"/>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[6]National!$B$6:$B$22</c15:sqref>
                  </c15:fullRef>
                </c:ext>
              </c:extLst>
              <c:f>[6]National!$B$11</c:f>
              <c:strCache>
                <c:ptCount val="1"/>
                <c:pt idx="0">
                  <c:v>Kachin/Shan (North)</c:v>
                </c:pt>
              </c:strCache>
            </c:strRef>
          </c:cat>
          <c:val>
            <c:numRef>
              <c:extLst>
                <c:ext xmlns:c15="http://schemas.microsoft.com/office/drawing/2012/chart" uri="{02D57815-91ED-43cb-92C2-25804820EDAC}">
                  <c15:fullRef>
                    <c15:sqref>[6]National!$D$6:$D$22</c15:sqref>
                  </c15:fullRef>
                </c:ext>
              </c:extLst>
              <c:f>[6]National!$D$11</c:f>
              <c:numCache>
                <c:formatCode>General</c:formatCode>
                <c:ptCount val="1"/>
                <c:pt idx="0">
                  <c:v>2733733.3336034189</c:v>
                </c:pt>
              </c:numCache>
            </c:numRef>
          </c:val>
          <c:extLst xmlns:c15="http://schemas.microsoft.com/office/drawing/2012/chart">
            <c:ext xmlns:c16="http://schemas.microsoft.com/office/drawing/2014/chart" uri="{C3380CC4-5D6E-409C-BE32-E72D297353CC}">
              <c16:uniqueId val="{00000001-47B5-4801-AFA5-6324AF0E82A3}"/>
            </c:ext>
          </c:extLst>
        </c:ser>
        <c:ser>
          <c:idx val="1"/>
          <c:order val="1"/>
          <c:tx>
            <c:strRef>
              <c:f>[6]National!$E$3</c:f>
              <c:strCache>
                <c:ptCount val="1"/>
                <c:pt idx="0">
                  <c:v>Gap</c:v>
                </c:pt>
              </c:strCache>
            </c:strRef>
          </c:tx>
          <c:spPr>
            <a:solidFill>
              <a:schemeClr val="accent1">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[6]National!$B$6:$B$22</c15:sqref>
                  </c15:fullRef>
                </c:ext>
              </c:extLst>
              <c:f>[6]National!$B$11</c:f>
              <c:strCache>
                <c:ptCount val="1"/>
                <c:pt idx="0">
                  <c:v>Kachin/Shan (North)</c:v>
                </c:pt>
              </c:strCache>
            </c:strRef>
          </c:cat>
          <c:val>
            <c:numRef>
              <c:extLst>
                <c:ext xmlns:c15="http://schemas.microsoft.com/office/drawing/2012/chart" uri="{02D57815-91ED-43cb-92C2-25804820EDAC}">
                  <c15:fullRef>
                    <c15:sqref>[6]National!$E$6:$E$22</c15:sqref>
                  </c15:fullRef>
                </c:ext>
              </c:extLst>
              <c:f>[6]National!$E$11</c:f>
              <c:numCache>
                <c:formatCode>General</c:formatCode>
                <c:ptCount val="1"/>
                <c:pt idx="0">
                  <c:v>17364469.523839332</c:v>
                </c:pt>
              </c:numCache>
            </c:numRef>
          </c:val>
          <c:extLst>
            <c:ext xmlns:c15="http://schemas.microsoft.com/office/drawing/2012/chart" uri="{02D57815-91ED-43cb-92C2-25804820EDAC}">
              <c15:categoryFilterExceptions>
                <c15:categoryFilterException>
                  <c15:sqref>[6]National!$E$6</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2-47B5-4801-AFA5-6324AF0E82A3}"/>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tx1">
                <a:lumMod val="65000"/>
                <a:lumOff val="3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0.20353869704937511</c:v>
              </c:pt>
            </c:numLit>
          </c:val>
          <c:extLst>
            <c:ext xmlns:c16="http://schemas.microsoft.com/office/drawing/2014/chart" uri="{C3380CC4-5D6E-409C-BE32-E72D297353CC}">
              <c16:uniqueId val="{00000000-C166-41CF-B951-7EA417594025}"/>
            </c:ext>
          </c:extLst>
        </c:ser>
        <c:ser>
          <c:idx val="1"/>
          <c:order val="1"/>
          <c:tx>
            <c:v>LNGO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0.50005590734415484</c:v>
              </c:pt>
            </c:numLit>
          </c:val>
          <c:extLst>
            <c:ext xmlns:c16="http://schemas.microsoft.com/office/drawing/2014/chart" uri="{C3380CC4-5D6E-409C-BE32-E72D297353CC}">
              <c16:uniqueId val="{00000001-C166-41CF-B951-7EA417594025}"/>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0.29640539560647017</c:v>
              </c:pt>
            </c:numLit>
          </c:val>
          <c:extLst>
            <c:ext xmlns:c16="http://schemas.microsoft.com/office/drawing/2014/chart" uri="{C3380CC4-5D6E-409C-BE32-E72D297353CC}">
              <c16:uniqueId val="{00000002-C166-41CF-B951-7EA417594025}"/>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Kachin/shan</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0"/>
              <c:pt idx="0">
                <c:v> before 2014</c:v>
              </c:pt>
              <c:pt idx="1">
                <c:v> 2014</c:v>
              </c:pt>
              <c:pt idx="2">
                <c:v> 2015</c:v>
              </c:pt>
              <c:pt idx="3">
                <c:v> 2016</c:v>
              </c:pt>
              <c:pt idx="4">
                <c:v> 2017</c:v>
              </c:pt>
              <c:pt idx="5">
                <c:v> 2018</c:v>
              </c:pt>
              <c:pt idx="6">
                <c:v> 2019</c:v>
              </c:pt>
              <c:pt idx="7">
                <c:v> 2020</c:v>
              </c:pt>
              <c:pt idx="8">
                <c:v> 2021</c:v>
              </c:pt>
              <c:pt idx="9">
                <c:v> 2022</c:v>
              </c:pt>
            </c:strLit>
          </c:cat>
          <c:val>
            <c:numLit>
              <c:formatCode>General</c:formatCode>
              <c:ptCount val="10"/>
              <c:pt idx="0">
                <c:v>5431372.7659449074</c:v>
              </c:pt>
              <c:pt idx="1">
                <c:v>4353706.9810160939</c:v>
              </c:pt>
              <c:pt idx="2">
                <c:v>4283214.5919899773</c:v>
              </c:pt>
              <c:pt idx="3">
                <c:v>2928740.2487938525</c:v>
              </c:pt>
              <c:pt idx="4">
                <c:v>3193730.5528003741</c:v>
              </c:pt>
              <c:pt idx="5">
                <c:v>5303397.3983148374</c:v>
              </c:pt>
              <c:pt idx="6">
                <c:v>6829328.7699964745</c:v>
              </c:pt>
              <c:pt idx="7">
                <c:v>4621866.9758789754</c:v>
              </c:pt>
              <c:pt idx="8">
                <c:v>3698428.0019058734</c:v>
              </c:pt>
              <c:pt idx="9">
                <c:v>2733733.3336034189</c:v>
              </c:pt>
            </c:numLit>
          </c:val>
          <c:smooth val="0"/>
          <c:extLst>
            <c:ext xmlns:c16="http://schemas.microsoft.com/office/drawing/2014/chart" uri="{C3380CC4-5D6E-409C-BE32-E72D297353CC}">
              <c16:uniqueId val="{00000000-D999-43BE-8AA1-41E9F964ACF3}"/>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[20221027_Myanmar_WASH_4W_2022_Q3_KachinShan_camp_Consolidate.xlsx]Analysis!PivotTable4</c:name>
    <c:fmtId val="29"/>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Analysis!$D$419:$D$420</c:f>
              <c:strCache>
                <c:ptCount val="1"/>
                <c:pt idx="0">
                  <c:v>2022_Q1</c:v>
                </c:pt>
              </c:strCache>
            </c:strRef>
          </c:tx>
          <c:spPr>
            <a:solidFill>
              <a:schemeClr val="accent4">
                <a:lumMod val="75000"/>
              </a:schemeClr>
            </a:solidFill>
            <a:ln>
              <a:noFill/>
            </a:ln>
            <a:effectLst/>
          </c:spPr>
          <c:invertIfNegative val="0"/>
          <c:cat>
            <c:strRef>
              <c:f>Analysis!$C$421:$C$424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Analysis!$D$421:$D$424</c:f>
              <c:numCache>
                <c:formatCode>0%</c:formatCode>
                <c:ptCount val="4"/>
                <c:pt idx="3">
                  <c:v>#N/A</c:v>
                </c:pt>
              </c:numCache>
            </c:numRef>
          </c:val>
          <c:extLst>
            <c:ext xmlns:c16="http://schemas.microsoft.com/office/drawing/2014/chart" uri="{C3380CC4-5D6E-409C-BE32-E72D297353CC}">
              <c16:uniqueId val="{00000000-2C74-4093-8B8F-ACE0C94E8006}"/>
            </c:ext>
          </c:extLst>
        </c:ser>
        <c:ser>
          <c:idx val="1"/>
          <c:order val="1"/>
          <c:tx>
            <c:strRef>
              <c:f>Analysis!$E$419:$E$420</c:f>
              <c:strCache>
                <c:ptCount val="1"/>
                <c:pt idx="0">
                  <c:v>2022_Q2</c:v>
                </c:pt>
              </c:strCache>
            </c:strRef>
          </c:tx>
          <c:spPr>
            <a:solidFill>
              <a:schemeClr val="accent4">
                <a:lumMod val="75000"/>
              </a:schemeClr>
            </a:solidFill>
            <a:ln>
              <a:noFill/>
            </a:ln>
            <a:effectLst/>
          </c:spPr>
          <c:invertIfNegative val="0"/>
          <c:cat>
            <c:strRef>
              <c:f>Analysis!$C$421:$C$424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Analysis!$E$421:$E$424</c:f>
              <c:numCache>
                <c:formatCode>0%</c:formatCode>
                <c:ptCount val="4"/>
                <c:pt idx="3">
                  <c:v>#N/A</c:v>
                </c:pt>
              </c:numCache>
            </c:numRef>
          </c:val>
          <c:extLst>
            <c:ext xmlns:c16="http://schemas.microsoft.com/office/drawing/2014/chart" uri="{C3380CC4-5D6E-409C-BE32-E72D297353CC}">
              <c16:uniqueId val="{00000001-2C74-4093-8B8F-ACE0C94E8006}"/>
            </c:ext>
          </c:extLst>
        </c:ser>
        <c:ser>
          <c:idx val="2"/>
          <c:order val="2"/>
          <c:tx>
            <c:strRef>
              <c:f>Analysis!$F$419:$F$420</c:f>
              <c:strCache>
                <c:ptCount val="1"/>
                <c:pt idx="0">
                  <c:v>2022_Q3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f>Analysis!$C$421:$C$424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Analysis!$F$421:$F$424</c:f>
              <c:numCache>
                <c:formatCode>0%</c:formatCode>
                <c:ptCount val="4"/>
                <c:pt idx="3">
                  <c:v>#N/A</c:v>
                </c:pt>
              </c:numCache>
            </c:numRef>
          </c:val>
          <c:extLst>
            <c:ext xmlns:c16="http://schemas.microsoft.com/office/drawing/2014/chart" uri="{C3380CC4-5D6E-409C-BE32-E72D297353CC}">
              <c16:uniqueId val="{00000000-40A2-4D63-8533-A4261BA26FD7}"/>
            </c:ext>
          </c:extLst>
        </c:ser>
        <c:dLbls>
          <c:showLegendKey val="0"/>
          <c:showVal val="0"/>
          <c:showCatName val="0"/>
          <c:showSerName val="0"/>
          <c:showPercent val="0"/>
          <c:showBubbleSize val="0"/>
        </c:dLbls>
        <c:gapWidth val="100"/>
        <c:axId val="1404068640"/>
        <c:axId val="1404074048"/>
      </c:barChart>
      <c:catAx>
        <c:axId val="14040686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74048"/>
        <c:crosses val="autoZero"/>
        <c:auto val="1"/>
        <c:lblAlgn val="ctr"/>
        <c:lblOffset val="100"/>
        <c:noMultiLvlLbl val="0"/>
      </c:catAx>
      <c:valAx>
        <c:axId val="140407404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68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[20221027_Myanmar_WASH_4W_2022_Q3_KachinShan_camp_Consolidate.xlsx]Analysis!PivotTable15</c:name>
    <c:fmtId val="3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Functioning Latrine Target and Reached</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40000"/>
              <a:lumOff val="60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75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071098231353871"/>
          <c:y val="0.10153843810944291"/>
          <c:w val="0.76905919657175037"/>
          <c:h val="0.752815262827086"/>
        </c:manualLayout>
      </c:layout>
      <c:barChart>
        <c:barDir val="bar"/>
        <c:grouping val="clustered"/>
        <c:varyColors val="0"/>
        <c:ser>
          <c:idx val="0"/>
          <c:order val="0"/>
          <c:tx>
            <c:strRef>
              <c:f>Analysis!$AJ$140</c:f>
              <c:strCache>
                <c:ptCount val="1"/>
                <c:pt idx="0">
                  <c:v>Reached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Analysis!$AJ$141:$AJ$148</c:f>
              <c:numCache>
                <c:formatCode>General</c:formatCode>
                <c:ptCount val="8"/>
                <c:pt idx="0">
                  <c:v>48</c:v>
                </c:pt>
                <c:pt idx="1">
                  <c:v>685</c:v>
                </c:pt>
                <c:pt idx="2">
                  <c:v>23</c:v>
                </c:pt>
                <c:pt idx="3">
                  <c:v>641</c:v>
                </c:pt>
                <c:pt idx="4">
                  <c:v>26</c:v>
                </c:pt>
                <c:pt idx="5">
                  <c:v>40</c:v>
                </c:pt>
                <c:pt idx="6">
                  <c:v>54</c:v>
                </c:pt>
                <c:pt idx="7">
                  <c:v>42</c:v>
                </c:pt>
              </c:numCache>
            </c:numRef>
          </c:val>
          <c:extLst>
            <c:ext xmlns:c16="http://schemas.microsoft.com/office/drawing/2014/chart" uri="{C3380CC4-5D6E-409C-BE32-E72D297353CC}">
              <c16:uniqueId val="{00000000-D2B9-47FA-91A9-3E63AAEE34A8}"/>
            </c:ext>
          </c:extLst>
        </c:ser>
        <c:ser>
          <c:idx val="1"/>
          <c:order val="1"/>
          <c:tx>
            <c:strRef>
              <c:f>Analysis!$AK$140</c:f>
              <c:strCache>
                <c:ptCount val="1"/>
                <c:pt idx="0">
                  <c:v>Target (20:1)</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Analysis!$AK$141:$AK$148</c:f>
              <c:numCache>
                <c:formatCode>General</c:formatCode>
                <c:ptCount val="8"/>
                <c:pt idx="0">
                  <c:v>20</c:v>
                </c:pt>
                <c:pt idx="1">
                  <c:v>473</c:v>
                </c:pt>
                <c:pt idx="2">
                  <c:v>5</c:v>
                </c:pt>
                <c:pt idx="3">
                  <c:v>257</c:v>
                </c:pt>
                <c:pt idx="4">
                  <c:v>14</c:v>
                </c:pt>
                <c:pt idx="5">
                  <c:v>47</c:v>
                </c:pt>
                <c:pt idx="6">
                  <c:v>49</c:v>
                </c:pt>
                <c:pt idx="7">
                  <c:v>32</c:v>
                </c:pt>
              </c:numCache>
            </c:numRef>
          </c:val>
          <c:extLst>
            <c:ext xmlns:c16="http://schemas.microsoft.com/office/drawing/2014/chart" uri="{C3380CC4-5D6E-409C-BE32-E72D297353CC}">
              <c16:uniqueId val="{00000001-D2B9-47FA-91A9-3E63AAEE34A8}"/>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394211835787555"/>
          <c:y val="0.2017504968066309"/>
          <c:w val="0.644631040917232"/>
          <c:h val="0.58889356005193771"/>
        </c:manualLayout>
      </c:layout>
      <c:barChart>
        <c:barDir val="bar"/>
        <c:grouping val="clustered"/>
        <c:varyColors val="0"/>
        <c:ser>
          <c:idx val="0"/>
          <c:order val="0"/>
          <c:tx>
            <c:strRef>
              <c:f>Analysis!$I$295:$I$296</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Analysis!$H$297:$H$299</c:f>
              <c:strCache>
                <c:ptCount val="3"/>
                <c:pt idx="0">
                  <c:v>Camp</c:v>
                </c:pt>
                <c:pt idx="1">
                  <c:v>Camp_not registered</c:v>
                </c:pt>
                <c:pt idx="2">
                  <c:v>Relocated</c:v>
                </c:pt>
              </c:strCache>
            </c:strRef>
          </c:cat>
          <c:val>
            <c:numRef>
              <c:f>Analysis!$I$297:$I$299</c:f>
              <c:numCache>
                <c:formatCode>General</c:formatCode>
                <c:ptCount val="3"/>
                <c:pt idx="0">
                  <c:v>35</c:v>
                </c:pt>
                <c:pt idx="1">
                  <c:v>1</c:v>
                </c:pt>
                <c:pt idx="2">
                  <c:v>2</c:v>
                </c:pt>
              </c:numCache>
            </c:numRef>
          </c:val>
          <c:extLst>
            <c:ext xmlns:c16="http://schemas.microsoft.com/office/drawing/2014/chart" uri="{C3380CC4-5D6E-409C-BE32-E72D297353CC}">
              <c16:uniqueId val="{00000001-8221-445C-B6AE-46D4F06A8E73}"/>
            </c:ext>
          </c:extLst>
        </c:ser>
        <c:ser>
          <c:idx val="1"/>
          <c:order val="1"/>
          <c:tx>
            <c:strRef>
              <c:f>Analysis!$J$295:$J$296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Analysis!$H$297:$H$299</c:f>
              <c:strCache>
                <c:ptCount val="3"/>
                <c:pt idx="0">
                  <c:v>Camp</c:v>
                </c:pt>
                <c:pt idx="1">
                  <c:v>Camp_not registered</c:v>
                </c:pt>
                <c:pt idx="2">
                  <c:v>Relocated</c:v>
                </c:pt>
              </c:strCache>
            </c:strRef>
          </c:cat>
          <c:val>
            <c:numRef>
              <c:f>Analysis!$J$297:$J$299</c:f>
              <c:numCache>
                <c:formatCode>General</c:formatCode>
                <c:ptCount val="3"/>
                <c:pt idx="0">
                  <c:v>3</c:v>
                </c:pt>
                <c:pt idx="2">
                  <c:v>2</c:v>
                </c:pt>
              </c:numCache>
            </c:numRef>
          </c:val>
          <c:extLst>
            <c:ext xmlns:c16="http://schemas.microsoft.com/office/drawing/2014/chart" uri="{C3380CC4-5D6E-409C-BE32-E72D297353CC}">
              <c16:uniqueId val="{00000002-8221-445C-B6AE-46D4F06A8E73}"/>
            </c:ext>
          </c:extLst>
        </c:ser>
        <c:dLbls>
          <c:dLblPos val="outEnd"/>
          <c:showLegendKey val="0"/>
          <c:showVal val="1"/>
          <c:showCatName val="0"/>
          <c:showSerName val="0"/>
          <c:showPercent val="0"/>
          <c:showBubbleSize val="0"/>
        </c:dLbls>
        <c:gapWidth val="100"/>
        <c:axId val="419844784"/>
        <c:axId val="419844392"/>
      </c:barChart>
      <c:catAx>
        <c:axId val="4198447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392"/>
        <c:crosses val="autoZero"/>
        <c:auto val="1"/>
        <c:lblAlgn val="ctr"/>
        <c:lblOffset val="100"/>
        <c:noMultiLvlLbl val="0"/>
      </c:catAx>
      <c:valAx>
        <c:axId val="419844392"/>
        <c:scaling>
          <c:orientation val="minMax"/>
          <c:max val="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784"/>
        <c:crosses val="autoZero"/>
        <c:crossBetween val="between"/>
      </c:valAx>
      <c:spPr>
        <a:noFill/>
        <a:ln>
          <a:noFill/>
        </a:ln>
        <a:effectLst/>
      </c:spPr>
    </c:plotArea>
    <c:legend>
      <c:legendPos val="b"/>
      <c:layout>
        <c:manualLayout>
          <c:xMode val="edge"/>
          <c:yMode val="edge"/>
          <c:x val="0.36769551533331063"/>
          <c:y val="0.8760478563984162"/>
          <c:w val="0.19328942711348737"/>
          <c:h val="0.115718407801454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53545055576207856"/>
        </c:manualLayout>
      </c:layout>
      <c:barChart>
        <c:barDir val="bar"/>
        <c:grouping val="clustered"/>
        <c:varyColors val="0"/>
        <c:ser>
          <c:idx val="0"/>
          <c:order val="0"/>
          <c:tx>
            <c:strRef>
              <c:f>Analysis!$C$378</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0ED-4ECC-9CB6-AC79A5F1B3C6}"/>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0ED-4ECC-9CB6-AC79A5F1B3C6}"/>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0ED-4ECC-9CB6-AC79A5F1B3C6}"/>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0FB9-44F9-B1CE-FCAACCF20A5F}"/>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71EB-42A1-BE67-B3DF1282DAEC}"/>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4AA9-4089-870D-F7928B8FC94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Analysis!$D$378:$I$378</c:f>
              <c:numCache>
                <c:formatCode>_(* #,##0_);_(* \(#,##0\);_(* "-"??_);_(@_)</c:formatCode>
                <c:ptCount val="6"/>
                <c:pt idx="0">
                  <c:v>25</c:v>
                </c:pt>
                <c:pt idx="1">
                  <c:v>54</c:v>
                </c:pt>
                <c:pt idx="2">
                  <c:v>11</c:v>
                </c:pt>
                <c:pt idx="3">
                  <c:v>6</c:v>
                </c:pt>
                <c:pt idx="4">
                  <c:v>0</c:v>
                </c:pt>
                <c:pt idx="5">
                  <c:v>0</c:v>
                </c:pt>
              </c:numCache>
            </c:numRef>
          </c:val>
          <c:extLs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115"/>
        <c:overlap val="-20"/>
        <c:axId val="354343880"/>
        <c:axId val="354343488"/>
      </c:barChart>
      <c:catAx>
        <c:axId val="354343880"/>
        <c:scaling>
          <c:orientation val="minMax"/>
        </c:scaling>
        <c:delete val="1"/>
        <c:axPos val="l"/>
        <c:numFmt formatCode="General" sourceLinked="1"/>
        <c:majorTickMark val="none"/>
        <c:minorTickMark val="none"/>
        <c:tickLblPos val="nextTo"/>
        <c:crossAx val="354343488"/>
        <c:crosses val="autoZero"/>
        <c:auto val="1"/>
        <c:lblAlgn val="ctr"/>
        <c:lblOffset val="100"/>
        <c:noMultiLvlLbl val="0"/>
      </c:catAx>
      <c:valAx>
        <c:axId val="354343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4343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[20221027_Myanmar_WASH_4W_2022_Q3_KachinShan_camp_Consolidate.xlsx]Analysis!S_water1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100">
              <a:effectLst/>
            </a:endParaRPr>
          </a:p>
        </c:rich>
      </c:tx>
      <c:layout>
        <c:manualLayout>
          <c:xMode val="edge"/>
          <c:yMode val="edge"/>
          <c:x val="0.17933756844221077"/>
          <c:y val="4.608056992597044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Analysis!$J$39</c:f>
              <c:numCache>
                <c:formatCode>_(* #,##0_);_(* \(#,##0\);_(* "-"??_);_(@_)</c:formatCode>
                <c:ptCount val="1"/>
                <c:pt idx="0">
                  <c:v>9816.3333333333339</c:v>
                </c:pt>
              </c:numCache>
            </c:numRef>
          </c:val>
          <c:extLst>
            <c:ext xmlns:c16="http://schemas.microsoft.com/office/drawing/2014/chart" uri="{C3380CC4-5D6E-409C-BE32-E72D297353CC}">
              <c16:uniqueId val="{00000000-CDE2-4454-BEB2-C490CEC2ECAB}"/>
            </c:ext>
          </c:extLst>
        </c:ser>
        <c:ser>
          <c:idx val="1"/>
          <c:order val="1"/>
          <c:tx>
            <c:strRef>
              <c:f>Analysis!$K$38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Analysis!$K$39</c:f>
              <c:numCache>
                <c:formatCode>_(* #,##0_);_(* \(#,##0\);_(* "-"??_);_(@_)</c:formatCode>
                <c:ptCount val="1"/>
                <c:pt idx="0">
                  <c:v>680.66666666666663</c:v>
                </c:pt>
              </c:numCache>
            </c:numRef>
          </c:val>
          <c:extLst>
            <c:ext xmlns:c16="http://schemas.microsoft.com/office/drawing/2014/chart" uri="{C3380CC4-5D6E-409C-BE32-E72D297353CC}">
              <c16:uniqueId val="{00000001-CDE2-4454-BEB2-C490CEC2ECAB}"/>
            </c:ext>
          </c:extLst>
        </c:ser>
        <c:dLbls>
          <c:dLblPos val="ctr"/>
          <c:showLegendKey val="0"/>
          <c:showVal val="1"/>
          <c:showCatName val="0"/>
          <c:showSerName val="0"/>
          <c:showPercent val="0"/>
          <c:showBubbleSize val="0"/>
        </c:dLbls>
        <c:gapWidth val="150"/>
        <c:overlap val="100"/>
        <c:axId val="419852232"/>
        <c:axId val="419843216"/>
      </c:barChart>
      <c:catAx>
        <c:axId val="4198522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3216"/>
        <c:crosses val="autoZero"/>
        <c:auto val="1"/>
        <c:lblAlgn val="ctr"/>
        <c:lblOffset val="100"/>
        <c:noMultiLvlLbl val="0"/>
      </c:catAx>
      <c:valAx>
        <c:axId val="41984321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as of Q3-2022</a:t>
            </a:r>
            <a:endParaRPr lang="en-US" sz="1400">
              <a:effectLst/>
            </a:endParaRPr>
          </a:p>
        </c:rich>
      </c:tx>
      <c:layout>
        <c:manualLayout>
          <c:xMode val="edge"/>
          <c:yMode val="edge"/>
          <c:x val="0.15451943507061616"/>
          <c:y val="1.73723264019505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7120047494063241E-2"/>
          <c:y val="0.27290688996332735"/>
          <c:w val="0.43843738282714667"/>
          <c:h val="0.49843401830157863"/>
        </c:manualLayout>
      </c:layout>
      <c:pieChart>
        <c:varyColors val="1"/>
        <c:ser>
          <c:idx val="1"/>
          <c:order val="1"/>
          <c:tx>
            <c:strRef>
              <c:f>Analysis!$H$54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69B2-430A-97C5-D037BE72A184}"/>
              </c:ext>
            </c:extLst>
          </c:dPt>
          <c:dLbls>
            <c:dLbl>
              <c:idx val="0"/>
              <c:layout>
                <c:manualLayout>
                  <c:x val="-3.0072759740876535E-2"/>
                  <c:y val="0.1127072848146984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extLst xmlns:c15="http://schemas.microsoft.com/office/drawing/2012/chart"/>
            </c:strRef>
          </c:cat>
          <c:val>
            <c:numRef>
              <c:f>Analysis!$J$54:$K$54</c:f>
              <c:numCache>
                <c:formatCode>General</c:formatCode>
                <c:ptCount val="2"/>
                <c:pt idx="0">
                  <c:v>2</c:v>
                </c:pt>
                <c:pt idx="1">
                  <c:v>36</c:v>
                </c:pt>
              </c:numCache>
              <c:extLst xmlns:c15="http://schemas.microsoft.com/office/drawing/2012/chart"/>
            </c:numRef>
          </c:val>
          <c:extLst>
            <c:ext xmlns:c16="http://schemas.microsoft.com/office/drawing/2014/chart" uri="{C3380CC4-5D6E-409C-BE32-E72D297353CC}">
              <c16:uniqueId val="{0000000E-69B2-430A-97C5-D037BE72A18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Analysis!$H$53</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69B2-430A-97C5-D037BE72A184}"/>
                    </c:ext>
                  </c:extLst>
                </c:dPt>
                <c:dLbls>
                  <c:dLbl>
                    <c:idx val="0"/>
                    <c:layout>
                      <c:manualLayout>
                        <c:x val="-4.35631316958369E-2"/>
                        <c:y val="0.1242643321605520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uri="{CE6537A1-D6FC-4f65-9D91-7224C49458BB}"/>
                      <c:ext xmlns:c16="http://schemas.microsoft.com/office/drawing/2014/chart" uri="{C3380CC4-5D6E-409C-BE32-E72D297353CC}">
                        <c16:uniqueId val="{00000006-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Analysis!$J$53:$K$53</c15:sqref>
                        </c15:formulaRef>
                      </c:ext>
                    </c:extLst>
                    <c:numCache>
                      <c:formatCode>General</c:formatCode>
                      <c:ptCount val="2"/>
                      <c:pt idx="0">
                        <c:v>37</c:v>
                      </c:pt>
                      <c:pt idx="1">
                        <c:v>91</c:v>
                      </c:pt>
                    </c:numCache>
                  </c:numRef>
                </c:val>
                <c:extLst>
                  <c:ext xmlns:c16="http://schemas.microsoft.com/office/drawing/2014/chart" uri="{C3380CC4-5D6E-409C-BE32-E72D297353CC}">
                    <c16:uniqueId val="{00000009-69B2-430A-97C5-D037BE72A18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69B2-430A-97C5-D037BE72A184}"/>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69B2-430A-97C5-D037BE72A184}"/>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69B2-430A-97C5-D037BE72A184}"/>
                  </c:ext>
                </c:extLst>
              </c15:ser>
            </c15:filteredPieSeries>
          </c:ext>
        </c:extLst>
      </c:pieChart>
      <c:spPr>
        <a:noFill/>
        <a:ln>
          <a:noFill/>
        </a:ln>
        <a:effectLst/>
      </c:spPr>
    </c:plotArea>
    <c:legend>
      <c:legendPos val="b"/>
      <c:layout>
        <c:manualLayout>
          <c:xMode val="edge"/>
          <c:yMode val="edge"/>
          <c:x val="1.776621672290964E-2"/>
          <c:y val="0.80769595551525009"/>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Analysis!$L$66</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Analysis!$K$67:$K$69</c:f>
              <c:strCache>
                <c:ptCount val="3"/>
                <c:pt idx="0">
                  <c:v>2022_Q1</c:v>
                </c:pt>
                <c:pt idx="1">
                  <c:v>2022_Q2</c:v>
                </c:pt>
                <c:pt idx="2">
                  <c:v>2022_Q3</c:v>
                </c:pt>
              </c:strCache>
            </c:strRef>
          </c:cat>
          <c:val>
            <c:numRef>
              <c:f>Analysis!$L$67:$L$69</c:f>
              <c:numCache>
                <c:formatCode>General</c:formatCode>
                <c:ptCount val="3"/>
                <c:pt idx="0">
                  <c:v>0</c:v>
                </c:pt>
                <c:pt idx="1">
                  <c:v>0</c:v>
                </c:pt>
                <c:pt idx="2">
                  <c:v>8</c:v>
                </c:pt>
              </c:numCache>
            </c:numRef>
          </c:val>
          <c:extLst>
            <c:ext xmlns:c16="http://schemas.microsoft.com/office/drawing/2014/chart" uri="{C3380CC4-5D6E-409C-BE32-E72D297353CC}">
              <c16:uniqueId val="{00000000-38D6-4369-BEB9-91BE6B261982}"/>
            </c:ext>
          </c:extLst>
        </c:ser>
        <c:ser>
          <c:idx val="1"/>
          <c:order val="1"/>
          <c:tx>
            <c:strRef>
              <c:f>Analysis!$M$66</c:f>
              <c:strCache>
                <c:ptCount val="1"/>
                <c:pt idx="0">
                  <c:v># Passed</c:v>
                </c:pt>
              </c:strCache>
            </c:strRef>
          </c:tx>
          <c:spPr>
            <a:solidFill>
              <a:schemeClr val="accent1">
                <a:lumMod val="40000"/>
                <a:lumOff val="60000"/>
              </a:schemeClr>
            </a:solidFill>
            <a:ln>
              <a:noFill/>
            </a:ln>
            <a:effectLst/>
          </c:spPr>
          <c:invertIfNegative val="0"/>
          <c:cat>
            <c:strRef>
              <c:f>Analysis!$K$67:$K$69</c:f>
              <c:strCache>
                <c:ptCount val="3"/>
                <c:pt idx="0">
                  <c:v>2022_Q1</c:v>
                </c:pt>
                <c:pt idx="1">
                  <c:v>2022_Q2</c:v>
                </c:pt>
                <c:pt idx="2">
                  <c:v>2022_Q3</c:v>
                </c:pt>
              </c:strCache>
            </c:strRef>
          </c:cat>
          <c:val>
            <c:numRef>
              <c:f>Analysis!$M$67:$M$69</c:f>
              <c:numCache>
                <c:formatCode>General</c:formatCode>
                <c:ptCount val="3"/>
                <c:pt idx="0">
                  <c:v>0</c:v>
                </c:pt>
                <c:pt idx="1">
                  <c:v>0</c:v>
                </c:pt>
                <c:pt idx="2">
                  <c:v>0</c:v>
                </c:pt>
              </c:numCache>
            </c:numRef>
          </c:val>
          <c:extLst>
            <c:ext xmlns:c16="http://schemas.microsoft.com/office/drawing/2014/chart" uri="{C3380CC4-5D6E-409C-BE32-E72D297353CC}">
              <c16:uniqueId val="{00000001-38D6-4369-BEB9-91BE6B261982}"/>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3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Mon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7-F35F-4C2B-9D43-B58A16CDA4E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F35F-4C2B-9D43-B58A16CDA4EA}"/>
              </c:ext>
            </c:extLst>
          </c:dPt>
          <c:dPt>
            <c:idx val="5"/>
            <c:invertIfNegative val="0"/>
            <c:bubble3D val="0"/>
            <c:spPr>
              <a:solidFill>
                <a:srgbClr val="0070C0"/>
              </a:solidFill>
              <a:ln>
                <a:noFill/>
              </a:ln>
              <a:effectLst/>
            </c:spPr>
            <c:extLst>
              <c:ext xmlns:c16="http://schemas.microsoft.com/office/drawing/2014/chart" uri="{C3380CC4-5D6E-409C-BE32-E72D297353CC}">
                <c16:uniqueId val="{00000003-F35F-4C2B-9D43-B58A16CDA4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HRP!$C$231:$C$236</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HRP!$E$231:$E$236</c:f>
              <c:numCache>
                <c:formatCode>_(* #,##0_);_(* \(#,##0\);_(* "-"??_);_(@_)</c:formatCode>
                <c:ptCount val="6"/>
                <c:pt idx="0">
                  <c:v>0</c:v>
                </c:pt>
                <c:pt idx="1">
                  <c:v>0</c:v>
                </c:pt>
                <c:pt idx="2">
                  <c:v>0</c:v>
                </c:pt>
                <c:pt idx="3">
                  <c:v>4340</c:v>
                </c:pt>
                <c:pt idx="4">
                  <c:v>150</c:v>
                </c:pt>
                <c:pt idx="5">
                  <c:v>150</c:v>
                </c:pt>
              </c:numCache>
            </c:numRef>
          </c:val>
          <c:extLst>
            <c:ext xmlns:c16="http://schemas.microsoft.com/office/drawing/2014/chart" uri="{C3380CC4-5D6E-409C-BE32-E72D297353CC}">
              <c16:uniqueId val="{00000000-F35F-4C2B-9D43-B58A16CDA4EA}"/>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B-F35F-4C2B-9D43-B58A16CDA4E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F35F-4C2B-9D43-B58A16CDA4EA}"/>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9-F35F-4C2B-9D43-B58A16CDA4E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F35F-4C2B-9D43-B58A16CDA4E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6-F35F-4C2B-9D43-B58A16CDA4E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F35F-4C2B-9D43-B58A16CDA4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HRP!$C$231:$C$236</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HRP!$F$231:$F$236</c:f>
              <c:numCache>
                <c:formatCode>_(* #,##0_);_(* \(#,##0\);_(* "-"??_);_(@_)</c:formatCode>
                <c:ptCount val="6"/>
                <c:pt idx="0">
                  <c:v>32.85</c:v>
                </c:pt>
                <c:pt idx="1">
                  <c:v>54.75</c:v>
                </c:pt>
                <c:pt idx="2">
                  <c:v>1157.058705343994</c:v>
                </c:pt>
                <c:pt idx="3">
                  <c:v>6902.0870534399401</c:v>
                </c:pt>
                <c:pt idx="4">
                  <c:v>2974.4174106879882</c:v>
                </c:pt>
                <c:pt idx="5">
                  <c:v>9062.6696427519528</c:v>
                </c:pt>
              </c:numCache>
            </c:numRef>
          </c:val>
          <c:extLst>
            <c:ext xmlns:c16="http://schemas.microsoft.com/office/drawing/2014/chart" uri="{C3380CC4-5D6E-409C-BE32-E72D297353CC}">
              <c16:uniqueId val="{00000001-F35F-4C2B-9D43-B58A16CDA4EA}"/>
            </c:ext>
          </c:extLst>
        </c:ser>
        <c:dLbls>
          <c:dLblPos val="ctr"/>
          <c:showLegendKey val="0"/>
          <c:showVal val="1"/>
          <c:showCatName val="0"/>
          <c:showSerName val="0"/>
          <c:showPercent val="0"/>
          <c:showBubbleSize val="0"/>
        </c:dLbls>
        <c:gapWidth val="50"/>
        <c:overlap val="100"/>
        <c:axId val="1837750911"/>
        <c:axId val="1837757983"/>
      </c:barChart>
      <c:catAx>
        <c:axId val="1837750911"/>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837757983"/>
        <c:crosses val="autoZero"/>
        <c:auto val="1"/>
        <c:lblAlgn val="ctr"/>
        <c:lblOffset val="100"/>
        <c:noMultiLvlLbl val="0"/>
      </c:catAx>
      <c:valAx>
        <c:axId val="183775798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37750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Q3-2022</a:t>
            </a:r>
            <a:endParaRPr lang="en-US" sz="1400">
              <a:effectLst/>
            </a:endParaRPr>
          </a:p>
        </c:rich>
      </c:tx>
      <c:layout>
        <c:manualLayout>
          <c:xMode val="edge"/>
          <c:yMode val="edge"/>
          <c:x val="0.1569508778561079"/>
          <c:y val="7.483163242886566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0377621716204387E-3"/>
          <c:y val="0.25843402772254831"/>
          <c:w val="0.43066550802771281"/>
          <c:h val="0.51502577670323313"/>
        </c:manualLayout>
      </c:layout>
      <c:pieChart>
        <c:varyColors val="1"/>
        <c:ser>
          <c:idx val="1"/>
          <c:order val="1"/>
          <c:tx>
            <c:strRef>
              <c:f>Analysis!$V$54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1-C683-47EA-90EF-0BAE90DEBD5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C683-47EA-90EF-0BAE90DEBD5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683-47EA-90EF-0BAE90DEBD5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extLst xmlns:c15="http://schemas.microsoft.com/office/drawing/2012/chart"/>
            </c:strRef>
          </c:cat>
          <c:val>
            <c:numRef>
              <c:f>Analysis!$X$54:$Y$54</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4-C683-47EA-90EF-0BAE90DEBD59}"/>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Analysis!$V$53</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Analysis!$X$53:$Y$53</c15:sqref>
                        </c15:formulaRef>
                      </c:ext>
                    </c:extLst>
                    <c:numCache>
                      <c:formatCode>General</c:formatCode>
                      <c:ptCount val="2"/>
                      <c:pt idx="0">
                        <c:v>29</c:v>
                      </c:pt>
                      <c:pt idx="1">
                        <c:v>99</c:v>
                      </c:pt>
                    </c:numCache>
                  </c:numRef>
                </c:val>
                <c:extLst>
                  <c:ext xmlns:c16="http://schemas.microsoft.com/office/drawing/2014/chart" uri="{C3380CC4-5D6E-409C-BE32-E72D297353CC}">
                    <c16:uniqueId val="{00000009-C683-47EA-90EF-0BAE90DEBD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C683-47EA-90EF-0BAE90DEBD59}"/>
                  </c:ext>
                </c:extLst>
              </c15:ser>
            </c15:filteredPieSeries>
          </c:ext>
        </c:extLst>
      </c:pieChart>
      <c:spPr>
        <a:noFill/>
        <a:ln>
          <a:noFill/>
        </a:ln>
        <a:effectLst/>
      </c:spPr>
    </c:plotArea>
    <c:legend>
      <c:legendPos val="b"/>
      <c:layout>
        <c:manualLayout>
          <c:xMode val="edge"/>
          <c:yMode val="edge"/>
          <c:x val="4.353615426450072E-2"/>
          <c:y val="0.80423384780699214"/>
          <c:w val="0.37238715093045804"/>
          <c:h val="7.81858278747284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6726659167604"/>
          <c:y val="3.9506262249521334E-2"/>
          <c:w val="0.78332733408323962"/>
          <c:h val="0.60489814214225379"/>
        </c:manualLayout>
      </c:layout>
      <c:barChart>
        <c:barDir val="col"/>
        <c:grouping val="stacked"/>
        <c:varyColors val="0"/>
        <c:ser>
          <c:idx val="0"/>
          <c:order val="0"/>
          <c:tx>
            <c:strRef>
              <c:f>Analysis!$Y$63</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val>
            <c:numRef>
              <c:f>Analysis!$Y$64:$Y$66</c:f>
              <c:numCache>
                <c:formatCode>General</c:formatCode>
                <c:ptCount val="3"/>
                <c:pt idx="0">
                  <c:v>0</c:v>
                </c:pt>
                <c:pt idx="1">
                  <c:v>0</c:v>
                </c:pt>
                <c:pt idx="2">
                  <c:v>0</c:v>
                </c:pt>
              </c:numCache>
            </c:numRef>
          </c:val>
          <c:extLst>
            <c:ext xmlns:c16="http://schemas.microsoft.com/office/drawing/2014/chart" uri="{C3380CC4-5D6E-409C-BE32-E72D297353CC}">
              <c16:uniqueId val="{00000000-16BA-41CC-B04A-6600D6A5C684}"/>
            </c:ext>
          </c:extLst>
        </c:ser>
        <c:ser>
          <c:idx val="1"/>
          <c:order val="1"/>
          <c:tx>
            <c:strRef>
              <c:f>Analysis!$Z$63</c:f>
              <c:strCache>
                <c:ptCount val="1"/>
                <c:pt idx="0">
                  <c:v> # Tested</c:v>
                </c:pt>
              </c:strCache>
            </c:strRef>
          </c:tx>
          <c:spPr>
            <a:solidFill>
              <a:srgbClr val="0070C0"/>
            </a:solidFill>
            <a:ln>
              <a:noFill/>
            </a:ln>
            <a:effectLst/>
          </c:spPr>
          <c:invertIfNegative val="0"/>
          <c:val>
            <c:numRef>
              <c:f>Analysis!$Z$64:$Z$66</c:f>
              <c:numCache>
                <c:formatCode>General</c:formatCode>
                <c:ptCount val="3"/>
                <c:pt idx="0">
                  <c:v>0</c:v>
                </c:pt>
                <c:pt idx="1">
                  <c:v>0</c:v>
                </c:pt>
                <c:pt idx="2">
                  <c:v>0</c:v>
                </c:pt>
              </c:numCache>
            </c:numRef>
          </c:val>
          <c:extLst>
            <c:ext xmlns:c16="http://schemas.microsoft.com/office/drawing/2014/chart" uri="{C3380CC4-5D6E-409C-BE32-E72D297353CC}">
              <c16:uniqueId val="{00000001-16BA-41CC-B04A-6600D6A5C684}"/>
            </c:ext>
          </c:extLst>
        </c:ser>
        <c:ser>
          <c:idx val="2"/>
          <c:order val="2"/>
          <c:tx>
            <c:strRef>
              <c:f>Analysis!$AA$63</c:f>
              <c:strCache>
                <c:ptCount val="1"/>
                <c:pt idx="0">
                  <c:v> # Household received remediation action</c:v>
                </c:pt>
              </c:strCache>
            </c:strRef>
          </c:tx>
          <c:spPr>
            <a:solidFill>
              <a:schemeClr val="accent1">
                <a:lumMod val="40000"/>
                <a:lumOff val="60000"/>
              </a:schemeClr>
            </a:solidFill>
            <a:ln>
              <a:noFill/>
            </a:ln>
            <a:effectLst/>
          </c:spPr>
          <c:invertIfNegative val="0"/>
          <c:val>
            <c:numRef>
              <c:f>Analysis!$AA$64:$AA$66</c:f>
              <c:numCache>
                <c:formatCode>General</c:formatCode>
                <c:ptCount val="3"/>
                <c:pt idx="0">
                  <c:v>0</c:v>
                </c:pt>
                <c:pt idx="1">
                  <c:v>0</c:v>
                </c:pt>
                <c:pt idx="2">
                  <c:v>0</c:v>
                </c:pt>
              </c:numCache>
            </c:numRef>
          </c:val>
          <c:extLst>
            <c:ext xmlns:c16="http://schemas.microsoft.com/office/drawing/2014/chart" uri="{C3380CC4-5D6E-409C-BE32-E72D297353CC}">
              <c16:uniqueId val="{00000001-9F6C-49FE-95A3-3A4CE8A2CEFD}"/>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ayout>
        <c:manualLayout>
          <c:xMode val="edge"/>
          <c:yMode val="edge"/>
          <c:x val="4.2167153382406029E-2"/>
          <c:y val="0.69930302997007754"/>
          <c:w val="0.92773733199662345"/>
          <c:h val="0.294022884224284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u="none" strike="noStrike" baseline="0">
                <a:effectLst/>
              </a:rPr>
              <a:t>Constructed surface water drainage system</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29036078721313535"/>
          <c:w val="0.45299388058807238"/>
          <c:h val="0.63134309292738622"/>
        </c:manualLayout>
      </c:layout>
      <c:pieChart>
        <c:varyColors val="1"/>
        <c:ser>
          <c:idx val="2"/>
          <c:order val="2"/>
          <c:tx>
            <c:strRef>
              <c:f>Analysis!$B$162</c:f>
              <c:strCache>
                <c:ptCount val="1"/>
                <c:pt idx="0">
                  <c:v>Shan (North)</c:v>
                </c:pt>
              </c:strCache>
              <c:extLst xmlns:c15="http://schemas.microsoft.com/office/drawing/2012/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8667-40EB-A08A-ADA6B6C85ECE}"/>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8667-40EB-A08A-ADA6B6C85ECE}"/>
                </c:ext>
              </c:extLst>
            </c:dLbl>
            <c:dLbl>
              <c:idx val="1"/>
              <c:layout>
                <c:manualLayout>
                  <c:x val="9.8610425988626141E-2"/>
                  <c:y val="-9.543127109572097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67-40EB-A08A-ADA6B6C85ECE}"/>
                </c:ext>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67-40EB-A08A-ADA6B6C85EC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extLst xmlns:c15="http://schemas.microsoft.com/office/drawing/2012/chart"/>
            </c:strRef>
          </c:cat>
          <c:val>
            <c:numRef>
              <c:f>Analysis!$C$162:$F$162</c:f>
              <c:numCache>
                <c:formatCode>General</c:formatCode>
                <c:ptCount val="4"/>
                <c:pt idx="0">
                  <c:v>14</c:v>
                </c:pt>
                <c:pt idx="1">
                  <c:v>14</c:v>
                </c:pt>
                <c:pt idx="2">
                  <c:v>4</c:v>
                </c:pt>
                <c:pt idx="3">
                  <c:v>6</c:v>
                </c:pt>
              </c:numCache>
              <c:extLst xmlns:c15="http://schemas.microsoft.com/office/drawing/2012/chart"/>
            </c:numRef>
          </c:val>
          <c:extLs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Analysis!$B$160</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Analysis!$C$160:$F$160</c15:sqref>
                        </c15:formulaRef>
                      </c:ext>
                    </c:extLst>
                    <c:numCache>
                      <c:formatCode>General</c:formatCode>
                      <c:ptCount val="4"/>
                      <c:pt idx="0">
                        <c:v>103</c:v>
                      </c:pt>
                      <c:pt idx="1">
                        <c:v>9</c:v>
                      </c:pt>
                      <c:pt idx="2">
                        <c:v>9</c:v>
                      </c:pt>
                      <c:pt idx="3">
                        <c:v>7</c:v>
                      </c:pt>
                    </c:numCache>
                  </c:numRef>
                </c:val>
                <c:extLs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Analysis!$B$161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8667-40EB-A08A-ADA6B6C85ECE}"/>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8667-40EB-A08A-ADA6B6C85EC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Analysis!$C$161:$F$161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744929049610484"/>
          <c:y val="0.27163900779868383"/>
          <c:w val="0.4991109785749398"/>
          <c:h val="0.66523763897072008"/>
        </c:manualLayout>
      </c:layout>
      <c:pieChart>
        <c:varyColors val="1"/>
        <c:ser>
          <c:idx val="2"/>
          <c:order val="2"/>
          <c:tx>
            <c:strRef>
              <c:f>Analysis!$B$178</c:f>
              <c:strCache>
                <c:ptCount val="1"/>
                <c:pt idx="0">
                  <c:v>Shan (North)</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CDAF-45DF-AD5D-165F6FDC16B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DAF-45DF-AD5D-165F6FDC16B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CDAF-45DF-AD5D-165F6FDC16B2}"/>
              </c:ext>
            </c:extLst>
          </c:dPt>
          <c:dLbls>
            <c:dLbl>
              <c:idx val="0"/>
              <c:layout>
                <c:manualLayout>
                  <c:x val="-0.1487697342631141"/>
                  <c:y val="0.126987299453095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CDAF-45DF-AD5D-165F6FDC16B2}"/>
                </c:ext>
              </c:extLst>
            </c:dLbl>
            <c:dLbl>
              <c:idx val="2"/>
              <c:layout>
                <c:manualLayout>
                  <c:x val="0.15499268393549651"/>
                  <c:y val="-7.316358091184486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F-45DF-AD5D-165F6FDC16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ext>
              </c:extLst>
              <c:f>Analysis!$C$175:$E$175</c:f>
              <c:strCache>
                <c:ptCount val="3"/>
                <c:pt idx="0">
                  <c:v>NA</c:v>
                </c:pt>
                <c:pt idx="1">
                  <c:v>No</c:v>
                </c:pt>
                <c:pt idx="2">
                  <c:v>Yes</c:v>
                </c:pt>
              </c:strCache>
            </c:strRef>
          </c:cat>
          <c:val>
            <c:numRef>
              <c:extLst>
                <c:ext xmlns:c15="http://schemas.microsoft.com/office/drawing/2012/chart" uri="{02D57815-91ED-43cb-92C2-25804820EDAC}">
                  <c15:fullRef>
                    <c15:sqref>Analysis!$C$178:$F$178</c15:sqref>
                  </c15:fullRef>
                </c:ext>
              </c:extLst>
              <c:f>Analysis!$C$178:$E$178</c:f>
              <c:numCache>
                <c:formatCode>General</c:formatCode>
                <c:ptCount val="3"/>
                <c:pt idx="0">
                  <c:v>14</c:v>
                </c:pt>
                <c:pt idx="1">
                  <c:v>6</c:v>
                </c:pt>
                <c:pt idx="2">
                  <c:v>18</c:v>
                </c:pt>
              </c:numCache>
            </c:numRef>
          </c:val>
          <c:extLst>
            <c:ext xmlns:c15="http://schemas.microsoft.com/office/drawing/2012/chart" uri="{02D57815-91ED-43cb-92C2-25804820EDAC}">
              <c15:categoryFilterExceptions>
                <c15:categoryFilterException>
                  <c15:sqref>Analysis!$F$178</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8.0617375658231419E-2"/>
                        <c:y val="6.3452901720618252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17-9434-48C4-8CD2-3948E0F05274}"/>
                      </c:ext>
                    </c:extLst>
                  </c15:dLbl>
                </c15:categoryFilterException>
              </c15:categoryFilterExceptions>
            </c:ex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Analysis!$B$176</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7D04-4B5A-8D19-1128D053B922}"/>
                      </c:ext>
                    </c:extLst>
                  </c:dLbl>
                  <c:dLbl>
                    <c:idx val="2"/>
                    <c:layout>
                      <c:manualLayout>
                        <c:x val="4.3363541821423268E-2"/>
                        <c:y val="4.3223972003499561E-2"/>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uri="{02D57815-91ED-43cb-92C2-25804820EDAC}">
                        <c15:fullRef>
                          <c15:sqref>Analysis!$C$176:$F$176</c15:sqref>
                        </c15:fullRef>
                        <c15:formulaRef>
                          <c15:sqref>Analysis!$C$176:$E$176</c15:sqref>
                        </c15:formulaRef>
                      </c:ext>
                    </c:extLst>
                    <c:numCache>
                      <c:formatCode>General</c:formatCode>
                      <c:ptCount val="3"/>
                      <c:pt idx="0">
                        <c:v>8</c:v>
                      </c:pt>
                      <c:pt idx="1">
                        <c:v>6</c:v>
                      </c:pt>
                      <c:pt idx="2">
                        <c:v>114</c:v>
                      </c:pt>
                    </c:numCache>
                  </c:numRef>
                </c:val>
                <c:extLst>
                  <c:ext uri="{02D57815-91ED-43cb-92C2-25804820EDAC}">
                    <c15:categoryFilterExceptions>
                      <c15:categoryFilterException>
                        <c15:sqref>Analysis!$F$176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Analysis!$B$177</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CDAF-45DF-AD5D-165F6FDC16B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Analysis!$C$177:$F$177</c15:sqref>
                        </c15:fullRef>
                        <c15:formulaRef>
                          <c15:sqref>Analysis!$C$177:$E$177</c15:sqref>
                        </c15:formulaRef>
                      </c:ext>
                    </c:extLst>
                    <c:numCache>
                      <c:formatCode>General</c:formatCode>
                      <c:ptCount val="3"/>
                    </c:numCache>
                  </c:numRef>
                </c:val>
                <c:extLst xmlns:c15="http://schemas.microsoft.com/office/drawing/2012/chart">
                  <c:ext xmlns:c15="http://schemas.microsoft.com/office/drawing/2012/chart" uri="{02D57815-91ED-43cb-92C2-25804820EDAC}">
                    <c15:categoryFilterExceptions>
                      <c15:categoryFilterException>
                        <c15:sqref>Analysis!$F$177</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68969607035906555"/>
          <c:y val="0.40394787937440657"/>
          <c:w val="0.23775258912011474"/>
          <c:h val="0.37659488888444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70895869093266"/>
          <c:y val="0.22122744190961499"/>
          <c:w val="0.83332829080464643"/>
          <c:h val="0.37842313517829257"/>
        </c:manualLayout>
      </c:layout>
      <c:barChart>
        <c:barDir val="col"/>
        <c:grouping val="clustered"/>
        <c:varyColors val="0"/>
        <c:ser>
          <c:idx val="0"/>
          <c:order val="0"/>
          <c:tx>
            <c:strRef>
              <c:f>Analysis!$J$135</c:f>
              <c:strCache>
                <c:ptCount val="1"/>
                <c:pt idx="0">
                  <c:v> # Operation &amp; maintenance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Analysis!$K$135:$L$135</c15:sqref>
                  </c15:fullRef>
                </c:ext>
              </c:extLst>
              <c:f>Analysis!$K$135</c:f>
              <c:numCache>
                <c:formatCode>General</c:formatCode>
                <c:ptCount val="1"/>
                <c:pt idx="0" formatCode="_(* #,##0_);_(* \(#,##0\);_(* &quot;-&quot;??_);_(@_)">
                  <c:v>0</c:v>
                </c:pt>
              </c:numCache>
            </c:numRef>
          </c:val>
          <c:extLst>
            <c:ext xmlns:c16="http://schemas.microsoft.com/office/drawing/2014/chart" uri="{C3380CC4-5D6E-409C-BE32-E72D297353CC}">
              <c16:uniqueId val="{00000000-014A-4722-B456-E8907B7553F3}"/>
            </c:ext>
          </c:extLst>
        </c:ser>
        <c:ser>
          <c:idx val="1"/>
          <c:order val="1"/>
          <c:tx>
            <c:strRef>
              <c:f>Analysis!$J$136</c:f>
              <c:strCache>
                <c:ptCount val="1"/>
                <c:pt idx="0">
                  <c:v> # latrines desludged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General</c:formatCode>
                <c:ptCount val="1"/>
                <c:pt idx="0" formatCode="_(* #,##0_);_(* \(#,##0\);_(* &quot;-&quot;??_);_(@_)">
                  <c:v>20</c:v>
                </c:pt>
              </c:numCache>
            </c:numRef>
          </c:val>
          <c:extLs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00"/>
        <c:overlap val="-24"/>
        <c:axId val="419853408"/>
        <c:axId val="354342312"/>
      </c:barChart>
      <c:catAx>
        <c:axId val="419853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54342312"/>
        <c:crosses val="autoZero"/>
        <c:auto val="1"/>
        <c:lblAlgn val="ctr"/>
        <c:lblOffset val="100"/>
        <c:noMultiLvlLbl val="0"/>
      </c:catAx>
      <c:valAx>
        <c:axId val="3543423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4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egendEntry>
        <c:idx val="1"/>
        <c:txPr>
          <a:bodyPr rot="0" spcFirstLastPara="1" vertOverflow="ellipsis" vert="horz" wrap="square" anchor="ctr" anchorCtr="1"/>
          <a:lstStyle/>
          <a:p>
            <a:pPr>
              <a:defRPr sz="1300" b="0" i="0" u="none" strike="noStrike" kern="1200" baseline="0">
                <a:solidFill>
                  <a:schemeClr val="tx2"/>
                </a:solidFill>
                <a:latin typeface="+mn-lt"/>
                <a:ea typeface="+mn-ea"/>
                <a:cs typeface="+mn-cs"/>
              </a:defRPr>
            </a:pPr>
            <a:endParaRPr lang="en-US"/>
          </a:p>
        </c:txPr>
      </c:legendEntry>
      <c:layout>
        <c:manualLayout>
          <c:xMode val="edge"/>
          <c:yMode val="edge"/>
          <c:x val="1.4645626404542575E-2"/>
          <c:y val="0.76187767849804511"/>
          <c:w val="0.94929108126190109"/>
          <c:h val="0.22619309842783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en-US" sz="1100" b="1" i="0" baseline="0">
                <a:effectLst/>
              </a:rPr>
              <a:t>Latrine Functionality</a:t>
            </a:r>
            <a:endParaRPr lang="en-US" sz="1100">
              <a:effectLst/>
            </a:endParaRPr>
          </a:p>
        </c:rich>
      </c:tx>
      <c:layout>
        <c:manualLayout>
          <c:xMode val="edge"/>
          <c:yMode val="edge"/>
          <c:x val="0.17970594768929515"/>
          <c:y val="9.0395512396641269E-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4019842771693967"/>
          <c:y val="0.13784319154524366"/>
          <c:w val="0.52141268933628426"/>
          <c:h val="0.72172987116148257"/>
        </c:manualLayout>
      </c:layout>
      <c:pieChart>
        <c:varyColors val="1"/>
        <c:ser>
          <c:idx val="0"/>
          <c:order val="0"/>
          <c:explosion val="1"/>
          <c:dPt>
            <c:idx val="0"/>
            <c:bubble3D val="0"/>
            <c:spPr>
              <a:solidFill>
                <a:schemeClr val="accent2">
                  <a:lumMod val="75000"/>
                </a:schemeClr>
              </a:solidFill>
              <a:ln>
                <a:noFill/>
              </a:ln>
              <a:effectLst/>
            </c:spPr>
            <c:extLs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2459-4622-81B0-FFE866AD0625}"/>
              </c:ext>
            </c:extLst>
          </c:dPt>
          <c:dLbls>
            <c:dLbl>
              <c:idx val="0"/>
              <c:layout>
                <c:manualLayout>
                  <c:x val="2.0318348283673383E-2"/>
                  <c:y val="-0.15886940126140889"/>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0.24319993747068935"/>
                      <c:h val="0.29197750504115128"/>
                    </c:manualLayout>
                  </c15:layout>
                </c:ext>
                <c:ext xmlns:c16="http://schemas.microsoft.com/office/drawing/2014/chart" uri="{C3380CC4-5D6E-409C-BE32-E72D297353CC}">
                  <c16:uniqueId val="{00000001-2459-4622-81B0-FFE866AD0625}"/>
                </c:ext>
              </c:extLst>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59-4622-81B0-FFE866AD06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Analysis!$N$129:$N$130</c:f>
              <c:strCache>
                <c:ptCount val="2"/>
                <c:pt idx="0">
                  <c:v>Functioning</c:v>
                </c:pt>
                <c:pt idx="1">
                  <c:v>Not_Functioning</c:v>
                </c:pt>
              </c:strCache>
            </c:strRef>
          </c:cat>
          <c:val>
            <c:numRef>
              <c:f>Analysis!$O$129:$O$130</c:f>
              <c:numCache>
                <c:formatCode>_(* #,##0_);_(* \(#,##0\);_(* "-"??_);_(@_)</c:formatCode>
                <c:ptCount val="2"/>
                <c:pt idx="0">
                  <c:v>1066</c:v>
                </c:pt>
                <c:pt idx="1">
                  <c:v>16</c:v>
                </c:pt>
              </c:numCache>
            </c:numRef>
          </c:val>
          <c:extLs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9999794311478239E-2"/>
          <c:y val="0.83841695392747162"/>
          <c:w val="0.89999989715573914"/>
          <c:h val="0.152543494832864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Analysis!$H$221:$H$223</c:f>
              <c:numCache>
                <c:formatCode>0</c:formatCode>
                <c:ptCount val="3"/>
                <c:pt idx="0">
                  <c:v>1353.6</c:v>
                </c:pt>
                <c:pt idx="1">
                  <c:v>1262</c:v>
                </c:pt>
                <c:pt idx="2" formatCode="General">
                  <c:v>0</c:v>
                </c:pt>
              </c:numCache>
            </c:numRef>
          </c:val>
          <c:extLst>
            <c:ext xmlns:c16="http://schemas.microsoft.com/office/drawing/2014/chart" uri="{C3380CC4-5D6E-409C-BE32-E72D297353CC}">
              <c16:uniqueId val="{00000000-167B-4022-87C3-E61198FB0BE3}"/>
            </c:ext>
          </c:extLst>
        </c:ser>
        <c:ser>
          <c:idx val="1"/>
          <c:order val="1"/>
          <c:tx>
            <c:strRef>
              <c:f>Analysis!$I$220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Analysis!$I$221:$I$223</c:f>
              <c:numCache>
                <c:formatCode>0</c:formatCode>
                <c:ptCount val="3"/>
                <c:pt idx="0">
                  <c:v>776.40000000000009</c:v>
                </c:pt>
                <c:pt idx="1">
                  <c:v>868</c:v>
                </c:pt>
                <c:pt idx="2" formatCode="General">
                  <c:v>2130</c:v>
                </c:pt>
              </c:numCache>
            </c:numRef>
          </c:val>
          <c:extLst>
            <c:ext xmlns:c16="http://schemas.microsoft.com/office/drawing/2014/chart" uri="{C3380CC4-5D6E-409C-BE32-E72D297353CC}">
              <c16:uniqueId val="{00000001-167B-4022-87C3-E61198FB0BE3}"/>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[20221027_Myanmar_WASH_4W_2022_Q3_KachinShan_camp_Consolidate.xlsx]Analysis!PivotTable11</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People access to functioning latrine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Analysis!$X$121</c:f>
              <c:strCache>
                <c:ptCount val="1"/>
                <c:pt idx="0">
                  <c:v># in GCA (20:1)</c:v>
                </c:pt>
              </c:strCache>
            </c:strRef>
          </c:cat>
          <c:val>
            <c:numRef>
              <c:f>Analysis!$Y$121</c:f>
              <c:numCache>
                <c:formatCode>_(* #,##0_);_(* \(#,##0\);_(* "-"??_);_(@_)</c:formatCode>
                <c:ptCount val="1"/>
                <c:pt idx="0">
                  <c:v>8152</c:v>
                </c:pt>
              </c:numCache>
            </c:numRef>
          </c:val>
          <c:extLst>
            <c:ext xmlns:c16="http://schemas.microsoft.com/office/drawing/2014/chart" uri="{C3380CC4-5D6E-409C-BE32-E72D297353CC}">
              <c16:uniqueId val="{00000000-2A2B-48AD-AA9F-1EC4F6C77BB8}"/>
            </c:ext>
          </c:extLst>
        </c:ser>
        <c:ser>
          <c:idx val="1"/>
          <c:order val="1"/>
          <c:tx>
            <c:strRef>
              <c:f>Analysis!$Z$120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Analysis!$X$121</c:f>
              <c:strCache>
                <c:ptCount val="1"/>
                <c:pt idx="0">
                  <c:v># in GCA (20:1)</c:v>
                </c:pt>
              </c:strCache>
            </c:strRef>
          </c:cat>
          <c:val>
            <c:numRef>
              <c:f>Analysis!$Z$121</c:f>
              <c:numCache>
                <c:formatCode>_(* #,##0_);_(* \(#,##0\);_(* "-"??_);_(@_)</c:formatCode>
                <c:ptCount val="1"/>
                <c:pt idx="0">
                  <c:v>2345</c:v>
                </c:pt>
              </c:numCache>
            </c:numRef>
          </c:val>
          <c:extLst>
            <c:ext xmlns:c16="http://schemas.microsoft.com/office/drawing/2014/chart" uri="{C3380CC4-5D6E-409C-BE32-E72D297353CC}">
              <c16:uniqueId val="{00000001-2A2B-48AD-AA9F-1EC4F6C77BB8}"/>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Analysis!$L$220</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Analysis!$L$221</c:f>
              <c:numCache>
                <c:formatCode>_(* #,##0_);_(* \(#,##0\);_(* "-"??_);_(@_)</c:formatCode>
                <c:ptCount val="1"/>
                <c:pt idx="0">
                  <c:v>0</c:v>
                </c:pt>
              </c:numCache>
            </c:numRef>
          </c:val>
          <c:extLst>
            <c:ext xmlns:c16="http://schemas.microsoft.com/office/drawing/2014/chart" uri="{C3380CC4-5D6E-409C-BE32-E72D297353CC}">
              <c16:uniqueId val="{00000000-77A7-49E7-9F14-3E959DA2AC0D}"/>
            </c:ext>
          </c:extLst>
        </c:ser>
        <c:ser>
          <c:idx val="1"/>
          <c:order val="1"/>
          <c:tx>
            <c:strRef>
              <c:f>Analysis!$M$220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Analysis!$M$221</c:f>
              <c:numCache>
                <c:formatCode>_(* #,##0_);_(* \(#,##0\);_(* "-"??_);_(@_)</c:formatCode>
                <c:ptCount val="1"/>
                <c:pt idx="0">
                  <c:v>3044.1299999999997</c:v>
                </c:pt>
              </c:numCache>
            </c:numRef>
          </c:val>
          <c:extLst>
            <c:ext xmlns:c16="http://schemas.microsoft.com/office/drawing/2014/chart" uri="{C3380CC4-5D6E-409C-BE32-E72D297353CC}">
              <c16:uniqueId val="{00000001-77A7-49E7-9F14-3E959DA2AC0D}"/>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2022 HRP targets</a:t>
            </a:r>
            <a:endParaRPr lang="en-US" sz="1600">
              <a:effectLst/>
            </a:endParaRPr>
          </a:p>
        </c:rich>
      </c:tx>
      <c:layout>
        <c:manualLayout>
          <c:xMode val="edge"/>
          <c:yMode val="edge"/>
          <c:x val="0.29043627426778662"/>
          <c:y val="1.48738442027560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7915187898701184"/>
          <c:y val="0.12060702459448742"/>
          <c:w val="0.48741669562194095"/>
          <c:h val="0.76711566975136203"/>
        </c:manualLayout>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5-4168-4965-A37A-C0F83A7068F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1-4168-4965-A37A-C0F83A7068F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8754-4146-A881-93D494AAF002}"/>
              </c:ext>
            </c:extLst>
          </c:dPt>
          <c:dPt>
            <c:idx val="5"/>
            <c:invertIfNegative val="0"/>
            <c:bubble3D val="0"/>
            <c:spPr>
              <a:solidFill>
                <a:srgbClr val="0070C0"/>
              </a:solidFill>
              <a:ln>
                <a:noFill/>
              </a:ln>
              <a:effectLst/>
            </c:spPr>
            <c:extLst>
              <c:ext xmlns:c16="http://schemas.microsoft.com/office/drawing/2014/chart" uri="{C3380CC4-5D6E-409C-BE32-E72D297353CC}">
                <c16:uniqueId val="{00000007-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HRP!$E$206:$E$211</c:f>
              <c:numCache>
                <c:formatCode>_(* #,##0_);_(* \(#,##0\);_(* "-"??_);_(@_)</c:formatCode>
                <c:ptCount val="6"/>
                <c:pt idx="0">
                  <c:v>0</c:v>
                </c:pt>
                <c:pt idx="1">
                  <c:v>2223</c:v>
                </c:pt>
                <c:pt idx="2">
                  <c:v>0</c:v>
                </c:pt>
                <c:pt idx="3">
                  <c:v>35318</c:v>
                </c:pt>
                <c:pt idx="4">
                  <c:v>14016</c:v>
                </c:pt>
                <c:pt idx="5">
                  <c:v>17736.333333333332</c:v>
                </c:pt>
              </c:numCache>
            </c:numRef>
          </c:val>
          <c:extLst>
            <c:ext xmlns:c16="http://schemas.microsoft.com/office/drawing/2014/chart" uri="{C3380CC4-5D6E-409C-BE32-E72D297353CC}">
              <c16:uniqueId val="{00000006-6C74-4BAA-A760-A72DEC02332C}"/>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8754-4146-A881-93D494AAF002}"/>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E-A245-4D7D-AE77-65E608C755A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F-A245-4D7D-AE77-65E608C755A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8754-4146-A881-93D494AAF002}"/>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HRP!$F$206:$F$211</c:f>
              <c:numCache>
                <c:formatCode>_(* #,##0_);_(* \(#,##0\);_(* "-"??_);_(@_)</c:formatCode>
                <c:ptCount val="6"/>
                <c:pt idx="0">
                  <c:v>463.46999999999997</c:v>
                </c:pt>
                <c:pt idx="2">
                  <c:v>5099.0036928268628</c:v>
                </c:pt>
                <c:pt idx="3">
                  <c:v>11037.336928268625</c:v>
                </c:pt>
                <c:pt idx="4">
                  <c:v>7614.2673856537258</c:v>
                </c:pt>
                <c:pt idx="5">
                  <c:v>22437.736209281571</c:v>
                </c:pt>
              </c:numCache>
            </c:numRef>
          </c:val>
          <c:extLst>
            <c:ext xmlns:c16="http://schemas.microsoft.com/office/drawing/2014/chart" uri="{C3380CC4-5D6E-409C-BE32-E72D297353CC}">
              <c16:uniqueId val="{0000000D-A245-4D7D-AE77-65E608C755A4}"/>
            </c:ext>
          </c:extLst>
        </c:ser>
        <c:dLbls>
          <c:showLegendKey val="0"/>
          <c:showVal val="0"/>
          <c:showCatName val="0"/>
          <c:showSerName val="0"/>
          <c:showPercent val="0"/>
          <c:showBubbleSize val="0"/>
        </c:dLbls>
        <c:gapWidth val="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391603928"/>
        <c:crosses val="autoZero"/>
        <c:auto val="1"/>
        <c:lblAlgn val="l"/>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Shan (South)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HRP!$S$230</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53B3-4201-AFAE-57734679A4AA}"/>
              </c:ext>
            </c:extLst>
          </c:dPt>
          <c:dLbls>
            <c:dLbl>
              <c:idx val="3"/>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5-53B3-4201-AFAE-57734679A4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HRP!$Q$231:$Q$236</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HRP!$S$231:$S$236</c:f>
              <c:numCache>
                <c:formatCode>_(* #,##0_);_(* \(#,##0\);_(* "-"??_);_(@_)</c:formatCode>
                <c:ptCount val="6"/>
                <c:pt idx="0">
                  <c:v>0</c:v>
                </c:pt>
                <c:pt idx="1">
                  <c:v>0</c:v>
                </c:pt>
                <c:pt idx="2">
                  <c:v>0</c:v>
                </c:pt>
                <c:pt idx="3">
                  <c:v>8012</c:v>
                </c:pt>
                <c:pt idx="4">
                  <c:v>0</c:v>
                </c:pt>
                <c:pt idx="5">
                  <c:v>388</c:v>
                </c:pt>
              </c:numCache>
            </c:numRef>
          </c:val>
          <c:extLst>
            <c:ext xmlns:c16="http://schemas.microsoft.com/office/drawing/2014/chart" uri="{C3380CC4-5D6E-409C-BE32-E72D297353CC}">
              <c16:uniqueId val="{00000000-53B3-4201-AFAE-57734679A4AA}"/>
            </c:ext>
          </c:extLst>
        </c:ser>
        <c:ser>
          <c:idx val="1"/>
          <c:order val="1"/>
          <c:tx>
            <c:strRef>
              <c:f>HRP!$T$230</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53B3-4201-AFAE-57734679A4A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8-53B3-4201-AFAE-57734679A4AA}"/>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7-53B3-4201-AFAE-57734679A4A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53B3-4201-AFAE-57734679A4A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53B3-4201-AFAE-57734679A4A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53B3-4201-AFAE-57734679A4A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HRP!$Q$231:$Q$236</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HRP!$T$231:$T$236</c:f>
              <c:numCache>
                <c:formatCode>_(* #,##0_);_(* \(#,##0\);_(* "-"??_);_(@_)</c:formatCode>
                <c:ptCount val="6"/>
                <c:pt idx="0">
                  <c:v>455.46</c:v>
                </c:pt>
                <c:pt idx="1">
                  <c:v>759.1</c:v>
                </c:pt>
                <c:pt idx="2">
                  <c:v>4585.8642490051216</c:v>
                </c:pt>
                <c:pt idx="3">
                  <c:v>33292.042490051215</c:v>
                </c:pt>
                <c:pt idx="4">
                  <c:v>20406.408498010242</c:v>
                </c:pt>
                <c:pt idx="5">
                  <c:v>35691.633992040974</c:v>
                </c:pt>
              </c:numCache>
            </c:numRef>
          </c:val>
          <c:extLst>
            <c:ext xmlns:c16="http://schemas.microsoft.com/office/drawing/2014/chart" uri="{C3380CC4-5D6E-409C-BE32-E72D297353CC}">
              <c16:uniqueId val="{00000001-53B3-4201-AFAE-57734679A4AA}"/>
            </c:ext>
          </c:extLst>
        </c:ser>
        <c:dLbls>
          <c:dLblPos val="ctr"/>
          <c:showLegendKey val="0"/>
          <c:showVal val="1"/>
          <c:showCatName val="0"/>
          <c:showSerName val="0"/>
          <c:showPercent val="0"/>
          <c:showBubbleSize val="0"/>
        </c:dLbls>
        <c:gapWidth val="50"/>
        <c:overlap val="100"/>
        <c:axId val="1616662543"/>
        <c:axId val="1616664623"/>
      </c:barChart>
      <c:catAx>
        <c:axId val="1616662543"/>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616664623"/>
        <c:crosses val="autoZero"/>
        <c:auto val="1"/>
        <c:lblAlgn val="ctr"/>
        <c:lblOffset val="100"/>
        <c:noMultiLvlLbl val="0"/>
      </c:catAx>
      <c:valAx>
        <c:axId val="161666462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166625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2022-Q3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[6]National!$D$3</c:f>
              <c:strCache>
                <c:ptCount val="1"/>
                <c:pt idx="0">
                  <c:v>Cumulative Funding Received for 2022</c:v>
                </c:pt>
              </c:strCache>
            </c:strRef>
          </c:tx>
          <c:spPr>
            <a:solidFill>
              <a:srgbClr val="0070C0"/>
            </a:solidFill>
            <a:ln>
              <a:noFill/>
            </a:ln>
            <a:effectLst/>
          </c:spPr>
          <c:invertIfNegative val="0"/>
          <c:dLbls>
            <c:dLbl>
              <c:idx val="0"/>
              <c:layout>
                <c:manualLayout>
                  <c:x val="6.6901086557717107E-2"/>
                  <c:y val="-5.94740248367274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E7-403B-A458-BB9CC423430E}"/>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[6]National!$B$6:$B$22</c15:sqref>
                  </c15:fullRef>
                </c:ext>
              </c:extLst>
              <c:f>[6]National!$B$11</c:f>
              <c:strCache>
                <c:ptCount val="1"/>
                <c:pt idx="0">
                  <c:v>Kachin/Shan (North)</c:v>
                </c:pt>
              </c:strCache>
            </c:strRef>
          </c:cat>
          <c:val>
            <c:numRef>
              <c:extLst>
                <c:ext xmlns:c15="http://schemas.microsoft.com/office/drawing/2012/chart" uri="{02D57815-91ED-43cb-92C2-25804820EDAC}">
                  <c15:fullRef>
                    <c15:sqref>[6]National!$D$6:$D$22</c15:sqref>
                  </c15:fullRef>
                </c:ext>
              </c:extLst>
              <c:f>[6]National!$D$11</c:f>
              <c:numCache>
                <c:formatCode>General</c:formatCode>
                <c:ptCount val="1"/>
                <c:pt idx="0">
                  <c:v>2733733.3336034189</c:v>
                </c:pt>
              </c:numCache>
            </c:numRef>
          </c:val>
          <c:extLst xmlns:c15="http://schemas.microsoft.com/office/drawing/2012/chart">
            <c:ext xmlns:c16="http://schemas.microsoft.com/office/drawing/2014/chart" uri="{C3380CC4-5D6E-409C-BE32-E72D297353CC}">
              <c16:uniqueId val="{00000001-E0E7-403B-A458-BB9CC423430E}"/>
            </c:ext>
          </c:extLst>
        </c:ser>
        <c:ser>
          <c:idx val="1"/>
          <c:order val="1"/>
          <c:tx>
            <c:strRef>
              <c:f>[6]National!$E$3</c:f>
              <c:strCache>
                <c:ptCount val="1"/>
                <c:pt idx="0">
                  <c:v>Gap</c:v>
                </c:pt>
              </c:strCache>
            </c:strRef>
          </c:tx>
          <c:spPr>
            <a:solidFill>
              <a:schemeClr val="accent1">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[6]National!$B$6:$B$22</c15:sqref>
                  </c15:fullRef>
                </c:ext>
              </c:extLst>
              <c:f>[6]National!$B$11</c:f>
              <c:strCache>
                <c:ptCount val="1"/>
                <c:pt idx="0">
                  <c:v>Kachin/Shan (North)</c:v>
                </c:pt>
              </c:strCache>
            </c:strRef>
          </c:cat>
          <c:val>
            <c:numRef>
              <c:extLst>
                <c:ext xmlns:c15="http://schemas.microsoft.com/office/drawing/2012/chart" uri="{02D57815-91ED-43cb-92C2-25804820EDAC}">
                  <c15:fullRef>
                    <c15:sqref>[6]National!$E$6:$E$22</c15:sqref>
                  </c15:fullRef>
                </c:ext>
              </c:extLst>
              <c:f>[6]National!$E$11</c:f>
              <c:numCache>
                <c:formatCode>General</c:formatCode>
                <c:ptCount val="1"/>
                <c:pt idx="0">
                  <c:v>17364469.523839332</c:v>
                </c:pt>
              </c:numCache>
            </c:numRef>
          </c:val>
          <c:extLst>
            <c:ext xmlns:c15="http://schemas.microsoft.com/office/drawing/2012/chart" uri="{02D57815-91ED-43cb-92C2-25804820EDAC}">
              <c15:categoryFilterExceptions>
                <c15:categoryFilterException>
                  <c15:sqref>[6]National!$E$6</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2-E0E7-403B-A458-BB9CC423430E}"/>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tx1">
                <a:lumMod val="65000"/>
                <a:lumOff val="3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0.20353869704937511</c:v>
              </c:pt>
            </c:numLit>
          </c:val>
          <c:extLst>
            <c:ext xmlns:c16="http://schemas.microsoft.com/office/drawing/2014/chart" uri="{C3380CC4-5D6E-409C-BE32-E72D297353CC}">
              <c16:uniqueId val="{00000000-39B0-4095-9DCE-19389BD8C731}"/>
            </c:ext>
          </c:extLst>
        </c:ser>
        <c:ser>
          <c:idx val="1"/>
          <c:order val="1"/>
          <c:tx>
            <c:v>LNGO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0.50005590734415484</c:v>
              </c:pt>
            </c:numLit>
          </c:val>
          <c:extLst>
            <c:ext xmlns:c16="http://schemas.microsoft.com/office/drawing/2014/chart" uri="{C3380CC4-5D6E-409C-BE32-E72D297353CC}">
              <c16:uniqueId val="{00000001-39B0-4095-9DCE-19389BD8C731}"/>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0.29640539560647017</c:v>
              </c:pt>
            </c:numLit>
          </c:val>
          <c:extLst>
            <c:ext xmlns:c16="http://schemas.microsoft.com/office/drawing/2014/chart" uri="{C3380CC4-5D6E-409C-BE32-E72D297353CC}">
              <c16:uniqueId val="{00000002-39B0-4095-9DCE-19389BD8C731}"/>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Kachin/shan</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0"/>
              <c:pt idx="0">
                <c:v> before 2014</c:v>
              </c:pt>
              <c:pt idx="1">
                <c:v> 2014</c:v>
              </c:pt>
              <c:pt idx="2">
                <c:v> 2015</c:v>
              </c:pt>
              <c:pt idx="3">
                <c:v> 2016</c:v>
              </c:pt>
              <c:pt idx="4">
                <c:v> 2017</c:v>
              </c:pt>
              <c:pt idx="5">
                <c:v> 2018</c:v>
              </c:pt>
              <c:pt idx="6">
                <c:v> 2019</c:v>
              </c:pt>
              <c:pt idx="7">
                <c:v> 2020</c:v>
              </c:pt>
              <c:pt idx="8">
                <c:v> 2021</c:v>
              </c:pt>
              <c:pt idx="9">
                <c:v> 2022</c:v>
              </c:pt>
            </c:strLit>
          </c:cat>
          <c:val>
            <c:numLit>
              <c:formatCode>General</c:formatCode>
              <c:ptCount val="10"/>
              <c:pt idx="0">
                <c:v>5431372.7659449074</c:v>
              </c:pt>
              <c:pt idx="1">
                <c:v>4353706.9810160939</c:v>
              </c:pt>
              <c:pt idx="2">
                <c:v>4283214.5919899773</c:v>
              </c:pt>
              <c:pt idx="3">
                <c:v>2928740.2487938525</c:v>
              </c:pt>
              <c:pt idx="4">
                <c:v>3193730.5528003741</c:v>
              </c:pt>
              <c:pt idx="5">
                <c:v>5303397.3983148374</c:v>
              </c:pt>
              <c:pt idx="6">
                <c:v>6829328.7699964745</c:v>
              </c:pt>
              <c:pt idx="7">
                <c:v>4621866.9758789754</c:v>
              </c:pt>
              <c:pt idx="8">
                <c:v>3698428.0019058734</c:v>
              </c:pt>
              <c:pt idx="9">
                <c:v>2733733.3336034189</c:v>
              </c:pt>
            </c:numLit>
          </c:val>
          <c:smooth val="0"/>
          <c:extLst>
            <c:ext xmlns:c16="http://schemas.microsoft.com/office/drawing/2014/chart" uri="{C3380CC4-5D6E-409C-BE32-E72D297353CC}">
              <c16:uniqueId val="{00000000-8A45-4408-9AEE-ACD5FA125B5F}"/>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Dashboard'!$C$30:$C$56</c:f>
              <c:numCache>
                <c:formatCode>General</c:formatCode>
                <c:ptCount val="24"/>
                <c:pt idx="0">
                  <c:v>23750</c:v>
                </c:pt>
                <c:pt idx="1">
                  <c:v>8442</c:v>
                </c:pt>
                <c:pt idx="2">
                  <c:v>13123</c:v>
                </c:pt>
                <c:pt idx="3">
                  <c:v>38371</c:v>
                </c:pt>
                <c:pt idx="4">
                  <c:v>5168</c:v>
                </c:pt>
                <c:pt idx="5">
                  <c:v>1168</c:v>
                </c:pt>
                <c:pt idx="6">
                  <c:v>99411</c:v>
                </c:pt>
                <c:pt idx="7">
                  <c:v>34490</c:v>
                </c:pt>
                <c:pt idx="8">
                  <c:v>289</c:v>
                </c:pt>
                <c:pt idx="9">
                  <c:v>5637</c:v>
                </c:pt>
                <c:pt idx="10">
                  <c:v>2737</c:v>
                </c:pt>
                <c:pt idx="11">
                  <c:v>3796</c:v>
                </c:pt>
                <c:pt idx="12">
                  <c:v>90468</c:v>
                </c:pt>
                <c:pt idx="13">
                  <c:v>1768</c:v>
                </c:pt>
                <c:pt idx="14">
                  <c:v>997</c:v>
                </c:pt>
                <c:pt idx="15">
                  <c:v>389</c:v>
                </c:pt>
                <c:pt idx="16">
                  <c:v>14142</c:v>
                </c:pt>
                <c:pt idx="17">
                  <c:v>309</c:v>
                </c:pt>
                <c:pt idx="18">
                  <c:v>846</c:v>
                </c:pt>
                <c:pt idx="19">
                  <c:v>3401</c:v>
                </c:pt>
                <c:pt idx="20">
                  <c:v>3765</c:v>
                </c:pt>
                <c:pt idx="21">
                  <c:v>1936</c:v>
                </c:pt>
                <c:pt idx="22">
                  <c:v>15709</c:v>
                </c:pt>
                <c:pt idx="23">
                  <c:v>2120</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Dashboard'!$D$30:$D$56</c:f>
              <c:numCache>
                <c:formatCode>General</c:formatCode>
                <c:ptCount val="24"/>
                <c:pt idx="0">
                  <c:v>16821</c:v>
                </c:pt>
                <c:pt idx="1">
                  <c:v>6742</c:v>
                </c:pt>
                <c:pt idx="2">
                  <c:v>10860</c:v>
                </c:pt>
                <c:pt idx="3">
                  <c:v>30507</c:v>
                </c:pt>
                <c:pt idx="4">
                  <c:v>3867</c:v>
                </c:pt>
                <c:pt idx="5">
                  <c:v>514</c:v>
                </c:pt>
                <c:pt idx="6">
                  <c:v>54259</c:v>
                </c:pt>
                <c:pt idx="7">
                  <c:v>21092</c:v>
                </c:pt>
                <c:pt idx="8">
                  <c:v>289</c:v>
                </c:pt>
                <c:pt idx="9">
                  <c:v>1287</c:v>
                </c:pt>
                <c:pt idx="10">
                  <c:v>1548</c:v>
                </c:pt>
                <c:pt idx="11">
                  <c:v>2538</c:v>
                </c:pt>
                <c:pt idx="12">
                  <c:v>51387</c:v>
                </c:pt>
                <c:pt idx="13">
                  <c:v>1768</c:v>
                </c:pt>
                <c:pt idx="14">
                  <c:v>997</c:v>
                </c:pt>
                <c:pt idx="15">
                  <c:v>59</c:v>
                </c:pt>
                <c:pt idx="16">
                  <c:v>11429</c:v>
                </c:pt>
                <c:pt idx="17">
                  <c:v>103</c:v>
                </c:pt>
                <c:pt idx="18">
                  <c:v>846</c:v>
                </c:pt>
                <c:pt idx="19">
                  <c:v>2971</c:v>
                </c:pt>
                <c:pt idx="20">
                  <c:v>3119</c:v>
                </c:pt>
                <c:pt idx="21">
                  <c:v>1782</c:v>
                </c:pt>
                <c:pt idx="22">
                  <c:v>490</c:v>
                </c:pt>
                <c:pt idx="23">
                  <c:v>504</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Dashboard'!$E$30:$E$56</c:f>
              <c:numCache>
                <c:formatCode>General</c:formatCode>
                <c:ptCount val="24"/>
                <c:pt idx="0">
                  <c:v>15579</c:v>
                </c:pt>
                <c:pt idx="1">
                  <c:v>6505</c:v>
                </c:pt>
                <c:pt idx="2">
                  <c:v>9129</c:v>
                </c:pt>
                <c:pt idx="3">
                  <c:v>33316</c:v>
                </c:pt>
                <c:pt idx="4">
                  <c:v>3687</c:v>
                </c:pt>
                <c:pt idx="5">
                  <c:v>404</c:v>
                </c:pt>
                <c:pt idx="6">
                  <c:v>56868</c:v>
                </c:pt>
                <c:pt idx="7">
                  <c:v>24837</c:v>
                </c:pt>
                <c:pt idx="8">
                  <c:v>240</c:v>
                </c:pt>
                <c:pt idx="9">
                  <c:v>1554</c:v>
                </c:pt>
                <c:pt idx="10">
                  <c:v>2224</c:v>
                </c:pt>
                <c:pt idx="11">
                  <c:v>1026</c:v>
                </c:pt>
                <c:pt idx="12">
                  <c:v>60762</c:v>
                </c:pt>
                <c:pt idx="13">
                  <c:v>1447</c:v>
                </c:pt>
                <c:pt idx="14">
                  <c:v>991</c:v>
                </c:pt>
                <c:pt idx="15">
                  <c:v>0</c:v>
                </c:pt>
                <c:pt idx="16">
                  <c:v>12927</c:v>
                </c:pt>
                <c:pt idx="17">
                  <c:v>309</c:v>
                </c:pt>
                <c:pt idx="18">
                  <c:v>846</c:v>
                </c:pt>
                <c:pt idx="19">
                  <c:v>1926</c:v>
                </c:pt>
                <c:pt idx="20">
                  <c:v>3195</c:v>
                </c:pt>
                <c:pt idx="21">
                  <c:v>1765</c:v>
                </c:pt>
                <c:pt idx="22">
                  <c:v>4309</c:v>
                </c:pt>
                <c:pt idx="23">
                  <c:v>608</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Dashboard'!$F$30:$F$56</c:f>
              <c:numCache>
                <c:formatCode>General</c:formatCode>
                <c:ptCount val="24"/>
                <c:pt idx="0">
                  <c:v>20684</c:v>
                </c:pt>
                <c:pt idx="1">
                  <c:v>4657</c:v>
                </c:pt>
                <c:pt idx="2">
                  <c:v>10210.333333333334</c:v>
                </c:pt>
                <c:pt idx="3">
                  <c:v>28015.000000000004</c:v>
                </c:pt>
                <c:pt idx="4">
                  <c:v>4998</c:v>
                </c:pt>
                <c:pt idx="5">
                  <c:v>577</c:v>
                </c:pt>
                <c:pt idx="6">
                  <c:v>34467.466666666667</c:v>
                </c:pt>
                <c:pt idx="7">
                  <c:v>33701</c:v>
                </c:pt>
                <c:pt idx="8">
                  <c:v>289</c:v>
                </c:pt>
                <c:pt idx="9">
                  <c:v>5637</c:v>
                </c:pt>
                <c:pt idx="10">
                  <c:v>1352</c:v>
                </c:pt>
                <c:pt idx="11">
                  <c:v>3204</c:v>
                </c:pt>
                <c:pt idx="12">
                  <c:v>36506.251851851848</c:v>
                </c:pt>
                <c:pt idx="13">
                  <c:v>1182</c:v>
                </c:pt>
                <c:pt idx="14">
                  <c:v>997</c:v>
                </c:pt>
                <c:pt idx="15">
                  <c:v>0</c:v>
                </c:pt>
                <c:pt idx="16">
                  <c:v>13264.000000000002</c:v>
                </c:pt>
                <c:pt idx="17">
                  <c:v>309</c:v>
                </c:pt>
                <c:pt idx="18">
                  <c:v>846</c:v>
                </c:pt>
                <c:pt idx="19">
                  <c:v>2880</c:v>
                </c:pt>
                <c:pt idx="20">
                  <c:v>3765</c:v>
                </c:pt>
                <c:pt idx="21">
                  <c:v>1784.6666666666667</c:v>
                </c:pt>
                <c:pt idx="22">
                  <c:v>4800</c:v>
                </c:pt>
                <c:pt idx="23">
                  <c:v>410</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[20221027_Myanmar_WASH_4W_2022_Q3_KachinShan_camp_Consolidate.xlsx]By Camps!PivotTable1</c:name>
    <c:fmtId val="4"/>
  </c:pivotSource>
  <c:chart>
    <c:title>
      <c:tx>
        <c:strRef>
          <c:f>'By Camps'!$B$34</c:f>
          <c:strCache>
            <c:ptCount val="1"/>
            <c:pt idx="0">
              <c:v>2022_Q1</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196"/>
                <c:pt idx="0">
                  <c:v>AD-2000 Extension camp</c:v>
                </c:pt>
                <c:pt idx="1">
                  <c:v>AD-2000 Tharthana Compound</c:v>
                </c:pt>
                <c:pt idx="2">
                  <c:v>AG Church, Hmaw Si Sa</c:v>
                </c:pt>
                <c:pt idx="3">
                  <c:v>AG Church, Maw Wan</c:v>
                </c:pt>
                <c:pt idx="4">
                  <c:v>Agritural Compound (KBC)</c:v>
                </c:pt>
                <c:pt idx="5">
                  <c:v>Aung Thar Church</c:v>
                </c:pt>
                <c:pt idx="6">
                  <c:v>Baptist Church, Hmaw Si Sar(Lon Khin)</c:v>
                </c:pt>
                <c:pt idx="7">
                  <c:v>Border Post 8</c:v>
                </c:pt>
                <c:pt idx="8">
                  <c:v>Bum Tsit Pa</c:v>
                </c:pt>
                <c:pt idx="9">
                  <c:v>Chin Church, Seik Mu</c:v>
                </c:pt>
                <c:pt idx="10">
                  <c:v>Chipwi KBC camp</c:v>
                </c:pt>
                <c:pt idx="11">
                  <c:v>Dhama Rakhita, Nyein Chan Tar Yar Ward(Lon Khin)</c:v>
                </c:pt>
                <c:pt idx="12">
                  <c:v>Du Kahtawng Baptist</c:v>
                </c:pt>
                <c:pt idx="13">
                  <c:v>Dum Bung </c:v>
                </c:pt>
                <c:pt idx="14">
                  <c:v>Hka Shi</c:v>
                </c:pt>
                <c:pt idx="15">
                  <c:v>Hkat Cho </c:v>
                </c:pt>
                <c:pt idx="16">
                  <c:v>Hkau Shau (BP 12)</c:v>
                </c:pt>
                <c:pt idx="17">
                  <c:v>Hlaing Naung Baptist</c:v>
                </c:pt>
                <c:pt idx="18">
                  <c:v>Hpai Kawng</c:v>
                </c:pt>
                <c:pt idx="19">
                  <c:v>Hpakant Baptist Church, Nam Ma Hpit</c:v>
                </c:pt>
                <c:pt idx="20">
                  <c:v>Hpare Hkyer - BP6</c:v>
                </c:pt>
                <c:pt idx="21">
                  <c:v>Hpun Lum Yang </c:v>
                </c:pt>
                <c:pt idx="22">
                  <c:v>Htoi San Church</c:v>
                </c:pt>
                <c:pt idx="23">
                  <c:v>IDP Boarding School, A Len Bum</c:v>
                </c:pt>
                <c:pt idx="24">
                  <c:v>Jan Mai Kawng Baptist Church</c:v>
                </c:pt>
                <c:pt idx="25">
                  <c:v>Jan Mai Kawng Catholic Church</c:v>
                </c:pt>
                <c:pt idx="26">
                  <c:v>Je Yang Hka </c:v>
                </c:pt>
                <c:pt idx="27">
                  <c:v>Kachin Su Baptist Church (ECCD)</c:v>
                </c:pt>
                <c:pt idx="28">
                  <c:v>Khar Nan (1) Baptist Church</c:v>
                </c:pt>
                <c:pt idx="29">
                  <c:v>Kutkai downtown (KBC Church)</c:v>
                </c:pt>
                <c:pt idx="30">
                  <c:v>Kutkai downtown (KBC Church-2)</c:v>
                </c:pt>
                <c:pt idx="31">
                  <c:v>Kyu Sot</c:v>
                </c:pt>
                <c:pt idx="32">
                  <c:v>Kyun Taw Baptist Church </c:v>
                </c:pt>
                <c:pt idx="33">
                  <c:v>Laiza Je Yang School</c:v>
                </c:pt>
                <c:pt idx="34">
                  <c:v>Lana Zup Ja</c:v>
                </c:pt>
                <c:pt idx="35">
                  <c:v>Lawng Hkang Shait Yang Camp​ ( Lel Pyin)​ </c:v>
                </c:pt>
                <c:pt idx="36">
                  <c:v>Le Kone Bethlehem Church</c:v>
                </c:pt>
                <c:pt idx="37">
                  <c:v>Le Kone Ziun Baptist Church </c:v>
                </c:pt>
                <c:pt idx="38">
                  <c:v>Lhaovao Baptist Church (LBC)</c:v>
                </c:pt>
                <c:pt idx="39">
                  <c:v>Lisu Baptist Church, Maw Shan Vil,. Seik Mu</c:v>
                </c:pt>
                <c:pt idx="40">
                  <c:v>Lisu Baptist Church, Maw Wan Ward</c:v>
                </c:pt>
                <c:pt idx="41">
                  <c:v>Lisu Boarding-House</c:v>
                </c:pt>
                <c:pt idx="42">
                  <c:v>Lisu Church Namtu</c:v>
                </c:pt>
                <c:pt idx="43">
                  <c:v>Loi Je Baptist Church</c:v>
                </c:pt>
                <c:pt idx="44">
                  <c:v>Loi Je Catholic Church</c:v>
                </c:pt>
                <c:pt idx="45">
                  <c:v>Loi Je Lisu Camp</c:v>
                </c:pt>
                <c:pt idx="46">
                  <c:v>Lung Sut</c:v>
                </c:pt>
                <c:pt idx="47">
                  <c:v>Lwegel High School</c:v>
                </c:pt>
                <c:pt idx="48">
                  <c:v>Mading Baptist Church</c:v>
                </c:pt>
                <c:pt idx="49">
                  <c:v>Maga Yang </c:v>
                </c:pt>
                <c:pt idx="50">
                  <c:v>Maina AG Church</c:v>
                </c:pt>
                <c:pt idx="51">
                  <c:v>Maina Catholic Church (St. Joseph)</c:v>
                </c:pt>
                <c:pt idx="52">
                  <c:v>Maina KBC (Bawng Ring)</c:v>
                </c:pt>
                <c:pt idx="53">
                  <c:v>Maina Lawang Baptist Church</c:v>
                </c:pt>
                <c:pt idx="54">
                  <c:v>Maing Khaung</c:v>
                </c:pt>
                <c:pt idx="55">
                  <c:v>Maing Khaung Catholic Church</c:v>
                </c:pt>
                <c:pt idx="56">
                  <c:v>Maliyang Baptist Church</c:v>
                </c:pt>
                <c:pt idx="57">
                  <c:v>Man Bung Catholic compound</c:v>
                </c:pt>
                <c:pt idx="58">
                  <c:v>Man Bung Edin Baptist Church</c:v>
                </c:pt>
                <c:pt idx="59">
                  <c:v>Man Hkring Baptist Church</c:v>
                </c:pt>
                <c:pt idx="60">
                  <c:v>Man Kaung/Naung Ti Kyar Village</c:v>
                </c:pt>
                <c:pt idx="61">
                  <c:v>Man Loi</c:v>
                </c:pt>
                <c:pt idx="62">
                  <c:v>Man Wing Baptist Church</c:v>
                </c:pt>
                <c:pt idx="63">
                  <c:v>Man Wing Baptist Church Cultural Compound</c:v>
                </c:pt>
                <c:pt idx="64">
                  <c:v>Man Wing Catholic Church</c:v>
                </c:pt>
                <c:pt idx="65">
                  <c:v>Man Wing Catholic Church II</c:v>
                </c:pt>
                <c:pt idx="66">
                  <c:v>Mandung - Jinghpaw</c:v>
                </c:pt>
                <c:pt idx="67">
                  <c:v>Mandung - RC</c:v>
                </c:pt>
                <c:pt idx="68">
                  <c:v>Mansi Baptist Church</c:v>
                </c:pt>
                <c:pt idx="69">
                  <c:v>Maw Hpawng Hka Nan Baptist Church</c:v>
                </c:pt>
                <c:pt idx="70">
                  <c:v>Maw Hpawng Lhaovo Baptist Church</c:v>
                </c:pt>
                <c:pt idx="71">
                  <c:v>Maw Wan, Mu-yin Baptist Church</c:v>
                </c:pt>
                <c:pt idx="72">
                  <c:v>Momauk Baptist Church</c:v>
                </c:pt>
                <c:pt idx="73">
                  <c:v>Mung Hawm </c:v>
                </c:pt>
                <c:pt idx="74">
                  <c:v>Muyin church (Aung Yar pre-school compound)</c:v>
                </c:pt>
                <c:pt idx="75">
                  <c:v>Nam Hkam - Nay Win Ni (Palawng)</c:v>
                </c:pt>
                <c:pt idx="76">
                  <c:v>Nam Hkam (KBC Jaw Wang)</c:v>
                </c:pt>
                <c:pt idx="77">
                  <c:v>Nam Hkam (KBC Jaw Wang) II</c:v>
                </c:pt>
                <c:pt idx="78">
                  <c:v>Nam Hkam Catholic Church ( St. Thomas I)</c:v>
                </c:pt>
                <c:pt idx="79">
                  <c:v>Nam Hpak Ka Mare </c:v>
                </c:pt>
                <c:pt idx="80">
                  <c:v>Nam Ma Phyit, COC</c:v>
                </c:pt>
                <c:pt idx="81">
                  <c:v>Nam Sa Larp</c:v>
                </c:pt>
                <c:pt idx="82">
                  <c:v>Nam Tu Baptist</c:v>
                </c:pt>
                <c:pt idx="83">
                  <c:v>Nan Kway St. John Catholic Church</c:v>
                </c:pt>
                <c:pt idx="84">
                  <c:v>Nant Ma Hpit Catholic Church</c:v>
                </c:pt>
                <c:pt idx="85">
                  <c:v>Nat Gyi Kone Baptist Church </c:v>
                </c:pt>
                <c:pt idx="86">
                  <c:v>Nawng Hee Village</c:v>
                </c:pt>
                <c:pt idx="87">
                  <c:v>Nawng Ing (Indawgyi) Baptist Church </c:v>
                </c:pt>
                <c:pt idx="88">
                  <c:v>Ndup Yang</c:v>
                </c:pt>
                <c:pt idx="89">
                  <c:v>New Pang Ku </c:v>
                </c:pt>
                <c:pt idx="90">
                  <c:v>Nhkawng Pa </c:v>
                </c:pt>
                <c:pt idx="91">
                  <c:v>Njang Dung Baptist Church </c:v>
                </c:pt>
                <c:pt idx="92">
                  <c:v>Nyaung Na Pin </c:v>
                </c:pt>
                <c:pt idx="93">
                  <c:v>Pa Dauk Myaing(Pa La Na)</c:v>
                </c:pt>
                <c:pt idx="94">
                  <c:v>Pa Kahtawng </c:v>
                </c:pt>
                <c:pt idx="95">
                  <c:v>Pajau - Jan Mai</c:v>
                </c:pt>
                <c:pt idx="96">
                  <c:v>Pan Law</c:v>
                </c:pt>
                <c:pt idx="97">
                  <c:v>Pan Ta Pyae</c:v>
                </c:pt>
                <c:pt idx="98">
                  <c:v>Phan Khar Kone</c:v>
                </c:pt>
                <c:pt idx="99">
                  <c:v>Qtr. 2 Lhaovo Baptist Church</c:v>
                </c:pt>
                <c:pt idx="100">
                  <c:v>Qtr. 2 Myoma Baptist Church</c:v>
                </c:pt>
                <c:pt idx="101">
                  <c:v>Rawan Baptist Church, Maw Shan Vil., Seik Mu</c:v>
                </c:pt>
                <c:pt idx="102">
                  <c:v>Robert Church</c:v>
                </c:pt>
                <c:pt idx="103">
                  <c:v>Salang Yang</c:v>
                </c:pt>
                <c:pt idx="104">
                  <c:v>Sar Hmaw - KBC</c:v>
                </c:pt>
                <c:pt idx="105">
                  <c:v>Seng Ja </c:v>
                </c:pt>
                <c:pt idx="106">
                  <c:v>Sha-It Yang</c:v>
                </c:pt>
                <c:pt idx="107">
                  <c:v>Shar Du Zut KBC church </c:v>
                </c:pt>
                <c:pt idx="108">
                  <c:v>Shatapru Sut Ngai Tawng</c:v>
                </c:pt>
                <c:pt idx="109">
                  <c:v>Shatapru Thida Aye Baptist Church</c:v>
                </c:pt>
                <c:pt idx="110">
                  <c:v>Shing Jai</c:v>
                </c:pt>
                <c:pt idx="111">
                  <c:v>Shwe Gu Baptist Church</c:v>
                </c:pt>
                <c:pt idx="112">
                  <c:v>Shwe Gu Catholic Church</c:v>
                </c:pt>
                <c:pt idx="113">
                  <c:v>Shwe Zet Baptist Church</c:v>
                </c:pt>
                <c:pt idx="114">
                  <c:v>St. Patrick Catholic Church </c:v>
                </c:pt>
                <c:pt idx="115">
                  <c:v>Tanai CoC</c:v>
                </c:pt>
                <c:pt idx="116">
                  <c:v>Tat Kone Baptist Church</c:v>
                </c:pt>
                <c:pt idx="117">
                  <c:v>Tat Kone COC Baptist - Tat Kone Htoi San</c:v>
                </c:pt>
                <c:pt idx="118">
                  <c:v>Tat Kone Galile Baptist Church</c:v>
                </c:pt>
                <c:pt idx="119">
                  <c:v>Tat Kone San Pya Baptist Church</c:v>
                </c:pt>
                <c:pt idx="120">
                  <c:v>Thargaya Lisu Baptist Church</c:v>
                </c:pt>
                <c:pt idx="121">
                  <c:v>Tsan Lun - Namjarap</c:v>
                </c:pt>
                <c:pt idx="122">
                  <c:v>Waingmaw AG Church</c:v>
                </c:pt>
                <c:pt idx="123">
                  <c:v>Ward 2 Sai Taung Baptist Church, Seik Mu </c:v>
                </c:pt>
                <c:pt idx="124">
                  <c:v>Woi Chyai </c:v>
                </c:pt>
                <c:pt idx="125">
                  <c:v>Woi Chyai (Mong Lai)</c:v>
                </c:pt>
                <c:pt idx="126">
                  <c:v>Woi Chyai host families</c:v>
                </c:pt>
                <c:pt idx="127">
                  <c:v>Yumar Baptist Church</c:v>
                </c:pt>
                <c:pt idx="128">
                  <c:v>Zup Aung Camp</c:v>
                </c:pt>
                <c:pt idx="129">
                  <c:v>Emmanuel AG Church</c:v>
                </c:pt>
                <c:pt idx="130">
                  <c:v>Sadung</c:v>
                </c:pt>
                <c:pt idx="131">
                  <c:v>Lawa RC Church</c:v>
                </c:pt>
                <c:pt idx="132">
                  <c:v>Karmaing RC Church</c:v>
                </c:pt>
                <c:pt idx="133">
                  <c:v>Ka Bu Dam CoC</c:v>
                </c:pt>
                <c:pt idx="134">
                  <c:v>Pang Hkawn Yang</c:v>
                </c:pt>
                <c:pt idx="135">
                  <c:v>Lone Khin Catholic Church</c:v>
                </c:pt>
                <c:pt idx="136">
                  <c:v>Ma Hawng Baptist Church</c:v>
                </c:pt>
                <c:pt idx="137">
                  <c:v>Tanai KBC Camp</c:v>
                </c:pt>
                <c:pt idx="138">
                  <c:v>Nam Hpak Ka Ta'ang ( Aung Tha Pyay)</c:v>
                </c:pt>
                <c:pt idx="139">
                  <c:v>Mai Yu Lay New (Ta'ang)</c:v>
                </c:pt>
                <c:pt idx="140">
                  <c:v>Mine Yu Lay village ( Old)</c:v>
                </c:pt>
                <c:pt idx="141">
                  <c:v>Namti Labraw Yang KBC Camp</c:v>
                </c:pt>
                <c:pt idx="142">
                  <c:v>Trinity Camp</c:v>
                </c:pt>
                <c:pt idx="143">
                  <c:v>Jaw Masat Camp</c:v>
                </c:pt>
                <c:pt idx="144">
                  <c:v>Waimaw Baptist Zonal Office 2</c:v>
                </c:pt>
                <c:pt idx="145">
                  <c:v>Pa Dauk Myaing(Pa La Na)-II</c:v>
                </c:pt>
                <c:pt idx="146">
                  <c:v>St. Joseph Tanai RC camp </c:v>
                </c:pt>
                <c:pt idx="147">
                  <c:v>Galeng (Palaung) &amp; Kone Khem</c:v>
                </c:pt>
                <c:pt idx="148">
                  <c:v>Hu Hku &amp; Ho Hko</c:v>
                </c:pt>
                <c:pt idx="149">
                  <c:v>Hka Garan Yang </c:v>
                </c:pt>
                <c:pt idx="150">
                  <c:v>Htang Nya </c:v>
                </c:pt>
                <c:pt idx="151">
                  <c:v>Enai (Man Pyein)</c:v>
                </c:pt>
                <c:pt idx="152">
                  <c:v>AD 2000 School</c:v>
                </c:pt>
                <c:pt idx="153">
                  <c:v>Robert -High school</c:v>
                </c:pt>
                <c:pt idx="154">
                  <c:v>Pamati Camp</c:v>
                </c:pt>
                <c:pt idx="155">
                  <c:v>Momauk IDP new extension camp (Kye Nan)</c:v>
                </c:pt>
                <c:pt idx="156">
                  <c:v>Sector 5 Pammati Quarter</c:v>
                </c:pt>
                <c:pt idx="157">
                  <c:v>Namatee Kan Hla AG</c:v>
                </c:pt>
                <c:pt idx="158">
                  <c:v>His Aw (Chyu Fan) </c:v>
                </c:pt>
                <c:pt idx="159">
                  <c:v>Shwe Sin (Ward 3) </c:v>
                </c:pt>
                <c:pt idx="160">
                  <c:v>Bum Ra Yang Camp </c:v>
                </c:pt>
                <c:pt idx="161">
                  <c:v>Mang Nawng Kawng (host)</c:v>
                </c:pt>
                <c:pt idx="162">
                  <c:v>Hat Hlan village (host)</c:v>
                </c:pt>
                <c:pt idx="163">
                  <c:v>Kyaukme Town (host)</c:v>
                </c:pt>
                <c:pt idx="164">
                  <c:v>Nam Hlaing Extension Ward camp</c:v>
                </c:pt>
                <c:pt idx="165">
                  <c:v>Naung Tar Law (Kyet Chan) </c:v>
                </c:pt>
                <c:pt idx="166">
                  <c:v>Waingmaw St.Joseph RC Church</c:v>
                </c:pt>
                <c:pt idx="167">
                  <c:v>Waingmaw LBC church </c:v>
                </c:pt>
                <c:pt idx="168">
                  <c:v>Lisu Zonal camp</c:v>
                </c:pt>
                <c:pt idx="169">
                  <c:v>Phaug Nhae Camp</c:v>
                </c:pt>
                <c:pt idx="170">
                  <c:v>Yuu Ka lait Kone Camp</c:v>
                </c:pt>
                <c:pt idx="171">
                  <c:v>Lhaovo Baptist Convention  Old Office Camp</c:v>
                </c:pt>
                <c:pt idx="172">
                  <c:v>Ding Jang Yang (1)</c:v>
                </c:pt>
                <c:pt idx="173">
                  <c:v>Ding Jang Yang (2)</c:v>
                </c:pt>
                <c:pt idx="174">
                  <c:v>Naung Pataine/lachid </c:v>
                </c:pt>
                <c:pt idx="175">
                  <c:v>Momauk KBC church</c:v>
                </c:pt>
                <c:pt idx="176">
                  <c:v>St.Francis RCC 1</c:v>
                </c:pt>
                <c:pt idx="177">
                  <c:v>St.Francis RCC 2</c:v>
                </c:pt>
                <c:pt idx="178">
                  <c:v>Bang Yang Hka (Mung Ji Pa)-relocated</c:v>
                </c:pt>
                <c:pt idx="179">
                  <c:v>Galeng Zup Awng ward 5 RC</c:v>
                </c:pt>
                <c:pt idx="180">
                  <c:v>Man Wing- IDPs in Host</c:v>
                </c:pt>
                <c:pt idx="181">
                  <c:v>(3 mile) Shwe Pyi Tar (SLCA)</c:v>
                </c:pt>
                <c:pt idx="182">
                  <c:v>Bhamo- IDPs in Host </c:v>
                </c:pt>
                <c:pt idx="183">
                  <c:v>Chipwi Pan Wa  (Host IDP)</c:v>
                </c:pt>
                <c:pt idx="184">
                  <c:v>St.Columban lone Khin camp</c:v>
                </c:pt>
                <c:pt idx="185">
                  <c:v>Mansi- IDPs in Host</c:v>
                </c:pt>
                <c:pt idx="186">
                  <c:v>Hopin -IDPs in Host</c:v>
                </c:pt>
                <c:pt idx="187">
                  <c:v>Moenyin- IDPs in Host</c:v>
                </c:pt>
                <c:pt idx="188">
                  <c:v>Momauk-IDPs in Host</c:v>
                </c:pt>
                <c:pt idx="189">
                  <c:v>Myo Thit -IDP in Host</c:v>
                </c:pt>
                <c:pt idx="190">
                  <c:v>Saint Matthew (Shin ma ti-sitapru) camp</c:v>
                </c:pt>
                <c:pt idx="191">
                  <c:v>Nan Hlaing_new camp </c:v>
                </c:pt>
                <c:pt idx="192">
                  <c:v>Na ru Kawng (Post 6 camp)</c:v>
                </c:pt>
                <c:pt idx="193">
                  <c:v>Mong Wee Shan-relocated</c:v>
                </c:pt>
                <c:pt idx="194">
                  <c:v>Hseng Ja-Relocated</c:v>
                </c:pt>
                <c:pt idx="195">
                  <c:v>Maina Mu-yin  Baptist Church</c:v>
                </c:pt>
              </c:strCache>
            </c:strRef>
          </c:cat>
          <c:val>
            <c:numRef>
              <c:f>'By Camps'!$B$34</c:f>
              <c:numCache>
                <c:formatCode>General</c:formatCode>
                <c:ptCount val="196"/>
                <c:pt idx="0">
                  <c:v>54</c:v>
                </c:pt>
                <c:pt idx="1">
                  <c:v>1226</c:v>
                </c:pt>
                <c:pt idx="2">
                  <c:v>435</c:v>
                </c:pt>
                <c:pt idx="3">
                  <c:v>72</c:v>
                </c:pt>
                <c:pt idx="4">
                  <c:v>605</c:v>
                </c:pt>
                <c:pt idx="5">
                  <c:v>51</c:v>
                </c:pt>
                <c:pt idx="6">
                  <c:v>250</c:v>
                </c:pt>
                <c:pt idx="7">
                  <c:v>421</c:v>
                </c:pt>
                <c:pt idx="8">
                  <c:v>1887</c:v>
                </c:pt>
                <c:pt idx="9">
                  <c:v>24</c:v>
                </c:pt>
                <c:pt idx="10">
                  <c:v>878</c:v>
                </c:pt>
                <c:pt idx="11">
                  <c:v>442</c:v>
                </c:pt>
                <c:pt idx="12">
                  <c:v>197</c:v>
                </c:pt>
                <c:pt idx="13">
                  <c:v>394</c:v>
                </c:pt>
                <c:pt idx="14">
                  <c:v>410</c:v>
                </c:pt>
                <c:pt idx="15">
                  <c:v>291</c:v>
                </c:pt>
                <c:pt idx="16">
                  <c:v>895</c:v>
                </c:pt>
                <c:pt idx="17">
                  <c:v>132</c:v>
                </c:pt>
                <c:pt idx="18">
                  <c:v>934</c:v>
                </c:pt>
                <c:pt idx="19">
                  <c:v>504</c:v>
                </c:pt>
                <c:pt idx="20">
                  <c:v>837</c:v>
                </c:pt>
                <c:pt idx="21">
                  <c:v>3789</c:v>
                </c:pt>
                <c:pt idx="22">
                  <c:v>222</c:v>
                </c:pt>
                <c:pt idx="23">
                  <c:v>2131</c:v>
                </c:pt>
                <c:pt idx="24">
                  <c:v>1124</c:v>
                </c:pt>
                <c:pt idx="25">
                  <c:v>398</c:v>
                </c:pt>
                <c:pt idx="26">
                  <c:v>8486</c:v>
                </c:pt>
                <c:pt idx="27">
                  <c:v>100</c:v>
                </c:pt>
                <c:pt idx="28">
                  <c:v>106</c:v>
                </c:pt>
                <c:pt idx="29">
                  <c:v>244</c:v>
                </c:pt>
                <c:pt idx="30">
                  <c:v>180</c:v>
                </c:pt>
                <c:pt idx="31">
                  <c:v>270</c:v>
                </c:pt>
                <c:pt idx="32">
                  <c:v>66</c:v>
                </c:pt>
                <c:pt idx="33">
                  <c:v>2199</c:v>
                </c:pt>
                <c:pt idx="34">
                  <c:v>2691</c:v>
                </c:pt>
                <c:pt idx="35">
                  <c:v>633</c:v>
                </c:pt>
                <c:pt idx="36">
                  <c:v>680</c:v>
                </c:pt>
                <c:pt idx="37">
                  <c:v>676</c:v>
                </c:pt>
                <c:pt idx="38">
                  <c:v>884</c:v>
                </c:pt>
                <c:pt idx="39">
                  <c:v>100</c:v>
                </c:pt>
                <c:pt idx="40">
                  <c:v>54</c:v>
                </c:pt>
                <c:pt idx="41">
                  <c:v>689</c:v>
                </c:pt>
                <c:pt idx="42">
                  <c:v>127</c:v>
                </c:pt>
                <c:pt idx="43">
                  <c:v>239</c:v>
                </c:pt>
                <c:pt idx="44">
                  <c:v>426</c:v>
                </c:pt>
                <c:pt idx="45">
                  <c:v>1322</c:v>
                </c:pt>
                <c:pt idx="46">
                  <c:v>289</c:v>
                </c:pt>
                <c:pt idx="48">
                  <c:v>159</c:v>
                </c:pt>
                <c:pt idx="49">
                  <c:v>1736</c:v>
                </c:pt>
                <c:pt idx="50">
                  <c:v>2160</c:v>
                </c:pt>
                <c:pt idx="51">
                  <c:v>1776</c:v>
                </c:pt>
                <c:pt idx="52">
                  <c:v>2500</c:v>
                </c:pt>
                <c:pt idx="53">
                  <c:v>191</c:v>
                </c:pt>
                <c:pt idx="54">
                  <c:v>1599</c:v>
                </c:pt>
                <c:pt idx="55">
                  <c:v>694</c:v>
                </c:pt>
                <c:pt idx="56">
                  <c:v>290</c:v>
                </c:pt>
                <c:pt idx="57">
                  <c:v>741</c:v>
                </c:pt>
                <c:pt idx="58">
                  <c:v>590</c:v>
                </c:pt>
                <c:pt idx="59">
                  <c:v>547</c:v>
                </c:pt>
                <c:pt idx="60">
                  <c:v>120</c:v>
                </c:pt>
                <c:pt idx="61">
                  <c:v>104</c:v>
                </c:pt>
                <c:pt idx="62">
                  <c:v>655</c:v>
                </c:pt>
                <c:pt idx="63">
                  <c:v>538</c:v>
                </c:pt>
                <c:pt idx="64">
                  <c:v>2354</c:v>
                </c:pt>
                <c:pt idx="65">
                  <c:v>737</c:v>
                </c:pt>
                <c:pt idx="66">
                  <c:v>125</c:v>
                </c:pt>
                <c:pt idx="67">
                  <c:v>157</c:v>
                </c:pt>
                <c:pt idx="68">
                  <c:v>789</c:v>
                </c:pt>
                <c:pt idx="69">
                  <c:v>90</c:v>
                </c:pt>
                <c:pt idx="70">
                  <c:v>166</c:v>
                </c:pt>
                <c:pt idx="71">
                  <c:v>15</c:v>
                </c:pt>
                <c:pt idx="72">
                  <c:v>424</c:v>
                </c:pt>
                <c:pt idx="73">
                  <c:v>176</c:v>
                </c:pt>
                <c:pt idx="74">
                  <c:v>18</c:v>
                </c:pt>
                <c:pt idx="75">
                  <c:v>396</c:v>
                </c:pt>
                <c:pt idx="76">
                  <c:v>323</c:v>
                </c:pt>
                <c:pt idx="77">
                  <c:v>31</c:v>
                </c:pt>
                <c:pt idx="78">
                  <c:v>213</c:v>
                </c:pt>
                <c:pt idx="79">
                  <c:v>250</c:v>
                </c:pt>
                <c:pt idx="80">
                  <c:v>24</c:v>
                </c:pt>
                <c:pt idx="81">
                  <c:v>206</c:v>
                </c:pt>
                <c:pt idx="82">
                  <c:v>141</c:v>
                </c:pt>
                <c:pt idx="83">
                  <c:v>309</c:v>
                </c:pt>
                <c:pt idx="84">
                  <c:v>218</c:v>
                </c:pt>
                <c:pt idx="85">
                  <c:v>41</c:v>
                </c:pt>
                <c:pt idx="86">
                  <c:v>85</c:v>
                </c:pt>
                <c:pt idx="87">
                  <c:v>113</c:v>
                </c:pt>
                <c:pt idx="88">
                  <c:v>547</c:v>
                </c:pt>
                <c:pt idx="89">
                  <c:v>664</c:v>
                </c:pt>
                <c:pt idx="90">
                  <c:v>1675</c:v>
                </c:pt>
                <c:pt idx="91">
                  <c:v>299</c:v>
                </c:pt>
                <c:pt idx="92">
                  <c:v>299</c:v>
                </c:pt>
                <c:pt idx="93">
                  <c:v>895</c:v>
                </c:pt>
                <c:pt idx="94">
                  <c:v>2975</c:v>
                </c:pt>
                <c:pt idx="95">
                  <c:v>852</c:v>
                </c:pt>
                <c:pt idx="96">
                  <c:v>221</c:v>
                </c:pt>
                <c:pt idx="97">
                  <c:v>91</c:v>
                </c:pt>
                <c:pt idx="98">
                  <c:v>334</c:v>
                </c:pt>
                <c:pt idx="99">
                  <c:v>506</c:v>
                </c:pt>
                <c:pt idx="100">
                  <c:v>307</c:v>
                </c:pt>
                <c:pt idx="101">
                  <c:v>70</c:v>
                </c:pt>
                <c:pt idx="102">
                  <c:v>3860</c:v>
                </c:pt>
                <c:pt idx="103">
                  <c:v>325</c:v>
                </c:pt>
                <c:pt idx="104">
                  <c:v>136</c:v>
                </c:pt>
                <c:pt idx="105">
                  <c:v>255</c:v>
                </c:pt>
                <c:pt idx="106">
                  <c:v>1532</c:v>
                </c:pt>
                <c:pt idx="107">
                  <c:v>103</c:v>
                </c:pt>
                <c:pt idx="108">
                  <c:v>583</c:v>
                </c:pt>
                <c:pt idx="109">
                  <c:v>119</c:v>
                </c:pt>
                <c:pt idx="110">
                  <c:v>958</c:v>
                </c:pt>
                <c:pt idx="111">
                  <c:v>300</c:v>
                </c:pt>
                <c:pt idx="112">
                  <c:v>182</c:v>
                </c:pt>
                <c:pt idx="113">
                  <c:v>499</c:v>
                </c:pt>
                <c:pt idx="114">
                  <c:v>68</c:v>
                </c:pt>
                <c:pt idx="115">
                  <c:v>153</c:v>
                </c:pt>
                <c:pt idx="116">
                  <c:v>351</c:v>
                </c:pt>
                <c:pt idx="117">
                  <c:v>262</c:v>
                </c:pt>
                <c:pt idx="118">
                  <c:v>165</c:v>
                </c:pt>
                <c:pt idx="119">
                  <c:v>219</c:v>
                </c:pt>
                <c:pt idx="120">
                  <c:v>192</c:v>
                </c:pt>
                <c:pt idx="121">
                  <c:v>195</c:v>
                </c:pt>
                <c:pt idx="122">
                  <c:v>293</c:v>
                </c:pt>
                <c:pt idx="123">
                  <c:v>133</c:v>
                </c:pt>
                <c:pt idx="124">
                  <c:v>6861</c:v>
                </c:pt>
                <c:pt idx="125">
                  <c:v>709</c:v>
                </c:pt>
                <c:pt idx="126">
                  <c:v>2550</c:v>
                </c:pt>
                <c:pt idx="127">
                  <c:v>66</c:v>
                </c:pt>
                <c:pt idx="128">
                  <c:v>1101</c:v>
                </c:pt>
                <c:pt idx="129">
                  <c:v>32</c:v>
                </c:pt>
                <c:pt idx="130">
                  <c:v>247</c:v>
                </c:pt>
                <c:pt idx="131">
                  <c:v>242</c:v>
                </c:pt>
                <c:pt idx="132">
                  <c:v>52</c:v>
                </c:pt>
                <c:pt idx="133">
                  <c:v>43</c:v>
                </c:pt>
                <c:pt idx="134">
                  <c:v>1397</c:v>
                </c:pt>
                <c:pt idx="135">
                  <c:v>467</c:v>
                </c:pt>
                <c:pt idx="136">
                  <c:v>78</c:v>
                </c:pt>
                <c:pt idx="137">
                  <c:v>468</c:v>
                </c:pt>
                <c:pt idx="138">
                  <c:v>158</c:v>
                </c:pt>
                <c:pt idx="139">
                  <c:v>502</c:v>
                </c:pt>
                <c:pt idx="140">
                  <c:v>251</c:v>
                </c:pt>
                <c:pt idx="141">
                  <c:v>474</c:v>
                </c:pt>
                <c:pt idx="142">
                  <c:v>866</c:v>
                </c:pt>
                <c:pt idx="143">
                  <c:v>612</c:v>
                </c:pt>
                <c:pt idx="144">
                  <c:v>351</c:v>
                </c:pt>
                <c:pt idx="145">
                  <c:v>1365</c:v>
                </c:pt>
                <c:pt idx="146">
                  <c:v>622</c:v>
                </c:pt>
                <c:pt idx="147">
                  <c:v>439</c:v>
                </c:pt>
                <c:pt idx="148">
                  <c:v>130</c:v>
                </c:pt>
                <c:pt idx="149">
                  <c:v>171</c:v>
                </c:pt>
                <c:pt idx="150">
                  <c:v>16</c:v>
                </c:pt>
                <c:pt idx="151">
                  <c:v>103</c:v>
                </c:pt>
                <c:pt idx="154">
                  <c:v>143</c:v>
                </c:pt>
                <c:pt idx="155">
                  <c:v>267</c:v>
                </c:pt>
                <c:pt idx="156">
                  <c:v>147</c:v>
                </c:pt>
                <c:pt idx="157">
                  <c:v>36</c:v>
                </c:pt>
                <c:pt idx="158">
                  <c:v>1674</c:v>
                </c:pt>
                <c:pt idx="159">
                  <c:v>3469</c:v>
                </c:pt>
                <c:pt idx="160">
                  <c:v>586</c:v>
                </c:pt>
                <c:pt idx="161">
                  <c:v>91</c:v>
                </c:pt>
                <c:pt idx="162">
                  <c:v>29</c:v>
                </c:pt>
                <c:pt idx="163">
                  <c:v>504</c:v>
                </c:pt>
                <c:pt idx="164">
                  <c:v>168</c:v>
                </c:pt>
                <c:pt idx="165">
                  <c:v>80</c:v>
                </c:pt>
                <c:pt idx="166">
                  <c:v>139</c:v>
                </c:pt>
                <c:pt idx="167">
                  <c:v>231</c:v>
                </c:pt>
                <c:pt idx="168">
                  <c:v>220</c:v>
                </c:pt>
                <c:pt idx="169">
                  <c:v>183</c:v>
                </c:pt>
                <c:pt idx="170">
                  <c:v>247</c:v>
                </c:pt>
                <c:pt idx="171">
                  <c:v>247</c:v>
                </c:pt>
                <c:pt idx="172">
                  <c:v>240</c:v>
                </c:pt>
                <c:pt idx="173">
                  <c:v>189</c:v>
                </c:pt>
                <c:pt idx="174">
                  <c:v>59</c:v>
                </c:pt>
                <c:pt idx="175">
                  <c:v>1340</c:v>
                </c:pt>
                <c:pt idx="176">
                  <c:v>267</c:v>
                </c:pt>
                <c:pt idx="177">
                  <c:v>412</c:v>
                </c:pt>
                <c:pt idx="178">
                  <c:v>162</c:v>
                </c:pt>
                <c:pt idx="179">
                  <c:v>132</c:v>
                </c:pt>
                <c:pt idx="180">
                  <c:v>544</c:v>
                </c:pt>
                <c:pt idx="181">
                  <c:v>60</c:v>
                </c:pt>
                <c:pt idx="182">
                  <c:v>906</c:v>
                </c:pt>
                <c:pt idx="183">
                  <c:v>264</c:v>
                </c:pt>
                <c:pt idx="184">
                  <c:v>472</c:v>
                </c:pt>
                <c:pt idx="185">
                  <c:v>308</c:v>
                </c:pt>
                <c:pt idx="186">
                  <c:v>126</c:v>
                </c:pt>
                <c:pt idx="187">
                  <c:v>71</c:v>
                </c:pt>
                <c:pt idx="188">
                  <c:v>1067</c:v>
                </c:pt>
                <c:pt idx="189">
                  <c:v>101</c:v>
                </c:pt>
                <c:pt idx="190">
                  <c:v>83</c:v>
                </c:pt>
                <c:pt idx="191">
                  <c:v>189</c:v>
                </c:pt>
                <c:pt idx="192">
                  <c:v>319</c:v>
                </c:pt>
                <c:pt idx="193">
                  <c:v>292</c:v>
                </c:pt>
                <c:pt idx="194">
                  <c:v>77</c:v>
                </c:pt>
                <c:pt idx="195">
                  <c:v>221</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196"/>
                <c:pt idx="0">
                  <c:v>AD-2000 Extension camp</c:v>
                </c:pt>
                <c:pt idx="1">
                  <c:v>AD-2000 Tharthana Compound</c:v>
                </c:pt>
                <c:pt idx="2">
                  <c:v>AG Church, Hmaw Si Sa</c:v>
                </c:pt>
                <c:pt idx="3">
                  <c:v>AG Church, Maw Wan</c:v>
                </c:pt>
                <c:pt idx="4">
                  <c:v>Agritural Compound (KBC)</c:v>
                </c:pt>
                <c:pt idx="5">
                  <c:v>Aung Thar Church</c:v>
                </c:pt>
                <c:pt idx="6">
                  <c:v>Baptist Church, Hmaw Si Sar(Lon Khin)</c:v>
                </c:pt>
                <c:pt idx="7">
                  <c:v>Border Post 8</c:v>
                </c:pt>
                <c:pt idx="8">
                  <c:v>Bum Tsit Pa</c:v>
                </c:pt>
                <c:pt idx="9">
                  <c:v>Chin Church, Seik Mu</c:v>
                </c:pt>
                <c:pt idx="10">
                  <c:v>Chipwi KBC camp</c:v>
                </c:pt>
                <c:pt idx="11">
                  <c:v>Dhama Rakhita, Nyein Chan Tar Yar Ward(Lon Khin)</c:v>
                </c:pt>
                <c:pt idx="12">
                  <c:v>Du Kahtawng Baptist</c:v>
                </c:pt>
                <c:pt idx="13">
                  <c:v>Dum Bung </c:v>
                </c:pt>
                <c:pt idx="14">
                  <c:v>Hka Shi</c:v>
                </c:pt>
                <c:pt idx="15">
                  <c:v>Hkat Cho </c:v>
                </c:pt>
                <c:pt idx="16">
                  <c:v>Hkau Shau (BP 12)</c:v>
                </c:pt>
                <c:pt idx="17">
                  <c:v>Hlaing Naung Baptist</c:v>
                </c:pt>
                <c:pt idx="18">
                  <c:v>Hpai Kawng</c:v>
                </c:pt>
                <c:pt idx="19">
                  <c:v>Hpakant Baptist Church, Nam Ma Hpit</c:v>
                </c:pt>
                <c:pt idx="20">
                  <c:v>Hpare Hkyer - BP6</c:v>
                </c:pt>
                <c:pt idx="21">
                  <c:v>Hpun Lum Yang </c:v>
                </c:pt>
                <c:pt idx="22">
                  <c:v>Htoi San Church</c:v>
                </c:pt>
                <c:pt idx="23">
                  <c:v>IDP Boarding School, A Len Bum</c:v>
                </c:pt>
                <c:pt idx="24">
                  <c:v>Jan Mai Kawng Baptist Church</c:v>
                </c:pt>
                <c:pt idx="25">
                  <c:v>Jan Mai Kawng Catholic Church</c:v>
                </c:pt>
                <c:pt idx="26">
                  <c:v>Je Yang Hka </c:v>
                </c:pt>
                <c:pt idx="27">
                  <c:v>Kachin Su Baptist Church (ECCD)</c:v>
                </c:pt>
                <c:pt idx="28">
                  <c:v>Khar Nan (1) Baptist Church</c:v>
                </c:pt>
                <c:pt idx="29">
                  <c:v>Kutkai downtown (KBC Church)</c:v>
                </c:pt>
                <c:pt idx="30">
                  <c:v>Kutkai downtown (KBC Church-2)</c:v>
                </c:pt>
                <c:pt idx="31">
                  <c:v>Kyu Sot</c:v>
                </c:pt>
                <c:pt idx="32">
                  <c:v>Kyun Taw Baptist Church </c:v>
                </c:pt>
                <c:pt idx="33">
                  <c:v>Laiza Je Yang School</c:v>
                </c:pt>
                <c:pt idx="34">
                  <c:v>Lana Zup Ja</c:v>
                </c:pt>
                <c:pt idx="35">
                  <c:v>Lawng Hkang Shait Yang Camp​ ( Lel Pyin)​ </c:v>
                </c:pt>
                <c:pt idx="36">
                  <c:v>Le Kone Bethlehem Church</c:v>
                </c:pt>
                <c:pt idx="37">
                  <c:v>Le Kone Ziun Baptist Church </c:v>
                </c:pt>
                <c:pt idx="38">
                  <c:v>Lhaovao Baptist Church (LBC)</c:v>
                </c:pt>
                <c:pt idx="39">
                  <c:v>Lisu Baptist Church, Maw Shan Vil,. Seik Mu</c:v>
                </c:pt>
                <c:pt idx="40">
                  <c:v>Lisu Baptist Church, Maw Wan Ward</c:v>
                </c:pt>
                <c:pt idx="41">
                  <c:v>Lisu Boarding-House</c:v>
                </c:pt>
                <c:pt idx="42">
                  <c:v>Lisu Church Namtu</c:v>
                </c:pt>
                <c:pt idx="43">
                  <c:v>Loi Je Baptist Church</c:v>
                </c:pt>
                <c:pt idx="44">
                  <c:v>Loi Je Catholic Church</c:v>
                </c:pt>
                <c:pt idx="45">
                  <c:v>Loi Je Lisu Camp</c:v>
                </c:pt>
                <c:pt idx="46">
                  <c:v>Lung Sut</c:v>
                </c:pt>
                <c:pt idx="47">
                  <c:v>Lwegel High School</c:v>
                </c:pt>
                <c:pt idx="48">
                  <c:v>Mading Baptist Church</c:v>
                </c:pt>
                <c:pt idx="49">
                  <c:v>Maga Yang </c:v>
                </c:pt>
                <c:pt idx="50">
                  <c:v>Maina AG Church</c:v>
                </c:pt>
                <c:pt idx="51">
                  <c:v>Maina Catholic Church (St. Joseph)</c:v>
                </c:pt>
                <c:pt idx="52">
                  <c:v>Maina KBC (Bawng Ring)</c:v>
                </c:pt>
                <c:pt idx="53">
                  <c:v>Maina Lawang Baptist Church</c:v>
                </c:pt>
                <c:pt idx="54">
                  <c:v>Maing Khaung</c:v>
                </c:pt>
                <c:pt idx="55">
                  <c:v>Maing Khaung Catholic Church</c:v>
                </c:pt>
                <c:pt idx="56">
                  <c:v>Maliyang Baptist Church</c:v>
                </c:pt>
                <c:pt idx="57">
                  <c:v>Man Bung Catholic compound</c:v>
                </c:pt>
                <c:pt idx="58">
                  <c:v>Man Bung Edin Baptist Church</c:v>
                </c:pt>
                <c:pt idx="59">
                  <c:v>Man Hkring Baptist Church</c:v>
                </c:pt>
                <c:pt idx="60">
                  <c:v>Man Kaung/Naung Ti Kyar Village</c:v>
                </c:pt>
                <c:pt idx="61">
                  <c:v>Man Loi</c:v>
                </c:pt>
                <c:pt idx="62">
                  <c:v>Man Wing Baptist Church</c:v>
                </c:pt>
                <c:pt idx="63">
                  <c:v>Man Wing Baptist Church Cultural Compound</c:v>
                </c:pt>
                <c:pt idx="64">
                  <c:v>Man Wing Catholic Church</c:v>
                </c:pt>
                <c:pt idx="65">
                  <c:v>Man Wing Catholic Church II</c:v>
                </c:pt>
                <c:pt idx="66">
                  <c:v>Mandung - Jinghpaw</c:v>
                </c:pt>
                <c:pt idx="67">
                  <c:v>Mandung - RC</c:v>
                </c:pt>
                <c:pt idx="68">
                  <c:v>Mansi Baptist Church</c:v>
                </c:pt>
                <c:pt idx="69">
                  <c:v>Maw Hpawng Hka Nan Baptist Church</c:v>
                </c:pt>
                <c:pt idx="70">
                  <c:v>Maw Hpawng Lhaovo Baptist Church</c:v>
                </c:pt>
                <c:pt idx="71">
                  <c:v>Maw Wan, Mu-yin Baptist Church</c:v>
                </c:pt>
                <c:pt idx="72">
                  <c:v>Momauk Baptist Church</c:v>
                </c:pt>
                <c:pt idx="73">
                  <c:v>Mung Hawm </c:v>
                </c:pt>
                <c:pt idx="74">
                  <c:v>Muyin church (Aung Yar pre-school compound)</c:v>
                </c:pt>
                <c:pt idx="75">
                  <c:v>Nam Hkam - Nay Win Ni (Palawng)</c:v>
                </c:pt>
                <c:pt idx="76">
                  <c:v>Nam Hkam (KBC Jaw Wang)</c:v>
                </c:pt>
                <c:pt idx="77">
                  <c:v>Nam Hkam (KBC Jaw Wang) II</c:v>
                </c:pt>
                <c:pt idx="78">
                  <c:v>Nam Hkam Catholic Church ( St. Thomas I)</c:v>
                </c:pt>
                <c:pt idx="79">
                  <c:v>Nam Hpak Ka Mare </c:v>
                </c:pt>
                <c:pt idx="80">
                  <c:v>Nam Ma Phyit, COC</c:v>
                </c:pt>
                <c:pt idx="81">
                  <c:v>Nam Sa Larp</c:v>
                </c:pt>
                <c:pt idx="82">
                  <c:v>Nam Tu Baptist</c:v>
                </c:pt>
                <c:pt idx="83">
                  <c:v>Nan Kway St. John Catholic Church</c:v>
                </c:pt>
                <c:pt idx="84">
                  <c:v>Nant Ma Hpit Catholic Church</c:v>
                </c:pt>
                <c:pt idx="85">
                  <c:v>Nat Gyi Kone Baptist Church </c:v>
                </c:pt>
                <c:pt idx="86">
                  <c:v>Nawng Hee Village</c:v>
                </c:pt>
                <c:pt idx="87">
                  <c:v>Nawng Ing (Indawgyi) Baptist Church </c:v>
                </c:pt>
                <c:pt idx="88">
                  <c:v>Ndup Yang</c:v>
                </c:pt>
                <c:pt idx="89">
                  <c:v>New Pang Ku </c:v>
                </c:pt>
                <c:pt idx="90">
                  <c:v>Nhkawng Pa </c:v>
                </c:pt>
                <c:pt idx="91">
                  <c:v>Njang Dung Baptist Church </c:v>
                </c:pt>
                <c:pt idx="92">
                  <c:v>Nyaung Na Pin </c:v>
                </c:pt>
                <c:pt idx="93">
                  <c:v>Pa Dauk Myaing(Pa La Na)</c:v>
                </c:pt>
                <c:pt idx="94">
                  <c:v>Pa Kahtawng </c:v>
                </c:pt>
                <c:pt idx="95">
                  <c:v>Pajau - Jan Mai</c:v>
                </c:pt>
                <c:pt idx="96">
                  <c:v>Pan Law</c:v>
                </c:pt>
                <c:pt idx="97">
                  <c:v>Pan Ta Pyae</c:v>
                </c:pt>
                <c:pt idx="98">
                  <c:v>Phan Khar Kone</c:v>
                </c:pt>
                <c:pt idx="99">
                  <c:v>Qtr. 2 Lhaovo Baptist Church</c:v>
                </c:pt>
                <c:pt idx="100">
                  <c:v>Qtr. 2 Myoma Baptist Church</c:v>
                </c:pt>
                <c:pt idx="101">
                  <c:v>Rawan Baptist Church, Maw Shan Vil., Seik Mu</c:v>
                </c:pt>
                <c:pt idx="102">
                  <c:v>Robert Church</c:v>
                </c:pt>
                <c:pt idx="103">
                  <c:v>Salang Yang</c:v>
                </c:pt>
                <c:pt idx="104">
                  <c:v>Sar Hmaw - KBC</c:v>
                </c:pt>
                <c:pt idx="105">
                  <c:v>Seng Ja </c:v>
                </c:pt>
                <c:pt idx="106">
                  <c:v>Sha-It Yang</c:v>
                </c:pt>
                <c:pt idx="107">
                  <c:v>Shar Du Zut KBC church </c:v>
                </c:pt>
                <c:pt idx="108">
                  <c:v>Shatapru Sut Ngai Tawng</c:v>
                </c:pt>
                <c:pt idx="109">
                  <c:v>Shatapru Thida Aye Baptist Church</c:v>
                </c:pt>
                <c:pt idx="110">
                  <c:v>Shing Jai</c:v>
                </c:pt>
                <c:pt idx="111">
                  <c:v>Shwe Gu Baptist Church</c:v>
                </c:pt>
                <c:pt idx="112">
                  <c:v>Shwe Gu Catholic Church</c:v>
                </c:pt>
                <c:pt idx="113">
                  <c:v>Shwe Zet Baptist Church</c:v>
                </c:pt>
                <c:pt idx="114">
                  <c:v>St. Patrick Catholic Church </c:v>
                </c:pt>
                <c:pt idx="115">
                  <c:v>Tanai CoC</c:v>
                </c:pt>
                <c:pt idx="116">
                  <c:v>Tat Kone Baptist Church</c:v>
                </c:pt>
                <c:pt idx="117">
                  <c:v>Tat Kone COC Baptist - Tat Kone Htoi San</c:v>
                </c:pt>
                <c:pt idx="118">
                  <c:v>Tat Kone Galile Baptist Church</c:v>
                </c:pt>
                <c:pt idx="119">
                  <c:v>Tat Kone San Pya Baptist Church</c:v>
                </c:pt>
                <c:pt idx="120">
                  <c:v>Thargaya Lisu Baptist Church</c:v>
                </c:pt>
                <c:pt idx="121">
                  <c:v>Tsan Lun - Namjarap</c:v>
                </c:pt>
                <c:pt idx="122">
                  <c:v>Waingmaw AG Church</c:v>
                </c:pt>
                <c:pt idx="123">
                  <c:v>Ward 2 Sai Taung Baptist Church, Seik Mu </c:v>
                </c:pt>
                <c:pt idx="124">
                  <c:v>Woi Chyai </c:v>
                </c:pt>
                <c:pt idx="125">
                  <c:v>Woi Chyai (Mong Lai)</c:v>
                </c:pt>
                <c:pt idx="126">
                  <c:v>Woi Chyai host families</c:v>
                </c:pt>
                <c:pt idx="127">
                  <c:v>Yumar Baptist Church</c:v>
                </c:pt>
                <c:pt idx="128">
                  <c:v>Zup Aung Camp</c:v>
                </c:pt>
                <c:pt idx="129">
                  <c:v>Emmanuel AG Church</c:v>
                </c:pt>
                <c:pt idx="130">
                  <c:v>Sadung</c:v>
                </c:pt>
                <c:pt idx="131">
                  <c:v>Lawa RC Church</c:v>
                </c:pt>
                <c:pt idx="132">
                  <c:v>Karmaing RC Church</c:v>
                </c:pt>
                <c:pt idx="133">
                  <c:v>Ka Bu Dam CoC</c:v>
                </c:pt>
                <c:pt idx="134">
                  <c:v>Pang Hkawn Yang</c:v>
                </c:pt>
                <c:pt idx="135">
                  <c:v>Lone Khin Catholic Church</c:v>
                </c:pt>
                <c:pt idx="136">
                  <c:v>Ma Hawng Baptist Church</c:v>
                </c:pt>
                <c:pt idx="137">
                  <c:v>Tanai KBC Camp</c:v>
                </c:pt>
                <c:pt idx="138">
                  <c:v>Nam Hpak Ka Ta'ang ( Aung Tha Pyay)</c:v>
                </c:pt>
                <c:pt idx="139">
                  <c:v>Mai Yu Lay New (Ta'ang)</c:v>
                </c:pt>
                <c:pt idx="140">
                  <c:v>Mine Yu Lay village ( Old)</c:v>
                </c:pt>
                <c:pt idx="141">
                  <c:v>Namti Labraw Yang KBC Camp</c:v>
                </c:pt>
                <c:pt idx="142">
                  <c:v>Trinity Camp</c:v>
                </c:pt>
                <c:pt idx="143">
                  <c:v>Jaw Masat Camp</c:v>
                </c:pt>
                <c:pt idx="144">
                  <c:v>Waimaw Baptist Zonal Office 2</c:v>
                </c:pt>
                <c:pt idx="145">
                  <c:v>Pa Dauk Myaing(Pa La Na)-II</c:v>
                </c:pt>
                <c:pt idx="146">
                  <c:v>St. Joseph Tanai RC camp </c:v>
                </c:pt>
                <c:pt idx="147">
                  <c:v>Galeng (Palaung) &amp; Kone Khem</c:v>
                </c:pt>
                <c:pt idx="148">
                  <c:v>Hu Hku &amp; Ho Hko</c:v>
                </c:pt>
                <c:pt idx="149">
                  <c:v>Hka Garan Yang </c:v>
                </c:pt>
                <c:pt idx="150">
                  <c:v>Htang Nya </c:v>
                </c:pt>
                <c:pt idx="151">
                  <c:v>Enai (Man Pyein)</c:v>
                </c:pt>
                <c:pt idx="152">
                  <c:v>AD 2000 School</c:v>
                </c:pt>
                <c:pt idx="153">
                  <c:v>Robert -High school</c:v>
                </c:pt>
                <c:pt idx="154">
                  <c:v>Pamati Camp</c:v>
                </c:pt>
                <c:pt idx="155">
                  <c:v>Momauk IDP new extension camp (Kye Nan)</c:v>
                </c:pt>
                <c:pt idx="156">
                  <c:v>Sector 5 Pammati Quarter</c:v>
                </c:pt>
                <c:pt idx="157">
                  <c:v>Namatee Kan Hla AG</c:v>
                </c:pt>
                <c:pt idx="158">
                  <c:v>His Aw (Chyu Fan) </c:v>
                </c:pt>
                <c:pt idx="159">
                  <c:v>Shwe Sin (Ward 3) </c:v>
                </c:pt>
                <c:pt idx="160">
                  <c:v>Bum Ra Yang Camp </c:v>
                </c:pt>
                <c:pt idx="161">
                  <c:v>Mang Nawng Kawng (host)</c:v>
                </c:pt>
                <c:pt idx="162">
                  <c:v>Hat Hlan village (host)</c:v>
                </c:pt>
                <c:pt idx="163">
                  <c:v>Kyaukme Town (host)</c:v>
                </c:pt>
                <c:pt idx="164">
                  <c:v>Nam Hlaing Extension Ward camp</c:v>
                </c:pt>
                <c:pt idx="165">
                  <c:v>Naung Tar Law (Kyet Chan) </c:v>
                </c:pt>
                <c:pt idx="166">
                  <c:v>Waingmaw St.Joseph RC Church</c:v>
                </c:pt>
                <c:pt idx="167">
                  <c:v>Waingmaw LBC church </c:v>
                </c:pt>
                <c:pt idx="168">
                  <c:v>Lisu Zonal camp</c:v>
                </c:pt>
                <c:pt idx="169">
                  <c:v>Phaug Nhae Camp</c:v>
                </c:pt>
                <c:pt idx="170">
                  <c:v>Yuu Ka lait Kone Camp</c:v>
                </c:pt>
                <c:pt idx="171">
                  <c:v>Lhaovo Baptist Convention  Old Office Camp</c:v>
                </c:pt>
                <c:pt idx="172">
                  <c:v>Ding Jang Yang (1)</c:v>
                </c:pt>
                <c:pt idx="173">
                  <c:v>Ding Jang Yang (2)</c:v>
                </c:pt>
                <c:pt idx="174">
                  <c:v>Naung Pataine/lachid </c:v>
                </c:pt>
                <c:pt idx="175">
                  <c:v>Momauk KBC church</c:v>
                </c:pt>
                <c:pt idx="176">
                  <c:v>St.Francis RCC 1</c:v>
                </c:pt>
                <c:pt idx="177">
                  <c:v>St.Francis RCC 2</c:v>
                </c:pt>
                <c:pt idx="178">
                  <c:v>Bang Yang Hka (Mung Ji Pa)-relocated</c:v>
                </c:pt>
                <c:pt idx="179">
                  <c:v>Galeng Zup Awng ward 5 RC</c:v>
                </c:pt>
                <c:pt idx="180">
                  <c:v>Man Wing- IDPs in Host</c:v>
                </c:pt>
                <c:pt idx="181">
                  <c:v>(3 mile) Shwe Pyi Tar (SLCA)</c:v>
                </c:pt>
                <c:pt idx="182">
                  <c:v>Bhamo- IDPs in Host </c:v>
                </c:pt>
                <c:pt idx="183">
                  <c:v>Chipwi Pan Wa  (Host IDP)</c:v>
                </c:pt>
                <c:pt idx="184">
                  <c:v>St.Columban lone Khin camp</c:v>
                </c:pt>
                <c:pt idx="185">
                  <c:v>Mansi- IDPs in Host</c:v>
                </c:pt>
                <c:pt idx="186">
                  <c:v>Hopin -IDPs in Host</c:v>
                </c:pt>
                <c:pt idx="187">
                  <c:v>Moenyin- IDPs in Host</c:v>
                </c:pt>
                <c:pt idx="188">
                  <c:v>Momauk-IDPs in Host</c:v>
                </c:pt>
                <c:pt idx="189">
                  <c:v>Myo Thit -IDP in Host</c:v>
                </c:pt>
                <c:pt idx="190">
                  <c:v>Saint Matthew (Shin ma ti-sitapru) camp</c:v>
                </c:pt>
                <c:pt idx="191">
                  <c:v>Nan Hlaing_new camp </c:v>
                </c:pt>
                <c:pt idx="192">
                  <c:v>Na ru Kawng (Post 6 camp)</c:v>
                </c:pt>
                <c:pt idx="193">
                  <c:v>Mong Wee Shan-relocated</c:v>
                </c:pt>
                <c:pt idx="194">
                  <c:v>Hseng Ja-Relocated</c:v>
                </c:pt>
                <c:pt idx="195">
                  <c:v>Maina Mu-yin  Baptist Church</c:v>
                </c:pt>
              </c:strCache>
            </c:strRef>
          </c:cat>
          <c:val>
            <c:numRef>
              <c:f>'By Camps'!$B$34</c:f>
              <c:numCache>
                <c:formatCode>General</c:formatCode>
                <c:ptCount val="196"/>
                <c:pt idx="0">
                  <c:v>0</c:v>
                </c:pt>
                <c:pt idx="1">
                  <c:v>1226</c:v>
                </c:pt>
                <c:pt idx="2">
                  <c:v>435</c:v>
                </c:pt>
                <c:pt idx="3">
                  <c:v>72</c:v>
                </c:pt>
                <c:pt idx="4">
                  <c:v>500</c:v>
                </c:pt>
                <c:pt idx="5">
                  <c:v>51</c:v>
                </c:pt>
                <c:pt idx="6">
                  <c:v>250</c:v>
                </c:pt>
                <c:pt idx="7">
                  <c:v>421</c:v>
                </c:pt>
                <c:pt idx="8">
                  <c:v>1887</c:v>
                </c:pt>
                <c:pt idx="9">
                  <c:v>24</c:v>
                </c:pt>
                <c:pt idx="10">
                  <c:v>500</c:v>
                </c:pt>
                <c:pt idx="11">
                  <c:v>442</c:v>
                </c:pt>
                <c:pt idx="12">
                  <c:v>197</c:v>
                </c:pt>
                <c:pt idx="13">
                  <c:v>394</c:v>
                </c:pt>
                <c:pt idx="14">
                  <c:v>205</c:v>
                </c:pt>
                <c:pt idx="15">
                  <c:v>291</c:v>
                </c:pt>
                <c:pt idx="16">
                  <c:v>895</c:v>
                </c:pt>
                <c:pt idx="17">
                  <c:v>132</c:v>
                </c:pt>
                <c:pt idx="18">
                  <c:v>934</c:v>
                </c:pt>
                <c:pt idx="19">
                  <c:v>504</c:v>
                </c:pt>
                <c:pt idx="20">
                  <c:v>837</c:v>
                </c:pt>
                <c:pt idx="21">
                  <c:v>500</c:v>
                </c:pt>
                <c:pt idx="22">
                  <c:v>222</c:v>
                </c:pt>
                <c:pt idx="23">
                  <c:v>440</c:v>
                </c:pt>
                <c:pt idx="24">
                  <c:v>1124</c:v>
                </c:pt>
                <c:pt idx="25">
                  <c:v>398</c:v>
                </c:pt>
                <c:pt idx="26">
                  <c:v>4500</c:v>
                </c:pt>
                <c:pt idx="27">
                  <c:v>100</c:v>
                </c:pt>
                <c:pt idx="28">
                  <c:v>106</c:v>
                </c:pt>
                <c:pt idx="29">
                  <c:v>244</c:v>
                </c:pt>
                <c:pt idx="30">
                  <c:v>180</c:v>
                </c:pt>
                <c:pt idx="31">
                  <c:v>270</c:v>
                </c:pt>
                <c:pt idx="32">
                  <c:v>66</c:v>
                </c:pt>
                <c:pt idx="33">
                  <c:v>440</c:v>
                </c:pt>
                <c:pt idx="34">
                  <c:v>2691</c:v>
                </c:pt>
                <c:pt idx="35">
                  <c:v>500</c:v>
                </c:pt>
                <c:pt idx="36">
                  <c:v>680</c:v>
                </c:pt>
                <c:pt idx="37">
                  <c:v>676</c:v>
                </c:pt>
                <c:pt idx="38">
                  <c:v>500</c:v>
                </c:pt>
                <c:pt idx="39">
                  <c:v>100</c:v>
                </c:pt>
                <c:pt idx="40">
                  <c:v>54</c:v>
                </c:pt>
                <c:pt idx="41">
                  <c:v>440</c:v>
                </c:pt>
                <c:pt idx="42">
                  <c:v>127</c:v>
                </c:pt>
                <c:pt idx="43">
                  <c:v>239</c:v>
                </c:pt>
                <c:pt idx="44">
                  <c:v>426</c:v>
                </c:pt>
                <c:pt idx="45">
                  <c:v>1322</c:v>
                </c:pt>
                <c:pt idx="46">
                  <c:v>289</c:v>
                </c:pt>
                <c:pt idx="47">
                  <c:v>0</c:v>
                </c:pt>
                <c:pt idx="48">
                  <c:v>159</c:v>
                </c:pt>
                <c:pt idx="49">
                  <c:v>1736</c:v>
                </c:pt>
                <c:pt idx="50">
                  <c:v>1000</c:v>
                </c:pt>
                <c:pt idx="51">
                  <c:v>30</c:v>
                </c:pt>
                <c:pt idx="52">
                  <c:v>2500</c:v>
                </c:pt>
                <c:pt idx="53">
                  <c:v>191</c:v>
                </c:pt>
                <c:pt idx="54">
                  <c:v>1599</c:v>
                </c:pt>
                <c:pt idx="55">
                  <c:v>694</c:v>
                </c:pt>
                <c:pt idx="56">
                  <c:v>290</c:v>
                </c:pt>
                <c:pt idx="57">
                  <c:v>500</c:v>
                </c:pt>
                <c:pt idx="58">
                  <c:v>590</c:v>
                </c:pt>
                <c:pt idx="59">
                  <c:v>547</c:v>
                </c:pt>
                <c:pt idx="60">
                  <c:v>30</c:v>
                </c:pt>
                <c:pt idx="61">
                  <c:v>104</c:v>
                </c:pt>
                <c:pt idx="62">
                  <c:v>500</c:v>
                </c:pt>
                <c:pt idx="63">
                  <c:v>50</c:v>
                </c:pt>
                <c:pt idx="64">
                  <c:v>500</c:v>
                </c:pt>
                <c:pt idx="65">
                  <c:v>30</c:v>
                </c:pt>
                <c:pt idx="66">
                  <c:v>125</c:v>
                </c:pt>
                <c:pt idx="67">
                  <c:v>157</c:v>
                </c:pt>
                <c:pt idx="68">
                  <c:v>789</c:v>
                </c:pt>
                <c:pt idx="69">
                  <c:v>90</c:v>
                </c:pt>
                <c:pt idx="70">
                  <c:v>166</c:v>
                </c:pt>
                <c:pt idx="71">
                  <c:v>15</c:v>
                </c:pt>
                <c:pt idx="72">
                  <c:v>424</c:v>
                </c:pt>
                <c:pt idx="73">
                  <c:v>176</c:v>
                </c:pt>
                <c:pt idx="74">
                  <c:v>18</c:v>
                </c:pt>
                <c:pt idx="75">
                  <c:v>396</c:v>
                </c:pt>
                <c:pt idx="76">
                  <c:v>323</c:v>
                </c:pt>
                <c:pt idx="77">
                  <c:v>31</c:v>
                </c:pt>
                <c:pt idx="78">
                  <c:v>213</c:v>
                </c:pt>
                <c:pt idx="79">
                  <c:v>250</c:v>
                </c:pt>
                <c:pt idx="80">
                  <c:v>24</c:v>
                </c:pt>
                <c:pt idx="81">
                  <c:v>206</c:v>
                </c:pt>
                <c:pt idx="82">
                  <c:v>141</c:v>
                </c:pt>
                <c:pt idx="83">
                  <c:v>309</c:v>
                </c:pt>
                <c:pt idx="84">
                  <c:v>218</c:v>
                </c:pt>
                <c:pt idx="85">
                  <c:v>41</c:v>
                </c:pt>
                <c:pt idx="86">
                  <c:v>85</c:v>
                </c:pt>
                <c:pt idx="87">
                  <c:v>113</c:v>
                </c:pt>
                <c:pt idx="88">
                  <c:v>547</c:v>
                </c:pt>
                <c:pt idx="89">
                  <c:v>500</c:v>
                </c:pt>
                <c:pt idx="90">
                  <c:v>1675</c:v>
                </c:pt>
                <c:pt idx="91">
                  <c:v>299</c:v>
                </c:pt>
                <c:pt idx="92">
                  <c:v>299</c:v>
                </c:pt>
                <c:pt idx="93">
                  <c:v>895</c:v>
                </c:pt>
                <c:pt idx="94">
                  <c:v>2975</c:v>
                </c:pt>
                <c:pt idx="95">
                  <c:v>852</c:v>
                </c:pt>
                <c:pt idx="96">
                  <c:v>221</c:v>
                </c:pt>
                <c:pt idx="97">
                  <c:v>91</c:v>
                </c:pt>
                <c:pt idx="98">
                  <c:v>334</c:v>
                </c:pt>
                <c:pt idx="99">
                  <c:v>506</c:v>
                </c:pt>
                <c:pt idx="100">
                  <c:v>307</c:v>
                </c:pt>
                <c:pt idx="101">
                  <c:v>70</c:v>
                </c:pt>
                <c:pt idx="102">
                  <c:v>3000</c:v>
                </c:pt>
                <c:pt idx="103">
                  <c:v>325</c:v>
                </c:pt>
                <c:pt idx="104">
                  <c:v>136</c:v>
                </c:pt>
                <c:pt idx="105">
                  <c:v>255</c:v>
                </c:pt>
                <c:pt idx="106">
                  <c:v>1532</c:v>
                </c:pt>
                <c:pt idx="107">
                  <c:v>103</c:v>
                </c:pt>
                <c:pt idx="108">
                  <c:v>583</c:v>
                </c:pt>
                <c:pt idx="109">
                  <c:v>119</c:v>
                </c:pt>
                <c:pt idx="110">
                  <c:v>958</c:v>
                </c:pt>
                <c:pt idx="111">
                  <c:v>300</c:v>
                </c:pt>
                <c:pt idx="112">
                  <c:v>182</c:v>
                </c:pt>
                <c:pt idx="113">
                  <c:v>499</c:v>
                </c:pt>
                <c:pt idx="114">
                  <c:v>68</c:v>
                </c:pt>
                <c:pt idx="115">
                  <c:v>153</c:v>
                </c:pt>
                <c:pt idx="116">
                  <c:v>351</c:v>
                </c:pt>
                <c:pt idx="117">
                  <c:v>262</c:v>
                </c:pt>
                <c:pt idx="118">
                  <c:v>165</c:v>
                </c:pt>
                <c:pt idx="119">
                  <c:v>219</c:v>
                </c:pt>
                <c:pt idx="120">
                  <c:v>192</c:v>
                </c:pt>
                <c:pt idx="121">
                  <c:v>195</c:v>
                </c:pt>
                <c:pt idx="122">
                  <c:v>293</c:v>
                </c:pt>
                <c:pt idx="123">
                  <c:v>133</c:v>
                </c:pt>
                <c:pt idx="124">
                  <c:v>1500</c:v>
                </c:pt>
                <c:pt idx="125">
                  <c:v>455</c:v>
                </c:pt>
                <c:pt idx="126">
                  <c:v>520</c:v>
                </c:pt>
                <c:pt idx="127">
                  <c:v>66</c:v>
                </c:pt>
                <c:pt idx="128">
                  <c:v>620</c:v>
                </c:pt>
                <c:pt idx="129">
                  <c:v>32</c:v>
                </c:pt>
                <c:pt idx="130">
                  <c:v>205</c:v>
                </c:pt>
                <c:pt idx="131">
                  <c:v>242</c:v>
                </c:pt>
                <c:pt idx="132">
                  <c:v>52</c:v>
                </c:pt>
                <c:pt idx="133">
                  <c:v>43</c:v>
                </c:pt>
                <c:pt idx="134">
                  <c:v>205</c:v>
                </c:pt>
                <c:pt idx="135">
                  <c:v>205</c:v>
                </c:pt>
                <c:pt idx="136">
                  <c:v>78</c:v>
                </c:pt>
                <c:pt idx="137">
                  <c:v>468</c:v>
                </c:pt>
                <c:pt idx="138">
                  <c:v>158</c:v>
                </c:pt>
                <c:pt idx="139">
                  <c:v>500</c:v>
                </c:pt>
                <c:pt idx="140">
                  <c:v>251</c:v>
                </c:pt>
                <c:pt idx="141">
                  <c:v>474</c:v>
                </c:pt>
                <c:pt idx="142">
                  <c:v>866</c:v>
                </c:pt>
                <c:pt idx="143">
                  <c:v>612</c:v>
                </c:pt>
                <c:pt idx="144">
                  <c:v>351</c:v>
                </c:pt>
                <c:pt idx="145">
                  <c:v>50</c:v>
                </c:pt>
                <c:pt idx="146">
                  <c:v>455</c:v>
                </c:pt>
                <c:pt idx="147">
                  <c:v>439</c:v>
                </c:pt>
                <c:pt idx="148">
                  <c:v>130</c:v>
                </c:pt>
                <c:pt idx="149">
                  <c:v>30</c:v>
                </c:pt>
                <c:pt idx="150">
                  <c:v>16</c:v>
                </c:pt>
                <c:pt idx="151">
                  <c:v>103</c:v>
                </c:pt>
                <c:pt idx="152">
                  <c:v>0</c:v>
                </c:pt>
                <c:pt idx="153">
                  <c:v>0</c:v>
                </c:pt>
                <c:pt idx="154">
                  <c:v>143</c:v>
                </c:pt>
                <c:pt idx="155">
                  <c:v>267</c:v>
                </c:pt>
                <c:pt idx="156">
                  <c:v>30</c:v>
                </c:pt>
                <c:pt idx="157">
                  <c:v>36</c:v>
                </c:pt>
                <c:pt idx="158">
                  <c:v>440</c:v>
                </c:pt>
                <c:pt idx="159">
                  <c:v>50</c:v>
                </c:pt>
                <c:pt idx="160">
                  <c:v>586</c:v>
                </c:pt>
                <c:pt idx="161">
                  <c:v>91</c:v>
                </c:pt>
                <c:pt idx="162">
                  <c:v>29</c:v>
                </c:pt>
                <c:pt idx="163">
                  <c:v>504</c:v>
                </c:pt>
                <c:pt idx="164">
                  <c:v>168</c:v>
                </c:pt>
                <c:pt idx="165">
                  <c:v>80</c:v>
                </c:pt>
                <c:pt idx="166">
                  <c:v>139</c:v>
                </c:pt>
                <c:pt idx="167">
                  <c:v>231</c:v>
                </c:pt>
                <c:pt idx="168">
                  <c:v>50</c:v>
                </c:pt>
                <c:pt idx="169">
                  <c:v>50</c:v>
                </c:pt>
                <c:pt idx="170">
                  <c:v>247</c:v>
                </c:pt>
                <c:pt idx="171">
                  <c:v>247</c:v>
                </c:pt>
                <c:pt idx="172">
                  <c:v>240</c:v>
                </c:pt>
                <c:pt idx="173">
                  <c:v>189</c:v>
                </c:pt>
                <c:pt idx="174">
                  <c:v>59</c:v>
                </c:pt>
                <c:pt idx="175">
                  <c:v>1340</c:v>
                </c:pt>
                <c:pt idx="176">
                  <c:v>267</c:v>
                </c:pt>
                <c:pt idx="177">
                  <c:v>50</c:v>
                </c:pt>
                <c:pt idx="178">
                  <c:v>162</c:v>
                </c:pt>
                <c:pt idx="179">
                  <c:v>132</c:v>
                </c:pt>
                <c:pt idx="180">
                  <c:v>520</c:v>
                </c:pt>
                <c:pt idx="181">
                  <c:v>30</c:v>
                </c:pt>
                <c:pt idx="182">
                  <c:v>520</c:v>
                </c:pt>
                <c:pt idx="183">
                  <c:v>264</c:v>
                </c:pt>
                <c:pt idx="184">
                  <c:v>455</c:v>
                </c:pt>
                <c:pt idx="185">
                  <c:v>308</c:v>
                </c:pt>
                <c:pt idx="186">
                  <c:v>126</c:v>
                </c:pt>
                <c:pt idx="187">
                  <c:v>71</c:v>
                </c:pt>
                <c:pt idx="188">
                  <c:v>50</c:v>
                </c:pt>
                <c:pt idx="189">
                  <c:v>101</c:v>
                </c:pt>
                <c:pt idx="190">
                  <c:v>83</c:v>
                </c:pt>
                <c:pt idx="191">
                  <c:v>0</c:v>
                </c:pt>
                <c:pt idx="192">
                  <c:v>319</c:v>
                </c:pt>
                <c:pt idx="193">
                  <c:v>292</c:v>
                </c:pt>
                <c:pt idx="194">
                  <c:v>77</c:v>
                </c:pt>
                <c:pt idx="195">
                  <c:v>221</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196"/>
                <c:pt idx="0">
                  <c:v>AD-2000 Extension camp</c:v>
                </c:pt>
                <c:pt idx="1">
                  <c:v>AD-2000 Tharthana Compound</c:v>
                </c:pt>
                <c:pt idx="2">
                  <c:v>AG Church, Hmaw Si Sa</c:v>
                </c:pt>
                <c:pt idx="3">
                  <c:v>AG Church, Maw Wan</c:v>
                </c:pt>
                <c:pt idx="4">
                  <c:v>Agritural Compound (KBC)</c:v>
                </c:pt>
                <c:pt idx="5">
                  <c:v>Aung Thar Church</c:v>
                </c:pt>
                <c:pt idx="6">
                  <c:v>Baptist Church, Hmaw Si Sar(Lon Khin)</c:v>
                </c:pt>
                <c:pt idx="7">
                  <c:v>Border Post 8</c:v>
                </c:pt>
                <c:pt idx="8">
                  <c:v>Bum Tsit Pa</c:v>
                </c:pt>
                <c:pt idx="9">
                  <c:v>Chin Church, Seik Mu</c:v>
                </c:pt>
                <c:pt idx="10">
                  <c:v>Chipwi KBC camp</c:v>
                </c:pt>
                <c:pt idx="11">
                  <c:v>Dhama Rakhita, Nyein Chan Tar Yar Ward(Lon Khin)</c:v>
                </c:pt>
                <c:pt idx="12">
                  <c:v>Du Kahtawng Baptist</c:v>
                </c:pt>
                <c:pt idx="13">
                  <c:v>Dum Bung </c:v>
                </c:pt>
                <c:pt idx="14">
                  <c:v>Hka Shi</c:v>
                </c:pt>
                <c:pt idx="15">
                  <c:v>Hkat Cho </c:v>
                </c:pt>
                <c:pt idx="16">
                  <c:v>Hkau Shau (BP 12)</c:v>
                </c:pt>
                <c:pt idx="17">
                  <c:v>Hlaing Naung Baptist</c:v>
                </c:pt>
                <c:pt idx="18">
                  <c:v>Hpai Kawng</c:v>
                </c:pt>
                <c:pt idx="19">
                  <c:v>Hpakant Baptist Church, Nam Ma Hpit</c:v>
                </c:pt>
                <c:pt idx="20">
                  <c:v>Hpare Hkyer - BP6</c:v>
                </c:pt>
                <c:pt idx="21">
                  <c:v>Hpun Lum Yang </c:v>
                </c:pt>
                <c:pt idx="22">
                  <c:v>Htoi San Church</c:v>
                </c:pt>
                <c:pt idx="23">
                  <c:v>IDP Boarding School, A Len Bum</c:v>
                </c:pt>
                <c:pt idx="24">
                  <c:v>Jan Mai Kawng Baptist Church</c:v>
                </c:pt>
                <c:pt idx="25">
                  <c:v>Jan Mai Kawng Catholic Church</c:v>
                </c:pt>
                <c:pt idx="26">
                  <c:v>Je Yang Hka </c:v>
                </c:pt>
                <c:pt idx="27">
                  <c:v>Kachin Su Baptist Church (ECCD)</c:v>
                </c:pt>
                <c:pt idx="28">
                  <c:v>Khar Nan (1) Baptist Church</c:v>
                </c:pt>
                <c:pt idx="29">
                  <c:v>Kutkai downtown (KBC Church)</c:v>
                </c:pt>
                <c:pt idx="30">
                  <c:v>Kutkai downtown (KBC Church-2)</c:v>
                </c:pt>
                <c:pt idx="31">
                  <c:v>Kyu Sot</c:v>
                </c:pt>
                <c:pt idx="32">
                  <c:v>Kyun Taw Baptist Church </c:v>
                </c:pt>
                <c:pt idx="33">
                  <c:v>Laiza Je Yang School</c:v>
                </c:pt>
                <c:pt idx="34">
                  <c:v>Lana Zup Ja</c:v>
                </c:pt>
                <c:pt idx="35">
                  <c:v>Lawng Hkang Shait Yang Camp​ ( Lel Pyin)​ </c:v>
                </c:pt>
                <c:pt idx="36">
                  <c:v>Le Kone Bethlehem Church</c:v>
                </c:pt>
                <c:pt idx="37">
                  <c:v>Le Kone Ziun Baptist Church </c:v>
                </c:pt>
                <c:pt idx="38">
                  <c:v>Lhaovao Baptist Church (LBC)</c:v>
                </c:pt>
                <c:pt idx="39">
                  <c:v>Lisu Baptist Church, Maw Shan Vil,. Seik Mu</c:v>
                </c:pt>
                <c:pt idx="40">
                  <c:v>Lisu Baptist Church, Maw Wan Ward</c:v>
                </c:pt>
                <c:pt idx="41">
                  <c:v>Lisu Boarding-House</c:v>
                </c:pt>
                <c:pt idx="42">
                  <c:v>Lisu Church Namtu</c:v>
                </c:pt>
                <c:pt idx="43">
                  <c:v>Loi Je Baptist Church</c:v>
                </c:pt>
                <c:pt idx="44">
                  <c:v>Loi Je Catholic Church</c:v>
                </c:pt>
                <c:pt idx="45">
                  <c:v>Loi Je Lisu Camp</c:v>
                </c:pt>
                <c:pt idx="46">
                  <c:v>Lung Sut</c:v>
                </c:pt>
                <c:pt idx="47">
                  <c:v>Lwegel High School</c:v>
                </c:pt>
                <c:pt idx="48">
                  <c:v>Mading Baptist Church</c:v>
                </c:pt>
                <c:pt idx="49">
                  <c:v>Maga Yang </c:v>
                </c:pt>
                <c:pt idx="50">
                  <c:v>Maina AG Church</c:v>
                </c:pt>
                <c:pt idx="51">
                  <c:v>Maina Catholic Church (St. Joseph)</c:v>
                </c:pt>
                <c:pt idx="52">
                  <c:v>Maina KBC (Bawng Ring)</c:v>
                </c:pt>
                <c:pt idx="53">
                  <c:v>Maina Lawang Baptist Church</c:v>
                </c:pt>
                <c:pt idx="54">
                  <c:v>Maing Khaung</c:v>
                </c:pt>
                <c:pt idx="55">
                  <c:v>Maing Khaung Catholic Church</c:v>
                </c:pt>
                <c:pt idx="56">
                  <c:v>Maliyang Baptist Church</c:v>
                </c:pt>
                <c:pt idx="57">
                  <c:v>Man Bung Catholic compound</c:v>
                </c:pt>
                <c:pt idx="58">
                  <c:v>Man Bung Edin Baptist Church</c:v>
                </c:pt>
                <c:pt idx="59">
                  <c:v>Man Hkring Baptist Church</c:v>
                </c:pt>
                <c:pt idx="60">
                  <c:v>Man Kaung/Naung Ti Kyar Village</c:v>
                </c:pt>
                <c:pt idx="61">
                  <c:v>Man Loi</c:v>
                </c:pt>
                <c:pt idx="62">
                  <c:v>Man Wing Baptist Church</c:v>
                </c:pt>
                <c:pt idx="63">
                  <c:v>Man Wing Baptist Church Cultural Compound</c:v>
                </c:pt>
                <c:pt idx="64">
                  <c:v>Man Wing Catholic Church</c:v>
                </c:pt>
                <c:pt idx="65">
                  <c:v>Man Wing Catholic Church II</c:v>
                </c:pt>
                <c:pt idx="66">
                  <c:v>Mandung - Jinghpaw</c:v>
                </c:pt>
                <c:pt idx="67">
                  <c:v>Mandung - RC</c:v>
                </c:pt>
                <c:pt idx="68">
                  <c:v>Mansi Baptist Church</c:v>
                </c:pt>
                <c:pt idx="69">
                  <c:v>Maw Hpawng Hka Nan Baptist Church</c:v>
                </c:pt>
                <c:pt idx="70">
                  <c:v>Maw Hpawng Lhaovo Baptist Church</c:v>
                </c:pt>
                <c:pt idx="71">
                  <c:v>Maw Wan, Mu-yin Baptist Church</c:v>
                </c:pt>
                <c:pt idx="72">
                  <c:v>Momauk Baptist Church</c:v>
                </c:pt>
                <c:pt idx="73">
                  <c:v>Mung Hawm </c:v>
                </c:pt>
                <c:pt idx="74">
                  <c:v>Muyin church (Aung Yar pre-school compound)</c:v>
                </c:pt>
                <c:pt idx="75">
                  <c:v>Nam Hkam - Nay Win Ni (Palawng)</c:v>
                </c:pt>
                <c:pt idx="76">
                  <c:v>Nam Hkam (KBC Jaw Wang)</c:v>
                </c:pt>
                <c:pt idx="77">
                  <c:v>Nam Hkam (KBC Jaw Wang) II</c:v>
                </c:pt>
                <c:pt idx="78">
                  <c:v>Nam Hkam Catholic Church ( St. Thomas I)</c:v>
                </c:pt>
                <c:pt idx="79">
                  <c:v>Nam Hpak Ka Mare </c:v>
                </c:pt>
                <c:pt idx="80">
                  <c:v>Nam Ma Phyit, COC</c:v>
                </c:pt>
                <c:pt idx="81">
                  <c:v>Nam Sa Larp</c:v>
                </c:pt>
                <c:pt idx="82">
                  <c:v>Nam Tu Baptist</c:v>
                </c:pt>
                <c:pt idx="83">
                  <c:v>Nan Kway St. John Catholic Church</c:v>
                </c:pt>
                <c:pt idx="84">
                  <c:v>Nant Ma Hpit Catholic Church</c:v>
                </c:pt>
                <c:pt idx="85">
                  <c:v>Nat Gyi Kone Baptist Church </c:v>
                </c:pt>
                <c:pt idx="86">
                  <c:v>Nawng Hee Village</c:v>
                </c:pt>
                <c:pt idx="87">
                  <c:v>Nawng Ing (Indawgyi) Baptist Church </c:v>
                </c:pt>
                <c:pt idx="88">
                  <c:v>Ndup Yang</c:v>
                </c:pt>
                <c:pt idx="89">
                  <c:v>New Pang Ku </c:v>
                </c:pt>
                <c:pt idx="90">
                  <c:v>Nhkawng Pa </c:v>
                </c:pt>
                <c:pt idx="91">
                  <c:v>Njang Dung Baptist Church </c:v>
                </c:pt>
                <c:pt idx="92">
                  <c:v>Nyaung Na Pin </c:v>
                </c:pt>
                <c:pt idx="93">
                  <c:v>Pa Dauk Myaing(Pa La Na)</c:v>
                </c:pt>
                <c:pt idx="94">
                  <c:v>Pa Kahtawng </c:v>
                </c:pt>
                <c:pt idx="95">
                  <c:v>Pajau - Jan Mai</c:v>
                </c:pt>
                <c:pt idx="96">
                  <c:v>Pan Law</c:v>
                </c:pt>
                <c:pt idx="97">
                  <c:v>Pan Ta Pyae</c:v>
                </c:pt>
                <c:pt idx="98">
                  <c:v>Phan Khar Kone</c:v>
                </c:pt>
                <c:pt idx="99">
                  <c:v>Qtr. 2 Lhaovo Baptist Church</c:v>
                </c:pt>
                <c:pt idx="100">
                  <c:v>Qtr. 2 Myoma Baptist Church</c:v>
                </c:pt>
                <c:pt idx="101">
                  <c:v>Rawan Baptist Church, Maw Shan Vil., Seik Mu</c:v>
                </c:pt>
                <c:pt idx="102">
                  <c:v>Robert Church</c:v>
                </c:pt>
                <c:pt idx="103">
                  <c:v>Salang Yang</c:v>
                </c:pt>
                <c:pt idx="104">
                  <c:v>Sar Hmaw - KBC</c:v>
                </c:pt>
                <c:pt idx="105">
                  <c:v>Seng Ja </c:v>
                </c:pt>
                <c:pt idx="106">
                  <c:v>Sha-It Yang</c:v>
                </c:pt>
                <c:pt idx="107">
                  <c:v>Shar Du Zut KBC church </c:v>
                </c:pt>
                <c:pt idx="108">
                  <c:v>Shatapru Sut Ngai Tawng</c:v>
                </c:pt>
                <c:pt idx="109">
                  <c:v>Shatapru Thida Aye Baptist Church</c:v>
                </c:pt>
                <c:pt idx="110">
                  <c:v>Shing Jai</c:v>
                </c:pt>
                <c:pt idx="111">
                  <c:v>Shwe Gu Baptist Church</c:v>
                </c:pt>
                <c:pt idx="112">
                  <c:v>Shwe Gu Catholic Church</c:v>
                </c:pt>
                <c:pt idx="113">
                  <c:v>Shwe Zet Baptist Church</c:v>
                </c:pt>
                <c:pt idx="114">
                  <c:v>St. Patrick Catholic Church </c:v>
                </c:pt>
                <c:pt idx="115">
                  <c:v>Tanai CoC</c:v>
                </c:pt>
                <c:pt idx="116">
                  <c:v>Tat Kone Baptist Church</c:v>
                </c:pt>
                <c:pt idx="117">
                  <c:v>Tat Kone COC Baptist - Tat Kone Htoi San</c:v>
                </c:pt>
                <c:pt idx="118">
                  <c:v>Tat Kone Galile Baptist Church</c:v>
                </c:pt>
                <c:pt idx="119">
                  <c:v>Tat Kone San Pya Baptist Church</c:v>
                </c:pt>
                <c:pt idx="120">
                  <c:v>Thargaya Lisu Baptist Church</c:v>
                </c:pt>
                <c:pt idx="121">
                  <c:v>Tsan Lun - Namjarap</c:v>
                </c:pt>
                <c:pt idx="122">
                  <c:v>Waingmaw AG Church</c:v>
                </c:pt>
                <c:pt idx="123">
                  <c:v>Ward 2 Sai Taung Baptist Church, Seik Mu </c:v>
                </c:pt>
                <c:pt idx="124">
                  <c:v>Woi Chyai </c:v>
                </c:pt>
                <c:pt idx="125">
                  <c:v>Woi Chyai (Mong Lai)</c:v>
                </c:pt>
                <c:pt idx="126">
                  <c:v>Woi Chyai host families</c:v>
                </c:pt>
                <c:pt idx="127">
                  <c:v>Yumar Baptist Church</c:v>
                </c:pt>
                <c:pt idx="128">
                  <c:v>Zup Aung Camp</c:v>
                </c:pt>
                <c:pt idx="129">
                  <c:v>Emmanuel AG Church</c:v>
                </c:pt>
                <c:pt idx="130">
                  <c:v>Sadung</c:v>
                </c:pt>
                <c:pt idx="131">
                  <c:v>Lawa RC Church</c:v>
                </c:pt>
                <c:pt idx="132">
                  <c:v>Karmaing RC Church</c:v>
                </c:pt>
                <c:pt idx="133">
                  <c:v>Ka Bu Dam CoC</c:v>
                </c:pt>
                <c:pt idx="134">
                  <c:v>Pang Hkawn Yang</c:v>
                </c:pt>
                <c:pt idx="135">
                  <c:v>Lone Khin Catholic Church</c:v>
                </c:pt>
                <c:pt idx="136">
                  <c:v>Ma Hawng Baptist Church</c:v>
                </c:pt>
                <c:pt idx="137">
                  <c:v>Tanai KBC Camp</c:v>
                </c:pt>
                <c:pt idx="138">
                  <c:v>Nam Hpak Ka Ta'ang ( Aung Tha Pyay)</c:v>
                </c:pt>
                <c:pt idx="139">
                  <c:v>Mai Yu Lay New (Ta'ang)</c:v>
                </c:pt>
                <c:pt idx="140">
                  <c:v>Mine Yu Lay village ( Old)</c:v>
                </c:pt>
                <c:pt idx="141">
                  <c:v>Namti Labraw Yang KBC Camp</c:v>
                </c:pt>
                <c:pt idx="142">
                  <c:v>Trinity Camp</c:v>
                </c:pt>
                <c:pt idx="143">
                  <c:v>Jaw Masat Camp</c:v>
                </c:pt>
                <c:pt idx="144">
                  <c:v>Waimaw Baptist Zonal Office 2</c:v>
                </c:pt>
                <c:pt idx="145">
                  <c:v>Pa Dauk Myaing(Pa La Na)-II</c:v>
                </c:pt>
                <c:pt idx="146">
                  <c:v>St. Joseph Tanai RC camp </c:v>
                </c:pt>
                <c:pt idx="147">
                  <c:v>Galeng (Palaung) &amp; Kone Khem</c:v>
                </c:pt>
                <c:pt idx="148">
                  <c:v>Hu Hku &amp; Ho Hko</c:v>
                </c:pt>
                <c:pt idx="149">
                  <c:v>Hka Garan Yang </c:v>
                </c:pt>
                <c:pt idx="150">
                  <c:v>Htang Nya </c:v>
                </c:pt>
                <c:pt idx="151">
                  <c:v>Enai (Man Pyein)</c:v>
                </c:pt>
                <c:pt idx="152">
                  <c:v>AD 2000 School</c:v>
                </c:pt>
                <c:pt idx="153">
                  <c:v>Robert -High school</c:v>
                </c:pt>
                <c:pt idx="154">
                  <c:v>Pamati Camp</c:v>
                </c:pt>
                <c:pt idx="155">
                  <c:v>Momauk IDP new extension camp (Kye Nan)</c:v>
                </c:pt>
                <c:pt idx="156">
                  <c:v>Sector 5 Pammati Quarter</c:v>
                </c:pt>
                <c:pt idx="157">
                  <c:v>Namatee Kan Hla AG</c:v>
                </c:pt>
                <c:pt idx="158">
                  <c:v>His Aw (Chyu Fan) </c:v>
                </c:pt>
                <c:pt idx="159">
                  <c:v>Shwe Sin (Ward 3) </c:v>
                </c:pt>
                <c:pt idx="160">
                  <c:v>Bum Ra Yang Camp </c:v>
                </c:pt>
                <c:pt idx="161">
                  <c:v>Mang Nawng Kawng (host)</c:v>
                </c:pt>
                <c:pt idx="162">
                  <c:v>Hat Hlan village (host)</c:v>
                </c:pt>
                <c:pt idx="163">
                  <c:v>Kyaukme Town (host)</c:v>
                </c:pt>
                <c:pt idx="164">
                  <c:v>Nam Hlaing Extension Ward camp</c:v>
                </c:pt>
                <c:pt idx="165">
                  <c:v>Naung Tar Law (Kyet Chan) </c:v>
                </c:pt>
                <c:pt idx="166">
                  <c:v>Waingmaw St.Joseph RC Church</c:v>
                </c:pt>
                <c:pt idx="167">
                  <c:v>Waingmaw LBC church </c:v>
                </c:pt>
                <c:pt idx="168">
                  <c:v>Lisu Zonal camp</c:v>
                </c:pt>
                <c:pt idx="169">
                  <c:v>Phaug Nhae Camp</c:v>
                </c:pt>
                <c:pt idx="170">
                  <c:v>Yuu Ka lait Kone Camp</c:v>
                </c:pt>
                <c:pt idx="171">
                  <c:v>Lhaovo Baptist Convention  Old Office Camp</c:v>
                </c:pt>
                <c:pt idx="172">
                  <c:v>Ding Jang Yang (1)</c:v>
                </c:pt>
                <c:pt idx="173">
                  <c:v>Ding Jang Yang (2)</c:v>
                </c:pt>
                <c:pt idx="174">
                  <c:v>Naung Pataine/lachid </c:v>
                </c:pt>
                <c:pt idx="175">
                  <c:v>Momauk KBC church</c:v>
                </c:pt>
                <c:pt idx="176">
                  <c:v>St.Francis RCC 1</c:v>
                </c:pt>
                <c:pt idx="177">
                  <c:v>St.Francis RCC 2</c:v>
                </c:pt>
                <c:pt idx="178">
                  <c:v>Bang Yang Hka (Mung Ji Pa)-relocated</c:v>
                </c:pt>
                <c:pt idx="179">
                  <c:v>Galeng Zup Awng ward 5 RC</c:v>
                </c:pt>
                <c:pt idx="180">
                  <c:v>Man Wing- IDPs in Host</c:v>
                </c:pt>
                <c:pt idx="181">
                  <c:v>(3 mile) Shwe Pyi Tar (SLCA)</c:v>
                </c:pt>
                <c:pt idx="182">
                  <c:v>Bhamo- IDPs in Host </c:v>
                </c:pt>
                <c:pt idx="183">
                  <c:v>Chipwi Pan Wa  (Host IDP)</c:v>
                </c:pt>
                <c:pt idx="184">
                  <c:v>St.Columban lone Khin camp</c:v>
                </c:pt>
                <c:pt idx="185">
                  <c:v>Mansi- IDPs in Host</c:v>
                </c:pt>
                <c:pt idx="186">
                  <c:v>Hopin -IDPs in Host</c:v>
                </c:pt>
                <c:pt idx="187">
                  <c:v>Moenyin- IDPs in Host</c:v>
                </c:pt>
                <c:pt idx="188">
                  <c:v>Momauk-IDPs in Host</c:v>
                </c:pt>
                <c:pt idx="189">
                  <c:v>Myo Thit -IDP in Host</c:v>
                </c:pt>
                <c:pt idx="190">
                  <c:v>Saint Matthew (Shin ma ti-sitapru) camp</c:v>
                </c:pt>
                <c:pt idx="191">
                  <c:v>Nan Hlaing_new camp </c:v>
                </c:pt>
                <c:pt idx="192">
                  <c:v>Na ru Kawng (Post 6 camp)</c:v>
                </c:pt>
                <c:pt idx="193">
                  <c:v>Mong Wee Shan-relocated</c:v>
                </c:pt>
                <c:pt idx="194">
                  <c:v>Hseng Ja-Relocated</c:v>
                </c:pt>
                <c:pt idx="195">
                  <c:v>Maina Mu-yin  Baptist Church</c:v>
                </c:pt>
              </c:strCache>
            </c:strRef>
          </c:cat>
          <c:val>
            <c:numRef>
              <c:f>'By Camps'!$B$34</c:f>
              <c:numCache>
                <c:formatCode>General</c:formatCode>
                <c:ptCount val="196"/>
                <c:pt idx="0">
                  <c:v>54</c:v>
                </c:pt>
                <c:pt idx="1">
                  <c:v>789</c:v>
                </c:pt>
                <c:pt idx="2">
                  <c:v>308</c:v>
                </c:pt>
                <c:pt idx="3">
                  <c:v>72</c:v>
                </c:pt>
                <c:pt idx="4">
                  <c:v>560</c:v>
                </c:pt>
                <c:pt idx="5">
                  <c:v>40</c:v>
                </c:pt>
                <c:pt idx="6">
                  <c:v>200</c:v>
                </c:pt>
                <c:pt idx="7">
                  <c:v>421</c:v>
                </c:pt>
                <c:pt idx="8">
                  <c:v>1887</c:v>
                </c:pt>
                <c:pt idx="9">
                  <c:v>24</c:v>
                </c:pt>
                <c:pt idx="10">
                  <c:v>640</c:v>
                </c:pt>
                <c:pt idx="11">
                  <c:v>442</c:v>
                </c:pt>
                <c:pt idx="12">
                  <c:v>140</c:v>
                </c:pt>
                <c:pt idx="13">
                  <c:v>394</c:v>
                </c:pt>
                <c:pt idx="14">
                  <c:v>410</c:v>
                </c:pt>
                <c:pt idx="15">
                  <c:v>291</c:v>
                </c:pt>
                <c:pt idx="16">
                  <c:v>895</c:v>
                </c:pt>
                <c:pt idx="17">
                  <c:v>132</c:v>
                </c:pt>
                <c:pt idx="18">
                  <c:v>800</c:v>
                </c:pt>
                <c:pt idx="19">
                  <c:v>504</c:v>
                </c:pt>
                <c:pt idx="20">
                  <c:v>640</c:v>
                </c:pt>
                <c:pt idx="21">
                  <c:v>3789</c:v>
                </c:pt>
                <c:pt idx="22">
                  <c:v>140</c:v>
                </c:pt>
                <c:pt idx="23">
                  <c:v>1780</c:v>
                </c:pt>
                <c:pt idx="24">
                  <c:v>860</c:v>
                </c:pt>
                <c:pt idx="25">
                  <c:v>398</c:v>
                </c:pt>
                <c:pt idx="26">
                  <c:v>800</c:v>
                </c:pt>
                <c:pt idx="27">
                  <c:v>80</c:v>
                </c:pt>
                <c:pt idx="28">
                  <c:v>100</c:v>
                </c:pt>
                <c:pt idx="29">
                  <c:v>240</c:v>
                </c:pt>
                <c:pt idx="30">
                  <c:v>180</c:v>
                </c:pt>
                <c:pt idx="31">
                  <c:v>270</c:v>
                </c:pt>
                <c:pt idx="32">
                  <c:v>66</c:v>
                </c:pt>
                <c:pt idx="33">
                  <c:v>0</c:v>
                </c:pt>
                <c:pt idx="34">
                  <c:v>2691</c:v>
                </c:pt>
                <c:pt idx="35">
                  <c:v>586</c:v>
                </c:pt>
                <c:pt idx="36">
                  <c:v>160</c:v>
                </c:pt>
                <c:pt idx="37">
                  <c:v>640</c:v>
                </c:pt>
                <c:pt idx="38">
                  <c:v>884</c:v>
                </c:pt>
                <c:pt idx="39">
                  <c:v>100</c:v>
                </c:pt>
                <c:pt idx="40">
                  <c:v>40</c:v>
                </c:pt>
                <c:pt idx="41">
                  <c:v>420</c:v>
                </c:pt>
                <c:pt idx="42">
                  <c:v>127</c:v>
                </c:pt>
                <c:pt idx="43">
                  <c:v>182</c:v>
                </c:pt>
                <c:pt idx="44">
                  <c:v>126</c:v>
                </c:pt>
                <c:pt idx="45">
                  <c:v>943</c:v>
                </c:pt>
                <c:pt idx="46">
                  <c:v>240</c:v>
                </c:pt>
                <c:pt idx="47">
                  <c:v>0</c:v>
                </c:pt>
                <c:pt idx="48">
                  <c:v>120</c:v>
                </c:pt>
                <c:pt idx="49">
                  <c:v>1736</c:v>
                </c:pt>
                <c:pt idx="50">
                  <c:v>420</c:v>
                </c:pt>
                <c:pt idx="51">
                  <c:v>1776</c:v>
                </c:pt>
                <c:pt idx="52">
                  <c:v>2500</c:v>
                </c:pt>
                <c:pt idx="53">
                  <c:v>191</c:v>
                </c:pt>
                <c:pt idx="54">
                  <c:v>1599</c:v>
                </c:pt>
                <c:pt idx="55">
                  <c:v>694</c:v>
                </c:pt>
                <c:pt idx="56">
                  <c:v>140</c:v>
                </c:pt>
                <c:pt idx="57">
                  <c:v>741</c:v>
                </c:pt>
                <c:pt idx="58">
                  <c:v>563</c:v>
                </c:pt>
                <c:pt idx="59">
                  <c:v>547</c:v>
                </c:pt>
                <c:pt idx="60">
                  <c:v>0</c:v>
                </c:pt>
                <c:pt idx="61">
                  <c:v>80</c:v>
                </c:pt>
                <c:pt idx="62">
                  <c:v>360</c:v>
                </c:pt>
                <c:pt idx="63">
                  <c:v>538</c:v>
                </c:pt>
                <c:pt idx="64">
                  <c:v>2354</c:v>
                </c:pt>
                <c:pt idx="65">
                  <c:v>737</c:v>
                </c:pt>
                <c:pt idx="66">
                  <c:v>125</c:v>
                </c:pt>
                <c:pt idx="67">
                  <c:v>157</c:v>
                </c:pt>
                <c:pt idx="68">
                  <c:v>789</c:v>
                </c:pt>
                <c:pt idx="69">
                  <c:v>80</c:v>
                </c:pt>
                <c:pt idx="70">
                  <c:v>120</c:v>
                </c:pt>
                <c:pt idx="71">
                  <c:v>0</c:v>
                </c:pt>
                <c:pt idx="72">
                  <c:v>424</c:v>
                </c:pt>
                <c:pt idx="73">
                  <c:v>176</c:v>
                </c:pt>
                <c:pt idx="74">
                  <c:v>0</c:v>
                </c:pt>
                <c:pt idx="75">
                  <c:v>396</c:v>
                </c:pt>
                <c:pt idx="76">
                  <c:v>200</c:v>
                </c:pt>
                <c:pt idx="77">
                  <c:v>31</c:v>
                </c:pt>
                <c:pt idx="78">
                  <c:v>213</c:v>
                </c:pt>
                <c:pt idx="79">
                  <c:v>250</c:v>
                </c:pt>
                <c:pt idx="80">
                  <c:v>24</c:v>
                </c:pt>
                <c:pt idx="81">
                  <c:v>200</c:v>
                </c:pt>
                <c:pt idx="82">
                  <c:v>141</c:v>
                </c:pt>
                <c:pt idx="83">
                  <c:v>309</c:v>
                </c:pt>
                <c:pt idx="84">
                  <c:v>218</c:v>
                </c:pt>
                <c:pt idx="85">
                  <c:v>41</c:v>
                </c:pt>
                <c:pt idx="86">
                  <c:v>80</c:v>
                </c:pt>
                <c:pt idx="87">
                  <c:v>100</c:v>
                </c:pt>
                <c:pt idx="88">
                  <c:v>547</c:v>
                </c:pt>
                <c:pt idx="89">
                  <c:v>525</c:v>
                </c:pt>
                <c:pt idx="90">
                  <c:v>1675</c:v>
                </c:pt>
                <c:pt idx="91">
                  <c:v>299</c:v>
                </c:pt>
                <c:pt idx="92">
                  <c:v>263</c:v>
                </c:pt>
                <c:pt idx="93">
                  <c:v>680</c:v>
                </c:pt>
                <c:pt idx="94">
                  <c:v>2975</c:v>
                </c:pt>
                <c:pt idx="95">
                  <c:v>750</c:v>
                </c:pt>
                <c:pt idx="96">
                  <c:v>221</c:v>
                </c:pt>
                <c:pt idx="97">
                  <c:v>91</c:v>
                </c:pt>
                <c:pt idx="98">
                  <c:v>334</c:v>
                </c:pt>
                <c:pt idx="99">
                  <c:v>420</c:v>
                </c:pt>
                <c:pt idx="100">
                  <c:v>280</c:v>
                </c:pt>
                <c:pt idx="101">
                  <c:v>40</c:v>
                </c:pt>
                <c:pt idx="102">
                  <c:v>3003</c:v>
                </c:pt>
                <c:pt idx="103">
                  <c:v>325</c:v>
                </c:pt>
                <c:pt idx="104">
                  <c:v>136</c:v>
                </c:pt>
                <c:pt idx="105">
                  <c:v>255</c:v>
                </c:pt>
                <c:pt idx="106">
                  <c:v>1532</c:v>
                </c:pt>
                <c:pt idx="107">
                  <c:v>103</c:v>
                </c:pt>
                <c:pt idx="108">
                  <c:v>260</c:v>
                </c:pt>
                <c:pt idx="109">
                  <c:v>119</c:v>
                </c:pt>
                <c:pt idx="110">
                  <c:v>958</c:v>
                </c:pt>
                <c:pt idx="111">
                  <c:v>264</c:v>
                </c:pt>
                <c:pt idx="112">
                  <c:v>180</c:v>
                </c:pt>
                <c:pt idx="113">
                  <c:v>340</c:v>
                </c:pt>
                <c:pt idx="114">
                  <c:v>68</c:v>
                </c:pt>
                <c:pt idx="115">
                  <c:v>0</c:v>
                </c:pt>
                <c:pt idx="116">
                  <c:v>220</c:v>
                </c:pt>
                <c:pt idx="117">
                  <c:v>262</c:v>
                </c:pt>
                <c:pt idx="118">
                  <c:v>100</c:v>
                </c:pt>
                <c:pt idx="119">
                  <c:v>219</c:v>
                </c:pt>
                <c:pt idx="120">
                  <c:v>120</c:v>
                </c:pt>
                <c:pt idx="121">
                  <c:v>195</c:v>
                </c:pt>
                <c:pt idx="122">
                  <c:v>180</c:v>
                </c:pt>
                <c:pt idx="123">
                  <c:v>133</c:v>
                </c:pt>
                <c:pt idx="124">
                  <c:v>4920</c:v>
                </c:pt>
                <c:pt idx="125">
                  <c:v>0</c:v>
                </c:pt>
                <c:pt idx="126">
                  <c:v>0</c:v>
                </c:pt>
                <c:pt idx="127">
                  <c:v>66</c:v>
                </c:pt>
                <c:pt idx="128">
                  <c:v>1025</c:v>
                </c:pt>
                <c:pt idx="129">
                  <c:v>0</c:v>
                </c:pt>
                <c:pt idx="130">
                  <c:v>0</c:v>
                </c:pt>
                <c:pt idx="131">
                  <c:v>242</c:v>
                </c:pt>
                <c:pt idx="132">
                  <c:v>52</c:v>
                </c:pt>
                <c:pt idx="133">
                  <c:v>43</c:v>
                </c:pt>
                <c:pt idx="134">
                  <c:v>100</c:v>
                </c:pt>
                <c:pt idx="135">
                  <c:v>300</c:v>
                </c:pt>
                <c:pt idx="136">
                  <c:v>40</c:v>
                </c:pt>
                <c:pt idx="137">
                  <c:v>0</c:v>
                </c:pt>
                <c:pt idx="138">
                  <c:v>158</c:v>
                </c:pt>
                <c:pt idx="139">
                  <c:v>502</c:v>
                </c:pt>
                <c:pt idx="140">
                  <c:v>251</c:v>
                </c:pt>
                <c:pt idx="141">
                  <c:v>260</c:v>
                </c:pt>
                <c:pt idx="142">
                  <c:v>560</c:v>
                </c:pt>
                <c:pt idx="143">
                  <c:v>320</c:v>
                </c:pt>
                <c:pt idx="144">
                  <c:v>160</c:v>
                </c:pt>
                <c:pt idx="145">
                  <c:v>1340</c:v>
                </c:pt>
                <c:pt idx="146">
                  <c:v>0</c:v>
                </c:pt>
                <c:pt idx="147">
                  <c:v>439</c:v>
                </c:pt>
                <c:pt idx="148">
                  <c:v>130</c:v>
                </c:pt>
                <c:pt idx="149">
                  <c:v>0</c:v>
                </c:pt>
                <c:pt idx="150">
                  <c:v>16</c:v>
                </c:pt>
                <c:pt idx="151">
                  <c:v>103</c:v>
                </c:pt>
                <c:pt idx="152">
                  <c:v>0</c:v>
                </c:pt>
                <c:pt idx="153">
                  <c:v>0</c:v>
                </c:pt>
                <c:pt idx="154">
                  <c:v>120</c:v>
                </c:pt>
                <c:pt idx="155">
                  <c:v>144</c:v>
                </c:pt>
                <c:pt idx="156">
                  <c:v>0</c:v>
                </c:pt>
                <c:pt idx="157">
                  <c:v>36</c:v>
                </c:pt>
                <c:pt idx="158">
                  <c:v>280</c:v>
                </c:pt>
                <c:pt idx="159">
                  <c:v>3469</c:v>
                </c:pt>
                <c:pt idx="160">
                  <c:v>265</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9</c:v>
                </c:pt>
                <c:pt idx="176">
                  <c:v>267</c:v>
                </c:pt>
                <c:pt idx="177">
                  <c:v>360</c:v>
                </c:pt>
                <c:pt idx="178">
                  <c:v>0</c:v>
                </c:pt>
                <c:pt idx="179">
                  <c:v>132</c:v>
                </c:pt>
                <c:pt idx="180">
                  <c:v>0</c:v>
                </c:pt>
                <c:pt idx="181">
                  <c:v>0</c:v>
                </c:pt>
                <c:pt idx="182">
                  <c:v>0</c:v>
                </c:pt>
                <c:pt idx="183">
                  <c:v>264</c:v>
                </c:pt>
                <c:pt idx="184">
                  <c:v>0</c:v>
                </c:pt>
                <c:pt idx="185">
                  <c:v>0</c:v>
                </c:pt>
                <c:pt idx="186">
                  <c:v>0</c:v>
                </c:pt>
                <c:pt idx="187">
                  <c:v>0</c:v>
                </c:pt>
                <c:pt idx="188">
                  <c:v>0</c:v>
                </c:pt>
                <c:pt idx="189">
                  <c:v>0</c:v>
                </c:pt>
                <c:pt idx="190">
                  <c:v>83</c:v>
                </c:pt>
                <c:pt idx="191">
                  <c:v>164</c:v>
                </c:pt>
                <c:pt idx="192">
                  <c:v>319</c:v>
                </c:pt>
                <c:pt idx="193">
                  <c:v>125</c:v>
                </c:pt>
                <c:pt idx="194">
                  <c:v>20</c:v>
                </c:pt>
                <c:pt idx="195">
                  <c:v>160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196"/>
                <c:pt idx="0">
                  <c:v>AD-2000 Extension camp</c:v>
                </c:pt>
                <c:pt idx="1">
                  <c:v>AD-2000 Tharthana Compound</c:v>
                </c:pt>
                <c:pt idx="2">
                  <c:v>AG Church, Hmaw Si Sa</c:v>
                </c:pt>
                <c:pt idx="3">
                  <c:v>AG Church, Maw Wan</c:v>
                </c:pt>
                <c:pt idx="4">
                  <c:v>Agritural Compound (KBC)</c:v>
                </c:pt>
                <c:pt idx="5">
                  <c:v>Aung Thar Church</c:v>
                </c:pt>
                <c:pt idx="6">
                  <c:v>Baptist Church, Hmaw Si Sar(Lon Khin)</c:v>
                </c:pt>
                <c:pt idx="7">
                  <c:v>Border Post 8</c:v>
                </c:pt>
                <c:pt idx="8">
                  <c:v>Bum Tsit Pa</c:v>
                </c:pt>
                <c:pt idx="9">
                  <c:v>Chin Church, Seik Mu</c:v>
                </c:pt>
                <c:pt idx="10">
                  <c:v>Chipwi KBC camp</c:v>
                </c:pt>
                <c:pt idx="11">
                  <c:v>Dhama Rakhita, Nyein Chan Tar Yar Ward(Lon Khin)</c:v>
                </c:pt>
                <c:pt idx="12">
                  <c:v>Du Kahtawng Baptist</c:v>
                </c:pt>
                <c:pt idx="13">
                  <c:v>Dum Bung </c:v>
                </c:pt>
                <c:pt idx="14">
                  <c:v>Hka Shi</c:v>
                </c:pt>
                <c:pt idx="15">
                  <c:v>Hkat Cho </c:v>
                </c:pt>
                <c:pt idx="16">
                  <c:v>Hkau Shau (BP 12)</c:v>
                </c:pt>
                <c:pt idx="17">
                  <c:v>Hlaing Naung Baptist</c:v>
                </c:pt>
                <c:pt idx="18">
                  <c:v>Hpai Kawng</c:v>
                </c:pt>
                <c:pt idx="19">
                  <c:v>Hpakant Baptist Church, Nam Ma Hpit</c:v>
                </c:pt>
                <c:pt idx="20">
                  <c:v>Hpare Hkyer - BP6</c:v>
                </c:pt>
                <c:pt idx="21">
                  <c:v>Hpun Lum Yang </c:v>
                </c:pt>
                <c:pt idx="22">
                  <c:v>Htoi San Church</c:v>
                </c:pt>
                <c:pt idx="23">
                  <c:v>IDP Boarding School, A Len Bum</c:v>
                </c:pt>
                <c:pt idx="24">
                  <c:v>Jan Mai Kawng Baptist Church</c:v>
                </c:pt>
                <c:pt idx="25">
                  <c:v>Jan Mai Kawng Catholic Church</c:v>
                </c:pt>
                <c:pt idx="26">
                  <c:v>Je Yang Hka </c:v>
                </c:pt>
                <c:pt idx="27">
                  <c:v>Kachin Su Baptist Church (ECCD)</c:v>
                </c:pt>
                <c:pt idx="28">
                  <c:v>Khar Nan (1) Baptist Church</c:v>
                </c:pt>
                <c:pt idx="29">
                  <c:v>Kutkai downtown (KBC Church)</c:v>
                </c:pt>
                <c:pt idx="30">
                  <c:v>Kutkai downtown (KBC Church-2)</c:v>
                </c:pt>
                <c:pt idx="31">
                  <c:v>Kyu Sot</c:v>
                </c:pt>
                <c:pt idx="32">
                  <c:v>Kyun Taw Baptist Church </c:v>
                </c:pt>
                <c:pt idx="33">
                  <c:v>Laiza Je Yang School</c:v>
                </c:pt>
                <c:pt idx="34">
                  <c:v>Lana Zup Ja</c:v>
                </c:pt>
                <c:pt idx="35">
                  <c:v>Lawng Hkang Shait Yang Camp​ ( Lel Pyin)​ </c:v>
                </c:pt>
                <c:pt idx="36">
                  <c:v>Le Kone Bethlehem Church</c:v>
                </c:pt>
                <c:pt idx="37">
                  <c:v>Le Kone Ziun Baptist Church </c:v>
                </c:pt>
                <c:pt idx="38">
                  <c:v>Lhaovao Baptist Church (LBC)</c:v>
                </c:pt>
                <c:pt idx="39">
                  <c:v>Lisu Baptist Church, Maw Shan Vil,. Seik Mu</c:v>
                </c:pt>
                <c:pt idx="40">
                  <c:v>Lisu Baptist Church, Maw Wan Ward</c:v>
                </c:pt>
                <c:pt idx="41">
                  <c:v>Lisu Boarding-House</c:v>
                </c:pt>
                <c:pt idx="42">
                  <c:v>Lisu Church Namtu</c:v>
                </c:pt>
                <c:pt idx="43">
                  <c:v>Loi Je Baptist Church</c:v>
                </c:pt>
                <c:pt idx="44">
                  <c:v>Loi Je Catholic Church</c:v>
                </c:pt>
                <c:pt idx="45">
                  <c:v>Loi Je Lisu Camp</c:v>
                </c:pt>
                <c:pt idx="46">
                  <c:v>Lung Sut</c:v>
                </c:pt>
                <c:pt idx="47">
                  <c:v>Lwegel High School</c:v>
                </c:pt>
                <c:pt idx="48">
                  <c:v>Mading Baptist Church</c:v>
                </c:pt>
                <c:pt idx="49">
                  <c:v>Maga Yang </c:v>
                </c:pt>
                <c:pt idx="50">
                  <c:v>Maina AG Church</c:v>
                </c:pt>
                <c:pt idx="51">
                  <c:v>Maina Catholic Church (St. Joseph)</c:v>
                </c:pt>
                <c:pt idx="52">
                  <c:v>Maina KBC (Bawng Ring)</c:v>
                </c:pt>
                <c:pt idx="53">
                  <c:v>Maina Lawang Baptist Church</c:v>
                </c:pt>
                <c:pt idx="54">
                  <c:v>Maing Khaung</c:v>
                </c:pt>
                <c:pt idx="55">
                  <c:v>Maing Khaung Catholic Church</c:v>
                </c:pt>
                <c:pt idx="56">
                  <c:v>Maliyang Baptist Church</c:v>
                </c:pt>
                <c:pt idx="57">
                  <c:v>Man Bung Catholic compound</c:v>
                </c:pt>
                <c:pt idx="58">
                  <c:v>Man Bung Edin Baptist Church</c:v>
                </c:pt>
                <c:pt idx="59">
                  <c:v>Man Hkring Baptist Church</c:v>
                </c:pt>
                <c:pt idx="60">
                  <c:v>Man Kaung/Naung Ti Kyar Village</c:v>
                </c:pt>
                <c:pt idx="61">
                  <c:v>Man Loi</c:v>
                </c:pt>
                <c:pt idx="62">
                  <c:v>Man Wing Baptist Church</c:v>
                </c:pt>
                <c:pt idx="63">
                  <c:v>Man Wing Baptist Church Cultural Compound</c:v>
                </c:pt>
                <c:pt idx="64">
                  <c:v>Man Wing Catholic Church</c:v>
                </c:pt>
                <c:pt idx="65">
                  <c:v>Man Wing Catholic Church II</c:v>
                </c:pt>
                <c:pt idx="66">
                  <c:v>Mandung - Jinghpaw</c:v>
                </c:pt>
                <c:pt idx="67">
                  <c:v>Mandung - RC</c:v>
                </c:pt>
                <c:pt idx="68">
                  <c:v>Mansi Baptist Church</c:v>
                </c:pt>
                <c:pt idx="69">
                  <c:v>Maw Hpawng Hka Nan Baptist Church</c:v>
                </c:pt>
                <c:pt idx="70">
                  <c:v>Maw Hpawng Lhaovo Baptist Church</c:v>
                </c:pt>
                <c:pt idx="71">
                  <c:v>Maw Wan, Mu-yin Baptist Church</c:v>
                </c:pt>
                <c:pt idx="72">
                  <c:v>Momauk Baptist Church</c:v>
                </c:pt>
                <c:pt idx="73">
                  <c:v>Mung Hawm </c:v>
                </c:pt>
                <c:pt idx="74">
                  <c:v>Muyin church (Aung Yar pre-school compound)</c:v>
                </c:pt>
                <c:pt idx="75">
                  <c:v>Nam Hkam - Nay Win Ni (Palawng)</c:v>
                </c:pt>
                <c:pt idx="76">
                  <c:v>Nam Hkam (KBC Jaw Wang)</c:v>
                </c:pt>
                <c:pt idx="77">
                  <c:v>Nam Hkam (KBC Jaw Wang) II</c:v>
                </c:pt>
                <c:pt idx="78">
                  <c:v>Nam Hkam Catholic Church ( St. Thomas I)</c:v>
                </c:pt>
                <c:pt idx="79">
                  <c:v>Nam Hpak Ka Mare </c:v>
                </c:pt>
                <c:pt idx="80">
                  <c:v>Nam Ma Phyit, COC</c:v>
                </c:pt>
                <c:pt idx="81">
                  <c:v>Nam Sa Larp</c:v>
                </c:pt>
                <c:pt idx="82">
                  <c:v>Nam Tu Baptist</c:v>
                </c:pt>
                <c:pt idx="83">
                  <c:v>Nan Kway St. John Catholic Church</c:v>
                </c:pt>
                <c:pt idx="84">
                  <c:v>Nant Ma Hpit Catholic Church</c:v>
                </c:pt>
                <c:pt idx="85">
                  <c:v>Nat Gyi Kone Baptist Church </c:v>
                </c:pt>
                <c:pt idx="86">
                  <c:v>Nawng Hee Village</c:v>
                </c:pt>
                <c:pt idx="87">
                  <c:v>Nawng Ing (Indawgyi) Baptist Church </c:v>
                </c:pt>
                <c:pt idx="88">
                  <c:v>Ndup Yang</c:v>
                </c:pt>
                <c:pt idx="89">
                  <c:v>New Pang Ku </c:v>
                </c:pt>
                <c:pt idx="90">
                  <c:v>Nhkawng Pa </c:v>
                </c:pt>
                <c:pt idx="91">
                  <c:v>Njang Dung Baptist Church </c:v>
                </c:pt>
                <c:pt idx="92">
                  <c:v>Nyaung Na Pin </c:v>
                </c:pt>
                <c:pt idx="93">
                  <c:v>Pa Dauk Myaing(Pa La Na)</c:v>
                </c:pt>
                <c:pt idx="94">
                  <c:v>Pa Kahtawng </c:v>
                </c:pt>
                <c:pt idx="95">
                  <c:v>Pajau - Jan Mai</c:v>
                </c:pt>
                <c:pt idx="96">
                  <c:v>Pan Law</c:v>
                </c:pt>
                <c:pt idx="97">
                  <c:v>Pan Ta Pyae</c:v>
                </c:pt>
                <c:pt idx="98">
                  <c:v>Phan Khar Kone</c:v>
                </c:pt>
                <c:pt idx="99">
                  <c:v>Qtr. 2 Lhaovo Baptist Church</c:v>
                </c:pt>
                <c:pt idx="100">
                  <c:v>Qtr. 2 Myoma Baptist Church</c:v>
                </c:pt>
                <c:pt idx="101">
                  <c:v>Rawan Baptist Church, Maw Shan Vil., Seik Mu</c:v>
                </c:pt>
                <c:pt idx="102">
                  <c:v>Robert Church</c:v>
                </c:pt>
                <c:pt idx="103">
                  <c:v>Salang Yang</c:v>
                </c:pt>
                <c:pt idx="104">
                  <c:v>Sar Hmaw - KBC</c:v>
                </c:pt>
                <c:pt idx="105">
                  <c:v>Seng Ja </c:v>
                </c:pt>
                <c:pt idx="106">
                  <c:v>Sha-It Yang</c:v>
                </c:pt>
                <c:pt idx="107">
                  <c:v>Shar Du Zut KBC church </c:v>
                </c:pt>
                <c:pt idx="108">
                  <c:v>Shatapru Sut Ngai Tawng</c:v>
                </c:pt>
                <c:pt idx="109">
                  <c:v>Shatapru Thida Aye Baptist Church</c:v>
                </c:pt>
                <c:pt idx="110">
                  <c:v>Shing Jai</c:v>
                </c:pt>
                <c:pt idx="111">
                  <c:v>Shwe Gu Baptist Church</c:v>
                </c:pt>
                <c:pt idx="112">
                  <c:v>Shwe Gu Catholic Church</c:v>
                </c:pt>
                <c:pt idx="113">
                  <c:v>Shwe Zet Baptist Church</c:v>
                </c:pt>
                <c:pt idx="114">
                  <c:v>St. Patrick Catholic Church </c:v>
                </c:pt>
                <c:pt idx="115">
                  <c:v>Tanai CoC</c:v>
                </c:pt>
                <c:pt idx="116">
                  <c:v>Tat Kone Baptist Church</c:v>
                </c:pt>
                <c:pt idx="117">
                  <c:v>Tat Kone COC Baptist - Tat Kone Htoi San</c:v>
                </c:pt>
                <c:pt idx="118">
                  <c:v>Tat Kone Galile Baptist Church</c:v>
                </c:pt>
                <c:pt idx="119">
                  <c:v>Tat Kone San Pya Baptist Church</c:v>
                </c:pt>
                <c:pt idx="120">
                  <c:v>Thargaya Lisu Baptist Church</c:v>
                </c:pt>
                <c:pt idx="121">
                  <c:v>Tsan Lun - Namjarap</c:v>
                </c:pt>
                <c:pt idx="122">
                  <c:v>Waingmaw AG Church</c:v>
                </c:pt>
                <c:pt idx="123">
                  <c:v>Ward 2 Sai Taung Baptist Church, Seik Mu </c:v>
                </c:pt>
                <c:pt idx="124">
                  <c:v>Woi Chyai </c:v>
                </c:pt>
                <c:pt idx="125">
                  <c:v>Woi Chyai (Mong Lai)</c:v>
                </c:pt>
                <c:pt idx="126">
                  <c:v>Woi Chyai host families</c:v>
                </c:pt>
                <c:pt idx="127">
                  <c:v>Yumar Baptist Church</c:v>
                </c:pt>
                <c:pt idx="128">
                  <c:v>Zup Aung Camp</c:v>
                </c:pt>
                <c:pt idx="129">
                  <c:v>Emmanuel AG Church</c:v>
                </c:pt>
                <c:pt idx="130">
                  <c:v>Sadung</c:v>
                </c:pt>
                <c:pt idx="131">
                  <c:v>Lawa RC Church</c:v>
                </c:pt>
                <c:pt idx="132">
                  <c:v>Karmaing RC Church</c:v>
                </c:pt>
                <c:pt idx="133">
                  <c:v>Ka Bu Dam CoC</c:v>
                </c:pt>
                <c:pt idx="134">
                  <c:v>Pang Hkawn Yang</c:v>
                </c:pt>
                <c:pt idx="135">
                  <c:v>Lone Khin Catholic Church</c:v>
                </c:pt>
                <c:pt idx="136">
                  <c:v>Ma Hawng Baptist Church</c:v>
                </c:pt>
                <c:pt idx="137">
                  <c:v>Tanai KBC Camp</c:v>
                </c:pt>
                <c:pt idx="138">
                  <c:v>Nam Hpak Ka Ta'ang ( Aung Tha Pyay)</c:v>
                </c:pt>
                <c:pt idx="139">
                  <c:v>Mai Yu Lay New (Ta'ang)</c:v>
                </c:pt>
                <c:pt idx="140">
                  <c:v>Mine Yu Lay village ( Old)</c:v>
                </c:pt>
                <c:pt idx="141">
                  <c:v>Namti Labraw Yang KBC Camp</c:v>
                </c:pt>
                <c:pt idx="142">
                  <c:v>Trinity Camp</c:v>
                </c:pt>
                <c:pt idx="143">
                  <c:v>Jaw Masat Camp</c:v>
                </c:pt>
                <c:pt idx="144">
                  <c:v>Waimaw Baptist Zonal Office 2</c:v>
                </c:pt>
                <c:pt idx="145">
                  <c:v>Pa Dauk Myaing(Pa La Na)-II</c:v>
                </c:pt>
                <c:pt idx="146">
                  <c:v>St. Joseph Tanai RC camp </c:v>
                </c:pt>
                <c:pt idx="147">
                  <c:v>Galeng (Palaung) &amp; Kone Khem</c:v>
                </c:pt>
                <c:pt idx="148">
                  <c:v>Hu Hku &amp; Ho Hko</c:v>
                </c:pt>
                <c:pt idx="149">
                  <c:v>Hka Garan Yang </c:v>
                </c:pt>
                <c:pt idx="150">
                  <c:v>Htang Nya </c:v>
                </c:pt>
                <c:pt idx="151">
                  <c:v>Enai (Man Pyein)</c:v>
                </c:pt>
                <c:pt idx="152">
                  <c:v>AD 2000 School</c:v>
                </c:pt>
                <c:pt idx="153">
                  <c:v>Robert -High school</c:v>
                </c:pt>
                <c:pt idx="154">
                  <c:v>Pamati Camp</c:v>
                </c:pt>
                <c:pt idx="155">
                  <c:v>Momauk IDP new extension camp (Kye Nan)</c:v>
                </c:pt>
                <c:pt idx="156">
                  <c:v>Sector 5 Pammati Quarter</c:v>
                </c:pt>
                <c:pt idx="157">
                  <c:v>Namatee Kan Hla AG</c:v>
                </c:pt>
                <c:pt idx="158">
                  <c:v>His Aw (Chyu Fan) </c:v>
                </c:pt>
                <c:pt idx="159">
                  <c:v>Shwe Sin (Ward 3) </c:v>
                </c:pt>
                <c:pt idx="160">
                  <c:v>Bum Ra Yang Camp </c:v>
                </c:pt>
                <c:pt idx="161">
                  <c:v>Mang Nawng Kawng (host)</c:v>
                </c:pt>
                <c:pt idx="162">
                  <c:v>Hat Hlan village (host)</c:v>
                </c:pt>
                <c:pt idx="163">
                  <c:v>Kyaukme Town (host)</c:v>
                </c:pt>
                <c:pt idx="164">
                  <c:v>Nam Hlaing Extension Ward camp</c:v>
                </c:pt>
                <c:pt idx="165">
                  <c:v>Naung Tar Law (Kyet Chan) </c:v>
                </c:pt>
                <c:pt idx="166">
                  <c:v>Waingmaw St.Joseph RC Church</c:v>
                </c:pt>
                <c:pt idx="167">
                  <c:v>Waingmaw LBC church </c:v>
                </c:pt>
                <c:pt idx="168">
                  <c:v>Lisu Zonal camp</c:v>
                </c:pt>
                <c:pt idx="169">
                  <c:v>Phaug Nhae Camp</c:v>
                </c:pt>
                <c:pt idx="170">
                  <c:v>Yuu Ka lait Kone Camp</c:v>
                </c:pt>
                <c:pt idx="171">
                  <c:v>Lhaovo Baptist Convention  Old Office Camp</c:v>
                </c:pt>
                <c:pt idx="172">
                  <c:v>Ding Jang Yang (1)</c:v>
                </c:pt>
                <c:pt idx="173">
                  <c:v>Ding Jang Yang (2)</c:v>
                </c:pt>
                <c:pt idx="174">
                  <c:v>Naung Pataine/lachid </c:v>
                </c:pt>
                <c:pt idx="175">
                  <c:v>Momauk KBC church</c:v>
                </c:pt>
                <c:pt idx="176">
                  <c:v>St.Francis RCC 1</c:v>
                </c:pt>
                <c:pt idx="177">
                  <c:v>St.Francis RCC 2</c:v>
                </c:pt>
                <c:pt idx="178">
                  <c:v>Bang Yang Hka (Mung Ji Pa)-relocated</c:v>
                </c:pt>
                <c:pt idx="179">
                  <c:v>Galeng Zup Awng ward 5 RC</c:v>
                </c:pt>
                <c:pt idx="180">
                  <c:v>Man Wing- IDPs in Host</c:v>
                </c:pt>
                <c:pt idx="181">
                  <c:v>(3 mile) Shwe Pyi Tar (SLCA)</c:v>
                </c:pt>
                <c:pt idx="182">
                  <c:v>Bhamo- IDPs in Host </c:v>
                </c:pt>
                <c:pt idx="183">
                  <c:v>Chipwi Pan Wa  (Host IDP)</c:v>
                </c:pt>
                <c:pt idx="184">
                  <c:v>St.Columban lone Khin camp</c:v>
                </c:pt>
                <c:pt idx="185">
                  <c:v>Mansi- IDPs in Host</c:v>
                </c:pt>
                <c:pt idx="186">
                  <c:v>Hopin -IDPs in Host</c:v>
                </c:pt>
                <c:pt idx="187">
                  <c:v>Moenyin- IDPs in Host</c:v>
                </c:pt>
                <c:pt idx="188">
                  <c:v>Momauk-IDPs in Host</c:v>
                </c:pt>
                <c:pt idx="189">
                  <c:v>Myo Thit -IDP in Host</c:v>
                </c:pt>
                <c:pt idx="190">
                  <c:v>Saint Matthew (Shin ma ti-sitapru) camp</c:v>
                </c:pt>
                <c:pt idx="191">
                  <c:v>Nan Hlaing_new camp </c:v>
                </c:pt>
                <c:pt idx="192">
                  <c:v>Na ru Kawng (Post 6 camp)</c:v>
                </c:pt>
                <c:pt idx="193">
                  <c:v>Mong Wee Shan-relocated</c:v>
                </c:pt>
                <c:pt idx="194">
                  <c:v>Hseng Ja-Relocated</c:v>
                </c:pt>
                <c:pt idx="195">
                  <c:v>Maina Mu-yin  Baptist Church</c:v>
                </c:pt>
              </c:strCache>
            </c:strRef>
          </c:cat>
          <c:val>
            <c:numRef>
              <c:f>'By Camps'!$B$34</c:f>
              <c:numCache>
                <c:formatCode>General</c:formatCode>
                <c:ptCount val="196"/>
                <c:pt idx="0">
                  <c:v>54</c:v>
                </c:pt>
                <c:pt idx="1">
                  <c:v>1226</c:v>
                </c:pt>
                <c:pt idx="2">
                  <c:v>435</c:v>
                </c:pt>
                <c:pt idx="3">
                  <c:v>72</c:v>
                </c:pt>
                <c:pt idx="4">
                  <c:v>605</c:v>
                </c:pt>
                <c:pt idx="5">
                  <c:v>51</c:v>
                </c:pt>
                <c:pt idx="6">
                  <c:v>250</c:v>
                </c:pt>
                <c:pt idx="7">
                  <c:v>0</c:v>
                </c:pt>
                <c:pt idx="8">
                  <c:v>1887</c:v>
                </c:pt>
                <c:pt idx="9">
                  <c:v>24</c:v>
                </c:pt>
                <c:pt idx="10">
                  <c:v>878</c:v>
                </c:pt>
                <c:pt idx="11">
                  <c:v>442</c:v>
                </c:pt>
                <c:pt idx="12">
                  <c:v>197</c:v>
                </c:pt>
                <c:pt idx="13">
                  <c:v>0</c:v>
                </c:pt>
                <c:pt idx="14">
                  <c:v>410</c:v>
                </c:pt>
                <c:pt idx="15">
                  <c:v>291</c:v>
                </c:pt>
                <c:pt idx="16">
                  <c:v>0</c:v>
                </c:pt>
                <c:pt idx="17">
                  <c:v>132</c:v>
                </c:pt>
                <c:pt idx="18">
                  <c:v>934</c:v>
                </c:pt>
                <c:pt idx="19">
                  <c:v>504</c:v>
                </c:pt>
                <c:pt idx="20">
                  <c:v>0</c:v>
                </c:pt>
                <c:pt idx="21">
                  <c:v>1463.1333333333334</c:v>
                </c:pt>
                <c:pt idx="22">
                  <c:v>222</c:v>
                </c:pt>
                <c:pt idx="23">
                  <c:v>177.16296296296298</c:v>
                </c:pt>
                <c:pt idx="24">
                  <c:v>1124</c:v>
                </c:pt>
                <c:pt idx="25">
                  <c:v>398</c:v>
                </c:pt>
                <c:pt idx="26">
                  <c:v>400</c:v>
                </c:pt>
                <c:pt idx="27">
                  <c:v>100</c:v>
                </c:pt>
                <c:pt idx="28">
                  <c:v>106</c:v>
                </c:pt>
                <c:pt idx="29">
                  <c:v>244</c:v>
                </c:pt>
                <c:pt idx="30">
                  <c:v>180</c:v>
                </c:pt>
                <c:pt idx="31">
                  <c:v>270</c:v>
                </c:pt>
                <c:pt idx="32">
                  <c:v>66</c:v>
                </c:pt>
                <c:pt idx="33">
                  <c:v>500</c:v>
                </c:pt>
                <c:pt idx="34">
                  <c:v>1850</c:v>
                </c:pt>
                <c:pt idx="35">
                  <c:v>633</c:v>
                </c:pt>
                <c:pt idx="36">
                  <c:v>680</c:v>
                </c:pt>
                <c:pt idx="37">
                  <c:v>676</c:v>
                </c:pt>
                <c:pt idx="38">
                  <c:v>884</c:v>
                </c:pt>
                <c:pt idx="39">
                  <c:v>100</c:v>
                </c:pt>
                <c:pt idx="40">
                  <c:v>54</c:v>
                </c:pt>
                <c:pt idx="41">
                  <c:v>689</c:v>
                </c:pt>
                <c:pt idx="42">
                  <c:v>127</c:v>
                </c:pt>
                <c:pt idx="43">
                  <c:v>239</c:v>
                </c:pt>
                <c:pt idx="44">
                  <c:v>426</c:v>
                </c:pt>
                <c:pt idx="45">
                  <c:v>1322</c:v>
                </c:pt>
                <c:pt idx="46">
                  <c:v>289</c:v>
                </c:pt>
                <c:pt idx="48">
                  <c:v>159</c:v>
                </c:pt>
                <c:pt idx="49">
                  <c:v>0</c:v>
                </c:pt>
                <c:pt idx="50">
                  <c:v>1000</c:v>
                </c:pt>
                <c:pt idx="51">
                  <c:v>1776</c:v>
                </c:pt>
                <c:pt idx="52">
                  <c:v>2500</c:v>
                </c:pt>
                <c:pt idx="53">
                  <c:v>191</c:v>
                </c:pt>
                <c:pt idx="54">
                  <c:v>1599</c:v>
                </c:pt>
                <c:pt idx="55">
                  <c:v>694</c:v>
                </c:pt>
                <c:pt idx="56">
                  <c:v>290</c:v>
                </c:pt>
                <c:pt idx="57">
                  <c:v>741</c:v>
                </c:pt>
                <c:pt idx="58">
                  <c:v>590</c:v>
                </c:pt>
                <c:pt idx="59">
                  <c:v>547</c:v>
                </c:pt>
                <c:pt idx="60">
                  <c:v>0</c:v>
                </c:pt>
                <c:pt idx="61">
                  <c:v>104</c:v>
                </c:pt>
                <c:pt idx="62">
                  <c:v>500.00000000000006</c:v>
                </c:pt>
                <c:pt idx="63">
                  <c:v>538</c:v>
                </c:pt>
                <c:pt idx="64">
                  <c:v>500</c:v>
                </c:pt>
                <c:pt idx="65">
                  <c:v>737</c:v>
                </c:pt>
                <c:pt idx="66">
                  <c:v>125</c:v>
                </c:pt>
                <c:pt idx="67">
                  <c:v>157</c:v>
                </c:pt>
                <c:pt idx="68">
                  <c:v>789</c:v>
                </c:pt>
                <c:pt idx="69">
                  <c:v>90</c:v>
                </c:pt>
                <c:pt idx="70">
                  <c:v>166</c:v>
                </c:pt>
                <c:pt idx="71">
                  <c:v>15</c:v>
                </c:pt>
                <c:pt idx="72">
                  <c:v>424</c:v>
                </c:pt>
                <c:pt idx="73">
                  <c:v>176</c:v>
                </c:pt>
                <c:pt idx="74">
                  <c:v>0</c:v>
                </c:pt>
                <c:pt idx="75">
                  <c:v>396</c:v>
                </c:pt>
                <c:pt idx="76">
                  <c:v>323</c:v>
                </c:pt>
                <c:pt idx="77">
                  <c:v>31</c:v>
                </c:pt>
                <c:pt idx="78">
                  <c:v>213</c:v>
                </c:pt>
                <c:pt idx="79">
                  <c:v>250</c:v>
                </c:pt>
                <c:pt idx="80">
                  <c:v>24</c:v>
                </c:pt>
                <c:pt idx="81">
                  <c:v>206</c:v>
                </c:pt>
                <c:pt idx="82">
                  <c:v>66.666666666666671</c:v>
                </c:pt>
                <c:pt idx="83">
                  <c:v>309</c:v>
                </c:pt>
                <c:pt idx="84">
                  <c:v>218</c:v>
                </c:pt>
                <c:pt idx="85">
                  <c:v>41</c:v>
                </c:pt>
                <c:pt idx="86">
                  <c:v>85</c:v>
                </c:pt>
                <c:pt idx="87">
                  <c:v>113</c:v>
                </c:pt>
                <c:pt idx="88">
                  <c:v>0</c:v>
                </c:pt>
                <c:pt idx="89">
                  <c:v>533.33333333333337</c:v>
                </c:pt>
                <c:pt idx="90">
                  <c:v>1500</c:v>
                </c:pt>
                <c:pt idx="91">
                  <c:v>299</c:v>
                </c:pt>
                <c:pt idx="92">
                  <c:v>299</c:v>
                </c:pt>
                <c:pt idx="93">
                  <c:v>895</c:v>
                </c:pt>
                <c:pt idx="94">
                  <c:v>250.00000000000003</c:v>
                </c:pt>
                <c:pt idx="95">
                  <c:v>0</c:v>
                </c:pt>
                <c:pt idx="96">
                  <c:v>221</c:v>
                </c:pt>
                <c:pt idx="97">
                  <c:v>91</c:v>
                </c:pt>
                <c:pt idx="98">
                  <c:v>334</c:v>
                </c:pt>
                <c:pt idx="99">
                  <c:v>506</c:v>
                </c:pt>
                <c:pt idx="100">
                  <c:v>307</c:v>
                </c:pt>
                <c:pt idx="101">
                  <c:v>70</c:v>
                </c:pt>
                <c:pt idx="102">
                  <c:v>3860</c:v>
                </c:pt>
                <c:pt idx="103">
                  <c:v>0</c:v>
                </c:pt>
                <c:pt idx="104">
                  <c:v>136</c:v>
                </c:pt>
                <c:pt idx="105">
                  <c:v>255</c:v>
                </c:pt>
                <c:pt idx="106">
                  <c:v>0</c:v>
                </c:pt>
                <c:pt idx="107">
                  <c:v>103</c:v>
                </c:pt>
                <c:pt idx="108">
                  <c:v>583</c:v>
                </c:pt>
                <c:pt idx="109">
                  <c:v>119</c:v>
                </c:pt>
                <c:pt idx="110">
                  <c:v>0</c:v>
                </c:pt>
                <c:pt idx="111">
                  <c:v>300</c:v>
                </c:pt>
                <c:pt idx="112">
                  <c:v>182</c:v>
                </c:pt>
                <c:pt idx="113">
                  <c:v>499</c:v>
                </c:pt>
                <c:pt idx="114">
                  <c:v>68</c:v>
                </c:pt>
                <c:pt idx="115">
                  <c:v>153</c:v>
                </c:pt>
                <c:pt idx="116">
                  <c:v>351</c:v>
                </c:pt>
                <c:pt idx="117">
                  <c:v>262</c:v>
                </c:pt>
                <c:pt idx="118">
                  <c:v>165</c:v>
                </c:pt>
                <c:pt idx="119">
                  <c:v>219</c:v>
                </c:pt>
                <c:pt idx="120">
                  <c:v>192</c:v>
                </c:pt>
                <c:pt idx="121">
                  <c:v>195</c:v>
                </c:pt>
                <c:pt idx="122">
                  <c:v>293</c:v>
                </c:pt>
                <c:pt idx="123">
                  <c:v>133</c:v>
                </c:pt>
                <c:pt idx="124">
                  <c:v>422.42222222222222</c:v>
                </c:pt>
                <c:pt idx="125">
                  <c:v>0</c:v>
                </c:pt>
                <c:pt idx="126">
                  <c:v>0</c:v>
                </c:pt>
                <c:pt idx="127">
                  <c:v>66</c:v>
                </c:pt>
                <c:pt idx="128">
                  <c:v>1101</c:v>
                </c:pt>
                <c:pt idx="129">
                  <c:v>0</c:v>
                </c:pt>
                <c:pt idx="130">
                  <c:v>0</c:v>
                </c:pt>
                <c:pt idx="131">
                  <c:v>242</c:v>
                </c:pt>
                <c:pt idx="132">
                  <c:v>52</c:v>
                </c:pt>
                <c:pt idx="133">
                  <c:v>43</c:v>
                </c:pt>
                <c:pt idx="134">
                  <c:v>1397</c:v>
                </c:pt>
                <c:pt idx="135">
                  <c:v>400</c:v>
                </c:pt>
                <c:pt idx="136">
                  <c:v>78</c:v>
                </c:pt>
                <c:pt idx="137">
                  <c:v>0</c:v>
                </c:pt>
                <c:pt idx="138">
                  <c:v>158</c:v>
                </c:pt>
                <c:pt idx="139">
                  <c:v>502</c:v>
                </c:pt>
                <c:pt idx="140">
                  <c:v>251</c:v>
                </c:pt>
                <c:pt idx="141">
                  <c:v>400</c:v>
                </c:pt>
                <c:pt idx="142">
                  <c:v>866</c:v>
                </c:pt>
                <c:pt idx="143">
                  <c:v>612</c:v>
                </c:pt>
                <c:pt idx="144">
                  <c:v>351</c:v>
                </c:pt>
                <c:pt idx="145">
                  <c:v>1365</c:v>
                </c:pt>
                <c:pt idx="146">
                  <c:v>622</c:v>
                </c:pt>
                <c:pt idx="147">
                  <c:v>439</c:v>
                </c:pt>
                <c:pt idx="148">
                  <c:v>130</c:v>
                </c:pt>
                <c:pt idx="149">
                  <c:v>0</c:v>
                </c:pt>
                <c:pt idx="150">
                  <c:v>16</c:v>
                </c:pt>
                <c:pt idx="151">
                  <c:v>103</c:v>
                </c:pt>
                <c:pt idx="154">
                  <c:v>143</c:v>
                </c:pt>
                <c:pt idx="155">
                  <c:v>267</c:v>
                </c:pt>
                <c:pt idx="156">
                  <c:v>0</c:v>
                </c:pt>
                <c:pt idx="157">
                  <c:v>36</c:v>
                </c:pt>
                <c:pt idx="158">
                  <c:v>1600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267</c:v>
                </c:pt>
                <c:pt idx="177">
                  <c:v>412</c:v>
                </c:pt>
                <c:pt idx="178">
                  <c:v>0</c:v>
                </c:pt>
                <c:pt idx="179">
                  <c:v>132</c:v>
                </c:pt>
                <c:pt idx="180">
                  <c:v>544</c:v>
                </c:pt>
                <c:pt idx="181">
                  <c:v>0</c:v>
                </c:pt>
                <c:pt idx="182">
                  <c:v>0</c:v>
                </c:pt>
                <c:pt idx="183">
                  <c:v>0</c:v>
                </c:pt>
                <c:pt idx="184">
                  <c:v>0</c:v>
                </c:pt>
                <c:pt idx="185">
                  <c:v>0</c:v>
                </c:pt>
                <c:pt idx="186">
                  <c:v>0</c:v>
                </c:pt>
                <c:pt idx="187">
                  <c:v>0</c:v>
                </c:pt>
                <c:pt idx="188">
                  <c:v>0</c:v>
                </c:pt>
                <c:pt idx="189">
                  <c:v>0</c:v>
                </c:pt>
                <c:pt idx="190">
                  <c:v>83</c:v>
                </c:pt>
                <c:pt idx="191">
                  <c:v>189</c:v>
                </c:pt>
                <c:pt idx="192">
                  <c:v>319</c:v>
                </c:pt>
                <c:pt idx="193">
                  <c:v>292</c:v>
                </c:pt>
                <c:pt idx="194">
                  <c:v>0</c:v>
                </c:pt>
                <c:pt idx="195">
                  <c:v>221</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3852548601251686"/>
          <c:y val="0.10672598109416435"/>
          <c:w val="0.16147453061974054"/>
          <c:h val="0.593779608433571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[20221027_Myanmar_WASH_4W_2022_Q3_KachinShan_camp_Consolidate.xlsx]Tracking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Dashboard'!$L$5:$M$791</c:f>
              <c:multiLvlStrCache>
                <c:ptCount val="582"/>
                <c:lvl>
                  <c:pt idx="0">
                    <c:v>2022_Q1</c:v>
                  </c:pt>
                  <c:pt idx="1">
                    <c:v>2022_Q1</c:v>
                  </c:pt>
                  <c:pt idx="2">
                    <c:v>2022_Q2</c:v>
                  </c:pt>
                  <c:pt idx="3">
                    <c:v>2022_Q3</c:v>
                  </c:pt>
                  <c:pt idx="4">
                    <c:v>2022_Q1</c:v>
                  </c:pt>
                  <c:pt idx="5">
                    <c:v>2022_Q2</c:v>
                  </c:pt>
                  <c:pt idx="6">
                    <c:v>2022_Q3</c:v>
                  </c:pt>
                  <c:pt idx="7">
                    <c:v>2022_Q1</c:v>
                  </c:pt>
                  <c:pt idx="8">
                    <c:v>2022_Q2</c:v>
                  </c:pt>
                  <c:pt idx="9">
                    <c:v>2022_Q3</c:v>
                  </c:pt>
                  <c:pt idx="10">
                    <c:v>2022_Q1</c:v>
                  </c:pt>
                  <c:pt idx="11">
                    <c:v>2022_Q2</c:v>
                  </c:pt>
                  <c:pt idx="12">
                    <c:v>2022_Q3</c:v>
                  </c:pt>
                  <c:pt idx="13">
                    <c:v>2022_Q1</c:v>
                  </c:pt>
                  <c:pt idx="14">
                    <c:v>2022_Q2</c:v>
                  </c:pt>
                  <c:pt idx="15">
                    <c:v>2022_Q3</c:v>
                  </c:pt>
                  <c:pt idx="16">
                    <c:v>2022_Q1</c:v>
                  </c:pt>
                  <c:pt idx="17">
                    <c:v>2022_Q2</c:v>
                  </c:pt>
                  <c:pt idx="18">
                    <c:v>2022_Q3</c:v>
                  </c:pt>
                  <c:pt idx="19">
                    <c:v>2022_Q1</c:v>
                  </c:pt>
                  <c:pt idx="20">
                    <c:v>2022_Q2</c:v>
                  </c:pt>
                  <c:pt idx="21">
                    <c:v>2022_Q3</c:v>
                  </c:pt>
                  <c:pt idx="22">
                    <c:v>2022_Q1</c:v>
                  </c:pt>
                  <c:pt idx="23">
                    <c:v>2022_Q2</c:v>
                  </c:pt>
                  <c:pt idx="24">
                    <c:v>2022_Q3</c:v>
                  </c:pt>
                  <c:pt idx="25">
                    <c:v>2022_Q1</c:v>
                  </c:pt>
                  <c:pt idx="26">
                    <c:v>2022_Q2</c:v>
                  </c:pt>
                  <c:pt idx="27">
                    <c:v>2022_Q3</c:v>
                  </c:pt>
                  <c:pt idx="28">
                    <c:v>2022_Q1</c:v>
                  </c:pt>
                  <c:pt idx="29">
                    <c:v>2022_Q2</c:v>
                  </c:pt>
                  <c:pt idx="30">
                    <c:v>2022_Q3</c:v>
                  </c:pt>
                  <c:pt idx="31">
                    <c:v>2022_Q1</c:v>
                  </c:pt>
                  <c:pt idx="32">
                    <c:v>2022_Q2</c:v>
                  </c:pt>
                  <c:pt idx="33">
                    <c:v>2022_Q3</c:v>
                  </c:pt>
                  <c:pt idx="34">
                    <c:v>2022_Q1</c:v>
                  </c:pt>
                  <c:pt idx="35">
                    <c:v>2022_Q2</c:v>
                  </c:pt>
                  <c:pt idx="36">
                    <c:v>2022_Q3</c:v>
                  </c:pt>
                  <c:pt idx="37">
                    <c:v>2022_Q1</c:v>
                  </c:pt>
                  <c:pt idx="38">
                    <c:v>2022_Q2</c:v>
                  </c:pt>
                  <c:pt idx="39">
                    <c:v>2022_Q3</c:v>
                  </c:pt>
                  <c:pt idx="40">
                    <c:v>2022_Q1</c:v>
                  </c:pt>
                  <c:pt idx="41">
                    <c:v>2022_Q2</c:v>
                  </c:pt>
                  <c:pt idx="42">
                    <c:v>2022_Q3</c:v>
                  </c:pt>
                  <c:pt idx="43">
                    <c:v>2022_Q1</c:v>
                  </c:pt>
                  <c:pt idx="44">
                    <c:v>2022_Q2</c:v>
                  </c:pt>
                  <c:pt idx="45">
                    <c:v>2022_Q3</c:v>
                  </c:pt>
                  <c:pt idx="46">
                    <c:v>2022_Q1</c:v>
                  </c:pt>
                  <c:pt idx="47">
                    <c:v>2022_Q2</c:v>
                  </c:pt>
                  <c:pt idx="48">
                    <c:v>2022_Q3</c:v>
                  </c:pt>
                  <c:pt idx="49">
                    <c:v>2022_Q1</c:v>
                  </c:pt>
                  <c:pt idx="50">
                    <c:v>2022_Q2</c:v>
                  </c:pt>
                  <c:pt idx="51">
                    <c:v>2022_Q3</c:v>
                  </c:pt>
                  <c:pt idx="52">
                    <c:v>2022_Q1</c:v>
                  </c:pt>
                  <c:pt idx="53">
                    <c:v>2022_Q2</c:v>
                  </c:pt>
                  <c:pt idx="54">
                    <c:v>2022_Q3</c:v>
                  </c:pt>
                  <c:pt idx="55">
                    <c:v>2022_Q1</c:v>
                  </c:pt>
                  <c:pt idx="56">
                    <c:v>2022_Q2</c:v>
                  </c:pt>
                  <c:pt idx="57">
                    <c:v>2022_Q3</c:v>
                  </c:pt>
                  <c:pt idx="58">
                    <c:v>2022_Q1</c:v>
                  </c:pt>
                  <c:pt idx="59">
                    <c:v>2022_Q2</c:v>
                  </c:pt>
                  <c:pt idx="60">
                    <c:v>2022_Q3</c:v>
                  </c:pt>
                  <c:pt idx="61">
                    <c:v>2022_Q1</c:v>
                  </c:pt>
                  <c:pt idx="62">
                    <c:v>2022_Q2</c:v>
                  </c:pt>
                  <c:pt idx="63">
                    <c:v>2022_Q3</c:v>
                  </c:pt>
                  <c:pt idx="64">
                    <c:v>2022_Q1</c:v>
                  </c:pt>
                  <c:pt idx="65">
                    <c:v>2022_Q2</c:v>
                  </c:pt>
                  <c:pt idx="66">
                    <c:v>2022_Q3</c:v>
                  </c:pt>
                  <c:pt idx="67">
                    <c:v>2022_Q1</c:v>
                  </c:pt>
                  <c:pt idx="68">
                    <c:v>2022_Q2</c:v>
                  </c:pt>
                  <c:pt idx="69">
                    <c:v>2022_Q3</c:v>
                  </c:pt>
                  <c:pt idx="70">
                    <c:v>2022_Q1</c:v>
                  </c:pt>
                  <c:pt idx="71">
                    <c:v>2022_Q2</c:v>
                  </c:pt>
                  <c:pt idx="72">
                    <c:v>2022_Q3</c:v>
                  </c:pt>
                  <c:pt idx="73">
                    <c:v>2022_Q1</c:v>
                  </c:pt>
                  <c:pt idx="74">
                    <c:v>2022_Q2</c:v>
                  </c:pt>
                  <c:pt idx="75">
                    <c:v>2022_Q3</c:v>
                  </c:pt>
                  <c:pt idx="76">
                    <c:v>2022_Q1</c:v>
                  </c:pt>
                  <c:pt idx="77">
                    <c:v>2022_Q2</c:v>
                  </c:pt>
                  <c:pt idx="78">
                    <c:v>2022_Q3</c:v>
                  </c:pt>
                  <c:pt idx="79">
                    <c:v>2022_Q1</c:v>
                  </c:pt>
                  <c:pt idx="80">
                    <c:v>2022_Q2</c:v>
                  </c:pt>
                  <c:pt idx="81">
                    <c:v>2022_Q3</c:v>
                  </c:pt>
                  <c:pt idx="82">
                    <c:v>2022_Q1</c:v>
                  </c:pt>
                  <c:pt idx="83">
                    <c:v>2022_Q2</c:v>
                  </c:pt>
                  <c:pt idx="84">
                    <c:v>2022_Q3</c:v>
                  </c:pt>
                  <c:pt idx="85">
                    <c:v>2022_Q1</c:v>
                  </c:pt>
                  <c:pt idx="86">
                    <c:v>2022_Q2</c:v>
                  </c:pt>
                  <c:pt idx="87">
                    <c:v>2022_Q3</c:v>
                  </c:pt>
                  <c:pt idx="88">
                    <c:v>2022_Q1</c:v>
                  </c:pt>
                  <c:pt idx="89">
                    <c:v>2022_Q2</c:v>
                  </c:pt>
                  <c:pt idx="90">
                    <c:v>2022_Q3</c:v>
                  </c:pt>
                  <c:pt idx="91">
                    <c:v>2022_Q1</c:v>
                  </c:pt>
                  <c:pt idx="92">
                    <c:v>2022_Q2</c:v>
                  </c:pt>
                  <c:pt idx="93">
                    <c:v>2022_Q3</c:v>
                  </c:pt>
                  <c:pt idx="94">
                    <c:v>2022_Q1</c:v>
                  </c:pt>
                  <c:pt idx="95">
                    <c:v>2022_Q2</c:v>
                  </c:pt>
                  <c:pt idx="96">
                    <c:v>2022_Q3</c:v>
                  </c:pt>
                  <c:pt idx="97">
                    <c:v>2022_Q1</c:v>
                  </c:pt>
                  <c:pt idx="98">
                    <c:v>2022_Q2</c:v>
                  </c:pt>
                  <c:pt idx="99">
                    <c:v>2022_Q3</c:v>
                  </c:pt>
                  <c:pt idx="100">
                    <c:v>2022_Q1</c:v>
                  </c:pt>
                  <c:pt idx="101">
                    <c:v>2022_Q2</c:v>
                  </c:pt>
                  <c:pt idx="102">
                    <c:v>2022_Q3</c:v>
                  </c:pt>
                  <c:pt idx="103">
                    <c:v>2022_Q1</c:v>
                  </c:pt>
                  <c:pt idx="104">
                    <c:v>2022_Q2</c:v>
                  </c:pt>
                  <c:pt idx="105">
                    <c:v>2022_Q3</c:v>
                  </c:pt>
                  <c:pt idx="106">
                    <c:v>2022_Q1</c:v>
                  </c:pt>
                  <c:pt idx="107">
                    <c:v>2022_Q2</c:v>
                  </c:pt>
                  <c:pt idx="108">
                    <c:v>2022_Q3</c:v>
                  </c:pt>
                  <c:pt idx="109">
                    <c:v>2022_Q1</c:v>
                  </c:pt>
                  <c:pt idx="110">
                    <c:v>2022_Q2</c:v>
                  </c:pt>
                  <c:pt idx="111">
                    <c:v>2022_Q3</c:v>
                  </c:pt>
                  <c:pt idx="112">
                    <c:v>2022_Q1</c:v>
                  </c:pt>
                  <c:pt idx="113">
                    <c:v>2022_Q2</c:v>
                  </c:pt>
                  <c:pt idx="114">
                    <c:v>2022_Q3</c:v>
                  </c:pt>
                  <c:pt idx="115">
                    <c:v>2022_Q1</c:v>
                  </c:pt>
                  <c:pt idx="116">
                    <c:v>2022_Q2</c:v>
                  </c:pt>
                  <c:pt idx="117">
                    <c:v>2022_Q3</c:v>
                  </c:pt>
                  <c:pt idx="118">
                    <c:v>2022_Q1</c:v>
                  </c:pt>
                  <c:pt idx="119">
                    <c:v>2022_Q2</c:v>
                  </c:pt>
                  <c:pt idx="120">
                    <c:v>2022_Q3</c:v>
                  </c:pt>
                  <c:pt idx="121">
                    <c:v>2022_Q1</c:v>
                  </c:pt>
                  <c:pt idx="122">
                    <c:v>2022_Q1</c:v>
                  </c:pt>
                  <c:pt idx="123">
                    <c:v>2022_Q2</c:v>
                  </c:pt>
                  <c:pt idx="124">
                    <c:v>2022_Q3</c:v>
                  </c:pt>
                  <c:pt idx="125">
                    <c:v>2022_Q1</c:v>
                  </c:pt>
                  <c:pt idx="126">
                    <c:v>2022_Q2</c:v>
                  </c:pt>
                  <c:pt idx="127">
                    <c:v>2022_Q3</c:v>
                  </c:pt>
                  <c:pt idx="128">
                    <c:v>2022_Q1</c:v>
                  </c:pt>
                  <c:pt idx="129">
                    <c:v>2022_Q2</c:v>
                  </c:pt>
                  <c:pt idx="130">
                    <c:v>2022_Q3</c:v>
                  </c:pt>
                  <c:pt idx="131">
                    <c:v>2022_Q1</c:v>
                  </c:pt>
                  <c:pt idx="132">
                    <c:v>2022_Q2</c:v>
                  </c:pt>
                  <c:pt idx="133">
                    <c:v>2022_Q3</c:v>
                  </c:pt>
                  <c:pt idx="134">
                    <c:v>2022_Q1</c:v>
                  </c:pt>
                  <c:pt idx="135">
                    <c:v>2022_Q2</c:v>
                  </c:pt>
                  <c:pt idx="136">
                    <c:v>2022_Q3</c:v>
                  </c:pt>
                  <c:pt idx="137">
                    <c:v>2022_Q1</c:v>
                  </c:pt>
                  <c:pt idx="138">
                    <c:v>2022_Q2</c:v>
                  </c:pt>
                  <c:pt idx="139">
                    <c:v>2022_Q3</c:v>
                  </c:pt>
                  <c:pt idx="140">
                    <c:v>2022_Q1</c:v>
                  </c:pt>
                  <c:pt idx="141">
                    <c:v>2022_Q2</c:v>
                  </c:pt>
                  <c:pt idx="142">
                    <c:v>2022_Q3</c:v>
                  </c:pt>
                  <c:pt idx="143">
                    <c:v>2022_Q1</c:v>
                  </c:pt>
                  <c:pt idx="144">
                    <c:v>2022_Q2</c:v>
                  </c:pt>
                  <c:pt idx="145">
                    <c:v>2022_Q3</c:v>
                  </c:pt>
                  <c:pt idx="146">
                    <c:v>2022_Q1</c:v>
                  </c:pt>
                  <c:pt idx="147">
                    <c:v>2022_Q2</c:v>
                  </c:pt>
                  <c:pt idx="148">
                    <c:v>2022_Q3</c:v>
                  </c:pt>
                  <c:pt idx="149">
                    <c:v>2022_Q1</c:v>
                  </c:pt>
                  <c:pt idx="150">
                    <c:v>2022_Q2</c:v>
                  </c:pt>
                  <c:pt idx="151">
                    <c:v>2022_Q3</c:v>
                  </c:pt>
                  <c:pt idx="152">
                    <c:v>2022_Q1</c:v>
                  </c:pt>
                  <c:pt idx="153">
                    <c:v>2022_Q2</c:v>
                  </c:pt>
                  <c:pt idx="154">
                    <c:v>2022_Q3</c:v>
                  </c:pt>
                  <c:pt idx="155">
                    <c:v>2022_Q1</c:v>
                  </c:pt>
                  <c:pt idx="156">
                    <c:v>2022_Q2</c:v>
                  </c:pt>
                  <c:pt idx="157">
                    <c:v>2022_Q3</c:v>
                  </c:pt>
                  <c:pt idx="158">
                    <c:v>2022_Q1</c:v>
                  </c:pt>
                  <c:pt idx="159">
                    <c:v>2022_Q1</c:v>
                  </c:pt>
                  <c:pt idx="160">
                    <c:v>2022_Q2</c:v>
                  </c:pt>
                  <c:pt idx="161">
                    <c:v>2022_Q1</c:v>
                  </c:pt>
                  <c:pt idx="162">
                    <c:v>2022_Q2</c:v>
                  </c:pt>
                  <c:pt idx="163">
                    <c:v>2022_Q3</c:v>
                  </c:pt>
                  <c:pt idx="164">
                    <c:v>2022_Q1</c:v>
                  </c:pt>
                  <c:pt idx="165">
                    <c:v>2022_Q2</c:v>
                  </c:pt>
                  <c:pt idx="166">
                    <c:v>2022_Q3</c:v>
                  </c:pt>
                  <c:pt idx="167">
                    <c:v>2022_Q1</c:v>
                  </c:pt>
                  <c:pt idx="168">
                    <c:v>2022_Q2</c:v>
                  </c:pt>
                  <c:pt idx="169">
                    <c:v>2022_Q3</c:v>
                  </c:pt>
                  <c:pt idx="170">
                    <c:v>2022_Q1</c:v>
                  </c:pt>
                  <c:pt idx="171">
                    <c:v>2022_Q2</c:v>
                  </c:pt>
                  <c:pt idx="172">
                    <c:v>2022_Q3</c:v>
                  </c:pt>
                  <c:pt idx="173">
                    <c:v>2022_Q1</c:v>
                  </c:pt>
                  <c:pt idx="174">
                    <c:v>2022_Q2</c:v>
                  </c:pt>
                  <c:pt idx="175">
                    <c:v>2022_Q3</c:v>
                  </c:pt>
                  <c:pt idx="176">
                    <c:v>2022_Q1</c:v>
                  </c:pt>
                  <c:pt idx="177">
                    <c:v>2022_Q2</c:v>
                  </c:pt>
                  <c:pt idx="178">
                    <c:v>2022_Q3</c:v>
                  </c:pt>
                  <c:pt idx="179">
                    <c:v>2022_Q1</c:v>
                  </c:pt>
                  <c:pt idx="180">
                    <c:v>2022_Q2</c:v>
                  </c:pt>
                  <c:pt idx="181">
                    <c:v>2022_Q3</c:v>
                  </c:pt>
                  <c:pt idx="182">
                    <c:v>2022_Q1</c:v>
                  </c:pt>
                  <c:pt idx="183">
                    <c:v>2022_Q2</c:v>
                  </c:pt>
                  <c:pt idx="184">
                    <c:v>2022_Q3</c:v>
                  </c:pt>
                  <c:pt idx="185">
                    <c:v>2022_Q1</c:v>
                  </c:pt>
                  <c:pt idx="186">
                    <c:v>2022_Q2</c:v>
                  </c:pt>
                  <c:pt idx="187">
                    <c:v>2022_Q3</c:v>
                  </c:pt>
                  <c:pt idx="188">
                    <c:v>2022_Q1</c:v>
                  </c:pt>
                  <c:pt idx="189">
                    <c:v>2022_Q2</c:v>
                  </c:pt>
                  <c:pt idx="190">
                    <c:v>2022_Q3</c:v>
                  </c:pt>
                  <c:pt idx="191">
                    <c:v>2022_Q1</c:v>
                  </c:pt>
                  <c:pt idx="192">
                    <c:v>2022_Q2</c:v>
                  </c:pt>
                  <c:pt idx="193">
                    <c:v>2022_Q3</c:v>
                  </c:pt>
                  <c:pt idx="194">
                    <c:v>2022_Q1</c:v>
                  </c:pt>
                  <c:pt idx="195">
                    <c:v>2022_Q2</c:v>
                  </c:pt>
                  <c:pt idx="196">
                    <c:v>2022_Q3</c:v>
                  </c:pt>
                  <c:pt idx="197">
                    <c:v>2022_Q1</c:v>
                  </c:pt>
                  <c:pt idx="198">
                    <c:v>2022_Q2</c:v>
                  </c:pt>
                  <c:pt idx="199">
                    <c:v>2022_Q3</c:v>
                  </c:pt>
                  <c:pt idx="200">
                    <c:v>2022_Q1</c:v>
                  </c:pt>
                  <c:pt idx="201">
                    <c:v>2022_Q2</c:v>
                  </c:pt>
                  <c:pt idx="202">
                    <c:v>2022_Q3</c:v>
                  </c:pt>
                  <c:pt idx="203">
                    <c:v>2022_Q1</c:v>
                  </c:pt>
                  <c:pt idx="204">
                    <c:v>2022_Q2</c:v>
                  </c:pt>
                  <c:pt idx="205">
                    <c:v>2022_Q3</c:v>
                  </c:pt>
                  <c:pt idx="206">
                    <c:v>2022_Q1</c:v>
                  </c:pt>
                  <c:pt idx="207">
                    <c:v>2022_Q2</c:v>
                  </c:pt>
                  <c:pt idx="208">
                    <c:v>2022_Q3</c:v>
                  </c:pt>
                  <c:pt idx="209">
                    <c:v>2022_Q1</c:v>
                  </c:pt>
                  <c:pt idx="210">
                    <c:v>2022_Q2</c:v>
                  </c:pt>
                  <c:pt idx="211">
                    <c:v>2022_Q3</c:v>
                  </c:pt>
                  <c:pt idx="212">
                    <c:v>2022_Q1</c:v>
                  </c:pt>
                  <c:pt idx="213">
                    <c:v>2022_Q2</c:v>
                  </c:pt>
                  <c:pt idx="214">
                    <c:v>2022_Q3</c:v>
                  </c:pt>
                  <c:pt idx="215">
                    <c:v>2022_Q1</c:v>
                  </c:pt>
                  <c:pt idx="216">
                    <c:v>2022_Q2</c:v>
                  </c:pt>
                  <c:pt idx="217">
                    <c:v>2022_Q3</c:v>
                  </c:pt>
                  <c:pt idx="218">
                    <c:v>2022_Q1</c:v>
                  </c:pt>
                  <c:pt idx="219">
                    <c:v>2022_Q2</c:v>
                  </c:pt>
                  <c:pt idx="220">
                    <c:v>2022_Q3</c:v>
                  </c:pt>
                  <c:pt idx="221">
                    <c:v>2022_Q1</c:v>
                  </c:pt>
                  <c:pt idx="222">
                    <c:v>2022_Q2</c:v>
                  </c:pt>
                  <c:pt idx="223">
                    <c:v>2022_Q3</c:v>
                  </c:pt>
                  <c:pt idx="224">
                    <c:v>2022_Q1</c:v>
                  </c:pt>
                  <c:pt idx="225">
                    <c:v>2022_Q2</c:v>
                  </c:pt>
                  <c:pt idx="226">
                    <c:v>2022_Q3</c:v>
                  </c:pt>
                  <c:pt idx="227">
                    <c:v>2022_Q1</c:v>
                  </c:pt>
                  <c:pt idx="228">
                    <c:v>2022_Q2</c:v>
                  </c:pt>
                  <c:pt idx="229">
                    <c:v>2022_Q3</c:v>
                  </c:pt>
                  <c:pt idx="230">
                    <c:v>2022_Q1</c:v>
                  </c:pt>
                  <c:pt idx="231">
                    <c:v>2022_Q2</c:v>
                  </c:pt>
                  <c:pt idx="232">
                    <c:v>2022_Q3</c:v>
                  </c:pt>
                  <c:pt idx="233">
                    <c:v>2022_Q1</c:v>
                  </c:pt>
                  <c:pt idx="234">
                    <c:v>2022_Q2</c:v>
                  </c:pt>
                  <c:pt idx="235">
                    <c:v>2022_Q3</c:v>
                  </c:pt>
                  <c:pt idx="236">
                    <c:v>2022_Q1</c:v>
                  </c:pt>
                  <c:pt idx="237">
                    <c:v>2022_Q2</c:v>
                  </c:pt>
                  <c:pt idx="238">
                    <c:v>2022_Q3</c:v>
                  </c:pt>
                  <c:pt idx="239">
                    <c:v>2022_Q1</c:v>
                  </c:pt>
                  <c:pt idx="240">
                    <c:v>2022_Q2</c:v>
                  </c:pt>
                  <c:pt idx="241">
                    <c:v>2022_Q3</c:v>
                  </c:pt>
                  <c:pt idx="242">
                    <c:v>2022_Q1</c:v>
                  </c:pt>
                  <c:pt idx="243">
                    <c:v>2022_Q2</c:v>
                  </c:pt>
                  <c:pt idx="244">
                    <c:v>2022_Q3</c:v>
                  </c:pt>
                  <c:pt idx="245">
                    <c:v>2022_Q1</c:v>
                  </c:pt>
                  <c:pt idx="246">
                    <c:v>2022_Q2</c:v>
                  </c:pt>
                  <c:pt idx="247">
                    <c:v>2022_Q3</c:v>
                  </c:pt>
                  <c:pt idx="248">
                    <c:v>2022_Q1</c:v>
                  </c:pt>
                  <c:pt idx="249">
                    <c:v>2022_Q2</c:v>
                  </c:pt>
                  <c:pt idx="250">
                    <c:v>2022_Q3</c:v>
                  </c:pt>
                  <c:pt idx="251">
                    <c:v>2022_Q1</c:v>
                  </c:pt>
                  <c:pt idx="252">
                    <c:v>2022_Q2</c:v>
                  </c:pt>
                  <c:pt idx="253">
                    <c:v>2022_Q3</c:v>
                  </c:pt>
                  <c:pt idx="254">
                    <c:v>2022_Q1</c:v>
                  </c:pt>
                  <c:pt idx="255">
                    <c:v>2022_Q2</c:v>
                  </c:pt>
                  <c:pt idx="256">
                    <c:v>2022_Q3</c:v>
                  </c:pt>
                  <c:pt idx="257">
                    <c:v>2022_Q1</c:v>
                  </c:pt>
                  <c:pt idx="258">
                    <c:v>2022_Q2</c:v>
                  </c:pt>
                  <c:pt idx="259">
                    <c:v>2022_Q3</c:v>
                  </c:pt>
                  <c:pt idx="260">
                    <c:v>2022_Q1</c:v>
                  </c:pt>
                  <c:pt idx="261">
                    <c:v>2022_Q2</c:v>
                  </c:pt>
                  <c:pt idx="262">
                    <c:v>2022_Q3</c:v>
                  </c:pt>
                  <c:pt idx="263">
                    <c:v>2022_Q1</c:v>
                  </c:pt>
                  <c:pt idx="264">
                    <c:v>2022_Q2</c:v>
                  </c:pt>
                  <c:pt idx="265">
                    <c:v>2022_Q3</c:v>
                  </c:pt>
                  <c:pt idx="266">
                    <c:v>2022_Q1</c:v>
                  </c:pt>
                  <c:pt idx="267">
                    <c:v>2022_Q2</c:v>
                  </c:pt>
                  <c:pt idx="268">
                    <c:v>2022_Q3</c:v>
                  </c:pt>
                  <c:pt idx="269">
                    <c:v>2022_Q1</c:v>
                  </c:pt>
                  <c:pt idx="270">
                    <c:v>2022_Q2</c:v>
                  </c:pt>
                  <c:pt idx="271">
                    <c:v>2022_Q3</c:v>
                  </c:pt>
                  <c:pt idx="272">
                    <c:v>2022_Q1</c:v>
                  </c:pt>
                  <c:pt idx="273">
                    <c:v>2022_Q2</c:v>
                  </c:pt>
                  <c:pt idx="274">
                    <c:v>2022_Q3</c:v>
                  </c:pt>
                  <c:pt idx="275">
                    <c:v>2022_Q1</c:v>
                  </c:pt>
                  <c:pt idx="276">
                    <c:v>2022_Q2</c:v>
                  </c:pt>
                  <c:pt idx="277">
                    <c:v>2022_Q3</c:v>
                  </c:pt>
                  <c:pt idx="278">
                    <c:v>2022_Q1</c:v>
                  </c:pt>
                  <c:pt idx="279">
                    <c:v>2022_Q2</c:v>
                  </c:pt>
                  <c:pt idx="280">
                    <c:v>2022_Q3</c:v>
                  </c:pt>
                  <c:pt idx="281">
                    <c:v>2022_Q1</c:v>
                  </c:pt>
                  <c:pt idx="282">
                    <c:v>2022_Q2</c:v>
                  </c:pt>
                  <c:pt idx="283">
                    <c:v>2022_Q3</c:v>
                  </c:pt>
                  <c:pt idx="284">
                    <c:v>2022_Q1</c:v>
                  </c:pt>
                  <c:pt idx="285">
                    <c:v>2022_Q2</c:v>
                  </c:pt>
                  <c:pt idx="286">
                    <c:v>2022_Q3</c:v>
                  </c:pt>
                  <c:pt idx="287">
                    <c:v>2022_Q1</c:v>
                  </c:pt>
                  <c:pt idx="288">
                    <c:v>2022_Q2</c:v>
                  </c:pt>
                  <c:pt idx="289">
                    <c:v>2022_Q3</c:v>
                  </c:pt>
                  <c:pt idx="290">
                    <c:v>2022_Q1</c:v>
                  </c:pt>
                  <c:pt idx="291">
                    <c:v>2022_Q2</c:v>
                  </c:pt>
                  <c:pt idx="292">
                    <c:v>2022_Q3</c:v>
                  </c:pt>
                  <c:pt idx="293">
                    <c:v>2022_Q1</c:v>
                  </c:pt>
                  <c:pt idx="294">
                    <c:v>2022_Q2</c:v>
                  </c:pt>
                  <c:pt idx="295">
                    <c:v>2022_Q3</c:v>
                  </c:pt>
                  <c:pt idx="296">
                    <c:v>2022_Q1</c:v>
                  </c:pt>
                  <c:pt idx="297">
                    <c:v>2022_Q2</c:v>
                  </c:pt>
                  <c:pt idx="298">
                    <c:v>2022_Q3</c:v>
                  </c:pt>
                  <c:pt idx="299">
                    <c:v>2022_Q1</c:v>
                  </c:pt>
                  <c:pt idx="300">
                    <c:v>2022_Q2</c:v>
                  </c:pt>
                  <c:pt idx="301">
                    <c:v>2022_Q3</c:v>
                  </c:pt>
                  <c:pt idx="302">
                    <c:v>2022_Q1</c:v>
                  </c:pt>
                  <c:pt idx="303">
                    <c:v>2022_Q2</c:v>
                  </c:pt>
                  <c:pt idx="304">
                    <c:v>2022_Q3</c:v>
                  </c:pt>
                  <c:pt idx="305">
                    <c:v>2022_Q1</c:v>
                  </c:pt>
                  <c:pt idx="306">
                    <c:v>2022_Q2</c:v>
                  </c:pt>
                  <c:pt idx="307">
                    <c:v>2022_Q3</c:v>
                  </c:pt>
                  <c:pt idx="308">
                    <c:v>2022_Q1</c:v>
                  </c:pt>
                  <c:pt idx="309">
                    <c:v>2022_Q2</c:v>
                  </c:pt>
                  <c:pt idx="310">
                    <c:v>2022_Q3</c:v>
                  </c:pt>
                  <c:pt idx="311">
                    <c:v>2022_Q1</c:v>
                  </c:pt>
                  <c:pt idx="312">
                    <c:v>2022_Q2</c:v>
                  </c:pt>
                  <c:pt idx="313">
                    <c:v>2022_Q3</c:v>
                  </c:pt>
                  <c:pt idx="314">
                    <c:v>2022_Q1</c:v>
                  </c:pt>
                  <c:pt idx="315">
                    <c:v>2022_Q2</c:v>
                  </c:pt>
                  <c:pt idx="316">
                    <c:v>2022_Q3</c:v>
                  </c:pt>
                  <c:pt idx="317">
                    <c:v>2022_Q1</c:v>
                  </c:pt>
                  <c:pt idx="318">
                    <c:v>2022_Q2</c:v>
                  </c:pt>
                  <c:pt idx="319">
                    <c:v>2022_Q3</c:v>
                  </c:pt>
                  <c:pt idx="320">
                    <c:v>2022_Q1</c:v>
                  </c:pt>
                  <c:pt idx="321">
                    <c:v>2022_Q2</c:v>
                  </c:pt>
                  <c:pt idx="322">
                    <c:v>2022_Q3</c:v>
                  </c:pt>
                  <c:pt idx="323">
                    <c:v>2022_Q1</c:v>
                  </c:pt>
                  <c:pt idx="324">
                    <c:v>2022_Q2</c:v>
                  </c:pt>
                  <c:pt idx="325">
                    <c:v>2022_Q3</c:v>
                  </c:pt>
                  <c:pt idx="326">
                    <c:v>2022_Q1</c:v>
                  </c:pt>
                  <c:pt idx="327">
                    <c:v>2022_Q1</c:v>
                  </c:pt>
                  <c:pt idx="328">
                    <c:v>2022_Q2</c:v>
                  </c:pt>
                  <c:pt idx="329">
                    <c:v>2022_Q3</c:v>
                  </c:pt>
                  <c:pt idx="330">
                    <c:v>2022_Q1</c:v>
                  </c:pt>
                  <c:pt idx="331">
                    <c:v>2022_Q2</c:v>
                  </c:pt>
                  <c:pt idx="332">
                    <c:v>2022_Q3</c:v>
                  </c:pt>
                  <c:pt idx="333">
                    <c:v>2022_Q1</c:v>
                  </c:pt>
                  <c:pt idx="334">
                    <c:v>2022_Q2</c:v>
                  </c:pt>
                  <c:pt idx="335">
                    <c:v>2022_Q3</c:v>
                  </c:pt>
                  <c:pt idx="336">
                    <c:v>2022_Q1</c:v>
                  </c:pt>
                  <c:pt idx="337">
                    <c:v>2022_Q2</c:v>
                  </c:pt>
                  <c:pt idx="338">
                    <c:v>2022_Q3</c:v>
                  </c:pt>
                  <c:pt idx="339">
                    <c:v>2022_Q1</c:v>
                  </c:pt>
                  <c:pt idx="340">
                    <c:v>2022_Q2</c:v>
                  </c:pt>
                  <c:pt idx="341">
                    <c:v>2022_Q3</c:v>
                  </c:pt>
                  <c:pt idx="342">
                    <c:v>2022_Q1</c:v>
                  </c:pt>
                  <c:pt idx="343">
                    <c:v>2022_Q2</c:v>
                  </c:pt>
                  <c:pt idx="344">
                    <c:v>2022_Q3</c:v>
                  </c:pt>
                  <c:pt idx="345">
                    <c:v>2022_Q1</c:v>
                  </c:pt>
                  <c:pt idx="346">
                    <c:v>2022_Q2</c:v>
                  </c:pt>
                  <c:pt idx="347">
                    <c:v>2022_Q3</c:v>
                  </c:pt>
                  <c:pt idx="348">
                    <c:v>2022_Q1</c:v>
                  </c:pt>
                  <c:pt idx="349">
                    <c:v>2022_Q2</c:v>
                  </c:pt>
                  <c:pt idx="350">
                    <c:v>2022_Q3</c:v>
                  </c:pt>
                  <c:pt idx="351">
                    <c:v>2022_Q1</c:v>
                  </c:pt>
                  <c:pt idx="352">
                    <c:v>2022_Q2</c:v>
                  </c:pt>
                  <c:pt idx="353">
                    <c:v>2022_Q3</c:v>
                  </c:pt>
                  <c:pt idx="354">
                    <c:v>2022_Q1</c:v>
                  </c:pt>
                  <c:pt idx="355">
                    <c:v>2022_Q2</c:v>
                  </c:pt>
                  <c:pt idx="356">
                    <c:v>2022_Q3</c:v>
                  </c:pt>
                  <c:pt idx="357">
                    <c:v>2022_Q1</c:v>
                  </c:pt>
                  <c:pt idx="358">
                    <c:v>2022_Q2</c:v>
                  </c:pt>
                  <c:pt idx="359">
                    <c:v>2022_Q3</c:v>
                  </c:pt>
                  <c:pt idx="360">
                    <c:v>2022_Q1</c:v>
                  </c:pt>
                  <c:pt idx="361">
                    <c:v>2022_Q2</c:v>
                  </c:pt>
                  <c:pt idx="362">
                    <c:v>2022_Q3</c:v>
                  </c:pt>
                  <c:pt idx="363">
                    <c:v>2022_Q1</c:v>
                  </c:pt>
                  <c:pt idx="364">
                    <c:v>2022_Q2</c:v>
                  </c:pt>
                  <c:pt idx="365">
                    <c:v>2022_Q3</c:v>
                  </c:pt>
                  <c:pt idx="366">
                    <c:v>2022_Q1</c:v>
                  </c:pt>
                  <c:pt idx="367">
                    <c:v>2022_Q2</c:v>
                  </c:pt>
                  <c:pt idx="368">
                    <c:v>2022_Q3</c:v>
                  </c:pt>
                  <c:pt idx="369">
                    <c:v>2022_Q1</c:v>
                  </c:pt>
                  <c:pt idx="370">
                    <c:v>2022_Q2</c:v>
                  </c:pt>
                  <c:pt idx="371">
                    <c:v>2022_Q3</c:v>
                  </c:pt>
                  <c:pt idx="372">
                    <c:v>2022_Q1</c:v>
                  </c:pt>
                  <c:pt idx="373">
                    <c:v>2022_Q2</c:v>
                  </c:pt>
                  <c:pt idx="374">
                    <c:v>2022_Q3</c:v>
                  </c:pt>
                  <c:pt idx="375">
                    <c:v>2022_Q1</c:v>
                  </c:pt>
                  <c:pt idx="376">
                    <c:v>2022_Q2</c:v>
                  </c:pt>
                  <c:pt idx="377">
                    <c:v>2022_Q3</c:v>
                  </c:pt>
                  <c:pt idx="378">
                    <c:v>2022_Q1</c:v>
                  </c:pt>
                  <c:pt idx="379">
                    <c:v>2022_Q2</c:v>
                  </c:pt>
                  <c:pt idx="380">
                    <c:v>2022_Q3</c:v>
                  </c:pt>
                  <c:pt idx="381">
                    <c:v>2022_Q1</c:v>
                  </c:pt>
                  <c:pt idx="382">
                    <c:v>2022_Q2</c:v>
                  </c:pt>
                  <c:pt idx="383">
                    <c:v>2022_Q3</c:v>
                  </c:pt>
                  <c:pt idx="384">
                    <c:v>2022_Q1</c:v>
                  </c:pt>
                  <c:pt idx="385">
                    <c:v>2022_Q2</c:v>
                  </c:pt>
                  <c:pt idx="386">
                    <c:v>2022_Q3</c:v>
                  </c:pt>
                  <c:pt idx="387">
                    <c:v>2022_Q1</c:v>
                  </c:pt>
                  <c:pt idx="388">
                    <c:v>2022_Q2</c:v>
                  </c:pt>
                  <c:pt idx="389">
                    <c:v>2022_Q3</c:v>
                  </c:pt>
                  <c:pt idx="390">
                    <c:v>2022_Q1</c:v>
                  </c:pt>
                  <c:pt idx="391">
                    <c:v>2022_Q2</c:v>
                  </c:pt>
                  <c:pt idx="392">
                    <c:v>2022_Q3</c:v>
                  </c:pt>
                  <c:pt idx="393">
                    <c:v>2022_Q1</c:v>
                  </c:pt>
                  <c:pt idx="394">
                    <c:v>2022_Q2</c:v>
                  </c:pt>
                  <c:pt idx="395">
                    <c:v>2022_Q3</c:v>
                  </c:pt>
                  <c:pt idx="396">
                    <c:v>2022_Q1</c:v>
                  </c:pt>
                  <c:pt idx="397">
                    <c:v>2022_Q2</c:v>
                  </c:pt>
                  <c:pt idx="398">
                    <c:v>2022_Q3</c:v>
                  </c:pt>
                  <c:pt idx="399">
                    <c:v>2022_Q1</c:v>
                  </c:pt>
                  <c:pt idx="400">
                    <c:v>2022_Q2</c:v>
                  </c:pt>
                  <c:pt idx="401">
                    <c:v>2022_Q3</c:v>
                  </c:pt>
                  <c:pt idx="402">
                    <c:v>2022_Q1</c:v>
                  </c:pt>
                  <c:pt idx="403">
                    <c:v>2022_Q2</c:v>
                  </c:pt>
                  <c:pt idx="404">
                    <c:v>2022_Q3</c:v>
                  </c:pt>
                  <c:pt idx="405">
                    <c:v>2022_Q1</c:v>
                  </c:pt>
                  <c:pt idx="406">
                    <c:v>2022_Q2</c:v>
                  </c:pt>
                  <c:pt idx="407">
                    <c:v>2022_Q3</c:v>
                  </c:pt>
                  <c:pt idx="408">
                    <c:v>2022_Q1</c:v>
                  </c:pt>
                  <c:pt idx="409">
                    <c:v>2022_Q2</c:v>
                  </c:pt>
                  <c:pt idx="410">
                    <c:v>2022_Q3</c:v>
                  </c:pt>
                  <c:pt idx="411">
                    <c:v>2022_Q1</c:v>
                  </c:pt>
                  <c:pt idx="412">
                    <c:v>2022_Q2</c:v>
                  </c:pt>
                  <c:pt idx="413">
                    <c:v>2022_Q3</c:v>
                  </c:pt>
                  <c:pt idx="414">
                    <c:v>2022_Q1</c:v>
                  </c:pt>
                  <c:pt idx="415">
                    <c:v>2022_Q2</c:v>
                  </c:pt>
                  <c:pt idx="416">
                    <c:v>2022_Q3</c:v>
                  </c:pt>
                  <c:pt idx="417">
                    <c:v>2022_Q1</c:v>
                  </c:pt>
                  <c:pt idx="418">
                    <c:v>2022_Q2</c:v>
                  </c:pt>
                  <c:pt idx="419">
                    <c:v>2022_Q3</c:v>
                  </c:pt>
                  <c:pt idx="420">
                    <c:v>2022_Q1</c:v>
                  </c:pt>
                  <c:pt idx="421">
                    <c:v>2022_Q2</c:v>
                  </c:pt>
                  <c:pt idx="422">
                    <c:v>2022_Q3</c:v>
                  </c:pt>
                  <c:pt idx="423">
                    <c:v>2022_Q1</c:v>
                  </c:pt>
                  <c:pt idx="424">
                    <c:v>2022_Q2</c:v>
                  </c:pt>
                  <c:pt idx="425">
                    <c:v>2022_Q3</c:v>
                  </c:pt>
                  <c:pt idx="426">
                    <c:v>2022_Q1</c:v>
                  </c:pt>
                  <c:pt idx="427">
                    <c:v>2022_Q2</c:v>
                  </c:pt>
                  <c:pt idx="428">
                    <c:v>2022_Q3</c:v>
                  </c:pt>
                  <c:pt idx="429">
                    <c:v>2022_Q1</c:v>
                  </c:pt>
                  <c:pt idx="430">
                    <c:v>2022_Q2</c:v>
                  </c:pt>
                  <c:pt idx="431">
                    <c:v>2022_Q3</c:v>
                  </c:pt>
                  <c:pt idx="432">
                    <c:v>2022_Q1</c:v>
                  </c:pt>
                  <c:pt idx="433">
                    <c:v>2022_Q2</c:v>
                  </c:pt>
                  <c:pt idx="434">
                    <c:v>2022_Q3</c:v>
                  </c:pt>
                  <c:pt idx="435">
                    <c:v>2022_Q1</c:v>
                  </c:pt>
                  <c:pt idx="436">
                    <c:v>2022_Q2</c:v>
                  </c:pt>
                  <c:pt idx="437">
                    <c:v>2022_Q3</c:v>
                  </c:pt>
                  <c:pt idx="438">
                    <c:v>2022_Q1</c:v>
                  </c:pt>
                  <c:pt idx="439">
                    <c:v>2022_Q2</c:v>
                  </c:pt>
                  <c:pt idx="440">
                    <c:v>2022_Q3</c:v>
                  </c:pt>
                  <c:pt idx="441">
                    <c:v>2022_Q1</c:v>
                  </c:pt>
                  <c:pt idx="442">
                    <c:v>2022_Q2</c:v>
                  </c:pt>
                  <c:pt idx="443">
                    <c:v>2022_Q3</c:v>
                  </c:pt>
                  <c:pt idx="444">
                    <c:v>2022_Q1</c:v>
                  </c:pt>
                  <c:pt idx="445">
                    <c:v>2022_Q2</c:v>
                  </c:pt>
                  <c:pt idx="446">
                    <c:v>2022_Q3</c:v>
                  </c:pt>
                  <c:pt idx="447">
                    <c:v>2022_Q1</c:v>
                  </c:pt>
                  <c:pt idx="448">
                    <c:v>2022_Q1</c:v>
                  </c:pt>
                  <c:pt idx="449">
                    <c:v>2022_Q2</c:v>
                  </c:pt>
                  <c:pt idx="450">
                    <c:v>2022_Q1</c:v>
                  </c:pt>
                  <c:pt idx="451">
                    <c:v>2022_Q2</c:v>
                  </c:pt>
                  <c:pt idx="452">
                    <c:v>2022_Q3</c:v>
                  </c:pt>
                  <c:pt idx="453">
                    <c:v>2022_Q1</c:v>
                  </c:pt>
                  <c:pt idx="454">
                    <c:v>2022_Q2</c:v>
                  </c:pt>
                  <c:pt idx="455">
                    <c:v>2022_Q3</c:v>
                  </c:pt>
                  <c:pt idx="456">
                    <c:v>2022_Q1</c:v>
                  </c:pt>
                  <c:pt idx="457">
                    <c:v>2022_Q2</c:v>
                  </c:pt>
                  <c:pt idx="458">
                    <c:v>2022_Q3</c:v>
                  </c:pt>
                  <c:pt idx="459">
                    <c:v>2022_Q1</c:v>
                  </c:pt>
                  <c:pt idx="460">
                    <c:v>2022_Q2</c:v>
                  </c:pt>
                  <c:pt idx="461">
                    <c:v>2022_Q3</c:v>
                  </c:pt>
                  <c:pt idx="462">
                    <c:v>2022_Q1</c:v>
                  </c:pt>
                  <c:pt idx="463">
                    <c:v>2022_Q2</c:v>
                  </c:pt>
                  <c:pt idx="464">
                    <c:v>2022_Q3</c:v>
                  </c:pt>
                  <c:pt idx="465">
                    <c:v>2022_Q1</c:v>
                  </c:pt>
                  <c:pt idx="466">
                    <c:v>2022_Q2</c:v>
                  </c:pt>
                  <c:pt idx="467">
                    <c:v>2022_Q3</c:v>
                  </c:pt>
                  <c:pt idx="468">
                    <c:v>2022_Q1</c:v>
                  </c:pt>
                  <c:pt idx="469">
                    <c:v>2022_Q2</c:v>
                  </c:pt>
                  <c:pt idx="470">
                    <c:v>2022_Q3</c:v>
                  </c:pt>
                  <c:pt idx="471">
                    <c:v>2022_Q1</c:v>
                  </c:pt>
                  <c:pt idx="472">
                    <c:v>2022_Q2</c:v>
                  </c:pt>
                  <c:pt idx="473">
                    <c:v>2022_Q3</c:v>
                  </c:pt>
                  <c:pt idx="474">
                    <c:v>2022_Q1</c:v>
                  </c:pt>
                  <c:pt idx="475">
                    <c:v>2022_Q1</c:v>
                  </c:pt>
                  <c:pt idx="476">
                    <c:v>2022_Q2</c:v>
                  </c:pt>
                  <c:pt idx="477">
                    <c:v>2022_Q3</c:v>
                  </c:pt>
                  <c:pt idx="478">
                    <c:v>2022_Q1</c:v>
                  </c:pt>
                  <c:pt idx="479">
                    <c:v>2022_Q2</c:v>
                  </c:pt>
                  <c:pt idx="480">
                    <c:v>2022_Q3</c:v>
                  </c:pt>
                  <c:pt idx="481">
                    <c:v>2022_Q1</c:v>
                  </c:pt>
                  <c:pt idx="482">
                    <c:v>2022_Q2</c:v>
                  </c:pt>
                  <c:pt idx="483">
                    <c:v>2022_Q3</c:v>
                  </c:pt>
                  <c:pt idx="484">
                    <c:v>2022_Q1</c:v>
                  </c:pt>
                  <c:pt idx="485">
                    <c:v>2022_Q2</c:v>
                  </c:pt>
                  <c:pt idx="486">
                    <c:v>2022_Q3</c:v>
                  </c:pt>
                  <c:pt idx="487">
                    <c:v>2022_Q1</c:v>
                  </c:pt>
                  <c:pt idx="488">
                    <c:v>2022_Q1</c:v>
                  </c:pt>
                  <c:pt idx="489">
                    <c:v>2022_Q2</c:v>
                  </c:pt>
                  <c:pt idx="490">
                    <c:v>2022_Q3</c:v>
                  </c:pt>
                  <c:pt idx="491">
                    <c:v>2022_Q1</c:v>
                  </c:pt>
                  <c:pt idx="492">
                    <c:v>2022_Q1</c:v>
                  </c:pt>
                  <c:pt idx="493">
                    <c:v>2022_Q1</c:v>
                  </c:pt>
                  <c:pt idx="494">
                    <c:v>2022_Q2</c:v>
                  </c:pt>
                  <c:pt idx="495">
                    <c:v>2022_Q3</c:v>
                  </c:pt>
                  <c:pt idx="496">
                    <c:v>2022_Q1</c:v>
                  </c:pt>
                  <c:pt idx="497">
                    <c:v>2022_Q2</c:v>
                  </c:pt>
                  <c:pt idx="498">
                    <c:v>2022_Q3</c:v>
                  </c:pt>
                  <c:pt idx="499">
                    <c:v>2022_Q1</c:v>
                  </c:pt>
                  <c:pt idx="500">
                    <c:v>2022_Q2</c:v>
                  </c:pt>
                  <c:pt idx="501">
                    <c:v>2022_Q3</c:v>
                  </c:pt>
                  <c:pt idx="502">
                    <c:v>2022_Q1</c:v>
                  </c:pt>
                  <c:pt idx="503">
                    <c:v>2022_Q2</c:v>
                  </c:pt>
                  <c:pt idx="504">
                    <c:v>2022_Q3</c:v>
                  </c:pt>
                  <c:pt idx="505">
                    <c:v>2022_Q2</c:v>
                  </c:pt>
                  <c:pt idx="506">
                    <c:v>2022_Q3</c:v>
                  </c:pt>
                  <c:pt idx="507">
                    <c:v>2022_Q2</c:v>
                  </c:pt>
                  <c:pt idx="508">
                    <c:v>2022_Q3</c:v>
                  </c:pt>
                  <c:pt idx="509">
                    <c:v>2022_Q1</c:v>
                  </c:pt>
                  <c:pt idx="510">
                    <c:v>2022_Q2</c:v>
                  </c:pt>
                  <c:pt idx="511">
                    <c:v>2022_Q3</c:v>
                  </c:pt>
                  <c:pt idx="512">
                    <c:v>2022_Q1</c:v>
                  </c:pt>
                  <c:pt idx="513">
                    <c:v>2022_Q2</c:v>
                  </c:pt>
                  <c:pt idx="514">
                    <c:v>2022_Q3</c:v>
                  </c:pt>
                  <c:pt idx="515">
                    <c:v>2022_Q1</c:v>
                  </c:pt>
                  <c:pt idx="516">
                    <c:v>2022_Q2</c:v>
                  </c:pt>
                  <c:pt idx="517">
                    <c:v>2022_Q3</c:v>
                  </c:pt>
                  <c:pt idx="518">
                    <c:v>2022_Q1</c:v>
                  </c:pt>
                  <c:pt idx="519">
                    <c:v>2022_Q2</c:v>
                  </c:pt>
                  <c:pt idx="520">
                    <c:v>2022_Q3</c:v>
                  </c:pt>
                  <c:pt idx="521">
                    <c:v>2022_Q1</c:v>
                  </c:pt>
                  <c:pt idx="522">
                    <c:v>2022_Q2</c:v>
                  </c:pt>
                  <c:pt idx="523">
                    <c:v>2022_Q3</c:v>
                  </c:pt>
                  <c:pt idx="524">
                    <c:v>2022_Q1</c:v>
                  </c:pt>
                  <c:pt idx="525">
                    <c:v>2022_Q2</c:v>
                  </c:pt>
                  <c:pt idx="526">
                    <c:v>2022_Q3</c:v>
                  </c:pt>
                  <c:pt idx="527">
                    <c:v>2022_Q1</c:v>
                  </c:pt>
                  <c:pt idx="528">
                    <c:v>2022_Q2</c:v>
                  </c:pt>
                  <c:pt idx="529">
                    <c:v>2022_Q3</c:v>
                  </c:pt>
                  <c:pt idx="530">
                    <c:v>2022_Q1</c:v>
                  </c:pt>
                  <c:pt idx="531">
                    <c:v>2022_Q2</c:v>
                  </c:pt>
                  <c:pt idx="532">
                    <c:v>2022_Q3</c:v>
                  </c:pt>
                  <c:pt idx="533">
                    <c:v>2022_Q1</c:v>
                  </c:pt>
                  <c:pt idx="534">
                    <c:v>2022_Q2</c:v>
                  </c:pt>
                  <c:pt idx="535">
                    <c:v>2022_Q3</c:v>
                  </c:pt>
                  <c:pt idx="536">
                    <c:v>2022_Q1</c:v>
                  </c:pt>
                  <c:pt idx="537">
                    <c:v>2022_Q2</c:v>
                  </c:pt>
                  <c:pt idx="538">
                    <c:v>2022_Q3</c:v>
                  </c:pt>
                  <c:pt idx="539">
                    <c:v>2022_Q1</c:v>
                  </c:pt>
                  <c:pt idx="540">
                    <c:v>2022_Q2</c:v>
                  </c:pt>
                  <c:pt idx="541">
                    <c:v>2022_Q3</c:v>
                  </c:pt>
                  <c:pt idx="542">
                    <c:v>2022_Q1</c:v>
                  </c:pt>
                  <c:pt idx="543">
                    <c:v>2022_Q2</c:v>
                  </c:pt>
                  <c:pt idx="544">
                    <c:v>2022_Q3</c:v>
                  </c:pt>
                  <c:pt idx="545">
                    <c:v>2022_Q1</c:v>
                  </c:pt>
                  <c:pt idx="546">
                    <c:v>2022_Q2</c:v>
                  </c:pt>
                  <c:pt idx="547">
                    <c:v>2022_Q3</c:v>
                  </c:pt>
                  <c:pt idx="548">
                    <c:v>2022_Q1</c:v>
                  </c:pt>
                  <c:pt idx="549">
                    <c:v>2022_Q2</c:v>
                  </c:pt>
                  <c:pt idx="550">
                    <c:v>2022_Q3</c:v>
                  </c:pt>
                  <c:pt idx="551">
                    <c:v>2022_Q1</c:v>
                  </c:pt>
                  <c:pt idx="552">
                    <c:v>2022_Q2</c:v>
                  </c:pt>
                  <c:pt idx="553">
                    <c:v>2022_Q3</c:v>
                  </c:pt>
                  <c:pt idx="554">
                    <c:v>2022_Q1</c:v>
                  </c:pt>
                  <c:pt idx="555">
                    <c:v>2022_Q2</c:v>
                  </c:pt>
                  <c:pt idx="556">
                    <c:v>2022_Q3</c:v>
                  </c:pt>
                  <c:pt idx="557">
                    <c:v>2022_Q1</c:v>
                  </c:pt>
                  <c:pt idx="558">
                    <c:v>2022_Q1</c:v>
                  </c:pt>
                  <c:pt idx="559">
                    <c:v>2022_Q2</c:v>
                  </c:pt>
                  <c:pt idx="560">
                    <c:v>2022_Q3</c:v>
                  </c:pt>
                  <c:pt idx="561">
                    <c:v>2022_Q2</c:v>
                  </c:pt>
                  <c:pt idx="562">
                    <c:v>2022_Q3</c:v>
                  </c:pt>
                  <c:pt idx="563">
                    <c:v>2022_Q2</c:v>
                  </c:pt>
                  <c:pt idx="564">
                    <c:v>2022_Q3</c:v>
                  </c:pt>
                  <c:pt idx="565">
                    <c:v>2022_Q2</c:v>
                  </c:pt>
                  <c:pt idx="566">
                    <c:v>2022_Q3</c:v>
                  </c:pt>
                  <c:pt idx="567">
                    <c:v>2022_Q2</c:v>
                  </c:pt>
                  <c:pt idx="568">
                    <c:v>2022_Q3</c:v>
                  </c:pt>
                  <c:pt idx="569">
                    <c:v>2022_Q2</c:v>
                  </c:pt>
                  <c:pt idx="570">
                    <c:v>2022_Q3</c:v>
                  </c:pt>
                  <c:pt idx="571">
                    <c:v>2022_Q2</c:v>
                  </c:pt>
                  <c:pt idx="572">
                    <c:v>2022_Q3</c:v>
                  </c:pt>
                  <c:pt idx="573">
                    <c:v>2022_Q1</c:v>
                  </c:pt>
                  <c:pt idx="574">
                    <c:v>2022_Q2</c:v>
                  </c:pt>
                  <c:pt idx="575">
                    <c:v>2022_Q3</c:v>
                  </c:pt>
                  <c:pt idx="576">
                    <c:v>2022_Q1</c:v>
                  </c:pt>
                  <c:pt idx="577">
                    <c:v>2022_Q2</c:v>
                  </c:pt>
                  <c:pt idx="578">
                    <c:v>2022_Q3</c:v>
                  </c:pt>
                  <c:pt idx="579">
                    <c:v>2022_Q1</c:v>
                  </c:pt>
                  <c:pt idx="580">
                    <c:v>2022_Q2</c:v>
                  </c:pt>
                  <c:pt idx="581">
                    <c:v>2022_Q3</c:v>
                  </c:pt>
                </c:lvl>
                <c:lvl>
                  <c:pt idx="0">
                    <c:v>AD-2000 Extension camp</c:v>
                  </c:pt>
                  <c:pt idx="1">
                    <c:v>AD-2000 Tharthana Compound</c:v>
                  </c:pt>
                  <c:pt idx="4">
                    <c:v>AG Church, Hmaw Si Sa</c:v>
                  </c:pt>
                  <c:pt idx="7">
                    <c:v>AG Church, Maw Wan</c:v>
                  </c:pt>
                  <c:pt idx="10">
                    <c:v>Agritural Compound (KBC)</c:v>
                  </c:pt>
                  <c:pt idx="13">
                    <c:v>Aung Thar Church</c:v>
                  </c:pt>
                  <c:pt idx="16">
                    <c:v>Baptist Church, Hmaw Si Sar(Lon Khin)</c:v>
                  </c:pt>
                  <c:pt idx="19">
                    <c:v>Border Post 8</c:v>
                  </c:pt>
                  <c:pt idx="22">
                    <c:v>Bum Tsit Pa</c:v>
                  </c:pt>
                  <c:pt idx="25">
                    <c:v>Chin Church, Seik Mu</c:v>
                  </c:pt>
                  <c:pt idx="28">
                    <c:v>Chipwi KBC camp</c:v>
                  </c:pt>
                  <c:pt idx="31">
                    <c:v>Dhama Rakhita, Nyein Chan Tar Yar Ward(Lon Khin)</c:v>
                  </c:pt>
                  <c:pt idx="34">
                    <c:v>Du Kahtawng Baptist</c:v>
                  </c:pt>
                  <c:pt idx="37">
                    <c:v>Dum Bung </c:v>
                  </c:pt>
                  <c:pt idx="40">
                    <c:v>Emmanuel AG Church</c:v>
                  </c:pt>
                  <c:pt idx="43">
                    <c:v>Galeng (Palaung) &amp; Kone Khem</c:v>
                  </c:pt>
                  <c:pt idx="46">
                    <c:v>Hka Shi</c:v>
                  </c:pt>
                  <c:pt idx="49">
                    <c:v>Hkat Cho </c:v>
                  </c:pt>
                  <c:pt idx="52">
                    <c:v>Hkau Shau (BP 12)</c:v>
                  </c:pt>
                  <c:pt idx="55">
                    <c:v>Hlaing Naung Baptist</c:v>
                  </c:pt>
                  <c:pt idx="58">
                    <c:v>Hpai Kawng</c:v>
                  </c:pt>
                  <c:pt idx="61">
                    <c:v>Hpakant Baptist Church, Nam Ma Hpit</c:v>
                  </c:pt>
                  <c:pt idx="64">
                    <c:v>Hpare Hkyer - BP6</c:v>
                  </c:pt>
                  <c:pt idx="67">
                    <c:v>Hpun Lum Yang </c:v>
                  </c:pt>
                  <c:pt idx="70">
                    <c:v>Htoi San Church</c:v>
                  </c:pt>
                  <c:pt idx="73">
                    <c:v>Hu Hku &amp; Ho Hko</c:v>
                  </c:pt>
                  <c:pt idx="76">
                    <c:v>IDP Boarding School, A Len Bum</c:v>
                  </c:pt>
                  <c:pt idx="79">
                    <c:v>Jan Mai Kawng Baptist Church</c:v>
                  </c:pt>
                  <c:pt idx="82">
                    <c:v>Jan Mai Kawng Catholic Church</c:v>
                  </c:pt>
                  <c:pt idx="85">
                    <c:v>Jaw Masat Camp</c:v>
                  </c:pt>
                  <c:pt idx="88">
                    <c:v>Je Yang Hka </c:v>
                  </c:pt>
                  <c:pt idx="91">
                    <c:v>Ka Bu Dam CoC</c:v>
                  </c:pt>
                  <c:pt idx="94">
                    <c:v>Kachin Su Baptist Church (ECCD)</c:v>
                  </c:pt>
                  <c:pt idx="97">
                    <c:v>Karmaing RC Church</c:v>
                  </c:pt>
                  <c:pt idx="100">
                    <c:v>Khar Nan (1) Baptist Church</c:v>
                  </c:pt>
                  <c:pt idx="103">
                    <c:v>Kutkai downtown (KBC Church)</c:v>
                  </c:pt>
                  <c:pt idx="106">
                    <c:v>Kutkai downtown (KBC Church-2)</c:v>
                  </c:pt>
                  <c:pt idx="109">
                    <c:v>Kyu Sot</c:v>
                  </c:pt>
                  <c:pt idx="112">
                    <c:v>Kyun Taw Baptist Church </c:v>
                  </c:pt>
                  <c:pt idx="115">
                    <c:v>Laiza Je Yang School</c:v>
                  </c:pt>
                  <c:pt idx="118">
                    <c:v>Lana Zup Ja</c:v>
                  </c:pt>
                  <c:pt idx="121">
                    <c:v>Lawa RC Church</c:v>
                  </c:pt>
                  <c:pt idx="122">
                    <c:v>Lawng Hkang Shait Yang Camp​ ( Lel Pyin)​ </c:v>
                  </c:pt>
                  <c:pt idx="125">
                    <c:v>Le Kone Bethlehem Church</c:v>
                  </c:pt>
                  <c:pt idx="128">
                    <c:v>Le Kone Ziun Baptist Church </c:v>
                  </c:pt>
                  <c:pt idx="131">
                    <c:v>Lhaovao Baptist Church (LBC)</c:v>
                  </c:pt>
                  <c:pt idx="134">
                    <c:v>Lisu Baptist Church, Maw Shan Vil,. Seik Mu</c:v>
                  </c:pt>
                  <c:pt idx="137">
                    <c:v>Lisu Baptist Church, Maw Wan Ward</c:v>
                  </c:pt>
                  <c:pt idx="140">
                    <c:v>Lisu Boarding-House</c:v>
                  </c:pt>
                  <c:pt idx="143">
                    <c:v>Lisu Church Namtu</c:v>
                  </c:pt>
                  <c:pt idx="146">
                    <c:v>Loi Je Baptist Church</c:v>
                  </c:pt>
                  <c:pt idx="149">
                    <c:v>Loi Je Catholic Church</c:v>
                  </c:pt>
                  <c:pt idx="152">
                    <c:v>Loi Je Lisu Camp</c:v>
                  </c:pt>
                  <c:pt idx="155">
                    <c:v>Lone Khin Catholic Church</c:v>
                  </c:pt>
                  <c:pt idx="158">
                    <c:v>Lung Sut</c:v>
                  </c:pt>
                  <c:pt idx="159">
                    <c:v>Lwegel High School</c:v>
                  </c:pt>
                  <c:pt idx="161">
                    <c:v>Ma Hawng Baptist Church</c:v>
                  </c:pt>
                  <c:pt idx="164">
                    <c:v>Mading Baptist Church</c:v>
                  </c:pt>
                  <c:pt idx="167">
                    <c:v>Maga Yang </c:v>
                  </c:pt>
                  <c:pt idx="170">
                    <c:v>Mai Yu Lay New (Ta'ang)</c:v>
                  </c:pt>
                  <c:pt idx="173">
                    <c:v>Maina AG Church</c:v>
                  </c:pt>
                  <c:pt idx="176">
                    <c:v>Maina Catholic Church (St. Joseph)</c:v>
                  </c:pt>
                  <c:pt idx="179">
                    <c:v>Maina KBC (Bawng Ring)</c:v>
                  </c:pt>
                  <c:pt idx="182">
                    <c:v>Maina Lawang Baptist Church</c:v>
                  </c:pt>
                  <c:pt idx="185">
                    <c:v>Maing Khaung</c:v>
                  </c:pt>
                  <c:pt idx="188">
                    <c:v>Maing Khaung Catholic Church</c:v>
                  </c:pt>
                  <c:pt idx="191">
                    <c:v>Maliyang Baptist Church</c:v>
                  </c:pt>
                  <c:pt idx="194">
                    <c:v>Man Bung Catholic compound</c:v>
                  </c:pt>
                  <c:pt idx="197">
                    <c:v>Man Bung Edin Baptist Church</c:v>
                  </c:pt>
                  <c:pt idx="200">
                    <c:v>Man Hkring Baptist Church</c:v>
                  </c:pt>
                  <c:pt idx="203">
                    <c:v>Man Kaung/Naung Ti Kyar Village</c:v>
                  </c:pt>
                  <c:pt idx="206">
                    <c:v>Man Loi</c:v>
                  </c:pt>
                  <c:pt idx="209">
                    <c:v>Man Wing Baptist Church</c:v>
                  </c:pt>
                  <c:pt idx="212">
                    <c:v>Man Wing Baptist Church Cultural Compound</c:v>
                  </c:pt>
                  <c:pt idx="215">
                    <c:v>Man Wing Catholic Church</c:v>
                  </c:pt>
                  <c:pt idx="218">
                    <c:v>Man Wing Catholic Church II</c:v>
                  </c:pt>
                  <c:pt idx="221">
                    <c:v>Mandung - Jinghpaw</c:v>
                  </c:pt>
                  <c:pt idx="224">
                    <c:v>Mandung - RC</c:v>
                  </c:pt>
                  <c:pt idx="227">
                    <c:v>Mansi Baptist Church</c:v>
                  </c:pt>
                  <c:pt idx="230">
                    <c:v>Maw Hpawng Hka Nan Baptist Church</c:v>
                  </c:pt>
                  <c:pt idx="233">
                    <c:v>Maw Hpawng Lhaovo Baptist Church</c:v>
                  </c:pt>
                  <c:pt idx="236">
                    <c:v>Maw Wan, Mu-yin Baptist Church</c:v>
                  </c:pt>
                  <c:pt idx="239">
                    <c:v>Mine Yu Lay village ( Old)</c:v>
                  </c:pt>
                  <c:pt idx="242">
                    <c:v>Momauk Baptist Church</c:v>
                  </c:pt>
                  <c:pt idx="245">
                    <c:v>Mung Hawm </c:v>
                  </c:pt>
                  <c:pt idx="248">
                    <c:v>Muyin church (Aung Yar pre-school compound)</c:v>
                  </c:pt>
                  <c:pt idx="251">
                    <c:v>Nam Hkam - Nay Win Ni (Palawng)</c:v>
                  </c:pt>
                  <c:pt idx="254">
                    <c:v>Nam Hkam (KBC Jaw Wang)</c:v>
                  </c:pt>
                  <c:pt idx="257">
                    <c:v>Nam Hkam (KBC Jaw Wang) II</c:v>
                  </c:pt>
                  <c:pt idx="260">
                    <c:v>Nam Hkam Catholic Church ( St. Thomas I)</c:v>
                  </c:pt>
                  <c:pt idx="263">
                    <c:v>Nam Hpak Ka Mare </c:v>
                  </c:pt>
                  <c:pt idx="266">
                    <c:v>Nam Hpak Ka Ta'ang ( Aung Tha Pyay)</c:v>
                  </c:pt>
                  <c:pt idx="269">
                    <c:v>Nam Ma Phyit, COC</c:v>
                  </c:pt>
                  <c:pt idx="272">
                    <c:v>Nam Sa Larp</c:v>
                  </c:pt>
                  <c:pt idx="275">
                    <c:v>Nam Tu Baptist</c:v>
                  </c:pt>
                  <c:pt idx="278">
                    <c:v>Namti Labraw Yang KBC Camp</c:v>
                  </c:pt>
                  <c:pt idx="281">
                    <c:v>Nan Kway St. John Catholic Church</c:v>
                  </c:pt>
                  <c:pt idx="284">
                    <c:v>Nant Ma Hpit Catholic Church</c:v>
                  </c:pt>
                  <c:pt idx="287">
                    <c:v>Nat Gyi Kone Baptist Church </c:v>
                  </c:pt>
                  <c:pt idx="290">
                    <c:v>Nawng Hee Village</c:v>
                  </c:pt>
                  <c:pt idx="293">
                    <c:v>Nawng Ing (Indawgyi) Baptist Church </c:v>
                  </c:pt>
                  <c:pt idx="296">
                    <c:v>Ndup Yang</c:v>
                  </c:pt>
                  <c:pt idx="299">
                    <c:v>New Pang Ku </c:v>
                  </c:pt>
                  <c:pt idx="302">
                    <c:v>Nhkawng Pa </c:v>
                  </c:pt>
                  <c:pt idx="305">
                    <c:v>Njang Dung Baptist Church </c:v>
                  </c:pt>
                  <c:pt idx="308">
                    <c:v>Nyaung Na Pin </c:v>
                  </c:pt>
                  <c:pt idx="311">
                    <c:v>Pa Dauk Myaing(Pa La Na)</c:v>
                  </c:pt>
                  <c:pt idx="314">
                    <c:v>Pa Dauk Myaing(Pa La Na)-II</c:v>
                  </c:pt>
                  <c:pt idx="317">
                    <c:v>Pa Kahtawng </c:v>
                  </c:pt>
                  <c:pt idx="320">
                    <c:v>Pajau - Jan Mai</c:v>
                  </c:pt>
                  <c:pt idx="323">
                    <c:v>Pan Law</c:v>
                  </c:pt>
                  <c:pt idx="326">
                    <c:v>Pan Ta Pyae</c:v>
                  </c:pt>
                  <c:pt idx="327">
                    <c:v>Pang Hkawn Yang</c:v>
                  </c:pt>
                  <c:pt idx="330">
                    <c:v>Phan Khar Kone</c:v>
                  </c:pt>
                  <c:pt idx="333">
                    <c:v>Qtr. 2 Lhaovo Baptist Church</c:v>
                  </c:pt>
                  <c:pt idx="336">
                    <c:v>Qtr. 2 Myoma Baptist Church</c:v>
                  </c:pt>
                  <c:pt idx="339">
                    <c:v>Rawan Baptist Church, Maw Shan Vil., Seik Mu</c:v>
                  </c:pt>
                  <c:pt idx="342">
                    <c:v>Robert Church</c:v>
                  </c:pt>
                  <c:pt idx="345">
                    <c:v>Sadung</c:v>
                  </c:pt>
                  <c:pt idx="348">
                    <c:v>Salang Yang</c:v>
                  </c:pt>
                  <c:pt idx="351">
                    <c:v>Sar Hmaw - KBC</c:v>
                  </c:pt>
                  <c:pt idx="354">
                    <c:v>Seng Ja </c:v>
                  </c:pt>
                  <c:pt idx="357">
                    <c:v>Sha-It Yang</c:v>
                  </c:pt>
                  <c:pt idx="360">
                    <c:v>Shar Du Zut KBC church </c:v>
                  </c:pt>
                  <c:pt idx="363">
                    <c:v>Shatapru Sut Ngai Tawng</c:v>
                  </c:pt>
                  <c:pt idx="366">
                    <c:v>Shatapru Thida Aye Baptist Church</c:v>
                  </c:pt>
                  <c:pt idx="369">
                    <c:v>Shing Jai</c:v>
                  </c:pt>
                  <c:pt idx="372">
                    <c:v>Shwe Gu Baptist Church</c:v>
                  </c:pt>
                  <c:pt idx="375">
                    <c:v>Shwe Gu Catholic Church</c:v>
                  </c:pt>
                  <c:pt idx="378">
                    <c:v>Shwe Zet Baptist Church</c:v>
                  </c:pt>
                  <c:pt idx="381">
                    <c:v>St. Joseph Tanai RC camp </c:v>
                  </c:pt>
                  <c:pt idx="384">
                    <c:v>St. Patrick Catholic Church </c:v>
                  </c:pt>
                  <c:pt idx="387">
                    <c:v>Tanai CoC</c:v>
                  </c:pt>
                  <c:pt idx="390">
                    <c:v>Tanai KBC Camp</c:v>
                  </c:pt>
                  <c:pt idx="393">
                    <c:v>Tat Kone Baptist Church</c:v>
                  </c:pt>
                  <c:pt idx="396">
                    <c:v>Tat Kone COC Baptist - Tat Kone Htoi San</c:v>
                  </c:pt>
                  <c:pt idx="399">
                    <c:v>Tat Kone Galile Baptist Church</c:v>
                  </c:pt>
                  <c:pt idx="402">
                    <c:v>Tat Kone San Pya Baptist Church</c:v>
                  </c:pt>
                  <c:pt idx="405">
                    <c:v>Thargaya Lisu Baptist Church</c:v>
                  </c:pt>
                  <c:pt idx="408">
                    <c:v>Trinity Camp</c:v>
                  </c:pt>
                  <c:pt idx="411">
                    <c:v>Tsan Lun - Namjarap</c:v>
                  </c:pt>
                  <c:pt idx="414">
                    <c:v>Waimaw Baptist Zonal Office 2</c:v>
                  </c:pt>
                  <c:pt idx="417">
                    <c:v>Waingmaw AG Church</c:v>
                  </c:pt>
                  <c:pt idx="420">
                    <c:v>Ward 2 Sai Taung Baptist Church, Seik Mu </c:v>
                  </c:pt>
                  <c:pt idx="423">
                    <c:v>Woi Chyai </c:v>
                  </c:pt>
                  <c:pt idx="426">
                    <c:v>Woi Chyai (Mong Lai)</c:v>
                  </c:pt>
                  <c:pt idx="429">
                    <c:v>Woi Chyai host families</c:v>
                  </c:pt>
                  <c:pt idx="432">
                    <c:v>Yumar Baptist Church</c:v>
                  </c:pt>
                  <c:pt idx="435">
                    <c:v>Zup Aung Camp</c:v>
                  </c:pt>
                  <c:pt idx="438">
                    <c:v>Hka Garan Yang </c:v>
                  </c:pt>
                  <c:pt idx="441">
                    <c:v>Htang Nya </c:v>
                  </c:pt>
                  <c:pt idx="444">
                    <c:v>Enai (Man Pyein)</c:v>
                  </c:pt>
                  <c:pt idx="447">
                    <c:v>AD 2000 School</c:v>
                  </c:pt>
                  <c:pt idx="448">
                    <c:v>Robert -High school</c:v>
                  </c:pt>
                  <c:pt idx="450">
                    <c:v>Pamati Camp</c:v>
                  </c:pt>
                  <c:pt idx="453">
                    <c:v>Momauk IDP new extension camp (Kye Nan)</c:v>
                  </c:pt>
                  <c:pt idx="456">
                    <c:v>Sector 5 Pammati Quarter</c:v>
                  </c:pt>
                  <c:pt idx="459">
                    <c:v>Namatee Kan Hla AG</c:v>
                  </c:pt>
                  <c:pt idx="462">
                    <c:v>His Aw (Chyu Fan) </c:v>
                  </c:pt>
                  <c:pt idx="465">
                    <c:v>Shwe Sin (Ward 3) </c:v>
                  </c:pt>
                  <c:pt idx="468">
                    <c:v>Bum Ra Yang Camp </c:v>
                  </c:pt>
                  <c:pt idx="471">
                    <c:v>Mang Nawng Kawng (host)</c:v>
                  </c:pt>
                  <c:pt idx="474">
                    <c:v>Hat Hlan village (host)</c:v>
                  </c:pt>
                  <c:pt idx="475">
                    <c:v>Kyaukme Town (host)</c:v>
                  </c:pt>
                  <c:pt idx="478">
                    <c:v>Nam Hlaing Extension Ward camp</c:v>
                  </c:pt>
                  <c:pt idx="481">
                    <c:v>Naung Tar Law (Kyet Chan) </c:v>
                  </c:pt>
                  <c:pt idx="484">
                    <c:v>Waingmaw St.Joseph RC Church</c:v>
                  </c:pt>
                  <c:pt idx="487">
                    <c:v>Waingmaw LBC church </c:v>
                  </c:pt>
                  <c:pt idx="488">
                    <c:v>Lisu Zonal camp</c:v>
                  </c:pt>
                  <c:pt idx="491">
                    <c:v>Phaug Nhae Camp</c:v>
                  </c:pt>
                  <c:pt idx="492">
                    <c:v>Yuu Ka lait Kone Camp</c:v>
                  </c:pt>
                  <c:pt idx="493">
                    <c:v>Lhaovo Baptist Convention  Old Office Camp</c:v>
                  </c:pt>
                  <c:pt idx="496">
                    <c:v>Ding Jang Yang (1)</c:v>
                  </c:pt>
                  <c:pt idx="499">
                    <c:v>Ding Jang Yang (2)</c:v>
                  </c:pt>
                  <c:pt idx="502">
                    <c:v>Naung Pataine/lachid </c:v>
                  </c:pt>
                  <c:pt idx="505">
                    <c:v>Lin Hao chun </c:v>
                  </c:pt>
                  <c:pt idx="507">
                    <c:v>Pyi Htaung Su</c:v>
                  </c:pt>
                  <c:pt idx="509">
                    <c:v>Momauk KBC church</c:v>
                  </c:pt>
                  <c:pt idx="512">
                    <c:v>St.Francis RCC 1</c:v>
                  </c:pt>
                  <c:pt idx="515">
                    <c:v>St.Francis RCC 2</c:v>
                  </c:pt>
                  <c:pt idx="518">
                    <c:v>Bang Yang Hka (Mung Ji Pa)-relocated</c:v>
                  </c:pt>
                  <c:pt idx="521">
                    <c:v>Galeng Zup Awng ward 5 RC</c:v>
                  </c:pt>
                  <c:pt idx="524">
                    <c:v>Man Wing- IDPs in Host</c:v>
                  </c:pt>
                  <c:pt idx="527">
                    <c:v>(3 mile) Shwe Pyi Tar (SLCA)</c:v>
                  </c:pt>
                  <c:pt idx="530">
                    <c:v>Bhamo- IDPs in Host </c:v>
                  </c:pt>
                  <c:pt idx="533">
                    <c:v>Chipwi Pan Wa  (Host IDP)</c:v>
                  </c:pt>
                  <c:pt idx="536">
                    <c:v>St.Columban lone Khin camp</c:v>
                  </c:pt>
                  <c:pt idx="539">
                    <c:v>Mansi- IDPs in Host</c:v>
                  </c:pt>
                  <c:pt idx="542">
                    <c:v>Hopin -IDPs in Host</c:v>
                  </c:pt>
                  <c:pt idx="545">
                    <c:v>Moenyin- IDPs in Host</c:v>
                  </c:pt>
                  <c:pt idx="548">
                    <c:v>Momauk-IDPs in Host</c:v>
                  </c:pt>
                  <c:pt idx="551">
                    <c:v>Myo Thit -IDP in Host</c:v>
                  </c:pt>
                  <c:pt idx="554">
                    <c:v>Saint Matthew (Shin ma ti-sitapru) camp</c:v>
                  </c:pt>
                  <c:pt idx="557">
                    <c:v>Nan Hlaing_new camp </c:v>
                  </c:pt>
                  <c:pt idx="558">
                    <c:v>Na ru Kawng (Post 6 camp)</c:v>
                  </c:pt>
                  <c:pt idx="561">
                    <c:v>Man Pint community Hall </c:v>
                  </c:pt>
                  <c:pt idx="563">
                    <c:v>Mong Tin High School</c:v>
                  </c:pt>
                  <c:pt idx="565">
                    <c:v>Nar Mun Primary School</c:v>
                  </c:pt>
                  <c:pt idx="567">
                    <c:v>SLCA Building Compound (Kyaukme town)</c:v>
                  </c:pt>
                  <c:pt idx="569">
                    <c:v>SLCA Building Compound (Moungnawt town)</c:v>
                  </c:pt>
                  <c:pt idx="571">
                    <c:v>Theravada Monastery </c:v>
                  </c:pt>
                  <c:pt idx="573">
                    <c:v>Mong Wee Shan-relocated</c:v>
                  </c:pt>
                  <c:pt idx="576">
                    <c:v>Hseng Ja-Relocated</c:v>
                  </c:pt>
                  <c:pt idx="579">
                    <c:v>Maina Mu-yin  Baptist Church</c:v>
                  </c:pt>
                </c:lvl>
              </c:multiLvlStrCache>
            </c:multiLvlStrRef>
          </c:cat>
          <c:val>
            <c:numRef>
              <c:f>'Tracking Dashboard'!$N$5:$N$791</c:f>
              <c:numCache>
                <c:formatCode>General</c:formatCode>
                <c:ptCount val="582"/>
                <c:pt idx="0">
                  <c:v>0</c:v>
                </c:pt>
                <c:pt idx="1">
                  <c:v>1226</c:v>
                </c:pt>
                <c:pt idx="2">
                  <c:v>1278</c:v>
                </c:pt>
                <c:pt idx="3">
                  <c:v>1224</c:v>
                </c:pt>
                <c:pt idx="4">
                  <c:v>435</c:v>
                </c:pt>
                <c:pt idx="5">
                  <c:v>440</c:v>
                </c:pt>
                <c:pt idx="6">
                  <c:v>441</c:v>
                </c:pt>
                <c:pt idx="7">
                  <c:v>72</c:v>
                </c:pt>
                <c:pt idx="8">
                  <c:v>72</c:v>
                </c:pt>
                <c:pt idx="9">
                  <c:v>70</c:v>
                </c:pt>
                <c:pt idx="10">
                  <c:v>500</c:v>
                </c:pt>
                <c:pt idx="11">
                  <c:v>0</c:v>
                </c:pt>
                <c:pt idx="12">
                  <c:v>0</c:v>
                </c:pt>
                <c:pt idx="13">
                  <c:v>51</c:v>
                </c:pt>
                <c:pt idx="14">
                  <c:v>0</c:v>
                </c:pt>
                <c:pt idx="15">
                  <c:v>20</c:v>
                </c:pt>
                <c:pt idx="16">
                  <c:v>250</c:v>
                </c:pt>
                <c:pt idx="17">
                  <c:v>250</c:v>
                </c:pt>
                <c:pt idx="18">
                  <c:v>250</c:v>
                </c:pt>
                <c:pt idx="19">
                  <c:v>421</c:v>
                </c:pt>
                <c:pt idx="20">
                  <c:v>420</c:v>
                </c:pt>
                <c:pt idx="21">
                  <c:v>405</c:v>
                </c:pt>
                <c:pt idx="22">
                  <c:v>1887</c:v>
                </c:pt>
                <c:pt idx="23">
                  <c:v>1900</c:v>
                </c:pt>
                <c:pt idx="24">
                  <c:v>1900</c:v>
                </c:pt>
                <c:pt idx="25">
                  <c:v>24</c:v>
                </c:pt>
                <c:pt idx="26">
                  <c:v>24</c:v>
                </c:pt>
                <c:pt idx="27">
                  <c:v>24</c:v>
                </c:pt>
                <c:pt idx="28">
                  <c:v>500</c:v>
                </c:pt>
                <c:pt idx="29">
                  <c:v>500</c:v>
                </c:pt>
                <c:pt idx="30">
                  <c:v>500</c:v>
                </c:pt>
                <c:pt idx="31">
                  <c:v>442</c:v>
                </c:pt>
                <c:pt idx="32">
                  <c:v>443</c:v>
                </c:pt>
                <c:pt idx="33">
                  <c:v>445</c:v>
                </c:pt>
                <c:pt idx="34">
                  <c:v>197</c:v>
                </c:pt>
                <c:pt idx="35">
                  <c:v>193</c:v>
                </c:pt>
                <c:pt idx="36">
                  <c:v>193</c:v>
                </c:pt>
                <c:pt idx="37">
                  <c:v>394</c:v>
                </c:pt>
                <c:pt idx="38">
                  <c:v>406</c:v>
                </c:pt>
                <c:pt idx="39">
                  <c:v>411</c:v>
                </c:pt>
                <c:pt idx="40">
                  <c:v>32</c:v>
                </c:pt>
                <c:pt idx="41">
                  <c:v>0</c:v>
                </c:pt>
                <c:pt idx="42">
                  <c:v>0</c:v>
                </c:pt>
                <c:pt idx="43">
                  <c:v>439</c:v>
                </c:pt>
                <c:pt idx="44">
                  <c:v>439</c:v>
                </c:pt>
                <c:pt idx="45">
                  <c:v>439</c:v>
                </c:pt>
                <c:pt idx="46">
                  <c:v>205</c:v>
                </c:pt>
                <c:pt idx="47">
                  <c:v>381</c:v>
                </c:pt>
                <c:pt idx="48">
                  <c:v>381</c:v>
                </c:pt>
                <c:pt idx="49">
                  <c:v>291</c:v>
                </c:pt>
                <c:pt idx="50">
                  <c:v>293</c:v>
                </c:pt>
                <c:pt idx="51">
                  <c:v>295</c:v>
                </c:pt>
                <c:pt idx="52">
                  <c:v>895</c:v>
                </c:pt>
                <c:pt idx="53">
                  <c:v>966</c:v>
                </c:pt>
                <c:pt idx="54">
                  <c:v>966</c:v>
                </c:pt>
                <c:pt idx="55">
                  <c:v>132</c:v>
                </c:pt>
                <c:pt idx="56">
                  <c:v>0</c:v>
                </c:pt>
                <c:pt idx="57">
                  <c:v>0</c:v>
                </c:pt>
                <c:pt idx="58">
                  <c:v>934</c:v>
                </c:pt>
                <c:pt idx="59">
                  <c:v>806</c:v>
                </c:pt>
                <c:pt idx="60">
                  <c:v>934</c:v>
                </c:pt>
                <c:pt idx="61">
                  <c:v>504</c:v>
                </c:pt>
                <c:pt idx="62">
                  <c:v>504</c:v>
                </c:pt>
                <c:pt idx="63">
                  <c:v>504</c:v>
                </c:pt>
                <c:pt idx="64">
                  <c:v>837</c:v>
                </c:pt>
                <c:pt idx="65">
                  <c:v>936</c:v>
                </c:pt>
                <c:pt idx="66">
                  <c:v>936</c:v>
                </c:pt>
                <c:pt idx="67">
                  <c:v>500</c:v>
                </c:pt>
                <c:pt idx="68">
                  <c:v>500</c:v>
                </c:pt>
                <c:pt idx="69">
                  <c:v>500</c:v>
                </c:pt>
                <c:pt idx="70">
                  <c:v>222</c:v>
                </c:pt>
                <c:pt idx="71">
                  <c:v>0</c:v>
                </c:pt>
                <c:pt idx="72">
                  <c:v>75</c:v>
                </c:pt>
                <c:pt idx="73">
                  <c:v>130</c:v>
                </c:pt>
                <c:pt idx="74">
                  <c:v>130</c:v>
                </c:pt>
                <c:pt idx="75">
                  <c:v>130</c:v>
                </c:pt>
                <c:pt idx="76">
                  <c:v>440</c:v>
                </c:pt>
                <c:pt idx="77">
                  <c:v>0</c:v>
                </c:pt>
                <c:pt idx="78">
                  <c:v>0</c:v>
                </c:pt>
                <c:pt idx="79">
                  <c:v>1124</c:v>
                </c:pt>
                <c:pt idx="80">
                  <c:v>500</c:v>
                </c:pt>
                <c:pt idx="81">
                  <c:v>500</c:v>
                </c:pt>
                <c:pt idx="82">
                  <c:v>398</c:v>
                </c:pt>
                <c:pt idx="83">
                  <c:v>388</c:v>
                </c:pt>
                <c:pt idx="84">
                  <c:v>335</c:v>
                </c:pt>
                <c:pt idx="85">
                  <c:v>612</c:v>
                </c:pt>
                <c:pt idx="86">
                  <c:v>500</c:v>
                </c:pt>
                <c:pt idx="87">
                  <c:v>500</c:v>
                </c:pt>
                <c:pt idx="88">
                  <c:v>4500</c:v>
                </c:pt>
                <c:pt idx="89">
                  <c:v>8486</c:v>
                </c:pt>
                <c:pt idx="90">
                  <c:v>8486</c:v>
                </c:pt>
                <c:pt idx="91">
                  <c:v>43</c:v>
                </c:pt>
                <c:pt idx="92">
                  <c:v>61</c:v>
                </c:pt>
                <c:pt idx="93">
                  <c:v>61</c:v>
                </c:pt>
                <c:pt idx="94">
                  <c:v>100</c:v>
                </c:pt>
                <c:pt idx="95">
                  <c:v>0</c:v>
                </c:pt>
                <c:pt idx="96">
                  <c:v>0</c:v>
                </c:pt>
                <c:pt idx="97">
                  <c:v>52</c:v>
                </c:pt>
                <c:pt idx="98">
                  <c:v>52</c:v>
                </c:pt>
                <c:pt idx="99">
                  <c:v>53</c:v>
                </c:pt>
                <c:pt idx="100">
                  <c:v>106</c:v>
                </c:pt>
                <c:pt idx="101">
                  <c:v>0</c:v>
                </c:pt>
                <c:pt idx="102">
                  <c:v>0</c:v>
                </c:pt>
                <c:pt idx="103">
                  <c:v>244</c:v>
                </c:pt>
                <c:pt idx="104">
                  <c:v>244</c:v>
                </c:pt>
                <c:pt idx="105">
                  <c:v>244</c:v>
                </c:pt>
                <c:pt idx="106">
                  <c:v>180</c:v>
                </c:pt>
                <c:pt idx="107">
                  <c:v>180</c:v>
                </c:pt>
                <c:pt idx="108">
                  <c:v>180</c:v>
                </c:pt>
                <c:pt idx="109">
                  <c:v>270</c:v>
                </c:pt>
                <c:pt idx="110">
                  <c:v>270</c:v>
                </c:pt>
                <c:pt idx="111">
                  <c:v>270</c:v>
                </c:pt>
                <c:pt idx="112">
                  <c:v>66</c:v>
                </c:pt>
                <c:pt idx="113">
                  <c:v>0</c:v>
                </c:pt>
                <c:pt idx="114">
                  <c:v>0</c:v>
                </c:pt>
                <c:pt idx="115">
                  <c:v>440</c:v>
                </c:pt>
                <c:pt idx="116">
                  <c:v>0</c:v>
                </c:pt>
                <c:pt idx="117">
                  <c:v>0</c:v>
                </c:pt>
                <c:pt idx="118">
                  <c:v>2691</c:v>
                </c:pt>
                <c:pt idx="119">
                  <c:v>2503</c:v>
                </c:pt>
                <c:pt idx="120">
                  <c:v>2503</c:v>
                </c:pt>
                <c:pt idx="121">
                  <c:v>242</c:v>
                </c:pt>
                <c:pt idx="122">
                  <c:v>500</c:v>
                </c:pt>
                <c:pt idx="123">
                  <c:v>633</c:v>
                </c:pt>
                <c:pt idx="124">
                  <c:v>500</c:v>
                </c:pt>
                <c:pt idx="125">
                  <c:v>680</c:v>
                </c:pt>
                <c:pt idx="126">
                  <c:v>0</c:v>
                </c:pt>
                <c:pt idx="127">
                  <c:v>0</c:v>
                </c:pt>
                <c:pt idx="128">
                  <c:v>676</c:v>
                </c:pt>
                <c:pt idx="129">
                  <c:v>0</c:v>
                </c:pt>
                <c:pt idx="130">
                  <c:v>0</c:v>
                </c:pt>
                <c:pt idx="131">
                  <c:v>500</c:v>
                </c:pt>
                <c:pt idx="132">
                  <c:v>884</c:v>
                </c:pt>
                <c:pt idx="133">
                  <c:v>885</c:v>
                </c:pt>
                <c:pt idx="134">
                  <c:v>100</c:v>
                </c:pt>
                <c:pt idx="135">
                  <c:v>103</c:v>
                </c:pt>
                <c:pt idx="136">
                  <c:v>0</c:v>
                </c:pt>
                <c:pt idx="137">
                  <c:v>54</c:v>
                </c:pt>
                <c:pt idx="138">
                  <c:v>54</c:v>
                </c:pt>
                <c:pt idx="139">
                  <c:v>56</c:v>
                </c:pt>
                <c:pt idx="140">
                  <c:v>440</c:v>
                </c:pt>
                <c:pt idx="141">
                  <c:v>0</c:v>
                </c:pt>
                <c:pt idx="142">
                  <c:v>0</c:v>
                </c:pt>
                <c:pt idx="143">
                  <c:v>127</c:v>
                </c:pt>
                <c:pt idx="144">
                  <c:v>127</c:v>
                </c:pt>
                <c:pt idx="145">
                  <c:v>127</c:v>
                </c:pt>
                <c:pt idx="146">
                  <c:v>239</c:v>
                </c:pt>
                <c:pt idx="147">
                  <c:v>239</c:v>
                </c:pt>
                <c:pt idx="148">
                  <c:v>239</c:v>
                </c:pt>
                <c:pt idx="149">
                  <c:v>426</c:v>
                </c:pt>
                <c:pt idx="150">
                  <c:v>426</c:v>
                </c:pt>
                <c:pt idx="151">
                  <c:v>426</c:v>
                </c:pt>
                <c:pt idx="152">
                  <c:v>1322</c:v>
                </c:pt>
                <c:pt idx="153">
                  <c:v>1322</c:v>
                </c:pt>
                <c:pt idx="154">
                  <c:v>1322</c:v>
                </c:pt>
                <c:pt idx="155">
                  <c:v>205</c:v>
                </c:pt>
                <c:pt idx="156">
                  <c:v>467</c:v>
                </c:pt>
                <c:pt idx="157">
                  <c:v>460</c:v>
                </c:pt>
                <c:pt idx="158">
                  <c:v>289</c:v>
                </c:pt>
                <c:pt idx="159">
                  <c:v>0</c:v>
                </c:pt>
                <c:pt idx="160">
                  <c:v>0</c:v>
                </c:pt>
                <c:pt idx="161">
                  <c:v>78</c:v>
                </c:pt>
                <c:pt idx="162">
                  <c:v>0</c:v>
                </c:pt>
                <c:pt idx="163">
                  <c:v>0</c:v>
                </c:pt>
                <c:pt idx="164">
                  <c:v>159</c:v>
                </c:pt>
                <c:pt idx="165">
                  <c:v>238</c:v>
                </c:pt>
                <c:pt idx="166">
                  <c:v>238</c:v>
                </c:pt>
                <c:pt idx="167">
                  <c:v>1736</c:v>
                </c:pt>
                <c:pt idx="168">
                  <c:v>1469</c:v>
                </c:pt>
                <c:pt idx="169">
                  <c:v>1469</c:v>
                </c:pt>
                <c:pt idx="170">
                  <c:v>500</c:v>
                </c:pt>
                <c:pt idx="171">
                  <c:v>500</c:v>
                </c:pt>
                <c:pt idx="172">
                  <c:v>500</c:v>
                </c:pt>
                <c:pt idx="173">
                  <c:v>1000</c:v>
                </c:pt>
                <c:pt idx="174">
                  <c:v>1780</c:v>
                </c:pt>
                <c:pt idx="175">
                  <c:v>906</c:v>
                </c:pt>
                <c:pt idx="176">
                  <c:v>30</c:v>
                </c:pt>
                <c:pt idx="177">
                  <c:v>1494</c:v>
                </c:pt>
                <c:pt idx="178">
                  <c:v>1000</c:v>
                </c:pt>
                <c:pt idx="179">
                  <c:v>2500</c:v>
                </c:pt>
                <c:pt idx="180">
                  <c:v>2920</c:v>
                </c:pt>
                <c:pt idx="181">
                  <c:v>2920</c:v>
                </c:pt>
                <c:pt idx="182">
                  <c:v>191</c:v>
                </c:pt>
                <c:pt idx="183">
                  <c:v>283</c:v>
                </c:pt>
                <c:pt idx="184">
                  <c:v>283</c:v>
                </c:pt>
                <c:pt idx="185">
                  <c:v>1599</c:v>
                </c:pt>
                <c:pt idx="186">
                  <c:v>1759</c:v>
                </c:pt>
                <c:pt idx="187">
                  <c:v>1772</c:v>
                </c:pt>
                <c:pt idx="188">
                  <c:v>694</c:v>
                </c:pt>
                <c:pt idx="189">
                  <c:v>694</c:v>
                </c:pt>
                <c:pt idx="190">
                  <c:v>694</c:v>
                </c:pt>
                <c:pt idx="191">
                  <c:v>290</c:v>
                </c:pt>
                <c:pt idx="192">
                  <c:v>0</c:v>
                </c:pt>
                <c:pt idx="193">
                  <c:v>0</c:v>
                </c:pt>
                <c:pt idx="194">
                  <c:v>500</c:v>
                </c:pt>
                <c:pt idx="195">
                  <c:v>0</c:v>
                </c:pt>
                <c:pt idx="196">
                  <c:v>0</c:v>
                </c:pt>
                <c:pt idx="197">
                  <c:v>590</c:v>
                </c:pt>
                <c:pt idx="198">
                  <c:v>586</c:v>
                </c:pt>
                <c:pt idx="199">
                  <c:v>586</c:v>
                </c:pt>
                <c:pt idx="200">
                  <c:v>547</c:v>
                </c:pt>
                <c:pt idx="201">
                  <c:v>0</c:v>
                </c:pt>
                <c:pt idx="202">
                  <c:v>0</c:v>
                </c:pt>
                <c:pt idx="203">
                  <c:v>30</c:v>
                </c:pt>
                <c:pt idx="204">
                  <c:v>0</c:v>
                </c:pt>
                <c:pt idx="205">
                  <c:v>0</c:v>
                </c:pt>
                <c:pt idx="206">
                  <c:v>104</c:v>
                </c:pt>
                <c:pt idx="207">
                  <c:v>0</c:v>
                </c:pt>
                <c:pt idx="208">
                  <c:v>0</c:v>
                </c:pt>
                <c:pt idx="209">
                  <c:v>500</c:v>
                </c:pt>
                <c:pt idx="210">
                  <c:v>655</c:v>
                </c:pt>
                <c:pt idx="211">
                  <c:v>655</c:v>
                </c:pt>
                <c:pt idx="212">
                  <c:v>50</c:v>
                </c:pt>
                <c:pt idx="213">
                  <c:v>538</c:v>
                </c:pt>
                <c:pt idx="214">
                  <c:v>538</c:v>
                </c:pt>
                <c:pt idx="215">
                  <c:v>500</c:v>
                </c:pt>
                <c:pt idx="216">
                  <c:v>2354</c:v>
                </c:pt>
                <c:pt idx="217">
                  <c:v>1000</c:v>
                </c:pt>
                <c:pt idx="218">
                  <c:v>30</c:v>
                </c:pt>
                <c:pt idx="219">
                  <c:v>737</c:v>
                </c:pt>
                <c:pt idx="220">
                  <c:v>737</c:v>
                </c:pt>
                <c:pt idx="221">
                  <c:v>125</c:v>
                </c:pt>
                <c:pt idx="222">
                  <c:v>125</c:v>
                </c:pt>
                <c:pt idx="223">
                  <c:v>125</c:v>
                </c:pt>
                <c:pt idx="224">
                  <c:v>157</c:v>
                </c:pt>
                <c:pt idx="225">
                  <c:v>157</c:v>
                </c:pt>
                <c:pt idx="226">
                  <c:v>157</c:v>
                </c:pt>
                <c:pt idx="227">
                  <c:v>789</c:v>
                </c:pt>
                <c:pt idx="228">
                  <c:v>0</c:v>
                </c:pt>
                <c:pt idx="229">
                  <c:v>0</c:v>
                </c:pt>
                <c:pt idx="230">
                  <c:v>90</c:v>
                </c:pt>
                <c:pt idx="231">
                  <c:v>84</c:v>
                </c:pt>
                <c:pt idx="232">
                  <c:v>82</c:v>
                </c:pt>
                <c:pt idx="233">
                  <c:v>166</c:v>
                </c:pt>
                <c:pt idx="234">
                  <c:v>174</c:v>
                </c:pt>
                <c:pt idx="235">
                  <c:v>173</c:v>
                </c:pt>
                <c:pt idx="236">
                  <c:v>15</c:v>
                </c:pt>
                <c:pt idx="237">
                  <c:v>0</c:v>
                </c:pt>
                <c:pt idx="238">
                  <c:v>0</c:v>
                </c:pt>
                <c:pt idx="239">
                  <c:v>251</c:v>
                </c:pt>
                <c:pt idx="240">
                  <c:v>251</c:v>
                </c:pt>
                <c:pt idx="241">
                  <c:v>251</c:v>
                </c:pt>
                <c:pt idx="242">
                  <c:v>424</c:v>
                </c:pt>
                <c:pt idx="243">
                  <c:v>0</c:v>
                </c:pt>
                <c:pt idx="244">
                  <c:v>0</c:v>
                </c:pt>
                <c:pt idx="245">
                  <c:v>176</c:v>
                </c:pt>
                <c:pt idx="246">
                  <c:v>176</c:v>
                </c:pt>
                <c:pt idx="247">
                  <c:v>176</c:v>
                </c:pt>
                <c:pt idx="248">
                  <c:v>18</c:v>
                </c:pt>
                <c:pt idx="249">
                  <c:v>0</c:v>
                </c:pt>
                <c:pt idx="250">
                  <c:v>0</c:v>
                </c:pt>
                <c:pt idx="251">
                  <c:v>396</c:v>
                </c:pt>
                <c:pt idx="252">
                  <c:v>396</c:v>
                </c:pt>
                <c:pt idx="253">
                  <c:v>396</c:v>
                </c:pt>
                <c:pt idx="254">
                  <c:v>323</c:v>
                </c:pt>
                <c:pt idx="255">
                  <c:v>0</c:v>
                </c:pt>
                <c:pt idx="256">
                  <c:v>0</c:v>
                </c:pt>
                <c:pt idx="257">
                  <c:v>31</c:v>
                </c:pt>
                <c:pt idx="258">
                  <c:v>31</c:v>
                </c:pt>
                <c:pt idx="259">
                  <c:v>31</c:v>
                </c:pt>
                <c:pt idx="260">
                  <c:v>213</c:v>
                </c:pt>
                <c:pt idx="261">
                  <c:v>213</c:v>
                </c:pt>
                <c:pt idx="262">
                  <c:v>213</c:v>
                </c:pt>
                <c:pt idx="263">
                  <c:v>250</c:v>
                </c:pt>
                <c:pt idx="264">
                  <c:v>250</c:v>
                </c:pt>
                <c:pt idx="265">
                  <c:v>250</c:v>
                </c:pt>
                <c:pt idx="266">
                  <c:v>158</c:v>
                </c:pt>
                <c:pt idx="267">
                  <c:v>158</c:v>
                </c:pt>
                <c:pt idx="268">
                  <c:v>158</c:v>
                </c:pt>
                <c:pt idx="269">
                  <c:v>24</c:v>
                </c:pt>
                <c:pt idx="270">
                  <c:v>24</c:v>
                </c:pt>
                <c:pt idx="271">
                  <c:v>24</c:v>
                </c:pt>
                <c:pt idx="272">
                  <c:v>206</c:v>
                </c:pt>
                <c:pt idx="273">
                  <c:v>206</c:v>
                </c:pt>
                <c:pt idx="274">
                  <c:v>206</c:v>
                </c:pt>
                <c:pt idx="275">
                  <c:v>141</c:v>
                </c:pt>
                <c:pt idx="276">
                  <c:v>141</c:v>
                </c:pt>
                <c:pt idx="277">
                  <c:v>141</c:v>
                </c:pt>
                <c:pt idx="278">
                  <c:v>474</c:v>
                </c:pt>
                <c:pt idx="279">
                  <c:v>611</c:v>
                </c:pt>
                <c:pt idx="280">
                  <c:v>611</c:v>
                </c:pt>
                <c:pt idx="281">
                  <c:v>309</c:v>
                </c:pt>
                <c:pt idx="282">
                  <c:v>291</c:v>
                </c:pt>
                <c:pt idx="283">
                  <c:v>291</c:v>
                </c:pt>
                <c:pt idx="284">
                  <c:v>218</c:v>
                </c:pt>
                <c:pt idx="285">
                  <c:v>218</c:v>
                </c:pt>
                <c:pt idx="286">
                  <c:v>230</c:v>
                </c:pt>
                <c:pt idx="287">
                  <c:v>41</c:v>
                </c:pt>
                <c:pt idx="288">
                  <c:v>0</c:v>
                </c:pt>
                <c:pt idx="289">
                  <c:v>0</c:v>
                </c:pt>
                <c:pt idx="290">
                  <c:v>85</c:v>
                </c:pt>
                <c:pt idx="291">
                  <c:v>85</c:v>
                </c:pt>
                <c:pt idx="292">
                  <c:v>0</c:v>
                </c:pt>
                <c:pt idx="293">
                  <c:v>113</c:v>
                </c:pt>
                <c:pt idx="294">
                  <c:v>0</c:v>
                </c:pt>
                <c:pt idx="295">
                  <c:v>0</c:v>
                </c:pt>
                <c:pt idx="296">
                  <c:v>547</c:v>
                </c:pt>
                <c:pt idx="297">
                  <c:v>323</c:v>
                </c:pt>
                <c:pt idx="298">
                  <c:v>323</c:v>
                </c:pt>
                <c:pt idx="299">
                  <c:v>500</c:v>
                </c:pt>
                <c:pt idx="300">
                  <c:v>500</c:v>
                </c:pt>
                <c:pt idx="301">
                  <c:v>500</c:v>
                </c:pt>
                <c:pt idx="302">
                  <c:v>1675</c:v>
                </c:pt>
                <c:pt idx="303">
                  <c:v>1570</c:v>
                </c:pt>
                <c:pt idx="304">
                  <c:v>1570</c:v>
                </c:pt>
                <c:pt idx="305">
                  <c:v>299</c:v>
                </c:pt>
                <c:pt idx="306">
                  <c:v>0</c:v>
                </c:pt>
                <c:pt idx="307">
                  <c:v>0</c:v>
                </c:pt>
                <c:pt idx="308">
                  <c:v>299</c:v>
                </c:pt>
                <c:pt idx="309">
                  <c:v>299</c:v>
                </c:pt>
                <c:pt idx="310">
                  <c:v>299</c:v>
                </c:pt>
                <c:pt idx="311">
                  <c:v>895</c:v>
                </c:pt>
                <c:pt idx="312">
                  <c:v>924</c:v>
                </c:pt>
                <c:pt idx="313">
                  <c:v>925</c:v>
                </c:pt>
                <c:pt idx="314">
                  <c:v>50</c:v>
                </c:pt>
                <c:pt idx="315">
                  <c:v>1187</c:v>
                </c:pt>
                <c:pt idx="316">
                  <c:v>500</c:v>
                </c:pt>
                <c:pt idx="317">
                  <c:v>2975</c:v>
                </c:pt>
                <c:pt idx="318">
                  <c:v>3000</c:v>
                </c:pt>
                <c:pt idx="319">
                  <c:v>3000</c:v>
                </c:pt>
                <c:pt idx="320">
                  <c:v>852</c:v>
                </c:pt>
                <c:pt idx="321">
                  <c:v>966</c:v>
                </c:pt>
                <c:pt idx="322">
                  <c:v>966</c:v>
                </c:pt>
                <c:pt idx="323">
                  <c:v>221</c:v>
                </c:pt>
                <c:pt idx="324">
                  <c:v>221</c:v>
                </c:pt>
                <c:pt idx="325">
                  <c:v>221</c:v>
                </c:pt>
                <c:pt idx="326">
                  <c:v>91</c:v>
                </c:pt>
                <c:pt idx="327">
                  <c:v>205</c:v>
                </c:pt>
                <c:pt idx="328">
                  <c:v>0</c:v>
                </c:pt>
                <c:pt idx="329">
                  <c:v>0</c:v>
                </c:pt>
                <c:pt idx="330">
                  <c:v>334</c:v>
                </c:pt>
                <c:pt idx="331">
                  <c:v>0</c:v>
                </c:pt>
                <c:pt idx="332">
                  <c:v>334</c:v>
                </c:pt>
                <c:pt idx="333">
                  <c:v>506</c:v>
                </c:pt>
                <c:pt idx="334">
                  <c:v>400</c:v>
                </c:pt>
                <c:pt idx="335">
                  <c:v>0</c:v>
                </c:pt>
                <c:pt idx="336">
                  <c:v>307</c:v>
                </c:pt>
                <c:pt idx="337">
                  <c:v>396</c:v>
                </c:pt>
                <c:pt idx="338">
                  <c:v>396</c:v>
                </c:pt>
                <c:pt idx="339">
                  <c:v>70</c:v>
                </c:pt>
                <c:pt idx="340">
                  <c:v>70</c:v>
                </c:pt>
                <c:pt idx="341">
                  <c:v>70</c:v>
                </c:pt>
                <c:pt idx="342">
                  <c:v>3000</c:v>
                </c:pt>
                <c:pt idx="343">
                  <c:v>3030</c:v>
                </c:pt>
                <c:pt idx="344">
                  <c:v>3860</c:v>
                </c:pt>
                <c:pt idx="345">
                  <c:v>205</c:v>
                </c:pt>
                <c:pt idx="346">
                  <c:v>0</c:v>
                </c:pt>
                <c:pt idx="347">
                  <c:v>0</c:v>
                </c:pt>
                <c:pt idx="348">
                  <c:v>325</c:v>
                </c:pt>
                <c:pt idx="349">
                  <c:v>0</c:v>
                </c:pt>
                <c:pt idx="350">
                  <c:v>0</c:v>
                </c:pt>
                <c:pt idx="351">
                  <c:v>136</c:v>
                </c:pt>
                <c:pt idx="352">
                  <c:v>0</c:v>
                </c:pt>
                <c:pt idx="353">
                  <c:v>0</c:v>
                </c:pt>
                <c:pt idx="354">
                  <c:v>255</c:v>
                </c:pt>
                <c:pt idx="355">
                  <c:v>255</c:v>
                </c:pt>
                <c:pt idx="356">
                  <c:v>255</c:v>
                </c:pt>
                <c:pt idx="357">
                  <c:v>1532</c:v>
                </c:pt>
                <c:pt idx="358">
                  <c:v>1881</c:v>
                </c:pt>
                <c:pt idx="359">
                  <c:v>1881</c:v>
                </c:pt>
                <c:pt idx="360">
                  <c:v>103</c:v>
                </c:pt>
                <c:pt idx="361">
                  <c:v>0</c:v>
                </c:pt>
                <c:pt idx="362">
                  <c:v>0</c:v>
                </c:pt>
                <c:pt idx="363">
                  <c:v>583</c:v>
                </c:pt>
                <c:pt idx="364">
                  <c:v>500</c:v>
                </c:pt>
                <c:pt idx="365">
                  <c:v>500</c:v>
                </c:pt>
                <c:pt idx="366">
                  <c:v>119</c:v>
                </c:pt>
                <c:pt idx="367">
                  <c:v>0</c:v>
                </c:pt>
                <c:pt idx="368">
                  <c:v>99</c:v>
                </c:pt>
                <c:pt idx="369">
                  <c:v>958</c:v>
                </c:pt>
                <c:pt idx="370">
                  <c:v>1176</c:v>
                </c:pt>
                <c:pt idx="371">
                  <c:v>1176</c:v>
                </c:pt>
                <c:pt idx="372">
                  <c:v>300</c:v>
                </c:pt>
                <c:pt idx="373">
                  <c:v>300</c:v>
                </c:pt>
                <c:pt idx="374">
                  <c:v>300</c:v>
                </c:pt>
                <c:pt idx="375">
                  <c:v>182</c:v>
                </c:pt>
                <c:pt idx="376">
                  <c:v>0</c:v>
                </c:pt>
                <c:pt idx="377">
                  <c:v>0</c:v>
                </c:pt>
                <c:pt idx="378">
                  <c:v>499</c:v>
                </c:pt>
                <c:pt idx="379">
                  <c:v>0</c:v>
                </c:pt>
                <c:pt idx="380">
                  <c:v>0</c:v>
                </c:pt>
                <c:pt idx="381">
                  <c:v>455</c:v>
                </c:pt>
                <c:pt idx="382">
                  <c:v>624</c:v>
                </c:pt>
                <c:pt idx="383">
                  <c:v>500</c:v>
                </c:pt>
                <c:pt idx="384">
                  <c:v>68</c:v>
                </c:pt>
                <c:pt idx="385">
                  <c:v>68</c:v>
                </c:pt>
                <c:pt idx="386">
                  <c:v>68</c:v>
                </c:pt>
                <c:pt idx="387">
                  <c:v>153</c:v>
                </c:pt>
                <c:pt idx="388">
                  <c:v>169</c:v>
                </c:pt>
                <c:pt idx="389">
                  <c:v>169</c:v>
                </c:pt>
                <c:pt idx="390">
                  <c:v>468</c:v>
                </c:pt>
                <c:pt idx="391">
                  <c:v>0</c:v>
                </c:pt>
                <c:pt idx="392">
                  <c:v>0</c:v>
                </c:pt>
                <c:pt idx="393">
                  <c:v>351</c:v>
                </c:pt>
                <c:pt idx="394">
                  <c:v>500</c:v>
                </c:pt>
                <c:pt idx="395">
                  <c:v>500</c:v>
                </c:pt>
                <c:pt idx="396">
                  <c:v>262</c:v>
                </c:pt>
                <c:pt idx="397">
                  <c:v>0</c:v>
                </c:pt>
                <c:pt idx="398">
                  <c:v>0</c:v>
                </c:pt>
                <c:pt idx="399">
                  <c:v>165</c:v>
                </c:pt>
                <c:pt idx="400">
                  <c:v>0</c:v>
                </c:pt>
                <c:pt idx="401">
                  <c:v>0</c:v>
                </c:pt>
                <c:pt idx="402">
                  <c:v>219</c:v>
                </c:pt>
                <c:pt idx="403">
                  <c:v>0</c:v>
                </c:pt>
                <c:pt idx="404">
                  <c:v>0</c:v>
                </c:pt>
                <c:pt idx="405">
                  <c:v>192</c:v>
                </c:pt>
                <c:pt idx="406">
                  <c:v>192</c:v>
                </c:pt>
                <c:pt idx="407">
                  <c:v>0</c:v>
                </c:pt>
                <c:pt idx="408">
                  <c:v>866</c:v>
                </c:pt>
                <c:pt idx="409">
                  <c:v>500</c:v>
                </c:pt>
                <c:pt idx="410">
                  <c:v>500</c:v>
                </c:pt>
                <c:pt idx="411">
                  <c:v>195</c:v>
                </c:pt>
                <c:pt idx="412">
                  <c:v>195</c:v>
                </c:pt>
                <c:pt idx="413">
                  <c:v>195</c:v>
                </c:pt>
                <c:pt idx="414">
                  <c:v>351</c:v>
                </c:pt>
                <c:pt idx="415">
                  <c:v>387</c:v>
                </c:pt>
                <c:pt idx="416">
                  <c:v>387</c:v>
                </c:pt>
                <c:pt idx="417">
                  <c:v>293</c:v>
                </c:pt>
                <c:pt idx="418">
                  <c:v>193</c:v>
                </c:pt>
                <c:pt idx="419">
                  <c:v>193</c:v>
                </c:pt>
                <c:pt idx="420">
                  <c:v>133</c:v>
                </c:pt>
                <c:pt idx="421">
                  <c:v>133</c:v>
                </c:pt>
                <c:pt idx="422">
                  <c:v>0</c:v>
                </c:pt>
                <c:pt idx="423">
                  <c:v>1500</c:v>
                </c:pt>
                <c:pt idx="424">
                  <c:v>1500</c:v>
                </c:pt>
                <c:pt idx="425">
                  <c:v>1500</c:v>
                </c:pt>
                <c:pt idx="426">
                  <c:v>455</c:v>
                </c:pt>
                <c:pt idx="427">
                  <c:v>0</c:v>
                </c:pt>
                <c:pt idx="428">
                  <c:v>0</c:v>
                </c:pt>
                <c:pt idx="429">
                  <c:v>520</c:v>
                </c:pt>
                <c:pt idx="430">
                  <c:v>0</c:v>
                </c:pt>
                <c:pt idx="431">
                  <c:v>0</c:v>
                </c:pt>
                <c:pt idx="432">
                  <c:v>66</c:v>
                </c:pt>
                <c:pt idx="433">
                  <c:v>66</c:v>
                </c:pt>
                <c:pt idx="434">
                  <c:v>66</c:v>
                </c:pt>
                <c:pt idx="435">
                  <c:v>620</c:v>
                </c:pt>
                <c:pt idx="436">
                  <c:v>500</c:v>
                </c:pt>
                <c:pt idx="437">
                  <c:v>500</c:v>
                </c:pt>
                <c:pt idx="438">
                  <c:v>30</c:v>
                </c:pt>
                <c:pt idx="439">
                  <c:v>0</c:v>
                </c:pt>
                <c:pt idx="440">
                  <c:v>0</c:v>
                </c:pt>
                <c:pt idx="441">
                  <c:v>16</c:v>
                </c:pt>
                <c:pt idx="442">
                  <c:v>16</c:v>
                </c:pt>
                <c:pt idx="443">
                  <c:v>32</c:v>
                </c:pt>
                <c:pt idx="444">
                  <c:v>103</c:v>
                </c:pt>
                <c:pt idx="445">
                  <c:v>0</c:v>
                </c:pt>
                <c:pt idx="446">
                  <c:v>0</c:v>
                </c:pt>
                <c:pt idx="447">
                  <c:v>0</c:v>
                </c:pt>
                <c:pt idx="448">
                  <c:v>0</c:v>
                </c:pt>
                <c:pt idx="449">
                  <c:v>0</c:v>
                </c:pt>
                <c:pt idx="450">
                  <c:v>143</c:v>
                </c:pt>
                <c:pt idx="451">
                  <c:v>134</c:v>
                </c:pt>
                <c:pt idx="452">
                  <c:v>127</c:v>
                </c:pt>
                <c:pt idx="453">
                  <c:v>267</c:v>
                </c:pt>
                <c:pt idx="454">
                  <c:v>203</c:v>
                </c:pt>
                <c:pt idx="455">
                  <c:v>203</c:v>
                </c:pt>
                <c:pt idx="456">
                  <c:v>30</c:v>
                </c:pt>
                <c:pt idx="457">
                  <c:v>0</c:v>
                </c:pt>
                <c:pt idx="458">
                  <c:v>0</c:v>
                </c:pt>
                <c:pt idx="459">
                  <c:v>36</c:v>
                </c:pt>
                <c:pt idx="460">
                  <c:v>0</c:v>
                </c:pt>
                <c:pt idx="461">
                  <c:v>0</c:v>
                </c:pt>
                <c:pt idx="462">
                  <c:v>440</c:v>
                </c:pt>
                <c:pt idx="463">
                  <c:v>0</c:v>
                </c:pt>
                <c:pt idx="464">
                  <c:v>0</c:v>
                </c:pt>
                <c:pt idx="465">
                  <c:v>50</c:v>
                </c:pt>
                <c:pt idx="466">
                  <c:v>0</c:v>
                </c:pt>
                <c:pt idx="467">
                  <c:v>0</c:v>
                </c:pt>
                <c:pt idx="468">
                  <c:v>586</c:v>
                </c:pt>
                <c:pt idx="469">
                  <c:v>591</c:v>
                </c:pt>
                <c:pt idx="470">
                  <c:v>591</c:v>
                </c:pt>
                <c:pt idx="471">
                  <c:v>91</c:v>
                </c:pt>
                <c:pt idx="472">
                  <c:v>0</c:v>
                </c:pt>
                <c:pt idx="473">
                  <c:v>0</c:v>
                </c:pt>
                <c:pt idx="474">
                  <c:v>29</c:v>
                </c:pt>
                <c:pt idx="475">
                  <c:v>504</c:v>
                </c:pt>
                <c:pt idx="476">
                  <c:v>0</c:v>
                </c:pt>
                <c:pt idx="477">
                  <c:v>0</c:v>
                </c:pt>
                <c:pt idx="478">
                  <c:v>168</c:v>
                </c:pt>
                <c:pt idx="479">
                  <c:v>168</c:v>
                </c:pt>
                <c:pt idx="480">
                  <c:v>168</c:v>
                </c:pt>
                <c:pt idx="481">
                  <c:v>80</c:v>
                </c:pt>
                <c:pt idx="482">
                  <c:v>0</c:v>
                </c:pt>
                <c:pt idx="483">
                  <c:v>0</c:v>
                </c:pt>
                <c:pt idx="484">
                  <c:v>139</c:v>
                </c:pt>
                <c:pt idx="485">
                  <c:v>0</c:v>
                </c:pt>
                <c:pt idx="486">
                  <c:v>0</c:v>
                </c:pt>
                <c:pt idx="487">
                  <c:v>231</c:v>
                </c:pt>
                <c:pt idx="488">
                  <c:v>50</c:v>
                </c:pt>
                <c:pt idx="489">
                  <c:v>0</c:v>
                </c:pt>
                <c:pt idx="490">
                  <c:v>0</c:v>
                </c:pt>
                <c:pt idx="491">
                  <c:v>50</c:v>
                </c:pt>
                <c:pt idx="492">
                  <c:v>247</c:v>
                </c:pt>
                <c:pt idx="493">
                  <c:v>247</c:v>
                </c:pt>
                <c:pt idx="494">
                  <c:v>0</c:v>
                </c:pt>
                <c:pt idx="495">
                  <c:v>0</c:v>
                </c:pt>
                <c:pt idx="496">
                  <c:v>240</c:v>
                </c:pt>
                <c:pt idx="497">
                  <c:v>0</c:v>
                </c:pt>
                <c:pt idx="498">
                  <c:v>0</c:v>
                </c:pt>
                <c:pt idx="499">
                  <c:v>189</c:v>
                </c:pt>
                <c:pt idx="500">
                  <c:v>0</c:v>
                </c:pt>
                <c:pt idx="501">
                  <c:v>0</c:v>
                </c:pt>
                <c:pt idx="502">
                  <c:v>59</c:v>
                </c:pt>
                <c:pt idx="503">
                  <c:v>0</c:v>
                </c:pt>
                <c:pt idx="504">
                  <c:v>0</c:v>
                </c:pt>
                <c:pt idx="505">
                  <c:v>0</c:v>
                </c:pt>
                <c:pt idx="506">
                  <c:v>0</c:v>
                </c:pt>
                <c:pt idx="507">
                  <c:v>0</c:v>
                </c:pt>
                <c:pt idx="508">
                  <c:v>0</c:v>
                </c:pt>
                <c:pt idx="509">
                  <c:v>1340</c:v>
                </c:pt>
                <c:pt idx="510">
                  <c:v>1340</c:v>
                </c:pt>
                <c:pt idx="511">
                  <c:v>1936</c:v>
                </c:pt>
                <c:pt idx="512">
                  <c:v>267</c:v>
                </c:pt>
                <c:pt idx="513">
                  <c:v>270</c:v>
                </c:pt>
                <c:pt idx="514">
                  <c:v>271</c:v>
                </c:pt>
                <c:pt idx="515">
                  <c:v>50</c:v>
                </c:pt>
                <c:pt idx="516">
                  <c:v>424</c:v>
                </c:pt>
                <c:pt idx="517">
                  <c:v>500</c:v>
                </c:pt>
                <c:pt idx="518">
                  <c:v>162</c:v>
                </c:pt>
                <c:pt idx="519">
                  <c:v>0</c:v>
                </c:pt>
                <c:pt idx="520">
                  <c:v>0</c:v>
                </c:pt>
                <c:pt idx="521">
                  <c:v>132</c:v>
                </c:pt>
                <c:pt idx="522">
                  <c:v>132</c:v>
                </c:pt>
                <c:pt idx="523">
                  <c:v>132</c:v>
                </c:pt>
                <c:pt idx="524">
                  <c:v>520</c:v>
                </c:pt>
                <c:pt idx="525">
                  <c:v>0</c:v>
                </c:pt>
                <c:pt idx="526">
                  <c:v>0</c:v>
                </c:pt>
                <c:pt idx="527">
                  <c:v>30</c:v>
                </c:pt>
                <c:pt idx="528">
                  <c:v>0</c:v>
                </c:pt>
                <c:pt idx="529">
                  <c:v>0</c:v>
                </c:pt>
                <c:pt idx="530">
                  <c:v>520</c:v>
                </c:pt>
                <c:pt idx="531">
                  <c:v>0</c:v>
                </c:pt>
                <c:pt idx="532">
                  <c:v>0</c:v>
                </c:pt>
                <c:pt idx="533">
                  <c:v>264</c:v>
                </c:pt>
                <c:pt idx="534">
                  <c:v>0</c:v>
                </c:pt>
                <c:pt idx="535">
                  <c:v>0</c:v>
                </c:pt>
                <c:pt idx="536">
                  <c:v>455</c:v>
                </c:pt>
                <c:pt idx="537">
                  <c:v>0</c:v>
                </c:pt>
                <c:pt idx="538">
                  <c:v>0</c:v>
                </c:pt>
                <c:pt idx="539">
                  <c:v>308</c:v>
                </c:pt>
                <c:pt idx="540">
                  <c:v>0</c:v>
                </c:pt>
                <c:pt idx="541">
                  <c:v>0</c:v>
                </c:pt>
                <c:pt idx="542">
                  <c:v>126</c:v>
                </c:pt>
                <c:pt idx="543">
                  <c:v>0</c:v>
                </c:pt>
                <c:pt idx="544">
                  <c:v>0</c:v>
                </c:pt>
                <c:pt idx="545">
                  <c:v>71</c:v>
                </c:pt>
                <c:pt idx="546">
                  <c:v>0</c:v>
                </c:pt>
                <c:pt idx="547">
                  <c:v>0</c:v>
                </c:pt>
                <c:pt idx="548">
                  <c:v>50</c:v>
                </c:pt>
                <c:pt idx="549">
                  <c:v>0</c:v>
                </c:pt>
                <c:pt idx="550">
                  <c:v>0</c:v>
                </c:pt>
                <c:pt idx="551">
                  <c:v>101</c:v>
                </c:pt>
                <c:pt idx="552">
                  <c:v>0</c:v>
                </c:pt>
                <c:pt idx="553">
                  <c:v>0</c:v>
                </c:pt>
                <c:pt idx="554">
                  <c:v>83</c:v>
                </c:pt>
                <c:pt idx="555">
                  <c:v>85</c:v>
                </c:pt>
                <c:pt idx="556">
                  <c:v>89</c:v>
                </c:pt>
                <c:pt idx="557">
                  <c:v>0</c:v>
                </c:pt>
                <c:pt idx="558">
                  <c:v>319</c:v>
                </c:pt>
                <c:pt idx="559">
                  <c:v>344</c:v>
                </c:pt>
                <c:pt idx="560">
                  <c:v>344</c:v>
                </c:pt>
                <c:pt idx="561">
                  <c:v>0</c:v>
                </c:pt>
                <c:pt idx="562">
                  <c:v>0</c:v>
                </c:pt>
                <c:pt idx="563">
                  <c:v>0</c:v>
                </c:pt>
                <c:pt idx="564">
                  <c:v>0</c:v>
                </c:pt>
                <c:pt idx="565">
                  <c:v>0</c:v>
                </c:pt>
                <c:pt idx="566">
                  <c:v>0</c:v>
                </c:pt>
                <c:pt idx="567">
                  <c:v>0</c:v>
                </c:pt>
                <c:pt idx="568">
                  <c:v>0</c:v>
                </c:pt>
                <c:pt idx="569">
                  <c:v>0</c:v>
                </c:pt>
                <c:pt idx="570">
                  <c:v>0</c:v>
                </c:pt>
                <c:pt idx="571">
                  <c:v>0</c:v>
                </c:pt>
                <c:pt idx="572">
                  <c:v>0</c:v>
                </c:pt>
                <c:pt idx="573">
                  <c:v>292</c:v>
                </c:pt>
                <c:pt idx="574">
                  <c:v>292</c:v>
                </c:pt>
                <c:pt idx="575">
                  <c:v>292</c:v>
                </c:pt>
                <c:pt idx="576">
                  <c:v>77</c:v>
                </c:pt>
                <c:pt idx="577">
                  <c:v>0</c:v>
                </c:pt>
                <c:pt idx="578">
                  <c:v>0</c:v>
                </c:pt>
                <c:pt idx="579">
                  <c:v>221</c:v>
                </c:pt>
                <c:pt idx="580">
                  <c:v>221</c:v>
                </c:pt>
                <c:pt idx="581">
                  <c:v>0</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Dashboard'!$L$5:$M$791</c:f>
              <c:multiLvlStrCache>
                <c:ptCount val="582"/>
                <c:lvl>
                  <c:pt idx="0">
                    <c:v>2022_Q1</c:v>
                  </c:pt>
                  <c:pt idx="1">
                    <c:v>2022_Q1</c:v>
                  </c:pt>
                  <c:pt idx="2">
                    <c:v>2022_Q2</c:v>
                  </c:pt>
                  <c:pt idx="3">
                    <c:v>2022_Q3</c:v>
                  </c:pt>
                  <c:pt idx="4">
                    <c:v>2022_Q1</c:v>
                  </c:pt>
                  <c:pt idx="5">
                    <c:v>2022_Q2</c:v>
                  </c:pt>
                  <c:pt idx="6">
                    <c:v>2022_Q3</c:v>
                  </c:pt>
                  <c:pt idx="7">
                    <c:v>2022_Q1</c:v>
                  </c:pt>
                  <c:pt idx="8">
                    <c:v>2022_Q2</c:v>
                  </c:pt>
                  <c:pt idx="9">
                    <c:v>2022_Q3</c:v>
                  </c:pt>
                  <c:pt idx="10">
                    <c:v>2022_Q1</c:v>
                  </c:pt>
                  <c:pt idx="11">
                    <c:v>2022_Q2</c:v>
                  </c:pt>
                  <c:pt idx="12">
                    <c:v>2022_Q3</c:v>
                  </c:pt>
                  <c:pt idx="13">
                    <c:v>2022_Q1</c:v>
                  </c:pt>
                  <c:pt idx="14">
                    <c:v>2022_Q2</c:v>
                  </c:pt>
                  <c:pt idx="15">
                    <c:v>2022_Q3</c:v>
                  </c:pt>
                  <c:pt idx="16">
                    <c:v>2022_Q1</c:v>
                  </c:pt>
                  <c:pt idx="17">
                    <c:v>2022_Q2</c:v>
                  </c:pt>
                  <c:pt idx="18">
                    <c:v>2022_Q3</c:v>
                  </c:pt>
                  <c:pt idx="19">
                    <c:v>2022_Q1</c:v>
                  </c:pt>
                  <c:pt idx="20">
                    <c:v>2022_Q2</c:v>
                  </c:pt>
                  <c:pt idx="21">
                    <c:v>2022_Q3</c:v>
                  </c:pt>
                  <c:pt idx="22">
                    <c:v>2022_Q1</c:v>
                  </c:pt>
                  <c:pt idx="23">
                    <c:v>2022_Q2</c:v>
                  </c:pt>
                  <c:pt idx="24">
                    <c:v>2022_Q3</c:v>
                  </c:pt>
                  <c:pt idx="25">
                    <c:v>2022_Q1</c:v>
                  </c:pt>
                  <c:pt idx="26">
                    <c:v>2022_Q2</c:v>
                  </c:pt>
                  <c:pt idx="27">
                    <c:v>2022_Q3</c:v>
                  </c:pt>
                  <c:pt idx="28">
                    <c:v>2022_Q1</c:v>
                  </c:pt>
                  <c:pt idx="29">
                    <c:v>2022_Q2</c:v>
                  </c:pt>
                  <c:pt idx="30">
                    <c:v>2022_Q3</c:v>
                  </c:pt>
                  <c:pt idx="31">
                    <c:v>2022_Q1</c:v>
                  </c:pt>
                  <c:pt idx="32">
                    <c:v>2022_Q2</c:v>
                  </c:pt>
                  <c:pt idx="33">
                    <c:v>2022_Q3</c:v>
                  </c:pt>
                  <c:pt idx="34">
                    <c:v>2022_Q1</c:v>
                  </c:pt>
                  <c:pt idx="35">
                    <c:v>2022_Q2</c:v>
                  </c:pt>
                  <c:pt idx="36">
                    <c:v>2022_Q3</c:v>
                  </c:pt>
                  <c:pt idx="37">
                    <c:v>2022_Q1</c:v>
                  </c:pt>
                  <c:pt idx="38">
                    <c:v>2022_Q2</c:v>
                  </c:pt>
                  <c:pt idx="39">
                    <c:v>2022_Q3</c:v>
                  </c:pt>
                  <c:pt idx="40">
                    <c:v>2022_Q1</c:v>
                  </c:pt>
                  <c:pt idx="41">
                    <c:v>2022_Q2</c:v>
                  </c:pt>
                  <c:pt idx="42">
                    <c:v>2022_Q3</c:v>
                  </c:pt>
                  <c:pt idx="43">
                    <c:v>2022_Q1</c:v>
                  </c:pt>
                  <c:pt idx="44">
                    <c:v>2022_Q2</c:v>
                  </c:pt>
                  <c:pt idx="45">
                    <c:v>2022_Q3</c:v>
                  </c:pt>
                  <c:pt idx="46">
                    <c:v>2022_Q1</c:v>
                  </c:pt>
                  <c:pt idx="47">
                    <c:v>2022_Q2</c:v>
                  </c:pt>
                  <c:pt idx="48">
                    <c:v>2022_Q3</c:v>
                  </c:pt>
                  <c:pt idx="49">
                    <c:v>2022_Q1</c:v>
                  </c:pt>
                  <c:pt idx="50">
                    <c:v>2022_Q2</c:v>
                  </c:pt>
                  <c:pt idx="51">
                    <c:v>2022_Q3</c:v>
                  </c:pt>
                  <c:pt idx="52">
                    <c:v>2022_Q1</c:v>
                  </c:pt>
                  <c:pt idx="53">
                    <c:v>2022_Q2</c:v>
                  </c:pt>
                  <c:pt idx="54">
                    <c:v>2022_Q3</c:v>
                  </c:pt>
                  <c:pt idx="55">
                    <c:v>2022_Q1</c:v>
                  </c:pt>
                  <c:pt idx="56">
                    <c:v>2022_Q2</c:v>
                  </c:pt>
                  <c:pt idx="57">
                    <c:v>2022_Q3</c:v>
                  </c:pt>
                  <c:pt idx="58">
                    <c:v>2022_Q1</c:v>
                  </c:pt>
                  <c:pt idx="59">
                    <c:v>2022_Q2</c:v>
                  </c:pt>
                  <c:pt idx="60">
                    <c:v>2022_Q3</c:v>
                  </c:pt>
                  <c:pt idx="61">
                    <c:v>2022_Q1</c:v>
                  </c:pt>
                  <c:pt idx="62">
                    <c:v>2022_Q2</c:v>
                  </c:pt>
                  <c:pt idx="63">
                    <c:v>2022_Q3</c:v>
                  </c:pt>
                  <c:pt idx="64">
                    <c:v>2022_Q1</c:v>
                  </c:pt>
                  <c:pt idx="65">
                    <c:v>2022_Q2</c:v>
                  </c:pt>
                  <c:pt idx="66">
                    <c:v>2022_Q3</c:v>
                  </c:pt>
                  <c:pt idx="67">
                    <c:v>2022_Q1</c:v>
                  </c:pt>
                  <c:pt idx="68">
                    <c:v>2022_Q2</c:v>
                  </c:pt>
                  <c:pt idx="69">
                    <c:v>2022_Q3</c:v>
                  </c:pt>
                  <c:pt idx="70">
                    <c:v>2022_Q1</c:v>
                  </c:pt>
                  <c:pt idx="71">
                    <c:v>2022_Q2</c:v>
                  </c:pt>
                  <c:pt idx="72">
                    <c:v>2022_Q3</c:v>
                  </c:pt>
                  <c:pt idx="73">
                    <c:v>2022_Q1</c:v>
                  </c:pt>
                  <c:pt idx="74">
                    <c:v>2022_Q2</c:v>
                  </c:pt>
                  <c:pt idx="75">
                    <c:v>2022_Q3</c:v>
                  </c:pt>
                  <c:pt idx="76">
                    <c:v>2022_Q1</c:v>
                  </c:pt>
                  <c:pt idx="77">
                    <c:v>2022_Q2</c:v>
                  </c:pt>
                  <c:pt idx="78">
                    <c:v>2022_Q3</c:v>
                  </c:pt>
                  <c:pt idx="79">
                    <c:v>2022_Q1</c:v>
                  </c:pt>
                  <c:pt idx="80">
                    <c:v>2022_Q2</c:v>
                  </c:pt>
                  <c:pt idx="81">
                    <c:v>2022_Q3</c:v>
                  </c:pt>
                  <c:pt idx="82">
                    <c:v>2022_Q1</c:v>
                  </c:pt>
                  <c:pt idx="83">
                    <c:v>2022_Q2</c:v>
                  </c:pt>
                  <c:pt idx="84">
                    <c:v>2022_Q3</c:v>
                  </c:pt>
                  <c:pt idx="85">
                    <c:v>2022_Q1</c:v>
                  </c:pt>
                  <c:pt idx="86">
                    <c:v>2022_Q2</c:v>
                  </c:pt>
                  <c:pt idx="87">
                    <c:v>2022_Q3</c:v>
                  </c:pt>
                  <c:pt idx="88">
                    <c:v>2022_Q1</c:v>
                  </c:pt>
                  <c:pt idx="89">
                    <c:v>2022_Q2</c:v>
                  </c:pt>
                  <c:pt idx="90">
                    <c:v>2022_Q3</c:v>
                  </c:pt>
                  <c:pt idx="91">
                    <c:v>2022_Q1</c:v>
                  </c:pt>
                  <c:pt idx="92">
                    <c:v>2022_Q2</c:v>
                  </c:pt>
                  <c:pt idx="93">
                    <c:v>2022_Q3</c:v>
                  </c:pt>
                  <c:pt idx="94">
                    <c:v>2022_Q1</c:v>
                  </c:pt>
                  <c:pt idx="95">
                    <c:v>2022_Q2</c:v>
                  </c:pt>
                  <c:pt idx="96">
                    <c:v>2022_Q3</c:v>
                  </c:pt>
                  <c:pt idx="97">
                    <c:v>2022_Q1</c:v>
                  </c:pt>
                  <c:pt idx="98">
                    <c:v>2022_Q2</c:v>
                  </c:pt>
                  <c:pt idx="99">
                    <c:v>2022_Q3</c:v>
                  </c:pt>
                  <c:pt idx="100">
                    <c:v>2022_Q1</c:v>
                  </c:pt>
                  <c:pt idx="101">
                    <c:v>2022_Q2</c:v>
                  </c:pt>
                  <c:pt idx="102">
                    <c:v>2022_Q3</c:v>
                  </c:pt>
                  <c:pt idx="103">
                    <c:v>2022_Q1</c:v>
                  </c:pt>
                  <c:pt idx="104">
                    <c:v>2022_Q2</c:v>
                  </c:pt>
                  <c:pt idx="105">
                    <c:v>2022_Q3</c:v>
                  </c:pt>
                  <c:pt idx="106">
                    <c:v>2022_Q1</c:v>
                  </c:pt>
                  <c:pt idx="107">
                    <c:v>2022_Q2</c:v>
                  </c:pt>
                  <c:pt idx="108">
                    <c:v>2022_Q3</c:v>
                  </c:pt>
                  <c:pt idx="109">
                    <c:v>2022_Q1</c:v>
                  </c:pt>
                  <c:pt idx="110">
                    <c:v>2022_Q2</c:v>
                  </c:pt>
                  <c:pt idx="111">
                    <c:v>2022_Q3</c:v>
                  </c:pt>
                  <c:pt idx="112">
                    <c:v>2022_Q1</c:v>
                  </c:pt>
                  <c:pt idx="113">
                    <c:v>2022_Q2</c:v>
                  </c:pt>
                  <c:pt idx="114">
                    <c:v>2022_Q3</c:v>
                  </c:pt>
                  <c:pt idx="115">
                    <c:v>2022_Q1</c:v>
                  </c:pt>
                  <c:pt idx="116">
                    <c:v>2022_Q2</c:v>
                  </c:pt>
                  <c:pt idx="117">
                    <c:v>2022_Q3</c:v>
                  </c:pt>
                  <c:pt idx="118">
                    <c:v>2022_Q1</c:v>
                  </c:pt>
                  <c:pt idx="119">
                    <c:v>2022_Q2</c:v>
                  </c:pt>
                  <c:pt idx="120">
                    <c:v>2022_Q3</c:v>
                  </c:pt>
                  <c:pt idx="121">
                    <c:v>2022_Q1</c:v>
                  </c:pt>
                  <c:pt idx="122">
                    <c:v>2022_Q1</c:v>
                  </c:pt>
                  <c:pt idx="123">
                    <c:v>2022_Q2</c:v>
                  </c:pt>
                  <c:pt idx="124">
                    <c:v>2022_Q3</c:v>
                  </c:pt>
                  <c:pt idx="125">
                    <c:v>2022_Q1</c:v>
                  </c:pt>
                  <c:pt idx="126">
                    <c:v>2022_Q2</c:v>
                  </c:pt>
                  <c:pt idx="127">
                    <c:v>2022_Q3</c:v>
                  </c:pt>
                  <c:pt idx="128">
                    <c:v>2022_Q1</c:v>
                  </c:pt>
                  <c:pt idx="129">
                    <c:v>2022_Q2</c:v>
                  </c:pt>
                  <c:pt idx="130">
                    <c:v>2022_Q3</c:v>
                  </c:pt>
                  <c:pt idx="131">
                    <c:v>2022_Q1</c:v>
                  </c:pt>
                  <c:pt idx="132">
                    <c:v>2022_Q2</c:v>
                  </c:pt>
                  <c:pt idx="133">
                    <c:v>2022_Q3</c:v>
                  </c:pt>
                  <c:pt idx="134">
                    <c:v>2022_Q1</c:v>
                  </c:pt>
                  <c:pt idx="135">
                    <c:v>2022_Q2</c:v>
                  </c:pt>
                  <c:pt idx="136">
                    <c:v>2022_Q3</c:v>
                  </c:pt>
                  <c:pt idx="137">
                    <c:v>2022_Q1</c:v>
                  </c:pt>
                  <c:pt idx="138">
                    <c:v>2022_Q2</c:v>
                  </c:pt>
                  <c:pt idx="139">
                    <c:v>2022_Q3</c:v>
                  </c:pt>
                  <c:pt idx="140">
                    <c:v>2022_Q1</c:v>
                  </c:pt>
                  <c:pt idx="141">
                    <c:v>2022_Q2</c:v>
                  </c:pt>
                  <c:pt idx="142">
                    <c:v>2022_Q3</c:v>
                  </c:pt>
                  <c:pt idx="143">
                    <c:v>2022_Q1</c:v>
                  </c:pt>
                  <c:pt idx="144">
                    <c:v>2022_Q2</c:v>
                  </c:pt>
                  <c:pt idx="145">
                    <c:v>2022_Q3</c:v>
                  </c:pt>
                  <c:pt idx="146">
                    <c:v>2022_Q1</c:v>
                  </c:pt>
                  <c:pt idx="147">
                    <c:v>2022_Q2</c:v>
                  </c:pt>
                  <c:pt idx="148">
                    <c:v>2022_Q3</c:v>
                  </c:pt>
                  <c:pt idx="149">
                    <c:v>2022_Q1</c:v>
                  </c:pt>
                  <c:pt idx="150">
                    <c:v>2022_Q2</c:v>
                  </c:pt>
                  <c:pt idx="151">
                    <c:v>2022_Q3</c:v>
                  </c:pt>
                  <c:pt idx="152">
                    <c:v>2022_Q1</c:v>
                  </c:pt>
                  <c:pt idx="153">
                    <c:v>2022_Q2</c:v>
                  </c:pt>
                  <c:pt idx="154">
                    <c:v>2022_Q3</c:v>
                  </c:pt>
                  <c:pt idx="155">
                    <c:v>2022_Q1</c:v>
                  </c:pt>
                  <c:pt idx="156">
                    <c:v>2022_Q2</c:v>
                  </c:pt>
                  <c:pt idx="157">
                    <c:v>2022_Q3</c:v>
                  </c:pt>
                  <c:pt idx="158">
                    <c:v>2022_Q1</c:v>
                  </c:pt>
                  <c:pt idx="159">
                    <c:v>2022_Q1</c:v>
                  </c:pt>
                  <c:pt idx="160">
                    <c:v>2022_Q2</c:v>
                  </c:pt>
                  <c:pt idx="161">
                    <c:v>2022_Q1</c:v>
                  </c:pt>
                  <c:pt idx="162">
                    <c:v>2022_Q2</c:v>
                  </c:pt>
                  <c:pt idx="163">
                    <c:v>2022_Q3</c:v>
                  </c:pt>
                  <c:pt idx="164">
                    <c:v>2022_Q1</c:v>
                  </c:pt>
                  <c:pt idx="165">
                    <c:v>2022_Q2</c:v>
                  </c:pt>
                  <c:pt idx="166">
                    <c:v>2022_Q3</c:v>
                  </c:pt>
                  <c:pt idx="167">
                    <c:v>2022_Q1</c:v>
                  </c:pt>
                  <c:pt idx="168">
                    <c:v>2022_Q2</c:v>
                  </c:pt>
                  <c:pt idx="169">
                    <c:v>2022_Q3</c:v>
                  </c:pt>
                  <c:pt idx="170">
                    <c:v>2022_Q1</c:v>
                  </c:pt>
                  <c:pt idx="171">
                    <c:v>2022_Q2</c:v>
                  </c:pt>
                  <c:pt idx="172">
                    <c:v>2022_Q3</c:v>
                  </c:pt>
                  <c:pt idx="173">
                    <c:v>2022_Q1</c:v>
                  </c:pt>
                  <c:pt idx="174">
                    <c:v>2022_Q2</c:v>
                  </c:pt>
                  <c:pt idx="175">
                    <c:v>2022_Q3</c:v>
                  </c:pt>
                  <c:pt idx="176">
                    <c:v>2022_Q1</c:v>
                  </c:pt>
                  <c:pt idx="177">
                    <c:v>2022_Q2</c:v>
                  </c:pt>
                  <c:pt idx="178">
                    <c:v>2022_Q3</c:v>
                  </c:pt>
                  <c:pt idx="179">
                    <c:v>2022_Q1</c:v>
                  </c:pt>
                  <c:pt idx="180">
                    <c:v>2022_Q2</c:v>
                  </c:pt>
                  <c:pt idx="181">
                    <c:v>2022_Q3</c:v>
                  </c:pt>
                  <c:pt idx="182">
                    <c:v>2022_Q1</c:v>
                  </c:pt>
                  <c:pt idx="183">
                    <c:v>2022_Q2</c:v>
                  </c:pt>
                  <c:pt idx="184">
                    <c:v>2022_Q3</c:v>
                  </c:pt>
                  <c:pt idx="185">
                    <c:v>2022_Q1</c:v>
                  </c:pt>
                  <c:pt idx="186">
                    <c:v>2022_Q2</c:v>
                  </c:pt>
                  <c:pt idx="187">
                    <c:v>2022_Q3</c:v>
                  </c:pt>
                  <c:pt idx="188">
                    <c:v>2022_Q1</c:v>
                  </c:pt>
                  <c:pt idx="189">
                    <c:v>2022_Q2</c:v>
                  </c:pt>
                  <c:pt idx="190">
                    <c:v>2022_Q3</c:v>
                  </c:pt>
                  <c:pt idx="191">
                    <c:v>2022_Q1</c:v>
                  </c:pt>
                  <c:pt idx="192">
                    <c:v>2022_Q2</c:v>
                  </c:pt>
                  <c:pt idx="193">
                    <c:v>2022_Q3</c:v>
                  </c:pt>
                  <c:pt idx="194">
                    <c:v>2022_Q1</c:v>
                  </c:pt>
                  <c:pt idx="195">
                    <c:v>2022_Q2</c:v>
                  </c:pt>
                  <c:pt idx="196">
                    <c:v>2022_Q3</c:v>
                  </c:pt>
                  <c:pt idx="197">
                    <c:v>2022_Q1</c:v>
                  </c:pt>
                  <c:pt idx="198">
                    <c:v>2022_Q2</c:v>
                  </c:pt>
                  <c:pt idx="199">
                    <c:v>2022_Q3</c:v>
                  </c:pt>
                  <c:pt idx="200">
                    <c:v>2022_Q1</c:v>
                  </c:pt>
                  <c:pt idx="201">
                    <c:v>2022_Q2</c:v>
                  </c:pt>
                  <c:pt idx="202">
                    <c:v>2022_Q3</c:v>
                  </c:pt>
                  <c:pt idx="203">
                    <c:v>2022_Q1</c:v>
                  </c:pt>
                  <c:pt idx="204">
                    <c:v>2022_Q2</c:v>
                  </c:pt>
                  <c:pt idx="205">
                    <c:v>2022_Q3</c:v>
                  </c:pt>
                  <c:pt idx="206">
                    <c:v>2022_Q1</c:v>
                  </c:pt>
                  <c:pt idx="207">
                    <c:v>2022_Q2</c:v>
                  </c:pt>
                  <c:pt idx="208">
                    <c:v>2022_Q3</c:v>
                  </c:pt>
                  <c:pt idx="209">
                    <c:v>2022_Q1</c:v>
                  </c:pt>
                  <c:pt idx="210">
                    <c:v>2022_Q2</c:v>
                  </c:pt>
                  <c:pt idx="211">
                    <c:v>2022_Q3</c:v>
                  </c:pt>
                  <c:pt idx="212">
                    <c:v>2022_Q1</c:v>
                  </c:pt>
                  <c:pt idx="213">
                    <c:v>2022_Q2</c:v>
                  </c:pt>
                  <c:pt idx="214">
                    <c:v>2022_Q3</c:v>
                  </c:pt>
                  <c:pt idx="215">
                    <c:v>2022_Q1</c:v>
                  </c:pt>
                  <c:pt idx="216">
                    <c:v>2022_Q2</c:v>
                  </c:pt>
                  <c:pt idx="217">
                    <c:v>2022_Q3</c:v>
                  </c:pt>
                  <c:pt idx="218">
                    <c:v>2022_Q1</c:v>
                  </c:pt>
                  <c:pt idx="219">
                    <c:v>2022_Q2</c:v>
                  </c:pt>
                  <c:pt idx="220">
                    <c:v>2022_Q3</c:v>
                  </c:pt>
                  <c:pt idx="221">
                    <c:v>2022_Q1</c:v>
                  </c:pt>
                  <c:pt idx="222">
                    <c:v>2022_Q2</c:v>
                  </c:pt>
                  <c:pt idx="223">
                    <c:v>2022_Q3</c:v>
                  </c:pt>
                  <c:pt idx="224">
                    <c:v>2022_Q1</c:v>
                  </c:pt>
                  <c:pt idx="225">
                    <c:v>2022_Q2</c:v>
                  </c:pt>
                  <c:pt idx="226">
                    <c:v>2022_Q3</c:v>
                  </c:pt>
                  <c:pt idx="227">
                    <c:v>2022_Q1</c:v>
                  </c:pt>
                  <c:pt idx="228">
                    <c:v>2022_Q2</c:v>
                  </c:pt>
                  <c:pt idx="229">
                    <c:v>2022_Q3</c:v>
                  </c:pt>
                  <c:pt idx="230">
                    <c:v>2022_Q1</c:v>
                  </c:pt>
                  <c:pt idx="231">
                    <c:v>2022_Q2</c:v>
                  </c:pt>
                  <c:pt idx="232">
                    <c:v>2022_Q3</c:v>
                  </c:pt>
                  <c:pt idx="233">
                    <c:v>2022_Q1</c:v>
                  </c:pt>
                  <c:pt idx="234">
                    <c:v>2022_Q2</c:v>
                  </c:pt>
                  <c:pt idx="235">
                    <c:v>2022_Q3</c:v>
                  </c:pt>
                  <c:pt idx="236">
                    <c:v>2022_Q1</c:v>
                  </c:pt>
                  <c:pt idx="237">
                    <c:v>2022_Q2</c:v>
                  </c:pt>
                  <c:pt idx="238">
                    <c:v>2022_Q3</c:v>
                  </c:pt>
                  <c:pt idx="239">
                    <c:v>2022_Q1</c:v>
                  </c:pt>
                  <c:pt idx="240">
                    <c:v>2022_Q2</c:v>
                  </c:pt>
                  <c:pt idx="241">
                    <c:v>2022_Q3</c:v>
                  </c:pt>
                  <c:pt idx="242">
                    <c:v>2022_Q1</c:v>
                  </c:pt>
                  <c:pt idx="243">
                    <c:v>2022_Q2</c:v>
                  </c:pt>
                  <c:pt idx="244">
                    <c:v>2022_Q3</c:v>
                  </c:pt>
                  <c:pt idx="245">
                    <c:v>2022_Q1</c:v>
                  </c:pt>
                  <c:pt idx="246">
                    <c:v>2022_Q2</c:v>
                  </c:pt>
                  <c:pt idx="247">
                    <c:v>2022_Q3</c:v>
                  </c:pt>
                  <c:pt idx="248">
                    <c:v>2022_Q1</c:v>
                  </c:pt>
                  <c:pt idx="249">
                    <c:v>2022_Q2</c:v>
                  </c:pt>
                  <c:pt idx="250">
                    <c:v>2022_Q3</c:v>
                  </c:pt>
                  <c:pt idx="251">
                    <c:v>2022_Q1</c:v>
                  </c:pt>
                  <c:pt idx="252">
                    <c:v>2022_Q2</c:v>
                  </c:pt>
                  <c:pt idx="253">
                    <c:v>2022_Q3</c:v>
                  </c:pt>
                  <c:pt idx="254">
                    <c:v>2022_Q1</c:v>
                  </c:pt>
                  <c:pt idx="255">
                    <c:v>2022_Q2</c:v>
                  </c:pt>
                  <c:pt idx="256">
                    <c:v>2022_Q3</c:v>
                  </c:pt>
                  <c:pt idx="257">
                    <c:v>2022_Q1</c:v>
                  </c:pt>
                  <c:pt idx="258">
                    <c:v>2022_Q2</c:v>
                  </c:pt>
                  <c:pt idx="259">
                    <c:v>2022_Q3</c:v>
                  </c:pt>
                  <c:pt idx="260">
                    <c:v>2022_Q1</c:v>
                  </c:pt>
                  <c:pt idx="261">
                    <c:v>2022_Q2</c:v>
                  </c:pt>
                  <c:pt idx="262">
                    <c:v>2022_Q3</c:v>
                  </c:pt>
                  <c:pt idx="263">
                    <c:v>2022_Q1</c:v>
                  </c:pt>
                  <c:pt idx="264">
                    <c:v>2022_Q2</c:v>
                  </c:pt>
                  <c:pt idx="265">
                    <c:v>2022_Q3</c:v>
                  </c:pt>
                  <c:pt idx="266">
                    <c:v>2022_Q1</c:v>
                  </c:pt>
                  <c:pt idx="267">
                    <c:v>2022_Q2</c:v>
                  </c:pt>
                  <c:pt idx="268">
                    <c:v>2022_Q3</c:v>
                  </c:pt>
                  <c:pt idx="269">
                    <c:v>2022_Q1</c:v>
                  </c:pt>
                  <c:pt idx="270">
                    <c:v>2022_Q2</c:v>
                  </c:pt>
                  <c:pt idx="271">
                    <c:v>2022_Q3</c:v>
                  </c:pt>
                  <c:pt idx="272">
                    <c:v>2022_Q1</c:v>
                  </c:pt>
                  <c:pt idx="273">
                    <c:v>2022_Q2</c:v>
                  </c:pt>
                  <c:pt idx="274">
                    <c:v>2022_Q3</c:v>
                  </c:pt>
                  <c:pt idx="275">
                    <c:v>2022_Q1</c:v>
                  </c:pt>
                  <c:pt idx="276">
                    <c:v>2022_Q2</c:v>
                  </c:pt>
                  <c:pt idx="277">
                    <c:v>2022_Q3</c:v>
                  </c:pt>
                  <c:pt idx="278">
                    <c:v>2022_Q1</c:v>
                  </c:pt>
                  <c:pt idx="279">
                    <c:v>2022_Q2</c:v>
                  </c:pt>
                  <c:pt idx="280">
                    <c:v>2022_Q3</c:v>
                  </c:pt>
                  <c:pt idx="281">
                    <c:v>2022_Q1</c:v>
                  </c:pt>
                  <c:pt idx="282">
                    <c:v>2022_Q2</c:v>
                  </c:pt>
                  <c:pt idx="283">
                    <c:v>2022_Q3</c:v>
                  </c:pt>
                  <c:pt idx="284">
                    <c:v>2022_Q1</c:v>
                  </c:pt>
                  <c:pt idx="285">
                    <c:v>2022_Q2</c:v>
                  </c:pt>
                  <c:pt idx="286">
                    <c:v>2022_Q3</c:v>
                  </c:pt>
                  <c:pt idx="287">
                    <c:v>2022_Q1</c:v>
                  </c:pt>
                  <c:pt idx="288">
                    <c:v>2022_Q2</c:v>
                  </c:pt>
                  <c:pt idx="289">
                    <c:v>2022_Q3</c:v>
                  </c:pt>
                  <c:pt idx="290">
                    <c:v>2022_Q1</c:v>
                  </c:pt>
                  <c:pt idx="291">
                    <c:v>2022_Q2</c:v>
                  </c:pt>
                  <c:pt idx="292">
                    <c:v>2022_Q3</c:v>
                  </c:pt>
                  <c:pt idx="293">
                    <c:v>2022_Q1</c:v>
                  </c:pt>
                  <c:pt idx="294">
                    <c:v>2022_Q2</c:v>
                  </c:pt>
                  <c:pt idx="295">
                    <c:v>2022_Q3</c:v>
                  </c:pt>
                  <c:pt idx="296">
                    <c:v>2022_Q1</c:v>
                  </c:pt>
                  <c:pt idx="297">
                    <c:v>2022_Q2</c:v>
                  </c:pt>
                  <c:pt idx="298">
                    <c:v>2022_Q3</c:v>
                  </c:pt>
                  <c:pt idx="299">
                    <c:v>2022_Q1</c:v>
                  </c:pt>
                  <c:pt idx="300">
                    <c:v>2022_Q2</c:v>
                  </c:pt>
                  <c:pt idx="301">
                    <c:v>2022_Q3</c:v>
                  </c:pt>
                  <c:pt idx="302">
                    <c:v>2022_Q1</c:v>
                  </c:pt>
                  <c:pt idx="303">
                    <c:v>2022_Q2</c:v>
                  </c:pt>
                  <c:pt idx="304">
                    <c:v>2022_Q3</c:v>
                  </c:pt>
                  <c:pt idx="305">
                    <c:v>2022_Q1</c:v>
                  </c:pt>
                  <c:pt idx="306">
                    <c:v>2022_Q2</c:v>
                  </c:pt>
                  <c:pt idx="307">
                    <c:v>2022_Q3</c:v>
                  </c:pt>
                  <c:pt idx="308">
                    <c:v>2022_Q1</c:v>
                  </c:pt>
                  <c:pt idx="309">
                    <c:v>2022_Q2</c:v>
                  </c:pt>
                  <c:pt idx="310">
                    <c:v>2022_Q3</c:v>
                  </c:pt>
                  <c:pt idx="311">
                    <c:v>2022_Q1</c:v>
                  </c:pt>
                  <c:pt idx="312">
                    <c:v>2022_Q2</c:v>
                  </c:pt>
                  <c:pt idx="313">
                    <c:v>2022_Q3</c:v>
                  </c:pt>
                  <c:pt idx="314">
                    <c:v>2022_Q1</c:v>
                  </c:pt>
                  <c:pt idx="315">
                    <c:v>2022_Q2</c:v>
                  </c:pt>
                  <c:pt idx="316">
                    <c:v>2022_Q3</c:v>
                  </c:pt>
                  <c:pt idx="317">
                    <c:v>2022_Q1</c:v>
                  </c:pt>
                  <c:pt idx="318">
                    <c:v>2022_Q2</c:v>
                  </c:pt>
                  <c:pt idx="319">
                    <c:v>2022_Q3</c:v>
                  </c:pt>
                  <c:pt idx="320">
                    <c:v>2022_Q1</c:v>
                  </c:pt>
                  <c:pt idx="321">
                    <c:v>2022_Q2</c:v>
                  </c:pt>
                  <c:pt idx="322">
                    <c:v>2022_Q3</c:v>
                  </c:pt>
                  <c:pt idx="323">
                    <c:v>2022_Q1</c:v>
                  </c:pt>
                  <c:pt idx="324">
                    <c:v>2022_Q2</c:v>
                  </c:pt>
                  <c:pt idx="325">
                    <c:v>2022_Q3</c:v>
                  </c:pt>
                  <c:pt idx="326">
                    <c:v>2022_Q1</c:v>
                  </c:pt>
                  <c:pt idx="327">
                    <c:v>2022_Q1</c:v>
                  </c:pt>
                  <c:pt idx="328">
                    <c:v>2022_Q2</c:v>
                  </c:pt>
                  <c:pt idx="329">
                    <c:v>2022_Q3</c:v>
                  </c:pt>
                  <c:pt idx="330">
                    <c:v>2022_Q1</c:v>
                  </c:pt>
                  <c:pt idx="331">
                    <c:v>2022_Q2</c:v>
                  </c:pt>
                  <c:pt idx="332">
                    <c:v>2022_Q3</c:v>
                  </c:pt>
                  <c:pt idx="333">
                    <c:v>2022_Q1</c:v>
                  </c:pt>
                  <c:pt idx="334">
                    <c:v>2022_Q2</c:v>
                  </c:pt>
                  <c:pt idx="335">
                    <c:v>2022_Q3</c:v>
                  </c:pt>
                  <c:pt idx="336">
                    <c:v>2022_Q1</c:v>
                  </c:pt>
                  <c:pt idx="337">
                    <c:v>2022_Q2</c:v>
                  </c:pt>
                  <c:pt idx="338">
                    <c:v>2022_Q3</c:v>
                  </c:pt>
                  <c:pt idx="339">
                    <c:v>2022_Q1</c:v>
                  </c:pt>
                  <c:pt idx="340">
                    <c:v>2022_Q2</c:v>
                  </c:pt>
                  <c:pt idx="341">
                    <c:v>2022_Q3</c:v>
                  </c:pt>
                  <c:pt idx="342">
                    <c:v>2022_Q1</c:v>
                  </c:pt>
                  <c:pt idx="343">
                    <c:v>2022_Q2</c:v>
                  </c:pt>
                  <c:pt idx="344">
                    <c:v>2022_Q3</c:v>
                  </c:pt>
                  <c:pt idx="345">
                    <c:v>2022_Q1</c:v>
                  </c:pt>
                  <c:pt idx="346">
                    <c:v>2022_Q2</c:v>
                  </c:pt>
                  <c:pt idx="347">
                    <c:v>2022_Q3</c:v>
                  </c:pt>
                  <c:pt idx="348">
                    <c:v>2022_Q1</c:v>
                  </c:pt>
                  <c:pt idx="349">
                    <c:v>2022_Q2</c:v>
                  </c:pt>
                  <c:pt idx="350">
                    <c:v>2022_Q3</c:v>
                  </c:pt>
                  <c:pt idx="351">
                    <c:v>2022_Q1</c:v>
                  </c:pt>
                  <c:pt idx="352">
                    <c:v>2022_Q2</c:v>
                  </c:pt>
                  <c:pt idx="353">
                    <c:v>2022_Q3</c:v>
                  </c:pt>
                  <c:pt idx="354">
                    <c:v>2022_Q1</c:v>
                  </c:pt>
                  <c:pt idx="355">
                    <c:v>2022_Q2</c:v>
                  </c:pt>
                  <c:pt idx="356">
                    <c:v>2022_Q3</c:v>
                  </c:pt>
                  <c:pt idx="357">
                    <c:v>2022_Q1</c:v>
                  </c:pt>
                  <c:pt idx="358">
                    <c:v>2022_Q2</c:v>
                  </c:pt>
                  <c:pt idx="359">
                    <c:v>2022_Q3</c:v>
                  </c:pt>
                  <c:pt idx="360">
                    <c:v>2022_Q1</c:v>
                  </c:pt>
                  <c:pt idx="361">
                    <c:v>2022_Q2</c:v>
                  </c:pt>
                  <c:pt idx="362">
                    <c:v>2022_Q3</c:v>
                  </c:pt>
                  <c:pt idx="363">
                    <c:v>2022_Q1</c:v>
                  </c:pt>
                  <c:pt idx="364">
                    <c:v>2022_Q2</c:v>
                  </c:pt>
                  <c:pt idx="365">
                    <c:v>2022_Q3</c:v>
                  </c:pt>
                  <c:pt idx="366">
                    <c:v>2022_Q1</c:v>
                  </c:pt>
                  <c:pt idx="367">
                    <c:v>2022_Q2</c:v>
                  </c:pt>
                  <c:pt idx="368">
                    <c:v>2022_Q3</c:v>
                  </c:pt>
                  <c:pt idx="369">
                    <c:v>2022_Q1</c:v>
                  </c:pt>
                  <c:pt idx="370">
                    <c:v>2022_Q2</c:v>
                  </c:pt>
                  <c:pt idx="371">
                    <c:v>2022_Q3</c:v>
                  </c:pt>
                  <c:pt idx="372">
                    <c:v>2022_Q1</c:v>
                  </c:pt>
                  <c:pt idx="373">
                    <c:v>2022_Q2</c:v>
                  </c:pt>
                  <c:pt idx="374">
                    <c:v>2022_Q3</c:v>
                  </c:pt>
                  <c:pt idx="375">
                    <c:v>2022_Q1</c:v>
                  </c:pt>
                  <c:pt idx="376">
                    <c:v>2022_Q2</c:v>
                  </c:pt>
                  <c:pt idx="377">
                    <c:v>2022_Q3</c:v>
                  </c:pt>
                  <c:pt idx="378">
                    <c:v>2022_Q1</c:v>
                  </c:pt>
                  <c:pt idx="379">
                    <c:v>2022_Q2</c:v>
                  </c:pt>
                  <c:pt idx="380">
                    <c:v>2022_Q3</c:v>
                  </c:pt>
                  <c:pt idx="381">
                    <c:v>2022_Q1</c:v>
                  </c:pt>
                  <c:pt idx="382">
                    <c:v>2022_Q2</c:v>
                  </c:pt>
                  <c:pt idx="383">
                    <c:v>2022_Q3</c:v>
                  </c:pt>
                  <c:pt idx="384">
                    <c:v>2022_Q1</c:v>
                  </c:pt>
                  <c:pt idx="385">
                    <c:v>2022_Q2</c:v>
                  </c:pt>
                  <c:pt idx="386">
                    <c:v>2022_Q3</c:v>
                  </c:pt>
                  <c:pt idx="387">
                    <c:v>2022_Q1</c:v>
                  </c:pt>
                  <c:pt idx="388">
                    <c:v>2022_Q2</c:v>
                  </c:pt>
                  <c:pt idx="389">
                    <c:v>2022_Q3</c:v>
                  </c:pt>
                  <c:pt idx="390">
                    <c:v>2022_Q1</c:v>
                  </c:pt>
                  <c:pt idx="391">
                    <c:v>2022_Q2</c:v>
                  </c:pt>
                  <c:pt idx="392">
                    <c:v>2022_Q3</c:v>
                  </c:pt>
                  <c:pt idx="393">
                    <c:v>2022_Q1</c:v>
                  </c:pt>
                  <c:pt idx="394">
                    <c:v>2022_Q2</c:v>
                  </c:pt>
                  <c:pt idx="395">
                    <c:v>2022_Q3</c:v>
                  </c:pt>
                  <c:pt idx="396">
                    <c:v>2022_Q1</c:v>
                  </c:pt>
                  <c:pt idx="397">
                    <c:v>2022_Q2</c:v>
                  </c:pt>
                  <c:pt idx="398">
                    <c:v>2022_Q3</c:v>
                  </c:pt>
                  <c:pt idx="399">
                    <c:v>2022_Q1</c:v>
                  </c:pt>
                  <c:pt idx="400">
                    <c:v>2022_Q2</c:v>
                  </c:pt>
                  <c:pt idx="401">
                    <c:v>2022_Q3</c:v>
                  </c:pt>
                  <c:pt idx="402">
                    <c:v>2022_Q1</c:v>
                  </c:pt>
                  <c:pt idx="403">
                    <c:v>2022_Q2</c:v>
                  </c:pt>
                  <c:pt idx="404">
                    <c:v>2022_Q3</c:v>
                  </c:pt>
                  <c:pt idx="405">
                    <c:v>2022_Q1</c:v>
                  </c:pt>
                  <c:pt idx="406">
                    <c:v>2022_Q2</c:v>
                  </c:pt>
                  <c:pt idx="407">
                    <c:v>2022_Q3</c:v>
                  </c:pt>
                  <c:pt idx="408">
                    <c:v>2022_Q1</c:v>
                  </c:pt>
                  <c:pt idx="409">
                    <c:v>2022_Q2</c:v>
                  </c:pt>
                  <c:pt idx="410">
                    <c:v>2022_Q3</c:v>
                  </c:pt>
                  <c:pt idx="411">
                    <c:v>2022_Q1</c:v>
                  </c:pt>
                  <c:pt idx="412">
                    <c:v>2022_Q2</c:v>
                  </c:pt>
                  <c:pt idx="413">
                    <c:v>2022_Q3</c:v>
                  </c:pt>
                  <c:pt idx="414">
                    <c:v>2022_Q1</c:v>
                  </c:pt>
                  <c:pt idx="415">
                    <c:v>2022_Q2</c:v>
                  </c:pt>
                  <c:pt idx="416">
                    <c:v>2022_Q3</c:v>
                  </c:pt>
                  <c:pt idx="417">
                    <c:v>2022_Q1</c:v>
                  </c:pt>
                  <c:pt idx="418">
                    <c:v>2022_Q2</c:v>
                  </c:pt>
                  <c:pt idx="419">
                    <c:v>2022_Q3</c:v>
                  </c:pt>
                  <c:pt idx="420">
                    <c:v>2022_Q1</c:v>
                  </c:pt>
                  <c:pt idx="421">
                    <c:v>2022_Q2</c:v>
                  </c:pt>
                  <c:pt idx="422">
                    <c:v>2022_Q3</c:v>
                  </c:pt>
                  <c:pt idx="423">
                    <c:v>2022_Q1</c:v>
                  </c:pt>
                  <c:pt idx="424">
                    <c:v>2022_Q2</c:v>
                  </c:pt>
                  <c:pt idx="425">
                    <c:v>2022_Q3</c:v>
                  </c:pt>
                  <c:pt idx="426">
                    <c:v>2022_Q1</c:v>
                  </c:pt>
                  <c:pt idx="427">
                    <c:v>2022_Q2</c:v>
                  </c:pt>
                  <c:pt idx="428">
                    <c:v>2022_Q3</c:v>
                  </c:pt>
                  <c:pt idx="429">
                    <c:v>2022_Q1</c:v>
                  </c:pt>
                  <c:pt idx="430">
                    <c:v>2022_Q2</c:v>
                  </c:pt>
                  <c:pt idx="431">
                    <c:v>2022_Q3</c:v>
                  </c:pt>
                  <c:pt idx="432">
                    <c:v>2022_Q1</c:v>
                  </c:pt>
                  <c:pt idx="433">
                    <c:v>2022_Q2</c:v>
                  </c:pt>
                  <c:pt idx="434">
                    <c:v>2022_Q3</c:v>
                  </c:pt>
                  <c:pt idx="435">
                    <c:v>2022_Q1</c:v>
                  </c:pt>
                  <c:pt idx="436">
                    <c:v>2022_Q2</c:v>
                  </c:pt>
                  <c:pt idx="437">
                    <c:v>2022_Q3</c:v>
                  </c:pt>
                  <c:pt idx="438">
                    <c:v>2022_Q1</c:v>
                  </c:pt>
                  <c:pt idx="439">
                    <c:v>2022_Q2</c:v>
                  </c:pt>
                  <c:pt idx="440">
                    <c:v>2022_Q3</c:v>
                  </c:pt>
                  <c:pt idx="441">
                    <c:v>2022_Q1</c:v>
                  </c:pt>
                  <c:pt idx="442">
                    <c:v>2022_Q2</c:v>
                  </c:pt>
                  <c:pt idx="443">
                    <c:v>2022_Q3</c:v>
                  </c:pt>
                  <c:pt idx="444">
                    <c:v>2022_Q1</c:v>
                  </c:pt>
                  <c:pt idx="445">
                    <c:v>2022_Q2</c:v>
                  </c:pt>
                  <c:pt idx="446">
                    <c:v>2022_Q3</c:v>
                  </c:pt>
                  <c:pt idx="447">
                    <c:v>2022_Q1</c:v>
                  </c:pt>
                  <c:pt idx="448">
                    <c:v>2022_Q1</c:v>
                  </c:pt>
                  <c:pt idx="449">
                    <c:v>2022_Q2</c:v>
                  </c:pt>
                  <c:pt idx="450">
                    <c:v>2022_Q1</c:v>
                  </c:pt>
                  <c:pt idx="451">
                    <c:v>2022_Q2</c:v>
                  </c:pt>
                  <c:pt idx="452">
                    <c:v>2022_Q3</c:v>
                  </c:pt>
                  <c:pt idx="453">
                    <c:v>2022_Q1</c:v>
                  </c:pt>
                  <c:pt idx="454">
                    <c:v>2022_Q2</c:v>
                  </c:pt>
                  <c:pt idx="455">
                    <c:v>2022_Q3</c:v>
                  </c:pt>
                  <c:pt idx="456">
                    <c:v>2022_Q1</c:v>
                  </c:pt>
                  <c:pt idx="457">
                    <c:v>2022_Q2</c:v>
                  </c:pt>
                  <c:pt idx="458">
                    <c:v>2022_Q3</c:v>
                  </c:pt>
                  <c:pt idx="459">
                    <c:v>2022_Q1</c:v>
                  </c:pt>
                  <c:pt idx="460">
                    <c:v>2022_Q2</c:v>
                  </c:pt>
                  <c:pt idx="461">
                    <c:v>2022_Q3</c:v>
                  </c:pt>
                  <c:pt idx="462">
                    <c:v>2022_Q1</c:v>
                  </c:pt>
                  <c:pt idx="463">
                    <c:v>2022_Q2</c:v>
                  </c:pt>
                  <c:pt idx="464">
                    <c:v>2022_Q3</c:v>
                  </c:pt>
                  <c:pt idx="465">
                    <c:v>2022_Q1</c:v>
                  </c:pt>
                  <c:pt idx="466">
                    <c:v>2022_Q2</c:v>
                  </c:pt>
                  <c:pt idx="467">
                    <c:v>2022_Q3</c:v>
                  </c:pt>
                  <c:pt idx="468">
                    <c:v>2022_Q1</c:v>
                  </c:pt>
                  <c:pt idx="469">
                    <c:v>2022_Q2</c:v>
                  </c:pt>
                  <c:pt idx="470">
                    <c:v>2022_Q3</c:v>
                  </c:pt>
                  <c:pt idx="471">
                    <c:v>2022_Q1</c:v>
                  </c:pt>
                  <c:pt idx="472">
                    <c:v>2022_Q2</c:v>
                  </c:pt>
                  <c:pt idx="473">
                    <c:v>2022_Q3</c:v>
                  </c:pt>
                  <c:pt idx="474">
                    <c:v>2022_Q1</c:v>
                  </c:pt>
                  <c:pt idx="475">
                    <c:v>2022_Q1</c:v>
                  </c:pt>
                  <c:pt idx="476">
                    <c:v>2022_Q2</c:v>
                  </c:pt>
                  <c:pt idx="477">
                    <c:v>2022_Q3</c:v>
                  </c:pt>
                  <c:pt idx="478">
                    <c:v>2022_Q1</c:v>
                  </c:pt>
                  <c:pt idx="479">
                    <c:v>2022_Q2</c:v>
                  </c:pt>
                  <c:pt idx="480">
                    <c:v>2022_Q3</c:v>
                  </c:pt>
                  <c:pt idx="481">
                    <c:v>2022_Q1</c:v>
                  </c:pt>
                  <c:pt idx="482">
                    <c:v>2022_Q2</c:v>
                  </c:pt>
                  <c:pt idx="483">
                    <c:v>2022_Q3</c:v>
                  </c:pt>
                  <c:pt idx="484">
                    <c:v>2022_Q1</c:v>
                  </c:pt>
                  <c:pt idx="485">
                    <c:v>2022_Q2</c:v>
                  </c:pt>
                  <c:pt idx="486">
                    <c:v>2022_Q3</c:v>
                  </c:pt>
                  <c:pt idx="487">
                    <c:v>2022_Q1</c:v>
                  </c:pt>
                  <c:pt idx="488">
                    <c:v>2022_Q1</c:v>
                  </c:pt>
                  <c:pt idx="489">
                    <c:v>2022_Q2</c:v>
                  </c:pt>
                  <c:pt idx="490">
                    <c:v>2022_Q3</c:v>
                  </c:pt>
                  <c:pt idx="491">
                    <c:v>2022_Q1</c:v>
                  </c:pt>
                  <c:pt idx="492">
                    <c:v>2022_Q1</c:v>
                  </c:pt>
                  <c:pt idx="493">
                    <c:v>2022_Q1</c:v>
                  </c:pt>
                  <c:pt idx="494">
                    <c:v>2022_Q2</c:v>
                  </c:pt>
                  <c:pt idx="495">
                    <c:v>2022_Q3</c:v>
                  </c:pt>
                  <c:pt idx="496">
                    <c:v>2022_Q1</c:v>
                  </c:pt>
                  <c:pt idx="497">
                    <c:v>2022_Q2</c:v>
                  </c:pt>
                  <c:pt idx="498">
                    <c:v>2022_Q3</c:v>
                  </c:pt>
                  <c:pt idx="499">
                    <c:v>2022_Q1</c:v>
                  </c:pt>
                  <c:pt idx="500">
                    <c:v>2022_Q2</c:v>
                  </c:pt>
                  <c:pt idx="501">
                    <c:v>2022_Q3</c:v>
                  </c:pt>
                  <c:pt idx="502">
                    <c:v>2022_Q1</c:v>
                  </c:pt>
                  <c:pt idx="503">
                    <c:v>2022_Q2</c:v>
                  </c:pt>
                  <c:pt idx="504">
                    <c:v>2022_Q3</c:v>
                  </c:pt>
                  <c:pt idx="505">
                    <c:v>2022_Q2</c:v>
                  </c:pt>
                  <c:pt idx="506">
                    <c:v>2022_Q3</c:v>
                  </c:pt>
                  <c:pt idx="507">
                    <c:v>2022_Q2</c:v>
                  </c:pt>
                  <c:pt idx="508">
                    <c:v>2022_Q3</c:v>
                  </c:pt>
                  <c:pt idx="509">
                    <c:v>2022_Q1</c:v>
                  </c:pt>
                  <c:pt idx="510">
                    <c:v>2022_Q2</c:v>
                  </c:pt>
                  <c:pt idx="511">
                    <c:v>2022_Q3</c:v>
                  </c:pt>
                  <c:pt idx="512">
                    <c:v>2022_Q1</c:v>
                  </c:pt>
                  <c:pt idx="513">
                    <c:v>2022_Q2</c:v>
                  </c:pt>
                  <c:pt idx="514">
                    <c:v>2022_Q3</c:v>
                  </c:pt>
                  <c:pt idx="515">
                    <c:v>2022_Q1</c:v>
                  </c:pt>
                  <c:pt idx="516">
                    <c:v>2022_Q2</c:v>
                  </c:pt>
                  <c:pt idx="517">
                    <c:v>2022_Q3</c:v>
                  </c:pt>
                  <c:pt idx="518">
                    <c:v>2022_Q1</c:v>
                  </c:pt>
                  <c:pt idx="519">
                    <c:v>2022_Q2</c:v>
                  </c:pt>
                  <c:pt idx="520">
                    <c:v>2022_Q3</c:v>
                  </c:pt>
                  <c:pt idx="521">
                    <c:v>2022_Q1</c:v>
                  </c:pt>
                  <c:pt idx="522">
                    <c:v>2022_Q2</c:v>
                  </c:pt>
                  <c:pt idx="523">
                    <c:v>2022_Q3</c:v>
                  </c:pt>
                  <c:pt idx="524">
                    <c:v>2022_Q1</c:v>
                  </c:pt>
                  <c:pt idx="525">
                    <c:v>2022_Q2</c:v>
                  </c:pt>
                  <c:pt idx="526">
                    <c:v>2022_Q3</c:v>
                  </c:pt>
                  <c:pt idx="527">
                    <c:v>2022_Q1</c:v>
                  </c:pt>
                  <c:pt idx="528">
                    <c:v>2022_Q2</c:v>
                  </c:pt>
                  <c:pt idx="529">
                    <c:v>2022_Q3</c:v>
                  </c:pt>
                  <c:pt idx="530">
                    <c:v>2022_Q1</c:v>
                  </c:pt>
                  <c:pt idx="531">
                    <c:v>2022_Q2</c:v>
                  </c:pt>
                  <c:pt idx="532">
                    <c:v>2022_Q3</c:v>
                  </c:pt>
                  <c:pt idx="533">
                    <c:v>2022_Q1</c:v>
                  </c:pt>
                  <c:pt idx="534">
                    <c:v>2022_Q2</c:v>
                  </c:pt>
                  <c:pt idx="535">
                    <c:v>2022_Q3</c:v>
                  </c:pt>
                  <c:pt idx="536">
                    <c:v>2022_Q1</c:v>
                  </c:pt>
                  <c:pt idx="537">
                    <c:v>2022_Q2</c:v>
                  </c:pt>
                  <c:pt idx="538">
                    <c:v>2022_Q3</c:v>
                  </c:pt>
                  <c:pt idx="539">
                    <c:v>2022_Q1</c:v>
                  </c:pt>
                  <c:pt idx="540">
                    <c:v>2022_Q2</c:v>
                  </c:pt>
                  <c:pt idx="541">
                    <c:v>2022_Q3</c:v>
                  </c:pt>
                  <c:pt idx="542">
                    <c:v>2022_Q1</c:v>
                  </c:pt>
                  <c:pt idx="543">
                    <c:v>2022_Q2</c:v>
                  </c:pt>
                  <c:pt idx="544">
                    <c:v>2022_Q3</c:v>
                  </c:pt>
                  <c:pt idx="545">
                    <c:v>2022_Q1</c:v>
                  </c:pt>
                  <c:pt idx="546">
                    <c:v>2022_Q2</c:v>
                  </c:pt>
                  <c:pt idx="547">
                    <c:v>2022_Q3</c:v>
                  </c:pt>
                  <c:pt idx="548">
                    <c:v>2022_Q1</c:v>
                  </c:pt>
                  <c:pt idx="549">
                    <c:v>2022_Q2</c:v>
                  </c:pt>
                  <c:pt idx="550">
                    <c:v>2022_Q3</c:v>
                  </c:pt>
                  <c:pt idx="551">
                    <c:v>2022_Q1</c:v>
                  </c:pt>
                  <c:pt idx="552">
                    <c:v>2022_Q2</c:v>
                  </c:pt>
                  <c:pt idx="553">
                    <c:v>2022_Q3</c:v>
                  </c:pt>
                  <c:pt idx="554">
                    <c:v>2022_Q1</c:v>
                  </c:pt>
                  <c:pt idx="555">
                    <c:v>2022_Q2</c:v>
                  </c:pt>
                  <c:pt idx="556">
                    <c:v>2022_Q3</c:v>
                  </c:pt>
                  <c:pt idx="557">
                    <c:v>2022_Q1</c:v>
                  </c:pt>
                  <c:pt idx="558">
                    <c:v>2022_Q1</c:v>
                  </c:pt>
                  <c:pt idx="559">
                    <c:v>2022_Q2</c:v>
                  </c:pt>
                  <c:pt idx="560">
                    <c:v>2022_Q3</c:v>
                  </c:pt>
                  <c:pt idx="561">
                    <c:v>2022_Q2</c:v>
                  </c:pt>
                  <c:pt idx="562">
                    <c:v>2022_Q3</c:v>
                  </c:pt>
                  <c:pt idx="563">
                    <c:v>2022_Q2</c:v>
                  </c:pt>
                  <c:pt idx="564">
                    <c:v>2022_Q3</c:v>
                  </c:pt>
                  <c:pt idx="565">
                    <c:v>2022_Q2</c:v>
                  </c:pt>
                  <c:pt idx="566">
                    <c:v>2022_Q3</c:v>
                  </c:pt>
                  <c:pt idx="567">
                    <c:v>2022_Q2</c:v>
                  </c:pt>
                  <c:pt idx="568">
                    <c:v>2022_Q3</c:v>
                  </c:pt>
                  <c:pt idx="569">
                    <c:v>2022_Q2</c:v>
                  </c:pt>
                  <c:pt idx="570">
                    <c:v>2022_Q3</c:v>
                  </c:pt>
                  <c:pt idx="571">
                    <c:v>2022_Q2</c:v>
                  </c:pt>
                  <c:pt idx="572">
                    <c:v>2022_Q3</c:v>
                  </c:pt>
                  <c:pt idx="573">
                    <c:v>2022_Q1</c:v>
                  </c:pt>
                  <c:pt idx="574">
                    <c:v>2022_Q2</c:v>
                  </c:pt>
                  <c:pt idx="575">
                    <c:v>2022_Q3</c:v>
                  </c:pt>
                  <c:pt idx="576">
                    <c:v>2022_Q1</c:v>
                  </c:pt>
                  <c:pt idx="577">
                    <c:v>2022_Q2</c:v>
                  </c:pt>
                  <c:pt idx="578">
                    <c:v>2022_Q3</c:v>
                  </c:pt>
                  <c:pt idx="579">
                    <c:v>2022_Q1</c:v>
                  </c:pt>
                  <c:pt idx="580">
                    <c:v>2022_Q2</c:v>
                  </c:pt>
                  <c:pt idx="581">
                    <c:v>2022_Q3</c:v>
                  </c:pt>
                </c:lvl>
                <c:lvl>
                  <c:pt idx="0">
                    <c:v>AD-2000 Extension camp</c:v>
                  </c:pt>
                  <c:pt idx="1">
                    <c:v>AD-2000 Tharthana Compound</c:v>
                  </c:pt>
                  <c:pt idx="4">
                    <c:v>AG Church, Hmaw Si Sa</c:v>
                  </c:pt>
                  <c:pt idx="7">
                    <c:v>AG Church, Maw Wan</c:v>
                  </c:pt>
                  <c:pt idx="10">
                    <c:v>Agritural Compound (KBC)</c:v>
                  </c:pt>
                  <c:pt idx="13">
                    <c:v>Aung Thar Church</c:v>
                  </c:pt>
                  <c:pt idx="16">
                    <c:v>Baptist Church, Hmaw Si Sar(Lon Khin)</c:v>
                  </c:pt>
                  <c:pt idx="19">
                    <c:v>Border Post 8</c:v>
                  </c:pt>
                  <c:pt idx="22">
                    <c:v>Bum Tsit Pa</c:v>
                  </c:pt>
                  <c:pt idx="25">
                    <c:v>Chin Church, Seik Mu</c:v>
                  </c:pt>
                  <c:pt idx="28">
                    <c:v>Chipwi KBC camp</c:v>
                  </c:pt>
                  <c:pt idx="31">
                    <c:v>Dhama Rakhita, Nyein Chan Tar Yar Ward(Lon Khin)</c:v>
                  </c:pt>
                  <c:pt idx="34">
                    <c:v>Du Kahtawng Baptist</c:v>
                  </c:pt>
                  <c:pt idx="37">
                    <c:v>Dum Bung </c:v>
                  </c:pt>
                  <c:pt idx="40">
                    <c:v>Emmanuel AG Church</c:v>
                  </c:pt>
                  <c:pt idx="43">
                    <c:v>Galeng (Palaung) &amp; Kone Khem</c:v>
                  </c:pt>
                  <c:pt idx="46">
                    <c:v>Hka Shi</c:v>
                  </c:pt>
                  <c:pt idx="49">
                    <c:v>Hkat Cho </c:v>
                  </c:pt>
                  <c:pt idx="52">
                    <c:v>Hkau Shau (BP 12)</c:v>
                  </c:pt>
                  <c:pt idx="55">
                    <c:v>Hlaing Naung Baptist</c:v>
                  </c:pt>
                  <c:pt idx="58">
                    <c:v>Hpai Kawng</c:v>
                  </c:pt>
                  <c:pt idx="61">
                    <c:v>Hpakant Baptist Church, Nam Ma Hpit</c:v>
                  </c:pt>
                  <c:pt idx="64">
                    <c:v>Hpare Hkyer - BP6</c:v>
                  </c:pt>
                  <c:pt idx="67">
                    <c:v>Hpun Lum Yang </c:v>
                  </c:pt>
                  <c:pt idx="70">
                    <c:v>Htoi San Church</c:v>
                  </c:pt>
                  <c:pt idx="73">
                    <c:v>Hu Hku &amp; Ho Hko</c:v>
                  </c:pt>
                  <c:pt idx="76">
                    <c:v>IDP Boarding School, A Len Bum</c:v>
                  </c:pt>
                  <c:pt idx="79">
                    <c:v>Jan Mai Kawng Baptist Church</c:v>
                  </c:pt>
                  <c:pt idx="82">
                    <c:v>Jan Mai Kawng Catholic Church</c:v>
                  </c:pt>
                  <c:pt idx="85">
                    <c:v>Jaw Masat Camp</c:v>
                  </c:pt>
                  <c:pt idx="88">
                    <c:v>Je Yang Hka </c:v>
                  </c:pt>
                  <c:pt idx="91">
                    <c:v>Ka Bu Dam CoC</c:v>
                  </c:pt>
                  <c:pt idx="94">
                    <c:v>Kachin Su Baptist Church (ECCD)</c:v>
                  </c:pt>
                  <c:pt idx="97">
                    <c:v>Karmaing RC Church</c:v>
                  </c:pt>
                  <c:pt idx="100">
                    <c:v>Khar Nan (1) Baptist Church</c:v>
                  </c:pt>
                  <c:pt idx="103">
                    <c:v>Kutkai downtown (KBC Church)</c:v>
                  </c:pt>
                  <c:pt idx="106">
                    <c:v>Kutkai downtown (KBC Church-2)</c:v>
                  </c:pt>
                  <c:pt idx="109">
                    <c:v>Kyu Sot</c:v>
                  </c:pt>
                  <c:pt idx="112">
                    <c:v>Kyun Taw Baptist Church </c:v>
                  </c:pt>
                  <c:pt idx="115">
                    <c:v>Laiza Je Yang School</c:v>
                  </c:pt>
                  <c:pt idx="118">
                    <c:v>Lana Zup Ja</c:v>
                  </c:pt>
                  <c:pt idx="121">
                    <c:v>Lawa RC Church</c:v>
                  </c:pt>
                  <c:pt idx="122">
                    <c:v>Lawng Hkang Shait Yang Camp​ ( Lel Pyin)​ </c:v>
                  </c:pt>
                  <c:pt idx="125">
                    <c:v>Le Kone Bethlehem Church</c:v>
                  </c:pt>
                  <c:pt idx="128">
                    <c:v>Le Kone Ziun Baptist Church </c:v>
                  </c:pt>
                  <c:pt idx="131">
                    <c:v>Lhaovao Baptist Church (LBC)</c:v>
                  </c:pt>
                  <c:pt idx="134">
                    <c:v>Lisu Baptist Church, Maw Shan Vil,. Seik Mu</c:v>
                  </c:pt>
                  <c:pt idx="137">
                    <c:v>Lisu Baptist Church, Maw Wan Ward</c:v>
                  </c:pt>
                  <c:pt idx="140">
                    <c:v>Lisu Boarding-House</c:v>
                  </c:pt>
                  <c:pt idx="143">
                    <c:v>Lisu Church Namtu</c:v>
                  </c:pt>
                  <c:pt idx="146">
                    <c:v>Loi Je Baptist Church</c:v>
                  </c:pt>
                  <c:pt idx="149">
                    <c:v>Loi Je Catholic Church</c:v>
                  </c:pt>
                  <c:pt idx="152">
                    <c:v>Loi Je Lisu Camp</c:v>
                  </c:pt>
                  <c:pt idx="155">
                    <c:v>Lone Khin Catholic Church</c:v>
                  </c:pt>
                  <c:pt idx="158">
                    <c:v>Lung Sut</c:v>
                  </c:pt>
                  <c:pt idx="159">
                    <c:v>Lwegel High School</c:v>
                  </c:pt>
                  <c:pt idx="161">
                    <c:v>Ma Hawng Baptist Church</c:v>
                  </c:pt>
                  <c:pt idx="164">
                    <c:v>Mading Baptist Church</c:v>
                  </c:pt>
                  <c:pt idx="167">
                    <c:v>Maga Yang </c:v>
                  </c:pt>
                  <c:pt idx="170">
                    <c:v>Mai Yu Lay New (Ta'ang)</c:v>
                  </c:pt>
                  <c:pt idx="173">
                    <c:v>Maina AG Church</c:v>
                  </c:pt>
                  <c:pt idx="176">
                    <c:v>Maina Catholic Church (St. Joseph)</c:v>
                  </c:pt>
                  <c:pt idx="179">
                    <c:v>Maina KBC (Bawng Ring)</c:v>
                  </c:pt>
                  <c:pt idx="182">
                    <c:v>Maina Lawang Baptist Church</c:v>
                  </c:pt>
                  <c:pt idx="185">
                    <c:v>Maing Khaung</c:v>
                  </c:pt>
                  <c:pt idx="188">
                    <c:v>Maing Khaung Catholic Church</c:v>
                  </c:pt>
                  <c:pt idx="191">
                    <c:v>Maliyang Baptist Church</c:v>
                  </c:pt>
                  <c:pt idx="194">
                    <c:v>Man Bung Catholic compound</c:v>
                  </c:pt>
                  <c:pt idx="197">
                    <c:v>Man Bung Edin Baptist Church</c:v>
                  </c:pt>
                  <c:pt idx="200">
                    <c:v>Man Hkring Baptist Church</c:v>
                  </c:pt>
                  <c:pt idx="203">
                    <c:v>Man Kaung/Naung Ti Kyar Village</c:v>
                  </c:pt>
                  <c:pt idx="206">
                    <c:v>Man Loi</c:v>
                  </c:pt>
                  <c:pt idx="209">
                    <c:v>Man Wing Baptist Church</c:v>
                  </c:pt>
                  <c:pt idx="212">
                    <c:v>Man Wing Baptist Church Cultural Compound</c:v>
                  </c:pt>
                  <c:pt idx="215">
                    <c:v>Man Wing Catholic Church</c:v>
                  </c:pt>
                  <c:pt idx="218">
                    <c:v>Man Wing Catholic Church II</c:v>
                  </c:pt>
                  <c:pt idx="221">
                    <c:v>Mandung - Jinghpaw</c:v>
                  </c:pt>
                  <c:pt idx="224">
                    <c:v>Mandung - RC</c:v>
                  </c:pt>
                  <c:pt idx="227">
                    <c:v>Mansi Baptist Church</c:v>
                  </c:pt>
                  <c:pt idx="230">
                    <c:v>Maw Hpawng Hka Nan Baptist Church</c:v>
                  </c:pt>
                  <c:pt idx="233">
                    <c:v>Maw Hpawng Lhaovo Baptist Church</c:v>
                  </c:pt>
                  <c:pt idx="236">
                    <c:v>Maw Wan, Mu-yin Baptist Church</c:v>
                  </c:pt>
                  <c:pt idx="239">
                    <c:v>Mine Yu Lay village ( Old)</c:v>
                  </c:pt>
                  <c:pt idx="242">
                    <c:v>Momauk Baptist Church</c:v>
                  </c:pt>
                  <c:pt idx="245">
                    <c:v>Mung Hawm </c:v>
                  </c:pt>
                  <c:pt idx="248">
                    <c:v>Muyin church (Aung Yar pre-school compound)</c:v>
                  </c:pt>
                  <c:pt idx="251">
                    <c:v>Nam Hkam - Nay Win Ni (Palawng)</c:v>
                  </c:pt>
                  <c:pt idx="254">
                    <c:v>Nam Hkam (KBC Jaw Wang)</c:v>
                  </c:pt>
                  <c:pt idx="257">
                    <c:v>Nam Hkam (KBC Jaw Wang) II</c:v>
                  </c:pt>
                  <c:pt idx="260">
                    <c:v>Nam Hkam Catholic Church ( St. Thomas I)</c:v>
                  </c:pt>
                  <c:pt idx="263">
                    <c:v>Nam Hpak Ka Mare </c:v>
                  </c:pt>
                  <c:pt idx="266">
                    <c:v>Nam Hpak Ka Ta'ang ( Aung Tha Pyay)</c:v>
                  </c:pt>
                  <c:pt idx="269">
                    <c:v>Nam Ma Phyit, COC</c:v>
                  </c:pt>
                  <c:pt idx="272">
                    <c:v>Nam Sa Larp</c:v>
                  </c:pt>
                  <c:pt idx="275">
                    <c:v>Nam Tu Baptist</c:v>
                  </c:pt>
                  <c:pt idx="278">
                    <c:v>Namti Labraw Yang KBC Camp</c:v>
                  </c:pt>
                  <c:pt idx="281">
                    <c:v>Nan Kway St. John Catholic Church</c:v>
                  </c:pt>
                  <c:pt idx="284">
                    <c:v>Nant Ma Hpit Catholic Church</c:v>
                  </c:pt>
                  <c:pt idx="287">
                    <c:v>Nat Gyi Kone Baptist Church </c:v>
                  </c:pt>
                  <c:pt idx="290">
                    <c:v>Nawng Hee Village</c:v>
                  </c:pt>
                  <c:pt idx="293">
                    <c:v>Nawng Ing (Indawgyi) Baptist Church </c:v>
                  </c:pt>
                  <c:pt idx="296">
                    <c:v>Ndup Yang</c:v>
                  </c:pt>
                  <c:pt idx="299">
                    <c:v>New Pang Ku </c:v>
                  </c:pt>
                  <c:pt idx="302">
                    <c:v>Nhkawng Pa </c:v>
                  </c:pt>
                  <c:pt idx="305">
                    <c:v>Njang Dung Baptist Church </c:v>
                  </c:pt>
                  <c:pt idx="308">
                    <c:v>Nyaung Na Pin </c:v>
                  </c:pt>
                  <c:pt idx="311">
                    <c:v>Pa Dauk Myaing(Pa La Na)</c:v>
                  </c:pt>
                  <c:pt idx="314">
                    <c:v>Pa Dauk Myaing(Pa La Na)-II</c:v>
                  </c:pt>
                  <c:pt idx="317">
                    <c:v>Pa Kahtawng </c:v>
                  </c:pt>
                  <c:pt idx="320">
                    <c:v>Pajau - Jan Mai</c:v>
                  </c:pt>
                  <c:pt idx="323">
                    <c:v>Pan Law</c:v>
                  </c:pt>
                  <c:pt idx="326">
                    <c:v>Pan Ta Pyae</c:v>
                  </c:pt>
                  <c:pt idx="327">
                    <c:v>Pang Hkawn Yang</c:v>
                  </c:pt>
                  <c:pt idx="330">
                    <c:v>Phan Khar Kone</c:v>
                  </c:pt>
                  <c:pt idx="333">
                    <c:v>Qtr. 2 Lhaovo Baptist Church</c:v>
                  </c:pt>
                  <c:pt idx="336">
                    <c:v>Qtr. 2 Myoma Baptist Church</c:v>
                  </c:pt>
                  <c:pt idx="339">
                    <c:v>Rawan Baptist Church, Maw Shan Vil., Seik Mu</c:v>
                  </c:pt>
                  <c:pt idx="342">
                    <c:v>Robert Church</c:v>
                  </c:pt>
                  <c:pt idx="345">
                    <c:v>Sadung</c:v>
                  </c:pt>
                  <c:pt idx="348">
                    <c:v>Salang Yang</c:v>
                  </c:pt>
                  <c:pt idx="351">
                    <c:v>Sar Hmaw - KBC</c:v>
                  </c:pt>
                  <c:pt idx="354">
                    <c:v>Seng Ja </c:v>
                  </c:pt>
                  <c:pt idx="357">
                    <c:v>Sha-It Yang</c:v>
                  </c:pt>
                  <c:pt idx="360">
                    <c:v>Shar Du Zut KBC church </c:v>
                  </c:pt>
                  <c:pt idx="363">
                    <c:v>Shatapru Sut Ngai Tawng</c:v>
                  </c:pt>
                  <c:pt idx="366">
                    <c:v>Shatapru Thida Aye Baptist Church</c:v>
                  </c:pt>
                  <c:pt idx="369">
                    <c:v>Shing Jai</c:v>
                  </c:pt>
                  <c:pt idx="372">
                    <c:v>Shwe Gu Baptist Church</c:v>
                  </c:pt>
                  <c:pt idx="375">
                    <c:v>Shwe Gu Catholic Church</c:v>
                  </c:pt>
                  <c:pt idx="378">
                    <c:v>Shwe Zet Baptist Church</c:v>
                  </c:pt>
                  <c:pt idx="381">
                    <c:v>St. Joseph Tanai RC camp </c:v>
                  </c:pt>
                  <c:pt idx="384">
                    <c:v>St. Patrick Catholic Church </c:v>
                  </c:pt>
                  <c:pt idx="387">
                    <c:v>Tanai CoC</c:v>
                  </c:pt>
                  <c:pt idx="390">
                    <c:v>Tanai KBC Camp</c:v>
                  </c:pt>
                  <c:pt idx="393">
                    <c:v>Tat Kone Baptist Church</c:v>
                  </c:pt>
                  <c:pt idx="396">
                    <c:v>Tat Kone COC Baptist - Tat Kone Htoi San</c:v>
                  </c:pt>
                  <c:pt idx="399">
                    <c:v>Tat Kone Galile Baptist Church</c:v>
                  </c:pt>
                  <c:pt idx="402">
                    <c:v>Tat Kone San Pya Baptist Church</c:v>
                  </c:pt>
                  <c:pt idx="405">
                    <c:v>Thargaya Lisu Baptist Church</c:v>
                  </c:pt>
                  <c:pt idx="408">
                    <c:v>Trinity Camp</c:v>
                  </c:pt>
                  <c:pt idx="411">
                    <c:v>Tsan Lun - Namjarap</c:v>
                  </c:pt>
                  <c:pt idx="414">
                    <c:v>Waimaw Baptist Zonal Office 2</c:v>
                  </c:pt>
                  <c:pt idx="417">
                    <c:v>Waingmaw AG Church</c:v>
                  </c:pt>
                  <c:pt idx="420">
                    <c:v>Ward 2 Sai Taung Baptist Church, Seik Mu </c:v>
                  </c:pt>
                  <c:pt idx="423">
                    <c:v>Woi Chyai </c:v>
                  </c:pt>
                  <c:pt idx="426">
                    <c:v>Woi Chyai (Mong Lai)</c:v>
                  </c:pt>
                  <c:pt idx="429">
                    <c:v>Woi Chyai host families</c:v>
                  </c:pt>
                  <c:pt idx="432">
                    <c:v>Yumar Baptist Church</c:v>
                  </c:pt>
                  <c:pt idx="435">
                    <c:v>Zup Aung Camp</c:v>
                  </c:pt>
                  <c:pt idx="438">
                    <c:v>Hka Garan Yang </c:v>
                  </c:pt>
                  <c:pt idx="441">
                    <c:v>Htang Nya </c:v>
                  </c:pt>
                  <c:pt idx="444">
                    <c:v>Enai (Man Pyein)</c:v>
                  </c:pt>
                  <c:pt idx="447">
                    <c:v>AD 2000 School</c:v>
                  </c:pt>
                  <c:pt idx="448">
                    <c:v>Robert -High school</c:v>
                  </c:pt>
                  <c:pt idx="450">
                    <c:v>Pamati Camp</c:v>
                  </c:pt>
                  <c:pt idx="453">
                    <c:v>Momauk IDP new extension camp (Kye Nan)</c:v>
                  </c:pt>
                  <c:pt idx="456">
                    <c:v>Sector 5 Pammati Quarter</c:v>
                  </c:pt>
                  <c:pt idx="459">
                    <c:v>Namatee Kan Hla AG</c:v>
                  </c:pt>
                  <c:pt idx="462">
                    <c:v>His Aw (Chyu Fan) </c:v>
                  </c:pt>
                  <c:pt idx="465">
                    <c:v>Shwe Sin (Ward 3) </c:v>
                  </c:pt>
                  <c:pt idx="468">
                    <c:v>Bum Ra Yang Camp </c:v>
                  </c:pt>
                  <c:pt idx="471">
                    <c:v>Mang Nawng Kawng (host)</c:v>
                  </c:pt>
                  <c:pt idx="474">
                    <c:v>Hat Hlan village (host)</c:v>
                  </c:pt>
                  <c:pt idx="475">
                    <c:v>Kyaukme Town (host)</c:v>
                  </c:pt>
                  <c:pt idx="478">
                    <c:v>Nam Hlaing Extension Ward camp</c:v>
                  </c:pt>
                  <c:pt idx="481">
                    <c:v>Naung Tar Law (Kyet Chan) </c:v>
                  </c:pt>
                  <c:pt idx="484">
                    <c:v>Waingmaw St.Joseph RC Church</c:v>
                  </c:pt>
                  <c:pt idx="487">
                    <c:v>Waingmaw LBC church </c:v>
                  </c:pt>
                  <c:pt idx="488">
                    <c:v>Lisu Zonal camp</c:v>
                  </c:pt>
                  <c:pt idx="491">
                    <c:v>Phaug Nhae Camp</c:v>
                  </c:pt>
                  <c:pt idx="492">
                    <c:v>Yuu Ka lait Kone Camp</c:v>
                  </c:pt>
                  <c:pt idx="493">
                    <c:v>Lhaovo Baptist Convention  Old Office Camp</c:v>
                  </c:pt>
                  <c:pt idx="496">
                    <c:v>Ding Jang Yang (1)</c:v>
                  </c:pt>
                  <c:pt idx="499">
                    <c:v>Ding Jang Yang (2)</c:v>
                  </c:pt>
                  <c:pt idx="502">
                    <c:v>Naung Pataine/lachid </c:v>
                  </c:pt>
                  <c:pt idx="505">
                    <c:v>Lin Hao chun </c:v>
                  </c:pt>
                  <c:pt idx="507">
                    <c:v>Pyi Htaung Su</c:v>
                  </c:pt>
                  <c:pt idx="509">
                    <c:v>Momauk KBC church</c:v>
                  </c:pt>
                  <c:pt idx="512">
                    <c:v>St.Francis RCC 1</c:v>
                  </c:pt>
                  <c:pt idx="515">
                    <c:v>St.Francis RCC 2</c:v>
                  </c:pt>
                  <c:pt idx="518">
                    <c:v>Bang Yang Hka (Mung Ji Pa)-relocated</c:v>
                  </c:pt>
                  <c:pt idx="521">
                    <c:v>Galeng Zup Awng ward 5 RC</c:v>
                  </c:pt>
                  <c:pt idx="524">
                    <c:v>Man Wing- IDPs in Host</c:v>
                  </c:pt>
                  <c:pt idx="527">
                    <c:v>(3 mile) Shwe Pyi Tar (SLCA)</c:v>
                  </c:pt>
                  <c:pt idx="530">
                    <c:v>Bhamo- IDPs in Host </c:v>
                  </c:pt>
                  <c:pt idx="533">
                    <c:v>Chipwi Pan Wa  (Host IDP)</c:v>
                  </c:pt>
                  <c:pt idx="536">
                    <c:v>St.Columban lone Khin camp</c:v>
                  </c:pt>
                  <c:pt idx="539">
                    <c:v>Mansi- IDPs in Host</c:v>
                  </c:pt>
                  <c:pt idx="542">
                    <c:v>Hopin -IDPs in Host</c:v>
                  </c:pt>
                  <c:pt idx="545">
                    <c:v>Moenyin- IDPs in Host</c:v>
                  </c:pt>
                  <c:pt idx="548">
                    <c:v>Momauk-IDPs in Host</c:v>
                  </c:pt>
                  <c:pt idx="551">
                    <c:v>Myo Thit -IDP in Host</c:v>
                  </c:pt>
                  <c:pt idx="554">
                    <c:v>Saint Matthew (Shin ma ti-sitapru) camp</c:v>
                  </c:pt>
                  <c:pt idx="557">
                    <c:v>Nan Hlaing_new camp </c:v>
                  </c:pt>
                  <c:pt idx="558">
                    <c:v>Na ru Kawng (Post 6 camp)</c:v>
                  </c:pt>
                  <c:pt idx="561">
                    <c:v>Man Pint community Hall </c:v>
                  </c:pt>
                  <c:pt idx="563">
                    <c:v>Mong Tin High School</c:v>
                  </c:pt>
                  <c:pt idx="565">
                    <c:v>Nar Mun Primary School</c:v>
                  </c:pt>
                  <c:pt idx="567">
                    <c:v>SLCA Building Compound (Kyaukme town)</c:v>
                  </c:pt>
                  <c:pt idx="569">
                    <c:v>SLCA Building Compound (Moungnawt town)</c:v>
                  </c:pt>
                  <c:pt idx="571">
                    <c:v>Theravada Monastery </c:v>
                  </c:pt>
                  <c:pt idx="573">
                    <c:v>Mong Wee Shan-relocated</c:v>
                  </c:pt>
                  <c:pt idx="576">
                    <c:v>Hseng Ja-Relocated</c:v>
                  </c:pt>
                  <c:pt idx="579">
                    <c:v>Maina Mu-yin  Baptist Church</c:v>
                  </c:pt>
                </c:lvl>
              </c:multiLvlStrCache>
            </c:multiLvlStrRef>
          </c:cat>
          <c:val>
            <c:numRef>
              <c:f>'Tracking Dashboard'!$O$5:$O$791</c:f>
              <c:numCache>
                <c:formatCode>General</c:formatCode>
                <c:ptCount val="582"/>
                <c:pt idx="0">
                  <c:v>54</c:v>
                </c:pt>
                <c:pt idx="1">
                  <c:v>789</c:v>
                </c:pt>
                <c:pt idx="2">
                  <c:v>1049</c:v>
                </c:pt>
                <c:pt idx="3">
                  <c:v>1009</c:v>
                </c:pt>
                <c:pt idx="4">
                  <c:v>308</c:v>
                </c:pt>
                <c:pt idx="5">
                  <c:v>220</c:v>
                </c:pt>
                <c:pt idx="6">
                  <c:v>220</c:v>
                </c:pt>
                <c:pt idx="7">
                  <c:v>72</c:v>
                </c:pt>
                <c:pt idx="8">
                  <c:v>72</c:v>
                </c:pt>
                <c:pt idx="9">
                  <c:v>70</c:v>
                </c:pt>
                <c:pt idx="10">
                  <c:v>560</c:v>
                </c:pt>
                <c:pt idx="11">
                  <c:v>32</c:v>
                </c:pt>
                <c:pt idx="12">
                  <c:v>502</c:v>
                </c:pt>
                <c:pt idx="13">
                  <c:v>40</c:v>
                </c:pt>
                <c:pt idx="14">
                  <c:v>40</c:v>
                </c:pt>
                <c:pt idx="15">
                  <c:v>40</c:v>
                </c:pt>
                <c:pt idx="16">
                  <c:v>200</c:v>
                </c:pt>
                <c:pt idx="17">
                  <c:v>200</c:v>
                </c:pt>
                <c:pt idx="18">
                  <c:v>0</c:v>
                </c:pt>
                <c:pt idx="19">
                  <c:v>421</c:v>
                </c:pt>
                <c:pt idx="20">
                  <c:v>420</c:v>
                </c:pt>
                <c:pt idx="21">
                  <c:v>405</c:v>
                </c:pt>
                <c:pt idx="22">
                  <c:v>1887</c:v>
                </c:pt>
                <c:pt idx="23">
                  <c:v>1900</c:v>
                </c:pt>
                <c:pt idx="24">
                  <c:v>1900</c:v>
                </c:pt>
                <c:pt idx="25">
                  <c:v>24</c:v>
                </c:pt>
                <c:pt idx="26">
                  <c:v>24</c:v>
                </c:pt>
                <c:pt idx="27">
                  <c:v>24</c:v>
                </c:pt>
                <c:pt idx="28">
                  <c:v>640</c:v>
                </c:pt>
                <c:pt idx="29">
                  <c:v>220</c:v>
                </c:pt>
                <c:pt idx="30">
                  <c:v>280</c:v>
                </c:pt>
                <c:pt idx="31">
                  <c:v>442</c:v>
                </c:pt>
                <c:pt idx="32">
                  <c:v>443</c:v>
                </c:pt>
                <c:pt idx="33">
                  <c:v>445</c:v>
                </c:pt>
                <c:pt idx="34">
                  <c:v>140</c:v>
                </c:pt>
                <c:pt idx="35">
                  <c:v>100</c:v>
                </c:pt>
                <c:pt idx="36">
                  <c:v>120</c:v>
                </c:pt>
                <c:pt idx="37">
                  <c:v>394</c:v>
                </c:pt>
                <c:pt idx="38">
                  <c:v>400</c:v>
                </c:pt>
                <c:pt idx="39">
                  <c:v>411</c:v>
                </c:pt>
                <c:pt idx="40">
                  <c:v>0</c:v>
                </c:pt>
                <c:pt idx="41">
                  <c:v>0</c:v>
                </c:pt>
                <c:pt idx="42">
                  <c:v>0</c:v>
                </c:pt>
                <c:pt idx="43">
                  <c:v>439</c:v>
                </c:pt>
                <c:pt idx="44">
                  <c:v>439</c:v>
                </c:pt>
                <c:pt idx="45">
                  <c:v>439</c:v>
                </c:pt>
                <c:pt idx="46">
                  <c:v>410</c:v>
                </c:pt>
                <c:pt idx="47">
                  <c:v>160</c:v>
                </c:pt>
                <c:pt idx="48">
                  <c:v>160</c:v>
                </c:pt>
                <c:pt idx="49">
                  <c:v>291</c:v>
                </c:pt>
                <c:pt idx="50">
                  <c:v>0</c:v>
                </c:pt>
                <c:pt idx="51">
                  <c:v>-360</c:v>
                </c:pt>
                <c:pt idx="52">
                  <c:v>895</c:v>
                </c:pt>
                <c:pt idx="53">
                  <c:v>966</c:v>
                </c:pt>
                <c:pt idx="54">
                  <c:v>966</c:v>
                </c:pt>
                <c:pt idx="55">
                  <c:v>132</c:v>
                </c:pt>
                <c:pt idx="56">
                  <c:v>0</c:v>
                </c:pt>
                <c:pt idx="57">
                  <c:v>80</c:v>
                </c:pt>
                <c:pt idx="58">
                  <c:v>800</c:v>
                </c:pt>
                <c:pt idx="59">
                  <c:v>120</c:v>
                </c:pt>
                <c:pt idx="60">
                  <c:v>800</c:v>
                </c:pt>
                <c:pt idx="61">
                  <c:v>504</c:v>
                </c:pt>
                <c:pt idx="62">
                  <c:v>363</c:v>
                </c:pt>
                <c:pt idx="63">
                  <c:v>0</c:v>
                </c:pt>
                <c:pt idx="64">
                  <c:v>640</c:v>
                </c:pt>
                <c:pt idx="65">
                  <c:v>640</c:v>
                </c:pt>
                <c:pt idx="66">
                  <c:v>640</c:v>
                </c:pt>
                <c:pt idx="67">
                  <c:v>3789</c:v>
                </c:pt>
                <c:pt idx="68">
                  <c:v>3789</c:v>
                </c:pt>
                <c:pt idx="69">
                  <c:v>3789</c:v>
                </c:pt>
                <c:pt idx="70">
                  <c:v>140</c:v>
                </c:pt>
                <c:pt idx="71">
                  <c:v>140</c:v>
                </c:pt>
                <c:pt idx="72">
                  <c:v>220</c:v>
                </c:pt>
                <c:pt idx="73">
                  <c:v>130</c:v>
                </c:pt>
                <c:pt idx="74">
                  <c:v>130</c:v>
                </c:pt>
                <c:pt idx="75">
                  <c:v>130</c:v>
                </c:pt>
                <c:pt idx="76">
                  <c:v>1780</c:v>
                </c:pt>
                <c:pt idx="77">
                  <c:v>1780</c:v>
                </c:pt>
                <c:pt idx="78">
                  <c:v>1780</c:v>
                </c:pt>
                <c:pt idx="79">
                  <c:v>860</c:v>
                </c:pt>
                <c:pt idx="80">
                  <c:v>900</c:v>
                </c:pt>
                <c:pt idx="81">
                  <c:v>900</c:v>
                </c:pt>
                <c:pt idx="82">
                  <c:v>398</c:v>
                </c:pt>
                <c:pt idx="83">
                  <c:v>388</c:v>
                </c:pt>
                <c:pt idx="84">
                  <c:v>335</c:v>
                </c:pt>
                <c:pt idx="85">
                  <c:v>320</c:v>
                </c:pt>
                <c:pt idx="86">
                  <c:v>300</c:v>
                </c:pt>
                <c:pt idx="87">
                  <c:v>320</c:v>
                </c:pt>
                <c:pt idx="88">
                  <c:v>800</c:v>
                </c:pt>
                <c:pt idx="89">
                  <c:v>8486</c:v>
                </c:pt>
                <c:pt idx="90">
                  <c:v>8486</c:v>
                </c:pt>
                <c:pt idx="91">
                  <c:v>43</c:v>
                </c:pt>
                <c:pt idx="92">
                  <c:v>60</c:v>
                </c:pt>
                <c:pt idx="93">
                  <c:v>61</c:v>
                </c:pt>
                <c:pt idx="94">
                  <c:v>80</c:v>
                </c:pt>
                <c:pt idx="95">
                  <c:v>120</c:v>
                </c:pt>
                <c:pt idx="96">
                  <c:v>160</c:v>
                </c:pt>
                <c:pt idx="97">
                  <c:v>52</c:v>
                </c:pt>
                <c:pt idx="98">
                  <c:v>52</c:v>
                </c:pt>
                <c:pt idx="99">
                  <c:v>53</c:v>
                </c:pt>
                <c:pt idx="100">
                  <c:v>100</c:v>
                </c:pt>
                <c:pt idx="101">
                  <c:v>100</c:v>
                </c:pt>
                <c:pt idx="102">
                  <c:v>100</c:v>
                </c:pt>
                <c:pt idx="103">
                  <c:v>240</c:v>
                </c:pt>
                <c:pt idx="104">
                  <c:v>240</c:v>
                </c:pt>
                <c:pt idx="105">
                  <c:v>240</c:v>
                </c:pt>
                <c:pt idx="106">
                  <c:v>180</c:v>
                </c:pt>
                <c:pt idx="107">
                  <c:v>180</c:v>
                </c:pt>
                <c:pt idx="108">
                  <c:v>180</c:v>
                </c:pt>
                <c:pt idx="109">
                  <c:v>270</c:v>
                </c:pt>
                <c:pt idx="110">
                  <c:v>270</c:v>
                </c:pt>
                <c:pt idx="111">
                  <c:v>270</c:v>
                </c:pt>
                <c:pt idx="112">
                  <c:v>66</c:v>
                </c:pt>
                <c:pt idx="113">
                  <c:v>0</c:v>
                </c:pt>
                <c:pt idx="114">
                  <c:v>76</c:v>
                </c:pt>
                <c:pt idx="115">
                  <c:v>0</c:v>
                </c:pt>
                <c:pt idx="116">
                  <c:v>0</c:v>
                </c:pt>
                <c:pt idx="117">
                  <c:v>0</c:v>
                </c:pt>
                <c:pt idx="118">
                  <c:v>2691</c:v>
                </c:pt>
                <c:pt idx="119">
                  <c:v>2503</c:v>
                </c:pt>
                <c:pt idx="120">
                  <c:v>2503</c:v>
                </c:pt>
                <c:pt idx="121">
                  <c:v>242</c:v>
                </c:pt>
                <c:pt idx="122">
                  <c:v>586</c:v>
                </c:pt>
                <c:pt idx="123">
                  <c:v>607</c:v>
                </c:pt>
                <c:pt idx="124">
                  <c:v>580</c:v>
                </c:pt>
                <c:pt idx="125">
                  <c:v>160</c:v>
                </c:pt>
                <c:pt idx="126">
                  <c:v>160</c:v>
                </c:pt>
                <c:pt idx="127">
                  <c:v>160</c:v>
                </c:pt>
                <c:pt idx="128">
                  <c:v>640</c:v>
                </c:pt>
                <c:pt idx="129">
                  <c:v>640</c:v>
                </c:pt>
                <c:pt idx="130">
                  <c:v>640</c:v>
                </c:pt>
                <c:pt idx="131">
                  <c:v>884</c:v>
                </c:pt>
                <c:pt idx="132">
                  <c:v>884</c:v>
                </c:pt>
                <c:pt idx="133">
                  <c:v>885</c:v>
                </c:pt>
                <c:pt idx="134">
                  <c:v>100</c:v>
                </c:pt>
                <c:pt idx="135">
                  <c:v>103</c:v>
                </c:pt>
                <c:pt idx="136">
                  <c:v>103</c:v>
                </c:pt>
                <c:pt idx="137">
                  <c:v>40</c:v>
                </c:pt>
                <c:pt idx="138">
                  <c:v>54</c:v>
                </c:pt>
                <c:pt idx="139">
                  <c:v>56</c:v>
                </c:pt>
                <c:pt idx="140">
                  <c:v>420</c:v>
                </c:pt>
                <c:pt idx="141">
                  <c:v>460</c:v>
                </c:pt>
                <c:pt idx="142">
                  <c:v>460</c:v>
                </c:pt>
                <c:pt idx="143">
                  <c:v>127</c:v>
                </c:pt>
                <c:pt idx="144">
                  <c:v>127</c:v>
                </c:pt>
                <c:pt idx="145">
                  <c:v>127</c:v>
                </c:pt>
                <c:pt idx="146">
                  <c:v>182</c:v>
                </c:pt>
                <c:pt idx="147">
                  <c:v>182</c:v>
                </c:pt>
                <c:pt idx="148">
                  <c:v>182</c:v>
                </c:pt>
                <c:pt idx="149">
                  <c:v>126</c:v>
                </c:pt>
                <c:pt idx="150">
                  <c:v>126</c:v>
                </c:pt>
                <c:pt idx="151">
                  <c:v>126</c:v>
                </c:pt>
                <c:pt idx="152">
                  <c:v>943</c:v>
                </c:pt>
                <c:pt idx="153">
                  <c:v>943</c:v>
                </c:pt>
                <c:pt idx="154">
                  <c:v>803</c:v>
                </c:pt>
                <c:pt idx="155">
                  <c:v>300</c:v>
                </c:pt>
                <c:pt idx="156">
                  <c:v>300</c:v>
                </c:pt>
                <c:pt idx="157">
                  <c:v>300</c:v>
                </c:pt>
                <c:pt idx="158">
                  <c:v>240</c:v>
                </c:pt>
                <c:pt idx="159">
                  <c:v>0</c:v>
                </c:pt>
                <c:pt idx="160">
                  <c:v>0</c:v>
                </c:pt>
                <c:pt idx="161">
                  <c:v>40</c:v>
                </c:pt>
                <c:pt idx="162">
                  <c:v>60</c:v>
                </c:pt>
                <c:pt idx="163">
                  <c:v>60</c:v>
                </c:pt>
                <c:pt idx="164">
                  <c:v>120</c:v>
                </c:pt>
                <c:pt idx="165">
                  <c:v>120</c:v>
                </c:pt>
                <c:pt idx="166">
                  <c:v>120</c:v>
                </c:pt>
                <c:pt idx="167">
                  <c:v>1736</c:v>
                </c:pt>
                <c:pt idx="168">
                  <c:v>1469</c:v>
                </c:pt>
                <c:pt idx="169">
                  <c:v>1469</c:v>
                </c:pt>
                <c:pt idx="170">
                  <c:v>502</c:v>
                </c:pt>
                <c:pt idx="171">
                  <c:v>502</c:v>
                </c:pt>
                <c:pt idx="172">
                  <c:v>502</c:v>
                </c:pt>
                <c:pt idx="173">
                  <c:v>420</c:v>
                </c:pt>
                <c:pt idx="174">
                  <c:v>480</c:v>
                </c:pt>
                <c:pt idx="175">
                  <c:v>760</c:v>
                </c:pt>
                <c:pt idx="176">
                  <c:v>1776</c:v>
                </c:pt>
                <c:pt idx="177">
                  <c:v>1494</c:v>
                </c:pt>
                <c:pt idx="178">
                  <c:v>1492</c:v>
                </c:pt>
                <c:pt idx="179">
                  <c:v>2500</c:v>
                </c:pt>
                <c:pt idx="180">
                  <c:v>2600</c:v>
                </c:pt>
                <c:pt idx="181">
                  <c:v>2600</c:v>
                </c:pt>
                <c:pt idx="182">
                  <c:v>191</c:v>
                </c:pt>
                <c:pt idx="183">
                  <c:v>200</c:v>
                </c:pt>
                <c:pt idx="184">
                  <c:v>200</c:v>
                </c:pt>
                <c:pt idx="185">
                  <c:v>1599</c:v>
                </c:pt>
                <c:pt idx="186">
                  <c:v>1759</c:v>
                </c:pt>
                <c:pt idx="187">
                  <c:v>1772</c:v>
                </c:pt>
                <c:pt idx="188">
                  <c:v>694</c:v>
                </c:pt>
                <c:pt idx="189">
                  <c:v>694</c:v>
                </c:pt>
                <c:pt idx="190">
                  <c:v>694</c:v>
                </c:pt>
                <c:pt idx="191">
                  <c:v>140</c:v>
                </c:pt>
                <c:pt idx="192">
                  <c:v>140</c:v>
                </c:pt>
                <c:pt idx="193">
                  <c:v>140</c:v>
                </c:pt>
                <c:pt idx="194">
                  <c:v>741</c:v>
                </c:pt>
                <c:pt idx="195">
                  <c:v>741</c:v>
                </c:pt>
                <c:pt idx="196">
                  <c:v>741</c:v>
                </c:pt>
                <c:pt idx="197">
                  <c:v>563</c:v>
                </c:pt>
                <c:pt idx="198">
                  <c:v>563</c:v>
                </c:pt>
                <c:pt idx="199">
                  <c:v>563</c:v>
                </c:pt>
                <c:pt idx="200">
                  <c:v>547</c:v>
                </c:pt>
                <c:pt idx="201">
                  <c:v>622</c:v>
                </c:pt>
                <c:pt idx="202">
                  <c:v>622</c:v>
                </c:pt>
                <c:pt idx="203">
                  <c:v>0</c:v>
                </c:pt>
                <c:pt idx="204">
                  <c:v>0</c:v>
                </c:pt>
                <c:pt idx="205">
                  <c:v>0</c:v>
                </c:pt>
                <c:pt idx="206">
                  <c:v>80</c:v>
                </c:pt>
                <c:pt idx="207">
                  <c:v>80</c:v>
                </c:pt>
                <c:pt idx="208">
                  <c:v>80</c:v>
                </c:pt>
                <c:pt idx="209">
                  <c:v>360</c:v>
                </c:pt>
                <c:pt idx="210">
                  <c:v>360</c:v>
                </c:pt>
                <c:pt idx="211">
                  <c:v>360</c:v>
                </c:pt>
                <c:pt idx="212">
                  <c:v>538</c:v>
                </c:pt>
                <c:pt idx="213">
                  <c:v>538</c:v>
                </c:pt>
                <c:pt idx="214">
                  <c:v>538</c:v>
                </c:pt>
                <c:pt idx="215">
                  <c:v>2354</c:v>
                </c:pt>
                <c:pt idx="216">
                  <c:v>740</c:v>
                </c:pt>
                <c:pt idx="217">
                  <c:v>2354</c:v>
                </c:pt>
                <c:pt idx="218">
                  <c:v>737</c:v>
                </c:pt>
                <c:pt idx="219">
                  <c:v>737</c:v>
                </c:pt>
                <c:pt idx="220">
                  <c:v>737</c:v>
                </c:pt>
                <c:pt idx="221">
                  <c:v>125</c:v>
                </c:pt>
                <c:pt idx="222">
                  <c:v>125</c:v>
                </c:pt>
                <c:pt idx="223">
                  <c:v>125</c:v>
                </c:pt>
                <c:pt idx="224">
                  <c:v>157</c:v>
                </c:pt>
                <c:pt idx="225">
                  <c:v>157</c:v>
                </c:pt>
                <c:pt idx="226">
                  <c:v>157</c:v>
                </c:pt>
                <c:pt idx="227">
                  <c:v>789</c:v>
                </c:pt>
                <c:pt idx="228">
                  <c:v>789</c:v>
                </c:pt>
                <c:pt idx="229">
                  <c:v>789</c:v>
                </c:pt>
                <c:pt idx="230">
                  <c:v>80</c:v>
                </c:pt>
                <c:pt idx="231">
                  <c:v>84</c:v>
                </c:pt>
                <c:pt idx="232">
                  <c:v>40</c:v>
                </c:pt>
                <c:pt idx="233">
                  <c:v>120</c:v>
                </c:pt>
                <c:pt idx="234">
                  <c:v>120</c:v>
                </c:pt>
                <c:pt idx="235">
                  <c:v>120</c:v>
                </c:pt>
                <c:pt idx="236">
                  <c:v>0</c:v>
                </c:pt>
                <c:pt idx="237">
                  <c:v>0</c:v>
                </c:pt>
                <c:pt idx="238">
                  <c:v>0</c:v>
                </c:pt>
                <c:pt idx="239">
                  <c:v>251</c:v>
                </c:pt>
                <c:pt idx="240">
                  <c:v>251</c:v>
                </c:pt>
                <c:pt idx="241">
                  <c:v>251</c:v>
                </c:pt>
                <c:pt idx="242">
                  <c:v>424</c:v>
                </c:pt>
                <c:pt idx="243">
                  <c:v>120</c:v>
                </c:pt>
                <c:pt idx="244">
                  <c:v>120</c:v>
                </c:pt>
                <c:pt idx="245">
                  <c:v>176</c:v>
                </c:pt>
                <c:pt idx="246">
                  <c:v>176</c:v>
                </c:pt>
                <c:pt idx="247">
                  <c:v>176</c:v>
                </c:pt>
                <c:pt idx="248">
                  <c:v>0</c:v>
                </c:pt>
                <c:pt idx="249">
                  <c:v>0</c:v>
                </c:pt>
                <c:pt idx="250">
                  <c:v>0</c:v>
                </c:pt>
                <c:pt idx="251">
                  <c:v>396</c:v>
                </c:pt>
                <c:pt idx="252">
                  <c:v>396</c:v>
                </c:pt>
                <c:pt idx="253">
                  <c:v>396</c:v>
                </c:pt>
                <c:pt idx="254">
                  <c:v>200</c:v>
                </c:pt>
                <c:pt idx="255">
                  <c:v>200</c:v>
                </c:pt>
                <c:pt idx="256">
                  <c:v>200</c:v>
                </c:pt>
                <c:pt idx="257">
                  <c:v>31</c:v>
                </c:pt>
                <c:pt idx="258">
                  <c:v>31</c:v>
                </c:pt>
                <c:pt idx="259">
                  <c:v>31</c:v>
                </c:pt>
                <c:pt idx="260">
                  <c:v>213</c:v>
                </c:pt>
                <c:pt idx="261">
                  <c:v>213</c:v>
                </c:pt>
                <c:pt idx="262">
                  <c:v>213</c:v>
                </c:pt>
                <c:pt idx="263">
                  <c:v>250</c:v>
                </c:pt>
                <c:pt idx="264">
                  <c:v>250</c:v>
                </c:pt>
                <c:pt idx="265">
                  <c:v>250</c:v>
                </c:pt>
                <c:pt idx="266">
                  <c:v>158</c:v>
                </c:pt>
                <c:pt idx="267">
                  <c:v>158</c:v>
                </c:pt>
                <c:pt idx="268">
                  <c:v>158</c:v>
                </c:pt>
                <c:pt idx="269">
                  <c:v>24</c:v>
                </c:pt>
                <c:pt idx="270">
                  <c:v>24</c:v>
                </c:pt>
                <c:pt idx="271">
                  <c:v>24</c:v>
                </c:pt>
                <c:pt idx="272">
                  <c:v>200</c:v>
                </c:pt>
                <c:pt idx="273">
                  <c:v>206</c:v>
                </c:pt>
                <c:pt idx="274">
                  <c:v>206</c:v>
                </c:pt>
                <c:pt idx="275">
                  <c:v>141</c:v>
                </c:pt>
                <c:pt idx="276">
                  <c:v>141</c:v>
                </c:pt>
                <c:pt idx="277">
                  <c:v>141</c:v>
                </c:pt>
                <c:pt idx="278">
                  <c:v>260</c:v>
                </c:pt>
                <c:pt idx="279">
                  <c:v>360</c:v>
                </c:pt>
                <c:pt idx="280">
                  <c:v>400</c:v>
                </c:pt>
                <c:pt idx="281">
                  <c:v>309</c:v>
                </c:pt>
                <c:pt idx="282">
                  <c:v>291</c:v>
                </c:pt>
                <c:pt idx="283">
                  <c:v>291</c:v>
                </c:pt>
                <c:pt idx="284">
                  <c:v>218</c:v>
                </c:pt>
                <c:pt idx="285">
                  <c:v>218</c:v>
                </c:pt>
                <c:pt idx="286">
                  <c:v>230</c:v>
                </c:pt>
                <c:pt idx="287">
                  <c:v>41</c:v>
                </c:pt>
                <c:pt idx="288">
                  <c:v>48</c:v>
                </c:pt>
                <c:pt idx="289">
                  <c:v>48</c:v>
                </c:pt>
                <c:pt idx="290">
                  <c:v>80</c:v>
                </c:pt>
                <c:pt idx="291">
                  <c:v>80</c:v>
                </c:pt>
                <c:pt idx="292">
                  <c:v>80</c:v>
                </c:pt>
                <c:pt idx="293">
                  <c:v>100</c:v>
                </c:pt>
                <c:pt idx="294">
                  <c:v>0</c:v>
                </c:pt>
                <c:pt idx="295">
                  <c:v>100</c:v>
                </c:pt>
                <c:pt idx="296">
                  <c:v>547</c:v>
                </c:pt>
                <c:pt idx="297">
                  <c:v>323</c:v>
                </c:pt>
                <c:pt idx="298">
                  <c:v>323</c:v>
                </c:pt>
                <c:pt idx="299">
                  <c:v>525</c:v>
                </c:pt>
                <c:pt idx="300">
                  <c:v>525</c:v>
                </c:pt>
                <c:pt idx="301">
                  <c:v>525</c:v>
                </c:pt>
                <c:pt idx="302">
                  <c:v>1675</c:v>
                </c:pt>
                <c:pt idx="303">
                  <c:v>1570</c:v>
                </c:pt>
                <c:pt idx="304">
                  <c:v>1570</c:v>
                </c:pt>
                <c:pt idx="305">
                  <c:v>299</c:v>
                </c:pt>
                <c:pt idx="306">
                  <c:v>300</c:v>
                </c:pt>
                <c:pt idx="307">
                  <c:v>300</c:v>
                </c:pt>
                <c:pt idx="308">
                  <c:v>263</c:v>
                </c:pt>
                <c:pt idx="309">
                  <c:v>263</c:v>
                </c:pt>
                <c:pt idx="310">
                  <c:v>263</c:v>
                </c:pt>
                <c:pt idx="311">
                  <c:v>680</c:v>
                </c:pt>
                <c:pt idx="312">
                  <c:v>680</c:v>
                </c:pt>
                <c:pt idx="313">
                  <c:v>680</c:v>
                </c:pt>
                <c:pt idx="314">
                  <c:v>1340</c:v>
                </c:pt>
                <c:pt idx="315">
                  <c:v>1187</c:v>
                </c:pt>
                <c:pt idx="316">
                  <c:v>1198</c:v>
                </c:pt>
                <c:pt idx="317">
                  <c:v>2975</c:v>
                </c:pt>
                <c:pt idx="318">
                  <c:v>3120</c:v>
                </c:pt>
                <c:pt idx="319">
                  <c:v>3120</c:v>
                </c:pt>
                <c:pt idx="320">
                  <c:v>750</c:v>
                </c:pt>
                <c:pt idx="321">
                  <c:v>850</c:v>
                </c:pt>
                <c:pt idx="322">
                  <c:v>850</c:v>
                </c:pt>
                <c:pt idx="323">
                  <c:v>221</c:v>
                </c:pt>
                <c:pt idx="324">
                  <c:v>221</c:v>
                </c:pt>
                <c:pt idx="325">
                  <c:v>221</c:v>
                </c:pt>
                <c:pt idx="326">
                  <c:v>91</c:v>
                </c:pt>
                <c:pt idx="327">
                  <c:v>100</c:v>
                </c:pt>
                <c:pt idx="328">
                  <c:v>100</c:v>
                </c:pt>
                <c:pt idx="329">
                  <c:v>100</c:v>
                </c:pt>
                <c:pt idx="330">
                  <c:v>334</c:v>
                </c:pt>
                <c:pt idx="331">
                  <c:v>334</c:v>
                </c:pt>
                <c:pt idx="332">
                  <c:v>334</c:v>
                </c:pt>
                <c:pt idx="333">
                  <c:v>420</c:v>
                </c:pt>
                <c:pt idx="334">
                  <c:v>300</c:v>
                </c:pt>
                <c:pt idx="335">
                  <c:v>440</c:v>
                </c:pt>
                <c:pt idx="336">
                  <c:v>280</c:v>
                </c:pt>
                <c:pt idx="337">
                  <c:v>280</c:v>
                </c:pt>
                <c:pt idx="338">
                  <c:v>280</c:v>
                </c:pt>
                <c:pt idx="339">
                  <c:v>40</c:v>
                </c:pt>
                <c:pt idx="340">
                  <c:v>40</c:v>
                </c:pt>
                <c:pt idx="341">
                  <c:v>40</c:v>
                </c:pt>
                <c:pt idx="342">
                  <c:v>3003</c:v>
                </c:pt>
                <c:pt idx="343">
                  <c:v>2983</c:v>
                </c:pt>
                <c:pt idx="344">
                  <c:v>2983</c:v>
                </c:pt>
                <c:pt idx="345">
                  <c:v>0</c:v>
                </c:pt>
                <c:pt idx="346">
                  <c:v>0</c:v>
                </c:pt>
                <c:pt idx="347">
                  <c:v>0</c:v>
                </c:pt>
                <c:pt idx="348">
                  <c:v>325</c:v>
                </c:pt>
                <c:pt idx="349">
                  <c:v>353</c:v>
                </c:pt>
                <c:pt idx="350">
                  <c:v>353</c:v>
                </c:pt>
                <c:pt idx="351">
                  <c:v>136</c:v>
                </c:pt>
                <c:pt idx="352">
                  <c:v>136</c:v>
                </c:pt>
                <c:pt idx="353">
                  <c:v>136</c:v>
                </c:pt>
                <c:pt idx="354">
                  <c:v>255</c:v>
                </c:pt>
                <c:pt idx="355">
                  <c:v>255</c:v>
                </c:pt>
                <c:pt idx="356">
                  <c:v>255</c:v>
                </c:pt>
                <c:pt idx="357">
                  <c:v>1532</c:v>
                </c:pt>
                <c:pt idx="358">
                  <c:v>1881</c:v>
                </c:pt>
                <c:pt idx="359">
                  <c:v>1881</c:v>
                </c:pt>
                <c:pt idx="360">
                  <c:v>103</c:v>
                </c:pt>
                <c:pt idx="361">
                  <c:v>100</c:v>
                </c:pt>
                <c:pt idx="362">
                  <c:v>100</c:v>
                </c:pt>
                <c:pt idx="363">
                  <c:v>260</c:v>
                </c:pt>
                <c:pt idx="364">
                  <c:v>260</c:v>
                </c:pt>
                <c:pt idx="365">
                  <c:v>260</c:v>
                </c:pt>
                <c:pt idx="366">
                  <c:v>119</c:v>
                </c:pt>
                <c:pt idx="367">
                  <c:v>120</c:v>
                </c:pt>
                <c:pt idx="368">
                  <c:v>99</c:v>
                </c:pt>
                <c:pt idx="369">
                  <c:v>958</c:v>
                </c:pt>
                <c:pt idx="370">
                  <c:v>1176</c:v>
                </c:pt>
                <c:pt idx="371">
                  <c:v>1176</c:v>
                </c:pt>
                <c:pt idx="372">
                  <c:v>264</c:v>
                </c:pt>
                <c:pt idx="373">
                  <c:v>244</c:v>
                </c:pt>
                <c:pt idx="374">
                  <c:v>204</c:v>
                </c:pt>
                <c:pt idx="375">
                  <c:v>180</c:v>
                </c:pt>
                <c:pt idx="376">
                  <c:v>180</c:v>
                </c:pt>
                <c:pt idx="377">
                  <c:v>182</c:v>
                </c:pt>
                <c:pt idx="378">
                  <c:v>340</c:v>
                </c:pt>
                <c:pt idx="379">
                  <c:v>340</c:v>
                </c:pt>
                <c:pt idx="380">
                  <c:v>340</c:v>
                </c:pt>
                <c:pt idx="381">
                  <c:v>0</c:v>
                </c:pt>
                <c:pt idx="382">
                  <c:v>0</c:v>
                </c:pt>
                <c:pt idx="383">
                  <c:v>20</c:v>
                </c:pt>
                <c:pt idx="384">
                  <c:v>68</c:v>
                </c:pt>
                <c:pt idx="385">
                  <c:v>68</c:v>
                </c:pt>
                <c:pt idx="386">
                  <c:v>68</c:v>
                </c:pt>
                <c:pt idx="387">
                  <c:v>0</c:v>
                </c:pt>
                <c:pt idx="388">
                  <c:v>0</c:v>
                </c:pt>
                <c:pt idx="389">
                  <c:v>40</c:v>
                </c:pt>
                <c:pt idx="390">
                  <c:v>0</c:v>
                </c:pt>
                <c:pt idx="391">
                  <c:v>483</c:v>
                </c:pt>
                <c:pt idx="392">
                  <c:v>483</c:v>
                </c:pt>
                <c:pt idx="393">
                  <c:v>220</c:v>
                </c:pt>
                <c:pt idx="394">
                  <c:v>220</c:v>
                </c:pt>
                <c:pt idx="395">
                  <c:v>220</c:v>
                </c:pt>
                <c:pt idx="396">
                  <c:v>262</c:v>
                </c:pt>
                <c:pt idx="397">
                  <c:v>262</c:v>
                </c:pt>
                <c:pt idx="398">
                  <c:v>266</c:v>
                </c:pt>
                <c:pt idx="399">
                  <c:v>100</c:v>
                </c:pt>
                <c:pt idx="400">
                  <c:v>100</c:v>
                </c:pt>
                <c:pt idx="401">
                  <c:v>100</c:v>
                </c:pt>
                <c:pt idx="402">
                  <c:v>219</c:v>
                </c:pt>
                <c:pt idx="403">
                  <c:v>239</c:v>
                </c:pt>
                <c:pt idx="404">
                  <c:v>239</c:v>
                </c:pt>
                <c:pt idx="405">
                  <c:v>120</c:v>
                </c:pt>
                <c:pt idx="406">
                  <c:v>120</c:v>
                </c:pt>
                <c:pt idx="407">
                  <c:v>120</c:v>
                </c:pt>
                <c:pt idx="408">
                  <c:v>560</c:v>
                </c:pt>
                <c:pt idx="409">
                  <c:v>560</c:v>
                </c:pt>
                <c:pt idx="410">
                  <c:v>560</c:v>
                </c:pt>
                <c:pt idx="411">
                  <c:v>195</c:v>
                </c:pt>
                <c:pt idx="412">
                  <c:v>195</c:v>
                </c:pt>
                <c:pt idx="413">
                  <c:v>195</c:v>
                </c:pt>
                <c:pt idx="414">
                  <c:v>160</c:v>
                </c:pt>
                <c:pt idx="415">
                  <c:v>160</c:v>
                </c:pt>
                <c:pt idx="416">
                  <c:v>160</c:v>
                </c:pt>
                <c:pt idx="417">
                  <c:v>180</c:v>
                </c:pt>
                <c:pt idx="418">
                  <c:v>180</c:v>
                </c:pt>
                <c:pt idx="419">
                  <c:v>180</c:v>
                </c:pt>
                <c:pt idx="420">
                  <c:v>133</c:v>
                </c:pt>
                <c:pt idx="421">
                  <c:v>133</c:v>
                </c:pt>
                <c:pt idx="422">
                  <c:v>133</c:v>
                </c:pt>
                <c:pt idx="423">
                  <c:v>4920</c:v>
                </c:pt>
                <c:pt idx="424">
                  <c:v>4920</c:v>
                </c:pt>
                <c:pt idx="425">
                  <c:v>4920</c:v>
                </c:pt>
                <c:pt idx="426">
                  <c:v>0</c:v>
                </c:pt>
                <c:pt idx="427">
                  <c:v>0</c:v>
                </c:pt>
                <c:pt idx="428">
                  <c:v>0</c:v>
                </c:pt>
                <c:pt idx="429">
                  <c:v>0</c:v>
                </c:pt>
                <c:pt idx="430">
                  <c:v>0</c:v>
                </c:pt>
                <c:pt idx="431">
                  <c:v>0</c:v>
                </c:pt>
                <c:pt idx="432">
                  <c:v>66</c:v>
                </c:pt>
                <c:pt idx="433">
                  <c:v>66</c:v>
                </c:pt>
                <c:pt idx="434">
                  <c:v>66</c:v>
                </c:pt>
                <c:pt idx="435">
                  <c:v>1025</c:v>
                </c:pt>
                <c:pt idx="436">
                  <c:v>1025</c:v>
                </c:pt>
                <c:pt idx="437">
                  <c:v>1025</c:v>
                </c:pt>
                <c:pt idx="438">
                  <c:v>0</c:v>
                </c:pt>
                <c:pt idx="439">
                  <c:v>0</c:v>
                </c:pt>
                <c:pt idx="440">
                  <c:v>0</c:v>
                </c:pt>
                <c:pt idx="441">
                  <c:v>16</c:v>
                </c:pt>
                <c:pt idx="442">
                  <c:v>16</c:v>
                </c:pt>
                <c:pt idx="443">
                  <c:v>32</c:v>
                </c:pt>
                <c:pt idx="444">
                  <c:v>103</c:v>
                </c:pt>
                <c:pt idx="445">
                  <c:v>103</c:v>
                </c:pt>
                <c:pt idx="446">
                  <c:v>103</c:v>
                </c:pt>
                <c:pt idx="447">
                  <c:v>0</c:v>
                </c:pt>
                <c:pt idx="448">
                  <c:v>0</c:v>
                </c:pt>
                <c:pt idx="449">
                  <c:v>0</c:v>
                </c:pt>
                <c:pt idx="450">
                  <c:v>120</c:v>
                </c:pt>
                <c:pt idx="451">
                  <c:v>100</c:v>
                </c:pt>
                <c:pt idx="452">
                  <c:v>120</c:v>
                </c:pt>
                <c:pt idx="453">
                  <c:v>144</c:v>
                </c:pt>
                <c:pt idx="454">
                  <c:v>144</c:v>
                </c:pt>
                <c:pt idx="455">
                  <c:v>144</c:v>
                </c:pt>
                <c:pt idx="456">
                  <c:v>0</c:v>
                </c:pt>
                <c:pt idx="457">
                  <c:v>0</c:v>
                </c:pt>
                <c:pt idx="458">
                  <c:v>0</c:v>
                </c:pt>
                <c:pt idx="459">
                  <c:v>36</c:v>
                </c:pt>
                <c:pt idx="460">
                  <c:v>28</c:v>
                </c:pt>
                <c:pt idx="461">
                  <c:v>28</c:v>
                </c:pt>
                <c:pt idx="462">
                  <c:v>280</c:v>
                </c:pt>
                <c:pt idx="463">
                  <c:v>280</c:v>
                </c:pt>
                <c:pt idx="464">
                  <c:v>280</c:v>
                </c:pt>
                <c:pt idx="465">
                  <c:v>3469</c:v>
                </c:pt>
                <c:pt idx="466">
                  <c:v>0</c:v>
                </c:pt>
                <c:pt idx="467">
                  <c:v>0</c:v>
                </c:pt>
                <c:pt idx="468">
                  <c:v>265</c:v>
                </c:pt>
                <c:pt idx="469">
                  <c:v>591</c:v>
                </c:pt>
                <c:pt idx="470">
                  <c:v>591</c:v>
                </c:pt>
                <c:pt idx="471">
                  <c:v>0</c:v>
                </c:pt>
                <c:pt idx="472">
                  <c:v>0</c:v>
                </c:pt>
                <c:pt idx="473">
                  <c:v>0</c:v>
                </c:pt>
                <c:pt idx="474">
                  <c:v>0</c:v>
                </c:pt>
                <c:pt idx="475">
                  <c:v>0</c:v>
                </c:pt>
                <c:pt idx="476">
                  <c:v>0</c:v>
                </c:pt>
                <c:pt idx="477">
                  <c:v>0</c:v>
                </c:pt>
                <c:pt idx="478">
                  <c:v>0</c:v>
                </c:pt>
                <c:pt idx="479">
                  <c:v>147</c:v>
                </c:pt>
                <c:pt idx="480">
                  <c:v>168</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9</c:v>
                </c:pt>
                <c:pt idx="510">
                  <c:v>380</c:v>
                </c:pt>
                <c:pt idx="511">
                  <c:v>380</c:v>
                </c:pt>
                <c:pt idx="512">
                  <c:v>267</c:v>
                </c:pt>
                <c:pt idx="513">
                  <c:v>270</c:v>
                </c:pt>
                <c:pt idx="514">
                  <c:v>271</c:v>
                </c:pt>
                <c:pt idx="515">
                  <c:v>360</c:v>
                </c:pt>
                <c:pt idx="516">
                  <c:v>260</c:v>
                </c:pt>
                <c:pt idx="517">
                  <c:v>300</c:v>
                </c:pt>
                <c:pt idx="518">
                  <c:v>0</c:v>
                </c:pt>
                <c:pt idx="519">
                  <c:v>0</c:v>
                </c:pt>
                <c:pt idx="520">
                  <c:v>0</c:v>
                </c:pt>
                <c:pt idx="521">
                  <c:v>132</c:v>
                </c:pt>
                <c:pt idx="522">
                  <c:v>132</c:v>
                </c:pt>
                <c:pt idx="523">
                  <c:v>132</c:v>
                </c:pt>
                <c:pt idx="524">
                  <c:v>0</c:v>
                </c:pt>
                <c:pt idx="525">
                  <c:v>0</c:v>
                </c:pt>
                <c:pt idx="526">
                  <c:v>0</c:v>
                </c:pt>
                <c:pt idx="527">
                  <c:v>0</c:v>
                </c:pt>
                <c:pt idx="528">
                  <c:v>0</c:v>
                </c:pt>
                <c:pt idx="529">
                  <c:v>0</c:v>
                </c:pt>
                <c:pt idx="530">
                  <c:v>0</c:v>
                </c:pt>
                <c:pt idx="531">
                  <c:v>0</c:v>
                </c:pt>
                <c:pt idx="532">
                  <c:v>0</c:v>
                </c:pt>
                <c:pt idx="533">
                  <c:v>264</c:v>
                </c:pt>
                <c:pt idx="534">
                  <c:v>264</c:v>
                </c:pt>
                <c:pt idx="535">
                  <c:v>264</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83</c:v>
                </c:pt>
                <c:pt idx="555">
                  <c:v>85</c:v>
                </c:pt>
                <c:pt idx="556">
                  <c:v>89</c:v>
                </c:pt>
                <c:pt idx="557">
                  <c:v>164</c:v>
                </c:pt>
                <c:pt idx="558">
                  <c:v>319</c:v>
                </c:pt>
                <c:pt idx="559">
                  <c:v>344</c:v>
                </c:pt>
                <c:pt idx="560">
                  <c:v>344</c:v>
                </c:pt>
                <c:pt idx="561">
                  <c:v>40</c:v>
                </c:pt>
                <c:pt idx="562">
                  <c:v>40</c:v>
                </c:pt>
                <c:pt idx="563">
                  <c:v>28</c:v>
                </c:pt>
                <c:pt idx="564">
                  <c:v>28</c:v>
                </c:pt>
                <c:pt idx="565">
                  <c:v>31</c:v>
                </c:pt>
                <c:pt idx="566">
                  <c:v>31</c:v>
                </c:pt>
                <c:pt idx="567">
                  <c:v>179</c:v>
                </c:pt>
                <c:pt idx="568">
                  <c:v>179</c:v>
                </c:pt>
                <c:pt idx="569">
                  <c:v>26</c:v>
                </c:pt>
                <c:pt idx="570">
                  <c:v>26</c:v>
                </c:pt>
                <c:pt idx="571">
                  <c:v>0</c:v>
                </c:pt>
                <c:pt idx="572">
                  <c:v>0</c:v>
                </c:pt>
                <c:pt idx="573">
                  <c:v>125</c:v>
                </c:pt>
                <c:pt idx="574">
                  <c:v>275</c:v>
                </c:pt>
                <c:pt idx="575">
                  <c:v>275</c:v>
                </c:pt>
                <c:pt idx="576">
                  <c:v>20</c:v>
                </c:pt>
                <c:pt idx="577">
                  <c:v>20</c:v>
                </c:pt>
                <c:pt idx="578">
                  <c:v>20</c:v>
                </c:pt>
                <c:pt idx="579">
                  <c:v>160</c:v>
                </c:pt>
                <c:pt idx="580">
                  <c:v>160</c:v>
                </c:pt>
                <c:pt idx="581">
                  <c:v>180</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Dashboard'!$L$5:$M$791</c:f>
              <c:multiLvlStrCache>
                <c:ptCount val="582"/>
                <c:lvl>
                  <c:pt idx="0">
                    <c:v>2022_Q1</c:v>
                  </c:pt>
                  <c:pt idx="1">
                    <c:v>2022_Q1</c:v>
                  </c:pt>
                  <c:pt idx="2">
                    <c:v>2022_Q2</c:v>
                  </c:pt>
                  <c:pt idx="3">
                    <c:v>2022_Q3</c:v>
                  </c:pt>
                  <c:pt idx="4">
                    <c:v>2022_Q1</c:v>
                  </c:pt>
                  <c:pt idx="5">
                    <c:v>2022_Q2</c:v>
                  </c:pt>
                  <c:pt idx="6">
                    <c:v>2022_Q3</c:v>
                  </c:pt>
                  <c:pt idx="7">
                    <c:v>2022_Q1</c:v>
                  </c:pt>
                  <c:pt idx="8">
                    <c:v>2022_Q2</c:v>
                  </c:pt>
                  <c:pt idx="9">
                    <c:v>2022_Q3</c:v>
                  </c:pt>
                  <c:pt idx="10">
                    <c:v>2022_Q1</c:v>
                  </c:pt>
                  <c:pt idx="11">
                    <c:v>2022_Q2</c:v>
                  </c:pt>
                  <c:pt idx="12">
                    <c:v>2022_Q3</c:v>
                  </c:pt>
                  <c:pt idx="13">
                    <c:v>2022_Q1</c:v>
                  </c:pt>
                  <c:pt idx="14">
                    <c:v>2022_Q2</c:v>
                  </c:pt>
                  <c:pt idx="15">
                    <c:v>2022_Q3</c:v>
                  </c:pt>
                  <c:pt idx="16">
                    <c:v>2022_Q1</c:v>
                  </c:pt>
                  <c:pt idx="17">
                    <c:v>2022_Q2</c:v>
                  </c:pt>
                  <c:pt idx="18">
                    <c:v>2022_Q3</c:v>
                  </c:pt>
                  <c:pt idx="19">
                    <c:v>2022_Q1</c:v>
                  </c:pt>
                  <c:pt idx="20">
                    <c:v>2022_Q2</c:v>
                  </c:pt>
                  <c:pt idx="21">
                    <c:v>2022_Q3</c:v>
                  </c:pt>
                  <c:pt idx="22">
                    <c:v>2022_Q1</c:v>
                  </c:pt>
                  <c:pt idx="23">
                    <c:v>2022_Q2</c:v>
                  </c:pt>
                  <c:pt idx="24">
                    <c:v>2022_Q3</c:v>
                  </c:pt>
                  <c:pt idx="25">
                    <c:v>2022_Q1</c:v>
                  </c:pt>
                  <c:pt idx="26">
                    <c:v>2022_Q2</c:v>
                  </c:pt>
                  <c:pt idx="27">
                    <c:v>2022_Q3</c:v>
                  </c:pt>
                  <c:pt idx="28">
                    <c:v>2022_Q1</c:v>
                  </c:pt>
                  <c:pt idx="29">
                    <c:v>2022_Q2</c:v>
                  </c:pt>
                  <c:pt idx="30">
                    <c:v>2022_Q3</c:v>
                  </c:pt>
                  <c:pt idx="31">
                    <c:v>2022_Q1</c:v>
                  </c:pt>
                  <c:pt idx="32">
                    <c:v>2022_Q2</c:v>
                  </c:pt>
                  <c:pt idx="33">
                    <c:v>2022_Q3</c:v>
                  </c:pt>
                  <c:pt idx="34">
                    <c:v>2022_Q1</c:v>
                  </c:pt>
                  <c:pt idx="35">
                    <c:v>2022_Q2</c:v>
                  </c:pt>
                  <c:pt idx="36">
                    <c:v>2022_Q3</c:v>
                  </c:pt>
                  <c:pt idx="37">
                    <c:v>2022_Q1</c:v>
                  </c:pt>
                  <c:pt idx="38">
                    <c:v>2022_Q2</c:v>
                  </c:pt>
                  <c:pt idx="39">
                    <c:v>2022_Q3</c:v>
                  </c:pt>
                  <c:pt idx="40">
                    <c:v>2022_Q1</c:v>
                  </c:pt>
                  <c:pt idx="41">
                    <c:v>2022_Q2</c:v>
                  </c:pt>
                  <c:pt idx="42">
                    <c:v>2022_Q3</c:v>
                  </c:pt>
                  <c:pt idx="43">
                    <c:v>2022_Q1</c:v>
                  </c:pt>
                  <c:pt idx="44">
                    <c:v>2022_Q2</c:v>
                  </c:pt>
                  <c:pt idx="45">
                    <c:v>2022_Q3</c:v>
                  </c:pt>
                  <c:pt idx="46">
                    <c:v>2022_Q1</c:v>
                  </c:pt>
                  <c:pt idx="47">
                    <c:v>2022_Q2</c:v>
                  </c:pt>
                  <c:pt idx="48">
                    <c:v>2022_Q3</c:v>
                  </c:pt>
                  <c:pt idx="49">
                    <c:v>2022_Q1</c:v>
                  </c:pt>
                  <c:pt idx="50">
                    <c:v>2022_Q2</c:v>
                  </c:pt>
                  <c:pt idx="51">
                    <c:v>2022_Q3</c:v>
                  </c:pt>
                  <c:pt idx="52">
                    <c:v>2022_Q1</c:v>
                  </c:pt>
                  <c:pt idx="53">
                    <c:v>2022_Q2</c:v>
                  </c:pt>
                  <c:pt idx="54">
                    <c:v>2022_Q3</c:v>
                  </c:pt>
                  <c:pt idx="55">
                    <c:v>2022_Q1</c:v>
                  </c:pt>
                  <c:pt idx="56">
                    <c:v>2022_Q2</c:v>
                  </c:pt>
                  <c:pt idx="57">
                    <c:v>2022_Q3</c:v>
                  </c:pt>
                  <c:pt idx="58">
                    <c:v>2022_Q1</c:v>
                  </c:pt>
                  <c:pt idx="59">
                    <c:v>2022_Q2</c:v>
                  </c:pt>
                  <c:pt idx="60">
                    <c:v>2022_Q3</c:v>
                  </c:pt>
                  <c:pt idx="61">
                    <c:v>2022_Q1</c:v>
                  </c:pt>
                  <c:pt idx="62">
                    <c:v>2022_Q2</c:v>
                  </c:pt>
                  <c:pt idx="63">
                    <c:v>2022_Q3</c:v>
                  </c:pt>
                  <c:pt idx="64">
                    <c:v>2022_Q1</c:v>
                  </c:pt>
                  <c:pt idx="65">
                    <c:v>2022_Q2</c:v>
                  </c:pt>
                  <c:pt idx="66">
                    <c:v>2022_Q3</c:v>
                  </c:pt>
                  <c:pt idx="67">
                    <c:v>2022_Q1</c:v>
                  </c:pt>
                  <c:pt idx="68">
                    <c:v>2022_Q2</c:v>
                  </c:pt>
                  <c:pt idx="69">
                    <c:v>2022_Q3</c:v>
                  </c:pt>
                  <c:pt idx="70">
                    <c:v>2022_Q1</c:v>
                  </c:pt>
                  <c:pt idx="71">
                    <c:v>2022_Q2</c:v>
                  </c:pt>
                  <c:pt idx="72">
                    <c:v>2022_Q3</c:v>
                  </c:pt>
                  <c:pt idx="73">
                    <c:v>2022_Q1</c:v>
                  </c:pt>
                  <c:pt idx="74">
                    <c:v>2022_Q2</c:v>
                  </c:pt>
                  <c:pt idx="75">
                    <c:v>2022_Q3</c:v>
                  </c:pt>
                  <c:pt idx="76">
                    <c:v>2022_Q1</c:v>
                  </c:pt>
                  <c:pt idx="77">
                    <c:v>2022_Q2</c:v>
                  </c:pt>
                  <c:pt idx="78">
                    <c:v>2022_Q3</c:v>
                  </c:pt>
                  <c:pt idx="79">
                    <c:v>2022_Q1</c:v>
                  </c:pt>
                  <c:pt idx="80">
                    <c:v>2022_Q2</c:v>
                  </c:pt>
                  <c:pt idx="81">
                    <c:v>2022_Q3</c:v>
                  </c:pt>
                  <c:pt idx="82">
                    <c:v>2022_Q1</c:v>
                  </c:pt>
                  <c:pt idx="83">
                    <c:v>2022_Q2</c:v>
                  </c:pt>
                  <c:pt idx="84">
                    <c:v>2022_Q3</c:v>
                  </c:pt>
                  <c:pt idx="85">
                    <c:v>2022_Q1</c:v>
                  </c:pt>
                  <c:pt idx="86">
                    <c:v>2022_Q2</c:v>
                  </c:pt>
                  <c:pt idx="87">
                    <c:v>2022_Q3</c:v>
                  </c:pt>
                  <c:pt idx="88">
                    <c:v>2022_Q1</c:v>
                  </c:pt>
                  <c:pt idx="89">
                    <c:v>2022_Q2</c:v>
                  </c:pt>
                  <c:pt idx="90">
                    <c:v>2022_Q3</c:v>
                  </c:pt>
                  <c:pt idx="91">
                    <c:v>2022_Q1</c:v>
                  </c:pt>
                  <c:pt idx="92">
                    <c:v>2022_Q2</c:v>
                  </c:pt>
                  <c:pt idx="93">
                    <c:v>2022_Q3</c:v>
                  </c:pt>
                  <c:pt idx="94">
                    <c:v>2022_Q1</c:v>
                  </c:pt>
                  <c:pt idx="95">
                    <c:v>2022_Q2</c:v>
                  </c:pt>
                  <c:pt idx="96">
                    <c:v>2022_Q3</c:v>
                  </c:pt>
                  <c:pt idx="97">
                    <c:v>2022_Q1</c:v>
                  </c:pt>
                  <c:pt idx="98">
                    <c:v>2022_Q2</c:v>
                  </c:pt>
                  <c:pt idx="99">
                    <c:v>2022_Q3</c:v>
                  </c:pt>
                  <c:pt idx="100">
                    <c:v>2022_Q1</c:v>
                  </c:pt>
                  <c:pt idx="101">
                    <c:v>2022_Q2</c:v>
                  </c:pt>
                  <c:pt idx="102">
                    <c:v>2022_Q3</c:v>
                  </c:pt>
                  <c:pt idx="103">
                    <c:v>2022_Q1</c:v>
                  </c:pt>
                  <c:pt idx="104">
                    <c:v>2022_Q2</c:v>
                  </c:pt>
                  <c:pt idx="105">
                    <c:v>2022_Q3</c:v>
                  </c:pt>
                  <c:pt idx="106">
                    <c:v>2022_Q1</c:v>
                  </c:pt>
                  <c:pt idx="107">
                    <c:v>2022_Q2</c:v>
                  </c:pt>
                  <c:pt idx="108">
                    <c:v>2022_Q3</c:v>
                  </c:pt>
                  <c:pt idx="109">
                    <c:v>2022_Q1</c:v>
                  </c:pt>
                  <c:pt idx="110">
                    <c:v>2022_Q2</c:v>
                  </c:pt>
                  <c:pt idx="111">
                    <c:v>2022_Q3</c:v>
                  </c:pt>
                  <c:pt idx="112">
                    <c:v>2022_Q1</c:v>
                  </c:pt>
                  <c:pt idx="113">
                    <c:v>2022_Q2</c:v>
                  </c:pt>
                  <c:pt idx="114">
                    <c:v>2022_Q3</c:v>
                  </c:pt>
                  <c:pt idx="115">
                    <c:v>2022_Q1</c:v>
                  </c:pt>
                  <c:pt idx="116">
                    <c:v>2022_Q2</c:v>
                  </c:pt>
                  <c:pt idx="117">
                    <c:v>2022_Q3</c:v>
                  </c:pt>
                  <c:pt idx="118">
                    <c:v>2022_Q1</c:v>
                  </c:pt>
                  <c:pt idx="119">
                    <c:v>2022_Q2</c:v>
                  </c:pt>
                  <c:pt idx="120">
                    <c:v>2022_Q3</c:v>
                  </c:pt>
                  <c:pt idx="121">
                    <c:v>2022_Q1</c:v>
                  </c:pt>
                  <c:pt idx="122">
                    <c:v>2022_Q1</c:v>
                  </c:pt>
                  <c:pt idx="123">
                    <c:v>2022_Q2</c:v>
                  </c:pt>
                  <c:pt idx="124">
                    <c:v>2022_Q3</c:v>
                  </c:pt>
                  <c:pt idx="125">
                    <c:v>2022_Q1</c:v>
                  </c:pt>
                  <c:pt idx="126">
                    <c:v>2022_Q2</c:v>
                  </c:pt>
                  <c:pt idx="127">
                    <c:v>2022_Q3</c:v>
                  </c:pt>
                  <c:pt idx="128">
                    <c:v>2022_Q1</c:v>
                  </c:pt>
                  <c:pt idx="129">
                    <c:v>2022_Q2</c:v>
                  </c:pt>
                  <c:pt idx="130">
                    <c:v>2022_Q3</c:v>
                  </c:pt>
                  <c:pt idx="131">
                    <c:v>2022_Q1</c:v>
                  </c:pt>
                  <c:pt idx="132">
                    <c:v>2022_Q2</c:v>
                  </c:pt>
                  <c:pt idx="133">
                    <c:v>2022_Q3</c:v>
                  </c:pt>
                  <c:pt idx="134">
                    <c:v>2022_Q1</c:v>
                  </c:pt>
                  <c:pt idx="135">
                    <c:v>2022_Q2</c:v>
                  </c:pt>
                  <c:pt idx="136">
                    <c:v>2022_Q3</c:v>
                  </c:pt>
                  <c:pt idx="137">
                    <c:v>2022_Q1</c:v>
                  </c:pt>
                  <c:pt idx="138">
                    <c:v>2022_Q2</c:v>
                  </c:pt>
                  <c:pt idx="139">
                    <c:v>2022_Q3</c:v>
                  </c:pt>
                  <c:pt idx="140">
                    <c:v>2022_Q1</c:v>
                  </c:pt>
                  <c:pt idx="141">
                    <c:v>2022_Q2</c:v>
                  </c:pt>
                  <c:pt idx="142">
                    <c:v>2022_Q3</c:v>
                  </c:pt>
                  <c:pt idx="143">
                    <c:v>2022_Q1</c:v>
                  </c:pt>
                  <c:pt idx="144">
                    <c:v>2022_Q2</c:v>
                  </c:pt>
                  <c:pt idx="145">
                    <c:v>2022_Q3</c:v>
                  </c:pt>
                  <c:pt idx="146">
                    <c:v>2022_Q1</c:v>
                  </c:pt>
                  <c:pt idx="147">
                    <c:v>2022_Q2</c:v>
                  </c:pt>
                  <c:pt idx="148">
                    <c:v>2022_Q3</c:v>
                  </c:pt>
                  <c:pt idx="149">
                    <c:v>2022_Q1</c:v>
                  </c:pt>
                  <c:pt idx="150">
                    <c:v>2022_Q2</c:v>
                  </c:pt>
                  <c:pt idx="151">
                    <c:v>2022_Q3</c:v>
                  </c:pt>
                  <c:pt idx="152">
                    <c:v>2022_Q1</c:v>
                  </c:pt>
                  <c:pt idx="153">
                    <c:v>2022_Q2</c:v>
                  </c:pt>
                  <c:pt idx="154">
                    <c:v>2022_Q3</c:v>
                  </c:pt>
                  <c:pt idx="155">
                    <c:v>2022_Q1</c:v>
                  </c:pt>
                  <c:pt idx="156">
                    <c:v>2022_Q2</c:v>
                  </c:pt>
                  <c:pt idx="157">
                    <c:v>2022_Q3</c:v>
                  </c:pt>
                  <c:pt idx="158">
                    <c:v>2022_Q1</c:v>
                  </c:pt>
                  <c:pt idx="159">
                    <c:v>2022_Q1</c:v>
                  </c:pt>
                  <c:pt idx="160">
                    <c:v>2022_Q2</c:v>
                  </c:pt>
                  <c:pt idx="161">
                    <c:v>2022_Q1</c:v>
                  </c:pt>
                  <c:pt idx="162">
                    <c:v>2022_Q2</c:v>
                  </c:pt>
                  <c:pt idx="163">
                    <c:v>2022_Q3</c:v>
                  </c:pt>
                  <c:pt idx="164">
                    <c:v>2022_Q1</c:v>
                  </c:pt>
                  <c:pt idx="165">
                    <c:v>2022_Q2</c:v>
                  </c:pt>
                  <c:pt idx="166">
                    <c:v>2022_Q3</c:v>
                  </c:pt>
                  <c:pt idx="167">
                    <c:v>2022_Q1</c:v>
                  </c:pt>
                  <c:pt idx="168">
                    <c:v>2022_Q2</c:v>
                  </c:pt>
                  <c:pt idx="169">
                    <c:v>2022_Q3</c:v>
                  </c:pt>
                  <c:pt idx="170">
                    <c:v>2022_Q1</c:v>
                  </c:pt>
                  <c:pt idx="171">
                    <c:v>2022_Q2</c:v>
                  </c:pt>
                  <c:pt idx="172">
                    <c:v>2022_Q3</c:v>
                  </c:pt>
                  <c:pt idx="173">
                    <c:v>2022_Q1</c:v>
                  </c:pt>
                  <c:pt idx="174">
                    <c:v>2022_Q2</c:v>
                  </c:pt>
                  <c:pt idx="175">
                    <c:v>2022_Q3</c:v>
                  </c:pt>
                  <c:pt idx="176">
                    <c:v>2022_Q1</c:v>
                  </c:pt>
                  <c:pt idx="177">
                    <c:v>2022_Q2</c:v>
                  </c:pt>
                  <c:pt idx="178">
                    <c:v>2022_Q3</c:v>
                  </c:pt>
                  <c:pt idx="179">
                    <c:v>2022_Q1</c:v>
                  </c:pt>
                  <c:pt idx="180">
                    <c:v>2022_Q2</c:v>
                  </c:pt>
                  <c:pt idx="181">
                    <c:v>2022_Q3</c:v>
                  </c:pt>
                  <c:pt idx="182">
                    <c:v>2022_Q1</c:v>
                  </c:pt>
                  <c:pt idx="183">
                    <c:v>2022_Q2</c:v>
                  </c:pt>
                  <c:pt idx="184">
                    <c:v>2022_Q3</c:v>
                  </c:pt>
                  <c:pt idx="185">
                    <c:v>2022_Q1</c:v>
                  </c:pt>
                  <c:pt idx="186">
                    <c:v>2022_Q2</c:v>
                  </c:pt>
                  <c:pt idx="187">
                    <c:v>2022_Q3</c:v>
                  </c:pt>
                  <c:pt idx="188">
                    <c:v>2022_Q1</c:v>
                  </c:pt>
                  <c:pt idx="189">
                    <c:v>2022_Q2</c:v>
                  </c:pt>
                  <c:pt idx="190">
                    <c:v>2022_Q3</c:v>
                  </c:pt>
                  <c:pt idx="191">
                    <c:v>2022_Q1</c:v>
                  </c:pt>
                  <c:pt idx="192">
                    <c:v>2022_Q2</c:v>
                  </c:pt>
                  <c:pt idx="193">
                    <c:v>2022_Q3</c:v>
                  </c:pt>
                  <c:pt idx="194">
                    <c:v>2022_Q1</c:v>
                  </c:pt>
                  <c:pt idx="195">
                    <c:v>2022_Q2</c:v>
                  </c:pt>
                  <c:pt idx="196">
                    <c:v>2022_Q3</c:v>
                  </c:pt>
                  <c:pt idx="197">
                    <c:v>2022_Q1</c:v>
                  </c:pt>
                  <c:pt idx="198">
                    <c:v>2022_Q2</c:v>
                  </c:pt>
                  <c:pt idx="199">
                    <c:v>2022_Q3</c:v>
                  </c:pt>
                  <c:pt idx="200">
                    <c:v>2022_Q1</c:v>
                  </c:pt>
                  <c:pt idx="201">
                    <c:v>2022_Q2</c:v>
                  </c:pt>
                  <c:pt idx="202">
                    <c:v>2022_Q3</c:v>
                  </c:pt>
                  <c:pt idx="203">
                    <c:v>2022_Q1</c:v>
                  </c:pt>
                  <c:pt idx="204">
                    <c:v>2022_Q2</c:v>
                  </c:pt>
                  <c:pt idx="205">
                    <c:v>2022_Q3</c:v>
                  </c:pt>
                  <c:pt idx="206">
                    <c:v>2022_Q1</c:v>
                  </c:pt>
                  <c:pt idx="207">
                    <c:v>2022_Q2</c:v>
                  </c:pt>
                  <c:pt idx="208">
                    <c:v>2022_Q3</c:v>
                  </c:pt>
                  <c:pt idx="209">
                    <c:v>2022_Q1</c:v>
                  </c:pt>
                  <c:pt idx="210">
                    <c:v>2022_Q2</c:v>
                  </c:pt>
                  <c:pt idx="211">
                    <c:v>2022_Q3</c:v>
                  </c:pt>
                  <c:pt idx="212">
                    <c:v>2022_Q1</c:v>
                  </c:pt>
                  <c:pt idx="213">
                    <c:v>2022_Q2</c:v>
                  </c:pt>
                  <c:pt idx="214">
                    <c:v>2022_Q3</c:v>
                  </c:pt>
                  <c:pt idx="215">
                    <c:v>2022_Q1</c:v>
                  </c:pt>
                  <c:pt idx="216">
                    <c:v>2022_Q2</c:v>
                  </c:pt>
                  <c:pt idx="217">
                    <c:v>2022_Q3</c:v>
                  </c:pt>
                  <c:pt idx="218">
                    <c:v>2022_Q1</c:v>
                  </c:pt>
                  <c:pt idx="219">
                    <c:v>2022_Q2</c:v>
                  </c:pt>
                  <c:pt idx="220">
                    <c:v>2022_Q3</c:v>
                  </c:pt>
                  <c:pt idx="221">
                    <c:v>2022_Q1</c:v>
                  </c:pt>
                  <c:pt idx="222">
                    <c:v>2022_Q2</c:v>
                  </c:pt>
                  <c:pt idx="223">
                    <c:v>2022_Q3</c:v>
                  </c:pt>
                  <c:pt idx="224">
                    <c:v>2022_Q1</c:v>
                  </c:pt>
                  <c:pt idx="225">
                    <c:v>2022_Q2</c:v>
                  </c:pt>
                  <c:pt idx="226">
                    <c:v>2022_Q3</c:v>
                  </c:pt>
                  <c:pt idx="227">
                    <c:v>2022_Q1</c:v>
                  </c:pt>
                  <c:pt idx="228">
                    <c:v>2022_Q2</c:v>
                  </c:pt>
                  <c:pt idx="229">
                    <c:v>2022_Q3</c:v>
                  </c:pt>
                  <c:pt idx="230">
                    <c:v>2022_Q1</c:v>
                  </c:pt>
                  <c:pt idx="231">
                    <c:v>2022_Q2</c:v>
                  </c:pt>
                  <c:pt idx="232">
                    <c:v>2022_Q3</c:v>
                  </c:pt>
                  <c:pt idx="233">
                    <c:v>2022_Q1</c:v>
                  </c:pt>
                  <c:pt idx="234">
                    <c:v>2022_Q2</c:v>
                  </c:pt>
                  <c:pt idx="235">
                    <c:v>2022_Q3</c:v>
                  </c:pt>
                  <c:pt idx="236">
                    <c:v>2022_Q1</c:v>
                  </c:pt>
                  <c:pt idx="237">
                    <c:v>2022_Q2</c:v>
                  </c:pt>
                  <c:pt idx="238">
                    <c:v>2022_Q3</c:v>
                  </c:pt>
                  <c:pt idx="239">
                    <c:v>2022_Q1</c:v>
                  </c:pt>
                  <c:pt idx="240">
                    <c:v>2022_Q2</c:v>
                  </c:pt>
                  <c:pt idx="241">
                    <c:v>2022_Q3</c:v>
                  </c:pt>
                  <c:pt idx="242">
                    <c:v>2022_Q1</c:v>
                  </c:pt>
                  <c:pt idx="243">
                    <c:v>2022_Q2</c:v>
                  </c:pt>
                  <c:pt idx="244">
                    <c:v>2022_Q3</c:v>
                  </c:pt>
                  <c:pt idx="245">
                    <c:v>2022_Q1</c:v>
                  </c:pt>
                  <c:pt idx="246">
                    <c:v>2022_Q2</c:v>
                  </c:pt>
                  <c:pt idx="247">
                    <c:v>2022_Q3</c:v>
                  </c:pt>
                  <c:pt idx="248">
                    <c:v>2022_Q1</c:v>
                  </c:pt>
                  <c:pt idx="249">
                    <c:v>2022_Q2</c:v>
                  </c:pt>
                  <c:pt idx="250">
                    <c:v>2022_Q3</c:v>
                  </c:pt>
                  <c:pt idx="251">
                    <c:v>2022_Q1</c:v>
                  </c:pt>
                  <c:pt idx="252">
                    <c:v>2022_Q2</c:v>
                  </c:pt>
                  <c:pt idx="253">
                    <c:v>2022_Q3</c:v>
                  </c:pt>
                  <c:pt idx="254">
                    <c:v>2022_Q1</c:v>
                  </c:pt>
                  <c:pt idx="255">
                    <c:v>2022_Q2</c:v>
                  </c:pt>
                  <c:pt idx="256">
                    <c:v>2022_Q3</c:v>
                  </c:pt>
                  <c:pt idx="257">
                    <c:v>2022_Q1</c:v>
                  </c:pt>
                  <c:pt idx="258">
                    <c:v>2022_Q2</c:v>
                  </c:pt>
                  <c:pt idx="259">
                    <c:v>2022_Q3</c:v>
                  </c:pt>
                  <c:pt idx="260">
                    <c:v>2022_Q1</c:v>
                  </c:pt>
                  <c:pt idx="261">
                    <c:v>2022_Q2</c:v>
                  </c:pt>
                  <c:pt idx="262">
                    <c:v>2022_Q3</c:v>
                  </c:pt>
                  <c:pt idx="263">
                    <c:v>2022_Q1</c:v>
                  </c:pt>
                  <c:pt idx="264">
                    <c:v>2022_Q2</c:v>
                  </c:pt>
                  <c:pt idx="265">
                    <c:v>2022_Q3</c:v>
                  </c:pt>
                  <c:pt idx="266">
                    <c:v>2022_Q1</c:v>
                  </c:pt>
                  <c:pt idx="267">
                    <c:v>2022_Q2</c:v>
                  </c:pt>
                  <c:pt idx="268">
                    <c:v>2022_Q3</c:v>
                  </c:pt>
                  <c:pt idx="269">
                    <c:v>2022_Q1</c:v>
                  </c:pt>
                  <c:pt idx="270">
                    <c:v>2022_Q2</c:v>
                  </c:pt>
                  <c:pt idx="271">
                    <c:v>2022_Q3</c:v>
                  </c:pt>
                  <c:pt idx="272">
                    <c:v>2022_Q1</c:v>
                  </c:pt>
                  <c:pt idx="273">
                    <c:v>2022_Q2</c:v>
                  </c:pt>
                  <c:pt idx="274">
                    <c:v>2022_Q3</c:v>
                  </c:pt>
                  <c:pt idx="275">
                    <c:v>2022_Q1</c:v>
                  </c:pt>
                  <c:pt idx="276">
                    <c:v>2022_Q2</c:v>
                  </c:pt>
                  <c:pt idx="277">
                    <c:v>2022_Q3</c:v>
                  </c:pt>
                  <c:pt idx="278">
                    <c:v>2022_Q1</c:v>
                  </c:pt>
                  <c:pt idx="279">
                    <c:v>2022_Q2</c:v>
                  </c:pt>
                  <c:pt idx="280">
                    <c:v>2022_Q3</c:v>
                  </c:pt>
                  <c:pt idx="281">
                    <c:v>2022_Q1</c:v>
                  </c:pt>
                  <c:pt idx="282">
                    <c:v>2022_Q2</c:v>
                  </c:pt>
                  <c:pt idx="283">
                    <c:v>2022_Q3</c:v>
                  </c:pt>
                  <c:pt idx="284">
                    <c:v>2022_Q1</c:v>
                  </c:pt>
                  <c:pt idx="285">
                    <c:v>2022_Q2</c:v>
                  </c:pt>
                  <c:pt idx="286">
                    <c:v>2022_Q3</c:v>
                  </c:pt>
                  <c:pt idx="287">
                    <c:v>2022_Q1</c:v>
                  </c:pt>
                  <c:pt idx="288">
                    <c:v>2022_Q2</c:v>
                  </c:pt>
                  <c:pt idx="289">
                    <c:v>2022_Q3</c:v>
                  </c:pt>
                  <c:pt idx="290">
                    <c:v>2022_Q1</c:v>
                  </c:pt>
                  <c:pt idx="291">
                    <c:v>2022_Q2</c:v>
                  </c:pt>
                  <c:pt idx="292">
                    <c:v>2022_Q3</c:v>
                  </c:pt>
                  <c:pt idx="293">
                    <c:v>2022_Q1</c:v>
                  </c:pt>
                  <c:pt idx="294">
                    <c:v>2022_Q2</c:v>
                  </c:pt>
                  <c:pt idx="295">
                    <c:v>2022_Q3</c:v>
                  </c:pt>
                  <c:pt idx="296">
                    <c:v>2022_Q1</c:v>
                  </c:pt>
                  <c:pt idx="297">
                    <c:v>2022_Q2</c:v>
                  </c:pt>
                  <c:pt idx="298">
                    <c:v>2022_Q3</c:v>
                  </c:pt>
                  <c:pt idx="299">
                    <c:v>2022_Q1</c:v>
                  </c:pt>
                  <c:pt idx="300">
                    <c:v>2022_Q2</c:v>
                  </c:pt>
                  <c:pt idx="301">
                    <c:v>2022_Q3</c:v>
                  </c:pt>
                  <c:pt idx="302">
                    <c:v>2022_Q1</c:v>
                  </c:pt>
                  <c:pt idx="303">
                    <c:v>2022_Q2</c:v>
                  </c:pt>
                  <c:pt idx="304">
                    <c:v>2022_Q3</c:v>
                  </c:pt>
                  <c:pt idx="305">
                    <c:v>2022_Q1</c:v>
                  </c:pt>
                  <c:pt idx="306">
                    <c:v>2022_Q2</c:v>
                  </c:pt>
                  <c:pt idx="307">
                    <c:v>2022_Q3</c:v>
                  </c:pt>
                  <c:pt idx="308">
                    <c:v>2022_Q1</c:v>
                  </c:pt>
                  <c:pt idx="309">
                    <c:v>2022_Q2</c:v>
                  </c:pt>
                  <c:pt idx="310">
                    <c:v>2022_Q3</c:v>
                  </c:pt>
                  <c:pt idx="311">
                    <c:v>2022_Q1</c:v>
                  </c:pt>
                  <c:pt idx="312">
                    <c:v>2022_Q2</c:v>
                  </c:pt>
                  <c:pt idx="313">
                    <c:v>2022_Q3</c:v>
                  </c:pt>
                  <c:pt idx="314">
                    <c:v>2022_Q1</c:v>
                  </c:pt>
                  <c:pt idx="315">
                    <c:v>2022_Q2</c:v>
                  </c:pt>
                  <c:pt idx="316">
                    <c:v>2022_Q3</c:v>
                  </c:pt>
                  <c:pt idx="317">
                    <c:v>2022_Q1</c:v>
                  </c:pt>
                  <c:pt idx="318">
                    <c:v>2022_Q2</c:v>
                  </c:pt>
                  <c:pt idx="319">
                    <c:v>2022_Q3</c:v>
                  </c:pt>
                  <c:pt idx="320">
                    <c:v>2022_Q1</c:v>
                  </c:pt>
                  <c:pt idx="321">
                    <c:v>2022_Q2</c:v>
                  </c:pt>
                  <c:pt idx="322">
                    <c:v>2022_Q3</c:v>
                  </c:pt>
                  <c:pt idx="323">
                    <c:v>2022_Q1</c:v>
                  </c:pt>
                  <c:pt idx="324">
                    <c:v>2022_Q2</c:v>
                  </c:pt>
                  <c:pt idx="325">
                    <c:v>2022_Q3</c:v>
                  </c:pt>
                  <c:pt idx="326">
                    <c:v>2022_Q1</c:v>
                  </c:pt>
                  <c:pt idx="327">
                    <c:v>2022_Q1</c:v>
                  </c:pt>
                  <c:pt idx="328">
                    <c:v>2022_Q2</c:v>
                  </c:pt>
                  <c:pt idx="329">
                    <c:v>2022_Q3</c:v>
                  </c:pt>
                  <c:pt idx="330">
                    <c:v>2022_Q1</c:v>
                  </c:pt>
                  <c:pt idx="331">
                    <c:v>2022_Q2</c:v>
                  </c:pt>
                  <c:pt idx="332">
                    <c:v>2022_Q3</c:v>
                  </c:pt>
                  <c:pt idx="333">
                    <c:v>2022_Q1</c:v>
                  </c:pt>
                  <c:pt idx="334">
                    <c:v>2022_Q2</c:v>
                  </c:pt>
                  <c:pt idx="335">
                    <c:v>2022_Q3</c:v>
                  </c:pt>
                  <c:pt idx="336">
                    <c:v>2022_Q1</c:v>
                  </c:pt>
                  <c:pt idx="337">
                    <c:v>2022_Q2</c:v>
                  </c:pt>
                  <c:pt idx="338">
                    <c:v>2022_Q3</c:v>
                  </c:pt>
                  <c:pt idx="339">
                    <c:v>2022_Q1</c:v>
                  </c:pt>
                  <c:pt idx="340">
                    <c:v>2022_Q2</c:v>
                  </c:pt>
                  <c:pt idx="341">
                    <c:v>2022_Q3</c:v>
                  </c:pt>
                  <c:pt idx="342">
                    <c:v>2022_Q1</c:v>
                  </c:pt>
                  <c:pt idx="343">
                    <c:v>2022_Q2</c:v>
                  </c:pt>
                  <c:pt idx="344">
                    <c:v>2022_Q3</c:v>
                  </c:pt>
                  <c:pt idx="345">
                    <c:v>2022_Q1</c:v>
                  </c:pt>
                  <c:pt idx="346">
                    <c:v>2022_Q2</c:v>
                  </c:pt>
                  <c:pt idx="347">
                    <c:v>2022_Q3</c:v>
                  </c:pt>
                  <c:pt idx="348">
                    <c:v>2022_Q1</c:v>
                  </c:pt>
                  <c:pt idx="349">
                    <c:v>2022_Q2</c:v>
                  </c:pt>
                  <c:pt idx="350">
                    <c:v>2022_Q3</c:v>
                  </c:pt>
                  <c:pt idx="351">
                    <c:v>2022_Q1</c:v>
                  </c:pt>
                  <c:pt idx="352">
                    <c:v>2022_Q2</c:v>
                  </c:pt>
                  <c:pt idx="353">
                    <c:v>2022_Q3</c:v>
                  </c:pt>
                  <c:pt idx="354">
                    <c:v>2022_Q1</c:v>
                  </c:pt>
                  <c:pt idx="355">
                    <c:v>2022_Q2</c:v>
                  </c:pt>
                  <c:pt idx="356">
                    <c:v>2022_Q3</c:v>
                  </c:pt>
                  <c:pt idx="357">
                    <c:v>2022_Q1</c:v>
                  </c:pt>
                  <c:pt idx="358">
                    <c:v>2022_Q2</c:v>
                  </c:pt>
                  <c:pt idx="359">
                    <c:v>2022_Q3</c:v>
                  </c:pt>
                  <c:pt idx="360">
                    <c:v>2022_Q1</c:v>
                  </c:pt>
                  <c:pt idx="361">
                    <c:v>2022_Q2</c:v>
                  </c:pt>
                  <c:pt idx="362">
                    <c:v>2022_Q3</c:v>
                  </c:pt>
                  <c:pt idx="363">
                    <c:v>2022_Q1</c:v>
                  </c:pt>
                  <c:pt idx="364">
                    <c:v>2022_Q2</c:v>
                  </c:pt>
                  <c:pt idx="365">
                    <c:v>2022_Q3</c:v>
                  </c:pt>
                  <c:pt idx="366">
                    <c:v>2022_Q1</c:v>
                  </c:pt>
                  <c:pt idx="367">
                    <c:v>2022_Q2</c:v>
                  </c:pt>
                  <c:pt idx="368">
                    <c:v>2022_Q3</c:v>
                  </c:pt>
                  <c:pt idx="369">
                    <c:v>2022_Q1</c:v>
                  </c:pt>
                  <c:pt idx="370">
                    <c:v>2022_Q2</c:v>
                  </c:pt>
                  <c:pt idx="371">
                    <c:v>2022_Q3</c:v>
                  </c:pt>
                  <c:pt idx="372">
                    <c:v>2022_Q1</c:v>
                  </c:pt>
                  <c:pt idx="373">
                    <c:v>2022_Q2</c:v>
                  </c:pt>
                  <c:pt idx="374">
                    <c:v>2022_Q3</c:v>
                  </c:pt>
                  <c:pt idx="375">
                    <c:v>2022_Q1</c:v>
                  </c:pt>
                  <c:pt idx="376">
                    <c:v>2022_Q2</c:v>
                  </c:pt>
                  <c:pt idx="377">
                    <c:v>2022_Q3</c:v>
                  </c:pt>
                  <c:pt idx="378">
                    <c:v>2022_Q1</c:v>
                  </c:pt>
                  <c:pt idx="379">
                    <c:v>2022_Q2</c:v>
                  </c:pt>
                  <c:pt idx="380">
                    <c:v>2022_Q3</c:v>
                  </c:pt>
                  <c:pt idx="381">
                    <c:v>2022_Q1</c:v>
                  </c:pt>
                  <c:pt idx="382">
                    <c:v>2022_Q2</c:v>
                  </c:pt>
                  <c:pt idx="383">
                    <c:v>2022_Q3</c:v>
                  </c:pt>
                  <c:pt idx="384">
                    <c:v>2022_Q1</c:v>
                  </c:pt>
                  <c:pt idx="385">
                    <c:v>2022_Q2</c:v>
                  </c:pt>
                  <c:pt idx="386">
                    <c:v>2022_Q3</c:v>
                  </c:pt>
                  <c:pt idx="387">
                    <c:v>2022_Q1</c:v>
                  </c:pt>
                  <c:pt idx="388">
                    <c:v>2022_Q2</c:v>
                  </c:pt>
                  <c:pt idx="389">
                    <c:v>2022_Q3</c:v>
                  </c:pt>
                  <c:pt idx="390">
                    <c:v>2022_Q1</c:v>
                  </c:pt>
                  <c:pt idx="391">
                    <c:v>2022_Q2</c:v>
                  </c:pt>
                  <c:pt idx="392">
                    <c:v>2022_Q3</c:v>
                  </c:pt>
                  <c:pt idx="393">
                    <c:v>2022_Q1</c:v>
                  </c:pt>
                  <c:pt idx="394">
                    <c:v>2022_Q2</c:v>
                  </c:pt>
                  <c:pt idx="395">
                    <c:v>2022_Q3</c:v>
                  </c:pt>
                  <c:pt idx="396">
                    <c:v>2022_Q1</c:v>
                  </c:pt>
                  <c:pt idx="397">
                    <c:v>2022_Q2</c:v>
                  </c:pt>
                  <c:pt idx="398">
                    <c:v>2022_Q3</c:v>
                  </c:pt>
                  <c:pt idx="399">
                    <c:v>2022_Q1</c:v>
                  </c:pt>
                  <c:pt idx="400">
                    <c:v>2022_Q2</c:v>
                  </c:pt>
                  <c:pt idx="401">
                    <c:v>2022_Q3</c:v>
                  </c:pt>
                  <c:pt idx="402">
                    <c:v>2022_Q1</c:v>
                  </c:pt>
                  <c:pt idx="403">
                    <c:v>2022_Q2</c:v>
                  </c:pt>
                  <c:pt idx="404">
                    <c:v>2022_Q3</c:v>
                  </c:pt>
                  <c:pt idx="405">
                    <c:v>2022_Q1</c:v>
                  </c:pt>
                  <c:pt idx="406">
                    <c:v>2022_Q2</c:v>
                  </c:pt>
                  <c:pt idx="407">
                    <c:v>2022_Q3</c:v>
                  </c:pt>
                  <c:pt idx="408">
                    <c:v>2022_Q1</c:v>
                  </c:pt>
                  <c:pt idx="409">
                    <c:v>2022_Q2</c:v>
                  </c:pt>
                  <c:pt idx="410">
                    <c:v>2022_Q3</c:v>
                  </c:pt>
                  <c:pt idx="411">
                    <c:v>2022_Q1</c:v>
                  </c:pt>
                  <c:pt idx="412">
                    <c:v>2022_Q2</c:v>
                  </c:pt>
                  <c:pt idx="413">
                    <c:v>2022_Q3</c:v>
                  </c:pt>
                  <c:pt idx="414">
                    <c:v>2022_Q1</c:v>
                  </c:pt>
                  <c:pt idx="415">
                    <c:v>2022_Q2</c:v>
                  </c:pt>
                  <c:pt idx="416">
                    <c:v>2022_Q3</c:v>
                  </c:pt>
                  <c:pt idx="417">
                    <c:v>2022_Q1</c:v>
                  </c:pt>
                  <c:pt idx="418">
                    <c:v>2022_Q2</c:v>
                  </c:pt>
                  <c:pt idx="419">
                    <c:v>2022_Q3</c:v>
                  </c:pt>
                  <c:pt idx="420">
                    <c:v>2022_Q1</c:v>
                  </c:pt>
                  <c:pt idx="421">
                    <c:v>2022_Q2</c:v>
                  </c:pt>
                  <c:pt idx="422">
                    <c:v>2022_Q3</c:v>
                  </c:pt>
                  <c:pt idx="423">
                    <c:v>2022_Q1</c:v>
                  </c:pt>
                  <c:pt idx="424">
                    <c:v>2022_Q2</c:v>
                  </c:pt>
                  <c:pt idx="425">
                    <c:v>2022_Q3</c:v>
                  </c:pt>
                  <c:pt idx="426">
                    <c:v>2022_Q1</c:v>
                  </c:pt>
                  <c:pt idx="427">
                    <c:v>2022_Q2</c:v>
                  </c:pt>
                  <c:pt idx="428">
                    <c:v>2022_Q3</c:v>
                  </c:pt>
                  <c:pt idx="429">
                    <c:v>2022_Q1</c:v>
                  </c:pt>
                  <c:pt idx="430">
                    <c:v>2022_Q2</c:v>
                  </c:pt>
                  <c:pt idx="431">
                    <c:v>2022_Q3</c:v>
                  </c:pt>
                  <c:pt idx="432">
                    <c:v>2022_Q1</c:v>
                  </c:pt>
                  <c:pt idx="433">
                    <c:v>2022_Q2</c:v>
                  </c:pt>
                  <c:pt idx="434">
                    <c:v>2022_Q3</c:v>
                  </c:pt>
                  <c:pt idx="435">
                    <c:v>2022_Q1</c:v>
                  </c:pt>
                  <c:pt idx="436">
                    <c:v>2022_Q2</c:v>
                  </c:pt>
                  <c:pt idx="437">
                    <c:v>2022_Q3</c:v>
                  </c:pt>
                  <c:pt idx="438">
                    <c:v>2022_Q1</c:v>
                  </c:pt>
                  <c:pt idx="439">
                    <c:v>2022_Q2</c:v>
                  </c:pt>
                  <c:pt idx="440">
                    <c:v>2022_Q3</c:v>
                  </c:pt>
                  <c:pt idx="441">
                    <c:v>2022_Q1</c:v>
                  </c:pt>
                  <c:pt idx="442">
                    <c:v>2022_Q2</c:v>
                  </c:pt>
                  <c:pt idx="443">
                    <c:v>2022_Q3</c:v>
                  </c:pt>
                  <c:pt idx="444">
                    <c:v>2022_Q1</c:v>
                  </c:pt>
                  <c:pt idx="445">
                    <c:v>2022_Q2</c:v>
                  </c:pt>
                  <c:pt idx="446">
                    <c:v>2022_Q3</c:v>
                  </c:pt>
                  <c:pt idx="447">
                    <c:v>2022_Q1</c:v>
                  </c:pt>
                  <c:pt idx="448">
                    <c:v>2022_Q1</c:v>
                  </c:pt>
                  <c:pt idx="449">
                    <c:v>2022_Q2</c:v>
                  </c:pt>
                  <c:pt idx="450">
                    <c:v>2022_Q1</c:v>
                  </c:pt>
                  <c:pt idx="451">
                    <c:v>2022_Q2</c:v>
                  </c:pt>
                  <c:pt idx="452">
                    <c:v>2022_Q3</c:v>
                  </c:pt>
                  <c:pt idx="453">
                    <c:v>2022_Q1</c:v>
                  </c:pt>
                  <c:pt idx="454">
                    <c:v>2022_Q2</c:v>
                  </c:pt>
                  <c:pt idx="455">
                    <c:v>2022_Q3</c:v>
                  </c:pt>
                  <c:pt idx="456">
                    <c:v>2022_Q1</c:v>
                  </c:pt>
                  <c:pt idx="457">
                    <c:v>2022_Q2</c:v>
                  </c:pt>
                  <c:pt idx="458">
                    <c:v>2022_Q3</c:v>
                  </c:pt>
                  <c:pt idx="459">
                    <c:v>2022_Q1</c:v>
                  </c:pt>
                  <c:pt idx="460">
                    <c:v>2022_Q2</c:v>
                  </c:pt>
                  <c:pt idx="461">
                    <c:v>2022_Q3</c:v>
                  </c:pt>
                  <c:pt idx="462">
                    <c:v>2022_Q1</c:v>
                  </c:pt>
                  <c:pt idx="463">
                    <c:v>2022_Q2</c:v>
                  </c:pt>
                  <c:pt idx="464">
                    <c:v>2022_Q3</c:v>
                  </c:pt>
                  <c:pt idx="465">
                    <c:v>2022_Q1</c:v>
                  </c:pt>
                  <c:pt idx="466">
                    <c:v>2022_Q2</c:v>
                  </c:pt>
                  <c:pt idx="467">
                    <c:v>2022_Q3</c:v>
                  </c:pt>
                  <c:pt idx="468">
                    <c:v>2022_Q1</c:v>
                  </c:pt>
                  <c:pt idx="469">
                    <c:v>2022_Q2</c:v>
                  </c:pt>
                  <c:pt idx="470">
                    <c:v>2022_Q3</c:v>
                  </c:pt>
                  <c:pt idx="471">
                    <c:v>2022_Q1</c:v>
                  </c:pt>
                  <c:pt idx="472">
                    <c:v>2022_Q2</c:v>
                  </c:pt>
                  <c:pt idx="473">
                    <c:v>2022_Q3</c:v>
                  </c:pt>
                  <c:pt idx="474">
                    <c:v>2022_Q1</c:v>
                  </c:pt>
                  <c:pt idx="475">
                    <c:v>2022_Q1</c:v>
                  </c:pt>
                  <c:pt idx="476">
                    <c:v>2022_Q2</c:v>
                  </c:pt>
                  <c:pt idx="477">
                    <c:v>2022_Q3</c:v>
                  </c:pt>
                  <c:pt idx="478">
                    <c:v>2022_Q1</c:v>
                  </c:pt>
                  <c:pt idx="479">
                    <c:v>2022_Q2</c:v>
                  </c:pt>
                  <c:pt idx="480">
                    <c:v>2022_Q3</c:v>
                  </c:pt>
                  <c:pt idx="481">
                    <c:v>2022_Q1</c:v>
                  </c:pt>
                  <c:pt idx="482">
                    <c:v>2022_Q2</c:v>
                  </c:pt>
                  <c:pt idx="483">
                    <c:v>2022_Q3</c:v>
                  </c:pt>
                  <c:pt idx="484">
                    <c:v>2022_Q1</c:v>
                  </c:pt>
                  <c:pt idx="485">
                    <c:v>2022_Q2</c:v>
                  </c:pt>
                  <c:pt idx="486">
                    <c:v>2022_Q3</c:v>
                  </c:pt>
                  <c:pt idx="487">
                    <c:v>2022_Q1</c:v>
                  </c:pt>
                  <c:pt idx="488">
                    <c:v>2022_Q1</c:v>
                  </c:pt>
                  <c:pt idx="489">
                    <c:v>2022_Q2</c:v>
                  </c:pt>
                  <c:pt idx="490">
                    <c:v>2022_Q3</c:v>
                  </c:pt>
                  <c:pt idx="491">
                    <c:v>2022_Q1</c:v>
                  </c:pt>
                  <c:pt idx="492">
                    <c:v>2022_Q1</c:v>
                  </c:pt>
                  <c:pt idx="493">
                    <c:v>2022_Q1</c:v>
                  </c:pt>
                  <c:pt idx="494">
                    <c:v>2022_Q2</c:v>
                  </c:pt>
                  <c:pt idx="495">
                    <c:v>2022_Q3</c:v>
                  </c:pt>
                  <c:pt idx="496">
                    <c:v>2022_Q1</c:v>
                  </c:pt>
                  <c:pt idx="497">
                    <c:v>2022_Q2</c:v>
                  </c:pt>
                  <c:pt idx="498">
                    <c:v>2022_Q3</c:v>
                  </c:pt>
                  <c:pt idx="499">
                    <c:v>2022_Q1</c:v>
                  </c:pt>
                  <c:pt idx="500">
                    <c:v>2022_Q2</c:v>
                  </c:pt>
                  <c:pt idx="501">
                    <c:v>2022_Q3</c:v>
                  </c:pt>
                  <c:pt idx="502">
                    <c:v>2022_Q1</c:v>
                  </c:pt>
                  <c:pt idx="503">
                    <c:v>2022_Q2</c:v>
                  </c:pt>
                  <c:pt idx="504">
                    <c:v>2022_Q3</c:v>
                  </c:pt>
                  <c:pt idx="505">
                    <c:v>2022_Q2</c:v>
                  </c:pt>
                  <c:pt idx="506">
                    <c:v>2022_Q3</c:v>
                  </c:pt>
                  <c:pt idx="507">
                    <c:v>2022_Q2</c:v>
                  </c:pt>
                  <c:pt idx="508">
                    <c:v>2022_Q3</c:v>
                  </c:pt>
                  <c:pt idx="509">
                    <c:v>2022_Q1</c:v>
                  </c:pt>
                  <c:pt idx="510">
                    <c:v>2022_Q2</c:v>
                  </c:pt>
                  <c:pt idx="511">
                    <c:v>2022_Q3</c:v>
                  </c:pt>
                  <c:pt idx="512">
                    <c:v>2022_Q1</c:v>
                  </c:pt>
                  <c:pt idx="513">
                    <c:v>2022_Q2</c:v>
                  </c:pt>
                  <c:pt idx="514">
                    <c:v>2022_Q3</c:v>
                  </c:pt>
                  <c:pt idx="515">
                    <c:v>2022_Q1</c:v>
                  </c:pt>
                  <c:pt idx="516">
                    <c:v>2022_Q2</c:v>
                  </c:pt>
                  <c:pt idx="517">
                    <c:v>2022_Q3</c:v>
                  </c:pt>
                  <c:pt idx="518">
                    <c:v>2022_Q1</c:v>
                  </c:pt>
                  <c:pt idx="519">
                    <c:v>2022_Q2</c:v>
                  </c:pt>
                  <c:pt idx="520">
                    <c:v>2022_Q3</c:v>
                  </c:pt>
                  <c:pt idx="521">
                    <c:v>2022_Q1</c:v>
                  </c:pt>
                  <c:pt idx="522">
                    <c:v>2022_Q2</c:v>
                  </c:pt>
                  <c:pt idx="523">
                    <c:v>2022_Q3</c:v>
                  </c:pt>
                  <c:pt idx="524">
                    <c:v>2022_Q1</c:v>
                  </c:pt>
                  <c:pt idx="525">
                    <c:v>2022_Q2</c:v>
                  </c:pt>
                  <c:pt idx="526">
                    <c:v>2022_Q3</c:v>
                  </c:pt>
                  <c:pt idx="527">
                    <c:v>2022_Q1</c:v>
                  </c:pt>
                  <c:pt idx="528">
                    <c:v>2022_Q2</c:v>
                  </c:pt>
                  <c:pt idx="529">
                    <c:v>2022_Q3</c:v>
                  </c:pt>
                  <c:pt idx="530">
                    <c:v>2022_Q1</c:v>
                  </c:pt>
                  <c:pt idx="531">
                    <c:v>2022_Q2</c:v>
                  </c:pt>
                  <c:pt idx="532">
                    <c:v>2022_Q3</c:v>
                  </c:pt>
                  <c:pt idx="533">
                    <c:v>2022_Q1</c:v>
                  </c:pt>
                  <c:pt idx="534">
                    <c:v>2022_Q2</c:v>
                  </c:pt>
                  <c:pt idx="535">
                    <c:v>2022_Q3</c:v>
                  </c:pt>
                  <c:pt idx="536">
                    <c:v>2022_Q1</c:v>
                  </c:pt>
                  <c:pt idx="537">
                    <c:v>2022_Q2</c:v>
                  </c:pt>
                  <c:pt idx="538">
                    <c:v>2022_Q3</c:v>
                  </c:pt>
                  <c:pt idx="539">
                    <c:v>2022_Q1</c:v>
                  </c:pt>
                  <c:pt idx="540">
                    <c:v>2022_Q2</c:v>
                  </c:pt>
                  <c:pt idx="541">
                    <c:v>2022_Q3</c:v>
                  </c:pt>
                  <c:pt idx="542">
                    <c:v>2022_Q1</c:v>
                  </c:pt>
                  <c:pt idx="543">
                    <c:v>2022_Q2</c:v>
                  </c:pt>
                  <c:pt idx="544">
                    <c:v>2022_Q3</c:v>
                  </c:pt>
                  <c:pt idx="545">
                    <c:v>2022_Q1</c:v>
                  </c:pt>
                  <c:pt idx="546">
                    <c:v>2022_Q2</c:v>
                  </c:pt>
                  <c:pt idx="547">
                    <c:v>2022_Q3</c:v>
                  </c:pt>
                  <c:pt idx="548">
                    <c:v>2022_Q1</c:v>
                  </c:pt>
                  <c:pt idx="549">
                    <c:v>2022_Q2</c:v>
                  </c:pt>
                  <c:pt idx="550">
                    <c:v>2022_Q3</c:v>
                  </c:pt>
                  <c:pt idx="551">
                    <c:v>2022_Q1</c:v>
                  </c:pt>
                  <c:pt idx="552">
                    <c:v>2022_Q2</c:v>
                  </c:pt>
                  <c:pt idx="553">
                    <c:v>2022_Q3</c:v>
                  </c:pt>
                  <c:pt idx="554">
                    <c:v>2022_Q1</c:v>
                  </c:pt>
                  <c:pt idx="555">
                    <c:v>2022_Q2</c:v>
                  </c:pt>
                  <c:pt idx="556">
                    <c:v>2022_Q3</c:v>
                  </c:pt>
                  <c:pt idx="557">
                    <c:v>2022_Q1</c:v>
                  </c:pt>
                  <c:pt idx="558">
                    <c:v>2022_Q1</c:v>
                  </c:pt>
                  <c:pt idx="559">
                    <c:v>2022_Q2</c:v>
                  </c:pt>
                  <c:pt idx="560">
                    <c:v>2022_Q3</c:v>
                  </c:pt>
                  <c:pt idx="561">
                    <c:v>2022_Q2</c:v>
                  </c:pt>
                  <c:pt idx="562">
                    <c:v>2022_Q3</c:v>
                  </c:pt>
                  <c:pt idx="563">
                    <c:v>2022_Q2</c:v>
                  </c:pt>
                  <c:pt idx="564">
                    <c:v>2022_Q3</c:v>
                  </c:pt>
                  <c:pt idx="565">
                    <c:v>2022_Q2</c:v>
                  </c:pt>
                  <c:pt idx="566">
                    <c:v>2022_Q3</c:v>
                  </c:pt>
                  <c:pt idx="567">
                    <c:v>2022_Q2</c:v>
                  </c:pt>
                  <c:pt idx="568">
                    <c:v>2022_Q3</c:v>
                  </c:pt>
                  <c:pt idx="569">
                    <c:v>2022_Q2</c:v>
                  </c:pt>
                  <c:pt idx="570">
                    <c:v>2022_Q3</c:v>
                  </c:pt>
                  <c:pt idx="571">
                    <c:v>2022_Q2</c:v>
                  </c:pt>
                  <c:pt idx="572">
                    <c:v>2022_Q3</c:v>
                  </c:pt>
                  <c:pt idx="573">
                    <c:v>2022_Q1</c:v>
                  </c:pt>
                  <c:pt idx="574">
                    <c:v>2022_Q2</c:v>
                  </c:pt>
                  <c:pt idx="575">
                    <c:v>2022_Q3</c:v>
                  </c:pt>
                  <c:pt idx="576">
                    <c:v>2022_Q1</c:v>
                  </c:pt>
                  <c:pt idx="577">
                    <c:v>2022_Q2</c:v>
                  </c:pt>
                  <c:pt idx="578">
                    <c:v>2022_Q3</c:v>
                  </c:pt>
                  <c:pt idx="579">
                    <c:v>2022_Q1</c:v>
                  </c:pt>
                  <c:pt idx="580">
                    <c:v>2022_Q2</c:v>
                  </c:pt>
                  <c:pt idx="581">
                    <c:v>2022_Q3</c:v>
                  </c:pt>
                </c:lvl>
                <c:lvl>
                  <c:pt idx="0">
                    <c:v>AD-2000 Extension camp</c:v>
                  </c:pt>
                  <c:pt idx="1">
                    <c:v>AD-2000 Tharthana Compound</c:v>
                  </c:pt>
                  <c:pt idx="4">
                    <c:v>AG Church, Hmaw Si Sa</c:v>
                  </c:pt>
                  <c:pt idx="7">
                    <c:v>AG Church, Maw Wan</c:v>
                  </c:pt>
                  <c:pt idx="10">
                    <c:v>Agritural Compound (KBC)</c:v>
                  </c:pt>
                  <c:pt idx="13">
                    <c:v>Aung Thar Church</c:v>
                  </c:pt>
                  <c:pt idx="16">
                    <c:v>Baptist Church, Hmaw Si Sar(Lon Khin)</c:v>
                  </c:pt>
                  <c:pt idx="19">
                    <c:v>Border Post 8</c:v>
                  </c:pt>
                  <c:pt idx="22">
                    <c:v>Bum Tsit Pa</c:v>
                  </c:pt>
                  <c:pt idx="25">
                    <c:v>Chin Church, Seik Mu</c:v>
                  </c:pt>
                  <c:pt idx="28">
                    <c:v>Chipwi KBC camp</c:v>
                  </c:pt>
                  <c:pt idx="31">
                    <c:v>Dhama Rakhita, Nyein Chan Tar Yar Ward(Lon Khin)</c:v>
                  </c:pt>
                  <c:pt idx="34">
                    <c:v>Du Kahtawng Baptist</c:v>
                  </c:pt>
                  <c:pt idx="37">
                    <c:v>Dum Bung </c:v>
                  </c:pt>
                  <c:pt idx="40">
                    <c:v>Emmanuel AG Church</c:v>
                  </c:pt>
                  <c:pt idx="43">
                    <c:v>Galeng (Palaung) &amp; Kone Khem</c:v>
                  </c:pt>
                  <c:pt idx="46">
                    <c:v>Hka Shi</c:v>
                  </c:pt>
                  <c:pt idx="49">
                    <c:v>Hkat Cho </c:v>
                  </c:pt>
                  <c:pt idx="52">
                    <c:v>Hkau Shau (BP 12)</c:v>
                  </c:pt>
                  <c:pt idx="55">
                    <c:v>Hlaing Naung Baptist</c:v>
                  </c:pt>
                  <c:pt idx="58">
                    <c:v>Hpai Kawng</c:v>
                  </c:pt>
                  <c:pt idx="61">
                    <c:v>Hpakant Baptist Church, Nam Ma Hpit</c:v>
                  </c:pt>
                  <c:pt idx="64">
                    <c:v>Hpare Hkyer - BP6</c:v>
                  </c:pt>
                  <c:pt idx="67">
                    <c:v>Hpun Lum Yang </c:v>
                  </c:pt>
                  <c:pt idx="70">
                    <c:v>Htoi San Church</c:v>
                  </c:pt>
                  <c:pt idx="73">
                    <c:v>Hu Hku &amp; Ho Hko</c:v>
                  </c:pt>
                  <c:pt idx="76">
                    <c:v>IDP Boarding School, A Len Bum</c:v>
                  </c:pt>
                  <c:pt idx="79">
                    <c:v>Jan Mai Kawng Baptist Church</c:v>
                  </c:pt>
                  <c:pt idx="82">
                    <c:v>Jan Mai Kawng Catholic Church</c:v>
                  </c:pt>
                  <c:pt idx="85">
                    <c:v>Jaw Masat Camp</c:v>
                  </c:pt>
                  <c:pt idx="88">
                    <c:v>Je Yang Hka </c:v>
                  </c:pt>
                  <c:pt idx="91">
                    <c:v>Ka Bu Dam CoC</c:v>
                  </c:pt>
                  <c:pt idx="94">
                    <c:v>Kachin Su Baptist Church (ECCD)</c:v>
                  </c:pt>
                  <c:pt idx="97">
                    <c:v>Karmaing RC Church</c:v>
                  </c:pt>
                  <c:pt idx="100">
                    <c:v>Khar Nan (1) Baptist Church</c:v>
                  </c:pt>
                  <c:pt idx="103">
                    <c:v>Kutkai downtown (KBC Church)</c:v>
                  </c:pt>
                  <c:pt idx="106">
                    <c:v>Kutkai downtown (KBC Church-2)</c:v>
                  </c:pt>
                  <c:pt idx="109">
                    <c:v>Kyu Sot</c:v>
                  </c:pt>
                  <c:pt idx="112">
                    <c:v>Kyun Taw Baptist Church </c:v>
                  </c:pt>
                  <c:pt idx="115">
                    <c:v>Laiza Je Yang School</c:v>
                  </c:pt>
                  <c:pt idx="118">
                    <c:v>Lana Zup Ja</c:v>
                  </c:pt>
                  <c:pt idx="121">
                    <c:v>Lawa RC Church</c:v>
                  </c:pt>
                  <c:pt idx="122">
                    <c:v>Lawng Hkang Shait Yang Camp​ ( Lel Pyin)​ </c:v>
                  </c:pt>
                  <c:pt idx="125">
                    <c:v>Le Kone Bethlehem Church</c:v>
                  </c:pt>
                  <c:pt idx="128">
                    <c:v>Le Kone Ziun Baptist Church </c:v>
                  </c:pt>
                  <c:pt idx="131">
                    <c:v>Lhaovao Baptist Church (LBC)</c:v>
                  </c:pt>
                  <c:pt idx="134">
                    <c:v>Lisu Baptist Church, Maw Shan Vil,. Seik Mu</c:v>
                  </c:pt>
                  <c:pt idx="137">
                    <c:v>Lisu Baptist Church, Maw Wan Ward</c:v>
                  </c:pt>
                  <c:pt idx="140">
                    <c:v>Lisu Boarding-House</c:v>
                  </c:pt>
                  <c:pt idx="143">
                    <c:v>Lisu Church Namtu</c:v>
                  </c:pt>
                  <c:pt idx="146">
                    <c:v>Loi Je Baptist Church</c:v>
                  </c:pt>
                  <c:pt idx="149">
                    <c:v>Loi Je Catholic Church</c:v>
                  </c:pt>
                  <c:pt idx="152">
                    <c:v>Loi Je Lisu Camp</c:v>
                  </c:pt>
                  <c:pt idx="155">
                    <c:v>Lone Khin Catholic Church</c:v>
                  </c:pt>
                  <c:pt idx="158">
                    <c:v>Lung Sut</c:v>
                  </c:pt>
                  <c:pt idx="159">
                    <c:v>Lwegel High School</c:v>
                  </c:pt>
                  <c:pt idx="161">
                    <c:v>Ma Hawng Baptist Church</c:v>
                  </c:pt>
                  <c:pt idx="164">
                    <c:v>Mading Baptist Church</c:v>
                  </c:pt>
                  <c:pt idx="167">
                    <c:v>Maga Yang </c:v>
                  </c:pt>
                  <c:pt idx="170">
                    <c:v>Mai Yu Lay New (Ta'ang)</c:v>
                  </c:pt>
                  <c:pt idx="173">
                    <c:v>Maina AG Church</c:v>
                  </c:pt>
                  <c:pt idx="176">
                    <c:v>Maina Catholic Church (St. Joseph)</c:v>
                  </c:pt>
                  <c:pt idx="179">
                    <c:v>Maina KBC (Bawng Ring)</c:v>
                  </c:pt>
                  <c:pt idx="182">
                    <c:v>Maina Lawang Baptist Church</c:v>
                  </c:pt>
                  <c:pt idx="185">
                    <c:v>Maing Khaung</c:v>
                  </c:pt>
                  <c:pt idx="188">
                    <c:v>Maing Khaung Catholic Church</c:v>
                  </c:pt>
                  <c:pt idx="191">
                    <c:v>Maliyang Baptist Church</c:v>
                  </c:pt>
                  <c:pt idx="194">
                    <c:v>Man Bung Catholic compound</c:v>
                  </c:pt>
                  <c:pt idx="197">
                    <c:v>Man Bung Edin Baptist Church</c:v>
                  </c:pt>
                  <c:pt idx="200">
                    <c:v>Man Hkring Baptist Church</c:v>
                  </c:pt>
                  <c:pt idx="203">
                    <c:v>Man Kaung/Naung Ti Kyar Village</c:v>
                  </c:pt>
                  <c:pt idx="206">
                    <c:v>Man Loi</c:v>
                  </c:pt>
                  <c:pt idx="209">
                    <c:v>Man Wing Baptist Church</c:v>
                  </c:pt>
                  <c:pt idx="212">
                    <c:v>Man Wing Baptist Church Cultural Compound</c:v>
                  </c:pt>
                  <c:pt idx="215">
                    <c:v>Man Wing Catholic Church</c:v>
                  </c:pt>
                  <c:pt idx="218">
                    <c:v>Man Wing Catholic Church II</c:v>
                  </c:pt>
                  <c:pt idx="221">
                    <c:v>Mandung - Jinghpaw</c:v>
                  </c:pt>
                  <c:pt idx="224">
                    <c:v>Mandung - RC</c:v>
                  </c:pt>
                  <c:pt idx="227">
                    <c:v>Mansi Baptist Church</c:v>
                  </c:pt>
                  <c:pt idx="230">
                    <c:v>Maw Hpawng Hka Nan Baptist Church</c:v>
                  </c:pt>
                  <c:pt idx="233">
                    <c:v>Maw Hpawng Lhaovo Baptist Church</c:v>
                  </c:pt>
                  <c:pt idx="236">
                    <c:v>Maw Wan, Mu-yin Baptist Church</c:v>
                  </c:pt>
                  <c:pt idx="239">
                    <c:v>Mine Yu Lay village ( Old)</c:v>
                  </c:pt>
                  <c:pt idx="242">
                    <c:v>Momauk Baptist Church</c:v>
                  </c:pt>
                  <c:pt idx="245">
                    <c:v>Mung Hawm </c:v>
                  </c:pt>
                  <c:pt idx="248">
                    <c:v>Muyin church (Aung Yar pre-school compound)</c:v>
                  </c:pt>
                  <c:pt idx="251">
                    <c:v>Nam Hkam - Nay Win Ni (Palawng)</c:v>
                  </c:pt>
                  <c:pt idx="254">
                    <c:v>Nam Hkam (KBC Jaw Wang)</c:v>
                  </c:pt>
                  <c:pt idx="257">
                    <c:v>Nam Hkam (KBC Jaw Wang) II</c:v>
                  </c:pt>
                  <c:pt idx="260">
                    <c:v>Nam Hkam Catholic Church ( St. Thomas I)</c:v>
                  </c:pt>
                  <c:pt idx="263">
                    <c:v>Nam Hpak Ka Mare </c:v>
                  </c:pt>
                  <c:pt idx="266">
                    <c:v>Nam Hpak Ka Ta'ang ( Aung Tha Pyay)</c:v>
                  </c:pt>
                  <c:pt idx="269">
                    <c:v>Nam Ma Phyit, COC</c:v>
                  </c:pt>
                  <c:pt idx="272">
                    <c:v>Nam Sa Larp</c:v>
                  </c:pt>
                  <c:pt idx="275">
                    <c:v>Nam Tu Baptist</c:v>
                  </c:pt>
                  <c:pt idx="278">
                    <c:v>Namti Labraw Yang KBC Camp</c:v>
                  </c:pt>
                  <c:pt idx="281">
                    <c:v>Nan Kway St. John Catholic Church</c:v>
                  </c:pt>
                  <c:pt idx="284">
                    <c:v>Nant Ma Hpit Catholic Church</c:v>
                  </c:pt>
                  <c:pt idx="287">
                    <c:v>Nat Gyi Kone Baptist Church </c:v>
                  </c:pt>
                  <c:pt idx="290">
                    <c:v>Nawng Hee Village</c:v>
                  </c:pt>
                  <c:pt idx="293">
                    <c:v>Nawng Ing (Indawgyi) Baptist Church </c:v>
                  </c:pt>
                  <c:pt idx="296">
                    <c:v>Ndup Yang</c:v>
                  </c:pt>
                  <c:pt idx="299">
                    <c:v>New Pang Ku </c:v>
                  </c:pt>
                  <c:pt idx="302">
                    <c:v>Nhkawng Pa </c:v>
                  </c:pt>
                  <c:pt idx="305">
                    <c:v>Njang Dung Baptist Church </c:v>
                  </c:pt>
                  <c:pt idx="308">
                    <c:v>Nyaung Na Pin </c:v>
                  </c:pt>
                  <c:pt idx="311">
                    <c:v>Pa Dauk Myaing(Pa La Na)</c:v>
                  </c:pt>
                  <c:pt idx="314">
                    <c:v>Pa Dauk Myaing(Pa La Na)-II</c:v>
                  </c:pt>
                  <c:pt idx="317">
                    <c:v>Pa Kahtawng </c:v>
                  </c:pt>
                  <c:pt idx="320">
                    <c:v>Pajau - Jan Mai</c:v>
                  </c:pt>
                  <c:pt idx="323">
                    <c:v>Pan Law</c:v>
                  </c:pt>
                  <c:pt idx="326">
                    <c:v>Pan Ta Pyae</c:v>
                  </c:pt>
                  <c:pt idx="327">
                    <c:v>Pang Hkawn Yang</c:v>
                  </c:pt>
                  <c:pt idx="330">
                    <c:v>Phan Khar Kone</c:v>
                  </c:pt>
                  <c:pt idx="333">
                    <c:v>Qtr. 2 Lhaovo Baptist Church</c:v>
                  </c:pt>
                  <c:pt idx="336">
                    <c:v>Qtr. 2 Myoma Baptist Church</c:v>
                  </c:pt>
                  <c:pt idx="339">
                    <c:v>Rawan Baptist Church, Maw Shan Vil., Seik Mu</c:v>
                  </c:pt>
                  <c:pt idx="342">
                    <c:v>Robert Church</c:v>
                  </c:pt>
                  <c:pt idx="345">
                    <c:v>Sadung</c:v>
                  </c:pt>
                  <c:pt idx="348">
                    <c:v>Salang Yang</c:v>
                  </c:pt>
                  <c:pt idx="351">
                    <c:v>Sar Hmaw - KBC</c:v>
                  </c:pt>
                  <c:pt idx="354">
                    <c:v>Seng Ja </c:v>
                  </c:pt>
                  <c:pt idx="357">
                    <c:v>Sha-It Yang</c:v>
                  </c:pt>
                  <c:pt idx="360">
                    <c:v>Shar Du Zut KBC church </c:v>
                  </c:pt>
                  <c:pt idx="363">
                    <c:v>Shatapru Sut Ngai Tawng</c:v>
                  </c:pt>
                  <c:pt idx="366">
                    <c:v>Shatapru Thida Aye Baptist Church</c:v>
                  </c:pt>
                  <c:pt idx="369">
                    <c:v>Shing Jai</c:v>
                  </c:pt>
                  <c:pt idx="372">
                    <c:v>Shwe Gu Baptist Church</c:v>
                  </c:pt>
                  <c:pt idx="375">
                    <c:v>Shwe Gu Catholic Church</c:v>
                  </c:pt>
                  <c:pt idx="378">
                    <c:v>Shwe Zet Baptist Church</c:v>
                  </c:pt>
                  <c:pt idx="381">
                    <c:v>St. Joseph Tanai RC camp </c:v>
                  </c:pt>
                  <c:pt idx="384">
                    <c:v>St. Patrick Catholic Church </c:v>
                  </c:pt>
                  <c:pt idx="387">
                    <c:v>Tanai CoC</c:v>
                  </c:pt>
                  <c:pt idx="390">
                    <c:v>Tanai KBC Camp</c:v>
                  </c:pt>
                  <c:pt idx="393">
                    <c:v>Tat Kone Baptist Church</c:v>
                  </c:pt>
                  <c:pt idx="396">
                    <c:v>Tat Kone COC Baptist - Tat Kone Htoi San</c:v>
                  </c:pt>
                  <c:pt idx="399">
                    <c:v>Tat Kone Galile Baptist Church</c:v>
                  </c:pt>
                  <c:pt idx="402">
                    <c:v>Tat Kone San Pya Baptist Church</c:v>
                  </c:pt>
                  <c:pt idx="405">
                    <c:v>Thargaya Lisu Baptist Church</c:v>
                  </c:pt>
                  <c:pt idx="408">
                    <c:v>Trinity Camp</c:v>
                  </c:pt>
                  <c:pt idx="411">
                    <c:v>Tsan Lun - Namjarap</c:v>
                  </c:pt>
                  <c:pt idx="414">
                    <c:v>Waimaw Baptist Zonal Office 2</c:v>
                  </c:pt>
                  <c:pt idx="417">
                    <c:v>Waingmaw AG Church</c:v>
                  </c:pt>
                  <c:pt idx="420">
                    <c:v>Ward 2 Sai Taung Baptist Church, Seik Mu </c:v>
                  </c:pt>
                  <c:pt idx="423">
                    <c:v>Woi Chyai </c:v>
                  </c:pt>
                  <c:pt idx="426">
                    <c:v>Woi Chyai (Mong Lai)</c:v>
                  </c:pt>
                  <c:pt idx="429">
                    <c:v>Woi Chyai host families</c:v>
                  </c:pt>
                  <c:pt idx="432">
                    <c:v>Yumar Baptist Church</c:v>
                  </c:pt>
                  <c:pt idx="435">
                    <c:v>Zup Aung Camp</c:v>
                  </c:pt>
                  <c:pt idx="438">
                    <c:v>Hka Garan Yang </c:v>
                  </c:pt>
                  <c:pt idx="441">
                    <c:v>Htang Nya </c:v>
                  </c:pt>
                  <c:pt idx="444">
                    <c:v>Enai (Man Pyein)</c:v>
                  </c:pt>
                  <c:pt idx="447">
                    <c:v>AD 2000 School</c:v>
                  </c:pt>
                  <c:pt idx="448">
                    <c:v>Robert -High school</c:v>
                  </c:pt>
                  <c:pt idx="450">
                    <c:v>Pamati Camp</c:v>
                  </c:pt>
                  <c:pt idx="453">
                    <c:v>Momauk IDP new extension camp (Kye Nan)</c:v>
                  </c:pt>
                  <c:pt idx="456">
                    <c:v>Sector 5 Pammati Quarter</c:v>
                  </c:pt>
                  <c:pt idx="459">
                    <c:v>Namatee Kan Hla AG</c:v>
                  </c:pt>
                  <c:pt idx="462">
                    <c:v>His Aw (Chyu Fan) </c:v>
                  </c:pt>
                  <c:pt idx="465">
                    <c:v>Shwe Sin (Ward 3) </c:v>
                  </c:pt>
                  <c:pt idx="468">
                    <c:v>Bum Ra Yang Camp </c:v>
                  </c:pt>
                  <c:pt idx="471">
                    <c:v>Mang Nawng Kawng (host)</c:v>
                  </c:pt>
                  <c:pt idx="474">
                    <c:v>Hat Hlan village (host)</c:v>
                  </c:pt>
                  <c:pt idx="475">
                    <c:v>Kyaukme Town (host)</c:v>
                  </c:pt>
                  <c:pt idx="478">
                    <c:v>Nam Hlaing Extension Ward camp</c:v>
                  </c:pt>
                  <c:pt idx="481">
                    <c:v>Naung Tar Law (Kyet Chan) </c:v>
                  </c:pt>
                  <c:pt idx="484">
                    <c:v>Waingmaw St.Joseph RC Church</c:v>
                  </c:pt>
                  <c:pt idx="487">
                    <c:v>Waingmaw LBC church </c:v>
                  </c:pt>
                  <c:pt idx="488">
                    <c:v>Lisu Zonal camp</c:v>
                  </c:pt>
                  <c:pt idx="491">
                    <c:v>Phaug Nhae Camp</c:v>
                  </c:pt>
                  <c:pt idx="492">
                    <c:v>Yuu Ka lait Kone Camp</c:v>
                  </c:pt>
                  <c:pt idx="493">
                    <c:v>Lhaovo Baptist Convention  Old Office Camp</c:v>
                  </c:pt>
                  <c:pt idx="496">
                    <c:v>Ding Jang Yang (1)</c:v>
                  </c:pt>
                  <c:pt idx="499">
                    <c:v>Ding Jang Yang (2)</c:v>
                  </c:pt>
                  <c:pt idx="502">
                    <c:v>Naung Pataine/lachid </c:v>
                  </c:pt>
                  <c:pt idx="505">
                    <c:v>Lin Hao chun </c:v>
                  </c:pt>
                  <c:pt idx="507">
                    <c:v>Pyi Htaung Su</c:v>
                  </c:pt>
                  <c:pt idx="509">
                    <c:v>Momauk KBC church</c:v>
                  </c:pt>
                  <c:pt idx="512">
                    <c:v>St.Francis RCC 1</c:v>
                  </c:pt>
                  <c:pt idx="515">
                    <c:v>St.Francis RCC 2</c:v>
                  </c:pt>
                  <c:pt idx="518">
                    <c:v>Bang Yang Hka (Mung Ji Pa)-relocated</c:v>
                  </c:pt>
                  <c:pt idx="521">
                    <c:v>Galeng Zup Awng ward 5 RC</c:v>
                  </c:pt>
                  <c:pt idx="524">
                    <c:v>Man Wing- IDPs in Host</c:v>
                  </c:pt>
                  <c:pt idx="527">
                    <c:v>(3 mile) Shwe Pyi Tar (SLCA)</c:v>
                  </c:pt>
                  <c:pt idx="530">
                    <c:v>Bhamo- IDPs in Host </c:v>
                  </c:pt>
                  <c:pt idx="533">
                    <c:v>Chipwi Pan Wa  (Host IDP)</c:v>
                  </c:pt>
                  <c:pt idx="536">
                    <c:v>St.Columban lone Khin camp</c:v>
                  </c:pt>
                  <c:pt idx="539">
                    <c:v>Mansi- IDPs in Host</c:v>
                  </c:pt>
                  <c:pt idx="542">
                    <c:v>Hopin -IDPs in Host</c:v>
                  </c:pt>
                  <c:pt idx="545">
                    <c:v>Moenyin- IDPs in Host</c:v>
                  </c:pt>
                  <c:pt idx="548">
                    <c:v>Momauk-IDPs in Host</c:v>
                  </c:pt>
                  <c:pt idx="551">
                    <c:v>Myo Thit -IDP in Host</c:v>
                  </c:pt>
                  <c:pt idx="554">
                    <c:v>Saint Matthew (Shin ma ti-sitapru) camp</c:v>
                  </c:pt>
                  <c:pt idx="557">
                    <c:v>Nan Hlaing_new camp </c:v>
                  </c:pt>
                  <c:pt idx="558">
                    <c:v>Na ru Kawng (Post 6 camp)</c:v>
                  </c:pt>
                  <c:pt idx="561">
                    <c:v>Man Pint community Hall </c:v>
                  </c:pt>
                  <c:pt idx="563">
                    <c:v>Mong Tin High School</c:v>
                  </c:pt>
                  <c:pt idx="565">
                    <c:v>Nar Mun Primary School</c:v>
                  </c:pt>
                  <c:pt idx="567">
                    <c:v>SLCA Building Compound (Kyaukme town)</c:v>
                  </c:pt>
                  <c:pt idx="569">
                    <c:v>SLCA Building Compound (Moungnawt town)</c:v>
                  </c:pt>
                  <c:pt idx="571">
                    <c:v>Theravada Monastery </c:v>
                  </c:pt>
                  <c:pt idx="573">
                    <c:v>Mong Wee Shan-relocated</c:v>
                  </c:pt>
                  <c:pt idx="576">
                    <c:v>Hseng Ja-Relocated</c:v>
                  </c:pt>
                  <c:pt idx="579">
                    <c:v>Maina Mu-yin  Baptist Church</c:v>
                  </c:pt>
                </c:lvl>
              </c:multiLvlStrCache>
            </c:multiLvlStrRef>
          </c:cat>
          <c:val>
            <c:numRef>
              <c:f>'Tracking Dashboard'!$P$5:$P$791</c:f>
              <c:numCache>
                <c:formatCode>General</c:formatCode>
                <c:ptCount val="582"/>
                <c:pt idx="0">
                  <c:v>54</c:v>
                </c:pt>
                <c:pt idx="1">
                  <c:v>1226</c:v>
                </c:pt>
                <c:pt idx="2">
                  <c:v>1278</c:v>
                </c:pt>
                <c:pt idx="3">
                  <c:v>1224</c:v>
                </c:pt>
                <c:pt idx="4">
                  <c:v>435</c:v>
                </c:pt>
                <c:pt idx="5">
                  <c:v>440</c:v>
                </c:pt>
                <c:pt idx="6">
                  <c:v>441</c:v>
                </c:pt>
                <c:pt idx="7">
                  <c:v>72</c:v>
                </c:pt>
                <c:pt idx="8">
                  <c:v>72</c:v>
                </c:pt>
                <c:pt idx="9">
                  <c:v>70</c:v>
                </c:pt>
                <c:pt idx="10">
                  <c:v>605</c:v>
                </c:pt>
                <c:pt idx="11">
                  <c:v>32</c:v>
                </c:pt>
                <c:pt idx="12">
                  <c:v>502</c:v>
                </c:pt>
                <c:pt idx="13">
                  <c:v>51</c:v>
                </c:pt>
                <c:pt idx="14">
                  <c:v>222</c:v>
                </c:pt>
                <c:pt idx="15">
                  <c:v>222</c:v>
                </c:pt>
                <c:pt idx="16">
                  <c:v>250</c:v>
                </c:pt>
                <c:pt idx="17">
                  <c:v>250</c:v>
                </c:pt>
                <c:pt idx="18">
                  <c:v>250</c:v>
                </c:pt>
                <c:pt idx="19">
                  <c:v>0</c:v>
                </c:pt>
                <c:pt idx="20">
                  <c:v>420</c:v>
                </c:pt>
                <c:pt idx="21">
                  <c:v>405</c:v>
                </c:pt>
                <c:pt idx="22">
                  <c:v>1887</c:v>
                </c:pt>
                <c:pt idx="23">
                  <c:v>1900</c:v>
                </c:pt>
                <c:pt idx="24">
                  <c:v>1900</c:v>
                </c:pt>
                <c:pt idx="25">
                  <c:v>24</c:v>
                </c:pt>
                <c:pt idx="26">
                  <c:v>24</c:v>
                </c:pt>
                <c:pt idx="27">
                  <c:v>0</c:v>
                </c:pt>
                <c:pt idx="28">
                  <c:v>878</c:v>
                </c:pt>
                <c:pt idx="29">
                  <c:v>706</c:v>
                </c:pt>
                <c:pt idx="30">
                  <c:v>704</c:v>
                </c:pt>
                <c:pt idx="31">
                  <c:v>442</c:v>
                </c:pt>
                <c:pt idx="32">
                  <c:v>443</c:v>
                </c:pt>
                <c:pt idx="33">
                  <c:v>445</c:v>
                </c:pt>
                <c:pt idx="34">
                  <c:v>197</c:v>
                </c:pt>
                <c:pt idx="35">
                  <c:v>193</c:v>
                </c:pt>
                <c:pt idx="36">
                  <c:v>193</c:v>
                </c:pt>
                <c:pt idx="37">
                  <c:v>0</c:v>
                </c:pt>
                <c:pt idx="38">
                  <c:v>406</c:v>
                </c:pt>
                <c:pt idx="39">
                  <c:v>411</c:v>
                </c:pt>
                <c:pt idx="40">
                  <c:v>0</c:v>
                </c:pt>
                <c:pt idx="41">
                  <c:v>0</c:v>
                </c:pt>
                <c:pt idx="42">
                  <c:v>0</c:v>
                </c:pt>
                <c:pt idx="43">
                  <c:v>439</c:v>
                </c:pt>
                <c:pt idx="44">
                  <c:v>439</c:v>
                </c:pt>
                <c:pt idx="45">
                  <c:v>439</c:v>
                </c:pt>
                <c:pt idx="46">
                  <c:v>410</c:v>
                </c:pt>
                <c:pt idx="47">
                  <c:v>381</c:v>
                </c:pt>
                <c:pt idx="48">
                  <c:v>381</c:v>
                </c:pt>
                <c:pt idx="49">
                  <c:v>291</c:v>
                </c:pt>
                <c:pt idx="50">
                  <c:v>250</c:v>
                </c:pt>
                <c:pt idx="51">
                  <c:v>295</c:v>
                </c:pt>
                <c:pt idx="52">
                  <c:v>0</c:v>
                </c:pt>
                <c:pt idx="53">
                  <c:v>933.33333333333337</c:v>
                </c:pt>
                <c:pt idx="54">
                  <c:v>933.33333333333337</c:v>
                </c:pt>
                <c:pt idx="55">
                  <c:v>132</c:v>
                </c:pt>
                <c:pt idx="56">
                  <c:v>133</c:v>
                </c:pt>
                <c:pt idx="57">
                  <c:v>133</c:v>
                </c:pt>
                <c:pt idx="58">
                  <c:v>934</c:v>
                </c:pt>
                <c:pt idx="59">
                  <c:v>806</c:v>
                </c:pt>
                <c:pt idx="60">
                  <c:v>934</c:v>
                </c:pt>
                <c:pt idx="61">
                  <c:v>504</c:v>
                </c:pt>
                <c:pt idx="62">
                  <c:v>316.66666666666669</c:v>
                </c:pt>
                <c:pt idx="63">
                  <c:v>500</c:v>
                </c:pt>
                <c:pt idx="64">
                  <c:v>0</c:v>
                </c:pt>
                <c:pt idx="65">
                  <c:v>0</c:v>
                </c:pt>
                <c:pt idx="66">
                  <c:v>0</c:v>
                </c:pt>
                <c:pt idx="67">
                  <c:v>1463.1333333333334</c:v>
                </c:pt>
                <c:pt idx="68">
                  <c:v>1266.6666666666667</c:v>
                </c:pt>
                <c:pt idx="69">
                  <c:v>1266.6666666666667</c:v>
                </c:pt>
                <c:pt idx="70">
                  <c:v>222</c:v>
                </c:pt>
                <c:pt idx="71">
                  <c:v>222</c:v>
                </c:pt>
                <c:pt idx="72">
                  <c:v>226</c:v>
                </c:pt>
                <c:pt idx="73">
                  <c:v>130</c:v>
                </c:pt>
                <c:pt idx="74">
                  <c:v>130</c:v>
                </c:pt>
                <c:pt idx="75">
                  <c:v>130</c:v>
                </c:pt>
                <c:pt idx="76">
                  <c:v>177.16296296296298</c:v>
                </c:pt>
                <c:pt idx="77">
                  <c:v>66.666666666666671</c:v>
                </c:pt>
                <c:pt idx="78">
                  <c:v>66.666666666666671</c:v>
                </c:pt>
                <c:pt idx="79">
                  <c:v>1124</c:v>
                </c:pt>
                <c:pt idx="80">
                  <c:v>1184</c:v>
                </c:pt>
                <c:pt idx="81">
                  <c:v>1184</c:v>
                </c:pt>
                <c:pt idx="82">
                  <c:v>398</c:v>
                </c:pt>
                <c:pt idx="83">
                  <c:v>388</c:v>
                </c:pt>
                <c:pt idx="84">
                  <c:v>335</c:v>
                </c:pt>
                <c:pt idx="85">
                  <c:v>612</c:v>
                </c:pt>
                <c:pt idx="86">
                  <c:v>658</c:v>
                </c:pt>
                <c:pt idx="87">
                  <c:v>658</c:v>
                </c:pt>
                <c:pt idx="88">
                  <c:v>400</c:v>
                </c:pt>
                <c:pt idx="89">
                  <c:v>2150</c:v>
                </c:pt>
                <c:pt idx="90">
                  <c:v>2150</c:v>
                </c:pt>
                <c:pt idx="91">
                  <c:v>43</c:v>
                </c:pt>
                <c:pt idx="92">
                  <c:v>61</c:v>
                </c:pt>
                <c:pt idx="93">
                  <c:v>61</c:v>
                </c:pt>
                <c:pt idx="94">
                  <c:v>100</c:v>
                </c:pt>
                <c:pt idx="95">
                  <c:v>400</c:v>
                </c:pt>
                <c:pt idx="96">
                  <c:v>400</c:v>
                </c:pt>
                <c:pt idx="97">
                  <c:v>52</c:v>
                </c:pt>
                <c:pt idx="98">
                  <c:v>52</c:v>
                </c:pt>
                <c:pt idx="99">
                  <c:v>53</c:v>
                </c:pt>
                <c:pt idx="100">
                  <c:v>106</c:v>
                </c:pt>
                <c:pt idx="101">
                  <c:v>263</c:v>
                </c:pt>
                <c:pt idx="102">
                  <c:v>263</c:v>
                </c:pt>
                <c:pt idx="103">
                  <c:v>244</c:v>
                </c:pt>
                <c:pt idx="104">
                  <c:v>244</c:v>
                </c:pt>
                <c:pt idx="105">
                  <c:v>244</c:v>
                </c:pt>
                <c:pt idx="106">
                  <c:v>180</c:v>
                </c:pt>
                <c:pt idx="107">
                  <c:v>180</c:v>
                </c:pt>
                <c:pt idx="108">
                  <c:v>180</c:v>
                </c:pt>
                <c:pt idx="109">
                  <c:v>270</c:v>
                </c:pt>
                <c:pt idx="110">
                  <c:v>270</c:v>
                </c:pt>
                <c:pt idx="111">
                  <c:v>270</c:v>
                </c:pt>
                <c:pt idx="112">
                  <c:v>66</c:v>
                </c:pt>
                <c:pt idx="113">
                  <c:v>76</c:v>
                </c:pt>
                <c:pt idx="114">
                  <c:v>76</c:v>
                </c:pt>
                <c:pt idx="115">
                  <c:v>500</c:v>
                </c:pt>
                <c:pt idx="116">
                  <c:v>500</c:v>
                </c:pt>
                <c:pt idx="117">
                  <c:v>500</c:v>
                </c:pt>
                <c:pt idx="118">
                  <c:v>1850</c:v>
                </c:pt>
                <c:pt idx="119">
                  <c:v>1850</c:v>
                </c:pt>
                <c:pt idx="120">
                  <c:v>1850</c:v>
                </c:pt>
                <c:pt idx="121">
                  <c:v>242</c:v>
                </c:pt>
                <c:pt idx="122">
                  <c:v>633</c:v>
                </c:pt>
                <c:pt idx="123">
                  <c:v>633</c:v>
                </c:pt>
                <c:pt idx="124">
                  <c:v>66.666666666666671</c:v>
                </c:pt>
                <c:pt idx="125">
                  <c:v>680</c:v>
                </c:pt>
                <c:pt idx="126">
                  <c:v>718</c:v>
                </c:pt>
                <c:pt idx="127">
                  <c:v>718</c:v>
                </c:pt>
                <c:pt idx="128">
                  <c:v>676</c:v>
                </c:pt>
                <c:pt idx="129">
                  <c:v>697</c:v>
                </c:pt>
                <c:pt idx="130">
                  <c:v>697</c:v>
                </c:pt>
                <c:pt idx="131">
                  <c:v>884</c:v>
                </c:pt>
                <c:pt idx="132">
                  <c:v>600</c:v>
                </c:pt>
                <c:pt idx="133">
                  <c:v>885</c:v>
                </c:pt>
                <c:pt idx="134">
                  <c:v>100</c:v>
                </c:pt>
                <c:pt idx="135">
                  <c:v>0</c:v>
                </c:pt>
                <c:pt idx="136">
                  <c:v>103</c:v>
                </c:pt>
                <c:pt idx="137">
                  <c:v>54</c:v>
                </c:pt>
                <c:pt idx="138">
                  <c:v>54</c:v>
                </c:pt>
                <c:pt idx="139">
                  <c:v>56</c:v>
                </c:pt>
                <c:pt idx="140">
                  <c:v>689</c:v>
                </c:pt>
                <c:pt idx="141">
                  <c:v>689</c:v>
                </c:pt>
                <c:pt idx="142">
                  <c:v>768</c:v>
                </c:pt>
                <c:pt idx="143">
                  <c:v>127</c:v>
                </c:pt>
                <c:pt idx="144">
                  <c:v>127</c:v>
                </c:pt>
                <c:pt idx="145">
                  <c:v>127</c:v>
                </c:pt>
                <c:pt idx="146">
                  <c:v>239</c:v>
                </c:pt>
                <c:pt idx="147">
                  <c:v>239</c:v>
                </c:pt>
                <c:pt idx="148">
                  <c:v>239</c:v>
                </c:pt>
                <c:pt idx="149">
                  <c:v>426</c:v>
                </c:pt>
                <c:pt idx="150">
                  <c:v>426</c:v>
                </c:pt>
                <c:pt idx="151">
                  <c:v>426</c:v>
                </c:pt>
                <c:pt idx="152">
                  <c:v>1322</c:v>
                </c:pt>
                <c:pt idx="153">
                  <c:v>1322</c:v>
                </c:pt>
                <c:pt idx="154">
                  <c:v>1322</c:v>
                </c:pt>
                <c:pt idx="155">
                  <c:v>400</c:v>
                </c:pt>
                <c:pt idx="156">
                  <c:v>0</c:v>
                </c:pt>
                <c:pt idx="157">
                  <c:v>400</c:v>
                </c:pt>
                <c:pt idx="158">
                  <c:v>289</c:v>
                </c:pt>
                <c:pt idx="160">
                  <c:v>0</c:v>
                </c:pt>
                <c:pt idx="161">
                  <c:v>78</c:v>
                </c:pt>
                <c:pt idx="162">
                  <c:v>73</c:v>
                </c:pt>
                <c:pt idx="163">
                  <c:v>73</c:v>
                </c:pt>
                <c:pt idx="164">
                  <c:v>159</c:v>
                </c:pt>
                <c:pt idx="165">
                  <c:v>238</c:v>
                </c:pt>
                <c:pt idx="166">
                  <c:v>238</c:v>
                </c:pt>
                <c:pt idx="167">
                  <c:v>0</c:v>
                </c:pt>
                <c:pt idx="168">
                  <c:v>400</c:v>
                </c:pt>
                <c:pt idx="169">
                  <c:v>400</c:v>
                </c:pt>
                <c:pt idx="170">
                  <c:v>502</c:v>
                </c:pt>
                <c:pt idx="171">
                  <c:v>502</c:v>
                </c:pt>
                <c:pt idx="172">
                  <c:v>502</c:v>
                </c:pt>
                <c:pt idx="173">
                  <c:v>1000</c:v>
                </c:pt>
                <c:pt idx="174">
                  <c:v>1200</c:v>
                </c:pt>
                <c:pt idx="175">
                  <c:v>906</c:v>
                </c:pt>
                <c:pt idx="176">
                  <c:v>1776</c:v>
                </c:pt>
                <c:pt idx="177">
                  <c:v>1494</c:v>
                </c:pt>
                <c:pt idx="178">
                  <c:v>1492</c:v>
                </c:pt>
                <c:pt idx="179">
                  <c:v>2500</c:v>
                </c:pt>
                <c:pt idx="180">
                  <c:v>2920</c:v>
                </c:pt>
                <c:pt idx="181">
                  <c:v>2920</c:v>
                </c:pt>
                <c:pt idx="182">
                  <c:v>191</c:v>
                </c:pt>
                <c:pt idx="183">
                  <c:v>283</c:v>
                </c:pt>
                <c:pt idx="184">
                  <c:v>283</c:v>
                </c:pt>
                <c:pt idx="185">
                  <c:v>1599</c:v>
                </c:pt>
                <c:pt idx="186">
                  <c:v>400</c:v>
                </c:pt>
                <c:pt idx="187">
                  <c:v>400</c:v>
                </c:pt>
                <c:pt idx="188">
                  <c:v>694</c:v>
                </c:pt>
                <c:pt idx="189">
                  <c:v>694</c:v>
                </c:pt>
                <c:pt idx="190">
                  <c:v>694</c:v>
                </c:pt>
                <c:pt idx="191">
                  <c:v>290</c:v>
                </c:pt>
                <c:pt idx="192">
                  <c:v>327</c:v>
                </c:pt>
                <c:pt idx="193">
                  <c:v>327</c:v>
                </c:pt>
                <c:pt idx="194">
                  <c:v>741</c:v>
                </c:pt>
                <c:pt idx="195">
                  <c:v>741</c:v>
                </c:pt>
                <c:pt idx="196">
                  <c:v>741</c:v>
                </c:pt>
                <c:pt idx="197">
                  <c:v>590</c:v>
                </c:pt>
                <c:pt idx="198">
                  <c:v>586</c:v>
                </c:pt>
                <c:pt idx="199">
                  <c:v>586</c:v>
                </c:pt>
                <c:pt idx="200">
                  <c:v>547</c:v>
                </c:pt>
                <c:pt idx="201">
                  <c:v>622</c:v>
                </c:pt>
                <c:pt idx="202">
                  <c:v>622</c:v>
                </c:pt>
                <c:pt idx="203">
                  <c:v>0</c:v>
                </c:pt>
                <c:pt idx="204">
                  <c:v>0</c:v>
                </c:pt>
                <c:pt idx="205">
                  <c:v>0</c:v>
                </c:pt>
                <c:pt idx="206">
                  <c:v>104</c:v>
                </c:pt>
                <c:pt idx="207">
                  <c:v>104</c:v>
                </c:pt>
                <c:pt idx="208">
                  <c:v>104</c:v>
                </c:pt>
                <c:pt idx="209">
                  <c:v>500.00000000000006</c:v>
                </c:pt>
                <c:pt idx="210">
                  <c:v>655</c:v>
                </c:pt>
                <c:pt idx="211">
                  <c:v>655</c:v>
                </c:pt>
                <c:pt idx="212">
                  <c:v>538</c:v>
                </c:pt>
                <c:pt idx="213">
                  <c:v>538</c:v>
                </c:pt>
                <c:pt idx="214">
                  <c:v>538</c:v>
                </c:pt>
                <c:pt idx="215">
                  <c:v>500</c:v>
                </c:pt>
                <c:pt idx="216">
                  <c:v>966.66666666666663</c:v>
                </c:pt>
                <c:pt idx="217">
                  <c:v>1366.6666666666667</c:v>
                </c:pt>
                <c:pt idx="218">
                  <c:v>737</c:v>
                </c:pt>
                <c:pt idx="219">
                  <c:v>566.66666666666663</c:v>
                </c:pt>
                <c:pt idx="220">
                  <c:v>737</c:v>
                </c:pt>
                <c:pt idx="221">
                  <c:v>125</c:v>
                </c:pt>
                <c:pt idx="222">
                  <c:v>125</c:v>
                </c:pt>
                <c:pt idx="223">
                  <c:v>125</c:v>
                </c:pt>
                <c:pt idx="224">
                  <c:v>157</c:v>
                </c:pt>
                <c:pt idx="225">
                  <c:v>157</c:v>
                </c:pt>
                <c:pt idx="226">
                  <c:v>157</c:v>
                </c:pt>
                <c:pt idx="227">
                  <c:v>789</c:v>
                </c:pt>
                <c:pt idx="228">
                  <c:v>789</c:v>
                </c:pt>
                <c:pt idx="229">
                  <c:v>789</c:v>
                </c:pt>
                <c:pt idx="230">
                  <c:v>90</c:v>
                </c:pt>
                <c:pt idx="231">
                  <c:v>84</c:v>
                </c:pt>
                <c:pt idx="232">
                  <c:v>0</c:v>
                </c:pt>
                <c:pt idx="233">
                  <c:v>166</c:v>
                </c:pt>
                <c:pt idx="234">
                  <c:v>174</c:v>
                </c:pt>
                <c:pt idx="235">
                  <c:v>173</c:v>
                </c:pt>
                <c:pt idx="236">
                  <c:v>15</c:v>
                </c:pt>
                <c:pt idx="237">
                  <c:v>15</c:v>
                </c:pt>
                <c:pt idx="238">
                  <c:v>15</c:v>
                </c:pt>
                <c:pt idx="239">
                  <c:v>251</c:v>
                </c:pt>
                <c:pt idx="240">
                  <c:v>251</c:v>
                </c:pt>
                <c:pt idx="241">
                  <c:v>251</c:v>
                </c:pt>
                <c:pt idx="242">
                  <c:v>424</c:v>
                </c:pt>
                <c:pt idx="243">
                  <c:v>424</c:v>
                </c:pt>
                <c:pt idx="244">
                  <c:v>424</c:v>
                </c:pt>
                <c:pt idx="245">
                  <c:v>176</c:v>
                </c:pt>
                <c:pt idx="246">
                  <c:v>176</c:v>
                </c:pt>
                <c:pt idx="247">
                  <c:v>176</c:v>
                </c:pt>
                <c:pt idx="248">
                  <c:v>0</c:v>
                </c:pt>
                <c:pt idx="249">
                  <c:v>18</c:v>
                </c:pt>
                <c:pt idx="250">
                  <c:v>18</c:v>
                </c:pt>
                <c:pt idx="251">
                  <c:v>396</c:v>
                </c:pt>
                <c:pt idx="252">
                  <c:v>396</c:v>
                </c:pt>
                <c:pt idx="253">
                  <c:v>396</c:v>
                </c:pt>
                <c:pt idx="254">
                  <c:v>323</c:v>
                </c:pt>
                <c:pt idx="255">
                  <c:v>323</c:v>
                </c:pt>
                <c:pt idx="256">
                  <c:v>323</c:v>
                </c:pt>
                <c:pt idx="257">
                  <c:v>31</c:v>
                </c:pt>
                <c:pt idx="258">
                  <c:v>31</c:v>
                </c:pt>
                <c:pt idx="259">
                  <c:v>31</c:v>
                </c:pt>
                <c:pt idx="260">
                  <c:v>213</c:v>
                </c:pt>
                <c:pt idx="261">
                  <c:v>213</c:v>
                </c:pt>
                <c:pt idx="262">
                  <c:v>213</c:v>
                </c:pt>
                <c:pt idx="263">
                  <c:v>250</c:v>
                </c:pt>
                <c:pt idx="264">
                  <c:v>250</c:v>
                </c:pt>
                <c:pt idx="265">
                  <c:v>250</c:v>
                </c:pt>
                <c:pt idx="266">
                  <c:v>158</c:v>
                </c:pt>
                <c:pt idx="267">
                  <c:v>158</c:v>
                </c:pt>
                <c:pt idx="268">
                  <c:v>158</c:v>
                </c:pt>
                <c:pt idx="269">
                  <c:v>24</c:v>
                </c:pt>
                <c:pt idx="270">
                  <c:v>24</c:v>
                </c:pt>
                <c:pt idx="271">
                  <c:v>24</c:v>
                </c:pt>
                <c:pt idx="272">
                  <c:v>206</c:v>
                </c:pt>
                <c:pt idx="273">
                  <c:v>206</c:v>
                </c:pt>
                <c:pt idx="274">
                  <c:v>206</c:v>
                </c:pt>
                <c:pt idx="275">
                  <c:v>66.666666666666671</c:v>
                </c:pt>
                <c:pt idx="276">
                  <c:v>141</c:v>
                </c:pt>
                <c:pt idx="277">
                  <c:v>141</c:v>
                </c:pt>
                <c:pt idx="278">
                  <c:v>400</c:v>
                </c:pt>
                <c:pt idx="279">
                  <c:v>611</c:v>
                </c:pt>
                <c:pt idx="280">
                  <c:v>611</c:v>
                </c:pt>
                <c:pt idx="281">
                  <c:v>309</c:v>
                </c:pt>
                <c:pt idx="282">
                  <c:v>291</c:v>
                </c:pt>
                <c:pt idx="283">
                  <c:v>291</c:v>
                </c:pt>
                <c:pt idx="284">
                  <c:v>218</c:v>
                </c:pt>
                <c:pt idx="285">
                  <c:v>218</c:v>
                </c:pt>
                <c:pt idx="286">
                  <c:v>230</c:v>
                </c:pt>
                <c:pt idx="287">
                  <c:v>41</c:v>
                </c:pt>
                <c:pt idx="288">
                  <c:v>48</c:v>
                </c:pt>
                <c:pt idx="289">
                  <c:v>48</c:v>
                </c:pt>
                <c:pt idx="290">
                  <c:v>85</c:v>
                </c:pt>
                <c:pt idx="291">
                  <c:v>85</c:v>
                </c:pt>
                <c:pt idx="292">
                  <c:v>85</c:v>
                </c:pt>
                <c:pt idx="293">
                  <c:v>113</c:v>
                </c:pt>
                <c:pt idx="294">
                  <c:v>130</c:v>
                </c:pt>
                <c:pt idx="295">
                  <c:v>130</c:v>
                </c:pt>
                <c:pt idx="296">
                  <c:v>0</c:v>
                </c:pt>
                <c:pt idx="297">
                  <c:v>323</c:v>
                </c:pt>
                <c:pt idx="298">
                  <c:v>323</c:v>
                </c:pt>
                <c:pt idx="299">
                  <c:v>533.33333333333337</c:v>
                </c:pt>
                <c:pt idx="300">
                  <c:v>533.33333333333337</c:v>
                </c:pt>
                <c:pt idx="301">
                  <c:v>533.33333333333337</c:v>
                </c:pt>
                <c:pt idx="302">
                  <c:v>1500</c:v>
                </c:pt>
                <c:pt idx="303">
                  <c:v>1500</c:v>
                </c:pt>
                <c:pt idx="304">
                  <c:v>1500</c:v>
                </c:pt>
                <c:pt idx="305">
                  <c:v>299</c:v>
                </c:pt>
                <c:pt idx="306">
                  <c:v>323</c:v>
                </c:pt>
                <c:pt idx="307">
                  <c:v>323</c:v>
                </c:pt>
                <c:pt idx="308">
                  <c:v>299</c:v>
                </c:pt>
                <c:pt idx="309">
                  <c:v>299</c:v>
                </c:pt>
                <c:pt idx="310">
                  <c:v>299</c:v>
                </c:pt>
                <c:pt idx="311">
                  <c:v>895</c:v>
                </c:pt>
                <c:pt idx="312">
                  <c:v>924</c:v>
                </c:pt>
                <c:pt idx="313">
                  <c:v>925</c:v>
                </c:pt>
                <c:pt idx="314">
                  <c:v>1365</c:v>
                </c:pt>
                <c:pt idx="315">
                  <c:v>1187</c:v>
                </c:pt>
                <c:pt idx="316">
                  <c:v>1198</c:v>
                </c:pt>
                <c:pt idx="317">
                  <c:v>250.00000000000003</c:v>
                </c:pt>
                <c:pt idx="318">
                  <c:v>250</c:v>
                </c:pt>
                <c:pt idx="319">
                  <c:v>250</c:v>
                </c:pt>
                <c:pt idx="320">
                  <c:v>0</c:v>
                </c:pt>
                <c:pt idx="321">
                  <c:v>933.33333333333337</c:v>
                </c:pt>
                <c:pt idx="322">
                  <c:v>966</c:v>
                </c:pt>
                <c:pt idx="323">
                  <c:v>221</c:v>
                </c:pt>
                <c:pt idx="324">
                  <c:v>221</c:v>
                </c:pt>
                <c:pt idx="325">
                  <c:v>221</c:v>
                </c:pt>
                <c:pt idx="326">
                  <c:v>91</c:v>
                </c:pt>
                <c:pt idx="327">
                  <c:v>1397</c:v>
                </c:pt>
                <c:pt idx="328">
                  <c:v>1397</c:v>
                </c:pt>
                <c:pt idx="329">
                  <c:v>1397</c:v>
                </c:pt>
                <c:pt idx="330">
                  <c:v>334</c:v>
                </c:pt>
                <c:pt idx="331">
                  <c:v>334</c:v>
                </c:pt>
                <c:pt idx="332">
                  <c:v>334</c:v>
                </c:pt>
                <c:pt idx="333">
                  <c:v>506</c:v>
                </c:pt>
                <c:pt idx="334">
                  <c:v>463</c:v>
                </c:pt>
                <c:pt idx="335">
                  <c:v>507</c:v>
                </c:pt>
                <c:pt idx="336">
                  <c:v>307</c:v>
                </c:pt>
                <c:pt idx="337">
                  <c:v>396</c:v>
                </c:pt>
                <c:pt idx="338">
                  <c:v>396</c:v>
                </c:pt>
                <c:pt idx="339">
                  <c:v>70</c:v>
                </c:pt>
                <c:pt idx="340">
                  <c:v>70</c:v>
                </c:pt>
                <c:pt idx="341">
                  <c:v>70</c:v>
                </c:pt>
                <c:pt idx="342">
                  <c:v>3860</c:v>
                </c:pt>
                <c:pt idx="343">
                  <c:v>3860</c:v>
                </c:pt>
                <c:pt idx="344">
                  <c:v>3860</c:v>
                </c:pt>
                <c:pt idx="345">
                  <c:v>0</c:v>
                </c:pt>
                <c:pt idx="346">
                  <c:v>0</c:v>
                </c:pt>
                <c:pt idx="347">
                  <c:v>0</c:v>
                </c:pt>
                <c:pt idx="348">
                  <c:v>0</c:v>
                </c:pt>
                <c:pt idx="349">
                  <c:v>353</c:v>
                </c:pt>
                <c:pt idx="350">
                  <c:v>353</c:v>
                </c:pt>
                <c:pt idx="351">
                  <c:v>136</c:v>
                </c:pt>
                <c:pt idx="352">
                  <c:v>136</c:v>
                </c:pt>
                <c:pt idx="353">
                  <c:v>136</c:v>
                </c:pt>
                <c:pt idx="354">
                  <c:v>255</c:v>
                </c:pt>
                <c:pt idx="355">
                  <c:v>255</c:v>
                </c:pt>
                <c:pt idx="356">
                  <c:v>255</c:v>
                </c:pt>
                <c:pt idx="357">
                  <c:v>0</c:v>
                </c:pt>
                <c:pt idx="358">
                  <c:v>1881</c:v>
                </c:pt>
                <c:pt idx="359">
                  <c:v>1881</c:v>
                </c:pt>
                <c:pt idx="360">
                  <c:v>103</c:v>
                </c:pt>
                <c:pt idx="361">
                  <c:v>103</c:v>
                </c:pt>
                <c:pt idx="362">
                  <c:v>103</c:v>
                </c:pt>
                <c:pt idx="363">
                  <c:v>583</c:v>
                </c:pt>
                <c:pt idx="364">
                  <c:v>563</c:v>
                </c:pt>
                <c:pt idx="365">
                  <c:v>563</c:v>
                </c:pt>
                <c:pt idx="366">
                  <c:v>119</c:v>
                </c:pt>
                <c:pt idx="367">
                  <c:v>120</c:v>
                </c:pt>
                <c:pt idx="368">
                  <c:v>99</c:v>
                </c:pt>
                <c:pt idx="369">
                  <c:v>0</c:v>
                </c:pt>
                <c:pt idx="370">
                  <c:v>0</c:v>
                </c:pt>
                <c:pt idx="371">
                  <c:v>0</c:v>
                </c:pt>
                <c:pt idx="372">
                  <c:v>300</c:v>
                </c:pt>
                <c:pt idx="373">
                  <c:v>300</c:v>
                </c:pt>
                <c:pt idx="374">
                  <c:v>300</c:v>
                </c:pt>
                <c:pt idx="375">
                  <c:v>182</c:v>
                </c:pt>
                <c:pt idx="376">
                  <c:v>182</c:v>
                </c:pt>
                <c:pt idx="377">
                  <c:v>182</c:v>
                </c:pt>
                <c:pt idx="378">
                  <c:v>499</c:v>
                </c:pt>
                <c:pt idx="379">
                  <c:v>629</c:v>
                </c:pt>
                <c:pt idx="380">
                  <c:v>629</c:v>
                </c:pt>
                <c:pt idx="381">
                  <c:v>622</c:v>
                </c:pt>
                <c:pt idx="382">
                  <c:v>500</c:v>
                </c:pt>
                <c:pt idx="383">
                  <c:v>625</c:v>
                </c:pt>
                <c:pt idx="384">
                  <c:v>68</c:v>
                </c:pt>
                <c:pt idx="385">
                  <c:v>68</c:v>
                </c:pt>
                <c:pt idx="386">
                  <c:v>68</c:v>
                </c:pt>
                <c:pt idx="387">
                  <c:v>153</c:v>
                </c:pt>
                <c:pt idx="388">
                  <c:v>169</c:v>
                </c:pt>
                <c:pt idx="389">
                  <c:v>169</c:v>
                </c:pt>
                <c:pt idx="390">
                  <c:v>0</c:v>
                </c:pt>
                <c:pt idx="391">
                  <c:v>483</c:v>
                </c:pt>
                <c:pt idx="392">
                  <c:v>483</c:v>
                </c:pt>
                <c:pt idx="393">
                  <c:v>351</c:v>
                </c:pt>
                <c:pt idx="394">
                  <c:v>531</c:v>
                </c:pt>
                <c:pt idx="395">
                  <c:v>531</c:v>
                </c:pt>
                <c:pt idx="396">
                  <c:v>262</c:v>
                </c:pt>
                <c:pt idx="397">
                  <c:v>262</c:v>
                </c:pt>
                <c:pt idx="398">
                  <c:v>0</c:v>
                </c:pt>
                <c:pt idx="399">
                  <c:v>165</c:v>
                </c:pt>
                <c:pt idx="400">
                  <c:v>197</c:v>
                </c:pt>
                <c:pt idx="401">
                  <c:v>197</c:v>
                </c:pt>
                <c:pt idx="402">
                  <c:v>219</c:v>
                </c:pt>
                <c:pt idx="403">
                  <c:v>239</c:v>
                </c:pt>
                <c:pt idx="404">
                  <c:v>239</c:v>
                </c:pt>
                <c:pt idx="405">
                  <c:v>192</c:v>
                </c:pt>
                <c:pt idx="406">
                  <c:v>192</c:v>
                </c:pt>
                <c:pt idx="407">
                  <c:v>191</c:v>
                </c:pt>
                <c:pt idx="408">
                  <c:v>866</c:v>
                </c:pt>
                <c:pt idx="409">
                  <c:v>975</c:v>
                </c:pt>
                <c:pt idx="410">
                  <c:v>975</c:v>
                </c:pt>
                <c:pt idx="411">
                  <c:v>195</c:v>
                </c:pt>
                <c:pt idx="412">
                  <c:v>195</c:v>
                </c:pt>
                <c:pt idx="413">
                  <c:v>195</c:v>
                </c:pt>
                <c:pt idx="414">
                  <c:v>351</c:v>
                </c:pt>
                <c:pt idx="415">
                  <c:v>387</c:v>
                </c:pt>
                <c:pt idx="416">
                  <c:v>387</c:v>
                </c:pt>
                <c:pt idx="417">
                  <c:v>293</c:v>
                </c:pt>
                <c:pt idx="418">
                  <c:v>193</c:v>
                </c:pt>
                <c:pt idx="419">
                  <c:v>193</c:v>
                </c:pt>
                <c:pt idx="420">
                  <c:v>133</c:v>
                </c:pt>
                <c:pt idx="421">
                  <c:v>133</c:v>
                </c:pt>
                <c:pt idx="422">
                  <c:v>133</c:v>
                </c:pt>
                <c:pt idx="423">
                  <c:v>422.42222222222222</c:v>
                </c:pt>
                <c:pt idx="424">
                  <c:v>66.666666666666671</c:v>
                </c:pt>
                <c:pt idx="425">
                  <c:v>66.666666666666671</c:v>
                </c:pt>
                <c:pt idx="426">
                  <c:v>0</c:v>
                </c:pt>
                <c:pt idx="427">
                  <c:v>0</c:v>
                </c:pt>
                <c:pt idx="428">
                  <c:v>0</c:v>
                </c:pt>
                <c:pt idx="429">
                  <c:v>0</c:v>
                </c:pt>
                <c:pt idx="430">
                  <c:v>0</c:v>
                </c:pt>
                <c:pt idx="431">
                  <c:v>0</c:v>
                </c:pt>
                <c:pt idx="432">
                  <c:v>66</c:v>
                </c:pt>
                <c:pt idx="433">
                  <c:v>66</c:v>
                </c:pt>
                <c:pt idx="434">
                  <c:v>66</c:v>
                </c:pt>
                <c:pt idx="435">
                  <c:v>1101</c:v>
                </c:pt>
                <c:pt idx="436">
                  <c:v>1101</c:v>
                </c:pt>
                <c:pt idx="437">
                  <c:v>1101</c:v>
                </c:pt>
                <c:pt idx="438">
                  <c:v>0</c:v>
                </c:pt>
                <c:pt idx="439">
                  <c:v>0</c:v>
                </c:pt>
                <c:pt idx="440">
                  <c:v>0</c:v>
                </c:pt>
                <c:pt idx="441">
                  <c:v>16</c:v>
                </c:pt>
                <c:pt idx="442">
                  <c:v>16</c:v>
                </c:pt>
                <c:pt idx="443">
                  <c:v>32</c:v>
                </c:pt>
                <c:pt idx="444">
                  <c:v>103</c:v>
                </c:pt>
                <c:pt idx="445">
                  <c:v>103</c:v>
                </c:pt>
                <c:pt idx="446">
                  <c:v>103</c:v>
                </c:pt>
                <c:pt idx="449">
                  <c:v>0</c:v>
                </c:pt>
                <c:pt idx="450">
                  <c:v>143</c:v>
                </c:pt>
                <c:pt idx="451">
                  <c:v>134</c:v>
                </c:pt>
                <c:pt idx="452">
                  <c:v>127</c:v>
                </c:pt>
                <c:pt idx="453">
                  <c:v>267</c:v>
                </c:pt>
                <c:pt idx="454">
                  <c:v>203</c:v>
                </c:pt>
                <c:pt idx="455">
                  <c:v>203</c:v>
                </c:pt>
                <c:pt idx="456">
                  <c:v>0</c:v>
                </c:pt>
                <c:pt idx="457">
                  <c:v>0</c:v>
                </c:pt>
                <c:pt idx="458">
                  <c:v>0</c:v>
                </c:pt>
                <c:pt idx="459">
                  <c:v>36</c:v>
                </c:pt>
                <c:pt idx="460">
                  <c:v>28</c:v>
                </c:pt>
                <c:pt idx="461">
                  <c:v>28</c:v>
                </c:pt>
                <c:pt idx="462">
                  <c:v>1600</c:v>
                </c:pt>
                <c:pt idx="463">
                  <c:v>1600</c:v>
                </c:pt>
                <c:pt idx="464">
                  <c:v>1600</c:v>
                </c:pt>
                <c:pt idx="465">
                  <c:v>0</c:v>
                </c:pt>
                <c:pt idx="466">
                  <c:v>0</c:v>
                </c:pt>
                <c:pt idx="467">
                  <c:v>0</c:v>
                </c:pt>
                <c:pt idx="468">
                  <c:v>0</c:v>
                </c:pt>
                <c:pt idx="469">
                  <c:v>591</c:v>
                </c:pt>
                <c:pt idx="470">
                  <c:v>591</c:v>
                </c:pt>
                <c:pt idx="471">
                  <c:v>0</c:v>
                </c:pt>
                <c:pt idx="472">
                  <c:v>0</c:v>
                </c:pt>
                <c:pt idx="473">
                  <c:v>0</c:v>
                </c:pt>
                <c:pt idx="474">
                  <c:v>0</c:v>
                </c:pt>
                <c:pt idx="475">
                  <c:v>0</c:v>
                </c:pt>
                <c:pt idx="476">
                  <c:v>0</c:v>
                </c:pt>
                <c:pt idx="477">
                  <c:v>0</c:v>
                </c:pt>
                <c:pt idx="478">
                  <c:v>0</c:v>
                </c:pt>
                <c:pt idx="479">
                  <c:v>168</c:v>
                </c:pt>
                <c:pt idx="480">
                  <c:v>168</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1200</c:v>
                </c:pt>
                <c:pt idx="511">
                  <c:v>1200</c:v>
                </c:pt>
                <c:pt idx="512">
                  <c:v>267</c:v>
                </c:pt>
                <c:pt idx="513">
                  <c:v>270</c:v>
                </c:pt>
                <c:pt idx="514">
                  <c:v>271</c:v>
                </c:pt>
                <c:pt idx="515">
                  <c:v>412</c:v>
                </c:pt>
                <c:pt idx="516">
                  <c:v>424</c:v>
                </c:pt>
                <c:pt idx="517">
                  <c:v>653</c:v>
                </c:pt>
                <c:pt idx="518">
                  <c:v>0</c:v>
                </c:pt>
                <c:pt idx="519">
                  <c:v>0</c:v>
                </c:pt>
                <c:pt idx="520">
                  <c:v>0</c:v>
                </c:pt>
                <c:pt idx="521">
                  <c:v>132</c:v>
                </c:pt>
                <c:pt idx="522">
                  <c:v>132</c:v>
                </c:pt>
                <c:pt idx="523">
                  <c:v>132</c:v>
                </c:pt>
                <c:pt idx="524">
                  <c:v>544</c:v>
                </c:pt>
                <c:pt idx="525">
                  <c:v>544</c:v>
                </c:pt>
                <c:pt idx="526">
                  <c:v>544</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83</c:v>
                </c:pt>
                <c:pt idx="555">
                  <c:v>85</c:v>
                </c:pt>
                <c:pt idx="556">
                  <c:v>89</c:v>
                </c:pt>
                <c:pt idx="557">
                  <c:v>189</c:v>
                </c:pt>
                <c:pt idx="558">
                  <c:v>319</c:v>
                </c:pt>
                <c:pt idx="559">
                  <c:v>344</c:v>
                </c:pt>
                <c:pt idx="560">
                  <c:v>344</c:v>
                </c:pt>
                <c:pt idx="561">
                  <c:v>0</c:v>
                </c:pt>
                <c:pt idx="562">
                  <c:v>0</c:v>
                </c:pt>
                <c:pt idx="563">
                  <c:v>0</c:v>
                </c:pt>
                <c:pt idx="564">
                  <c:v>0</c:v>
                </c:pt>
                <c:pt idx="565">
                  <c:v>0</c:v>
                </c:pt>
                <c:pt idx="566">
                  <c:v>0</c:v>
                </c:pt>
                <c:pt idx="567">
                  <c:v>179</c:v>
                </c:pt>
                <c:pt idx="568">
                  <c:v>179</c:v>
                </c:pt>
                <c:pt idx="569">
                  <c:v>26</c:v>
                </c:pt>
                <c:pt idx="570">
                  <c:v>26</c:v>
                </c:pt>
                <c:pt idx="571">
                  <c:v>0</c:v>
                </c:pt>
                <c:pt idx="572">
                  <c:v>0</c:v>
                </c:pt>
                <c:pt idx="573">
                  <c:v>292</c:v>
                </c:pt>
                <c:pt idx="574">
                  <c:v>292</c:v>
                </c:pt>
                <c:pt idx="575">
                  <c:v>292</c:v>
                </c:pt>
                <c:pt idx="576">
                  <c:v>0</c:v>
                </c:pt>
                <c:pt idx="577">
                  <c:v>77</c:v>
                </c:pt>
                <c:pt idx="578">
                  <c:v>77</c:v>
                </c:pt>
                <c:pt idx="579">
                  <c:v>221</c:v>
                </c:pt>
                <c:pt idx="580">
                  <c:v>221</c:v>
                </c:pt>
                <c:pt idx="581">
                  <c:v>221</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24594587308006438"/>
          <c:w val="0.28836305215211328"/>
          <c:h val="0.26838007786791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5">
  <a:schemeClr val="accent2"/>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 id="19">
  <a:schemeClr val="accent6"/>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 id="15">
  <a:schemeClr val="accent2"/>
</cs:colorStyle>
</file>

<file path=xl/charts/colors61.xml><?xml version="1.0" encoding="utf-8"?>
<cs:colorStyle xmlns:cs="http://schemas.microsoft.com/office/drawing/2012/chartStyle" xmlns:a="http://schemas.openxmlformats.org/drawingml/2006/main" meth="withinLinear" id="15">
  <a:schemeClr val="accent2"/>
</cs:colorStyle>
</file>

<file path=xl/charts/colors62.xml><?xml version="1.0" encoding="utf-8"?>
<cs:colorStyle xmlns:cs="http://schemas.microsoft.com/office/drawing/2012/chartStyle" xmlns:a="http://schemas.openxmlformats.org/drawingml/2006/main" meth="withinLinear" id="15">
  <a:schemeClr val="accent2"/>
</cs:colorStyle>
</file>

<file path=xl/charts/colors63.xml><?xml version="1.0" encoding="utf-8"?>
<cs:colorStyle xmlns:cs="http://schemas.microsoft.com/office/drawing/2012/chartStyle" xmlns:a="http://schemas.openxmlformats.org/drawingml/2006/main" meth="withinLinear" id="15">
  <a:schemeClr val="accent2"/>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withinLinear" id="14">
  <a:schemeClr val="accent1"/>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withinLinear" id="15">
  <a:schemeClr val="accent2"/>
</cs:colorStyle>
</file>

<file path=xl/charts/colors82.xml><?xml version="1.0" encoding="utf-8"?>
<cs:colorStyle xmlns:cs="http://schemas.microsoft.com/office/drawing/2012/chartStyle" xmlns:a="http://schemas.openxmlformats.org/drawingml/2006/main" meth="withinLinear" id="15">
  <a:schemeClr val="accent2"/>
</cs:colorStyle>
</file>

<file path=xl/charts/colors83.xml><?xml version="1.0" encoding="utf-8"?>
<cs:colorStyle xmlns:cs="http://schemas.microsoft.com/office/drawing/2012/chartStyle" xmlns:a="http://schemas.openxmlformats.org/drawingml/2006/main" meth="withinLinear" id="15">
  <a:schemeClr val="accent2"/>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withinLinear" id="19">
  <a:schemeClr val="accent6"/>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8" Type="http://schemas.openxmlformats.org/officeDocument/2006/relationships/chart" Target="../charts/chart79.xml"/><Relationship Id="rId13" Type="http://schemas.openxmlformats.org/officeDocument/2006/relationships/chart" Target="../charts/chart83.xml"/><Relationship Id="rId18" Type="http://schemas.openxmlformats.org/officeDocument/2006/relationships/chart" Target="../charts/chart88.xml"/><Relationship Id="rId3" Type="http://schemas.openxmlformats.org/officeDocument/2006/relationships/chart" Target="../charts/chart75.xml"/><Relationship Id="rId21" Type="http://schemas.openxmlformats.org/officeDocument/2006/relationships/chart" Target="../charts/chart90.xml"/><Relationship Id="rId7" Type="http://schemas.openxmlformats.org/officeDocument/2006/relationships/chart" Target="../charts/chart78.xml"/><Relationship Id="rId12" Type="http://schemas.openxmlformats.org/officeDocument/2006/relationships/chart" Target="../charts/chart82.xml"/><Relationship Id="rId17" Type="http://schemas.openxmlformats.org/officeDocument/2006/relationships/chart" Target="../charts/chart87.xml"/><Relationship Id="rId2" Type="http://schemas.openxmlformats.org/officeDocument/2006/relationships/chart" Target="../charts/chart74.xml"/><Relationship Id="rId16" Type="http://schemas.openxmlformats.org/officeDocument/2006/relationships/chart" Target="../charts/chart86.xml"/><Relationship Id="rId20"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1" Type="http://schemas.openxmlformats.org/officeDocument/2006/relationships/chart" Target="../charts/chart73.xml"/><Relationship Id="rId6" Type="http://schemas.openxmlformats.org/officeDocument/2006/relationships/chart" Target="../charts/chart77.xml"/><Relationship Id="rId11" Type="http://schemas.openxmlformats.org/officeDocument/2006/relationships/hyperlink" Target="#'AAP-community Feedback'!A2"/><Relationship Id="rId5" Type="http://schemas.openxmlformats.org/officeDocument/2006/relationships/chart" Target="../charts/chart76.xml"/><Relationship Id="rId15" Type="http://schemas.openxmlformats.org/officeDocument/2006/relationships/chart" Target="../charts/chart85.xml"/><Relationship Id="rId23" Type="http://schemas.openxmlformats.org/officeDocument/2006/relationships/chart" Target="../charts/chart92.xml"/><Relationship Id="rId10" Type="http://schemas.openxmlformats.org/officeDocument/2006/relationships/chart" Target="../charts/chart81.xml"/><Relationship Id="rId19" Type="http://schemas.openxmlformats.org/officeDocument/2006/relationships/chart" Target="../charts/chart89.xml"/><Relationship Id="rId4" Type="http://schemas.openxmlformats.org/officeDocument/2006/relationships/hyperlink" Target="#Analysis!A329"/><Relationship Id="rId9" Type="http://schemas.openxmlformats.org/officeDocument/2006/relationships/chart" Target="../charts/chart80.xml"/><Relationship Id="rId14" Type="http://schemas.openxmlformats.org/officeDocument/2006/relationships/chart" Target="../charts/chart84.xml"/><Relationship Id="rId22" Type="http://schemas.openxmlformats.org/officeDocument/2006/relationships/chart" Target="../charts/chart9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3" Type="http://schemas.openxmlformats.org/officeDocument/2006/relationships/chart" Target="../charts/chart22.xml"/><Relationship Id="rId18" Type="http://schemas.openxmlformats.org/officeDocument/2006/relationships/chart" Target="../charts/chart27.xml"/><Relationship Id="rId26" Type="http://schemas.openxmlformats.org/officeDocument/2006/relationships/chart" Target="../charts/chart35.xml"/><Relationship Id="rId39" Type="http://schemas.openxmlformats.org/officeDocument/2006/relationships/chart" Target="../charts/chart48.xml"/><Relationship Id="rId21" Type="http://schemas.openxmlformats.org/officeDocument/2006/relationships/chart" Target="../charts/chart30.xml"/><Relationship Id="rId34" Type="http://schemas.openxmlformats.org/officeDocument/2006/relationships/chart" Target="../charts/chart43.xml"/><Relationship Id="rId7" Type="http://schemas.openxmlformats.org/officeDocument/2006/relationships/chart" Target="../charts/chart16.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29" Type="http://schemas.openxmlformats.org/officeDocument/2006/relationships/chart" Target="../charts/chart38.xml"/><Relationship Id="rId41" Type="http://schemas.openxmlformats.org/officeDocument/2006/relationships/chart" Target="../charts/chart50.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24" Type="http://schemas.openxmlformats.org/officeDocument/2006/relationships/chart" Target="../charts/chart33.xml"/><Relationship Id="rId32" Type="http://schemas.openxmlformats.org/officeDocument/2006/relationships/chart" Target="../charts/chart41.xml"/><Relationship Id="rId37" Type="http://schemas.openxmlformats.org/officeDocument/2006/relationships/chart" Target="../charts/chart46.xml"/><Relationship Id="rId40" Type="http://schemas.openxmlformats.org/officeDocument/2006/relationships/chart" Target="../charts/chart49.xml"/><Relationship Id="rId5" Type="http://schemas.openxmlformats.org/officeDocument/2006/relationships/chart" Target="../charts/chart14.xml"/><Relationship Id="rId15" Type="http://schemas.openxmlformats.org/officeDocument/2006/relationships/chart" Target="../charts/chart24.xml"/><Relationship Id="rId23" Type="http://schemas.openxmlformats.org/officeDocument/2006/relationships/chart" Target="../charts/chart32.xml"/><Relationship Id="rId28" Type="http://schemas.openxmlformats.org/officeDocument/2006/relationships/chart" Target="../charts/chart37.xml"/><Relationship Id="rId36" Type="http://schemas.openxmlformats.org/officeDocument/2006/relationships/chart" Target="../charts/chart45.xml"/><Relationship Id="rId10" Type="http://schemas.openxmlformats.org/officeDocument/2006/relationships/chart" Target="../charts/chart19.xml"/><Relationship Id="rId19" Type="http://schemas.openxmlformats.org/officeDocument/2006/relationships/chart" Target="../charts/chart28.xml"/><Relationship Id="rId31" Type="http://schemas.openxmlformats.org/officeDocument/2006/relationships/chart" Target="../charts/chart40.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 Id="rId27" Type="http://schemas.openxmlformats.org/officeDocument/2006/relationships/chart" Target="../charts/chart36.xml"/><Relationship Id="rId30" Type="http://schemas.openxmlformats.org/officeDocument/2006/relationships/chart" Target="../charts/chart39.xml"/><Relationship Id="rId35" Type="http://schemas.openxmlformats.org/officeDocument/2006/relationships/chart" Target="../charts/chart44.xml"/><Relationship Id="rId8" Type="http://schemas.openxmlformats.org/officeDocument/2006/relationships/chart" Target="../charts/chart17.xml"/><Relationship Id="rId3" Type="http://schemas.openxmlformats.org/officeDocument/2006/relationships/chart" Target="../charts/chart12.xml"/><Relationship Id="rId12" Type="http://schemas.openxmlformats.org/officeDocument/2006/relationships/chart" Target="../charts/chart21.xml"/><Relationship Id="rId17" Type="http://schemas.openxmlformats.org/officeDocument/2006/relationships/chart" Target="../charts/chart26.xml"/><Relationship Id="rId25" Type="http://schemas.openxmlformats.org/officeDocument/2006/relationships/chart" Target="../charts/chart34.xml"/><Relationship Id="rId33" Type="http://schemas.openxmlformats.org/officeDocument/2006/relationships/chart" Target="../charts/chart42.xml"/><Relationship Id="rId38"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7.xml"/><Relationship Id="rId13" Type="http://schemas.openxmlformats.org/officeDocument/2006/relationships/chart" Target="../charts/chart62.xml"/><Relationship Id="rId18" Type="http://schemas.openxmlformats.org/officeDocument/2006/relationships/chart" Target="../charts/chart67.xml"/><Relationship Id="rId3" Type="http://schemas.openxmlformats.org/officeDocument/2006/relationships/chart" Target="../charts/chart52.xml"/><Relationship Id="rId21" Type="http://schemas.openxmlformats.org/officeDocument/2006/relationships/chart" Target="../charts/chart69.xml"/><Relationship Id="rId7" Type="http://schemas.openxmlformats.org/officeDocument/2006/relationships/chart" Target="../charts/chart56.xml"/><Relationship Id="rId12" Type="http://schemas.openxmlformats.org/officeDocument/2006/relationships/chart" Target="../charts/chart61.xml"/><Relationship Id="rId17" Type="http://schemas.openxmlformats.org/officeDocument/2006/relationships/chart" Target="../charts/chart66.xml"/><Relationship Id="rId25" Type="http://schemas.openxmlformats.org/officeDocument/2006/relationships/chart" Target="../charts/chart72.xml"/><Relationship Id="rId2" Type="http://schemas.openxmlformats.org/officeDocument/2006/relationships/hyperlink" Target="#Analysis!A329"/><Relationship Id="rId16" Type="http://schemas.openxmlformats.org/officeDocument/2006/relationships/chart" Target="../charts/chart65.xml"/><Relationship Id="rId20" Type="http://schemas.openxmlformats.org/officeDocument/2006/relationships/chart" Target="../charts/chart68.xml"/><Relationship Id="rId1" Type="http://schemas.openxmlformats.org/officeDocument/2006/relationships/chart" Target="../charts/chart51.xml"/><Relationship Id="rId6" Type="http://schemas.openxmlformats.org/officeDocument/2006/relationships/chart" Target="../charts/chart55.xml"/><Relationship Id="rId11" Type="http://schemas.openxmlformats.org/officeDocument/2006/relationships/chart" Target="../charts/chart60.xml"/><Relationship Id="rId24" Type="http://schemas.openxmlformats.org/officeDocument/2006/relationships/chart" Target="../charts/chart71.xml"/><Relationship Id="rId5" Type="http://schemas.openxmlformats.org/officeDocument/2006/relationships/chart" Target="../charts/chart54.xml"/><Relationship Id="rId15" Type="http://schemas.openxmlformats.org/officeDocument/2006/relationships/chart" Target="../charts/chart64.xml"/><Relationship Id="rId23" Type="http://schemas.openxmlformats.org/officeDocument/2006/relationships/chart" Target="../charts/chart70.xml"/><Relationship Id="rId10" Type="http://schemas.openxmlformats.org/officeDocument/2006/relationships/chart" Target="../charts/chart59.xml"/><Relationship Id="rId19" Type="http://schemas.openxmlformats.org/officeDocument/2006/relationships/hyperlink" Target="#'AAP-community Feedback'!A2"/><Relationship Id="rId4" Type="http://schemas.openxmlformats.org/officeDocument/2006/relationships/chart" Target="../charts/chart53.xml"/><Relationship Id="rId9" Type="http://schemas.openxmlformats.org/officeDocument/2006/relationships/chart" Target="../charts/chart58.xml"/><Relationship Id="rId14" Type="http://schemas.openxmlformats.org/officeDocument/2006/relationships/chart" Target="../charts/chart63.xml"/><Relationship Id="rId22"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s>
</file>

<file path=xl/drawings/drawing1.xml><?xml version="1.0" encoding="utf-8"?>
<xdr:wsDr xmlns:xdr="http://schemas.openxmlformats.org/drawingml/2006/spreadsheetDrawing" xmlns:a="http://schemas.openxmlformats.org/drawingml/2006/main">
  <xdr:oneCellAnchor>
    <xdr:from>
      <xdr:col>2</xdr:col>
      <xdr:colOff>15875</xdr:colOff>
      <xdr:row>84</xdr:row>
      <xdr:rowOff>561975</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171575" y="49971325"/>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0.53962</cdr:x>
      <cdr:y>0.34594</cdr:y>
    </cdr:from>
    <cdr:to>
      <cdr:x>0.73849</cdr:x>
      <cdr:y>0.58331</cdr:y>
    </cdr:to>
    <cdr:cxnSp macro="">
      <cdr:nvCxnSpPr>
        <cdr:cNvPr id="2" name="Connector: Elbow 1">
          <a:extLst xmlns:a="http://schemas.openxmlformats.org/drawingml/2006/main">
            <a:ext uri="{FF2B5EF4-FFF2-40B4-BE49-F238E27FC236}">
              <a16:creationId xmlns:a16="http://schemas.microsoft.com/office/drawing/2014/main" id="{00000000-0008-0000-0C00-000026000000}"/>
            </a:ext>
          </a:extLst>
        </cdr:cNvPr>
        <cdr:cNvCxnSpPr/>
      </cdr:nvCxnSpPr>
      <cdr:spPr>
        <a:xfrm xmlns:a="http://schemas.openxmlformats.org/drawingml/2006/main" rot="16200000" flipH="1">
          <a:off x="1318201" y="1677231"/>
          <a:ext cx="1001486" cy="566057"/>
        </a:xfrm>
        <a:prstGeom xmlns:a="http://schemas.openxmlformats.org/drawingml/2006/main" prst="bentConnector3">
          <a:avLst>
            <a:gd name="adj1" fmla="val -1087"/>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0.88375</cdr:x>
      <cdr:y>0.6045</cdr:y>
    </cdr:from>
    <cdr:to>
      <cdr:x>0.99826</cdr:x>
      <cdr:y>0.66603</cdr:y>
    </cdr:to>
    <cdr:sp macro="" textlink="">
      <cdr:nvSpPr>
        <cdr:cNvPr id="5" name="TextBox 10">
          <a:extLst xmlns:a="http://schemas.openxmlformats.org/drawingml/2006/main">
            <a:ext uri="{FF2B5EF4-FFF2-40B4-BE49-F238E27FC236}">
              <a16:creationId xmlns:a16="http://schemas.microsoft.com/office/drawing/2014/main" id="{DCAD5D1B-75B5-443F-B94E-52CA18CEBC55}"/>
            </a:ext>
          </a:extLst>
        </cdr:cNvPr>
        <cdr:cNvSpPr txBox="1"/>
      </cdr:nvSpPr>
      <cdr:spPr>
        <a:xfrm xmlns:a="http://schemas.openxmlformats.org/drawingml/2006/main">
          <a:off x="6468534" y="3458030"/>
          <a:ext cx="838200" cy="3519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+15,057</a:t>
          </a:r>
        </a:p>
      </cdr:txBody>
    </cdr:sp>
  </cdr:relSizeAnchor>
  <cdr:relSizeAnchor xmlns:cdr="http://schemas.openxmlformats.org/drawingml/2006/chartDrawing">
    <cdr:from>
      <cdr:x>0.88672</cdr:x>
      <cdr:y>0.73491</cdr:y>
    </cdr:from>
    <cdr:to>
      <cdr:x>1</cdr:x>
      <cdr:y>0.80696</cdr:y>
    </cdr:to>
    <cdr:sp macro="" textlink="">
      <cdr:nvSpPr>
        <cdr:cNvPr id="6" name="TextBox 18">
          <a:extLst xmlns:a="http://schemas.openxmlformats.org/drawingml/2006/main">
            <a:ext uri="{FF2B5EF4-FFF2-40B4-BE49-F238E27FC236}">
              <a16:creationId xmlns:a16="http://schemas.microsoft.com/office/drawing/2014/main" id="{9262FA78-6EB8-4355-9941-EDB2A9E7C248}"/>
            </a:ext>
          </a:extLst>
        </cdr:cNvPr>
        <cdr:cNvSpPr txBox="1"/>
      </cdr:nvSpPr>
      <cdr:spPr>
        <a:xfrm xmlns:a="http://schemas.openxmlformats.org/drawingml/2006/main">
          <a:off x="6490304" y="4204002"/>
          <a:ext cx="829130" cy="4121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+1,299</a:t>
          </a:r>
        </a:p>
      </cdr:txBody>
    </cdr:sp>
  </cdr:relSizeAnchor>
</c:userShapes>
</file>

<file path=xl/drawings/drawing12.xml><?xml version="1.0" encoding="utf-8"?>
<xdr:wsDr xmlns:xdr="http://schemas.openxmlformats.org/drawingml/2006/spreadsheetDrawing" xmlns:a="http://schemas.openxmlformats.org/drawingml/2006/main">
  <xdr:twoCellAnchor>
    <xdr:from>
      <xdr:col>9</xdr:col>
      <xdr:colOff>18522</xdr:colOff>
      <xdr:row>13</xdr:row>
      <xdr:rowOff>132291</xdr:rowOff>
    </xdr:from>
    <xdr:to>
      <xdr:col>19</xdr:col>
      <xdr:colOff>431271</xdr:colOff>
      <xdr:row>29</xdr:row>
      <xdr:rowOff>19792</xdr:rowOff>
    </xdr:to>
    <xdr:graphicFrame macro="">
      <xdr:nvGraphicFramePr>
        <xdr:cNvPr id="37" name="Chart 36">
          <a:extLst>
            <a:ext uri="{FF2B5EF4-FFF2-40B4-BE49-F238E27FC236}">
              <a16:creationId xmlns:a16="http://schemas.microsoft.com/office/drawing/2014/main" id="{FCF7F68B-AFB3-495C-8C74-398E2D328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55562</xdr:colOff>
      <xdr:row>45</xdr:row>
      <xdr:rowOff>134936</xdr:rowOff>
    </xdr:from>
    <xdr:to>
      <xdr:col>13</xdr:col>
      <xdr:colOff>238125</xdr:colOff>
      <xdr:row>68</xdr:row>
      <xdr:rowOff>7937</xdr:rowOff>
    </xdr:to>
    <xdr:graphicFrame macro="">
      <xdr:nvGraphicFramePr>
        <xdr:cNvPr id="47" name="Chart 46">
          <a:extLst>
            <a:ext uri="{FF2B5EF4-FFF2-40B4-BE49-F238E27FC236}">
              <a16:creationId xmlns:a16="http://schemas.microsoft.com/office/drawing/2014/main" id="{1F856886-582C-43DC-A46D-40015BDE4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64941</xdr:colOff>
      <xdr:row>90</xdr:row>
      <xdr:rowOff>52917</xdr:rowOff>
    </xdr:from>
    <xdr:to>
      <xdr:col>8</xdr:col>
      <xdr:colOff>24724</xdr:colOff>
      <xdr:row>102</xdr:row>
      <xdr:rowOff>91568</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64941" y="19251359"/>
          <a:ext cx="7365367" cy="2413715"/>
          <a:chOff x="9960462" y="4190884"/>
          <a:chExt cx="5675772" cy="1812925"/>
        </a:xfrm>
      </xdr:grpSpPr>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9960462" y="4190884"/>
          <a:ext cx="5675772" cy="181292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TextBox 8">
            <a:hlinkClick xmlns:r="http://schemas.openxmlformats.org/officeDocument/2006/relationships" r:id="rId4"/>
            <a:extLst>
              <a:ext uri="{FF2B5EF4-FFF2-40B4-BE49-F238E27FC236}">
                <a16:creationId xmlns:a16="http://schemas.microsoft.com/office/drawing/2014/main" id="{00000000-0008-0000-0D00-000009000000}"/>
              </a:ext>
            </a:extLst>
          </xdr:cNvPr>
          <xdr:cNvSpPr txBox="1"/>
        </xdr:nvSpPr>
        <xdr:spPr>
          <a:xfrm>
            <a:off x="14706184" y="4239478"/>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9</xdr:col>
      <xdr:colOff>35927</xdr:colOff>
      <xdr:row>29</xdr:row>
      <xdr:rowOff>122878</xdr:rowOff>
    </xdr:from>
    <xdr:to>
      <xdr:col>19</xdr:col>
      <xdr:colOff>489744</xdr:colOff>
      <xdr:row>31</xdr:row>
      <xdr:rowOff>170764</xdr:rowOff>
    </xdr:to>
    <xdr:sp macro="" textlink="">
      <xdr:nvSpPr>
        <xdr:cNvPr id="19" name="Rectangle 18">
          <a:extLst>
            <a:ext uri="{FF2B5EF4-FFF2-40B4-BE49-F238E27FC236}">
              <a16:creationId xmlns:a16="http://schemas.microsoft.com/office/drawing/2014/main" id="{00000000-0008-0000-0D00-000013000000}"/>
            </a:ext>
          </a:extLst>
        </xdr:cNvPr>
        <xdr:cNvSpPr/>
      </xdr:nvSpPr>
      <xdr:spPr>
        <a:xfrm>
          <a:off x="7537174" y="6189190"/>
          <a:ext cx="9330622" cy="453626"/>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8</xdr:col>
      <xdr:colOff>76095</xdr:colOff>
      <xdr:row>43</xdr:row>
      <xdr:rowOff>189676</xdr:rowOff>
    </xdr:from>
    <xdr:to>
      <xdr:col>19</xdr:col>
      <xdr:colOff>441613</xdr:colOff>
      <xdr:row>45</xdr:row>
      <xdr:rowOff>74221</xdr:rowOff>
    </xdr:to>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7481679" y="9327079"/>
          <a:ext cx="9337986" cy="362856"/>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9</xdr:col>
      <xdr:colOff>3019</xdr:colOff>
      <xdr:row>68</xdr:row>
      <xdr:rowOff>52688</xdr:rowOff>
    </xdr:from>
    <xdr:to>
      <xdr:col>19</xdr:col>
      <xdr:colOff>471439</xdr:colOff>
      <xdr:row>70</xdr:row>
      <xdr:rowOff>115750</xdr:rowOff>
    </xdr:to>
    <xdr:sp macro="" textlink="">
      <xdr:nvSpPr>
        <xdr:cNvPr id="21" name="TextBox 45">
          <a:extLst>
            <a:ext uri="{FF2B5EF4-FFF2-40B4-BE49-F238E27FC236}">
              <a16:creationId xmlns:a16="http://schemas.microsoft.com/office/drawing/2014/main" id="{00000000-0008-0000-0D00-000015000000}"/>
            </a:ext>
          </a:extLst>
        </xdr:cNvPr>
        <xdr:cNvSpPr txBox="1"/>
      </xdr:nvSpPr>
      <xdr:spPr>
        <a:xfrm>
          <a:off x="6901428" y="15331173"/>
          <a:ext cx="9358420" cy="467153"/>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8</xdr:col>
      <xdr:colOff>94192</xdr:colOff>
      <xdr:row>88</xdr:row>
      <xdr:rowOff>128988</xdr:rowOff>
    </xdr:from>
    <xdr:to>
      <xdr:col>19</xdr:col>
      <xdr:colOff>419100</xdr:colOff>
      <xdr:row>102</xdr:row>
      <xdr:rowOff>113187</xdr:rowOff>
    </xdr:to>
    <xdr:graphicFrame macro="">
      <xdr:nvGraphicFramePr>
        <xdr:cNvPr id="22" name="Chart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2253</xdr:colOff>
      <xdr:row>32</xdr:row>
      <xdr:rowOff>75436</xdr:rowOff>
    </xdr:from>
    <xdr:to>
      <xdr:col>19</xdr:col>
      <xdr:colOff>442575</xdr:colOff>
      <xdr:row>43</xdr:row>
      <xdr:rowOff>116552</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7498552" y="6458423"/>
          <a:ext cx="9322075" cy="2795532"/>
          <a:chOff x="7589349" y="7568295"/>
          <a:chExt cx="9372348" cy="2835122"/>
        </a:xfrm>
      </xdr:grpSpPr>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7589349" y="7572058"/>
          <a:ext cx="2761152" cy="282223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38" name="Chart 37">
            <a:extLst>
              <a:ext uri="{FF2B5EF4-FFF2-40B4-BE49-F238E27FC236}">
                <a16:creationId xmlns:a16="http://schemas.microsoft.com/office/drawing/2014/main" id="{00000000-0008-0000-0D00-000026000000}"/>
              </a:ext>
            </a:extLst>
          </xdr:cNvPr>
          <xdr:cNvGraphicFramePr>
            <a:graphicFrameLocks/>
          </xdr:cNvGraphicFramePr>
        </xdr:nvGraphicFramePr>
        <xdr:xfrm>
          <a:off x="10389021" y="7568295"/>
          <a:ext cx="3177059" cy="281516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39" name="Chart 38">
            <a:extLst>
              <a:ext uri="{FF2B5EF4-FFF2-40B4-BE49-F238E27FC236}">
                <a16:creationId xmlns:a16="http://schemas.microsoft.com/office/drawing/2014/main" id="{00000000-0008-0000-0D00-000027000000}"/>
              </a:ext>
            </a:extLst>
          </xdr:cNvPr>
          <xdr:cNvGraphicFramePr>
            <a:graphicFrameLocks/>
          </xdr:cNvGraphicFramePr>
        </xdr:nvGraphicFramePr>
        <xdr:xfrm>
          <a:off x="11895667" y="8796938"/>
          <a:ext cx="1601897" cy="1548834"/>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0" name="Chart 39">
            <a:extLst>
              <a:ext uri="{FF2B5EF4-FFF2-40B4-BE49-F238E27FC236}">
                <a16:creationId xmlns:a16="http://schemas.microsoft.com/office/drawing/2014/main" id="{00000000-0008-0000-0D00-000028000000}"/>
              </a:ext>
            </a:extLst>
          </xdr:cNvPr>
          <xdr:cNvGraphicFramePr>
            <a:graphicFrameLocks/>
          </xdr:cNvGraphicFramePr>
        </xdr:nvGraphicFramePr>
        <xdr:xfrm>
          <a:off x="13578417" y="7574312"/>
          <a:ext cx="3383280" cy="2829105"/>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1" name="Chart 40">
            <a:extLst>
              <a:ext uri="{FF2B5EF4-FFF2-40B4-BE49-F238E27FC236}">
                <a16:creationId xmlns:a16="http://schemas.microsoft.com/office/drawing/2014/main" id="{00000000-0008-0000-0D00-000029000000}"/>
              </a:ext>
            </a:extLst>
          </xdr:cNvPr>
          <xdr:cNvGraphicFramePr>
            <a:graphicFrameLocks/>
          </xdr:cNvGraphicFramePr>
        </xdr:nvGraphicFramePr>
        <xdr:xfrm>
          <a:off x="15165917" y="8466627"/>
          <a:ext cx="1778000" cy="1869167"/>
        </xdr:xfrm>
        <a:graphic>
          <a:graphicData uri="http://schemas.openxmlformats.org/drawingml/2006/chart">
            <c:chart xmlns:c="http://schemas.openxmlformats.org/drawingml/2006/chart" xmlns:r="http://schemas.openxmlformats.org/officeDocument/2006/relationships" r:id="rId10"/>
          </a:graphicData>
        </a:graphic>
      </xdr:graphicFrame>
      <xdr:cxnSp macro="">
        <xdr:nvCxnSpPr>
          <xdr:cNvPr id="42" name="Connector: Elbow 41">
            <a:extLst>
              <a:ext uri="{FF2B5EF4-FFF2-40B4-BE49-F238E27FC236}">
                <a16:creationId xmlns:a16="http://schemas.microsoft.com/office/drawing/2014/main" id="{00000000-0008-0000-0D00-00002A000000}"/>
              </a:ext>
            </a:extLst>
          </xdr:cNvPr>
          <xdr:cNvCxnSpPr/>
        </xdr:nvCxnSpPr>
        <xdr:spPr>
          <a:xfrm>
            <a:off x="11451166" y="8434916"/>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or: Elbow 45">
            <a:extLst>
              <a:ext uri="{FF2B5EF4-FFF2-40B4-BE49-F238E27FC236}">
                <a16:creationId xmlns:a16="http://schemas.microsoft.com/office/drawing/2014/main" id="{00000000-0008-0000-0D00-00002E000000}"/>
              </a:ext>
            </a:extLst>
          </xdr:cNvPr>
          <xdr:cNvCxnSpPr/>
        </xdr:nvCxnSpPr>
        <xdr:spPr>
          <a:xfrm>
            <a:off x="14509749" y="8318500"/>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1155</xdr:colOff>
      <xdr:row>1</xdr:row>
      <xdr:rowOff>42334</xdr:rowOff>
    </xdr:from>
    <xdr:to>
      <xdr:col>19</xdr:col>
      <xdr:colOff>452197</xdr:colOff>
      <xdr:row>3</xdr:row>
      <xdr:rowOff>90594</xdr:rowOff>
    </xdr:to>
    <xdr:sp macro="" textlink="">
      <xdr:nvSpPr>
        <xdr:cNvPr id="51" name="Rectangle 50">
          <a:extLst>
            <a:ext uri="{FF2B5EF4-FFF2-40B4-BE49-F238E27FC236}">
              <a16:creationId xmlns:a16="http://schemas.microsoft.com/office/drawing/2014/main" id="{00000000-0008-0000-0D00-000033000000}"/>
            </a:ext>
          </a:extLst>
        </xdr:cNvPr>
        <xdr:cNvSpPr/>
      </xdr:nvSpPr>
      <xdr:spPr>
        <a:xfrm>
          <a:off x="6899564" y="494531"/>
          <a:ext cx="9341042" cy="375381"/>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21</xdr:col>
      <xdr:colOff>118534</xdr:colOff>
      <xdr:row>9</xdr:row>
      <xdr:rowOff>158751</xdr:rowOff>
    </xdr:from>
    <xdr:to>
      <xdr:col>23</xdr:col>
      <xdr:colOff>443915</xdr:colOff>
      <xdr:row>13</xdr:row>
      <xdr:rowOff>125294</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17485784" y="2021418"/>
          <a:ext cx="1553048" cy="728543"/>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15</xdr:col>
      <xdr:colOff>403121</xdr:colOff>
      <xdr:row>56</xdr:row>
      <xdr:rowOff>166683</xdr:rowOff>
    </xdr:from>
    <xdr:to>
      <xdr:col>19</xdr:col>
      <xdr:colOff>428625</xdr:colOff>
      <xdr:row>67</xdr:row>
      <xdr:rowOff>198436</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423485</xdr:colOff>
      <xdr:row>45</xdr:row>
      <xdr:rowOff>124226</xdr:rowOff>
    </xdr:from>
    <xdr:to>
      <xdr:col>19</xdr:col>
      <xdr:colOff>431753</xdr:colOff>
      <xdr:row>56</xdr:row>
      <xdr:rowOff>134936</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280229</xdr:colOff>
      <xdr:row>56</xdr:row>
      <xdr:rowOff>159521</xdr:rowOff>
    </xdr:from>
    <xdr:to>
      <xdr:col>15</xdr:col>
      <xdr:colOff>324679</xdr:colOff>
      <xdr:row>68</xdr:row>
      <xdr:rowOff>7938</xdr:rowOff>
    </xdr:to>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571500</xdr:colOff>
      <xdr:row>48</xdr:row>
      <xdr:rowOff>15876</xdr:rowOff>
    </xdr:from>
    <xdr:to>
      <xdr:col>13</xdr:col>
      <xdr:colOff>134938</xdr:colOff>
      <xdr:row>55</xdr:row>
      <xdr:rowOff>55563</xdr:rowOff>
    </xdr:to>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0</xdr:colOff>
      <xdr:row>71</xdr:row>
      <xdr:rowOff>0</xdr:rowOff>
    </xdr:from>
    <xdr:to>
      <xdr:col>14</xdr:col>
      <xdr:colOff>1630795</xdr:colOff>
      <xdr:row>87</xdr:row>
      <xdr:rowOff>114300</xdr:rowOff>
    </xdr:to>
    <xdr:graphicFrame macro="">
      <xdr:nvGraphicFramePr>
        <xdr:cNvPr id="36" name="Chart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279498</xdr:colOff>
      <xdr:row>45</xdr:row>
      <xdr:rowOff>127770</xdr:rowOff>
    </xdr:from>
    <xdr:to>
      <xdr:col>15</xdr:col>
      <xdr:colOff>323948</xdr:colOff>
      <xdr:row>56</xdr:row>
      <xdr:rowOff>135073</xdr:rowOff>
    </xdr:to>
    <xdr:graphicFrame macro="">
      <xdr:nvGraphicFramePr>
        <xdr:cNvPr id="44" name="Chart 43">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1674091</xdr:colOff>
      <xdr:row>71</xdr:row>
      <xdr:rowOff>0</xdr:rowOff>
    </xdr:from>
    <xdr:to>
      <xdr:col>19</xdr:col>
      <xdr:colOff>440170</xdr:colOff>
      <xdr:row>87</xdr:row>
      <xdr:rowOff>122671</xdr:rowOff>
    </xdr:to>
    <xdr:graphicFrame macro="">
      <xdr:nvGraphicFramePr>
        <xdr:cNvPr id="45" name="Chart 44">
          <a:extLst>
            <a:ext uri="{FF2B5EF4-FFF2-40B4-BE49-F238E27FC236}">
              <a16:creationId xmlns:a16="http://schemas.microsoft.com/office/drawing/2014/main" id="{7452DE85-DE79-44C4-8D24-8977FEA72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74565</xdr:colOff>
      <xdr:row>1</xdr:row>
      <xdr:rowOff>81782</xdr:rowOff>
    </xdr:from>
    <xdr:to>
      <xdr:col>7</xdr:col>
      <xdr:colOff>793750</xdr:colOff>
      <xdr:row>27</xdr:row>
      <xdr:rowOff>127000</xdr:rowOff>
    </xdr:to>
    <xdr:graphicFrame macro="">
      <xdr:nvGraphicFramePr>
        <xdr:cNvPr id="35" name="Chart 34">
          <a:extLst>
            <a:ext uri="{FF2B5EF4-FFF2-40B4-BE49-F238E27FC236}">
              <a16:creationId xmlns:a16="http://schemas.microsoft.com/office/drawing/2014/main" id="{0D55BB11-08CA-48C1-AF87-424DD838C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5706</xdr:colOff>
      <xdr:row>3</xdr:row>
      <xdr:rowOff>147171</xdr:rowOff>
    </xdr:from>
    <xdr:to>
      <xdr:col>17</xdr:col>
      <xdr:colOff>719936</xdr:colOff>
      <xdr:row>12</xdr:row>
      <xdr:rowOff>94765</xdr:rowOff>
    </xdr:to>
    <xdr:sp macro="" textlink="">
      <xdr:nvSpPr>
        <xdr:cNvPr id="48" name="TextBox 47">
          <a:hlinkClick xmlns:r="http://schemas.openxmlformats.org/officeDocument/2006/relationships" r:id="rId20"/>
          <a:extLst>
            <a:ext uri="{FF2B5EF4-FFF2-40B4-BE49-F238E27FC236}">
              <a16:creationId xmlns:a16="http://schemas.microsoft.com/office/drawing/2014/main" id="{F03A6A31-AEB9-4679-B945-6A6311301344}"/>
            </a:ext>
          </a:extLst>
        </xdr:cNvPr>
        <xdr:cNvSpPr txBox="1"/>
      </xdr:nvSpPr>
      <xdr:spPr>
        <a:xfrm>
          <a:off x="8870966" y="955353"/>
          <a:ext cx="6882801" cy="1704152"/>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WASH cluster</a:t>
          </a:r>
          <a:r>
            <a:rPr lang="en-US" sz="2000" b="1" baseline="0">
              <a:solidFill>
                <a:schemeClr val="bg1"/>
              </a:solidFill>
            </a:rPr>
            <a:t> team visited to 6 camps for the assessment of camp closure in Q3.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1</xdr:col>
      <xdr:colOff>12522</xdr:colOff>
      <xdr:row>70</xdr:row>
      <xdr:rowOff>148204</xdr:rowOff>
    </xdr:from>
    <xdr:to>
      <xdr:col>8</xdr:col>
      <xdr:colOff>7787</xdr:colOff>
      <xdr:row>74</xdr:row>
      <xdr:rowOff>15506</xdr:rowOff>
    </xdr:to>
    <xdr:sp macro="" textlink="">
      <xdr:nvSpPr>
        <xdr:cNvPr id="50" name="Rectangle 49">
          <a:extLst>
            <a:ext uri="{FF2B5EF4-FFF2-40B4-BE49-F238E27FC236}">
              <a16:creationId xmlns:a16="http://schemas.microsoft.com/office/drawing/2014/main" id="{5A807767-2DF8-41B4-A166-6A9ECFC04D4D}"/>
            </a:ext>
          </a:extLst>
        </xdr:cNvPr>
        <xdr:cNvSpPr/>
      </xdr:nvSpPr>
      <xdr:spPr>
        <a:xfrm>
          <a:off x="94990" y="15388204"/>
          <a:ext cx="7318381" cy="658990"/>
        </a:xfrm>
        <a:prstGeom prst="rect">
          <a:avLst/>
        </a:prstGeom>
        <a:ln>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 TEAR Australia, USAID, SIDA, MHF, LIFT, GAC, S'Korea, UNOPS, Irish Aid, ECHO, UNICEF</a:t>
          </a:r>
        </a:p>
      </xdr:txBody>
    </xdr:sp>
    <xdr:clientData/>
  </xdr:twoCellAnchor>
  <xdr:twoCellAnchor>
    <xdr:from>
      <xdr:col>1</xdr:col>
      <xdr:colOff>8246</xdr:colOff>
      <xdr:row>46</xdr:row>
      <xdr:rowOff>107208</xdr:rowOff>
    </xdr:from>
    <xdr:to>
      <xdr:col>7</xdr:col>
      <xdr:colOff>948377</xdr:colOff>
      <xdr:row>57</xdr:row>
      <xdr:rowOff>61554</xdr:rowOff>
    </xdr:to>
    <xdr:graphicFrame macro="">
      <xdr:nvGraphicFramePr>
        <xdr:cNvPr id="53" name="Chart 52">
          <a:extLst>
            <a:ext uri="{FF2B5EF4-FFF2-40B4-BE49-F238E27FC236}">
              <a16:creationId xmlns:a16="http://schemas.microsoft.com/office/drawing/2014/main" id="{EC0D46B1-176B-4234-918B-FFAD0ECBC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9070</xdr:colOff>
      <xdr:row>58</xdr:row>
      <xdr:rowOff>12371</xdr:rowOff>
    </xdr:from>
    <xdr:to>
      <xdr:col>7</xdr:col>
      <xdr:colOff>949202</xdr:colOff>
      <xdr:row>70</xdr:row>
      <xdr:rowOff>73925</xdr:rowOff>
    </xdr:to>
    <xdr:graphicFrame macro="">
      <xdr:nvGraphicFramePr>
        <xdr:cNvPr id="54" name="Chart 53">
          <a:extLst>
            <a:ext uri="{FF2B5EF4-FFF2-40B4-BE49-F238E27FC236}">
              <a16:creationId xmlns:a16="http://schemas.microsoft.com/office/drawing/2014/main" id="{F4D4B50B-BCF2-4B03-A0C3-54093BAC2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823</xdr:colOff>
      <xdr:row>74</xdr:row>
      <xdr:rowOff>98136</xdr:rowOff>
    </xdr:from>
    <xdr:to>
      <xdr:col>8</xdr:col>
      <xdr:colOff>16494</xdr:colOff>
      <xdr:row>90</xdr:row>
      <xdr:rowOff>11132</xdr:rowOff>
    </xdr:to>
    <xdr:graphicFrame macro="">
      <xdr:nvGraphicFramePr>
        <xdr:cNvPr id="55" name="Chart 54">
          <a:extLst>
            <a:ext uri="{FF2B5EF4-FFF2-40B4-BE49-F238E27FC236}">
              <a16:creationId xmlns:a16="http://schemas.microsoft.com/office/drawing/2014/main" id="{8131DD48-B0BB-4F1F-9274-75FBBC1AD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0.90325</cdr:x>
      <cdr:y>0.60284</cdr:y>
    </cdr:from>
    <cdr:to>
      <cdr:x>1</cdr:x>
      <cdr:y>0.6388</cdr:y>
    </cdr:to>
    <cdr:sp macro="" textlink="">
      <cdr:nvSpPr>
        <cdr:cNvPr id="3" name="TextBox 10">
          <a:extLst xmlns:a="http://schemas.openxmlformats.org/drawingml/2006/main">
            <a:ext uri="{FF2B5EF4-FFF2-40B4-BE49-F238E27FC236}">
              <a16:creationId xmlns:a16="http://schemas.microsoft.com/office/drawing/2014/main" id="{30001909-5710-4BE4-95D1-D81532E46E22}"/>
            </a:ext>
          </a:extLst>
        </cdr:cNvPr>
        <cdr:cNvSpPr txBox="1"/>
      </cdr:nvSpPr>
      <cdr:spPr>
        <a:xfrm xmlns:a="http://schemas.openxmlformats.org/drawingml/2006/main">
          <a:off x="6486551" y="2920670"/>
          <a:ext cx="694789" cy="1741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+1,451</a:t>
          </a:r>
        </a:p>
      </cdr:txBody>
    </cdr:sp>
  </cdr:relSizeAnchor>
</c:userShapes>
</file>

<file path=xl/drawings/drawing14.xml><?xml version="1.0" encoding="utf-8"?>
<xdr:wsDr xmlns:xdr="http://schemas.openxmlformats.org/drawingml/2006/spreadsheetDrawing" xmlns:a="http://schemas.openxmlformats.org/drawingml/2006/main">
  <xdr:twoCellAnchor>
    <xdr:from>
      <xdr:col>8</xdr:col>
      <xdr:colOff>500062</xdr:colOff>
      <xdr:row>0</xdr:row>
      <xdr:rowOff>64819</xdr:rowOff>
    </xdr:from>
    <xdr:to>
      <xdr:col>24</xdr:col>
      <xdr:colOff>107156</xdr:colOff>
      <xdr:row>92</xdr:row>
      <xdr:rowOff>119062</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34078</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304170</xdr:colOff>
      <xdr:row>25</xdr:row>
      <xdr:rowOff>149013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207434</xdr:colOff>
      <xdr:row>0</xdr:row>
      <xdr:rowOff>138379</xdr:rowOff>
    </xdr:from>
    <xdr:to>
      <xdr:col>20</xdr:col>
      <xdr:colOff>679131</xdr:colOff>
      <xdr:row>9</xdr:row>
      <xdr:rowOff>47624</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2796309" y="138380"/>
              <a:ext cx="1836947" cy="144118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172505</xdr:colOff>
      <xdr:row>19</xdr:row>
      <xdr:rowOff>63500</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133983</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16</xdr:col>
      <xdr:colOff>465789</xdr:colOff>
      <xdr:row>2</xdr:row>
      <xdr:rowOff>0</xdr:rowOff>
    </xdr:from>
    <xdr:to>
      <xdr:col>33</xdr:col>
      <xdr:colOff>77529</xdr:colOff>
      <xdr:row>31</xdr:row>
      <xdr:rowOff>95251</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22153</xdr:colOff>
      <xdr:row>2</xdr:row>
      <xdr:rowOff>93477</xdr:rowOff>
    </xdr:from>
    <xdr:to>
      <xdr:col>10</xdr:col>
      <xdr:colOff>490915</xdr:colOff>
      <xdr:row>12</xdr:row>
      <xdr:rowOff>111045</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708839" y="625105"/>
              <a:ext cx="1828800" cy="199783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309871</xdr:colOff>
      <xdr:row>2</xdr:row>
      <xdr:rowOff>23309</xdr:rowOff>
    </xdr:from>
    <xdr:to>
      <xdr:col>16</xdr:col>
      <xdr:colOff>74182</xdr:colOff>
      <xdr:row>31</xdr:row>
      <xdr:rowOff>110756</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429987" y="554937"/>
              <a:ext cx="1818020" cy="586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653459</xdr:colOff>
      <xdr:row>13</xdr:row>
      <xdr:rowOff>107311</xdr:rowOff>
    </xdr:from>
    <xdr:to>
      <xdr:col>13</xdr:col>
      <xdr:colOff>220780</xdr:colOff>
      <xdr:row>22</xdr:row>
      <xdr:rowOff>148146</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653459" y="2831904"/>
              <a:ext cx="3682342" cy="18198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504136</xdr:colOff>
      <xdr:row>2</xdr:row>
      <xdr:rowOff>68668</xdr:rowOff>
    </xdr:from>
    <xdr:to>
      <xdr:col>13</xdr:col>
      <xdr:colOff>264814</xdr:colOff>
      <xdr:row>12</xdr:row>
      <xdr:rowOff>149494</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2564194" y="600296"/>
              <a:ext cx="1817560" cy="20553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42</xdr:row>
      <xdr:rowOff>28575</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1</xdr:rowOff>
    </xdr:from>
    <xdr:to>
      <xdr:col>9</xdr:col>
      <xdr:colOff>187325</xdr:colOff>
      <xdr:row>6</xdr:row>
      <xdr:rowOff>133351</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2092325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149225</xdr:colOff>
      <xdr:row>6</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79375</xdr:colOff>
      <xdr:row>7</xdr:row>
      <xdr:rowOff>28576</xdr:rowOff>
    </xdr:from>
    <xdr:to>
      <xdr:col>10</xdr:col>
      <xdr:colOff>237490</xdr:colOff>
      <xdr:row>17</xdr:row>
      <xdr:rowOff>120650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13775" y="1406526"/>
              <a:ext cx="3758565" cy="2060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459507</xdr:colOff>
      <xdr:row>84</xdr:row>
      <xdr:rowOff>106795</xdr:rowOff>
    </xdr:from>
    <xdr:ext cx="7246792" cy="2009775"/>
    <xdr:pic>
      <xdr:nvPicPr>
        <xdr:cNvPr id="2" name="Picture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036780" y="48701613"/>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7</xdr:col>
      <xdr:colOff>291041</xdr:colOff>
      <xdr:row>167</xdr:row>
      <xdr:rowOff>6563</xdr:rowOff>
    </xdr:from>
    <xdr:to>
      <xdr:col>14</xdr:col>
      <xdr:colOff>905819</xdr:colOff>
      <xdr:row>176</xdr:row>
      <xdr:rowOff>135316</xdr:rowOff>
    </xdr:to>
    <xdr:graphicFrame macro="">
      <xdr:nvGraphicFramePr>
        <xdr:cNvPr id="12" name="Chart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1094013</xdr:colOff>
      <xdr:row>187</xdr:row>
      <xdr:rowOff>191407</xdr:rowOff>
    </xdr:from>
    <xdr:to>
      <xdr:col>15</xdr:col>
      <xdr:colOff>241526</xdr:colOff>
      <xdr:row>195</xdr:row>
      <xdr:rowOff>98198</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192770</xdr:colOff>
      <xdr:row>203</xdr:row>
      <xdr:rowOff>72572</xdr:rowOff>
    </xdr:from>
    <xdr:to>
      <xdr:col>16</xdr:col>
      <xdr:colOff>509136</xdr:colOff>
      <xdr:row>210</xdr:row>
      <xdr:rowOff>464457</xdr:rowOff>
    </xdr:to>
    <xdr:graphicFrame macro="">
      <xdr:nvGraphicFramePr>
        <xdr:cNvPr id="17" name="Chart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350507</xdr:colOff>
      <xdr:row>169</xdr:row>
      <xdr:rowOff>183891</xdr:rowOff>
    </xdr:from>
    <xdr:to>
      <xdr:col>24</xdr:col>
      <xdr:colOff>350838</xdr:colOff>
      <xdr:row>177</xdr:row>
      <xdr:rowOff>58058</xdr:rowOff>
    </xdr:to>
    <xdr:graphicFrame macro="">
      <xdr:nvGraphicFramePr>
        <xdr:cNvPr id="18" name="Chart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138339</xdr:colOff>
      <xdr:row>169</xdr:row>
      <xdr:rowOff>117171</xdr:rowOff>
    </xdr:from>
    <xdr:to>
      <xdr:col>39</xdr:col>
      <xdr:colOff>526480</xdr:colOff>
      <xdr:row>177</xdr:row>
      <xdr:rowOff>195376</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167</xdr:row>
      <xdr:rowOff>0</xdr:rowOff>
    </xdr:from>
    <xdr:to>
      <xdr:col>19</xdr:col>
      <xdr:colOff>973871</xdr:colOff>
      <xdr:row>168</xdr:row>
      <xdr:rowOff>143152</xdr:rowOff>
    </xdr:to>
    <xdr:sp macro="" textlink="">
      <xdr:nvSpPr>
        <xdr:cNvPr id="9" name="TextBox 3">
          <a:extLst>
            <a:ext uri="{FF2B5EF4-FFF2-40B4-BE49-F238E27FC236}">
              <a16:creationId xmlns:a16="http://schemas.microsoft.com/office/drawing/2014/main" id="{FBDE99E8-709C-4F56-8994-FA3682D0FD0E}"/>
            </a:ext>
          </a:extLst>
        </xdr:cNvPr>
        <xdr:cNvSpPr txBox="1"/>
      </xdr:nvSpPr>
      <xdr:spPr>
        <a:xfrm>
          <a:off x="19669125" y="17200563"/>
          <a:ext cx="973871" cy="3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+46,015</a:t>
          </a:r>
        </a:p>
      </xdr:txBody>
    </xdr:sp>
    <xdr:clientData/>
  </xdr:twoCellAnchor>
  <xdr:twoCellAnchor>
    <xdr:from>
      <xdr:col>14</xdr:col>
      <xdr:colOff>96610</xdr:colOff>
      <xdr:row>192</xdr:row>
      <xdr:rowOff>210457</xdr:rowOff>
    </xdr:from>
    <xdr:to>
      <xdr:col>16</xdr:col>
      <xdr:colOff>64406</xdr:colOff>
      <xdr:row>192</xdr:row>
      <xdr:rowOff>550182</xdr:rowOff>
    </xdr:to>
    <xdr:sp macro="" textlink="">
      <xdr:nvSpPr>
        <xdr:cNvPr id="11" name="TextBox 10">
          <a:extLst>
            <a:ext uri="{FF2B5EF4-FFF2-40B4-BE49-F238E27FC236}">
              <a16:creationId xmlns:a16="http://schemas.microsoft.com/office/drawing/2014/main" id="{DCAD5D1B-75B5-443F-B94E-52CA18CEBC55}"/>
            </a:ext>
          </a:extLst>
        </xdr:cNvPr>
        <xdr:cNvSpPr txBox="1"/>
      </xdr:nvSpPr>
      <xdr:spPr>
        <a:xfrm>
          <a:off x="17474443" y="17397790"/>
          <a:ext cx="1671713"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+15,057</a:t>
          </a:r>
        </a:p>
      </xdr:txBody>
    </xdr:sp>
    <xdr:clientData/>
  </xdr:twoCellAnchor>
  <xdr:twoCellAnchor>
    <xdr:from>
      <xdr:col>16</xdr:col>
      <xdr:colOff>441098</xdr:colOff>
      <xdr:row>208</xdr:row>
      <xdr:rowOff>824367</xdr:rowOff>
    </xdr:from>
    <xdr:to>
      <xdr:col>17</xdr:col>
      <xdr:colOff>1054100</xdr:colOff>
      <xdr:row>208</xdr:row>
      <xdr:rowOff>1164092</xdr:rowOff>
    </xdr:to>
    <xdr:sp macro="" textlink="">
      <xdr:nvSpPr>
        <xdr:cNvPr id="14" name="TextBox 13">
          <a:extLst>
            <a:ext uri="{FF2B5EF4-FFF2-40B4-BE49-F238E27FC236}">
              <a16:creationId xmlns:a16="http://schemas.microsoft.com/office/drawing/2014/main" id="{D66EC6AB-9147-48CF-A0DE-0F6AAB79F708}"/>
            </a:ext>
          </a:extLst>
        </xdr:cNvPr>
        <xdr:cNvSpPr txBox="1"/>
      </xdr:nvSpPr>
      <xdr:spPr>
        <a:xfrm>
          <a:off x="22348598" y="42400992"/>
          <a:ext cx="1835377"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+18,106</a:t>
          </a:r>
        </a:p>
      </xdr:txBody>
    </xdr:sp>
    <xdr:clientData/>
  </xdr:twoCellAnchor>
  <xdr:twoCellAnchor>
    <xdr:from>
      <xdr:col>15</xdr:col>
      <xdr:colOff>625929</xdr:colOff>
      <xdr:row>176</xdr:row>
      <xdr:rowOff>108857</xdr:rowOff>
    </xdr:from>
    <xdr:to>
      <xdr:col>16</xdr:col>
      <xdr:colOff>584996</xdr:colOff>
      <xdr:row>176</xdr:row>
      <xdr:rowOff>490427</xdr:rowOff>
    </xdr:to>
    <xdr:sp macro="" textlink="">
      <xdr:nvSpPr>
        <xdr:cNvPr id="10" name="TextBox 3">
          <a:extLst>
            <a:ext uri="{FF2B5EF4-FFF2-40B4-BE49-F238E27FC236}">
              <a16:creationId xmlns:a16="http://schemas.microsoft.com/office/drawing/2014/main" id="{A8521328-57E5-4932-B427-43E1B1335749}"/>
            </a:ext>
          </a:extLst>
        </xdr:cNvPr>
        <xdr:cNvSpPr txBox="1"/>
      </xdr:nvSpPr>
      <xdr:spPr>
        <a:xfrm>
          <a:off x="17761858" y="34816143"/>
          <a:ext cx="938781" cy="381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+15,648</a:t>
          </a:r>
        </a:p>
      </xdr:txBody>
    </xdr:sp>
    <xdr:clientData/>
  </xdr:twoCellAnchor>
  <xdr:twoCellAnchor>
    <xdr:from>
      <xdr:col>38</xdr:col>
      <xdr:colOff>906841</xdr:colOff>
      <xdr:row>174</xdr:row>
      <xdr:rowOff>516164</xdr:rowOff>
    </xdr:from>
    <xdr:to>
      <xdr:col>39</xdr:col>
      <xdr:colOff>493184</xdr:colOff>
      <xdr:row>174</xdr:row>
      <xdr:rowOff>931209</xdr:rowOff>
    </xdr:to>
    <xdr:sp macro="" textlink="">
      <xdr:nvSpPr>
        <xdr:cNvPr id="13" name="TextBox 3">
          <a:extLst>
            <a:ext uri="{FF2B5EF4-FFF2-40B4-BE49-F238E27FC236}">
              <a16:creationId xmlns:a16="http://schemas.microsoft.com/office/drawing/2014/main" id="{E8DA60FE-C19D-4342-ADE0-B99512F2E700}"/>
            </a:ext>
          </a:extLst>
        </xdr:cNvPr>
        <xdr:cNvSpPr txBox="1"/>
      </xdr:nvSpPr>
      <xdr:spPr>
        <a:xfrm>
          <a:off x="43123758" y="9765997"/>
          <a:ext cx="856343" cy="415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+3,287</a:t>
          </a:r>
        </a:p>
      </xdr:txBody>
    </xdr:sp>
    <xdr:clientData/>
  </xdr:twoCellAnchor>
  <xdr:twoCellAnchor>
    <xdr:from>
      <xdr:col>7</xdr:col>
      <xdr:colOff>50801</xdr:colOff>
      <xdr:row>218</xdr:row>
      <xdr:rowOff>77107</xdr:rowOff>
    </xdr:from>
    <xdr:to>
      <xdr:col>14</xdr:col>
      <xdr:colOff>789214</xdr:colOff>
      <xdr:row>225</xdr:row>
      <xdr:rowOff>97971</xdr:rowOff>
    </xdr:to>
    <xdr:graphicFrame macro="">
      <xdr:nvGraphicFramePr>
        <xdr:cNvPr id="3" name="Chart 2">
          <a:extLst>
            <a:ext uri="{FF2B5EF4-FFF2-40B4-BE49-F238E27FC236}">
              <a16:creationId xmlns:a16="http://schemas.microsoft.com/office/drawing/2014/main" id="{F28534DC-AB86-4CCD-A2C5-ACB7D38554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290284</xdr:colOff>
      <xdr:row>217</xdr:row>
      <xdr:rowOff>193221</xdr:rowOff>
    </xdr:from>
    <xdr:to>
      <xdr:col>27</xdr:col>
      <xdr:colOff>482600</xdr:colOff>
      <xdr:row>224</xdr:row>
      <xdr:rowOff>990600</xdr:rowOff>
    </xdr:to>
    <xdr:graphicFrame macro="">
      <xdr:nvGraphicFramePr>
        <xdr:cNvPr id="4" name="Chart 3">
          <a:extLst>
            <a:ext uri="{FF2B5EF4-FFF2-40B4-BE49-F238E27FC236}">
              <a16:creationId xmlns:a16="http://schemas.microsoft.com/office/drawing/2014/main" id="{9E5BA00F-6A39-42C3-BFA4-B282DF0F2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299130</xdr:colOff>
      <xdr:row>224</xdr:row>
      <xdr:rowOff>1148217</xdr:rowOff>
    </xdr:from>
    <xdr:to>
      <xdr:col>14</xdr:col>
      <xdr:colOff>430212</xdr:colOff>
      <xdr:row>224</xdr:row>
      <xdr:rowOff>1487942</xdr:rowOff>
    </xdr:to>
    <xdr:sp macro="" textlink="">
      <xdr:nvSpPr>
        <xdr:cNvPr id="16" name="TextBox 15">
          <a:extLst>
            <a:ext uri="{FF2B5EF4-FFF2-40B4-BE49-F238E27FC236}">
              <a16:creationId xmlns:a16="http://schemas.microsoft.com/office/drawing/2014/main" id="{A05C3F32-E272-4882-BD21-26E06EFBDBEA}"/>
            </a:ext>
          </a:extLst>
        </xdr:cNvPr>
        <xdr:cNvSpPr txBox="1"/>
      </xdr:nvSpPr>
      <xdr:spPr>
        <a:xfrm>
          <a:off x="15506473" y="40053760"/>
          <a:ext cx="1676853"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+12,697</a:t>
          </a:r>
        </a:p>
      </xdr:txBody>
    </xdr:sp>
    <xdr:clientData/>
  </xdr:twoCellAnchor>
  <xdr:twoCellAnchor>
    <xdr:from>
      <xdr:col>14</xdr:col>
      <xdr:colOff>245533</xdr:colOff>
      <xdr:row>193</xdr:row>
      <xdr:rowOff>101902</xdr:rowOff>
    </xdr:from>
    <xdr:to>
      <xdr:col>16</xdr:col>
      <xdr:colOff>213329</xdr:colOff>
      <xdr:row>193</xdr:row>
      <xdr:rowOff>514047</xdr:rowOff>
    </xdr:to>
    <xdr:sp macro="" textlink="">
      <xdr:nvSpPr>
        <xdr:cNvPr id="19" name="TextBox 18">
          <a:extLst>
            <a:ext uri="{FF2B5EF4-FFF2-40B4-BE49-F238E27FC236}">
              <a16:creationId xmlns:a16="http://schemas.microsoft.com/office/drawing/2014/main" id="{9262FA78-6EB8-4355-9941-EDB2A9E7C248}"/>
            </a:ext>
          </a:extLst>
        </xdr:cNvPr>
        <xdr:cNvSpPr txBox="1"/>
      </xdr:nvSpPr>
      <xdr:spPr>
        <a:xfrm>
          <a:off x="17623366" y="18167652"/>
          <a:ext cx="1671713" cy="412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+1,299</a:t>
          </a:r>
        </a:p>
      </xdr:txBody>
    </xdr:sp>
    <xdr:clientData/>
  </xdr:twoCellAnchor>
  <xdr:twoCellAnchor>
    <xdr:from>
      <xdr:col>6</xdr:col>
      <xdr:colOff>1022350</xdr:colOff>
      <xdr:row>228</xdr:row>
      <xdr:rowOff>196850</xdr:rowOff>
    </xdr:from>
    <xdr:to>
      <xdr:col>14</xdr:col>
      <xdr:colOff>419100</xdr:colOff>
      <xdr:row>235</xdr:row>
      <xdr:rowOff>584200</xdr:rowOff>
    </xdr:to>
    <xdr:graphicFrame macro="">
      <xdr:nvGraphicFramePr>
        <xdr:cNvPr id="5" name="Chart 4">
          <a:extLst>
            <a:ext uri="{FF2B5EF4-FFF2-40B4-BE49-F238E27FC236}">
              <a16:creationId xmlns:a16="http://schemas.microsoft.com/office/drawing/2014/main" id="{0B822AF1-D158-46C6-BE73-2B6AF77024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323850</xdr:colOff>
      <xdr:row>228</xdr:row>
      <xdr:rowOff>120650</xdr:rowOff>
    </xdr:from>
    <xdr:to>
      <xdr:col>27</xdr:col>
      <xdr:colOff>584200</xdr:colOff>
      <xdr:row>236</xdr:row>
      <xdr:rowOff>0</xdr:rowOff>
    </xdr:to>
    <xdr:graphicFrame macro="">
      <xdr:nvGraphicFramePr>
        <xdr:cNvPr id="6" name="Chart 5">
          <a:extLst>
            <a:ext uri="{FF2B5EF4-FFF2-40B4-BE49-F238E27FC236}">
              <a16:creationId xmlns:a16="http://schemas.microsoft.com/office/drawing/2014/main" id="{53FA9BAE-2F3A-4DE7-97BF-8CC74AAC4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0.90271</cdr:x>
      <cdr:y>0.64784</cdr:y>
    </cdr:from>
    <cdr:to>
      <cdr:x>1</cdr:x>
      <cdr:y>0.71706</cdr:y>
    </cdr:to>
    <cdr:sp macro="" textlink="">
      <cdr:nvSpPr>
        <cdr:cNvPr id="2" name="TextBox 3">
          <a:extLst xmlns:a="http://schemas.openxmlformats.org/drawingml/2006/main">
            <a:ext uri="{FF2B5EF4-FFF2-40B4-BE49-F238E27FC236}">
              <a16:creationId xmlns:a16="http://schemas.microsoft.com/office/drawing/2014/main" id="{E8DA60FE-C19D-4342-ADE0-B99512F2E700}"/>
            </a:ext>
          </a:extLst>
        </cdr:cNvPr>
        <cdr:cNvSpPr txBox="1"/>
      </cdr:nvSpPr>
      <cdr:spPr>
        <a:xfrm xmlns:a="http://schemas.openxmlformats.org/drawingml/2006/main">
          <a:off x="6875690" y="3828143"/>
          <a:ext cx="741021" cy="4089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+3,287</a:t>
          </a:r>
        </a:p>
      </cdr:txBody>
    </cdr:sp>
  </cdr:relSizeAnchor>
  <cdr:relSizeAnchor xmlns:cdr="http://schemas.openxmlformats.org/drawingml/2006/chartDrawing">
    <cdr:from>
      <cdr:x>0.8768</cdr:x>
      <cdr:y>0.38043</cdr:y>
    </cdr:from>
    <cdr:to>
      <cdr:x>1</cdr:x>
      <cdr:y>0.44965</cdr:y>
    </cdr:to>
    <cdr:sp macro="" textlink="">
      <cdr:nvSpPr>
        <cdr:cNvPr id="3" name="TextBox 3">
          <a:extLst xmlns:a="http://schemas.openxmlformats.org/drawingml/2006/main">
            <a:ext uri="{FF2B5EF4-FFF2-40B4-BE49-F238E27FC236}">
              <a16:creationId xmlns:a16="http://schemas.microsoft.com/office/drawing/2014/main" id="{2B21C13C-4CBC-41CC-A207-487511D687B2}"/>
            </a:ext>
          </a:extLst>
        </cdr:cNvPr>
        <cdr:cNvSpPr txBox="1"/>
      </cdr:nvSpPr>
      <cdr:spPr>
        <a:xfrm xmlns:a="http://schemas.openxmlformats.org/drawingml/2006/main">
          <a:off x="6672792" y="2327828"/>
          <a:ext cx="937569" cy="42355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+16,489</a:t>
          </a:r>
        </a:p>
      </cdr:txBody>
    </cdr:sp>
  </cdr:relSizeAnchor>
</c:userShapes>
</file>

<file path=xl/drawings/drawing5.xml><?xml version="1.0" encoding="utf-8"?>
<c:userShapes xmlns:c="http://schemas.openxmlformats.org/drawingml/2006/chart">
  <cdr:relSizeAnchor xmlns:cdr="http://schemas.openxmlformats.org/drawingml/2006/chartDrawing">
    <cdr:from>
      <cdr:x>0.88775</cdr:x>
      <cdr:y>0.62475</cdr:y>
    </cdr:from>
    <cdr:to>
      <cdr:x>1</cdr:x>
      <cdr:y>0.67493</cdr:y>
    </cdr:to>
    <cdr:sp macro="" textlink="">
      <cdr:nvSpPr>
        <cdr:cNvPr id="2" name="TextBox 10">
          <a:extLst xmlns:a="http://schemas.openxmlformats.org/drawingml/2006/main">
            <a:ext uri="{FF2B5EF4-FFF2-40B4-BE49-F238E27FC236}">
              <a16:creationId xmlns:a16="http://schemas.microsoft.com/office/drawing/2014/main" id="{DCAD5D1B-75B5-443F-B94E-52CA18CEBC55}"/>
            </a:ext>
          </a:extLst>
        </cdr:cNvPr>
        <cdr:cNvSpPr txBox="1"/>
      </cdr:nvSpPr>
      <cdr:spPr>
        <a:xfrm xmlns:a="http://schemas.openxmlformats.org/drawingml/2006/main">
          <a:off x="7143757" y="2849558"/>
          <a:ext cx="903280" cy="2288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+1,451</a:t>
          </a:r>
        </a:p>
      </cdr:txBody>
    </cdr:sp>
  </cdr:relSizeAnchor>
</c:userShapes>
</file>

<file path=xl/drawings/drawing6.xml><?xml version="1.0" encoding="utf-8"?>
<c:userShapes xmlns:c="http://schemas.openxmlformats.org/drawingml/2006/chart">
  <cdr:relSizeAnchor xmlns:cdr="http://schemas.openxmlformats.org/drawingml/2006/chartDrawing">
    <cdr:from>
      <cdr:x>0.87755</cdr:x>
      <cdr:y>0.07779</cdr:y>
    </cdr:from>
    <cdr:to>
      <cdr:x>0.99412</cdr:x>
      <cdr:y>0.11902</cdr:y>
    </cdr:to>
    <cdr:sp macro="" textlink="">
      <cdr:nvSpPr>
        <cdr:cNvPr id="2" name="TextBox 10">
          <a:extLst xmlns:a="http://schemas.openxmlformats.org/drawingml/2006/main">
            <a:ext uri="{FF2B5EF4-FFF2-40B4-BE49-F238E27FC236}">
              <a16:creationId xmlns:a16="http://schemas.microsoft.com/office/drawing/2014/main" id="{D83E882C-8E08-4D2B-9D59-839ECAC6C190}"/>
            </a:ext>
          </a:extLst>
        </cdr:cNvPr>
        <cdr:cNvSpPr txBox="1"/>
      </cdr:nvSpPr>
      <cdr:spPr>
        <a:xfrm xmlns:a="http://schemas.openxmlformats.org/drawingml/2006/main">
          <a:off x="6799943" y="431800"/>
          <a:ext cx="903280" cy="2288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+8,932</a:t>
          </a:r>
        </a:p>
      </cdr:txBody>
    </cdr:sp>
  </cdr:relSizeAnchor>
</c:userShapes>
</file>

<file path=xl/drawings/drawing7.xml><?xml version="1.0" encoding="utf-8"?>
<c:userShapes xmlns:c="http://schemas.openxmlformats.org/drawingml/2006/chart">
  <cdr:relSizeAnchor xmlns:cdr="http://schemas.openxmlformats.org/drawingml/2006/chartDrawing">
    <cdr:from>
      <cdr:x>0.91005</cdr:x>
      <cdr:y>0.36182</cdr:y>
    </cdr:from>
    <cdr:to>
      <cdr:x>1</cdr:x>
      <cdr:y>0.40509</cdr:y>
    </cdr:to>
    <cdr:sp macro="" textlink="">
      <cdr:nvSpPr>
        <cdr:cNvPr id="2" name="TextBox 10">
          <a:extLst xmlns:a="http://schemas.openxmlformats.org/drawingml/2006/main">
            <a:ext uri="{FF2B5EF4-FFF2-40B4-BE49-F238E27FC236}">
              <a16:creationId xmlns:a16="http://schemas.microsoft.com/office/drawing/2014/main" id="{D83E882C-8E08-4D2B-9D59-839ECAC6C190}"/>
            </a:ext>
          </a:extLst>
        </cdr:cNvPr>
        <cdr:cNvSpPr txBox="1"/>
      </cdr:nvSpPr>
      <cdr:spPr>
        <a:xfrm xmlns:a="http://schemas.openxmlformats.org/drawingml/2006/main">
          <a:off x="6241145" y="1509486"/>
          <a:ext cx="616856" cy="1805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+175</a:t>
          </a: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765716</xdr:colOff>
      <xdr:row>215</xdr:row>
      <xdr:rowOff>33117</xdr:rowOff>
    </xdr:from>
    <xdr:to>
      <xdr:col>9</xdr:col>
      <xdr:colOff>382033</xdr:colOff>
      <xdr:row>227</xdr:row>
      <xdr:rowOff>170447</xdr:rowOff>
    </xdr:to>
    <xdr:graphicFrame macro="">
      <xdr:nvGraphicFramePr>
        <xdr:cNvPr id="17" name="Chart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120773</xdr:colOff>
      <xdr:row>148</xdr:row>
      <xdr:rowOff>122094</xdr:rowOff>
    </xdr:from>
    <xdr:to>
      <xdr:col>10</xdr:col>
      <xdr:colOff>618671</xdr:colOff>
      <xdr:row>162</xdr:row>
      <xdr:rowOff>141143</xdr:rowOff>
    </xdr:to>
    <xdr:graphicFrame macro="">
      <xdr:nvGraphicFramePr>
        <xdr:cNvPr id="31" name="Chart 30">
          <a:extLst>
            <a:ext uri="{FF2B5EF4-FFF2-40B4-BE49-F238E27FC236}">
              <a16:creationId xmlns:a16="http://schemas.microsoft.com/office/drawing/2014/main" id="{00000000-0008-0000-0A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292787</xdr:colOff>
      <xdr:row>148</xdr:row>
      <xdr:rowOff>133963</xdr:rowOff>
    </xdr:from>
    <xdr:to>
      <xdr:col>15</xdr:col>
      <xdr:colOff>749987</xdr:colOff>
      <xdr:row>162</xdr:row>
      <xdr:rowOff>86338</xdr:rowOff>
    </xdr:to>
    <xdr:graphicFrame macro="">
      <xdr:nvGraphicFramePr>
        <xdr:cNvPr id="37" name="Chart 3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114300</xdr:colOff>
      <xdr:row>165</xdr:row>
      <xdr:rowOff>76200</xdr:rowOff>
    </xdr:from>
    <xdr:to>
      <xdr:col>10</xdr:col>
      <xdr:colOff>581026</xdr:colOff>
      <xdr:row>177</xdr:row>
      <xdr:rowOff>95250</xdr:rowOff>
    </xdr:to>
    <xdr:graphicFrame macro="">
      <xdr:nvGraphicFramePr>
        <xdr:cNvPr id="28" name="Chart 27">
          <a:extLst>
            <a:ext uri="{FF2B5EF4-FFF2-40B4-BE49-F238E27FC236}">
              <a16:creationId xmlns:a16="http://schemas.microsoft.com/office/drawing/2014/main" id="{00000000-0008-0000-0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165</xdr:row>
      <xdr:rowOff>38100</xdr:rowOff>
    </xdr:from>
    <xdr:to>
      <xdr:col>15</xdr:col>
      <xdr:colOff>552450</xdr:colOff>
      <xdr:row>177</xdr:row>
      <xdr:rowOff>38100</xdr:rowOff>
    </xdr:to>
    <xdr:graphicFrame macro="">
      <xdr:nvGraphicFramePr>
        <xdr:cNvPr id="38" name="Chart 3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296335</xdr:colOff>
      <xdr:row>29</xdr:row>
      <xdr:rowOff>184149</xdr:rowOff>
    </xdr:from>
    <xdr:to>
      <xdr:col>7</xdr:col>
      <xdr:colOff>810685</xdr:colOff>
      <xdr:row>42</xdr:row>
      <xdr:rowOff>165099</xdr:rowOff>
    </xdr:to>
    <xdr:graphicFrame macro="">
      <xdr:nvGraphicFramePr>
        <xdr:cNvPr id="29" name="Chart 28">
          <a:extLst>
            <a:ext uri="{FF2B5EF4-FFF2-40B4-BE49-F238E27FC236}">
              <a16:creationId xmlns:a16="http://schemas.microsoft.com/office/drawing/2014/main" id="{00000000-0008-0000-0A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52889</xdr:colOff>
      <xdr:row>30</xdr:row>
      <xdr:rowOff>13035</xdr:rowOff>
    </xdr:from>
    <xdr:to>
      <xdr:col>16</xdr:col>
      <xdr:colOff>281489</xdr:colOff>
      <xdr:row>42</xdr:row>
      <xdr:rowOff>165936</xdr:rowOff>
    </xdr:to>
    <xdr:graphicFrame macro="">
      <xdr:nvGraphicFramePr>
        <xdr:cNvPr id="39" name="Chart 38">
          <a:extLst>
            <a:ext uri="{FF2B5EF4-FFF2-40B4-BE49-F238E27FC236}">
              <a16:creationId xmlns:a16="http://schemas.microsoft.com/office/drawing/2014/main" id="{00000000-0008-0000-0A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552607</xdr:colOff>
      <xdr:row>215</xdr:row>
      <xdr:rowOff>60268</xdr:rowOff>
    </xdr:from>
    <xdr:to>
      <xdr:col>4</xdr:col>
      <xdr:colOff>1042260</xdr:colOff>
      <xdr:row>228</xdr:row>
      <xdr:rowOff>1</xdr:rowOff>
    </xdr:to>
    <xdr:graphicFrame macro="">
      <xdr:nvGraphicFramePr>
        <xdr:cNvPr id="40" name="Chart 3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862012</xdr:colOff>
      <xdr:row>316</xdr:row>
      <xdr:rowOff>142875</xdr:rowOff>
    </xdr:from>
    <xdr:to>
      <xdr:col>15</xdr:col>
      <xdr:colOff>255557</xdr:colOff>
      <xdr:row>327</xdr:row>
      <xdr:rowOff>22892</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705335</xdr:colOff>
      <xdr:row>118</xdr:row>
      <xdr:rowOff>120142</xdr:rowOff>
    </xdr:from>
    <xdr:to>
      <xdr:col>8</xdr:col>
      <xdr:colOff>1833279</xdr:colOff>
      <xdr:row>134</xdr:row>
      <xdr:rowOff>443606</xdr:rowOff>
    </xdr:to>
    <xdr:grpSp>
      <xdr:nvGrpSpPr>
        <xdr:cNvPr id="4" name="Group 3">
          <a:extLst>
            <a:ext uri="{FF2B5EF4-FFF2-40B4-BE49-F238E27FC236}">
              <a16:creationId xmlns:a16="http://schemas.microsoft.com/office/drawing/2014/main" id="{00000000-0008-0000-0A00-000004000000}"/>
            </a:ext>
          </a:extLst>
        </xdr:cNvPr>
        <xdr:cNvGrpSpPr/>
      </xdr:nvGrpSpPr>
      <xdr:grpSpPr>
        <a:xfrm>
          <a:off x="4924743" y="23865800"/>
          <a:ext cx="6132747" cy="3849385"/>
          <a:chOff x="695325" y="15468602"/>
          <a:chExt cx="5871393" cy="4618717"/>
        </a:xfrm>
      </xdr:grpSpPr>
      <xdr:graphicFrame macro="">
        <xdr:nvGraphicFramePr>
          <xdr:cNvPr id="9" name="Chart 8">
            <a:extLst>
              <a:ext uri="{FF2B5EF4-FFF2-40B4-BE49-F238E27FC236}">
                <a16:creationId xmlns:a16="http://schemas.microsoft.com/office/drawing/2014/main" id="{00000000-0008-0000-0A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a16="http://schemas.microsoft.com/office/drawing/2014/main" id="{00000000-0008-0000-0A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5" name="Chart 14">
            <a:extLst>
              <a:ext uri="{FF2B5EF4-FFF2-40B4-BE49-F238E27FC236}">
                <a16:creationId xmlns:a16="http://schemas.microsoft.com/office/drawing/2014/main" id="{00000000-0008-0000-0A00-00000F000000}"/>
              </a:ext>
            </a:extLst>
          </xdr:cNvPr>
          <xdr:cNvGraphicFramePr/>
        </xdr:nvGraphicFramePr>
        <xdr:xfrm>
          <a:off x="3640638" y="17790006"/>
          <a:ext cx="2926080" cy="2285999"/>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0A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11</xdr:col>
      <xdr:colOff>572205</xdr:colOff>
      <xdr:row>127</xdr:row>
      <xdr:rowOff>160179</xdr:rowOff>
    </xdr:from>
    <xdr:to>
      <xdr:col>20</xdr:col>
      <xdr:colOff>636903</xdr:colOff>
      <xdr:row>143</xdr:row>
      <xdr:rowOff>144364</xdr:rowOff>
    </xdr:to>
    <xdr:grpSp>
      <xdr:nvGrpSpPr>
        <xdr:cNvPr id="12" name="Group 11">
          <a:extLst>
            <a:ext uri="{FF2B5EF4-FFF2-40B4-BE49-F238E27FC236}">
              <a16:creationId xmlns:a16="http://schemas.microsoft.com/office/drawing/2014/main" id="{00000000-0008-0000-0A00-00000C000000}"/>
            </a:ext>
          </a:extLst>
        </xdr:cNvPr>
        <xdr:cNvGrpSpPr/>
      </xdr:nvGrpSpPr>
      <xdr:grpSpPr>
        <a:xfrm>
          <a:off x="13781876" y="25693863"/>
          <a:ext cx="7208448" cy="3994712"/>
          <a:chOff x="12944474" y="15440025"/>
          <a:chExt cx="5869306" cy="4600575"/>
        </a:xfrm>
      </xdr:grpSpPr>
      <xdr:graphicFrame macro="">
        <xdr:nvGraphicFramePr>
          <xdr:cNvPr id="13" name="Chart 12">
            <a:extLst>
              <a:ext uri="{FF2B5EF4-FFF2-40B4-BE49-F238E27FC236}">
                <a16:creationId xmlns:a16="http://schemas.microsoft.com/office/drawing/2014/main" id="{00000000-0008-0000-0A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47" name="Chart 46">
            <a:extLst>
              <a:ext uri="{FF2B5EF4-FFF2-40B4-BE49-F238E27FC236}">
                <a16:creationId xmlns:a16="http://schemas.microsoft.com/office/drawing/2014/main" id="{00000000-0008-0000-0A00-00002F000000}"/>
              </a:ext>
            </a:extLst>
          </xdr:cNvPr>
          <xdr:cNvGraphicFramePr>
            <a:graphicFrameLocks/>
          </xdr:cNvGraphicFramePr>
        </xdr:nvGraphicFramePr>
        <xdr:xfrm>
          <a:off x="12944474" y="17745075"/>
          <a:ext cx="2926080" cy="2286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48" name="Chart 47">
            <a:extLst>
              <a:ext uri="{FF2B5EF4-FFF2-40B4-BE49-F238E27FC236}">
                <a16:creationId xmlns:a16="http://schemas.microsoft.com/office/drawing/2014/main" id="{00000000-0008-0000-0A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0A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1</xdr:col>
      <xdr:colOff>423862</xdr:colOff>
      <xdr:row>378</xdr:row>
      <xdr:rowOff>121443</xdr:rowOff>
    </xdr:from>
    <xdr:to>
      <xdr:col>6</xdr:col>
      <xdr:colOff>766762</xdr:colOff>
      <xdr:row>393</xdr:row>
      <xdr:rowOff>169068</xdr:rowOff>
    </xdr:to>
    <xdr:graphicFrame macro="">
      <xdr:nvGraphicFramePr>
        <xdr:cNvPr id="22" name="Chart 21">
          <a:extLst>
            <a:ext uri="{FF2B5EF4-FFF2-40B4-BE49-F238E27FC236}">
              <a16:creationId xmlns:a16="http://schemas.microsoft.com/office/drawing/2014/main" id="{00000000-0008-0000-0A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99786</xdr:colOff>
      <xdr:row>378</xdr:row>
      <xdr:rowOff>117475</xdr:rowOff>
    </xdr:from>
    <xdr:to>
      <xdr:col>12</xdr:col>
      <xdr:colOff>566511</xdr:colOff>
      <xdr:row>393</xdr:row>
      <xdr:rowOff>146504</xdr:rowOff>
    </xdr:to>
    <xdr:graphicFrame macro="">
      <xdr:nvGraphicFramePr>
        <xdr:cNvPr id="49" name="Chart 48">
          <a:extLst>
            <a:ext uri="{FF2B5EF4-FFF2-40B4-BE49-F238E27FC236}">
              <a16:creationId xmlns:a16="http://schemas.microsoft.com/office/drawing/2014/main" id="{00000000-0008-0000-0A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234850</xdr:colOff>
      <xdr:row>289</xdr:row>
      <xdr:rowOff>24717</xdr:rowOff>
    </xdr:from>
    <xdr:to>
      <xdr:col>6</xdr:col>
      <xdr:colOff>160421</xdr:colOff>
      <xdr:row>308</xdr:row>
      <xdr:rowOff>136802</xdr:rowOff>
    </xdr:to>
    <xdr:graphicFrame macro="">
      <xdr:nvGraphicFramePr>
        <xdr:cNvPr id="52" name="Chart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741717</xdr:colOff>
      <xdr:row>289</xdr:row>
      <xdr:rowOff>12149</xdr:rowOff>
    </xdr:from>
    <xdr:to>
      <xdr:col>10</xdr:col>
      <xdr:colOff>551448</xdr:colOff>
      <xdr:row>308</xdr:row>
      <xdr:rowOff>79289</xdr:rowOff>
    </xdr:to>
    <xdr:graphicFrame macro="">
      <xdr:nvGraphicFramePr>
        <xdr:cNvPr id="62" name="Chart 61">
          <a:extLst>
            <a:ext uri="{FF2B5EF4-FFF2-40B4-BE49-F238E27FC236}">
              <a16:creationId xmlns:a16="http://schemas.microsoft.com/office/drawing/2014/main" id="{00000000-0008-0000-0A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407533</xdr:colOff>
      <xdr:row>73</xdr:row>
      <xdr:rowOff>186417</xdr:rowOff>
    </xdr:from>
    <xdr:to>
      <xdr:col>8</xdr:col>
      <xdr:colOff>1614237</xdr:colOff>
      <xdr:row>91</xdr:row>
      <xdr:rowOff>180975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516110</xdr:colOff>
      <xdr:row>94</xdr:row>
      <xdr:rowOff>160046</xdr:rowOff>
    </xdr:from>
    <xdr:to>
      <xdr:col>8</xdr:col>
      <xdr:colOff>680509</xdr:colOff>
      <xdr:row>110</xdr:row>
      <xdr:rowOff>61384</xdr:rowOff>
    </xdr:to>
    <xdr:graphicFrame macro="">
      <xdr:nvGraphicFramePr>
        <xdr:cNvPr id="25" name="Chart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368156</xdr:colOff>
      <xdr:row>182</xdr:row>
      <xdr:rowOff>132066</xdr:rowOff>
    </xdr:from>
    <xdr:to>
      <xdr:col>8</xdr:col>
      <xdr:colOff>1587501</xdr:colOff>
      <xdr:row>199</xdr:row>
      <xdr:rowOff>145143</xdr:rowOff>
    </xdr:to>
    <xdr:graphicFrame macro="">
      <xdr:nvGraphicFramePr>
        <xdr:cNvPr id="27" name="Chart 26">
          <a:extLst>
            <a:ext uri="{FF2B5EF4-FFF2-40B4-BE49-F238E27FC236}">
              <a16:creationId xmlns:a16="http://schemas.microsoft.com/office/drawing/2014/main" id="{00000000-0008-0000-0A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377432</xdr:colOff>
      <xdr:row>181</xdr:row>
      <xdr:rowOff>164377</xdr:rowOff>
    </xdr:from>
    <xdr:to>
      <xdr:col>18</xdr:col>
      <xdr:colOff>700130</xdr:colOff>
      <xdr:row>197</xdr:row>
      <xdr:rowOff>89807</xdr:rowOff>
    </xdr:to>
    <xdr:graphicFrame macro="">
      <xdr:nvGraphicFramePr>
        <xdr:cNvPr id="30" name="Chart 29">
          <a:extLst>
            <a:ext uri="{FF2B5EF4-FFF2-40B4-BE49-F238E27FC236}">
              <a16:creationId xmlns:a16="http://schemas.microsoft.com/office/drawing/2014/main" id="{00000000-0008-0000-0A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65478</xdr:colOff>
      <xdr:row>260</xdr:row>
      <xdr:rowOff>195657</xdr:rowOff>
    </xdr:from>
    <xdr:to>
      <xdr:col>9</xdr:col>
      <xdr:colOff>640772</xdr:colOff>
      <xdr:row>278</xdr:row>
      <xdr:rowOff>121228</xdr:rowOff>
    </xdr:to>
    <xdr:graphicFrame macro="">
      <xdr:nvGraphicFramePr>
        <xdr:cNvPr id="56" name="Chart 55">
          <a:extLst>
            <a:ext uri="{FF2B5EF4-FFF2-40B4-BE49-F238E27FC236}">
              <a16:creationId xmlns:a16="http://schemas.microsoft.com/office/drawing/2014/main" id="{00000000-0008-0000-0A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98071</xdr:colOff>
      <xdr:row>259</xdr:row>
      <xdr:rowOff>164523</xdr:rowOff>
    </xdr:from>
    <xdr:to>
      <xdr:col>19</xdr:col>
      <xdr:colOff>122102</xdr:colOff>
      <xdr:row>278</xdr:row>
      <xdr:rowOff>60615</xdr:rowOff>
    </xdr:to>
    <xdr:graphicFrame macro="">
      <xdr:nvGraphicFramePr>
        <xdr:cNvPr id="61" name="Chart 60">
          <a:extLst>
            <a:ext uri="{FF2B5EF4-FFF2-40B4-BE49-F238E27FC236}">
              <a16:creationId xmlns:a16="http://schemas.microsoft.com/office/drawing/2014/main" id="{00000000-0008-0000-0A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15</xdr:col>
      <xdr:colOff>293327</xdr:colOff>
      <xdr:row>316</xdr:row>
      <xdr:rowOff>160627</xdr:rowOff>
    </xdr:from>
    <xdr:to>
      <xdr:col>17</xdr:col>
      <xdr:colOff>513884</xdr:colOff>
      <xdr:row>336</xdr:row>
      <xdr:rowOff>9703</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935615</xdr:colOff>
      <xdr:row>327</xdr:row>
      <xdr:rowOff>117115</xdr:rowOff>
    </xdr:from>
    <xdr:to>
      <xdr:col>15</xdr:col>
      <xdr:colOff>257136</xdr:colOff>
      <xdr:row>338</xdr:row>
      <xdr:rowOff>132517</xdr:rowOff>
    </xdr:to>
    <mc:AlternateContent xmlns:mc="http://schemas.openxmlformats.org/markup-compatibility/2006" xmlns:a14="http://schemas.microsoft.com/office/drawing/2010/main">
      <mc:Choice Requires="a14">
        <xdr:graphicFrame macro="">
          <xdr:nvGraphicFramePr>
            <xdr:cNvPr id="24" name="Location Type 1 1">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microsoft.com/office/drawing/2010/slicer">
              <sle:slicer xmlns:sle="http://schemas.microsoft.com/office/drawing/2010/slicer" name="Location Type 1 1"/>
            </a:graphicData>
          </a:graphic>
        </xdr:graphicFrame>
      </mc:Choice>
      <mc:Fallback xmlns="">
        <xdr:sp macro="" textlink="">
          <xdr:nvSpPr>
            <xdr:cNvPr id="0" name=""/>
            <xdr:cNvSpPr>
              <a:spLocks noTextEdit="1"/>
            </xdr:cNvSpPr>
          </xdr:nvSpPr>
          <xdr:spPr>
            <a:xfrm>
              <a:off x="13924251" y="68887615"/>
              <a:ext cx="1824470" cy="13192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140370</xdr:colOff>
      <xdr:row>49</xdr:row>
      <xdr:rowOff>39443</xdr:rowOff>
    </xdr:from>
    <xdr:to>
      <xdr:col>3</xdr:col>
      <xdr:colOff>578097</xdr:colOff>
      <xdr:row>60</xdr:row>
      <xdr:rowOff>158903</xdr:rowOff>
    </xdr:to>
    <xdr:graphicFrame macro="">
      <xdr:nvGraphicFramePr>
        <xdr:cNvPr id="67" name="Chart 66">
          <a:extLst>
            <a:ext uri="{FF2B5EF4-FFF2-40B4-BE49-F238E27FC236}">
              <a16:creationId xmlns:a16="http://schemas.microsoft.com/office/drawing/2014/main" id="{00000000-0008-0000-0A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562871</xdr:colOff>
      <xdr:row>49</xdr:row>
      <xdr:rowOff>57277</xdr:rowOff>
    </xdr:from>
    <xdr:to>
      <xdr:col>7</xdr:col>
      <xdr:colOff>1353553</xdr:colOff>
      <xdr:row>60</xdr:row>
      <xdr:rowOff>170446</xdr:rowOff>
    </xdr:to>
    <xdr:graphicFrame macro="">
      <xdr:nvGraphicFramePr>
        <xdr:cNvPr id="69" name="Chart 68">
          <a:extLst>
            <a:ext uri="{FF2B5EF4-FFF2-40B4-BE49-F238E27FC236}">
              <a16:creationId xmlns:a16="http://schemas.microsoft.com/office/drawing/2014/main" id="{00000000-0008-0000-0A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1378335</xdr:colOff>
      <xdr:row>49</xdr:row>
      <xdr:rowOff>50196</xdr:rowOff>
    </xdr:from>
    <xdr:to>
      <xdr:col>9</xdr:col>
      <xdr:colOff>524711</xdr:colOff>
      <xdr:row>60</xdr:row>
      <xdr:rowOff>144647</xdr:rowOff>
    </xdr:to>
    <xdr:graphicFrame macro="">
      <xdr:nvGraphicFramePr>
        <xdr:cNvPr id="70" name="Chart 69">
          <a:extLst>
            <a:ext uri="{FF2B5EF4-FFF2-40B4-BE49-F238E27FC236}">
              <a16:creationId xmlns:a16="http://schemas.microsoft.com/office/drawing/2014/main" id="{00000000-0008-0000-0A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762000</xdr:colOff>
      <xdr:row>51</xdr:row>
      <xdr:rowOff>56338</xdr:rowOff>
    </xdr:from>
    <xdr:to>
      <xdr:col>21</xdr:col>
      <xdr:colOff>1675220</xdr:colOff>
      <xdr:row>62</xdr:row>
      <xdr:rowOff>200526</xdr:rowOff>
    </xdr:to>
    <xdr:graphicFrame macro="">
      <xdr:nvGraphicFramePr>
        <xdr:cNvPr id="72" name="Chart 71">
          <a:extLst>
            <a:ext uri="{FF2B5EF4-FFF2-40B4-BE49-F238E27FC236}">
              <a16:creationId xmlns:a16="http://schemas.microsoft.com/office/drawing/2014/main" id="{00000000-0008-0000-0A00-00004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21</xdr:col>
      <xdr:colOff>1712306</xdr:colOff>
      <xdr:row>51</xdr:row>
      <xdr:rowOff>70676</xdr:rowOff>
    </xdr:from>
    <xdr:to>
      <xdr:col>23</xdr:col>
      <xdr:colOff>545507</xdr:colOff>
      <xdr:row>62</xdr:row>
      <xdr:rowOff>177502</xdr:rowOff>
    </xdr:to>
    <xdr:graphicFrame macro="">
      <xdr:nvGraphicFramePr>
        <xdr:cNvPr id="74" name="Chart 73">
          <a:extLst>
            <a:ext uri="{FF2B5EF4-FFF2-40B4-BE49-F238E27FC236}">
              <a16:creationId xmlns:a16="http://schemas.microsoft.com/office/drawing/2014/main" id="{00000000-0008-0000-0A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750825</xdr:colOff>
      <xdr:row>63</xdr:row>
      <xdr:rowOff>54916</xdr:rowOff>
    </xdr:from>
    <xdr:to>
      <xdr:col>21</xdr:col>
      <xdr:colOff>1674395</xdr:colOff>
      <xdr:row>75</xdr:row>
      <xdr:rowOff>30078</xdr:rowOff>
    </xdr:to>
    <xdr:graphicFrame macro="">
      <xdr:nvGraphicFramePr>
        <xdr:cNvPr id="75" name="Chart 74">
          <a:extLst>
            <a:ext uri="{FF2B5EF4-FFF2-40B4-BE49-F238E27FC236}">
              <a16:creationId xmlns:a16="http://schemas.microsoft.com/office/drawing/2014/main" id="{00000000-0008-0000-0A00-00004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38434</xdr:colOff>
      <xdr:row>242</xdr:row>
      <xdr:rowOff>4011</xdr:rowOff>
    </xdr:from>
    <xdr:to>
      <xdr:col>9</xdr:col>
      <xdr:colOff>347258</xdr:colOff>
      <xdr:row>257</xdr:row>
      <xdr:rowOff>12476</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xdr:col>
      <xdr:colOff>1070293</xdr:colOff>
      <xdr:row>241</xdr:row>
      <xdr:rowOff>193040</xdr:rowOff>
    </xdr:from>
    <xdr:to>
      <xdr:col>15</xdr:col>
      <xdr:colOff>169333</xdr:colOff>
      <xdr:row>256</xdr:row>
      <xdr:rowOff>170448</xdr:rowOff>
    </xdr:to>
    <xdr:graphicFrame macro="">
      <xdr:nvGraphicFramePr>
        <xdr:cNvPr id="16" name="Chart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110491</xdr:colOff>
      <xdr:row>113</xdr:row>
      <xdr:rowOff>125730</xdr:rowOff>
    </xdr:from>
    <xdr:to>
      <xdr:col>21</xdr:col>
      <xdr:colOff>721895</xdr:colOff>
      <xdr:row>126</xdr:row>
      <xdr:rowOff>156210</xdr:rowOff>
    </xdr:to>
    <xdr:graphicFrame macro="">
      <xdr:nvGraphicFramePr>
        <xdr:cNvPr id="20" name="Chart 19">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22</xdr:col>
      <xdr:colOff>625842</xdr:colOff>
      <xdr:row>122</xdr:row>
      <xdr:rowOff>33487</xdr:rowOff>
    </xdr:from>
    <xdr:to>
      <xdr:col>27</xdr:col>
      <xdr:colOff>46723</xdr:colOff>
      <xdr:row>134</xdr:row>
      <xdr:rowOff>53941</xdr:rowOff>
    </xdr:to>
    <xdr:graphicFrame macro="">
      <xdr:nvGraphicFramePr>
        <xdr:cNvPr id="23" name="Chart 22">
          <a:extLst>
            <a:ext uri="{FF2B5EF4-FFF2-40B4-BE49-F238E27FC236}">
              <a16:creationId xmlns:a16="http://schemas.microsoft.com/office/drawing/2014/main" id="{00000000-0008-0000-0A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664603</xdr:colOff>
      <xdr:row>215</xdr:row>
      <xdr:rowOff>58486</xdr:rowOff>
    </xdr:from>
    <xdr:to>
      <xdr:col>14</xdr:col>
      <xdr:colOff>152068</xdr:colOff>
      <xdr:row>227</xdr:row>
      <xdr:rowOff>130342</xdr:rowOff>
    </xdr:to>
    <xdr:graphicFrame macro="">
      <xdr:nvGraphicFramePr>
        <xdr:cNvPr id="6" name="Chart 5">
          <a:extLst>
            <a:ext uri="{FF2B5EF4-FFF2-40B4-BE49-F238E27FC236}">
              <a16:creationId xmlns:a16="http://schemas.microsoft.com/office/drawing/2014/main" id="{2127CB1B-CF52-4934-9A31-67D012EEDD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37</xdr:col>
      <xdr:colOff>385535</xdr:colOff>
      <xdr:row>119</xdr:row>
      <xdr:rowOff>20863</xdr:rowOff>
    </xdr:from>
    <xdr:to>
      <xdr:col>44</xdr:col>
      <xdr:colOff>99786</xdr:colOff>
      <xdr:row>132</xdr:row>
      <xdr:rowOff>344714</xdr:rowOff>
    </xdr:to>
    <xdr:graphicFrame macro="">
      <xdr:nvGraphicFramePr>
        <xdr:cNvPr id="2" name="Chart 1">
          <a:extLst>
            <a:ext uri="{FF2B5EF4-FFF2-40B4-BE49-F238E27FC236}">
              <a16:creationId xmlns:a16="http://schemas.microsoft.com/office/drawing/2014/main" id="{0D1B7F5B-1385-45C1-80CD-6E269BEB2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37</xdr:col>
      <xdr:colOff>349250</xdr:colOff>
      <xdr:row>133</xdr:row>
      <xdr:rowOff>329293</xdr:rowOff>
    </xdr:from>
    <xdr:to>
      <xdr:col>43</xdr:col>
      <xdr:colOff>358321</xdr:colOff>
      <xdr:row>147</xdr:row>
      <xdr:rowOff>27214</xdr:rowOff>
    </xdr:to>
    <xdr:graphicFrame macro="">
      <xdr:nvGraphicFramePr>
        <xdr:cNvPr id="5" name="Chart 4">
          <a:extLst>
            <a:ext uri="{FF2B5EF4-FFF2-40B4-BE49-F238E27FC236}">
              <a16:creationId xmlns:a16="http://schemas.microsoft.com/office/drawing/2014/main" id="{E6BD2C48-5C12-40E5-B489-62254BFEC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xdr:col>
      <xdr:colOff>355934</xdr:colOff>
      <xdr:row>398</xdr:row>
      <xdr:rowOff>109790</xdr:rowOff>
    </xdr:from>
    <xdr:to>
      <xdr:col>12</xdr:col>
      <xdr:colOff>726908</xdr:colOff>
      <xdr:row>413</xdr:row>
      <xdr:rowOff>92412</xdr:rowOff>
    </xdr:to>
    <xdr:graphicFrame macro="">
      <xdr:nvGraphicFramePr>
        <xdr:cNvPr id="26" name="Chart 25">
          <a:extLst>
            <a:ext uri="{FF2B5EF4-FFF2-40B4-BE49-F238E27FC236}">
              <a16:creationId xmlns:a16="http://schemas.microsoft.com/office/drawing/2014/main" id="{91A5155A-7E4E-439A-81E1-09D1A5B525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8</xdr:col>
      <xdr:colOff>260685</xdr:colOff>
      <xdr:row>412</xdr:row>
      <xdr:rowOff>2005</xdr:rowOff>
    </xdr:from>
    <xdr:to>
      <xdr:col>13</xdr:col>
      <xdr:colOff>70185</xdr:colOff>
      <xdr:row>426</xdr:row>
      <xdr:rowOff>178468</xdr:rowOff>
    </xdr:to>
    <xdr:graphicFrame macro="">
      <xdr:nvGraphicFramePr>
        <xdr:cNvPr id="32" name="Chart 31">
          <a:extLst>
            <a:ext uri="{FF2B5EF4-FFF2-40B4-BE49-F238E27FC236}">
              <a16:creationId xmlns:a16="http://schemas.microsoft.com/office/drawing/2014/main" id="{24710C20-E08A-407F-B39D-D123BFA1C7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55869</xdr:colOff>
      <xdr:row>98</xdr:row>
      <xdr:rowOff>7055</xdr:rowOff>
    </xdr:from>
    <xdr:to>
      <xdr:col>8</xdr:col>
      <xdr:colOff>9639</xdr:colOff>
      <xdr:row>113</xdr:row>
      <xdr:rowOff>133350</xdr:rowOff>
    </xdr:to>
    <xdr:grpSp>
      <xdr:nvGrpSpPr>
        <xdr:cNvPr id="9" name="Group 8">
          <a:extLst>
            <a:ext uri="{FF2B5EF4-FFF2-40B4-BE49-F238E27FC236}">
              <a16:creationId xmlns:a16="http://schemas.microsoft.com/office/drawing/2014/main" id="{00000000-0008-0000-0C00-000009000000}"/>
            </a:ext>
          </a:extLst>
        </xdr:cNvPr>
        <xdr:cNvGrpSpPr/>
      </xdr:nvGrpSpPr>
      <xdr:grpSpPr>
        <a:xfrm>
          <a:off x="146583" y="22232055"/>
          <a:ext cx="7256270" cy="3119866"/>
          <a:chOff x="-24494074" y="6972935"/>
          <a:chExt cx="9921636" cy="921154"/>
        </a:xfrm>
      </xdr:grpSpPr>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24494074" y="6972935"/>
          <a:ext cx="9921636" cy="92115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C00-00000B000000}"/>
              </a:ext>
            </a:extLst>
          </xdr:cNvPr>
          <xdr:cNvSpPr txBox="1"/>
        </xdr:nvSpPr>
        <xdr:spPr>
          <a:xfrm>
            <a:off x="-17033444" y="699327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8</xdr:col>
      <xdr:colOff>59210</xdr:colOff>
      <xdr:row>60</xdr:row>
      <xdr:rowOff>21440</xdr:rowOff>
    </xdr:from>
    <xdr:to>
      <xdr:col>19</xdr:col>
      <xdr:colOff>341150</xdr:colOff>
      <xdr:row>61</xdr:row>
      <xdr:rowOff>4951</xdr:rowOff>
    </xdr:to>
    <xdr:sp macro="" textlink="">
      <xdr:nvSpPr>
        <xdr:cNvPr id="18" name="TextBox 17">
          <a:extLst>
            <a:ext uri="{FF2B5EF4-FFF2-40B4-BE49-F238E27FC236}">
              <a16:creationId xmlns:a16="http://schemas.microsoft.com/office/drawing/2014/main" id="{00000000-0008-0000-0C00-000012000000}"/>
            </a:ext>
          </a:extLst>
        </xdr:cNvPr>
        <xdr:cNvSpPr txBox="1"/>
      </xdr:nvSpPr>
      <xdr:spPr>
        <a:xfrm>
          <a:off x="6450485" y="10679915"/>
          <a:ext cx="9235440" cy="459761"/>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&amp; Sanitation services in protracted camps</a:t>
          </a:r>
          <a:endParaRPr lang="en-US" sz="1400">
            <a:solidFill>
              <a:schemeClr val="bg1"/>
            </a:solidFill>
            <a:effectLst/>
          </a:endParaRPr>
        </a:p>
      </xdr:txBody>
    </xdr:sp>
    <xdr:clientData/>
  </xdr:twoCellAnchor>
  <xdr:twoCellAnchor>
    <xdr:from>
      <xdr:col>8</xdr:col>
      <xdr:colOff>81038</xdr:colOff>
      <xdr:row>87</xdr:row>
      <xdr:rowOff>42815</xdr:rowOff>
    </xdr:from>
    <xdr:to>
      <xdr:col>19</xdr:col>
      <xdr:colOff>362978</xdr:colOff>
      <xdr:row>89</xdr:row>
      <xdr:rowOff>90337</xdr:rowOff>
    </xdr:to>
    <xdr:sp macro="" textlink="">
      <xdr:nvSpPr>
        <xdr:cNvPr id="19" name="TextBox 45">
          <a:extLst>
            <a:ext uri="{FF2B5EF4-FFF2-40B4-BE49-F238E27FC236}">
              <a16:creationId xmlns:a16="http://schemas.microsoft.com/office/drawing/2014/main" id="{00000000-0008-0000-0C00-000013000000}"/>
            </a:ext>
          </a:extLst>
        </xdr:cNvPr>
        <xdr:cNvSpPr txBox="1"/>
      </xdr:nvSpPr>
      <xdr:spPr>
        <a:xfrm>
          <a:off x="6472313" y="16168640"/>
          <a:ext cx="9235440" cy="447572"/>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Promotion &amp; 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8</xdr:col>
      <xdr:colOff>94824</xdr:colOff>
      <xdr:row>38</xdr:row>
      <xdr:rowOff>94800</xdr:rowOff>
    </xdr:from>
    <xdr:to>
      <xdr:col>19</xdr:col>
      <xdr:colOff>376764</xdr:colOff>
      <xdr:row>41</xdr:row>
      <xdr:rowOff>61979</xdr:rowOff>
    </xdr:to>
    <xdr:sp macro="" textlink="">
      <xdr:nvSpPr>
        <xdr:cNvPr id="20" name="Rectangle 19">
          <a:extLst>
            <a:ext uri="{FF2B5EF4-FFF2-40B4-BE49-F238E27FC236}">
              <a16:creationId xmlns:a16="http://schemas.microsoft.com/office/drawing/2014/main" id="{00000000-0008-0000-0C00-000014000000}"/>
            </a:ext>
          </a:extLst>
        </xdr:cNvPr>
        <xdr:cNvSpPr/>
      </xdr:nvSpPr>
      <xdr:spPr>
        <a:xfrm>
          <a:off x="6496034" y="7253913"/>
          <a:ext cx="9243633" cy="458792"/>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8</xdr:col>
      <xdr:colOff>73269</xdr:colOff>
      <xdr:row>102</xdr:row>
      <xdr:rowOff>120462</xdr:rowOff>
    </xdr:from>
    <xdr:to>
      <xdr:col>19</xdr:col>
      <xdr:colOff>344128</xdr:colOff>
      <xdr:row>113</xdr:row>
      <xdr:rowOff>123828</xdr:rowOff>
    </xdr:to>
    <xdr:graphicFrame macro="">
      <xdr:nvGraphicFramePr>
        <xdr:cNvPr id="23" name="Chart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62268</xdr:colOff>
      <xdr:row>41</xdr:row>
      <xdr:rowOff>97140</xdr:rowOff>
    </xdr:from>
    <xdr:to>
      <xdr:col>19</xdr:col>
      <xdr:colOff>308891</xdr:colOff>
      <xdr:row>59</xdr:row>
      <xdr:rowOff>190502</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7455482" y="8361211"/>
          <a:ext cx="9191052" cy="5363862"/>
          <a:chOff x="6497086" y="7543800"/>
          <a:chExt cx="9200114" cy="2924176"/>
        </a:xfrm>
      </xdr:grpSpPr>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6497086" y="7553069"/>
          <a:ext cx="3094589" cy="290848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9629775" y="7543801"/>
          <a:ext cx="3200400" cy="2924174"/>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5" name="Chart 34">
            <a:extLst>
              <a:ext uri="{FF2B5EF4-FFF2-40B4-BE49-F238E27FC236}">
                <a16:creationId xmlns:a16="http://schemas.microsoft.com/office/drawing/2014/main" id="{00000000-0008-0000-0C00-000023000000}"/>
              </a:ext>
            </a:extLst>
          </xdr:cNvPr>
          <xdr:cNvGraphicFramePr>
            <a:graphicFrameLocks/>
          </xdr:cNvGraphicFramePr>
        </xdr:nvGraphicFramePr>
        <xdr:xfrm>
          <a:off x="12849225" y="7543800"/>
          <a:ext cx="2847975" cy="2924176"/>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38" name="Connector: Elbow 37">
            <a:extLst>
              <a:ext uri="{FF2B5EF4-FFF2-40B4-BE49-F238E27FC236}">
                <a16:creationId xmlns:a16="http://schemas.microsoft.com/office/drawing/2014/main" id="{00000000-0008-0000-0C00-000026000000}"/>
              </a:ext>
            </a:extLst>
          </xdr:cNvPr>
          <xdr:cNvCxnSpPr/>
        </xdr:nvCxnSpPr>
        <xdr:spPr>
          <a:xfrm rot="16200000" flipH="1">
            <a:off x="11539694" y="8605052"/>
            <a:ext cx="573402" cy="806019"/>
          </a:xfrm>
          <a:prstGeom prst="bentConnector3">
            <a:avLst>
              <a:gd name="adj1" fmla="val -1316"/>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52386</xdr:colOff>
      <xdr:row>1</xdr:row>
      <xdr:rowOff>38100</xdr:rowOff>
    </xdr:from>
    <xdr:to>
      <xdr:col>19</xdr:col>
      <xdr:colOff>331564</xdr:colOff>
      <xdr:row>3</xdr:row>
      <xdr:rowOff>80010</xdr:rowOff>
    </xdr:to>
    <xdr:sp macro="" textlink="">
      <xdr:nvSpPr>
        <xdr:cNvPr id="48" name="Rectangle 47">
          <a:extLst>
            <a:ext uri="{FF2B5EF4-FFF2-40B4-BE49-F238E27FC236}">
              <a16:creationId xmlns:a16="http://schemas.microsoft.com/office/drawing/2014/main" id="{00000000-0008-0000-0C00-000030000000}"/>
            </a:ext>
          </a:extLst>
        </xdr:cNvPr>
        <xdr:cNvSpPr/>
      </xdr:nvSpPr>
      <xdr:spPr>
        <a:xfrm>
          <a:off x="6469855" y="585788"/>
          <a:ext cx="9244584" cy="375285"/>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8</xdr:col>
      <xdr:colOff>68036</xdr:colOff>
      <xdr:row>89</xdr:row>
      <xdr:rowOff>145596</xdr:rowOff>
    </xdr:from>
    <xdr:to>
      <xdr:col>19</xdr:col>
      <xdr:colOff>327741</xdr:colOff>
      <xdr:row>102</xdr:row>
      <xdr:rowOff>81935</xdr:rowOff>
    </xdr:to>
    <xdr:grpSp>
      <xdr:nvGrpSpPr>
        <xdr:cNvPr id="8" name="Group 7">
          <a:extLst>
            <a:ext uri="{FF2B5EF4-FFF2-40B4-BE49-F238E27FC236}">
              <a16:creationId xmlns:a16="http://schemas.microsoft.com/office/drawing/2014/main" id="{11483734-8CB3-436C-98DF-5D5348F702D6}"/>
            </a:ext>
          </a:extLst>
        </xdr:cNvPr>
        <xdr:cNvGrpSpPr/>
      </xdr:nvGrpSpPr>
      <xdr:grpSpPr>
        <a:xfrm>
          <a:off x="7461250" y="20574453"/>
          <a:ext cx="9204134" cy="2530768"/>
          <a:chOff x="7270750" y="17608096"/>
          <a:chExt cx="9204134" cy="2530768"/>
        </a:xfrm>
      </xdr:grpSpPr>
      <xdr:graphicFrame macro="">
        <xdr:nvGraphicFramePr>
          <xdr:cNvPr id="40" name="Chart 39">
            <a:extLst>
              <a:ext uri="{FF2B5EF4-FFF2-40B4-BE49-F238E27FC236}">
                <a16:creationId xmlns:a16="http://schemas.microsoft.com/office/drawing/2014/main" id="{00000000-0008-0000-0C00-000028000000}"/>
              </a:ext>
            </a:extLst>
          </xdr:cNvPr>
          <xdr:cNvGraphicFramePr>
            <a:graphicFrameLocks/>
          </xdr:cNvGraphicFramePr>
        </xdr:nvGraphicFramePr>
        <xdr:xfrm>
          <a:off x="7270750" y="17629972"/>
          <a:ext cx="3131639" cy="2497199"/>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Chart 43">
            <a:extLst>
              <a:ext uri="{FF2B5EF4-FFF2-40B4-BE49-F238E27FC236}">
                <a16:creationId xmlns:a16="http://schemas.microsoft.com/office/drawing/2014/main" id="{00000000-0008-0000-0C00-00002C000000}"/>
              </a:ext>
            </a:extLst>
          </xdr:cNvPr>
          <xdr:cNvGraphicFramePr>
            <a:graphicFrameLocks/>
          </xdr:cNvGraphicFramePr>
        </xdr:nvGraphicFramePr>
        <xdr:xfrm>
          <a:off x="10450285" y="17608096"/>
          <a:ext cx="3003913" cy="2503261"/>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1" name="Chart 40">
            <a:extLst>
              <a:ext uri="{FF2B5EF4-FFF2-40B4-BE49-F238E27FC236}">
                <a16:creationId xmlns:a16="http://schemas.microsoft.com/office/drawing/2014/main" id="{7B4253C0-2FAE-4231-81E5-48C463600506}"/>
              </a:ext>
            </a:extLst>
          </xdr:cNvPr>
          <xdr:cNvGraphicFramePr>
            <a:graphicFrameLocks/>
          </xdr:cNvGraphicFramePr>
        </xdr:nvGraphicFramePr>
        <xdr:xfrm>
          <a:off x="13510284" y="17618177"/>
          <a:ext cx="2964600" cy="2520687"/>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xdr:col>
      <xdr:colOff>67777</xdr:colOff>
      <xdr:row>78</xdr:row>
      <xdr:rowOff>128411</xdr:rowOff>
    </xdr:from>
    <xdr:to>
      <xdr:col>8</xdr:col>
      <xdr:colOff>15925</xdr:colOff>
      <xdr:row>81</xdr:row>
      <xdr:rowOff>88901</xdr:rowOff>
    </xdr:to>
    <xdr:sp macro="" textlink="">
      <xdr:nvSpPr>
        <xdr:cNvPr id="49" name="Rectangle 48">
          <a:extLst>
            <a:ext uri="{FF2B5EF4-FFF2-40B4-BE49-F238E27FC236}">
              <a16:creationId xmlns:a16="http://schemas.microsoft.com/office/drawing/2014/main" id="{7BFCD4FB-C0B5-484B-ACB5-76E10B533C7D}"/>
            </a:ext>
          </a:extLst>
        </xdr:cNvPr>
        <xdr:cNvSpPr/>
      </xdr:nvSpPr>
      <xdr:spPr>
        <a:xfrm>
          <a:off x="154863" y="18612354"/>
          <a:ext cx="7252462" cy="646290"/>
        </a:xfrm>
        <a:prstGeom prst="rect">
          <a:avLst/>
        </a:prstGeom>
        <a:ln>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 TEAR Australia, USAID, SIDA, MHF, LIFT, GAC, S'Korea, UNOPS, Irish Aid, ECHO, UNICEF</a:t>
          </a:r>
        </a:p>
      </xdr:txBody>
    </xdr:sp>
    <xdr:clientData/>
  </xdr:twoCellAnchor>
  <xdr:twoCellAnchor>
    <xdr:from>
      <xdr:col>0</xdr:col>
      <xdr:colOff>84667</xdr:colOff>
      <xdr:row>1</xdr:row>
      <xdr:rowOff>65316</xdr:rowOff>
    </xdr:from>
    <xdr:to>
      <xdr:col>8</xdr:col>
      <xdr:colOff>12701</xdr:colOff>
      <xdr:row>32</xdr:row>
      <xdr:rowOff>38100</xdr:rowOff>
    </xdr:to>
    <xdr:graphicFrame macro="">
      <xdr:nvGraphicFramePr>
        <xdr:cNvPr id="45" name="Chart 44">
          <a:extLst>
            <a:ext uri="{FF2B5EF4-FFF2-40B4-BE49-F238E27FC236}">
              <a16:creationId xmlns:a16="http://schemas.microsoft.com/office/drawing/2014/main" id="{128EB93A-D761-40C7-98C1-A9D91E8C0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63502</xdr:colOff>
      <xdr:row>61</xdr:row>
      <xdr:rowOff>79064</xdr:rowOff>
    </xdr:from>
    <xdr:to>
      <xdr:col>19</xdr:col>
      <xdr:colOff>317500</xdr:colOff>
      <xdr:row>86</xdr:row>
      <xdr:rowOff>181428</xdr:rowOff>
    </xdr:to>
    <xdr:grpSp>
      <xdr:nvGrpSpPr>
        <xdr:cNvPr id="2" name="Group 1">
          <a:extLst>
            <a:ext uri="{FF2B5EF4-FFF2-40B4-BE49-F238E27FC236}">
              <a16:creationId xmlns:a16="http://schemas.microsoft.com/office/drawing/2014/main" id="{8FCB4A4B-E66F-4156-A942-7EC04951706D}"/>
            </a:ext>
          </a:extLst>
        </xdr:cNvPr>
        <xdr:cNvGrpSpPr/>
      </xdr:nvGrpSpPr>
      <xdr:grpSpPr>
        <a:xfrm>
          <a:off x="7456716" y="14139778"/>
          <a:ext cx="9198427" cy="5871793"/>
          <a:chOff x="7266216" y="11436493"/>
          <a:chExt cx="9198427" cy="5608721"/>
        </a:xfrm>
      </xdr:grpSpPr>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13578506" y="15205605"/>
          <a:ext cx="2886137" cy="18288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13592014" y="13324563"/>
          <a:ext cx="2847681" cy="1828801"/>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10743865" y="13332487"/>
          <a:ext cx="2743200" cy="182880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10727970" y="15201597"/>
          <a:ext cx="2750995" cy="18288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13597391" y="11436493"/>
          <a:ext cx="2847681" cy="183515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39" name="Chart 38">
            <a:extLst>
              <a:ext uri="{FF2B5EF4-FFF2-40B4-BE49-F238E27FC236}">
                <a16:creationId xmlns:a16="http://schemas.microsoft.com/office/drawing/2014/main" id="{00000000-0008-0000-0C00-000027000000}"/>
              </a:ext>
            </a:extLst>
          </xdr:cNvPr>
          <xdr:cNvGraphicFramePr>
            <a:graphicFrameLocks/>
          </xdr:cNvGraphicFramePr>
        </xdr:nvGraphicFramePr>
        <xdr:xfrm>
          <a:off x="10745067" y="11445565"/>
          <a:ext cx="2743200" cy="18288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46" name="Chart 45">
            <a:extLst>
              <a:ext uri="{FF2B5EF4-FFF2-40B4-BE49-F238E27FC236}">
                <a16:creationId xmlns:a16="http://schemas.microsoft.com/office/drawing/2014/main" id="{C6A6BC89-97F6-44BB-B559-24294095819B}"/>
              </a:ext>
            </a:extLst>
          </xdr:cNvPr>
          <xdr:cNvGraphicFramePr>
            <a:graphicFrameLocks/>
          </xdr:cNvGraphicFramePr>
        </xdr:nvGraphicFramePr>
        <xdr:xfrm>
          <a:off x="7266216" y="11448142"/>
          <a:ext cx="3383280" cy="5597072"/>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8</xdr:col>
      <xdr:colOff>80961</xdr:colOff>
      <xdr:row>21</xdr:row>
      <xdr:rowOff>130174</xdr:rowOff>
    </xdr:from>
    <xdr:to>
      <xdr:col>19</xdr:col>
      <xdr:colOff>279399</xdr:colOff>
      <xdr:row>38</xdr:row>
      <xdr:rowOff>57150</xdr:rowOff>
    </xdr:to>
    <xdr:graphicFrame macro="">
      <xdr:nvGraphicFramePr>
        <xdr:cNvPr id="52" name="Chart 51">
          <a:extLst>
            <a:ext uri="{FF2B5EF4-FFF2-40B4-BE49-F238E27FC236}">
              <a16:creationId xmlns:a16="http://schemas.microsoft.com/office/drawing/2014/main" id="{8A553494-1F74-4643-A146-E0A82E9B5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69895</xdr:colOff>
      <xdr:row>18</xdr:row>
      <xdr:rowOff>58330</xdr:rowOff>
    </xdr:from>
    <xdr:to>
      <xdr:col>25</xdr:col>
      <xdr:colOff>400486</xdr:colOff>
      <xdr:row>22</xdr:row>
      <xdr:rowOff>113464</xdr:rowOff>
    </xdr:to>
    <xdr:sp macro="" textlink="">
      <xdr:nvSpPr>
        <xdr:cNvPr id="43" name="TextBox 42">
          <a:hlinkClick xmlns:r="http://schemas.openxmlformats.org/officeDocument/2006/relationships" r:id="rId19"/>
          <a:extLst>
            <a:ext uri="{FF2B5EF4-FFF2-40B4-BE49-F238E27FC236}">
              <a16:creationId xmlns:a16="http://schemas.microsoft.com/office/drawing/2014/main" id="{890EB8F2-86A5-4091-83A7-C653522F231C}"/>
            </a:ext>
          </a:extLst>
        </xdr:cNvPr>
        <xdr:cNvSpPr txBox="1"/>
      </xdr:nvSpPr>
      <xdr:spPr>
        <a:xfrm>
          <a:off x="18149252" y="3686901"/>
          <a:ext cx="1564305" cy="780849"/>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12</xdr:col>
      <xdr:colOff>587829</xdr:colOff>
      <xdr:row>51</xdr:row>
      <xdr:rowOff>117928</xdr:rowOff>
    </xdr:from>
    <xdr:to>
      <xdr:col>15</xdr:col>
      <xdr:colOff>1132114</xdr:colOff>
      <xdr:row>59</xdr:row>
      <xdr:rowOff>160866</xdr:rowOff>
    </xdr:to>
    <xdr:graphicFrame macro="">
      <xdr:nvGraphicFramePr>
        <xdr:cNvPr id="50" name="Chart 49">
          <a:extLst>
            <a:ext uri="{FF2B5EF4-FFF2-40B4-BE49-F238E27FC236}">
              <a16:creationId xmlns:a16="http://schemas.microsoft.com/office/drawing/2014/main" id="{F499DDC2-7DD8-4B65-B67F-66C1AC7BC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1208314</xdr:colOff>
      <xdr:row>51</xdr:row>
      <xdr:rowOff>36285</xdr:rowOff>
    </xdr:from>
    <xdr:to>
      <xdr:col>19</xdr:col>
      <xdr:colOff>330199</xdr:colOff>
      <xdr:row>59</xdr:row>
      <xdr:rowOff>160867</xdr:rowOff>
    </xdr:to>
    <xdr:graphicFrame macro="">
      <xdr:nvGraphicFramePr>
        <xdr:cNvPr id="51" name="Chart 50">
          <a:extLst>
            <a:ext uri="{FF2B5EF4-FFF2-40B4-BE49-F238E27FC236}">
              <a16:creationId xmlns:a16="http://schemas.microsoft.com/office/drawing/2014/main" id="{926C9612-0381-48CF-B180-8D6E34D08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495120</xdr:colOff>
      <xdr:row>5</xdr:row>
      <xdr:rowOff>143873</xdr:rowOff>
    </xdr:from>
    <xdr:to>
      <xdr:col>17</xdr:col>
      <xdr:colOff>497968</xdr:colOff>
      <xdr:row>15</xdr:row>
      <xdr:rowOff>32469</xdr:rowOff>
    </xdr:to>
    <xdr:sp macro="" textlink="">
      <xdr:nvSpPr>
        <xdr:cNvPr id="54" name="TextBox 53">
          <a:hlinkClick xmlns:r="http://schemas.openxmlformats.org/officeDocument/2006/relationships" r:id="rId22"/>
          <a:extLst>
            <a:ext uri="{FF2B5EF4-FFF2-40B4-BE49-F238E27FC236}">
              <a16:creationId xmlns:a16="http://schemas.microsoft.com/office/drawing/2014/main" id="{A1FAA943-758B-4379-823D-78A54CCC4B88}"/>
            </a:ext>
          </a:extLst>
        </xdr:cNvPr>
        <xdr:cNvSpPr txBox="1"/>
      </xdr:nvSpPr>
      <xdr:spPr>
        <a:xfrm>
          <a:off x="8577763" y="1413873"/>
          <a:ext cx="6878991" cy="1702882"/>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(3) WASH cluster</a:t>
          </a:r>
          <a:r>
            <a:rPr lang="en-US" sz="2000" b="1" baseline="0">
              <a:solidFill>
                <a:schemeClr val="bg1"/>
              </a:solidFill>
            </a:rPr>
            <a:t> team field visits done in Q3.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1</xdr:col>
      <xdr:colOff>63500</xdr:colOff>
      <xdr:row>59</xdr:row>
      <xdr:rowOff>117929</xdr:rowOff>
    </xdr:from>
    <xdr:to>
      <xdr:col>8</xdr:col>
      <xdr:colOff>0</xdr:colOff>
      <xdr:row>67</xdr:row>
      <xdr:rowOff>166886</xdr:rowOff>
    </xdr:to>
    <xdr:graphicFrame macro="">
      <xdr:nvGraphicFramePr>
        <xdr:cNvPr id="42" name="Chart 41">
          <a:extLst>
            <a:ext uri="{FF2B5EF4-FFF2-40B4-BE49-F238E27FC236}">
              <a16:creationId xmlns:a16="http://schemas.microsoft.com/office/drawing/2014/main" id="{CF93FFE1-4EBC-4F86-9125-29768CF49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72571</xdr:colOff>
      <xdr:row>67</xdr:row>
      <xdr:rowOff>254000</xdr:rowOff>
    </xdr:from>
    <xdr:to>
      <xdr:col>8</xdr:col>
      <xdr:colOff>9072</xdr:colOff>
      <xdr:row>78</xdr:row>
      <xdr:rowOff>52834</xdr:rowOff>
    </xdr:to>
    <xdr:graphicFrame macro="">
      <xdr:nvGraphicFramePr>
        <xdr:cNvPr id="47" name="Chart 46">
          <a:extLst>
            <a:ext uri="{FF2B5EF4-FFF2-40B4-BE49-F238E27FC236}">
              <a16:creationId xmlns:a16="http://schemas.microsoft.com/office/drawing/2014/main" id="{A18759EF-1042-4E71-A329-48A2BE298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72572</xdr:colOff>
      <xdr:row>82</xdr:row>
      <xdr:rowOff>54428</xdr:rowOff>
    </xdr:from>
    <xdr:to>
      <xdr:col>8</xdr:col>
      <xdr:colOff>0</xdr:colOff>
      <xdr:row>97</xdr:row>
      <xdr:rowOff>140606</xdr:rowOff>
    </xdr:to>
    <xdr:graphicFrame macro="">
      <xdr:nvGraphicFramePr>
        <xdr:cNvPr id="55" name="Chart 54">
          <a:extLst>
            <a:ext uri="{FF2B5EF4-FFF2-40B4-BE49-F238E27FC236}">
              <a16:creationId xmlns:a16="http://schemas.microsoft.com/office/drawing/2014/main" id="{DB8D8238-B78B-405B-BA83-EA06E0D28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thaw\Mee%20Mee\2.%20Information%20Management\B_%204%20W\002.%204Ws%20matrix\004.Yangon\Working\2019\Q2_2019\20190730_Myanmar_WASH_4W_2019_Q2_Rakhine_camp_Consolidate_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B_%204%20W/002.%204Ws%20matrix/001.New%204%20W/2022/Q3_2022/Core_File_Myanmar_WASH_4W_2022_Q3_KachinShan_Cam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thaw\Mee%20Mee\2.%20Information%20Management\C_Camp%20Info\2.%20CCCM%20Camp%20list\Kachin\2019\shelter-nfi-cccm_kachin_northern_shan_cluster_analysis_report_march_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J_Funding/2022/2022_Q3/20221028_Funding%20Matrix_2022_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HRP Calculations"/>
      <sheetName val="Indicator Summary  Eng"/>
      <sheetName val="Indicator Summary  MM"/>
      <sheetName val="HRP"/>
      <sheetName val="Sheet1"/>
      <sheetName val="Analysis"/>
      <sheetName val="Quarterly Dashboard"/>
      <sheetName val="Rakhine"/>
      <sheetName val="AAP-community Feedback"/>
      <sheetName val="By Camps"/>
      <sheetName val="Tracking Dashboard"/>
      <sheetName val="Lookup"/>
      <sheetName val="20190730_Myanmar_WASH_4W_2019_Q"/>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HWS"/>
      <sheetName val="DATABASE"/>
      <sheetName val="Site_DB"/>
      <sheetName val="Indicator Summary  Eng"/>
      <sheetName val="Indicator Summary  MM"/>
      <sheetName val="HRP Calculations"/>
      <sheetName val="HRP"/>
      <sheetName val="HRP ref"/>
      <sheetName val="Analysis"/>
      <sheetName val="Sheet2"/>
      <sheetName val="partners_Q1"/>
      <sheetName val="partners_Q2"/>
      <sheetName val="Kachin"/>
      <sheetName val="Shan(n)"/>
      <sheetName val="AAP-community Feedback"/>
      <sheetName val="Quarterly Dashboard"/>
      <sheetName val="By Camps"/>
      <sheetName val="Tracking Dashboard"/>
      <sheetName val="Lookup"/>
      <sheetName val="Core_File_Myanmar_WASH_4W_202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 val="Nation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other_Analysis"/>
      <sheetName val="Funding Tracking"/>
      <sheetName val="draft"/>
      <sheetName val="Timelinebysite"/>
      <sheetName val="Sheet1"/>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t="str">
            <v>Cumulative Funding Received for 2022</v>
          </cell>
          <cell r="E3" t="str">
            <v>Gap</v>
          </cell>
        </row>
        <row r="6">
          <cell r="B6" t="str">
            <v>Mon</v>
          </cell>
          <cell r="E6">
            <v>966080.86782175605</v>
          </cell>
        </row>
        <row r="7">
          <cell r="B7" t="str">
            <v>Ayeyarwady</v>
          </cell>
          <cell r="E7">
            <v>5185497.9785915827</v>
          </cell>
        </row>
        <row r="8">
          <cell r="B8" t="str">
            <v>Bago (East)</v>
          </cell>
          <cell r="E8">
            <v>5258881.5308649037</v>
          </cell>
        </row>
        <row r="9">
          <cell r="B9" t="str">
            <v>Bago (West)</v>
          </cell>
          <cell r="E9">
            <v>1674438.0148817613</v>
          </cell>
        </row>
        <row r="10">
          <cell r="B10" t="str">
            <v>Chin</v>
          </cell>
          <cell r="E10">
            <v>4452410.542544581</v>
          </cell>
        </row>
        <row r="11">
          <cell r="B11" t="str">
            <v>Kachin/Shan (North)</v>
          </cell>
          <cell r="D11">
            <v>2733733.3336034189</v>
          </cell>
          <cell r="E11">
            <v>17364469.523839332</v>
          </cell>
        </row>
        <row r="12">
          <cell r="B12" t="str">
            <v>Kayah</v>
          </cell>
          <cell r="E12">
            <v>10650850.20684333</v>
          </cell>
        </row>
        <row r="13">
          <cell r="B13" t="str">
            <v>Kayin</v>
          </cell>
          <cell r="E13">
            <v>8618687.9609555639</v>
          </cell>
        </row>
        <row r="14">
          <cell r="B14" t="str">
            <v>Magway</v>
          </cell>
          <cell r="E14">
            <v>4769815.328352008</v>
          </cell>
        </row>
        <row r="15">
          <cell r="B15" t="str">
            <v>Mandalay</v>
          </cell>
          <cell r="E15">
            <v>1362103.7752614375</v>
          </cell>
        </row>
        <row r="16">
          <cell r="B16" t="str">
            <v>Nay Pyi Taw</v>
          </cell>
          <cell r="E16">
            <v>123063.98388123726</v>
          </cell>
        </row>
        <row r="17">
          <cell r="B17" t="str">
            <v>Rakhine</v>
          </cell>
          <cell r="D17">
            <v>7211213.7953759125</v>
          </cell>
          <cell r="E17">
            <v>45543470.715074949</v>
          </cell>
        </row>
        <row r="18">
          <cell r="B18" t="str">
            <v>Sagaing</v>
          </cell>
          <cell r="E18">
            <v>7202514.6870839149</v>
          </cell>
        </row>
        <row r="19">
          <cell r="B19" t="str">
            <v>Shan (East)</v>
          </cell>
          <cell r="E19">
            <v>619416.92885226919</v>
          </cell>
        </row>
        <row r="20">
          <cell r="B20" t="str">
            <v>Shan (South)</v>
          </cell>
          <cell r="E20">
            <v>4128270.53697254</v>
          </cell>
        </row>
        <row r="21">
          <cell r="B21" t="str">
            <v>Tanintharyi</v>
          </cell>
          <cell r="E21">
            <v>1226204.7207755889</v>
          </cell>
        </row>
        <row r="22">
          <cell r="B22" t="str">
            <v>Yangon</v>
          </cell>
          <cell r="D22">
            <v>273788.56672884017</v>
          </cell>
          <cell r="E22">
            <v>5612337.0016950881</v>
          </cell>
        </row>
      </sheetData>
      <sheetData sheetId="14" refreshError="1"/>
      <sheetData sheetId="15" refreshError="1"/>
      <sheetData sheetId="16" refreshError="1"/>
      <sheetData sheetId="17" refreshError="1"/>
    </sheetDataSet>
  </externalBook>
</externalLink>
</file>

<file path=xl/persons/person.xml><?xml version="1.0" encoding="utf-8"?>
<personList xmlns="http://schemas.microsoft.com/office/spreadsheetml/2018/threadedcomments" xmlns:x="http://schemas.openxmlformats.org/spreadsheetml/2006/main">
  <person displayName="BMO - MEAL AM | Aung Khaing Win Tun" id="{399628A3-4D26-4987-9D06-9886B04E9F7C}" userId="S::bmo.meal.am@solidarites-myanmar.org::0c91a712-0404-4b49-abf4-cb12c1787028"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859.483320949075" createdVersion="6" refreshedVersion="7" minRefreshableVersion="3" recordCount="582" xr:uid="{00000000-000A-0000-FFFF-FFFF00000000}">
  <cacheSource type="worksheet">
    <worksheetSource name="WWWW"/>
  </cacheSource>
  <cacheFields count="155">
    <cacheField name="Reporting Period" numFmtId="167">
      <sharedItems containsBlank="1" count="25">
        <s v="2022_Q1"/>
        <s v="2022_Q2"/>
        <s v="2022_Q3"/>
        <m u="1"/>
        <s v="2021_Q1" u="1"/>
        <s v="2018-Q1" u="1"/>
        <s v="2021_Q2"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0">
      <sharedItems containsBlank="1" count="64">
        <s v="None"/>
        <s v="SI"/>
        <s v="Shalom"/>
        <s v="Metta"/>
        <s v="KMSS"/>
        <s v="STW"/>
        <s v="WPN"/>
        <s v="KBC"/>
        <s v="KBC, PIN"/>
        <s v="WPN,HPA"/>
        <s v="KMSS,METTA"/>
        <s v="PIN"/>
        <s v="KBC,PIN"/>
        <s v="HPA"/>
        <s v="Metta, KMSS,"/>
        <s v="Metta, KMSS"/>
        <s v="PIN,IRC"/>
        <s v="PIN,IRC,WCM"/>
        <s v="IRC"/>
        <s v="IRC, WCM"/>
        <s v="PIN/ KBC, SI"/>
        <m u="1"/>
        <s v="CDA" u="1"/>
        <s v="MRCS,Others/ WVI" u="1"/>
        <s v="CDN" u="1"/>
        <s v="RI" u="1"/>
        <s v="SCI" u="1"/>
        <s v="CARE,Others" u="1"/>
        <s v="WCM" u="1"/>
        <s v="KMSS, KBC" u="1"/>
        <s v="Malteser" u="1"/>
        <s v="SI,KBC" u="1"/>
        <s v="MRCS, Others" u="1"/>
        <s v="SCI, Metta" u="1"/>
        <s v="Metta, GLAD" u="1"/>
        <s v="WVI" u="1"/>
        <s v="SCI,Metta" u="1"/>
        <s v="UNICEF" u="1"/>
        <s v="MRCS,others" u="1"/>
        <s v="GIZ" u="1"/>
        <s v="CARE" u="1"/>
        <s v="MRCS,UNICEF" u="1"/>
        <s v="OXSI (SI)" u="1"/>
        <s v="Metta, KMSS, GLAD" u="1"/>
        <s v="MA_UK" u="1"/>
        <s v="OXSI (Oxfam),ACF" u="1"/>
        <s v="Others/ WVI" u="1"/>
        <s v="MRCS" u="1"/>
        <s v="MRCS,Others,UNICEF" u="1"/>
        <s v="MRCS, PLAN, RI" u="1"/>
        <s v="Others,MRCS" u="1"/>
        <s v="DRC" u="1"/>
        <s v="MRCS, PLAN, RI,Others" u="1"/>
        <s v="ACF" u="1"/>
        <s v="Metta,KBC" u="1"/>
        <s v="UNICEF,Others" u="1"/>
        <s v="Others" u="1"/>
        <s v="OXSI (SI), ACF" u="1"/>
        <s v="OXSI (Oxfam)" u="1"/>
        <s v="OXSI(Oxfam), MA_UK" u="1"/>
        <s v="KBC, KMSS" u="1"/>
        <s v="KMSS, METTA" u="1"/>
        <s v="KBC,HPA" u="1"/>
        <s v="MRCS,Others,UNICEF/ACF" u="1"/>
      </sharedItems>
    </cacheField>
    <cacheField name="WASH implementing agency" numFmtId="0">
      <sharedItems containsBlank="1" count="59">
        <s v="None"/>
        <s v="SI"/>
        <s v="Shalom"/>
        <s v="Metta"/>
        <s v="KMSS"/>
        <s v="STW"/>
        <s v="WPN"/>
        <s v="KBC"/>
        <s v="WPN,HPA"/>
        <s v="KMSS,METTA"/>
        <s v="HPA"/>
        <s v="Metta, KMSS, "/>
        <s v="Metta, KMSS"/>
        <s v="KBC, SI"/>
        <s v="SI, KBC"/>
        <m u="1"/>
        <s v="MRCS, ACF" u="1"/>
        <s v="CDA" u="1"/>
        <s v="MRCS,Others/ WVI" u="1"/>
        <s v="CDN" u="1"/>
        <s v="CHAD" u="1"/>
        <s v="RI" u="1"/>
        <s v="SCI" u="1"/>
        <s v="CARE,Others" u="1"/>
        <s v="WCM" u="1"/>
        <s v="KMSS, KBC" u="1"/>
        <s v="Malteser" u="1"/>
        <s v="SI,KBC" u="1"/>
        <s v="MRCS, Others" u="1"/>
        <s v="SCI, Metta" u="1"/>
        <s v="Metta, GLAD" u="1"/>
        <s v="SCI,Metta" u="1"/>
        <s v="UNICEF" u="1"/>
        <s v="MRCS,others" u="1"/>
        <s v="GIZ" u="1"/>
        <s v="CARE" u="1"/>
        <s v="MHDO" u="1"/>
        <s v="MRCS,ACF" u="1"/>
        <s v="OXSI (SI)" u="1"/>
        <s v="Metta, KMSS, GLAD" u="1"/>
        <s v="MA_UK" u="1"/>
        <s v="Others/ WVI" u="1"/>
        <s v="MRCS" u="1"/>
        <s v="MRCS, PLAN, RI" u="1"/>
        <s v="MRCS,Others,ACF" u="1"/>
        <s v="Others,MRCS" u="1"/>
        <s v="DRC" u="1"/>
        <s v="MRCS, PLAN, RI,Others" u="1"/>
        <s v="ACF" u="1"/>
        <s v="WFP" u="1"/>
        <s v="Metta,KBC" u="1"/>
        <s v="UNICEF,Others" u="1"/>
        <s v="Others" u="1"/>
        <s v="UNICEF/ UNHCR/UNFPA" u="1"/>
        <s v="OXSI (Oxfam)" u="1"/>
        <s v="OXSI(Oxfam), MA_UK" u="1"/>
        <s v="KBC, KMSS" u="1"/>
        <s v="KMSS, METTA" u="1"/>
        <s v="KBC,HPA" u="1"/>
      </sharedItems>
    </cacheField>
    <cacheField name="Primary Donor covering WASH activities at site " numFmtId="0">
      <sharedItems containsBlank="1"/>
    </cacheField>
    <cacheField name="State" numFmtId="0">
      <sharedItems containsBlank="1" count="6">
        <s v="Kachin"/>
        <s v="Shan (North)"/>
        <m u="1"/>
        <s v="Rakhine" u="1"/>
        <s v="Northern Rakhine" u="1"/>
        <s v="Central Rakhine" u="1"/>
      </sharedItems>
    </cacheField>
    <cacheField name="Township" numFmtId="0">
      <sharedItems containsBlank="1" count="46">
        <s v="Bhamo"/>
        <s v="Hpakant"/>
        <s v="Momauk"/>
        <s v="Waingmaw"/>
        <s v="Injangyang"/>
        <s v="Mansi"/>
        <s v="Chipwi"/>
        <s v="Myitkyina"/>
        <s v="Mogaung"/>
        <s v="Sumprabum"/>
        <s v="Mohnyin"/>
        <s v="Puta-O"/>
        <s v="Shwegu"/>
        <s v="Tanai"/>
        <s v="Kutkai"/>
        <s v="Lashio"/>
        <s v="Hsipaw"/>
        <s v="Laukkaing (Kokang SAZ)"/>
        <s v="Muse"/>
        <s v="Namtu"/>
        <s v="Kyaukme"/>
        <s v="Manton"/>
        <s v="Namhkan"/>
        <s v="Hseni"/>
        <m u="1"/>
        <s v="Mohyin" u="1"/>
        <s v="Kyauktaw" u="1"/>
        <s v="Nawnghkio" u="1"/>
        <s v="Pangsang" u="1"/>
        <s v="Namhsan" u="1"/>
        <s v="Minbya" u="1"/>
        <s v="Ann" u="1"/>
        <s v="Pauktaw" u="1"/>
        <s v="Namatee" u="1"/>
        <s v="Myebon" u="1"/>
        <s v="Buthidaung " u="1"/>
        <s v="Maungdaw" u="1"/>
        <s v="Ponnagyun" u="1"/>
        <s v="Kyaukpyu" u="1"/>
        <s v="Sittwe" u="1"/>
        <s v="Rathedaung" u="1"/>
        <s v="Mai Ja Yang " u="1"/>
        <s v="Mrauk-U" u="1"/>
        <s v="Buthidaung" u="1"/>
        <s v="Ramree" u="1"/>
        <s v="Laukkaing" u="1"/>
      </sharedItems>
    </cacheField>
    <cacheField name="Location Type" numFmtId="0">
      <sharedItems count="14">
        <s v="Camp"/>
        <s v="Camp_not registered"/>
        <s v="Relocated"/>
        <s v="Resettlement" u="1"/>
        <s v="return" u="1"/>
        <s v="Town_New_Displaced" u="1"/>
        <s v="Town" u="1"/>
        <e v="#N/A" u="1"/>
        <s v="New Temporary Site" u="1"/>
        <s v="Village_New_Displaced" u="1"/>
        <s v="New Site" u="1"/>
        <s v="Camp not registered" u="1"/>
        <s v="Village" u="1"/>
        <s v="Village_Not HRP" u="1"/>
      </sharedItems>
    </cacheField>
    <cacheField name="Site Name" numFmtId="0">
      <sharedItems containsBlank="1" count="1068">
        <s v="(3 mile) Shwe Pyi Tar (SLCA)"/>
        <s v="AD 2000 School"/>
        <s v="AD-2000 Extension camp"/>
        <s v="AD-2000 Tharthana Compound"/>
        <s v="AG Church, Hmaw Si Sa"/>
        <s v="AG Church, Maw Wan"/>
        <s v="Agritural Compound (KBC)"/>
        <s v="Aung Thar Church"/>
        <s v="Baptist Church, Hmaw Si Sar(Lon Khin)"/>
        <s v="Bhamo- IDPs in Host "/>
        <s v="Border Post 8"/>
        <s v="Bum Ra Yang Camp "/>
        <s v="Bum Tsit Pa"/>
        <s v="Chin Church, Seik Mu"/>
        <s v="Chipwi KBC camp"/>
        <s v="Chipwi Pan Wa  (Host IDP)"/>
        <s v="Dhama Rakhita, Nyein Chan Tar Yar Ward(Lon Khin)"/>
        <s v="Ding Jang Yang (1)"/>
        <s v="Ding Jang Yang (2)"/>
        <s v="Du Kahtawng Baptist"/>
        <s v="Dum Bung "/>
        <s v="Emmanuel AG Church"/>
        <s v="Hka Garan Yang "/>
        <s v="Hka Shi"/>
        <s v="Hkat Cho "/>
        <s v="Hkau Shau (BP 12)"/>
        <s v="Hlaing Naung Baptist"/>
        <s v="Hopin -IDPs in Host"/>
        <s v="Hpakant Baptist Church, Nam Ma Hpit"/>
        <s v="Hpare Hkyer - BP6"/>
        <s v="Hpun Lum Yang "/>
        <s v="Htang Nya "/>
        <s v="Htoi San Church"/>
        <s v="IDP Boarding School, A Len Bum"/>
        <s v="Jan Mai Kawng Baptist Church"/>
        <s v="Jan Mai Kawng Catholic Church"/>
        <s v="Jaw Masat Camp"/>
        <s v="Je Yang Hka "/>
        <s v="Ka Bu Dam CoC"/>
        <s v="Kachin Su Baptist Church (ECCD)"/>
        <s v="Karmaing RC Church"/>
        <s v="Khar Nan (1) Baptist Church"/>
        <s v="Kyun Taw Baptist Church "/>
        <s v="Laiza Je Yang School"/>
        <s v="Lana Zup Ja"/>
        <s v="Lawa RC Church"/>
        <s v="Lawng Hkang Shait Yang Camp​ ( Lel Pyin)​ "/>
        <s v="Le Kone Bethlehem Church"/>
        <s v="Le Kone Ziun Baptist Church "/>
        <s v="Lhaovao Baptist Church (LBC)"/>
        <s v="Lhaovo Baptist Convention  Old Office Camp"/>
        <s v="Lisu Baptist Church, Maw Shan Vil,. Seik Mu"/>
        <s v="Lisu Baptist Church, Maw Wan Ward"/>
        <s v="Lisu Boarding-House"/>
        <s v="Lisu Zonal camp"/>
        <s v="Loi Je Baptist Church"/>
        <s v="Loi Je Catholic Church"/>
        <s v="Loi Je Lisu Camp"/>
        <s v="Lone Khin Catholic Church"/>
        <s v="Lung Sut"/>
        <s v="Lwegel High School"/>
        <s v="Ma Hawng Baptist Church"/>
        <s v="Mading Baptist Church"/>
        <s v="Maga Yang "/>
        <s v="Maina AG Church"/>
        <s v="Maina Catholic Church (St. Joseph)"/>
        <s v="Maina KBC (Bawng Ring)"/>
        <s v="Maina Lawang Baptist Church"/>
        <s v="Maina Mu-yin  Baptist Church"/>
        <s v="Maing Khaung"/>
        <s v="Maing Khaung Catholic Church"/>
        <s v="Maliyang Baptist Church"/>
        <s v="Man Bung Catholic compound"/>
        <s v="Man Bung Edin Baptist Church"/>
        <s v="Man Hkring Baptist Church"/>
        <s v="Man Wing Baptist Church"/>
        <s v="Man Wing Baptist Church Cultural Compound"/>
        <s v="Man Wing Catholic Church"/>
        <s v="Man Wing Catholic Church II"/>
        <s v="Man Wing- IDPs in Host"/>
        <s v="Mansi Baptist Church"/>
        <s v="Mansi- IDPs in Host"/>
        <s v="Maw Hpawng Hka Nan Baptist Church"/>
        <s v="Maw Hpawng Lhaovo Baptist Church"/>
        <s v="Maw Wan, Mu-yin Baptist Church"/>
        <s v="Moenyin- IDPs in Host"/>
        <s v="Momauk Baptist Church"/>
        <s v="Momauk IDP new extension camp (Kye Nan)"/>
        <s v="Momauk KBC church"/>
        <s v="Momauk-IDPs in Host"/>
        <s v="Muyin church (Aung Yar pre-school compound)"/>
        <s v="Myo Thit -IDP in Host"/>
        <s v="Na ru Kawng (Post 6 camp)"/>
        <s v="Nam Hlaing Extension Ward camp"/>
        <s v="Nam Ma Phyit, COC"/>
        <s v="Namatee Kan Hla AG"/>
        <s v="Namti Labraw Yang KBC Camp"/>
        <s v="Nan Hlaing_new camp "/>
        <s v="Nan Kway St. John Catholic Church"/>
        <s v="Nant Ma Hpit Catholic Church"/>
        <s v="Nat Gyi Kone Baptist Church "/>
        <s v="Naung Pataine/lachid "/>
        <s v="Naung Tar Law (Kyet Chan) "/>
        <s v="Nawng Hee Village"/>
        <s v="Nawng Ing (Indawgyi) Baptist Church "/>
        <s v="Ndup Yang"/>
        <s v="Nhkawng Pa "/>
        <s v="Njang Dung Baptist Church "/>
        <s v="Nyaung Na Pin "/>
        <s v="Pa Dauk Myaing(Pa La Na)"/>
        <s v="Pa Dauk Myaing(Pa La Na)-II"/>
        <s v="Pa Kahtawng "/>
        <s v="Pajau - Jan Mai"/>
        <s v="Pamati Camp"/>
        <s v="Pang Hkawn Yang"/>
        <s v="Phan Khar Kone"/>
        <s v="Phaug Nhae Camp"/>
        <s v="Qtr. 2 Lhaovo Baptist Church"/>
        <s v="Qtr. 2 Myoma Baptist Church"/>
        <s v="Rawan Baptist Church, Maw Shan Vil., Seik Mu"/>
        <s v="Robert Church"/>
        <s v="Robert -High school"/>
        <s v="Sadung"/>
        <s v="Saint Matthew (Shin ma ti-sitapru) camp"/>
        <s v="Salang Yang"/>
        <s v="Sar Hmaw - KBC"/>
        <s v="Sector 5 Pammati Quarter"/>
        <s v="Seng Ja "/>
        <s v="Sha-It Yang"/>
        <s v="Shar Du Zut KBC church "/>
        <s v="Shatapru Sut Ngai Tawng"/>
        <s v="Shatapru Thida Aye Baptist Church"/>
        <s v="Shing Jai"/>
        <s v="Shwe Gu Baptist Church"/>
        <s v="Shwe Gu Catholic Church"/>
        <s v="Shwe Zet Baptist Church"/>
        <s v="St. Joseph Tanai RC camp "/>
        <s v="St. Patrick Catholic Church "/>
        <s v="St.Columban lone Khin camp"/>
        <s v="St.Francis RCC 1"/>
        <s v="St.Francis RCC 2"/>
        <s v="Tanai CoC"/>
        <s v="Tanai KBC Camp"/>
        <s v="Tat Kone Baptist Church"/>
        <s v="Tat Kone COC Baptist - Tat Kone Htoi San"/>
        <s v="Tat Kone Galile Baptist Church"/>
        <s v="Tat Kone San Pya Baptist Church"/>
        <s v="Thargaya Lisu Baptist Church"/>
        <s v="Trinity Camp"/>
        <s v="Waimaw Baptist Zonal Office 2"/>
        <s v="Waingmaw AG Church"/>
        <s v="Waingmaw LBC church "/>
        <s v="Waingmaw St.Joseph RC Church"/>
        <s v="Ward 2 Sai Taung Baptist Church, Seik Mu "/>
        <s v="Woi Chyai "/>
        <s v="Woi Chyai (Mong Lai)"/>
        <s v="Woi Chyai host families"/>
        <s v="Yumar Baptist Church"/>
        <s v="Yuu Ka lait Kone Camp"/>
        <s v="Bang Yang Hka (Mung Ji Pa)-relocated"/>
        <s v="Enai (Man Pyein)"/>
        <s v="Galeng (Palaung) &amp; Kone Khem"/>
        <s v="Galeng Zup Awng ward 5 RC"/>
        <s v="Hat Hlan village (host)"/>
        <s v="His Aw (Chyu Fan) "/>
        <s v="Hpai Kawng"/>
        <s v="Hseng Ja-Relocated"/>
        <s v="Hu Hku &amp; Ho Hko"/>
        <s v="Kutkai downtown (KBC Church)"/>
        <s v="Kutkai downtown (KBC Church-2)"/>
        <s v="Kyaukme Town (host)"/>
        <s v="Kyu Sot"/>
        <s v="Lisu Church Namtu"/>
        <s v="Mai Yu Lay New (Ta'ang)"/>
        <s v="Man Kaung/Naung Ti Kyar Village"/>
        <s v="Man Loi"/>
        <s v="Mandung - Jinghpaw"/>
        <s v="Mandung - RC"/>
        <s v="Mang Nawng Kawng (host)"/>
        <s v="Mine Yu Lay village ( Old)"/>
        <s v="Mong Wee Shan-relocated"/>
        <s v="Mung Hawm "/>
        <s v="Nam Hkam - Nay Win Ni (Palawng)"/>
        <s v="Nam Hkam (KBC Jaw Wang)"/>
        <s v="Nam Hkam (KBC Jaw Wang) II"/>
        <s v="Nam Hkam Catholic Church ( St. Thomas I)"/>
        <s v="Nam Hpak Ka Mare "/>
        <s v="Nam Hpak Ka Ta'ang ( Aung Tha Pyay)"/>
        <s v="Nam Sa Larp"/>
        <s v="Nam Tu Baptist"/>
        <s v="New Pang Ku "/>
        <s v="Pan Law"/>
        <s v="Pan Ta Pyae"/>
        <s v="Shwe Sin (Ward 3) "/>
        <s v="Tsan Lun - Namjarap"/>
        <s v="Zup Aung Camp"/>
        <s v="Lin Hao chun "/>
        <s v="Man Pint community Hall "/>
        <s v="Mong Tin High School"/>
        <s v="Nar Mun Primary School"/>
        <s v="Pyi Htaung Su"/>
        <s v="SLCA Building Compound (Kyaukme town)"/>
        <s v="SLCA Building Compound (Moungnawt town)"/>
        <s v="Theravada Monastery "/>
        <s v="Pan Wa" u="1"/>
        <m u="1"/>
        <s v="Thet Kae Pyin Village (IDPs in host family)" u="1"/>
        <s v="Ramree Town" u="1"/>
        <s v="Set Yone Su 1" u="1"/>
        <s v="Tanai KBC Church " u="1"/>
        <s v="Gyit Chaung" u="1"/>
        <s v="Let Than Chi (Ywar Thit)" u="1"/>
        <s v="Man Wing Host Families" u="1"/>
        <s v="Tha Bauk Chaung" u="1"/>
        <s v="Nay Pu Khan" u="1"/>
        <s v="Taw Kan" u="1"/>
        <s v="Sa Pe Kong A Nauk Ywa" u="1"/>
        <s v="Sin Thi Pein Hne Taw" u="1"/>
        <s v="Nga/Pyauk Se" u="1"/>
        <s v="Naw Naw(Rakhine)" u="1"/>
        <s v="Dar Let (South)" u="1"/>
        <s v="Thet Kae Pyin " u="1"/>
        <s v="Mang Hawng Baptist Church" u="1"/>
        <s v="Kyun Pin Thar Baptist Church" u="1"/>
        <s v="Yae Hnyin Chaung" u="1"/>
        <s v="Sin Khing Baw (Primary School)" u="1"/>
        <s v="(3 mile) Shwe Pyi Tar " u="1"/>
        <s v="Hla Nyo Kan" u="1"/>
        <s v="Baw Du Pha Village (IDP in host families)" u="1"/>
        <s v="Ywa Haung" u="1"/>
        <s v="Aung Taing" u="1"/>
        <s v="HlaKhaing" u="1"/>
        <s v="Pyu Chaing" u="1"/>
        <s v="Taung Htaung Ha Yar" u="1"/>
        <s v="Dam ( Zup Ngai Yang)" u="1"/>
        <s v="Shwe Zin Khin (Rakhine)" u="1"/>
        <s v="Shwe Thee " u="1"/>
        <s v="Hindu" u="1"/>
        <s v="Sin Kae (High School)" u="1"/>
        <s v="Cheit Taung" u="1"/>
        <s v="Za Yan Gyi Monastery"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Thin Ga Net" u="1"/>
        <s v="Pyeing Chaung" u="1"/>
        <s v="Dar Shey" u="1"/>
        <s v="Chi Laing Hpin" u="1"/>
        <s v="Let Wea Det Pyin Shey" u="1"/>
        <s v="Ywar Thit Monastery/Pan Myaung" u="1"/>
        <s v="Kyaukme Damma Yone" u="1"/>
        <s v="Baw Du Pha 1" u="1"/>
        <s v="Dar Paing Village" u="1"/>
        <s v="Let Than Chi (Haung)" u="1"/>
        <s v="Godzilla (Hteik Tu Pauk Myauk)" u="1"/>
        <s v="Kyauk Hlay Kar" u="1"/>
        <s v="Lawt Awng" u="1"/>
        <s v="Mingalar on" u="1"/>
        <s v="Zedi Pyin" u="1"/>
        <s v="Zin Kha Mar" u="1"/>
        <s v="Kyone Pyin" u="1"/>
        <s v="Mardilla" u="1"/>
        <s v="Ah Htet Gar Pu" u="1"/>
        <s v="Thar Yar Kone (M)" u="1"/>
        <s v="Lu Fan Pyin" u="1"/>
        <s v="Taik Maw" u="1"/>
        <s v="Kha Tin Pike Gyi" u="1"/>
        <s v="Taung Poke Kay" u="1"/>
        <s v="Kyee Kan Pyin ( Temoprary Tent)" u="1"/>
        <s v="Muslim (Aley Ywa)" u="1"/>
        <s v="Kar Di" u="1"/>
        <s v="Kyauk Ta Lone" u="1"/>
        <s v="Ohn Chaung" u="1"/>
        <s v="Langui" u="1"/>
        <s v="Kat Pa Kaung" u="1"/>
        <s v="Inn Chaung (Muslim)" u="1"/>
        <s v="Nyaung Pin Gyi (Rakhine)" u="1"/>
        <s v="Dar Paing Ywar Thit" u="1"/>
        <s v="War Bo" u="1"/>
        <s v="Nant Yar Gaing (Nant Yar Gaing)" u="1"/>
        <s v="Taung Myint" u="1"/>
        <s v="Set Yone Su 3" u="1"/>
        <s v="Qtr. 4 Monestry (Thargaya Thayett Taw)" u="1"/>
        <s v="Sut Chyai" u="1"/>
        <s v="Laung Don (Myo)" u="1"/>
        <s v="Tha Yet Cho" u="1"/>
        <s v="Shauk Chaung" u="1"/>
        <s v="Har Ra Paing" u="1"/>
        <s v="NiDin" u="1"/>
        <s v="Koe Tan Kauk" u="1"/>
        <s v="Naw Wai" u="1"/>
        <s v="Trinity KBC Church" u="1"/>
        <s v="U Htoe Dan " u="1"/>
        <s v="Shwe Zar (Middle)" u="1"/>
        <s v="Kwayt Shey Ywar Thit_x000a_(Kwayt Shay)" u="1"/>
        <s v="Lan Gwa St.Paul RC Church" u="1"/>
        <s v="6-Miles" u="1"/>
        <s v="Yoe Ta Yoke" u="1"/>
        <s v="Taw Tan" u="1"/>
        <s v="Maw Staw Bis" u="1"/>
        <s v="Mansan" u="1"/>
        <s v="Ywa thit Kay" u="1"/>
        <s v="Kone Khem Camp" u="1"/>
        <s v="Ah Htet Nan Yar" u="1"/>
        <s v="Auk Thin Pone Than/ Phar Kywe" u="1"/>
        <s v="Ah Lel Mu" u="1"/>
        <s v="RAT_Zay Di Pyin" u="1"/>
        <s v="Wa Taung Camp" u="1"/>
        <s v="Let Wea Myan" u="1"/>
        <s v="Lun Kyaw" u="1"/>
        <s v="Kun Thee Pin" u="1"/>
        <s v="Mei Za Li Kaing" u="1"/>
        <s v="Kyauk Se" u="1"/>
        <s v="Hla May Shwe" u="1"/>
        <s v="Maw" u="1"/>
        <s v="Kyein Ni Pyin" u="1"/>
        <s v="Hpar Kywe Wa" u="1"/>
        <s v="Ah Nauk" u="1"/>
        <s v="Pyar" u="1"/>
        <s v="Mya Yaike Kyun" u="1"/>
        <s v="Kyaung Taung" u="1"/>
        <s v="Mi Chaung Yae Thauk" u="1"/>
        <s v="Gan Kya" u="1"/>
        <s v="Lone Tin" u="1"/>
        <s v="Tat Oo Anauk" u="1"/>
        <s v="Thit Tone Na Gwa Sone (Ywa Ma)" u="1"/>
        <s v="Ramree Ward 6" u="1"/>
        <s v="Bar Ri Zar" u="1"/>
        <s v="Wa Hmyaung" u="1"/>
        <s v="Kyauk Ka Lay" u="1"/>
        <s v="Mi Nyo Htaunt_Thar Si" u="1"/>
        <s v="Kyar Nyo Pyin (Muslim)" u="1"/>
        <s v="Kar Hpi Chaung" u="1"/>
        <s v="Phwe Yar Kone (Say Tha Mar Gyi)" u="1"/>
        <s v="MiGyaungTet" u="1"/>
        <s v="Thit Ka Toe" u="1"/>
        <s v="Kyar Nin Kan Monastery" u="1"/>
        <s v="Mine Tin " u="1"/>
        <s v="Nga San Baw (Moke Soe Chaung) (Ywar Haung)" u="1"/>
        <s v="Ni Lin Paw" u="1"/>
        <s v="Lahkum" u="1"/>
        <s v="Rakhine Ywa" u="1"/>
        <s v="Hta Ma Rit (Kwet Thit)" u="1"/>
        <s v="Aung Pa" u="1"/>
        <s v="Shwe Baho" u="1"/>
        <s v="Faw Tay Ali " u="1"/>
        <s v="Nget Chaung 1" u="1"/>
        <s v="Ah Du" u="1"/>
        <s v="Kan Pyi Tha Zi" u="1"/>
        <s v="Khaung Doke Khar 1" u="1"/>
        <s v="Sabei Hla" u="1"/>
        <s v="Mandalay Monestry" u="1"/>
        <s v="PyunTo" u="1"/>
        <s v="Ta Man Thar Ah Nauk (Rakhine)" u="1"/>
        <s v="Tein Nyo" u="1"/>
        <s v="Chaung New Min Gan" u="1"/>
        <s v="Nur Ru Lar" u="1"/>
        <s v="Wa Lan Kone" u="1"/>
        <s v="Baw Du Pha 2" u="1"/>
        <s v="Ma Ji Bum" u="1"/>
        <s v="Ngan Chaung_Gone Nar"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Ohn Taw Gyi (South)" u="1"/>
        <s v="Thein Taung pyin (Muslim)" u="1"/>
        <s v="Taung Yin" u="1"/>
        <s v="Thein Tan (Rakhine)" u="1"/>
        <s v="Kyauk Pan Du (NTL)" u="1"/>
        <s v="Tha Yet Oke Ywar Thit" u="1"/>
        <s v="Myo Thit " u="1"/>
        <s v="Nat Maw (Upper)" u="1"/>
        <s v="Palay Taung Ywa Thit"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Sin Tet Maw" u="1"/>
        <s v="Namhkan - Pang Long KBC" u="1"/>
        <s v="DPA" u="1"/>
        <s v="Ban Dang" u="1"/>
        <s v="Nget Chaung 2"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Ka Yar Lane , 74 Miles" u="1"/>
        <s v="Na ru Kawng " u="1"/>
        <s v="Thein Tan (Ku Lar)" u="1"/>
        <s v="Thein Tan (Muslim)" u="1"/>
        <s v="Htan Shauk Khan" u="1"/>
        <s v="Thar Dar" u="1"/>
        <s v="Kha Yay Myaing (NaTaLa)" u="1"/>
        <s v="Nyaung Pin Hla" u="1"/>
        <s v="Pin Zaing"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Done Pyin (North)" u="1"/>
        <s v="Shwe Zin Khin (Ku Lar)" u="1"/>
        <s v="Chin Pyin" u="1"/>
        <s v="Ohn Taw Shey" u="1"/>
        <s v="Zaw Pu Gyer" u="1"/>
        <s v="Sar Pyin" u="1"/>
        <s v="Boe Taw monastery" u="1"/>
        <s v="Sapar Seik (Shari)" u="1"/>
        <s v="Kin Chaung" u="1"/>
        <s v="Ah Bu Gyar" u="1"/>
        <s v="Shwe Zar (west)" u="1"/>
        <s v="Teik Tu Pauk" u="1"/>
        <s v="Pyaing Taung" u="1"/>
        <s v="Kan Sauk" u="1"/>
        <s v="Myauk Ywa" u="1"/>
        <s v="Mi Nyo Htaunt" u="1"/>
        <s v="Tha Yet Oke Ywar Haung" u="1"/>
        <s v="Kyauk Yit RK" u="1"/>
        <s v="Lambraw Yang Rc, Namatee" u="1"/>
        <s v="Sin Oe" u="1"/>
        <s v="Thet Kay Pyin" u="1"/>
        <s v="Ah Lar Than" u="1"/>
        <s v="Doke Kan Chaung" u="1"/>
        <s v="Honsara (Zaw Ma Tat)" u="1"/>
        <s v="Hpar Wut Chaung" u="1"/>
        <s v="38 Mine ManPying Monastery" u="1"/>
        <s v="Tanai RC Church - Kinsa Ra " u="1"/>
        <s v="Yai Mya" u="1"/>
        <s v="Let Wea Det Pyin Shey_Ywar Thit" u="1"/>
        <s v="San Thar Pyin" u="1"/>
        <s v="Pyin  Hla Zay Ywa" u="1"/>
        <s v="Maung Ni Pyin" u="1"/>
        <s v="Ngar Yauk Kaing" u="1"/>
        <s v="Aung Thay Pyay (San Suri)" u="1"/>
        <s v="Myet Tauk" u="1"/>
        <s v="Pe Tha Du" u="1"/>
        <s v="A Lei Ywar" u="1"/>
        <s v="Nga/Tauk Tet" u="1"/>
        <s v="Pan Taw Pyin" u="1"/>
        <s v="Thit Tone Nar Gwa Son" u="1"/>
        <s v="Myoma Myauk (Chitta Ywa)" u="1"/>
        <s v="Kha Maung Seik North" u="1"/>
        <s v="Nam Sa Lap ,Upper Church " u="1"/>
        <s v="Tat Kone Emanuel Church" u="1"/>
        <s v="Koe Song (2) Village" u="1"/>
        <s v="Mee Chaung Zay_Ywar Thit" u="1"/>
        <s v="Khat Pa Kaung" u="1"/>
        <s v="Bu May Ohn Daw Chay" u="1"/>
        <s v="Oe Pone" u="1"/>
        <s v="Kine Gyi (Rakhine)" u="1"/>
        <s v="Min Ga Lar Ahr Sheik Kyar" u="1"/>
        <s v="Thein Tan" u="1"/>
        <s v="Shwe Hlaing Rakhine" u="1"/>
        <s v="Thone Gwa" u="1"/>
        <s v="Aung Zay Ya Monastery" u="1"/>
        <s v="Lin Bar Gone Nar" u="1"/>
        <s v="Ka Yin Taw" u="1"/>
        <s v="Pyin Hpyu" u="1"/>
        <s v="Quarter 2 , Edin" u="1"/>
        <s v="Pae Tha Du " u="1"/>
        <s v="Kyan Taik" u="1"/>
        <s v="Phas Kawri" u="1"/>
        <s v="Ywar Thit Kay Monastery" u="1"/>
        <s v="Myo U" u="1"/>
        <s v="Hmanzi " u="1"/>
        <s v="Nga Pwint Gyi" u="1"/>
        <s v="Let Wea Det" u="1"/>
        <s v="Robert -Middle school" u="1"/>
        <s v="Zaw Pu Gyar" u="1"/>
        <s v="Than Chay (Rakhine)" u="1"/>
        <s v="Kan Hpay" u="1"/>
        <s v="Kan Thar Yar" u="1"/>
        <s v="Nyaung Pin Gyi (Ku Lar)" u="1"/>
        <s v="Ohn Taw Gyi" u="1"/>
        <s v="Narte" u="1"/>
        <s v="Ah Nauk Pyin" u="1"/>
        <s v="Set Yone Su 3 (Mingan)" u="1"/>
        <s v="Ma La Kyun" u="1"/>
        <s v="Say Tha Ma" u="1"/>
        <s v="Bo Min Monastery" u="1"/>
        <s v="Quarter 4, Khar Nan " u="1"/>
        <s v="Shar Du Zut SanPya" u="1"/>
        <s v="Thae Chaung(Rakhine)" u="1"/>
        <s v="Sasana 2500 monastery" u="1"/>
        <s v="N-bau Tu"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Sin Tet Maw Rakhine(Baw Da Li)" u="1"/>
        <s v="Gwa Sone Chin" u="1"/>
        <s v="Thaing Ta Poke" u="1"/>
        <s v="Moenyin Host Families" u="1"/>
        <s v="Kha Yu Chaung (Muslim)" u="1"/>
        <s v="Ku Lar Thein" u="1"/>
        <s v="Khaung Doke Khar 2 (Hmanzi)" u="1"/>
        <s v="Taung Htaung"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Doe Tan" u="1"/>
        <s v="Kyet Mauk Taung (Myauk Ywar)" u="1"/>
        <s v="Kha Tin Paik" u="1"/>
        <s v="Hmaw Wan, Anglican" u="1"/>
        <s v="Thay Kan (Muslim)" u="1"/>
        <s v="Pyaung Chaung" u="1"/>
        <s v="Nwar Yone Taung" u="1"/>
        <s v="Nga Pha Yone" u="1"/>
        <s v="Gaung Gyi" u="1"/>
        <s v="Aung Tat Ward (Aung Zaydi Hpayar Thin)" u="1"/>
        <s v="Pyein Chaung" u="1"/>
        <s v="Ah Hla Sin" u="1"/>
        <s v="Za Yat Kwin" u="1"/>
        <s v="Zaw Ma Tat ( Kyine Gyi)" u="1"/>
        <s v="Pon Nar" u="1"/>
        <s v="Kutkhai KBC-2 (Block-6)" u="1"/>
        <s v="Ywar Gyi" u="1"/>
        <s v="Taung Htaung Hayar_Wa Lar Kan (Ku Lar)" u="1"/>
        <s v="Nga Ta Paung" u="1"/>
        <s v="Wa Lar Kan" u="1"/>
        <s v="Kha Yan Kyun" u="1"/>
        <s v="Tha Lu Chaung" u="1"/>
        <s v="Thar Si" u="1"/>
        <s v="A Lei Ywar " u="1"/>
        <s v="Sat Kyar" u="1"/>
        <s v="Mansi_Host Families" u="1"/>
        <s v="Thet Kel Pyin Village" u="1"/>
        <s v="Kyu Yaw Chaing" u="1"/>
        <s v="Yae Nauk Ngar Thar" u="1"/>
        <s v="Yun Nyar" u="1"/>
        <s v="San Go Taung" u="1"/>
        <s v="NgaWetSway" u="1"/>
        <s v="Ywet Nyo Taung" u="1"/>
        <s v="Hla Tha Ma" u="1"/>
        <s v="Oe Hpauk Ywar Thit" u="1"/>
        <s v="Wa  Lan" u="1"/>
        <s v="Vote Par Yone monastery" u="1"/>
        <s v="Ci He village" u="1"/>
        <s v="Gaw Yaw Ma Ni" u="1"/>
        <s v="Lisu Baptist Church" u="1"/>
        <s v="Beik Taung" u="1"/>
        <s v="U Daung (NaTaLa)" u="1"/>
        <s v="Gwa Sone Rakhine" u="1"/>
        <s v="Pyin Chay" u="1"/>
        <s v="Kan Sit" u="1"/>
        <s v="Pann Ninn" u="1"/>
        <s v="Sa Par Htar" u="1"/>
        <s v="Thin Ga Zar" u="1"/>
        <s v="Thay Kan Gwa Sone ( Host)" u="1"/>
        <s v="OhnHnanChaung" u="1"/>
        <s v="Kyauk Pyin Seik" u="1"/>
        <s v="BUT_Sa Par Htar" u="1"/>
        <s v="Thit Pok Chaung" u="1"/>
        <s v="Kywe Ta Ma" u="1"/>
        <s v="Nga/Pun Ywar Gyi" u="1"/>
        <s v="Thea Chaung Ywar Thit Kay" u="1"/>
        <s v="Shwe Yin Aye" u="1"/>
        <s v="Done Thein" u="1"/>
        <s v="Kan Kyar Myauk" u="1"/>
        <s v="Paik Thei Ward" u="1"/>
        <s v="Baw Li (Muslim)" u="1"/>
        <s v="Chut Pyin" u="1"/>
        <s v="Nawng Nan, Jaw Ma Sat KBC Church" u="1"/>
        <s v="Dway Cha" u="1"/>
        <s v="Kyauk Yant (Rakhine)" u="1"/>
        <s v="Sin Kay ( High School)" u="1"/>
        <s v="Kan Chaung Wa" u="1"/>
        <s v="Kar Di (Middle)" u="1"/>
        <s v="Thin Khaung Maw" u="1"/>
        <s v="Zin Baw Gaing (Monastery)" u="1"/>
        <s v="Zon Mar" u="1"/>
        <s v="Muse Catholic Church"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Lian Bang village" u="1"/>
        <s v="Yi Hku Man Hkan " u="1"/>
        <s v="Nam Hkawng" u="1"/>
        <s v="Kho Long" u="1"/>
        <s v="Yae Nauk Ngar Thar (Daing Nat)" u="1"/>
        <s v="Jwan Jaw KBC" u="1"/>
        <s v="That Kaing Nyar (Thet)" u="1"/>
        <s v="Htai Ra Yang" u="1"/>
        <s v="Laung Chaung (Daing Net)" u="1"/>
        <s v="Zu Kaing" u="1"/>
        <s v="Thin Pan Kaing" u="1"/>
        <s v="Ah Htet Nan Yar (Rakhine)" u="1"/>
        <s v="Nga Khu Ya" u="1"/>
        <s v="Kan Beit" u="1"/>
        <s v="Maina Relocation Site" u="1"/>
        <s v="Min Hla Kaing" u="1"/>
        <s v="Say Tha Mar Gyi village" u="1"/>
        <s v="Kyauk Taw" u="1"/>
        <s v="Baw Du Pa" u="1"/>
        <s v="Gwa Sone (Rakhine)" u="1"/>
        <s v="Play Taung Ywa Gyi North" u="1"/>
        <s v="Ba Wan Chaung Wa Su Ward / Monastery" u="1"/>
        <s v="Pi Htu_Wa Lar Kan" u="1"/>
        <s v="Man wing gyi (host school)" u="1"/>
        <s v="Ah Shey (North) Ward" u="1"/>
        <s v="Rakhine" u="1"/>
        <s v="Ah Htet See Maung" u="1"/>
        <s v="Tha Yet Oak" u="1"/>
        <s v="Taung Min Ku Lar" u="1"/>
        <s v="Kyun Pauk Ku Lar" u="1"/>
        <s v="Payar Por Thain Taw Gyi Monastery" u="1"/>
        <s v="Taung Yin School Compound" u="1"/>
        <s v="Mong Wee Shan" u="1"/>
        <s v="Yet Khone Taing" u="1"/>
        <s v="Goke Pi Htaunt (Rakhine)" u="1"/>
        <s v="Thea Chaung Pyu Su" u="1"/>
        <s v="Tha Dar" u="1"/>
        <s v="Hseng Ja" u="1"/>
        <s v="Zin Paing Nyar" u="1"/>
        <s v="MinPauk" u="1"/>
        <s v="Thin Pon Tan" u="1"/>
        <s v="Gar Pu (Lower)" u="1"/>
        <s v="Zay Teit Taung" u="1"/>
        <s v="Thone Saung" u="1"/>
        <s v="Chaung Thit Monastery" u="1"/>
        <s v="Say Tha Ma Gyi" u="1"/>
        <s v="Ah Htet Myat Hle" u="1"/>
        <s v="Quarter -7 , Lashio" u="1"/>
        <s v="Inn Hpauk" u="1"/>
        <s v="Aung Ba La" u="1"/>
        <s v="5 Ward RC Church(lon Khin)" u="1"/>
        <s v="Let Wea Det Pyin Shey_Tha Pyay Taw" u="1"/>
        <s v="Pyin Shey" u="1"/>
        <s v="Sa Bai Pin Yin" u="1"/>
        <s v="Yat Khone Taing" u="1"/>
        <s v="Mya Ta Saung Monastery" u="1"/>
        <s v="Bethela KBC church" u="1"/>
        <s v="Ohn Taw Gyi (North)" u="1"/>
        <s v="Kan Pyin Ywa Haung" u="1"/>
        <s v="Taung Chauk" u="1"/>
        <s v="N-gum La" u="1"/>
        <s v="Kun Taung" u="1"/>
        <s v="Shwe Taung Monastery" u="1"/>
        <s v="Tauk Sone" u="1"/>
        <s v="Hpai Kawng Mare" u="1"/>
        <s v="Kan Za Li" u="1"/>
        <s v="Tote Tan Ward" u="1"/>
        <s v="Khaung Htoke" u="1"/>
        <s v="Hpa Ji Shalat Boarding School ( Daw Hpum Yang)" u="1"/>
        <s v="Hpar Wut Chaung (Myauk Ywar)" u="1"/>
        <s v="Mine Yu Lay village" u="1"/>
        <s v="Chaung Pauk" u="1"/>
        <s v="Tanai AG Church" u="1"/>
        <s v="Ah Nauk Ka Maung Seik" u="1"/>
        <s v="Kin Taung (Taung + Myauk)" u="1"/>
        <s v="Taung Chaung" u="1"/>
        <s v="Zay Di Taung (Rakhine)" u="1"/>
        <s v="Dar Let Ah Lel Kyun" u="1"/>
        <s v="Pi Pin Yin Monastery" u="1"/>
        <s v="In Bar Yi" u="1"/>
        <s v="Kone Tan" u="1"/>
        <s v="Bu May" u="1"/>
        <s v="Momauk_Host Families" u="1"/>
        <s v="Ah Lel Chaung" u="1"/>
        <s v="Aung Thay Pyay (NaTaLa)" u="1"/>
        <s v="Myo Thit Ward" u="1"/>
        <s v="ThonePetChaing" u="1"/>
        <s v="Than Chay RK" u="1"/>
        <s v="Inn Din_new village" u="1"/>
        <s v="Tan Zwei" u="1"/>
        <s v="Ray Zar Chaung" u="1"/>
        <s v="Thit Taw Ywa"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Kyauk Yan Thar Si" u="1"/>
        <s v="Raza Bil" u="1"/>
        <s v="Sat Roe Kya 1" u="1"/>
        <s v="Kan Tha Ya" u="1"/>
        <s v="Taung Pauk" u="1"/>
        <s v="Pyar Lay Chaung Ywar Haung" u="1"/>
        <s v="Yay Myet" u="1"/>
        <s v="SGZ " u="1"/>
        <s v="Gye Kyaung" u="1"/>
        <s v="Mungji Pa Dabang (Baptist Church)" u="1"/>
        <s v="War Net Chun" u="1"/>
        <s v="Auk Myat Lay" u="1"/>
        <s v="InjangYang  host families" u="1"/>
        <s v="Koe Saung (1) village" u="1"/>
        <s v="Hnget Pyaw Chaung" u="1"/>
        <s v="Kan Paing Nar" u="1"/>
        <s v="Thit Poke Chaung" u="1"/>
        <s v="Say Ti Taung " u="1"/>
        <s v="Shit Thaung Monastery" u="1"/>
        <s v="Shwe Ta Mar" u="1"/>
        <s v="Pauk Pin Yin" u="1"/>
        <s v="Taung Ywa" u="1"/>
        <s v="Kyee Kan Pyin ( Surrounding)" u="1"/>
        <s v="Hpon Nyo Leik" u="1"/>
        <s v="Dar Let (North)" u="1"/>
        <s v="Nan Yah Gone Ahtet" u="1"/>
        <s v="Ta Gun Taing Monastery (Shwe Kyi Na)" u="1"/>
        <s v="Pa Lat Kay" u="1"/>
        <s v="Zay Di Pyin" u="1"/>
        <s v="Athay Kar La" u="1"/>
        <s v="Ah Shae Myauk Quarter" u="1"/>
        <s v="Bum Run" u="1"/>
        <s v="Lawk Awng Mare D. (Sinbo Area)" u="1"/>
        <s v="Win Zar" u="1"/>
        <s v="Baw Li " u="1"/>
        <s v="Baw Ya Par" u="1"/>
        <s v="Saw Zam" u="1"/>
        <s v="Gwa Sone (Muslim)" u="1"/>
        <s v="NgweTwinDway" u="1"/>
        <s v="Wa Khote Chaung" u="1"/>
        <s v="Kyar Nyo Pyin (Rakhine)_x000a_+ Pyar Yae" u="1"/>
        <s v="Alay Mushee" u="1"/>
        <s v="Sin Khone Taing (Rakhine)" u="1"/>
        <s v="Du Than Dar" u="1"/>
        <s v="Sin Aing" u="1"/>
        <s v="Sat Roe Kya 2" u="1"/>
        <s v="Pyin Hpyu Maw" u="1"/>
        <s v="Pyaing Taung (Rakhine)" u="1"/>
        <s v="U Yin Thar" u="1"/>
        <s v="Ah Kyaw (Arisha Para)" u="1"/>
        <s v="Myin Kan Seik" u="1"/>
        <s v="Kyar Nyo Pyin" u="1"/>
        <s v="Lian He village" u="1"/>
        <s v="Nga Kyi Tauk Daing Nat" u="1"/>
        <s v="Thet Kaing Ngyar" u="1"/>
        <s v="Sin Thay Pyin (Zay Di Pyin)" u="1"/>
        <s v="Shwe Zar Kat Pa Kaung" u="1"/>
        <s v="Sumprabum" u="1"/>
        <s v="Sin Thi Pein Hne Taw (Sin Tae)" u="1"/>
        <s v="Wa Lar Kann" u="1"/>
        <s v="U Gar Hton" u="1"/>
        <s v="Ah Nauk Ywe" u="1"/>
        <s v="Tanai AG Church " u="1"/>
        <s v="Thu Yiya Yaung Chi Monastery" u="1"/>
        <s v="Namtu RC" u="1"/>
        <s v="Taung Pyo ( 3Quarter)" u="1"/>
        <s v="Kyaung Swae Phyu" u="1"/>
        <s v="Say Taung" u="1"/>
        <s v="Ywa Haung_M" u="1"/>
        <s v="Muslim (Taung Ywa)" u="1"/>
        <s v="Din Gar" u="1"/>
        <s v="Baw Di Kone" u="1"/>
        <s v="Phayapaw Phayathein" u="1"/>
        <s v="Kan Kyar Taung " u="1"/>
        <s v="Sat Yon Maw (Rakhine)" u="1"/>
        <s v="Ngar Saung Bet" u="1"/>
        <s v="Nat Chaung (Garapyin)" u="1"/>
        <s v="Mingalar Nyunt (NaTaLa)" u="1"/>
        <s v="Shwe Zin Yaw" u="1"/>
        <s v="Say Tha Mar Nge" u="1"/>
        <s v="Nyaung Chaung_ann" u="1"/>
        <s v="Aung Si Kone" u="1"/>
        <s v="Ah Myet Taung" u="1"/>
        <s v="Sein Hnyin Pyar_Tha Pyay Taw" u="1"/>
        <s v="Ohn Taw Chay" u="1"/>
        <s v="Bang Yang Hka (Mung Ji Pa)" u="1"/>
        <s v="Ywa Haung_R" u="1"/>
        <s v="Ywa Ma" u="1"/>
        <s v="Done Thar" u="1"/>
        <s v="Let Thar Ywa" u="1"/>
        <s v="Ah Pyin Done Chaung" u="1"/>
        <s v="War Taung" u="1"/>
        <s v="Gyin Chaung" u="1"/>
        <s v="Ma Hawng RC " u="1"/>
        <s v="Paung Zar" u="1"/>
        <s v="Wet Mee To" u="1"/>
        <s v="Dar Paing Ywar Haung" u="1"/>
        <s v="Say Tha Mar Gyi" u="1"/>
        <s v="Girl Boarding house, A Len Bum" u="1"/>
        <s v="Ma Gyi Koung" u="1"/>
        <s v="Yan Aung Pyin" u="1"/>
        <s v="Tat U Chaung (West)" u="1"/>
        <s v="Ah Htet Thin Pone Tan" u="1"/>
        <s v="Pyar Pin Yin" u="1"/>
        <s v="Kar Di (Kywe Cho Maw)" u="1"/>
        <s v="Zedi Taung (Muslim)" u="1"/>
        <s v="Tin Htein Kan Monastery" u="1"/>
        <s v="Swi Chaung" u="1"/>
        <s v="Thin Pone Tan" u="1"/>
        <s v="site A" u="1"/>
        <s v="Tan Khoe" u="1"/>
        <s v="Sha Kay Ywa" u="1"/>
        <s v="Oke Hpo (Oe Hpauk)" u="1"/>
        <s v=" Zay Ywar " u="1"/>
        <s v="Thar Yar Kone" u="1"/>
        <s v="Laung Sat" u="1"/>
        <s v="Naunghwe-Naung San Primary School" u="1"/>
        <s v="Maw Ti Ngar" u="1"/>
        <s v="Basare" u="1"/>
        <s v="Kyauk Pan Du" u="1"/>
        <s v="Ah Nauk Ye Ku Lar" u="1"/>
        <s v="Majee Ywa" u="1"/>
        <s v="Ywa Thit" u="1"/>
        <s v="Si Tar (Pa Zun Chaung)" u="1"/>
        <s v="Tan Seik" u="1"/>
        <s v="Pan Myaung (Aung Mingalar Monastery)" u="1"/>
        <s v="Tang Tan" u="1"/>
        <s v="Be Kho" u="1"/>
        <s v="Done Pyin (South)" u="1"/>
        <s v="Kyauk Tan Gyi" u="1"/>
        <s v="Sin Khone Taing (Ku Lar)" u="1"/>
        <s v="Kywe Lan Chaung"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Ah Pauk Wa" u="1"/>
        <s v="Kyeik Chaung" u="1"/>
        <s v="Chin Kone" u="1"/>
        <s v="Maung Hpyu (Da Pyu Chaung)" u="1"/>
        <s v="Kyet Mauk Taung (Taung Ywar)" u="1"/>
        <s v="Say Oe Kya ( Host+ Displaced)" u="1"/>
        <s v="Myat Yeik Kyun Monastery" u="1"/>
        <s v="Zaw Ma Tat ( Myo/ Relocation)" u="1"/>
        <s v="Gaung Nyar" u="1"/>
        <s v="Hpa Yar Pyin Thein Tan" u="1"/>
        <s v="Navy Seik" u="1"/>
        <s v="Myet Yeik Kyun Monastery" u="1"/>
        <s v="Ywet Nyo Taung ( Rakhine)" u="1"/>
        <s v="Yay Chan Pyin" u="1"/>
        <s v="Wet Ma Kya" u="1"/>
        <s v="Myo Oo St. Dominic RC Church" u="1"/>
        <s v="Min Kha Maung (NaTaLa)" u="1"/>
        <s v="Ywa Thar Yar" u="1"/>
        <s v="Ka Nyin Taw" u="1"/>
        <s v="Sa Ma Nya Village" u="1"/>
        <s v="Sin Baw Kaing (School)" u="1"/>
        <s v="Naw Naw(Ku Lar)" u="1"/>
        <s v="Ahla Madi" u="1"/>
        <s v="Kyauk Reik Kay Monastery" u="1"/>
        <s v="San Kar Resettlement" u="1"/>
        <s v="Thit Tone Na Gwa Sone (Daung Ywa)" u="1"/>
        <s v="Ngwe Taung" u="1"/>
        <s v="Tha Yet" u="1"/>
        <s v="Ban Bwee" u="1"/>
        <s v="Chaik Taung" u="1"/>
        <s v="Ywar Thit Kay" u="1"/>
        <s v="Hpet Leik" u="1"/>
        <s v="Lwe Mauk Yang Boarding School" u="1"/>
        <s v="Done Pyin Village" u="1"/>
        <s v="Oke Kan" u="1"/>
        <s v="Ah Lel Ywa" u="1"/>
        <s v="Mra_Zay Di Taung" u="1"/>
        <s v="Ar Kya" u="1"/>
        <s v="La Baw Zar" u="1"/>
        <s v="Kyein Chaung" u="1"/>
        <s v="Kan Thar Htwat Wa" u="1"/>
        <s v="Baw Li (Rakhine)" u="1"/>
        <s v="Kyet Yoe Pyin (Ywa Ma)" u="1"/>
        <s v="War Taung Camp" u="1"/>
        <s v="Hpar Wut Chaung (Ywar Thit)" u="1"/>
        <s v="Tan Chaung" u="1"/>
        <s v="Nant Hlaing Church" u="1"/>
        <s v="Ohn Ye Paw" u="1"/>
        <s v="Gone Nar" u="1"/>
        <s v="Mat Chi Nu " u="1"/>
        <s v="Fatar" u="1"/>
        <s v="San Pai Pin Yin" u="1"/>
        <s v="Ngan Chaung" u="1"/>
        <s v="Phat Lake" u="1"/>
        <s v="Myaunk Ywa_R" u="1"/>
        <s v="Than Pyin" u="1"/>
        <s v="Thae Chaung" u="1"/>
        <s v="Rakhine Min Pyin" u="1"/>
        <s v="Pyaung Seik" u="1"/>
        <s v="San Htoe Tan" u="1"/>
        <s v="Thar Yar Kone (Rakhine)" u="1"/>
        <s v="Kyauk Yant" u="1"/>
        <s v="Auk Thar Kan" u="1"/>
        <s v="Bu Chaung" u="1"/>
        <s v="Thaung Paing Nyar" u="1"/>
        <s v="Thea Chaung Let Tha Mar Kone" u="1"/>
        <s v="Dar Pai" u="1"/>
        <s v="Pyin Hlyar Shey" u="1"/>
        <s v="Koun Tan" u="1"/>
        <s v="Yi Ku Man Kan school" u="1"/>
        <s v="Tha Mee Hla" u="1"/>
        <s v="Gan Gaw Myaing ( Na Ta La )" u="1"/>
        <s v="Zaw Ma Tat" u="1"/>
        <s v="Aung Thar Yar" u="1"/>
        <s v="Min Thar Seik" u="1"/>
        <s v="Sar Kon Boke (Hindu Para)" u="1"/>
        <s v="Wet Kyein (Myo)" u="1"/>
        <s v="Tha Ray Kon Baung" u="1"/>
        <s v="Namatee AG" u="1"/>
        <s v="Ward-6 (Lay Myaing)" u="1"/>
        <s v="Ka Doe Seik" u="1"/>
        <s v="Kyan Taw" u="1"/>
        <s v="Nyaung Bin Hla Village" u="1"/>
        <s v="Pann Phaw Pyin" u="1"/>
        <s v="Aung Zay Yar" u="1"/>
        <s v="Man Pya San Pya Resettlement" u="1"/>
        <s v="Ywar Thar Yar" u="1"/>
        <s v="Kutkai downtown (RC Church)" u="1"/>
        <s v="Thea Chaung Ku Lar" u="1"/>
        <s v="Min Ga Lar Gyi" u="1"/>
        <s v="Um Uma" u="1"/>
        <s v="Taung Pyo ( 1 Quarter)" u="1"/>
        <s v="Taung Pyo ( 2 Quarter)" u="1"/>
        <s v="Taung Pyo ( 4 Quarter)" u="1"/>
        <s v="Taung Maw" u="1"/>
        <s v="Sin Baw Kaing (Monastery)" u="1"/>
        <s v="Shat Shar Taung" u="1"/>
        <s v="Kha Tin Pike Chay" u="1"/>
        <s v="Tang Hpre RC Church" u="1"/>
        <s v="Kyun Taw" u="1"/>
        <s v="Taung Paw" u="1"/>
        <s v="Kyauk Sar Dine" u="1"/>
        <s v="Shwe Baho+Sein P M" u="1"/>
        <s v="Pa Dauk Myaing (Pa La Na) II" u="1"/>
        <s v="Oak Pho" u="1"/>
        <s v="Pet Khwet Seik" u="1"/>
        <s v="Aung Zay Kone" u="1"/>
        <s v="Boys Boarding house, A Len Bum" u="1"/>
        <s v="Seik Ta Ra" u="1"/>
        <s v="Yoe Ngu" u="1"/>
        <s v="Aung Sit Pyin ( Done Pike)" u="1"/>
        <s v=" A Htet Myat Lay" u="1"/>
        <s v="Aung Mingalar (NaTaLa)" u="1"/>
        <s v="Aung Thar Yar (NaTaLa)" u="1"/>
        <s v="Thit Tone Nar Lay Myo" u="1"/>
        <s v="Khaung Doke Khar" u="1"/>
        <s v="Myauk Ywar" u="1"/>
        <s v="Kyauk Sar Taing" u="1"/>
        <s v="Tha Pyay Seik" u="1"/>
        <s v="New Man Jiu village" u="1"/>
        <s v="Shan Kone" u="1"/>
        <s v="Aung Zay Ya (Su See)" u="1"/>
        <s v="Ta Man Thar (Thar Zay)_(Myo)" u="1"/>
        <s v="Ka Nyin" u="1"/>
        <s v="Yoe Kyi Monastery" u="1"/>
        <s v="Let Saung Kauk" u="1"/>
        <s v="Than Du" u="1"/>
        <s v="Yoe Ta Yote" u="1"/>
      </sharedItems>
    </cacheField>
    <cacheField name="Total HH" numFmtId="164">
      <sharedItems containsString="0" containsBlank="1" containsNumber="1" minValue="3" maxValue="1597"/>
    </cacheField>
    <cacheField name="Total PoP " numFmtId="164">
      <sharedItems containsString="0" containsBlank="1" containsNumber="1" containsInteger="1" minValue="15" maxValue="8486"/>
    </cacheField>
    <cacheField name="Project start date" numFmtId="168">
      <sharedItems containsDate="1" containsBlank="1" containsMixedTypes="1" minDate="2020-01-03T00:00:00" maxDate="2022-06-02T00:00:00"/>
    </cacheField>
    <cacheField name="Project end date" numFmtId="165">
      <sharedItems containsDate="1" containsBlank="1" containsMixedTypes="1" minDate="2020-02-28T00:00:00" maxDate="2023-09-01T00:00:00"/>
    </cacheField>
    <cacheField name="#_students at TLS_CFS" numFmtId="164">
      <sharedItems containsString="0" containsBlank="1" containsNumber="1" containsInteger="1" minValue="6" maxValue="543"/>
    </cacheField>
    <cacheField name="#_ paid camp based WASH skilled labor" numFmtId="164">
      <sharedItems containsString="0" containsBlank="1" containsNumber="1" containsInteger="1" minValue="0" maxValue="9"/>
    </cacheField>
    <cacheField name="#_paid camp based unskilled WASH unskilled labor" numFmtId="164">
      <sharedItems containsString="0" containsBlank="1" containsNumber="1" containsInteger="1" minValue="1" maxValue="16"/>
    </cacheField>
    <cacheField name="# Work days (approx) lost in this site due to access restrictions" numFmtId="164">
      <sharedItems containsNonDate="0" containsString="0" containsBlank="1"/>
    </cacheField>
    <cacheField name="WASH Focal in camp management structure?" numFmtId="1">
      <sharedItems containsBlank="1"/>
    </cacheField>
    <cacheField name="#_men on camp WASH team" numFmtId="164">
      <sharedItems containsString="0" containsBlank="1" containsNumber="1" containsInteger="1" minValue="0" maxValue="30"/>
    </cacheField>
    <cacheField name="#_women on camp WASH team" numFmtId="164">
      <sharedItems containsString="0" containsBlank="1" containsNumber="1" containsInteger="1" minValue="0" maxValue="55"/>
    </cacheField>
    <cacheField name="#_Constructed/existing protected hand dug well" numFmtId="164">
      <sharedItems containsString="0" containsBlank="1" containsNumber="1" containsInteger="1" minValue="0" maxValue="27"/>
    </cacheField>
    <cacheField name="#_Non-functional protected hand dug well" numFmtId="164">
      <sharedItems containsString="0" containsBlank="1" containsNumber="1" containsInteger="1" minValue="0" maxValue="15"/>
    </cacheField>
    <cacheField name="#_Operation &amp; Maintenance of hand dug well" numFmtId="164">
      <sharedItems containsString="0" containsBlank="1" containsNumber="1" containsInteger="1" minValue="0" maxValue="23"/>
    </cacheField>
    <cacheField name="#_Constructed/Existing tube wells/boreholes/handpumps_WASH_agency" numFmtId="164">
      <sharedItems containsString="0" containsBlank="1" containsNumber="1" containsInteger="1" minValue="0" maxValue="24"/>
    </cacheField>
    <cacheField name="#_Non-Cluster partner water tube-wells/boreholes/handpumps" numFmtId="164">
      <sharedItems containsString="0" containsBlank="1" containsNumber="1" containsInteger="1" minValue="0" maxValue="3"/>
    </cacheField>
    <cacheField name="#_Non-functional tube wells/boreholes/handpumps" numFmtId="164">
      <sharedItems containsString="0" containsBlank="1" containsNumber="1" containsInteger="1" minValue="0" maxValue="5"/>
    </cacheField>
    <cacheField name="#_Operation &amp; Maintenance of tube wells/boreholes/handpumps" numFmtId="164">
      <sharedItems containsString="0" containsBlank="1" containsNumber="1" containsInteger="1" minValue="1" maxValue="21"/>
    </cacheField>
    <cacheField name="#_Constructed/Existingwater storage tank with gravity fed reticulation system" numFmtId="164">
      <sharedItems containsString="0" containsBlank="1" containsNumber="1" containsInteger="1" minValue="0" maxValue="48"/>
    </cacheField>
    <cacheField name="#_Non-functional storage tank gravity fed reticulation system" numFmtId="164">
      <sharedItems containsString="0" containsBlank="1" containsNumber="1" containsInteger="1" minValue="0" maxValue="2"/>
    </cacheField>
    <cacheField name="#_Operation &amp; maintenance of storage tank and reticulation system" numFmtId="164">
      <sharedItems containsString="0" containsBlank="1" containsNumber="1" minValue="1" maxValue="14"/>
    </cacheField>
    <cacheField name="#_Water_Liters_supplied_by_Water boating or water trucking" numFmtId="164">
      <sharedItems containsString="0" containsBlank="1" containsNumber="1" containsInteger="1" minValue="0" maxValue="0"/>
    </cacheField>
    <cacheField name="#_Constructed/Existing protected/fenced ponds" numFmtId="164">
      <sharedItems containsString="0" containsBlank="1" containsNumber="1" containsInteger="1" minValue="0" maxValue="16"/>
    </cacheField>
    <cacheField name="#_Water_Liters_from_Constructed/Existing water distribution system from river or natural spring" numFmtId="164">
      <sharedItems containsString="0" containsBlank="1" containsNumber="1" containsInteger="1" minValue="0" maxValue="480270"/>
    </cacheField>
    <cacheField name="#_committes/technicians trained and maintaining the water points" numFmtId="164">
      <sharedItems containsString="0" containsBlank="1" containsNumber="1" containsInteger="1" minValue="0" maxValue="12"/>
    </cacheField>
    <cacheField name="#_Water points fully handed over" numFmtId="164">
      <sharedItems containsBlank="1" containsMixedTypes="1" containsNumber="1" containsInteger="1" minValue="0" maxValue="26"/>
    </cacheField>
    <cacheField name="#_Water sources tested for fecal coliform " numFmtId="164">
      <sharedItems containsString="0" containsBlank="1" containsNumber="1" containsInteger="1" minValue="1" maxValue="15"/>
    </cacheField>
    <cacheField name="#_Water sources passed" numFmtId="164">
      <sharedItems containsString="0" containsBlank="1" containsNumber="1" containsInteger="1" minValue="0" maxValue="15"/>
    </cacheField>
    <cacheField name="#_Household water samples tested for fecal coliform" numFmtId="164">
      <sharedItems containsString="0" containsBlank="1" containsNumber="1" containsInteger="1" minValue="1" maxValue="38"/>
    </cacheField>
    <cacheField name="#_Household passed" numFmtId="164">
      <sharedItems containsString="0" containsBlank="1" containsNumber="1" containsInteger="1" minValue="0" maxValue="36"/>
    </cacheField>
    <cacheField name="#_Constructed/Existing hand washing stations at TLS/CFS/THF" numFmtId="164">
      <sharedItems containsString="0" containsBlank="1" containsNumber="1" containsInteger="1" minValue="0" maxValue="21"/>
    </cacheField>
    <cacheField name="#_of water points in TLS/CFS" numFmtId="164">
      <sharedItems containsString="0" containsBlank="1" containsNumber="1" containsInteger="1" minValue="0" maxValue="12"/>
    </cacheField>
    <cacheField name="#_of water points in THF" numFmtId="164">
      <sharedItems containsString="0" containsBlank="1" containsNumber="1" containsInteger="1" minValue="2" maxValue="2"/>
    </cacheField>
    <cacheField name="WATER Comments" numFmtId="0">
      <sharedItems containsBlank="1"/>
    </cacheField>
    <cacheField name="#_Constructed latrines_by_WASHAgencies" numFmtId="164">
      <sharedItems containsString="0" containsBlank="1" containsNumber="1" containsInteger="1" minValue="0" maxValue="715"/>
    </cacheField>
    <cacheField name="#_Non Cluster partner latrines" numFmtId="164">
      <sharedItems containsString="0" containsBlank="1" containsNumber="1" containsInteger="1" minValue="0" maxValue="627"/>
    </cacheField>
    <cacheField name="Name of Non-Cluster partner who constructed latrines" numFmtId="0">
      <sharedItems containsBlank="1" containsMixedTypes="1" containsNumber="1" containsInteger="1" minValue="4" maxValue="4"/>
    </cacheField>
    <cacheField name="#_Non-functional latrines" numFmtId="164">
      <sharedItems containsString="0" containsBlank="1" containsNumber="1" containsInteger="1" minValue="0" maxValue="78"/>
    </cacheField>
    <cacheField name="#_Operation &amp; maintenance of latrines" numFmtId="164">
      <sharedItems containsString="0" containsBlank="1" containsNumber="1" containsInteger="1" minValue="0" maxValue="39"/>
    </cacheField>
    <cacheField name="#_Latrines desludged during the past quarter" numFmtId="164">
      <sharedItems containsString="0" containsBlank="1" containsNumber="1" containsInteger="1" minValue="1" maxValue="162"/>
    </cacheField>
    <cacheField name="#_Cubic meters of desludging in past quarter" numFmtId="164">
      <sharedItems containsString="0" containsBlank="1" containsNumber="1" minValue="2" maxValue="1000"/>
    </cacheField>
    <cacheField name="#_Latrines fully handed over" numFmtId="164">
      <sharedItems containsString="0" containsBlank="1" containsNumber="1" containsInteger="1" minValue="0" maxValue="413"/>
    </cacheField>
    <cacheField name="Is there provision of solid waste management equipment?" numFmtId="0">
      <sharedItems containsBlank="1" count="4">
        <s v="NA"/>
        <s v="Yes"/>
        <s v="No"/>
        <m u="1"/>
      </sharedItems>
    </cacheField>
    <cacheField name="Is there constructed surface water drainage system?_x000a_" numFmtId="0">
      <sharedItems containsBlank="1" count="6">
        <s v="NA"/>
        <s v="Functional"/>
        <s v="No"/>
        <s v="Not_Functional"/>
        <m u="1"/>
        <s v="Yes" u="1"/>
      </sharedItems>
    </cacheField>
    <cacheField name="#_Constructed/Existing child friendly latrines" numFmtId="164">
      <sharedItems containsString="0" containsBlank="1" containsNumber="1" containsInteger="1" minValue="0" maxValue="13"/>
    </cacheField>
    <cacheField name="#_Constructed/Existing disabled &amp; elderly friendly latrines " numFmtId="164">
      <sharedItems containsString="0" containsBlank="1" containsNumber="1" containsInteger="1" minValue="0" maxValue="274"/>
    </cacheField>
    <cacheField name="# of functional latrines in TLS/CFS supported by WASH partners during the reporting period" numFmtId="164">
      <sharedItems containsString="0" containsBlank="1" containsNumber="1" containsInteger="1" minValue="0" maxValue="62"/>
    </cacheField>
    <cacheField name="# of functional latrines in THF supported by WASH partners during the reporting period2" numFmtId="164">
      <sharedItems containsString="0" containsBlank="1" containsNumber="1" containsInteger="1" minValue="0" maxValue="31"/>
    </cacheField>
    <cacheField name="#_of_persons_with_disabilities_with_adapted_sanitation_option" numFmtId="164">
      <sharedItems containsString="0" containsBlank="1" containsNumber="1" containsInteger="1" minValue="1" maxValue="76"/>
    </cacheField>
    <cacheField name="Sanitation Comments" numFmtId="0">
      <sharedItems containsBlank="1"/>
    </cacheField>
    <cacheField name="#_Constructed/Existing hand washing stations" numFmtId="164">
      <sharedItems containsString="0" containsBlank="1" containsNumber="1" containsInteger="1" minValue="0" maxValue="315"/>
    </cacheField>
    <cacheField name="#_Non-Functional_hand_washing_stations" numFmtId="164">
      <sharedItems containsString="0" containsBlank="1" containsNumber="1" containsInteger="1" minValue="1" maxValue="315"/>
    </cacheField>
    <cacheField name="#_Constructed/Existing_individual_bathing_spaces " numFmtId="164">
      <sharedItems containsString="0" containsBlank="1" containsNumber="1" containsInteger="1" minValue="0" maxValue="266"/>
    </cacheField>
    <cacheField name="#_Constructed/Existing communal bathing spaces " numFmtId="164">
      <sharedItems containsString="0" containsBlank="1" containsNumber="1" containsInteger="1" minValue="1" maxValue="49"/>
    </cacheField>
    <cacheField name="#_Non-Functional communal_bathing spaces " numFmtId="164">
      <sharedItems containsString="0" containsBlank="1" containsNumber="1" containsInteger="1" minValue="0" maxValue="4"/>
    </cacheField>
    <cacheField name="#_male hygiene promoters" numFmtId="164">
      <sharedItems containsString="0" containsBlank="1" containsNumber="1" containsInteger="1" minValue="0" maxValue="12"/>
    </cacheField>
    <cacheField name="#_female hygiene promoters" numFmtId="164">
      <sharedItems containsString="0" containsBlank="1" containsNumber="1" containsInteger="1" minValue="1" maxValue="25"/>
    </cacheField>
    <cacheField name="#_households that received standard amount of soap for this quarter" numFmtId="164">
      <sharedItems containsString="0" containsBlank="1" containsNumber="1" containsInteger="1" minValue="4" maxValue="1597"/>
    </cacheField>
    <cacheField name="# of affected women and girls receiving a sufficient quantity of sanitary pads from direct distribution or from MHM room facilities" numFmtId="164">
      <sharedItems containsString="0" containsBlank="1" containsNumber="1" minValue="4" maxValue="2887"/>
    </cacheField>
    <cacheField name="Is sufficient soap available for TLS? (Yes/No)" numFmtId="0">
      <sharedItems containsBlank="1"/>
    </cacheField>
    <cacheField name="#_Hygiene Promotion activities (sessions) in TLS?" numFmtId="1">
      <sharedItems containsString="0" containsBlank="1" containsNumber="1" containsInteger="1" minValue="1" maxValue="100"/>
    </cacheField>
    <cacheField name="% of students reached by HP activities" numFmtId="9">
      <sharedItems containsString="0" containsBlank="1" containsNumber="1" minValue="0.1" maxValue="1"/>
    </cacheField>
    <cacheField name="Hygiene_x000a_Comments " numFmtId="0">
      <sharedItems containsBlank="1"/>
    </cacheField>
    <cacheField name="%_of_affected_people_surveyed_who_report_feeling_satistfied_with_the_latrine_design_and_sanitation_service" numFmtId="9">
      <sharedItems containsString="0" containsBlank="1" containsNumber="1" minValue="0.1" maxValue="1"/>
    </cacheField>
    <cacheField name="%_of_affected_people_surveyed_who_report_feeling_satistfied_with_the_water_point_design_and_water_service" numFmtId="9">
      <sharedItems containsString="0" containsBlank="1" containsNumber="1" minValue="0.04" maxValue="1"/>
    </cacheField>
    <cacheField name="#_of_affected_people_surveyed_who_report_feeling_informed_about_the_different_WASH_services_available_to_them" numFmtId="0">
      <sharedItems containsString="0" containsBlank="1" containsNumber="1" minValue="0.8" maxValue="1407.1200000000001"/>
    </cacheField>
    <cacheField name="%_of_complaints_received_that_result_in_timely_corrective_action_and_feedback_to_the_community" numFmtId="9">
      <sharedItems containsString="0" containsBlank="1" containsNumber="1" minValue="0" maxValue="1"/>
    </cacheField>
    <cacheField name="# of sanitation facilities (latrines) built/repaired/rehabilitated following risk-sensitive programming and consultation with communities and/or GBV risk-sensitive programming" numFmtId="164">
      <sharedItems containsString="0" containsBlank="1" containsNumber="1" containsInteger="1" minValue="2" maxValue="48"/>
    </cacheField>
    <cacheField name="# of sanitation facilities (HH sanitation devices) distributed following risk-sensitive programming and consultation with communities and/or GBV risk-sensitive programming" numFmtId="164">
      <sharedItems containsString="0" containsBlank="1" containsNumber="1" containsInteger="1" minValue="2" maxValue="201"/>
    </cacheField>
    <cacheField name="# of sanitation facilities (bathing spaces) built following risk-sensitive programming and consultation with communities" numFmtId="164">
      <sharedItems containsString="0" containsBlank="1" containsNumber="1" containsInteger="1" minValue="1" maxValue="15"/>
    </cacheField>
    <cacheField name="amount_of_MMK/Voucher_or_Token_distributed_per_HH/Family" numFmtId="164">
      <sharedItems containsString="0" containsBlank="1" containsNumber="1" containsInteger="1" minValue="0" maxValue="0"/>
    </cacheField>
    <cacheField name="#_of_Family/HH_Reached" numFmtId="164">
      <sharedItems containsString="0" containsBlank="1" containsNumber="1" containsInteger="1" minValue="0" maxValue="0"/>
    </cacheField>
    <cacheField name="Date_of_Cash_distribution" numFmtId="168">
      <sharedItems containsNonDate="0" containsString="0" containsBlank="1"/>
    </cacheField>
    <cacheField name="Cash_distributed_for_which_items" numFmtId="164">
      <sharedItems containsNonDate="0" containsString="0" containsBlank="1"/>
    </cacheField>
    <cacheField name="% of water sources passed" numFmtId="9">
      <sharedItems containsMixedTypes="1" containsNumber="1" minValue="0" maxValue="1"/>
    </cacheField>
    <cacheField name="% Household passed" numFmtId="9">
      <sharedItems containsMixedTypes="1" containsNumber="1" minValue="0" maxValue="1"/>
    </cacheField>
    <cacheField name="Warter quality test done" numFmtId="1">
      <sharedItems/>
    </cacheField>
    <cacheField name="Functional protected hand dug well" numFmtId="1">
      <sharedItems containsSemiMixedTypes="0" containsString="0" containsNumber="1" containsInteger="1" minValue="0" maxValue="27"/>
    </cacheField>
    <cacheField name="Functional tube wells/boreholes/handpumps (including non-cluster partners)" numFmtId="1">
      <sharedItems containsSemiMixedTypes="0" containsString="0" containsNumber="1" containsInteger="1" minValue="0" maxValue="23"/>
    </cacheField>
    <cacheField name="Functional storage tank with gravity fed reticulation system" numFmtId="1">
      <sharedItems containsSemiMixedTypes="0" containsString="0" containsNumber="1" containsInteger="1" minValue="-1" maxValue="48"/>
    </cacheField>
    <cacheField name="Liters_Water boating or water trucking" numFmtId="1">
      <sharedItems containsSemiMixedTypes="0" containsString="0" containsNumber="1" containsInteger="1" minValue="0" maxValue="0"/>
    </cacheField>
    <cacheField name="Liters_Constructed water distribution system from river" numFmtId="1">
      <sharedItems containsSemiMixedTypes="0" containsString="0" containsNumber="1" minValue="0" maxValue="355.75555555555553"/>
    </cacheField>
    <cacheField name="# People access to functional water points or water provision supported by WASH partners in TLS/CFS_HRP5" numFmtId="1">
      <sharedItems containsSemiMixedTypes="0" containsString="0" containsNumber="1" containsInteger="1" minValue="0" maxValue="3000"/>
    </cacheField>
    <cacheField name="# People access to functional water points or water provision supported by WASH partners in THF_HRP6" numFmtId="1">
      <sharedItems containsSemiMixedTypes="0" containsString="0" containsNumber="1" containsInteger="1" minValue="0" maxValue="295"/>
    </cacheField>
    <cacheField name="Access to safe drinking water for Camp" numFmtId="9">
      <sharedItems containsMixedTypes="1" containsNumber="1" minValue="0" maxValue="1"/>
    </cacheField>
    <cacheField name="Access to safe drinking water for Village" numFmtId="9">
      <sharedItems containsMixedTypes="1" containsNumber="1" minValue="0" maxValue="1"/>
    </cacheField>
    <cacheField name="%Equitable and continuous access to sufficient quantity of safe drinking water" numFmtId="9">
      <sharedItems containsMixedTypes="1" containsNumber="1" minValue="0" maxValue="1"/>
    </cacheField>
    <cacheField name="# people with equitable and continuous access to sufficient quantity of safe drinking water" numFmtId="1">
      <sharedItems containsString="0" containsBlank="1" containsNumber="1" minValue="0" maxValue="3860"/>
    </cacheField>
    <cacheField name="% Access to unimproved water points" numFmtId="9">
      <sharedItems containsString="0" containsBlank="1" containsNumber="1" minValue="0" maxValue="1"/>
    </cacheField>
    <cacheField name="#People access to unimproved water sources" numFmtId="1">
      <sharedItems containsSemiMixedTypes="0" containsString="0" containsNumber="1" minValue="0" maxValue="1500"/>
    </cacheField>
    <cacheField name="% Equitable and continuous access to sufficient quantity of domestic water" numFmtId="9">
      <sharedItems containsString="0" containsBlank="1" containsNumber="1" minValue="0" maxValue="1"/>
    </cacheField>
    <cacheField name="HRP1" numFmtId="1">
      <sharedItems containsString="0" containsBlank="1" containsNumber="1" minValue="0" maxValue="3860"/>
    </cacheField>
    <cacheField name="#Water points coverage" numFmtId="1">
      <sharedItems containsSemiMixedTypes="0" containsString="0" containsNumber="1" minValue="0" maxValue="7.72"/>
    </cacheField>
    <cacheField name="%equitable and continuous access to sufficient quantity of safe drinking and domestic water's GAP" numFmtId="9">
      <sharedItems containsString="0" containsBlank="1" containsNumber="1" minValue="0" maxValue="1"/>
    </cacheField>
    <cacheField name="# people needs equitable and continuous access to sufficient quantity of safe drinking and domestic water GAP" numFmtId="1">
      <sharedItems containsString="0" containsBlank="1" containsNumber="1" minValue="0" maxValue="8086"/>
    </cacheField>
    <cacheField name="#Potential required new water points" numFmtId="1">
      <sharedItems containsSemiMixedTypes="0" containsString="0" containsNumber="1" minValue="0" maxValue="16.2"/>
    </cacheField>
    <cacheField name="Total required water points" numFmtId="1">
      <sharedItems containsSemiMixedTypes="0" containsString="0" containsNumber="1" containsInteger="1" minValue="1" maxValue="17"/>
    </cacheField>
    <cacheField name="# of Functioning latrine" numFmtId="1">
      <sharedItems containsSemiMixedTypes="0" containsString="0" containsNumber="1" containsInteger="1" minValue="-18" maxValue="715"/>
    </cacheField>
    <cacheField name="% people access to functioning Latrine" numFmtId="9">
      <sharedItems containsString="0" containsBlank="1" containsNumber="1" minValue="-1.2203389830508475" maxValue="1"/>
    </cacheField>
    <cacheField name="HRP2" numFmtId="1">
      <sharedItems containsSemiMixedTypes="0" containsString="0" containsNumber="1" containsInteger="1" minValue="-360" maxValue="8486"/>
    </cacheField>
    <cacheField name="# people access to continuous sanitation services desluding" numFmtId="1">
      <sharedItems containsSemiMixedTypes="0" containsString="0" containsNumber="1" containsInteger="1" minValue="0" maxValue="2820"/>
    </cacheField>
    <cacheField name="# students access to functioning school latrines_HRP5" numFmtId="1">
      <sharedItems containsSemiMixedTypes="0" containsString="0" containsNumber="1" containsInteger="1" minValue="0" maxValue="275"/>
    </cacheField>
    <cacheField name="# People access to functioning latrines in THF_HRP6" numFmtId="1">
      <sharedItems containsSemiMixedTypes="0" containsString="0" containsNumber="1" containsInteger="1" minValue="0" maxValue="1550"/>
    </cacheField>
    <cacheField name="Total required Latrines" numFmtId="1">
      <sharedItems containsSemiMixedTypes="0" containsString="0" containsNumber="1" containsInteger="1" minValue="0" maxValue="464"/>
    </cacheField>
    <cacheField name="# potential required new latrines" numFmtId="1">
      <sharedItems containsSemiMixedTypes="0" containsString="0" containsNumber="1" containsInteger="1" minValue="0" maxValue="464"/>
    </cacheField>
    <cacheField name="% of Latrine Gap" numFmtId="9">
      <sharedItems containsString="0" containsBlank="1" containsNumber="1" minValue="0" maxValue="2.2203389830508478"/>
    </cacheField>
    <cacheField name="% Latrines requiring  repairs" numFmtId="9">
      <sharedItems containsString="0" containsBlank="1" containsNumber="1" minValue="0" maxValue="3.25"/>
    </cacheField>
    <cacheField name="# people reached by regular dedicated hygiene promotion_5" numFmtId="1">
      <sharedItems containsSemiMixedTypes="0" containsString="0" containsNumber="1" containsInteger="1" minValue="0" maxValue="8486"/>
    </cacheField>
    <cacheField name="# People with access to soap" numFmtId="1">
      <sharedItems containsSemiMixedTypes="0" containsString="0" containsNumber="1" containsInteger="1" minValue="0" maxValue="7985"/>
    </cacheField>
    <cacheField name="# People with access to Sanity Pads" numFmtId="1">
      <sharedItems containsSemiMixedTypes="0" containsString="0" containsNumber="1" minValue="0" maxValue="2887"/>
    </cacheField>
    <cacheField name="# People received regular supply of hygiene items_6" numFmtId="1">
      <sharedItems containsSemiMixedTypes="0" containsString="0" containsNumber="1" containsInteger="1" minValue="0" maxValue="7985"/>
    </cacheField>
    <cacheField name="HRP3" numFmtId="1">
      <sharedItems containsSemiMixedTypes="0" containsString="0" containsNumber="1" containsInteger="1" minValue="0" maxValue="8486"/>
    </cacheField>
    <cacheField name="Hygiene Coverage%" numFmtId="9">
      <sharedItems containsString="0" containsBlank="1" containsNumber="1" minValue="0" maxValue="1"/>
    </cacheField>
    <cacheField name="Hygiene Gap%" numFmtId="9">
      <sharedItems containsString="0" containsBlank="1" containsNumber="1" minValue="0" maxValue="1"/>
    </cacheField>
    <cacheField name="%people reached by regular dedicated hygiene promotion" numFmtId="9">
      <sharedItems containsString="0" containsBlank="1" containsNumber="1" minValue="0" maxValue="1"/>
    </cacheField>
    <cacheField name="%HH with access to soap" numFmtId="9">
      <sharedItems containsString="0" containsBlank="1" containsNumber="1" minValue="0" maxValue="1"/>
    </cacheField>
    <cacheField name="% of HH with access to Sanitary Pad" numFmtId="9">
      <sharedItems containsString="0" containsBlank="1" containsNumber="1" minValue="0" maxValue="1"/>
    </cacheField>
    <cacheField name="# Functional hand washing stations during reporting period" numFmtId="1">
      <sharedItems containsSemiMixedTypes="0" containsString="0" containsNumber="1" containsInteger="1" minValue="-1" maxValue="315"/>
    </cacheField>
    <cacheField name="#HH with access to Hand Washing Station" numFmtId="1">
      <sharedItems containsSemiMixedTypes="0" containsString="0" containsNumber="1" containsInteger="1" minValue="-20" maxValue="1490"/>
    </cacheField>
    <cacheField name="# of hand washing stations with soap in TLS" numFmtId="1">
      <sharedItems containsSemiMixedTypes="0" containsString="0" containsNumber="1" containsInteger="1" minValue="0" maxValue="14"/>
    </cacheField>
    <cacheField name="# People access to Handwashing Station" numFmtId="1">
      <sharedItems containsSemiMixedTypes="0" containsString="0" containsNumber="1" containsInteger="1" minValue="-100" maxValue="8486"/>
    </cacheField>
    <cacheField name="Sites with TLS" numFmtId="1">
      <sharedItems/>
    </cacheField>
    <cacheField name="%_of_affected_people_surveyed_who_report_feeling_informed_about_the_different_WASH_services_available_to_them2" numFmtId="9">
      <sharedItems containsMixedTypes="1" containsNumber="1" minValue="2.5906735751295336E-4" maxValue="1"/>
    </cacheField>
    <cacheField name="HRP4" numFmtId="164">
      <sharedItems containsSemiMixedTypes="0" containsString="0" containsNumber="1" containsInteger="1" minValue="0" maxValue="204"/>
    </cacheField>
    <cacheField name="HRP5" numFmtId="164">
      <sharedItems containsSemiMixedTypes="0" containsString="0" containsNumber="1" containsInteger="1" minValue="0" maxValue="3000"/>
    </cacheField>
    <cacheField name="HRP6" numFmtId="164">
      <sharedItems containsSemiMixedTypes="0" containsString="0" containsNumber="1" containsInteger="1" minValue="0" maxValue="155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ontainsBlank="1" count="9">
        <s v="Camp"/>
        <s v="Village Type Camp"/>
        <s v="Relocated"/>
        <m u="1"/>
        <s v="Camp like setting" u="1"/>
        <s v="Village" u="1"/>
        <e v="#N/A" u="1"/>
        <s v="Town" u="1"/>
        <s v="Temporary location" u="1"/>
      </sharedItems>
    </cacheField>
    <cacheField name="Type of accommodation" numFmtId="0">
      <sharedItems containsMixedTypes="1" containsNumber="1" containsInteger="1" minValue="0" maxValue="0" count="11">
        <s v="Camp"/>
        <s v="School"/>
        <s v="IDPs in host"/>
        <s v="Camp like setting"/>
        <s v="Boarding School"/>
        <s v="Closed Camp"/>
        <s v="Temporarily removed"/>
        <s v="Host Families"/>
        <s v="Relocated-IDPs in host"/>
        <s v="Relocated-Individual House"/>
        <n v="0" u="1"/>
      </sharedItems>
    </cacheField>
    <cacheField name="Ethnic or GCA/NGCA" numFmtId="0">
      <sharedItems containsMixedTypes="1" containsNumber="1" minValue="0" maxValue="97.49136" count="341">
        <s v="GCA"/>
        <s v="NGCA"/>
        <n v="0" u="1"/>
        <n v="20.260789871215799" u="1"/>
        <n v="24.200972" u="1"/>
        <n v="20.206778" u="1"/>
        <n v="20.785699844360401" u="1"/>
        <n v="25.401061110000001" u="1"/>
        <n v="20.268000000000001" u="1"/>
        <n v="23.099304" u="1"/>
        <n v="25.423209" u="1"/>
        <n v="24.207332999999998" u="1"/>
        <n v="25.305008999999998" u="1"/>
        <n v="19.985679626464801" u="1"/>
        <n v="20.229290008544901" u="1"/>
        <n v="23.591999999999999" u="1"/>
        <n v="23.38503" u="1"/>
        <n v="19.646549224853501" u="1"/>
        <n v="20.392137999999999" u="1"/>
        <n v="26.541930000000001" u="1"/>
        <n v="19.7062797546387" u="1"/>
        <n v="20.632720946999999" u="1"/>
        <n v="20.179417000000001" u="1"/>
        <n v="20.630609511999999" u="1"/>
        <n v="19.615800857543899" u="1"/>
        <n v="20.785770416259801" u="1"/>
        <n v="25.668399999999998" u="1"/>
        <n v="20.155805999999998" u="1"/>
        <n v="20.179939999999998" u="1"/>
        <n v="24.268292826086999" u="1"/>
        <n v="24.377054000000001" u="1"/>
        <n v="20.207284999999999" u="1"/>
        <n v="20.723630905151399" u="1"/>
        <n v="19.738719940185501" u="1"/>
        <n v="25.265277999999999" u="1"/>
        <n v="20.910375595092798" u="1"/>
        <n v="19.955690383911101" u="1"/>
        <n v="20.569759368896499" u="1"/>
        <n v="97.49136" u="1"/>
        <n v="20.185917" u="1"/>
        <n v="19.925739288330099" u="1"/>
        <n v="20.204370498657202" u="1"/>
        <n v="24.222349999999999" u="1"/>
        <n v="20.396680832000001" u="1"/>
        <n v="24.2744" u="1"/>
        <n v="20.697229385376001" u="1"/>
        <n v="20.786739349365199" u="1"/>
        <n v="23.353999999999999" u="1"/>
        <n v="20.478969573974599" u="1"/>
        <n v="24.006789000000001" u="1"/>
        <n v="20.8490600585938" u="1"/>
        <n v="19.434253692626999" u="1"/>
        <n v="20.151471999999998" u="1"/>
        <n v="23.83013" u="1"/>
        <n v="20.202525000000001" u="1"/>
        <n v="20.057860999999999" u="1"/>
        <n v="20.218299999999999" u="1"/>
        <n v="20.480100631713899" u="1"/>
        <n v="20.335864000000001" u="1"/>
        <n v="25.296579999999999" u="1"/>
        <n v="23.250678000000001" u="1"/>
        <n v="20.821479797363299" u="1"/>
        <n v="23.827870999999998" u="1"/>
        <n v="23.611999999999998" u="1"/>
        <n v="27.311699999999998" u="1"/>
        <n v="19.988599777221701" u="1"/>
        <n v="20.148584" u="1"/>
        <n v="25.321710740740698" u="1"/>
        <n v="19.421102000000001" u="1"/>
        <n v="19.988689422607401" u="1"/>
        <n v="25.351724999999998" u="1"/>
        <n v="20.851089477539102" u="1"/>
        <n v="20.865687000000001" u="1"/>
        <n v="19.619289398193398" u="1"/>
        <n v="23.682887999999998" u="1"/>
        <n v="21.007270812988299" u="1"/>
        <n v="20.037655000000001" u="1"/>
        <n v="19.591590881347699" u="1"/>
        <n v="20.1438598632813" u="1"/>
        <n v="20.182987000000001" u="1"/>
        <n v="20.506580353" u="1"/>
        <n v="20.697889328002901" u="1"/>
        <n v="20.720213000000001" u="1"/>
        <n v="19.989589691162099" u="1"/>
        <n v="24.260719999999999" u="1"/>
        <n v="25.4118005797101" u="1"/>
        <n v="20.394809723000002" u="1"/>
        <n v="20.78332" u="1"/>
        <n v="20.453830718994102" u="1"/>
        <n v="25.616509000000001" u="1"/>
        <n v="24.263786" u="1"/>
        <n v="24.980250000000002" u="1"/>
        <n v="20.6080207824707" u="1"/>
        <n v="24.404876999999999" u="1"/>
        <n v="24.205417000000001" u="1"/>
        <n v="23.447111" u="1"/>
        <n v="19.962713241577099" u="1"/>
        <n v="23.835319999999999" u="1"/>
        <n v="24.764959999999999" u="1"/>
        <n v="20.824777999999998" u="1"/>
        <n v="20.731571197509801" u="1"/>
        <n v="24.251232000000002" u="1"/>
        <n v="19.991359710693398" u="1"/>
        <n v="20.181405999999999" u="1"/>
        <n v="21.0094203948975" u="1"/>
        <n v="24.661905999999998" u="1"/>
        <n v="20.090183" u="1"/>
        <n v="19.930080413818398" u="1"/>
        <n v="20.946010589599599" u="1"/>
        <n v="20.587142" u="1"/>
        <n v="20.486930847168001" u="1"/>
        <n v="24.996279999999999" u="1"/>
        <n v="20.8550128936768" u="1"/>
        <n v="20.167421999999998" u="1"/>
        <n v="19.9947109222412" u="1"/>
        <n v="25.613894999999999" u="1"/>
        <n v="25.440928" u="1"/>
        <n v="23.828520000000001" u="1"/>
        <n v="25.493819999999999" u="1"/>
        <n v="24.002433" u="1"/>
        <n v="23.094290000000001" u="1"/>
        <n v="20.608819961999998" u="1"/>
        <n v="24.245100000000001" u="1"/>
        <n v="25.404752999999999" u="1"/>
        <n v="20.0641" u="1"/>
        <n v="97.013800000000003" u="1"/>
        <n v="20.064226000000001" u="1"/>
        <n v="20.148910522460898" u="1"/>
        <n v="25.60867" u="1"/>
        <n v="25.350809000000002" u="1"/>
        <n v="20.272630691528299" u="1"/>
        <n v="20.805734000000001" u="1"/>
        <n v="27.248964999999998" u="1"/>
        <n v="25.409612685185198" u="1"/>
        <n v="19.686580657958999" u="1"/>
        <n v="97.010629910000006" u="1"/>
        <n v="20.5199794769287" u="1"/>
        <n v="23.460349999999998" u="1"/>
        <n v="24.118618999999999" u="1"/>
        <n v="24.32638" u="1"/>
        <n v="20.644098281860401" u="1"/>
        <n v="20.181742" u="1"/>
        <n v="24.250689999999999" u="1"/>
        <n v="19.627199172973601" u="1"/>
        <n v="20.581470489501999" u="1"/>
        <n v="20.703550338745099" u="1"/>
        <n v="25.423817" u="1"/>
        <n v="25.889410000000002" u="1"/>
        <n v="20.489089965820298" u="1"/>
        <n v="20.202400000000001" u="1"/>
        <n v="25.615960999999999" u="1"/>
        <n v="20.0839" u="1"/>
        <n v="25.599250000000001" u="1"/>
        <n v="25.3540362037037" u="1"/>
        <n v="20.39902" u="1"/>
        <n v="25.30442" u="1"/>
        <n v="20.2302" u="1"/>
        <n v="19.9044303894043" u="1"/>
        <n v="20.185092000000001" u="1"/>
        <n v="25.61842" u="1"/>
        <n v="25.200333000000001" u="1"/>
        <n v="20.509660720999999" u="1"/>
        <n v="25.345918166666699" u="1"/>
        <n v="19.721389770507798" u="1"/>
        <n v="20.859569549560501" u="1"/>
        <n v="24.24766" u="1"/>
        <n v="24.200367" u="1"/>
        <n v="20.705930709838899" u="1"/>
        <n v="25.51352" u="1"/>
        <n v="27.337499999999999" u="1"/>
        <n v="24.29138" u="1"/>
        <n v="20.494340897000001" u="1"/>
        <n v="25.647649999999999" u="1"/>
        <n v="20.645240783999999" u="1"/>
        <n v="23.4008" u="1"/>
        <n v="25.417733999999999" u="1"/>
        <n v="23.354268999999999" u="1"/>
        <n v="24.755253" u="1"/>
        <n v="20.361530303999999" u="1"/>
        <n v="20.183790206909201" u="1"/>
        <n v="22.765999999999998" u="1"/>
        <n v="20.245159149169901" u="1"/>
        <n v="25.351250396825399" u="1"/>
        <n v="25.3959740909091" u="1"/>
        <n v="20.831729888916001" u="1"/>
        <n v="20.555610656738299" u="1"/>
        <n v="24.752471" u="1"/>
        <n v="24.461033" u="1"/>
        <n v="20.8950595855713" u="1"/>
        <n v="25.220278" u="1"/>
        <n v="23.463000000000001" u="1"/>
        <n v="25.637309999999999" u="1"/>
        <n v="20.424389999999999" u="1"/>
        <n v="23.838190000000001" u="1"/>
        <n v="20.339799880981399" u="1"/>
        <n v="25.422194000000001" u="1"/>
        <n v="20.201499999999999" u="1"/>
        <n v="20.4625244140625" u="1"/>
        <n v="20.677059173583999" u="1"/>
        <n v="20.987419128418001" u="1"/>
        <n v="20.399269" u="1"/>
        <n v="24.129059999999999" u="1"/>
        <n v="20.108101999999999" u="1"/>
        <n v="20.464775085449201" u="1"/>
        <n v="23.829599000000002" u="1"/>
        <n v="20.886997999999998" u="1"/>
        <n v="25.582065" u="1"/>
        <n v="20.041981" u="1"/>
        <n v="23.828150000000001" u="1"/>
        <n v="25.351965" u="1"/>
        <n v="20.926780700683601" u="1"/>
        <n v="97.104997409999996" u="1"/>
        <n v="24.056132999999999" u="1"/>
        <n v="20.709970473999999" u="1"/>
        <n v="23.833477999999999" u="1"/>
        <n v="25.404015000000001" u="1"/>
        <n v="20.894269943237301" u="1"/>
        <n v="20.292100000000001" u="1"/>
        <n v="20.495670318603501" u="1"/>
        <n v="20.128488999999998" u="1"/>
        <n v="20.864519119262699" u="1"/>
        <n v="97.431079999999994" u="1"/>
        <n v="20.398889541999999" u="1"/>
        <n v="20.181778000000001" u="1"/>
        <n v="23.450914000000001" u="1"/>
        <n v="20.803529739379901" u="1"/>
        <n v="20.463909149169901" u="1"/>
        <n v="19.726810455322301" u="1"/>
        <n v="25.225000000000001" u="1"/>
        <n v="23.372409999999999" u="1"/>
        <n v="23.694130000000001" u="1"/>
        <n v="19.725629806518601" u="1"/>
        <n v="23.588920000000002" u="1"/>
        <n v="26.548506" u="1"/>
        <n v="20.8037109375" u="1"/>
        <n v="20.711349487304702" u="1"/>
        <n v="20.651939392089801" u="1"/>
        <n v="20.805580139160199" u="1"/>
        <n v="20.218471527099599" u="1"/>
        <n v="25.360463124999999" u="1"/>
        <n v="25.617998" u="1"/>
        <n v="24.200361000000001" u="1"/>
        <n v="20.1573600769043" u="1"/>
        <n v="25.374343974359" u="1"/>
        <n v="20.18994" u="1"/>
        <n v="20.497299194335898" u="1"/>
        <n v="24.08738" u="1"/>
        <n v="20.681715011596701" u="1"/>
        <n v="20.482030868999999" u="1"/>
        <n v="25.3660036111111" u="1"/>
        <n v="20.866529464721701" u="1"/>
        <n v="25.356632000000001" u="1"/>
        <n v="20.191719055175799" u="1"/>
        <n v="25.577559999999998" u="1"/>
        <n v="20.806400299072301" u="1"/>
        <n v="24.831944" u="1"/>
        <n v="25.371049444444399" u="1"/>
        <n v="20.099340438842798" u="1"/>
        <n v="23.933098999999999" u="1"/>
        <n v="20.46994972229" u="1"/>
        <n v="20.1585" u="1"/>
        <n v="23.24661" u="1"/>
        <n v="20.1934604644775" u="1"/>
        <n v="24.998349999999999" u="1"/>
        <n v="20.716699600219702" u="1"/>
        <n v="25.415667500000001" u="1"/>
        <n v="20.713259999999998" u="1"/>
        <n v="24.764800000000001" u="1"/>
        <n v="20.564739227" u="1"/>
        <n v="20.696819999999999" u="1"/>
        <n v="25.920006000000001" u="1"/>
        <n v="19.484790802001999" u="1"/>
        <n v="24.006319999999999" u="1"/>
        <n v="20.235199999999999" u="1"/>
        <n v="23.841646999999998" u="1"/>
        <n v="20.807970046997099" u="1"/>
        <n v="20.809240341186499" u="1"/>
        <n v="25.305669999999999" u="1"/>
        <n v="25.415482000000001" u="1"/>
        <n v="19.639009475708001" u="1"/>
        <n v="20.286720275878899" u="1"/>
        <n v="20.180194" u="1"/>
        <n v="20.073437999999999" u="1"/>
        <n v="22.677008000000001" u="1"/>
        <n v="20.162599563598601" u="1"/>
        <n v="25.299679999999999" u="1"/>
        <n v="23.972453000000002" u="1"/>
        <n v="25.362420757575801" u="1"/>
        <n v="23.976571" u="1"/>
        <n v="24.688338999999999" u="1"/>
        <n v="20.872400283813501" u="1"/>
        <n v="25.412313000000001" u="1"/>
        <n v="25.566510000000001" u="1"/>
        <n v="20.502599716186499" u="1"/>
        <n v="25.645959999999999" u="1"/>
        <n v="25.635300000000001" u="1"/>
        <n v="25.6145" u="1"/>
        <n v="20.194370269775401" u="1"/>
        <n v="25.754110000000001" u="1"/>
        <n v="20.903770446777301" u="1"/>
        <n v="25.428910999999999" u="1"/>
        <n v="20.470119476318398" u="1"/>
        <n v="25.410569299999999" u="1"/>
        <n v="20.0087699890137" u="1"/>
        <n v="25.424529444444399" u="1"/>
        <n v="20.903369903564499" u="1"/>
        <n v="23.850999999999999" u="1"/>
        <n v="20.596279144" u="1"/>
        <n v="23.400155999999999" u="1"/>
        <n v="20.473930358886701" u="1"/>
        <n v="19.611209869384801" u="1"/>
        <n v="19.610979080200199" u="1"/>
        <n v="20.1975498199463" u="1"/>
        <n v="21.025630950927699" u="1"/>
        <n v="25.611160000000002" u="1"/>
        <n v="24.260466999999998" u="1"/>
        <n v="24.200433" u="1"/>
        <n v="20.782770156860401" u="1"/>
        <n v="20.936040878295898" u="1"/>
        <n v="25.333683333333301" u="1"/>
        <n v="25.56551" u="1"/>
        <n v="26.569633" u="1"/>
        <n v="20.127127999999999" u="1"/>
        <n v="25.656009999999998" u="1"/>
        <n v="20.627639770507798" u="1"/>
        <n v="25.403476999999999" u="1"/>
        <n v="20.16846" u="1"/>
        <n v="20.5047302246094" u="1"/>
        <n v="24.378167000000001" u="1"/>
        <n v="23.821380000000001" u="1"/>
        <n v="20.212700000000002" u="1"/>
        <n v="25.3510167948718" u="1"/>
        <n v="24.253067000000001" u="1"/>
        <n v="24.24953" u="1"/>
        <n v="24.251860000000001" u="1"/>
        <n v="25.887339999999998" u="1"/>
        <n v="25.418084" u="1"/>
        <n v="19.424576999999999" u="1"/>
        <n v="24.2631743589744" u="1"/>
        <n v="20.727589999999999" u="1"/>
        <n v="21.000970840454102" u="1"/>
      </sharedItems>
    </cacheField>
    <cacheField name="Lat" numFmtId="0">
      <sharedItems containsMixedTypes="1" containsNumber="1" minValue="0" maxValue="27.337499999999999"/>
    </cacheField>
    <cacheField name="Long" numFmtId="0">
      <sharedItems containsMixedTypes="1" containsNumber="1" minValue="0" maxValue="98.779853500000002"/>
    </cacheField>
    <cacheField name="Pcode" numFmtId="0">
      <sharedItems containsMixedTypes="1" containsNumber="1" containsInteger="1" minValue="0" maxValue="0"/>
    </cacheField>
    <cacheField name="Covered" numFmtId="0">
      <sharedItems containsBlank="1" count="5">
        <s v="Notcovered"/>
        <s v="Covered"/>
        <s v="cccm_2019July" u="1"/>
        <m u="1"/>
        <e v="#REF!" u="1"/>
      </sharedItems>
    </cacheField>
    <cacheField name="Remark" numFmtId="0">
      <sharedItems containsNonDate="0" containsString="0" containsBlank="1"/>
    </cacheField>
    <cacheField name="HH" numFmtId="0">
      <sharedItems containsMixedTypes="1" containsNumber="1" containsInteger="1" minValue="0" maxValue="1592"/>
    </cacheField>
    <cacheField name="Population" numFmtId="0">
      <sharedItems containsMixedTypes="1" containsNumber="1" containsInteger="1" minValue="0" maxValue="8220"/>
    </cacheField>
    <cacheField name="Total Latrines" numFmtId="0" formula="'#_Constructed latrines_by_WASHAgencies'+'#_Non Cluster partner latrines'" databaseField="0"/>
    <cacheField name="% Water source Treated" numFmtId="0" formula="#NAME?/#NAME?"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 ppl not access to Latrine" numFmtId="0" formula="'Total PoP '-HRP2" databaseField="0"/>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859.483335069446" createdVersion="6" refreshedVersion="7" minRefreshableVersion="3" recordCount="73" xr:uid="{F2DC6D15-FFB0-4EB3-9F86-717018A7F5AA}">
  <cacheSource type="worksheet">
    <worksheetSource name="Table9"/>
  </cacheSource>
  <cacheFields count="3">
    <cacheField name="State" numFmtId="0">
      <sharedItems count="11">
        <s v="Kachin"/>
        <s v="Shan (North)"/>
        <s v="Rakhine"/>
        <s v="Chin"/>
        <s v="Mon"/>
        <s v="Bago (East)"/>
        <s v="Kayah"/>
        <s v="Kayin"/>
        <s v="Shan (South)"/>
        <s v="Magway"/>
        <s v="Sagaing"/>
      </sharedItems>
    </cacheField>
    <cacheField name="Acronym" numFmtId="0">
      <sharedItems count="39">
        <s v="KBC"/>
        <s v="KMSS"/>
        <s v="Metta"/>
        <s v="Shalom"/>
        <s v="SI"/>
        <s v="WPN"/>
        <s v="HPa"/>
        <s v="STW"/>
        <s v="PIN"/>
        <s v="DRC"/>
        <s v="IRW"/>
        <s v="MA_UK"/>
        <s v="OXSI (SI)"/>
        <s v="SCI"/>
        <s v="Meikswe MM"/>
        <s v="CDA"/>
        <s v="OXSI (Oxfam)"/>
        <s v="RI"/>
        <s v="W_121"/>
        <s v="W_098"/>
        <s v="W_070"/>
        <s v="W_057"/>
        <s v="W_137"/>
        <s v="W_138"/>
        <s v="W_005"/>
        <s v="CARE"/>
        <s v="Nway Htwe Thaw Yin Khwin"/>
        <s v="ICRC"/>
        <s v="Meikswe Myanmar"/>
        <s v="Metta "/>
        <s v="SCI / ICRC"/>
        <s v="UNICEF"/>
        <s v="CHRO"/>
        <s v="MA-UK"/>
        <s v="TGH-RCDF"/>
        <s v="CDN"/>
        <s v="CERA"/>
        <s v="IRC"/>
        <s v="LWF"/>
      </sharedItems>
    </cacheField>
    <cacheField name="reporting"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860.516731134259" createdVersion="6" refreshedVersion="7" minRefreshableVersion="3" recordCount="99" xr:uid="{1499D0FE-E8B8-480B-848F-CA4A2E64ED37}">
  <cacheSource type="worksheet">
    <worksheetSource name="Table11"/>
  </cacheSource>
  <cacheFields count="3">
    <cacheField name="State" numFmtId="0">
      <sharedItems count="12">
        <s v="Bago (East)"/>
        <s v="Chin"/>
        <s v="Kachin"/>
        <s v="Kayah"/>
        <s v="Kayin"/>
        <s v="Magway"/>
        <s v="Mon State"/>
        <s v="Rakhine"/>
        <s v="Sagaing"/>
        <s v="Shan (North)"/>
        <s v="Shan (South)"/>
        <s v="Mon" u="1"/>
      </sharedItems>
    </cacheField>
    <cacheField name="Acronym" numFmtId="0">
      <sharedItems count="47">
        <s v="PWJ"/>
        <s v="UNICEF"/>
        <s v="CARE"/>
        <s v="CHRO"/>
        <s v="KMSS"/>
        <s v="MA-UK"/>
        <s v="PIN"/>
        <s v="TGH-RCDF"/>
        <s v="ICRC"/>
        <s v="STW"/>
        <s v="KyWO"/>
        <s v="MC"/>
        <s v="WDC"/>
        <s v="ADRA"/>
        <s v="CIDKP"/>
        <s v="TWG"/>
        <s v="NHTYK"/>
        <s v="CDN"/>
        <s v="CERA"/>
        <s v="DRC"/>
        <s v="IRC"/>
        <s v="LWF"/>
        <s v="RI"/>
        <s v="SI"/>
        <s v="TGH-GJ"/>
        <s v="WFP"/>
        <s v="ACF"/>
        <s v="AYO"/>
        <s v="Metta"/>
        <s v="MM"/>
        <s v="SCI"/>
        <s v="HPA"/>
        <s v="KBC"/>
        <s v="Shalom"/>
        <s v="WCM"/>
        <s v="WPN"/>
        <s v="CDA"/>
        <s v="OXFAM"/>
        <s v="WVI"/>
        <s v="IRW"/>
        <s v="Malteser"/>
        <s v="PSSAG"/>
        <s v="SDF"/>
        <s v="TLDA"/>
        <s v="GLAD"/>
        <s v="MA_UK" u="1"/>
        <s v="Meikswe MM" u="1"/>
      </sharedItems>
    </cacheField>
    <cacheField name="reporting"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860.517669907407" createdVersion="7" refreshedVersion="7" minRefreshableVersion="3" recordCount="107" xr:uid="{87A334E5-60EE-4591-865F-BD8FCBEB6498}">
  <cacheSource type="worksheet">
    <worksheetSource name="Table1114"/>
  </cacheSource>
  <cacheFields count="3">
    <cacheField name="State" numFmtId="0">
      <sharedItems count="11">
        <s v="Bago (East)"/>
        <s v="Chin"/>
        <s v="Kachin"/>
        <s v="Kayah"/>
        <s v="Kayin"/>
        <s v="Magway"/>
        <s v="Mon"/>
        <s v="Rakhine"/>
        <s v="Sagaing"/>
        <s v="Shan (North)"/>
        <s v="Shan (South)"/>
      </sharedItems>
    </cacheField>
    <cacheField name="Acronym" numFmtId="0">
      <sharedItems count="48">
        <s v="PWJ"/>
        <s v="UNICEF"/>
        <s v="CARE"/>
        <s v="CHRO"/>
        <s v="KMSS"/>
        <s v="MA_UK"/>
        <s v="PIN"/>
        <s v="SCI"/>
        <s v="TGH-RCDF"/>
        <s v="ICRC"/>
        <s v="KBC"/>
        <s v="STW"/>
        <s v="WCM"/>
        <s v="KyWO"/>
        <s v="MC"/>
        <s v="WDC"/>
        <s v="ADRA"/>
        <s v="CIDKP"/>
        <s v="TWG"/>
        <s v="NHTYK"/>
        <s v="CDN"/>
        <s v="CERA"/>
        <s v="DRC"/>
        <s v="IRC"/>
        <s v="LWF"/>
        <s v="RI"/>
        <s v="SI"/>
        <s v="TGH-GJ"/>
        <s v="WFP"/>
        <s v="ACF"/>
        <s v="AYO"/>
        <s v="Swe Tha Har"/>
        <s v="Metta"/>
        <s v="MM"/>
        <s v="HPA"/>
        <s v="Shalom"/>
        <s v="WPN"/>
        <s v="CDA"/>
        <s v="OXFAM"/>
        <s v="WVI"/>
        <s v="IRW"/>
        <s v="Malteser"/>
        <s v="PSSAG"/>
        <s v="SDF"/>
        <s v="TLDA"/>
        <s v="GLAD"/>
        <s v="SPMO"/>
        <s v="MA-UK" u="1"/>
      </sharedItems>
    </cacheField>
    <cacheField name="reporting"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860.51827453704" createdVersion="6" refreshedVersion="7" minRefreshableVersion="3" recordCount="45" xr:uid="{E27625E0-AC44-474C-A2D2-68AB64A69968}">
  <cacheSource type="worksheet">
    <worksheetSource name="Table12"/>
  </cacheSource>
  <cacheFields count="2">
    <cacheField name="Acronym" numFmtId="0">
      <sharedItems/>
    </cacheField>
    <cacheField name="Type" numFmtId="0">
      <sharedItems count="5">
        <s v="CSO"/>
        <s v="International NGO"/>
        <s v="National NGO"/>
        <s v="Red Cross"/>
        <s v="United Nations"/>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860.518482870371" createdVersion="7" refreshedVersion="7" minRefreshableVersion="3" recordCount="47" xr:uid="{8A2F6903-FAF1-4DB2-A0C3-964E1F478579}">
  <cacheSource type="worksheet">
    <worksheetSource name="Table1215"/>
  </cacheSource>
  <cacheFields count="2">
    <cacheField name="Acronym" numFmtId="0">
      <sharedItems/>
    </cacheField>
    <cacheField name="Type" numFmtId="0">
      <sharedItems count="5">
        <s v="International NGO"/>
        <s v="CSO"/>
        <s v="National NGO"/>
        <s v="Red Cross"/>
        <s v="United Nations"/>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862.374341898147" backgroundQuery="1" createdVersion="6" refreshedVersion="7" minRefreshableVersion="3" recordCount="0" supportSubquery="1" supportAdvancedDrill="1" xr:uid="{980E0D70-0E92-48B4-B9FF-724DC0CAF19E}">
  <cacheSource type="external" connectionId="1"/>
  <cacheFields count="4">
    <cacheField name="[WWWW].[State].[State]" caption="State" numFmtId="0" hierarchy="4" level="1">
      <sharedItems count="2">
        <s v="Kachin"/>
        <s v="Shan (North)"/>
      </sharedItems>
    </cacheField>
    <cacheField name="[WWWW].[Covered].[Covered]" caption="Covered" numFmtId="0" hierarchy="142"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0" level="32767"/>
  </cacheFields>
  <cacheHierarchies count="15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13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2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13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0" memberValueDatatype="20" unbalanced="0"/>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5"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20"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5"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20"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5"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130"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130"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130"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5"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5"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130"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WWWW].[HH]" caption="HH" attribute="1" defaultMemberUniqueName="[WWWW].[HH].[All]" allUniqueName="[WWWW].[HH].[All]" dimensionUniqueName="[WWWW]" displayFolder="" count="0" memberValueDatatype="130" unbalanced="0"/>
    <cacheHierarchy uniqueName="[WWWW].[Population]" caption="Population" attribute="1" defaultMemberUniqueName="[WWWW].[Population].[All]" allUniqueName="[WWWW].[Population].[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Sum of #_Water sources tested for fecal coliform]" caption="Sum of #_Water sources tested for fecal coliform" measure="1" displayFolder="" measureGroup="WWWW" count="0" hidden="1">
      <extLst>
        <ext xmlns:x15="http://schemas.microsoft.com/office/spreadsheetml/2010/11/main" uri="{B97F6D7D-B522-45F9-BDA1-12C45D357490}">
          <x15:cacheHierarchy aggregatedColumn="34"/>
        </ext>
      </extLst>
    </cacheHierarchy>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862.37667164352" backgroundQuery="1" createdVersion="6" refreshedVersion="7" minRefreshableVersion="3" recordCount="0" supportSubquery="1" supportAdvancedDrill="1" xr:uid="{2424A037-BCF7-4B15-A4AE-1757238DB756}">
  <cacheSource type="external" connectionId="1"/>
  <cacheFields count="5">
    <cacheField name="[WWWW].[State].[State]" caption="State" numFmtId="0" hierarchy="4" level="1">
      <sharedItems count="1">
        <s v="Kachin"/>
      </sharedItems>
    </cacheField>
    <cacheField name="[WWWW].[Covered].[Covered]" caption="Covered" numFmtId="0" hierarchy="142"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0" level="32767"/>
    <cacheField name="[WWWW].[#_Household water samples tested for fecal coliform].[#_Household water samples tested for fecal coliform]" caption="#_Household water samples tested for fecal coliform" numFmtId="0" hierarchy="36" level="1">
      <sharedItems containsSemiMixedTypes="0" containsNonDate="0" containsString="0"/>
    </cacheField>
  </cacheFields>
  <cacheHierarchies count="15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13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2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13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2" memberValueDatatype="20" unbalanced="0">
      <fieldsUsage count="2">
        <fieldUsage x="-1"/>
        <fieldUsage x="4"/>
      </fieldsUsage>
    </cacheHierarchy>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5"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20"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5"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20"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5"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130"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130"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130"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5"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5"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130"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WWWW].[HH]" caption="HH" attribute="1" defaultMemberUniqueName="[WWWW].[HH].[All]" allUniqueName="[WWWW].[HH].[All]" dimensionUniqueName="[WWWW]" displayFolder="" count="0" memberValueDatatype="130" unbalanced="0"/>
    <cacheHierarchy uniqueName="[WWWW].[Population]" caption="Population" attribute="1" defaultMemberUniqueName="[WWWW].[Population].[All]" allUniqueName="[WWWW].[Population].[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Sum of #_Water sources tested for fecal coliform]" caption="Sum of #_Water sources tested for fecal coliform" measure="1" displayFolder="" measureGroup="WWWW" count="0" hidden="1">
      <extLst>
        <ext xmlns:x15="http://schemas.microsoft.com/office/spreadsheetml/2010/11/main" uri="{B97F6D7D-B522-45F9-BDA1-12C45D357490}">
          <x15:cacheHierarchy aggregatedColumn="34"/>
        </ext>
      </extLst>
    </cacheHierarchy>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2">
  <r>
    <x v="0"/>
    <x v="0"/>
    <x v="0"/>
    <m/>
    <x v="0"/>
    <x v="0"/>
    <x v="0"/>
    <x v="0"/>
    <n v="12"/>
    <n v="60"/>
    <m/>
    <m/>
    <m/>
    <m/>
    <m/>
    <m/>
    <m/>
    <m/>
    <m/>
    <m/>
    <m/>
    <m/>
    <m/>
    <m/>
    <m/>
    <m/>
    <m/>
    <m/>
    <m/>
    <m/>
    <m/>
    <m/>
    <m/>
    <m/>
    <m/>
    <m/>
    <m/>
    <m/>
    <m/>
    <m/>
    <m/>
    <m/>
    <m/>
    <m/>
    <m/>
    <m/>
    <m/>
    <m/>
    <m/>
    <m/>
    <x v="0"/>
    <x v="0"/>
    <m/>
    <m/>
    <m/>
    <m/>
    <m/>
    <m/>
    <n v="1"/>
    <m/>
    <m/>
    <n v="1"/>
    <m/>
    <m/>
    <m/>
    <n v="6"/>
    <n v="5"/>
    <m/>
    <m/>
    <m/>
    <m/>
    <m/>
    <m/>
    <m/>
    <m/>
    <m/>
    <m/>
    <m/>
    <m/>
    <m/>
    <m/>
    <m/>
    <s v="no test"/>
    <s v="no test"/>
    <s v="No Test"/>
    <n v="0"/>
    <n v="0"/>
    <n v="0"/>
    <n v="0"/>
    <n v="0"/>
    <n v="0"/>
    <n v="0"/>
    <n v="0"/>
    <n v="0"/>
    <n v="0"/>
    <n v="0"/>
    <n v="0"/>
    <n v="0"/>
    <n v="0"/>
    <n v="0"/>
    <n v="0"/>
    <n v="1"/>
    <n v="60"/>
    <n v="1"/>
    <n v="1"/>
    <n v="0"/>
    <n v="0"/>
    <n v="0"/>
    <n v="0"/>
    <n v="0"/>
    <n v="0"/>
    <n v="3"/>
    <n v="3"/>
    <n v="1"/>
    <n v="0"/>
    <n v="0"/>
    <n v="30"/>
    <n v="5"/>
    <n v="30"/>
    <n v="30"/>
    <n v="0.5"/>
    <n v="0.5"/>
    <n v="0"/>
    <n v="1"/>
    <n v="0.41666666666666669"/>
    <n v="1"/>
    <n v="12"/>
    <n v="0"/>
    <n v="60"/>
    <s v="No"/>
    <s v=""/>
    <n v="0"/>
    <n v="0"/>
    <n v="0"/>
    <s v="Yes"/>
    <s v="Shalom"/>
    <x v="0"/>
    <x v="0"/>
    <x v="0"/>
    <n v="24.154199999999999"/>
    <n v="97.160600000000002"/>
    <s v="MMR001CMP281"/>
    <x v="0"/>
    <m/>
    <n v="97"/>
    <n v="480"/>
  </r>
  <r>
    <x v="0"/>
    <x v="0"/>
    <x v="0"/>
    <m/>
    <x v="0"/>
    <x v="0"/>
    <x v="1"/>
    <x v="1"/>
    <m/>
    <m/>
    <d v="2020-01-03T00:00:00"/>
    <d v="2022-02-28T00:00:00"/>
    <m/>
    <m/>
    <m/>
    <m/>
    <s v="Yes"/>
    <m/>
    <m/>
    <m/>
    <m/>
    <m/>
    <m/>
    <m/>
    <m/>
    <m/>
    <m/>
    <m/>
    <m/>
    <m/>
    <m/>
    <m/>
    <m/>
    <m/>
    <m/>
    <m/>
    <m/>
    <m/>
    <m/>
    <m/>
    <m/>
    <m/>
    <n v="8"/>
    <m/>
    <m/>
    <m/>
    <m/>
    <m/>
    <m/>
    <m/>
    <x v="1"/>
    <x v="0"/>
    <m/>
    <m/>
    <m/>
    <m/>
    <m/>
    <m/>
    <n v="1"/>
    <m/>
    <m/>
    <n v="3"/>
    <m/>
    <m/>
    <m/>
    <n v="41"/>
    <n v="85"/>
    <m/>
    <m/>
    <m/>
    <m/>
    <m/>
    <m/>
    <m/>
    <m/>
    <m/>
    <m/>
    <m/>
    <m/>
    <m/>
    <m/>
    <m/>
    <s v="no test"/>
    <s v="no test"/>
    <s v="No Test"/>
    <n v="0"/>
    <n v="0"/>
    <n v="0"/>
    <n v="0"/>
    <n v="0"/>
    <n v="0"/>
    <n v="0"/>
    <s v=""/>
    <s v=""/>
    <s v=""/>
    <m/>
    <m/>
    <n v="0"/>
    <m/>
    <m/>
    <n v="0"/>
    <m/>
    <m/>
    <n v="1"/>
    <n v="1"/>
    <n v="8"/>
    <m/>
    <n v="0"/>
    <n v="0"/>
    <n v="0"/>
    <n v="0"/>
    <n v="0"/>
    <n v="0"/>
    <m/>
    <m/>
    <n v="0"/>
    <n v="0"/>
    <n v="0"/>
    <n v="0"/>
    <n v="0"/>
    <m/>
    <m/>
    <m/>
    <m/>
    <m/>
    <n v="1"/>
    <n v="0"/>
    <n v="0"/>
    <n v="0"/>
    <s v="No"/>
    <s v=""/>
    <n v="0"/>
    <n v="0"/>
    <n v="0"/>
    <n v="0"/>
    <n v="0"/>
    <x v="0"/>
    <x v="1"/>
    <x v="0"/>
    <n v="0"/>
    <n v="0"/>
    <n v="0"/>
    <x v="0"/>
    <m/>
    <n v="0"/>
    <n v="0"/>
  </r>
  <r>
    <x v="0"/>
    <x v="1"/>
    <x v="1"/>
    <s v="ECHO"/>
    <x v="0"/>
    <x v="0"/>
    <x v="1"/>
    <x v="2"/>
    <n v="8"/>
    <n v="54"/>
    <d v="2022-04-01T00:00:00"/>
    <d v="2022-11-30T00:00:00"/>
    <m/>
    <m/>
    <m/>
    <m/>
    <s v="Yes"/>
    <n v="2"/>
    <n v="2"/>
    <m/>
    <m/>
    <m/>
    <n v="1"/>
    <m/>
    <m/>
    <m/>
    <m/>
    <m/>
    <m/>
    <m/>
    <m/>
    <m/>
    <m/>
    <m/>
    <n v="1"/>
    <n v="1"/>
    <n v="3"/>
    <n v="2"/>
    <n v="5"/>
    <m/>
    <m/>
    <m/>
    <n v="13"/>
    <m/>
    <m/>
    <m/>
    <m/>
    <m/>
    <m/>
    <m/>
    <x v="1"/>
    <x v="1"/>
    <m/>
    <m/>
    <m/>
    <m/>
    <n v="1"/>
    <m/>
    <n v="3"/>
    <m/>
    <m/>
    <n v="2"/>
    <m/>
    <m/>
    <m/>
    <m/>
    <m/>
    <m/>
    <m/>
    <m/>
    <m/>
    <m/>
    <m/>
    <m/>
    <m/>
    <m/>
    <m/>
    <m/>
    <m/>
    <m/>
    <m/>
    <m/>
    <n v="1"/>
    <n v="0.66666666666666663"/>
    <s v="Tested"/>
    <n v="0"/>
    <n v="1"/>
    <n v="0"/>
    <n v="0"/>
    <n v="0"/>
    <n v="0"/>
    <n v="0"/>
    <n v="1"/>
    <n v="1"/>
    <n v="1"/>
    <n v="54"/>
    <n v="0"/>
    <n v="0"/>
    <n v="1"/>
    <n v="54"/>
    <n v="0.108"/>
    <n v="0"/>
    <n v="0"/>
    <n v="0.89200000000000002"/>
    <n v="1"/>
    <n v="13"/>
    <n v="1"/>
    <n v="54"/>
    <n v="0"/>
    <n v="0"/>
    <n v="0"/>
    <n v="3"/>
    <n v="0"/>
    <n v="0"/>
    <n v="0"/>
    <n v="0"/>
    <n v="0"/>
    <n v="0"/>
    <n v="0"/>
    <n v="0"/>
    <n v="0"/>
    <n v="1"/>
    <n v="0"/>
    <n v="0"/>
    <n v="0"/>
    <n v="3"/>
    <n v="8"/>
    <n v="0"/>
    <n v="54"/>
    <s v="No"/>
    <s v=""/>
    <n v="0"/>
    <n v="0"/>
    <n v="0"/>
    <n v="0"/>
    <n v="0"/>
    <x v="0"/>
    <x v="0"/>
    <x v="0"/>
    <n v="0"/>
    <n v="0"/>
    <n v="0"/>
    <x v="1"/>
    <m/>
    <n v="0"/>
    <n v="0"/>
  </r>
  <r>
    <x v="0"/>
    <x v="1"/>
    <x v="1"/>
    <s v="ECHO"/>
    <x v="0"/>
    <x v="0"/>
    <x v="0"/>
    <x v="3"/>
    <n v="245"/>
    <n v="1226"/>
    <d v="2022-04-01T00:00:00"/>
    <d v="2022-11-30T00:00:00"/>
    <m/>
    <m/>
    <m/>
    <m/>
    <s v="Yes"/>
    <n v="7"/>
    <n v="5"/>
    <n v="2"/>
    <m/>
    <m/>
    <n v="8"/>
    <m/>
    <m/>
    <m/>
    <m/>
    <m/>
    <m/>
    <m/>
    <m/>
    <m/>
    <m/>
    <m/>
    <n v="4"/>
    <n v="4"/>
    <n v="18"/>
    <n v="18"/>
    <n v="9"/>
    <m/>
    <m/>
    <m/>
    <n v="39"/>
    <m/>
    <m/>
    <m/>
    <m/>
    <m/>
    <m/>
    <m/>
    <x v="1"/>
    <x v="1"/>
    <m/>
    <m/>
    <m/>
    <m/>
    <n v="9"/>
    <m/>
    <n v="6"/>
    <m/>
    <m/>
    <n v="3"/>
    <m/>
    <m/>
    <n v="3"/>
    <m/>
    <m/>
    <m/>
    <m/>
    <m/>
    <m/>
    <n v="1"/>
    <n v="1"/>
    <n v="26"/>
    <n v="1"/>
    <m/>
    <m/>
    <m/>
    <m/>
    <m/>
    <m/>
    <m/>
    <n v="1"/>
    <n v="1"/>
    <s v="Tested"/>
    <n v="2"/>
    <n v="8"/>
    <n v="0"/>
    <n v="0"/>
    <n v="0"/>
    <n v="0"/>
    <n v="0"/>
    <n v="1"/>
    <n v="1"/>
    <n v="1"/>
    <n v="1226"/>
    <n v="0"/>
    <n v="0"/>
    <n v="1"/>
    <n v="1226"/>
    <n v="2.452"/>
    <n v="0"/>
    <n v="0"/>
    <n v="0"/>
    <n v="2"/>
    <n v="39"/>
    <n v="0.64355628058727565"/>
    <n v="789"/>
    <n v="0"/>
    <n v="0"/>
    <n v="0"/>
    <n v="61"/>
    <n v="22"/>
    <n v="0.35644371941272435"/>
    <n v="0"/>
    <n v="1226"/>
    <n v="0"/>
    <n v="0"/>
    <n v="0"/>
    <n v="1226"/>
    <n v="1"/>
    <n v="0"/>
    <n v="1"/>
    <n v="0"/>
    <n v="0"/>
    <n v="6"/>
    <n v="120"/>
    <n v="0"/>
    <n v="600"/>
    <s v="No"/>
    <n v="2.1207177814029365E-2"/>
    <n v="0"/>
    <n v="0"/>
    <n v="0"/>
    <s v="Yes"/>
    <s v="KMSS-BMO"/>
    <x v="0"/>
    <x v="0"/>
    <x v="0"/>
    <n v="24.260719999999999"/>
    <n v="97.238829999999993"/>
    <s v="MMR001CMP050"/>
    <x v="1"/>
    <m/>
    <n v="222"/>
    <n v="1055"/>
  </r>
  <r>
    <x v="0"/>
    <x v="2"/>
    <x v="2"/>
    <s v="DFID"/>
    <x v="0"/>
    <x v="1"/>
    <x v="0"/>
    <x v="4"/>
    <n v="94"/>
    <n v="435"/>
    <d v="2021-01-01T00:00:00"/>
    <d v="2022-03-31T00:00:00"/>
    <n v="60"/>
    <n v="1"/>
    <m/>
    <m/>
    <s v="Yes"/>
    <n v="5"/>
    <n v="5"/>
    <n v="3"/>
    <m/>
    <m/>
    <m/>
    <n v="3"/>
    <m/>
    <m/>
    <m/>
    <m/>
    <m/>
    <m/>
    <m/>
    <m/>
    <m/>
    <m/>
    <m/>
    <m/>
    <m/>
    <m/>
    <m/>
    <n v="1"/>
    <m/>
    <s v="ရေပိုက်နှင့် ရေမော်တာလိုအပ်"/>
    <n v="7"/>
    <n v="8"/>
    <s v="Chruch"/>
    <m/>
    <m/>
    <m/>
    <m/>
    <m/>
    <x v="1"/>
    <x v="2"/>
    <m/>
    <m/>
    <m/>
    <m/>
    <n v="8"/>
    <s v="ရေနုတ်မြောင်းလိုအပ်/ အိမ်သာအသစ်(၄)လုံးလိုအပ်"/>
    <n v="7"/>
    <m/>
    <m/>
    <n v="7"/>
    <m/>
    <m/>
    <n v="1"/>
    <n v="104"/>
    <n v="148"/>
    <m/>
    <n v="3"/>
    <m/>
    <s v="Hygiene Promotion ပြုလုပ်ရန်"/>
    <m/>
    <m/>
    <n v="5"/>
    <m/>
    <m/>
    <m/>
    <m/>
    <m/>
    <m/>
    <m/>
    <m/>
    <s v="no test"/>
    <s v="no test"/>
    <s v="No Test"/>
    <n v="3"/>
    <n v="3"/>
    <n v="0"/>
    <n v="0"/>
    <n v="0"/>
    <n v="435"/>
    <n v="0"/>
    <n v="1"/>
    <n v="1"/>
    <n v="1"/>
    <n v="435"/>
    <n v="0"/>
    <n v="0"/>
    <n v="1"/>
    <n v="435"/>
    <n v="0.87"/>
    <n v="0"/>
    <n v="0"/>
    <n v="0.13"/>
    <n v="1"/>
    <n v="15"/>
    <n v="0.7080459770114943"/>
    <n v="308"/>
    <n v="0"/>
    <n v="0"/>
    <n v="0"/>
    <n v="22"/>
    <n v="7"/>
    <n v="0.2919540229885057"/>
    <n v="0"/>
    <n v="435"/>
    <n v="435"/>
    <n v="148"/>
    <n v="435"/>
    <n v="435"/>
    <n v="1"/>
    <n v="0"/>
    <n v="1"/>
    <n v="1"/>
    <n v="1"/>
    <n v="7"/>
    <n v="94"/>
    <n v="0"/>
    <n v="435"/>
    <s v="Yes"/>
    <n v="1.1494252873563218E-2"/>
    <n v="0"/>
    <n v="435"/>
    <n v="0"/>
    <s v="Yes"/>
    <s v="Shalom"/>
    <x v="0"/>
    <x v="0"/>
    <x v="0"/>
    <n v="25.635300000000001"/>
    <n v="96.345569999999995"/>
    <s v="MMR001CMP176"/>
    <x v="1"/>
    <m/>
    <n v="94"/>
    <n v="438"/>
  </r>
  <r>
    <x v="0"/>
    <x v="2"/>
    <x v="2"/>
    <s v="DFID"/>
    <x v="0"/>
    <x v="1"/>
    <x v="0"/>
    <x v="5"/>
    <n v="14"/>
    <n v="72"/>
    <d v="2021-01-01T00:00:00"/>
    <d v="2022-03-31T00:00:00"/>
    <m/>
    <n v="1"/>
    <m/>
    <m/>
    <s v="Yes"/>
    <n v="2"/>
    <n v="3"/>
    <n v="1"/>
    <m/>
    <m/>
    <m/>
    <m/>
    <m/>
    <m/>
    <n v="2"/>
    <m/>
    <m/>
    <m/>
    <m/>
    <m/>
    <n v="1"/>
    <m/>
    <m/>
    <m/>
    <m/>
    <m/>
    <n v="3"/>
    <n v="1"/>
    <m/>
    <m/>
    <n v="5"/>
    <m/>
    <m/>
    <m/>
    <m/>
    <m/>
    <m/>
    <m/>
    <x v="1"/>
    <x v="1"/>
    <m/>
    <n v="1"/>
    <m/>
    <m/>
    <m/>
    <m/>
    <n v="7"/>
    <m/>
    <m/>
    <n v="4"/>
    <m/>
    <m/>
    <n v="1"/>
    <n v="124"/>
    <n v="198"/>
    <s v="Yes"/>
    <n v="3"/>
    <n v="0.75"/>
    <s v="သင်တန်းများ ပြန်လည်ပို့ချပေးစေလိုပါသည်။"/>
    <n v="0.8"/>
    <n v="1"/>
    <n v="4"/>
    <n v="0.7"/>
    <m/>
    <m/>
    <m/>
    <m/>
    <m/>
    <m/>
    <m/>
    <s v="no test"/>
    <s v="no test"/>
    <s v="No Test"/>
    <n v="1"/>
    <n v="0"/>
    <n v="2"/>
    <n v="0"/>
    <n v="0"/>
    <n v="72"/>
    <n v="0"/>
    <n v="1"/>
    <n v="1"/>
    <n v="1"/>
    <n v="72"/>
    <n v="0"/>
    <n v="0"/>
    <n v="1"/>
    <n v="72"/>
    <n v="0.14399999999999999"/>
    <n v="0"/>
    <n v="0"/>
    <n v="0.85599999999999998"/>
    <n v="1"/>
    <n v="5"/>
    <n v="1"/>
    <n v="72"/>
    <n v="0"/>
    <n v="0"/>
    <n v="0"/>
    <n v="4"/>
    <n v="0"/>
    <n v="0"/>
    <n v="0"/>
    <n v="72"/>
    <n v="72"/>
    <n v="72"/>
    <n v="72"/>
    <n v="72"/>
    <n v="1"/>
    <n v="0"/>
    <n v="1"/>
    <n v="1"/>
    <n v="1"/>
    <n v="7"/>
    <n v="14"/>
    <n v="3"/>
    <n v="72"/>
    <s v="No"/>
    <n v="5.5555555555555552E-2"/>
    <n v="0"/>
    <n v="72"/>
    <n v="0"/>
    <s v="Yes"/>
    <s v="Shalom"/>
    <x v="0"/>
    <x v="0"/>
    <x v="0"/>
    <n v="25.616509000000001"/>
    <n v="96.317350000000005"/>
    <s v="MMR001CMP190"/>
    <x v="1"/>
    <m/>
    <n v="14"/>
    <n v="72"/>
  </r>
  <r>
    <x v="0"/>
    <x v="3"/>
    <x v="3"/>
    <s v="USAID, HOPE-71, HOPE-94"/>
    <x v="0"/>
    <x v="2"/>
    <x v="1"/>
    <x v="6"/>
    <n v="139"/>
    <n v="605"/>
    <s v="13-8-2021, 6-1-2020, 1-7-2021"/>
    <s v="12-2-2022, 30-11-2021, 30.4.2021"/>
    <m/>
    <m/>
    <m/>
    <m/>
    <s v="Yes"/>
    <n v="2"/>
    <n v="3"/>
    <n v="1"/>
    <m/>
    <m/>
    <n v="1"/>
    <n v="1"/>
    <m/>
    <m/>
    <m/>
    <m/>
    <m/>
    <m/>
    <m/>
    <m/>
    <m/>
    <m/>
    <m/>
    <m/>
    <m/>
    <m/>
    <n v="2"/>
    <m/>
    <m/>
    <m/>
    <n v="28"/>
    <m/>
    <m/>
    <m/>
    <m/>
    <m/>
    <m/>
    <m/>
    <x v="1"/>
    <x v="1"/>
    <m/>
    <m/>
    <n v="3"/>
    <m/>
    <m/>
    <m/>
    <n v="8"/>
    <m/>
    <m/>
    <n v="3"/>
    <m/>
    <m/>
    <n v="1"/>
    <n v="91"/>
    <n v="124"/>
    <m/>
    <m/>
    <m/>
    <m/>
    <m/>
    <m/>
    <m/>
    <m/>
    <m/>
    <m/>
    <m/>
    <m/>
    <m/>
    <m/>
    <m/>
    <s v="no test"/>
    <s v="no test"/>
    <s v="No Test"/>
    <n v="1"/>
    <n v="2"/>
    <n v="0"/>
    <n v="0"/>
    <n v="0"/>
    <n v="0"/>
    <n v="0"/>
    <n v="1"/>
    <n v="1"/>
    <n v="1"/>
    <n v="605"/>
    <n v="0"/>
    <n v="0"/>
    <n v="1"/>
    <n v="605"/>
    <n v="1.21"/>
    <n v="0"/>
    <n v="0"/>
    <n v="0"/>
    <n v="1"/>
    <n v="28"/>
    <n v="0.92561983471074383"/>
    <n v="560"/>
    <n v="0"/>
    <n v="0"/>
    <n v="0"/>
    <n v="30"/>
    <n v="2"/>
    <n v="7.4380165289256173E-2"/>
    <n v="0"/>
    <n v="500"/>
    <n v="455"/>
    <n v="124"/>
    <n v="455"/>
    <n v="500"/>
    <n v="0.82644628099173556"/>
    <n v="0.17355371900826444"/>
    <n v="0.82644628099173556"/>
    <n v="1"/>
    <n v="0.8920863309352518"/>
    <n v="8"/>
    <n v="139"/>
    <n v="0"/>
    <n v="605"/>
    <s v="No"/>
    <s v=""/>
    <n v="0"/>
    <n v="0"/>
    <n v="0"/>
    <n v="0"/>
    <n v="0"/>
    <x v="0"/>
    <x v="0"/>
    <x v="0"/>
    <n v="0"/>
    <n v="0"/>
    <n v="0"/>
    <x v="1"/>
    <m/>
    <n v="0"/>
    <n v="0"/>
  </r>
  <r>
    <x v="0"/>
    <x v="3"/>
    <x v="3"/>
    <s v="USAID, HOPE-71, HOPE-94"/>
    <x v="0"/>
    <x v="0"/>
    <x v="0"/>
    <x v="7"/>
    <n v="11"/>
    <n v="51"/>
    <s v="13-8-2021, 6-1-2020, 1-7-2021"/>
    <s v="12-2-2022, 30-11-2021, 30.4.2021"/>
    <m/>
    <m/>
    <m/>
    <m/>
    <s v="No"/>
    <m/>
    <n v="1"/>
    <m/>
    <m/>
    <m/>
    <m/>
    <n v="1"/>
    <m/>
    <m/>
    <m/>
    <m/>
    <m/>
    <m/>
    <m/>
    <m/>
    <m/>
    <m/>
    <m/>
    <m/>
    <m/>
    <m/>
    <m/>
    <m/>
    <m/>
    <m/>
    <n v="2"/>
    <m/>
    <m/>
    <m/>
    <m/>
    <m/>
    <m/>
    <m/>
    <x v="1"/>
    <x v="0"/>
    <m/>
    <m/>
    <m/>
    <m/>
    <m/>
    <m/>
    <n v="7"/>
    <m/>
    <m/>
    <n v="7"/>
    <m/>
    <m/>
    <m/>
    <n v="104"/>
    <n v="148"/>
    <m/>
    <m/>
    <m/>
    <m/>
    <m/>
    <m/>
    <m/>
    <m/>
    <m/>
    <m/>
    <m/>
    <m/>
    <m/>
    <m/>
    <m/>
    <s v="no test"/>
    <s v="no test"/>
    <s v="No Test"/>
    <n v="0"/>
    <n v="1"/>
    <n v="0"/>
    <n v="0"/>
    <n v="0"/>
    <n v="0"/>
    <n v="0"/>
    <n v="1"/>
    <n v="1"/>
    <n v="1"/>
    <n v="51"/>
    <n v="0"/>
    <n v="0"/>
    <n v="1"/>
    <n v="51"/>
    <n v="0.10199999999999999"/>
    <n v="0"/>
    <n v="0"/>
    <n v="0.89800000000000002"/>
    <n v="1"/>
    <n v="2"/>
    <n v="0.78431372549019607"/>
    <n v="40"/>
    <n v="0"/>
    <n v="0"/>
    <n v="0"/>
    <n v="3"/>
    <n v="1"/>
    <n v="0.21568627450980393"/>
    <n v="0"/>
    <n v="0"/>
    <n v="51"/>
    <n v="51"/>
    <n v="51"/>
    <n v="51"/>
    <n v="1"/>
    <n v="0"/>
    <n v="0"/>
    <n v="1"/>
    <n v="1"/>
    <n v="7"/>
    <n v="11"/>
    <n v="0"/>
    <n v="51"/>
    <s v="No"/>
    <s v=""/>
    <n v="0"/>
    <n v="0"/>
    <n v="0"/>
    <s v="Yes"/>
    <s v="KBC-BMO"/>
    <x v="0"/>
    <x v="0"/>
    <x v="0"/>
    <n v="24.260466999999998"/>
    <n v="97.252650000000003"/>
    <s v="MMR001CMP194"/>
    <x v="1"/>
    <m/>
    <n v="9"/>
    <n v="37"/>
  </r>
  <r>
    <x v="0"/>
    <x v="2"/>
    <x v="2"/>
    <s v="DFID"/>
    <x v="0"/>
    <x v="1"/>
    <x v="0"/>
    <x v="8"/>
    <n v="41"/>
    <n v="250"/>
    <d v="2021-01-01T00:00:00"/>
    <d v="2022-03-31T00:00:00"/>
    <m/>
    <n v="1"/>
    <m/>
    <m/>
    <s v="Yes"/>
    <n v="1"/>
    <n v="5"/>
    <n v="2"/>
    <m/>
    <m/>
    <m/>
    <m/>
    <m/>
    <m/>
    <m/>
    <m/>
    <m/>
    <m/>
    <m/>
    <m/>
    <n v="1"/>
    <m/>
    <m/>
    <m/>
    <m/>
    <m/>
    <m/>
    <m/>
    <m/>
    <s v="ရေတွင်း ရေမလုံလောက်ခြင်းကြောင့် စခန်းအနီးရှိ ဘုန်းကြီးကျောင်းမှ ရေပိုက်သွယ်ယူရန်လိုအပ်လျက်ရှိ"/>
    <n v="10"/>
    <m/>
    <m/>
    <m/>
    <m/>
    <m/>
    <m/>
    <m/>
    <x v="2"/>
    <x v="1"/>
    <m/>
    <m/>
    <m/>
    <m/>
    <m/>
    <s v="အမှိုက်စွန့်ပစ်ရန် ဆီဖိုးထောက်ပံ့မူများလိုအပ်နေပါသည်။"/>
    <n v="3"/>
    <m/>
    <n v="1"/>
    <n v="2"/>
    <m/>
    <m/>
    <n v="1"/>
    <n v="88"/>
    <n v="100"/>
    <m/>
    <n v="4"/>
    <m/>
    <s v="အိမ်သာအနီးလက်ဆေးစင်(၃)လုံးထောက်ပံ့ပေးရန်။ Hygiene Kits ထောက်ပံ့ပေးပါရန်"/>
    <m/>
    <m/>
    <n v="10"/>
    <m/>
    <m/>
    <m/>
    <m/>
    <m/>
    <m/>
    <m/>
    <m/>
    <s v="no test"/>
    <s v="no test"/>
    <s v="No Test"/>
    <n v="2"/>
    <n v="0"/>
    <n v="0"/>
    <n v="0"/>
    <n v="0"/>
    <n v="0"/>
    <n v="0"/>
    <n v="1"/>
    <n v="1"/>
    <n v="1"/>
    <n v="250"/>
    <n v="0"/>
    <n v="0"/>
    <n v="1"/>
    <n v="250"/>
    <n v="0.5"/>
    <n v="0"/>
    <n v="0"/>
    <n v="0.5"/>
    <n v="1"/>
    <n v="10"/>
    <n v="0.8"/>
    <n v="200"/>
    <n v="0"/>
    <n v="0"/>
    <n v="0"/>
    <n v="13"/>
    <n v="3"/>
    <n v="0.19999999999999996"/>
    <n v="0"/>
    <n v="250"/>
    <n v="250"/>
    <n v="100"/>
    <n v="250"/>
    <n v="250"/>
    <n v="1"/>
    <n v="0"/>
    <n v="1"/>
    <n v="1"/>
    <n v="1"/>
    <n v="3"/>
    <n v="41"/>
    <n v="0"/>
    <n v="250"/>
    <s v="No"/>
    <n v="0.04"/>
    <n v="0"/>
    <n v="0"/>
    <n v="0"/>
    <s v="Yes"/>
    <s v="KBC-MYT"/>
    <x v="0"/>
    <x v="0"/>
    <x v="0"/>
    <n v="25.647649999999999"/>
    <n v="96.346469999999997"/>
    <s v="MMR001CMP169"/>
    <x v="1"/>
    <m/>
    <n v="41"/>
    <n v="249"/>
  </r>
  <r>
    <x v="0"/>
    <x v="0"/>
    <x v="0"/>
    <m/>
    <x v="0"/>
    <x v="0"/>
    <x v="0"/>
    <x v="9"/>
    <n v="181"/>
    <n v="906"/>
    <s v="13-8-2021, 6-1-2020"/>
    <s v="12-20-2022, 30-7-2021"/>
    <m/>
    <m/>
    <m/>
    <m/>
    <m/>
    <m/>
    <n v="4"/>
    <m/>
    <m/>
    <m/>
    <m/>
    <m/>
    <m/>
    <m/>
    <m/>
    <m/>
    <m/>
    <m/>
    <m/>
    <m/>
    <m/>
    <m/>
    <m/>
    <m/>
    <m/>
    <m/>
    <m/>
    <m/>
    <m/>
    <m/>
    <m/>
    <m/>
    <m/>
    <m/>
    <m/>
    <m/>
    <m/>
    <m/>
    <x v="0"/>
    <x v="0"/>
    <m/>
    <m/>
    <m/>
    <m/>
    <m/>
    <m/>
    <n v="7"/>
    <m/>
    <m/>
    <n v="7"/>
    <m/>
    <m/>
    <m/>
    <n v="104"/>
    <n v="148"/>
    <m/>
    <m/>
    <m/>
    <m/>
    <m/>
    <m/>
    <m/>
    <m/>
    <m/>
    <m/>
    <m/>
    <m/>
    <m/>
    <m/>
    <m/>
    <s v="no test"/>
    <s v="no test"/>
    <s v="No Test"/>
    <n v="0"/>
    <n v="0"/>
    <n v="0"/>
    <n v="0"/>
    <n v="0"/>
    <n v="0"/>
    <n v="0"/>
    <n v="0"/>
    <n v="0"/>
    <n v="0"/>
    <n v="0"/>
    <n v="0"/>
    <n v="0"/>
    <n v="0"/>
    <n v="0"/>
    <n v="0"/>
    <n v="1"/>
    <n v="906"/>
    <n v="2"/>
    <n v="2"/>
    <n v="0"/>
    <n v="0"/>
    <n v="0"/>
    <n v="0"/>
    <n v="0"/>
    <n v="0"/>
    <n v="45"/>
    <n v="45"/>
    <n v="1"/>
    <n v="0"/>
    <n v="0"/>
    <n v="520"/>
    <n v="148"/>
    <n v="520"/>
    <n v="520"/>
    <n v="0.57395143487858724"/>
    <n v="0.42604856512141276"/>
    <n v="0"/>
    <n v="1"/>
    <n v="0.81767955801104975"/>
    <n v="7"/>
    <n v="140"/>
    <n v="0"/>
    <n v="700"/>
    <s v="No"/>
    <s v=""/>
    <n v="0"/>
    <n v="0"/>
    <n v="0"/>
    <n v="0"/>
    <s v="uncovered"/>
    <x v="0"/>
    <x v="2"/>
    <x v="0"/>
    <n v="24.263786"/>
    <n v="97.228835000000004"/>
    <s v="MMR001CMP163"/>
    <x v="0"/>
    <m/>
    <n v="65"/>
    <n v="337"/>
  </r>
  <r>
    <x v="0"/>
    <x v="4"/>
    <x v="4"/>
    <s v="UNICEF"/>
    <x v="0"/>
    <x v="3"/>
    <x v="0"/>
    <x v="10"/>
    <n v="119"/>
    <n v="421"/>
    <d v="2021-08-06T00:00:00"/>
    <d v="2022-08-05T00:00:00"/>
    <m/>
    <m/>
    <m/>
    <m/>
    <s v="Yes"/>
    <n v="4"/>
    <n v="3"/>
    <m/>
    <m/>
    <m/>
    <m/>
    <m/>
    <m/>
    <m/>
    <m/>
    <m/>
    <m/>
    <m/>
    <m/>
    <m/>
    <m/>
    <m/>
    <m/>
    <m/>
    <m/>
    <m/>
    <n v="4"/>
    <m/>
    <m/>
    <m/>
    <n v="90"/>
    <m/>
    <m/>
    <m/>
    <m/>
    <m/>
    <m/>
    <m/>
    <x v="1"/>
    <x v="1"/>
    <m/>
    <m/>
    <m/>
    <m/>
    <m/>
    <m/>
    <n v="1"/>
    <m/>
    <m/>
    <n v="1"/>
    <m/>
    <m/>
    <n v="2"/>
    <n v="6"/>
    <n v="5"/>
    <m/>
    <m/>
    <m/>
    <m/>
    <m/>
    <m/>
    <m/>
    <m/>
    <m/>
    <m/>
    <m/>
    <m/>
    <m/>
    <m/>
    <m/>
    <s v="no test"/>
    <s v="no test"/>
    <s v="No Test"/>
    <n v="0"/>
    <n v="0"/>
    <n v="0"/>
    <n v="0"/>
    <n v="0"/>
    <n v="0"/>
    <n v="0"/>
    <n v="0"/>
    <n v="0"/>
    <n v="0"/>
    <n v="0"/>
    <n v="0"/>
    <n v="0"/>
    <n v="0"/>
    <n v="0"/>
    <n v="0"/>
    <n v="1"/>
    <n v="421"/>
    <n v="1"/>
    <n v="1"/>
    <n v="90"/>
    <n v="1"/>
    <n v="421"/>
    <n v="0"/>
    <n v="0"/>
    <n v="0"/>
    <n v="21"/>
    <n v="0"/>
    <n v="0"/>
    <n v="0"/>
    <n v="421"/>
    <n v="30"/>
    <n v="5"/>
    <n v="30"/>
    <n v="421"/>
    <n v="1"/>
    <n v="0"/>
    <n v="1"/>
    <n v="5.0420168067226892E-2"/>
    <n v="4.2016806722689079E-2"/>
    <n v="1"/>
    <n v="20"/>
    <n v="0"/>
    <n v="100"/>
    <s v="No"/>
    <s v=""/>
    <n v="0"/>
    <n v="0"/>
    <n v="0"/>
    <s v="Yes"/>
    <s v="KMSS-MYT"/>
    <x v="0"/>
    <x v="0"/>
    <x v="1"/>
    <n v="25.220278"/>
    <n v="97.915833000000006"/>
    <s v="MMR001CMP113"/>
    <x v="1"/>
    <m/>
    <n v="118"/>
    <n v="419"/>
  </r>
  <r>
    <x v="0"/>
    <x v="5"/>
    <x v="5"/>
    <s v="Trocaire/Irish"/>
    <x v="0"/>
    <x v="4"/>
    <x v="0"/>
    <x v="11"/>
    <n v="131"/>
    <n v="586"/>
    <s v="15-05-2021"/>
    <s v="14-08-2021"/>
    <m/>
    <m/>
    <m/>
    <m/>
    <m/>
    <m/>
    <m/>
    <m/>
    <m/>
    <m/>
    <m/>
    <m/>
    <m/>
    <m/>
    <m/>
    <m/>
    <m/>
    <m/>
    <m/>
    <m/>
    <m/>
    <m/>
    <m/>
    <m/>
    <m/>
    <m/>
    <n v="12"/>
    <m/>
    <m/>
    <s v="Regarding to the water source testing result (Water conterminate), it should not use for the drinking water. Therefore, it needs to find the new water source and construct new water supply."/>
    <n v="12"/>
    <m/>
    <m/>
    <m/>
    <n v="10"/>
    <m/>
    <m/>
    <m/>
    <x v="0"/>
    <x v="0"/>
    <m/>
    <m/>
    <m/>
    <m/>
    <n v="25"/>
    <s v="It still needs to construct new sanitations"/>
    <n v="3"/>
    <m/>
    <m/>
    <n v="2"/>
    <n v="4"/>
    <n v="2"/>
    <m/>
    <n v="10"/>
    <n v="18"/>
    <m/>
    <m/>
    <m/>
    <s v="It should support in-kind because there is no accessible market"/>
    <m/>
    <m/>
    <m/>
    <m/>
    <m/>
    <m/>
    <m/>
    <m/>
    <m/>
    <m/>
    <m/>
    <s v="no test"/>
    <s v="no test"/>
    <s v="No Test"/>
    <n v="0"/>
    <n v="0"/>
    <n v="0"/>
    <n v="0"/>
    <n v="0"/>
    <n v="0"/>
    <n v="0"/>
    <n v="0"/>
    <n v="0"/>
    <n v="0"/>
    <n v="0"/>
    <n v="0"/>
    <n v="0"/>
    <n v="0"/>
    <n v="0"/>
    <n v="0"/>
    <n v="1"/>
    <n v="586"/>
    <n v="1"/>
    <n v="1"/>
    <n v="12"/>
    <n v="0.4522184300341297"/>
    <n v="265"/>
    <n v="0"/>
    <n v="0"/>
    <n v="0"/>
    <n v="29"/>
    <n v="17"/>
    <n v="0.54778156996587035"/>
    <n v="0"/>
    <n v="586"/>
    <n v="50"/>
    <n v="18"/>
    <n v="50"/>
    <n v="586"/>
    <n v="1"/>
    <n v="0"/>
    <n v="1"/>
    <n v="7.6335877862595422E-2"/>
    <n v="0.13740458015267176"/>
    <n v="3"/>
    <n v="60"/>
    <n v="0"/>
    <n v="300"/>
    <s v="No"/>
    <s v=""/>
    <n v="0"/>
    <n v="0"/>
    <n v="0"/>
    <s v="Yes"/>
    <s v="STW/KMSS-MYT"/>
    <x v="0"/>
    <x v="0"/>
    <x v="1"/>
    <n v="26.007408000000002"/>
    <n v="97.823777000000007"/>
    <s v="MMR001CMP280"/>
    <x v="1"/>
    <m/>
    <n v="140"/>
    <n v="659"/>
  </r>
  <r>
    <x v="0"/>
    <x v="6"/>
    <x v="6"/>
    <s v="SI (ECHO)"/>
    <x v="0"/>
    <x v="5"/>
    <x v="0"/>
    <x v="12"/>
    <n v="361"/>
    <n v="1887"/>
    <d v="2020-05-01T00:00:00"/>
    <d v="2020-02-28T00:00:00"/>
    <m/>
    <m/>
    <m/>
    <m/>
    <s v="Yes"/>
    <m/>
    <m/>
    <n v="4"/>
    <m/>
    <m/>
    <m/>
    <m/>
    <m/>
    <m/>
    <m/>
    <m/>
    <m/>
    <m/>
    <n v="5"/>
    <m/>
    <m/>
    <n v="5"/>
    <m/>
    <m/>
    <m/>
    <m/>
    <n v="0"/>
    <n v="5"/>
    <m/>
    <m/>
    <n v="185"/>
    <m/>
    <m/>
    <m/>
    <m/>
    <m/>
    <m/>
    <n v="73"/>
    <x v="2"/>
    <x v="1"/>
    <n v="4"/>
    <n v="60"/>
    <n v="15"/>
    <n v="2"/>
    <m/>
    <m/>
    <n v="1"/>
    <m/>
    <n v="60"/>
    <n v="1"/>
    <m/>
    <n v="2"/>
    <n v="6"/>
    <n v="6"/>
    <n v="5"/>
    <m/>
    <m/>
    <m/>
    <m/>
    <m/>
    <m/>
    <m/>
    <m/>
    <m/>
    <m/>
    <m/>
    <m/>
    <m/>
    <m/>
    <m/>
    <s v="no test"/>
    <s v="no test"/>
    <s v="No Test"/>
    <n v="4"/>
    <n v="0"/>
    <n v="0"/>
    <n v="0"/>
    <n v="0"/>
    <n v="1887"/>
    <n v="0"/>
    <n v="0.84790673025967145"/>
    <n v="0.52994170641229466"/>
    <n v="0.84790673025967145"/>
    <n v="1600"/>
    <n v="0.66242713301536826"/>
    <n v="1250"/>
    <n v="1"/>
    <n v="1887"/>
    <n v="3.774"/>
    <n v="0"/>
    <n v="0"/>
    <n v="0.22599999999999998"/>
    <n v="4"/>
    <n v="185"/>
    <n v="1"/>
    <n v="1887"/>
    <n v="0"/>
    <n v="0"/>
    <n v="100"/>
    <n v="94"/>
    <n v="0"/>
    <n v="0"/>
    <n v="0"/>
    <n v="1887"/>
    <n v="30"/>
    <n v="5"/>
    <n v="30"/>
    <n v="1887"/>
    <n v="1"/>
    <n v="0"/>
    <n v="1"/>
    <n v="1.662049861495845E-2"/>
    <n v="1.3850415512465374E-2"/>
    <n v="1"/>
    <n v="20"/>
    <n v="0"/>
    <n v="100"/>
    <s v="No"/>
    <s v=""/>
    <n v="0"/>
    <n v="1887"/>
    <n v="100"/>
    <s v="Yes"/>
    <s v="KMSS-BMO"/>
    <x v="0"/>
    <x v="0"/>
    <x v="1"/>
    <n v="24.002433"/>
    <n v="97.609832999999995"/>
    <s v="MMR001CMP129"/>
    <x v="1"/>
    <m/>
    <n v="388"/>
    <n v="1900"/>
  </r>
  <r>
    <x v="0"/>
    <x v="2"/>
    <x v="2"/>
    <s v="DFID"/>
    <x v="0"/>
    <x v="1"/>
    <x v="0"/>
    <x v="13"/>
    <n v="5"/>
    <n v="24"/>
    <d v="2021-01-01T00:00:00"/>
    <d v="2022-03-31T00:00:00"/>
    <m/>
    <n v="1"/>
    <m/>
    <m/>
    <s v="Yes"/>
    <n v="2"/>
    <n v="1"/>
    <n v="0"/>
    <m/>
    <m/>
    <m/>
    <m/>
    <m/>
    <m/>
    <n v="4"/>
    <m/>
    <m/>
    <m/>
    <m/>
    <m/>
    <m/>
    <m/>
    <m/>
    <m/>
    <m/>
    <m/>
    <n v="1"/>
    <m/>
    <m/>
    <m/>
    <n v="2"/>
    <m/>
    <m/>
    <m/>
    <m/>
    <m/>
    <m/>
    <m/>
    <x v="1"/>
    <x v="1"/>
    <m/>
    <m/>
    <m/>
    <m/>
    <m/>
    <s v="အိမ်သာ(အသစ်)လိုချင်သော်လည်းနေရာမရှိ"/>
    <n v="3"/>
    <m/>
    <m/>
    <n v="2"/>
    <m/>
    <m/>
    <n v="1"/>
    <n v="10"/>
    <n v="18"/>
    <s v="Yes"/>
    <n v="1"/>
    <n v="0.85"/>
    <s v="Hygiene Kit ပုံမှန်ပေးစေလို"/>
    <n v="0.8"/>
    <n v="0.5"/>
    <n v="5"/>
    <n v="0.8"/>
    <m/>
    <m/>
    <m/>
    <m/>
    <m/>
    <m/>
    <m/>
    <s v="no test"/>
    <s v="no test"/>
    <s v="No Test"/>
    <n v="0"/>
    <n v="0"/>
    <n v="4"/>
    <n v="0"/>
    <n v="0"/>
    <n v="0"/>
    <n v="0"/>
    <n v="1"/>
    <n v="1"/>
    <n v="1"/>
    <n v="24"/>
    <n v="0"/>
    <n v="0"/>
    <n v="1"/>
    <n v="24"/>
    <n v="4.8000000000000001E-2"/>
    <n v="0"/>
    <n v="0"/>
    <n v="0.95199999999999996"/>
    <n v="1"/>
    <n v="2"/>
    <n v="1"/>
    <n v="24"/>
    <n v="0"/>
    <n v="0"/>
    <n v="0"/>
    <n v="1"/>
    <n v="0"/>
    <n v="0"/>
    <n v="0"/>
    <n v="24"/>
    <n v="24"/>
    <n v="18"/>
    <n v="24"/>
    <n v="24"/>
    <n v="1"/>
    <n v="0"/>
    <n v="1"/>
    <n v="1"/>
    <n v="1"/>
    <n v="3"/>
    <n v="5"/>
    <n v="1"/>
    <n v="24"/>
    <s v="No"/>
    <n v="0.20833333333333334"/>
    <n v="0"/>
    <n v="0"/>
    <n v="0"/>
    <s v="Yes"/>
    <s v="Shalom"/>
    <x v="0"/>
    <x v="3"/>
    <x v="0"/>
    <n v="25.582065"/>
    <n v="96.283377000000002"/>
    <s v="MMR001CMP109"/>
    <x v="1"/>
    <m/>
    <n v="5"/>
    <n v="24"/>
  </r>
  <r>
    <x v="0"/>
    <x v="2"/>
    <x v="2"/>
    <s v="DFID"/>
    <x v="0"/>
    <x v="6"/>
    <x v="0"/>
    <x v="14"/>
    <n v="165"/>
    <n v="878"/>
    <d v="2021-01-01T00:00:00"/>
    <d v="2022-03-31T00:00:00"/>
    <m/>
    <n v="1"/>
    <m/>
    <m/>
    <s v="Yes"/>
    <n v="2"/>
    <n v="5"/>
    <m/>
    <m/>
    <m/>
    <m/>
    <m/>
    <m/>
    <m/>
    <n v="4"/>
    <m/>
    <n v="4"/>
    <m/>
    <n v="9"/>
    <m/>
    <m/>
    <n v="2"/>
    <m/>
    <m/>
    <m/>
    <m/>
    <n v="6"/>
    <m/>
    <m/>
    <s v="မိုးတွင်းတွင် ရေခက်ခဲ"/>
    <n v="30"/>
    <n v="12"/>
    <s v="ICRC"/>
    <n v="10"/>
    <m/>
    <n v="6"/>
    <m/>
    <n v="0"/>
    <x v="1"/>
    <x v="1"/>
    <m/>
    <m/>
    <n v="2"/>
    <m/>
    <m/>
    <m/>
    <n v="2"/>
    <m/>
    <m/>
    <n v="1"/>
    <m/>
    <m/>
    <n v="1"/>
    <n v="6"/>
    <n v="5"/>
    <m/>
    <m/>
    <n v="0.5"/>
    <s v="သွားတိုက်ဆေး၊ သွားတိုက်တံ"/>
    <n v="0.7"/>
    <n v="0.8"/>
    <m/>
    <n v="0.9"/>
    <n v="2"/>
    <n v="165"/>
    <n v="1"/>
    <m/>
    <m/>
    <m/>
    <m/>
    <s v="no test"/>
    <s v="no test"/>
    <s v="No Test"/>
    <n v="0"/>
    <n v="0"/>
    <n v="4"/>
    <n v="0"/>
    <n v="0"/>
    <n v="0"/>
    <n v="0"/>
    <n v="0.30372057706909644"/>
    <n v="0.30372057706909644"/>
    <n v="0.30372057706909644"/>
    <n v="266.66666666666669"/>
    <n v="1"/>
    <n v="878"/>
    <n v="1"/>
    <n v="878"/>
    <n v="1.756"/>
    <n v="0"/>
    <n v="0"/>
    <n v="0.24399999999999999"/>
    <n v="2"/>
    <n v="32"/>
    <n v="0.72892938496583148"/>
    <n v="640"/>
    <n v="120"/>
    <n v="0"/>
    <n v="0"/>
    <n v="44"/>
    <n v="2"/>
    <n v="0.27107061503416852"/>
    <n v="0.23809523809523808"/>
    <n v="500"/>
    <n v="30"/>
    <n v="5"/>
    <n v="30"/>
    <n v="500"/>
    <n v="0.56947608200455579"/>
    <n v="0.43052391799544421"/>
    <n v="0.56947608200455579"/>
    <n v="0.14545454545454545"/>
    <n v="3.0303030303030304E-2"/>
    <n v="2"/>
    <n v="40"/>
    <n v="0"/>
    <n v="200"/>
    <s v="No"/>
    <s v=""/>
    <n v="168"/>
    <n v="0"/>
    <n v="0"/>
    <s v="Yes"/>
    <s v="Shalom"/>
    <x v="0"/>
    <x v="0"/>
    <x v="0"/>
    <n v="25.889410000000002"/>
    <n v="98.131550000000004"/>
    <s v="MMR001CMP042"/>
    <x v="1"/>
    <m/>
    <n v="138"/>
    <n v="706"/>
  </r>
  <r>
    <x v="0"/>
    <x v="0"/>
    <x v="0"/>
    <m/>
    <x v="0"/>
    <x v="6"/>
    <x v="0"/>
    <x v="15"/>
    <n v="57"/>
    <n v="264"/>
    <m/>
    <m/>
    <m/>
    <m/>
    <m/>
    <m/>
    <s v="Yes"/>
    <m/>
    <m/>
    <m/>
    <m/>
    <m/>
    <m/>
    <m/>
    <m/>
    <m/>
    <m/>
    <m/>
    <m/>
    <m/>
    <m/>
    <m/>
    <m/>
    <m/>
    <m/>
    <m/>
    <m/>
    <m/>
    <m/>
    <m/>
    <m/>
    <m/>
    <n v="28"/>
    <m/>
    <m/>
    <m/>
    <m/>
    <m/>
    <m/>
    <m/>
    <x v="1"/>
    <x v="1"/>
    <n v="2"/>
    <m/>
    <m/>
    <m/>
    <m/>
    <m/>
    <n v="3"/>
    <m/>
    <m/>
    <n v="2"/>
    <m/>
    <m/>
    <m/>
    <n v="88"/>
    <n v="100"/>
    <m/>
    <m/>
    <m/>
    <m/>
    <m/>
    <m/>
    <m/>
    <m/>
    <m/>
    <m/>
    <m/>
    <m/>
    <m/>
    <m/>
    <m/>
    <s v="no test"/>
    <s v="no test"/>
    <s v="No Test"/>
    <n v="0"/>
    <n v="0"/>
    <n v="0"/>
    <n v="0"/>
    <n v="0"/>
    <n v="0"/>
    <n v="0"/>
    <n v="0"/>
    <n v="0"/>
    <n v="0"/>
    <n v="0"/>
    <n v="0"/>
    <n v="0"/>
    <n v="0"/>
    <n v="0"/>
    <n v="0"/>
    <n v="1"/>
    <n v="264"/>
    <n v="1"/>
    <n v="1"/>
    <n v="28"/>
    <n v="1"/>
    <n v="264"/>
    <n v="0"/>
    <n v="0"/>
    <n v="0"/>
    <n v="13"/>
    <n v="0"/>
    <n v="0"/>
    <n v="0"/>
    <n v="0"/>
    <n v="264"/>
    <n v="100"/>
    <n v="264"/>
    <n v="264"/>
    <n v="1"/>
    <n v="0"/>
    <n v="0"/>
    <n v="1"/>
    <n v="1"/>
    <n v="3"/>
    <n v="57"/>
    <n v="0"/>
    <n v="264"/>
    <s v="No"/>
    <s v=""/>
    <n v="0"/>
    <n v="0"/>
    <n v="0"/>
    <s v="Yes"/>
    <s v="KMSS-MYT"/>
    <x v="0"/>
    <x v="2"/>
    <x v="0"/>
    <n v="25.60867"/>
    <n v="98.377780000000001"/>
    <s v="MMR001CMP210"/>
    <x v="0"/>
    <m/>
    <n v="4"/>
    <n v="20"/>
  </r>
  <r>
    <x v="0"/>
    <x v="2"/>
    <x v="2"/>
    <s v="DFID"/>
    <x v="0"/>
    <x v="1"/>
    <x v="0"/>
    <x v="16"/>
    <n v="91"/>
    <n v="442"/>
    <d v="2021-01-01T00:00:00"/>
    <d v="2022-03-31T00:00:00"/>
    <n v="125"/>
    <n v="1"/>
    <m/>
    <m/>
    <s v="Yes"/>
    <n v="3"/>
    <n v="6"/>
    <m/>
    <m/>
    <m/>
    <n v="1"/>
    <m/>
    <m/>
    <m/>
    <m/>
    <m/>
    <m/>
    <m/>
    <n v="2"/>
    <m/>
    <m/>
    <m/>
    <m/>
    <m/>
    <m/>
    <m/>
    <n v="1"/>
    <n v="1"/>
    <m/>
    <s v="နွေရာသီတွင် သောက်သုံးရေခက်ခဲ။ ရေမသန့်ရှင်းသောကြောင့် ကလေး၊လူကြီးများတွင် အရေပြားရောဂါများဖြစ်ပွားနေပါသည်။"/>
    <n v="23"/>
    <m/>
    <m/>
    <m/>
    <m/>
    <n v="3"/>
    <m/>
    <m/>
    <x v="1"/>
    <x v="1"/>
    <m/>
    <n v="1"/>
    <m/>
    <m/>
    <n v="7"/>
    <s v="မိလု္လာတွင်းတိမ်သည့် အတွက် မကြာမဏပြည့်။"/>
    <n v="3"/>
    <m/>
    <m/>
    <n v="3"/>
    <m/>
    <m/>
    <n v="1"/>
    <n v="41"/>
    <n v="85"/>
    <s v="No"/>
    <n v="3"/>
    <m/>
    <s v="Hygiene Promotion ပြုလုပ်ရန်"/>
    <m/>
    <m/>
    <n v="50"/>
    <m/>
    <m/>
    <m/>
    <m/>
    <m/>
    <m/>
    <m/>
    <m/>
    <s v="no test"/>
    <s v="no test"/>
    <s v="No Test"/>
    <n v="0"/>
    <n v="1"/>
    <n v="0"/>
    <n v="0"/>
    <n v="0"/>
    <n v="442"/>
    <n v="0"/>
    <n v="1"/>
    <n v="0.56561085972850678"/>
    <n v="1"/>
    <n v="442"/>
    <n v="1"/>
    <n v="442"/>
    <n v="1"/>
    <n v="442"/>
    <n v="0.88400000000000001"/>
    <n v="0"/>
    <n v="0"/>
    <n v="0.11599999999999999"/>
    <n v="1"/>
    <n v="23"/>
    <n v="1"/>
    <n v="442"/>
    <n v="60"/>
    <n v="0"/>
    <n v="0"/>
    <n v="22"/>
    <n v="0"/>
    <n v="0"/>
    <n v="0"/>
    <n v="442"/>
    <n v="205"/>
    <n v="85"/>
    <n v="205"/>
    <n v="442"/>
    <n v="1"/>
    <n v="0"/>
    <n v="1"/>
    <n v="1"/>
    <n v="0.93406593406593408"/>
    <n v="3"/>
    <n v="60"/>
    <n v="0"/>
    <n v="300"/>
    <s v="Yes"/>
    <n v="0.11312217194570136"/>
    <n v="0"/>
    <n v="442"/>
    <n v="0"/>
    <s v="Yes"/>
    <s v="Shalom"/>
    <x v="0"/>
    <x v="0"/>
    <x v="0"/>
    <n v="25.637309999999999"/>
    <n v="96.35257"/>
    <s v="MMR001CMP174"/>
    <x v="1"/>
    <m/>
    <n v="91"/>
    <n v="442"/>
  </r>
  <r>
    <x v="0"/>
    <x v="0"/>
    <x v="0"/>
    <m/>
    <x v="0"/>
    <x v="3"/>
    <x v="0"/>
    <x v="17"/>
    <n v="48"/>
    <n v="240"/>
    <m/>
    <m/>
    <m/>
    <m/>
    <m/>
    <m/>
    <m/>
    <m/>
    <m/>
    <m/>
    <m/>
    <m/>
    <m/>
    <m/>
    <m/>
    <m/>
    <m/>
    <m/>
    <m/>
    <m/>
    <m/>
    <m/>
    <m/>
    <m/>
    <m/>
    <m/>
    <m/>
    <m/>
    <m/>
    <m/>
    <m/>
    <m/>
    <m/>
    <m/>
    <m/>
    <m/>
    <m/>
    <m/>
    <m/>
    <m/>
    <x v="0"/>
    <x v="0"/>
    <m/>
    <m/>
    <m/>
    <m/>
    <m/>
    <m/>
    <n v="7"/>
    <m/>
    <m/>
    <n v="4"/>
    <m/>
    <m/>
    <m/>
    <n v="124"/>
    <n v="198"/>
    <m/>
    <m/>
    <m/>
    <m/>
    <m/>
    <m/>
    <m/>
    <m/>
    <m/>
    <m/>
    <m/>
    <m/>
    <m/>
    <m/>
    <m/>
    <s v="no test"/>
    <s v="no test"/>
    <s v="No Test"/>
    <n v="0"/>
    <n v="0"/>
    <n v="0"/>
    <n v="0"/>
    <n v="0"/>
    <n v="0"/>
    <n v="0"/>
    <n v="0"/>
    <n v="0"/>
    <n v="0"/>
    <n v="0"/>
    <n v="0"/>
    <n v="0"/>
    <n v="0"/>
    <n v="0"/>
    <n v="0"/>
    <n v="1"/>
    <n v="240"/>
    <n v="1"/>
    <n v="1"/>
    <n v="0"/>
    <n v="0"/>
    <n v="0"/>
    <n v="0"/>
    <n v="0"/>
    <n v="0"/>
    <n v="12"/>
    <n v="12"/>
    <n v="1"/>
    <n v="0"/>
    <n v="0"/>
    <n v="240"/>
    <n v="198"/>
    <n v="240"/>
    <n v="240"/>
    <n v="1"/>
    <n v="0"/>
    <n v="0"/>
    <n v="1"/>
    <n v="1"/>
    <n v="7"/>
    <n v="48"/>
    <n v="0"/>
    <n v="240"/>
    <s v="No"/>
    <s v=""/>
    <n v="0"/>
    <n v="0"/>
    <n v="0"/>
    <n v="0"/>
    <s v="Uncovered  "/>
    <x v="0"/>
    <x v="3"/>
    <x v="0"/>
    <n v="0"/>
    <n v="0"/>
    <s v="MMR001CMP293"/>
    <x v="0"/>
    <m/>
    <n v="48"/>
    <n v="240"/>
  </r>
  <r>
    <x v="0"/>
    <x v="0"/>
    <x v="0"/>
    <m/>
    <x v="0"/>
    <x v="3"/>
    <x v="0"/>
    <x v="18"/>
    <n v="34"/>
    <n v="189"/>
    <m/>
    <m/>
    <m/>
    <m/>
    <m/>
    <m/>
    <m/>
    <m/>
    <m/>
    <m/>
    <m/>
    <m/>
    <m/>
    <m/>
    <m/>
    <m/>
    <m/>
    <m/>
    <m/>
    <m/>
    <m/>
    <m/>
    <m/>
    <m/>
    <m/>
    <m/>
    <m/>
    <m/>
    <m/>
    <m/>
    <m/>
    <m/>
    <m/>
    <m/>
    <m/>
    <m/>
    <m/>
    <m/>
    <m/>
    <m/>
    <x v="0"/>
    <x v="0"/>
    <m/>
    <m/>
    <m/>
    <m/>
    <m/>
    <m/>
    <n v="3"/>
    <m/>
    <m/>
    <n v="2"/>
    <m/>
    <m/>
    <m/>
    <n v="88"/>
    <n v="100"/>
    <m/>
    <m/>
    <m/>
    <m/>
    <m/>
    <m/>
    <m/>
    <m/>
    <m/>
    <m/>
    <m/>
    <m/>
    <m/>
    <m/>
    <m/>
    <s v="no test"/>
    <s v="no test"/>
    <s v="No Test"/>
    <n v="0"/>
    <n v="0"/>
    <n v="0"/>
    <n v="0"/>
    <n v="0"/>
    <n v="0"/>
    <n v="0"/>
    <n v="0"/>
    <n v="0"/>
    <n v="0"/>
    <n v="0"/>
    <n v="0"/>
    <n v="0"/>
    <n v="0"/>
    <n v="0"/>
    <n v="0"/>
    <n v="1"/>
    <n v="189"/>
    <n v="1"/>
    <n v="1"/>
    <n v="0"/>
    <n v="0"/>
    <n v="0"/>
    <n v="0"/>
    <n v="0"/>
    <n v="0"/>
    <n v="9"/>
    <n v="9"/>
    <n v="1"/>
    <n v="0"/>
    <n v="0"/>
    <n v="189"/>
    <n v="100"/>
    <n v="189"/>
    <n v="189"/>
    <n v="1"/>
    <n v="0"/>
    <n v="0"/>
    <n v="1"/>
    <n v="1"/>
    <n v="3"/>
    <n v="34"/>
    <n v="0"/>
    <n v="189"/>
    <s v="No"/>
    <s v=""/>
    <n v="0"/>
    <n v="0"/>
    <n v="0"/>
    <n v="0"/>
    <s v="Uncovered  "/>
    <x v="0"/>
    <x v="3"/>
    <x v="0"/>
    <n v="0"/>
    <n v="0"/>
    <s v="MMR001CMP294"/>
    <x v="0"/>
    <m/>
    <n v="34"/>
    <n v="189"/>
  </r>
  <r>
    <x v="0"/>
    <x v="7"/>
    <x v="7"/>
    <s v="UNICEF"/>
    <x v="0"/>
    <x v="7"/>
    <x v="0"/>
    <x v="19"/>
    <n v="43"/>
    <n v="197"/>
    <d v="2020-10-01T00:00:00"/>
    <d v="2022-04-30T00:00:00"/>
    <m/>
    <n v="2"/>
    <m/>
    <m/>
    <s v="Yes"/>
    <m/>
    <m/>
    <n v="0"/>
    <m/>
    <m/>
    <n v="3"/>
    <m/>
    <m/>
    <m/>
    <m/>
    <m/>
    <m/>
    <m/>
    <n v="3"/>
    <m/>
    <m/>
    <n v="3"/>
    <m/>
    <m/>
    <m/>
    <m/>
    <m/>
    <m/>
    <m/>
    <m/>
    <n v="7"/>
    <m/>
    <m/>
    <m/>
    <n v="2"/>
    <n v="51"/>
    <m/>
    <n v="7"/>
    <x v="1"/>
    <x v="1"/>
    <m/>
    <m/>
    <m/>
    <m/>
    <m/>
    <m/>
    <n v="1"/>
    <m/>
    <m/>
    <n v="3"/>
    <m/>
    <n v="1"/>
    <n v="1"/>
    <n v="41"/>
    <n v="85"/>
    <m/>
    <m/>
    <m/>
    <m/>
    <m/>
    <m/>
    <m/>
    <m/>
    <m/>
    <m/>
    <m/>
    <m/>
    <m/>
    <m/>
    <m/>
    <s v="no test"/>
    <s v="no test"/>
    <s v="No Test"/>
    <n v="0"/>
    <n v="3"/>
    <n v="0"/>
    <n v="0"/>
    <n v="0"/>
    <n v="0"/>
    <n v="0"/>
    <n v="1"/>
    <n v="1"/>
    <n v="1"/>
    <n v="197"/>
    <n v="1"/>
    <n v="197"/>
    <n v="1"/>
    <n v="197"/>
    <n v="0.39400000000000002"/>
    <n v="0"/>
    <n v="0"/>
    <n v="0.60599999999999998"/>
    <n v="1"/>
    <n v="7"/>
    <n v="0.71065989847715738"/>
    <n v="140"/>
    <n v="197"/>
    <n v="0"/>
    <n v="0"/>
    <n v="10"/>
    <n v="3"/>
    <n v="0.28934010152284262"/>
    <n v="0"/>
    <n v="197"/>
    <n v="197"/>
    <n v="85"/>
    <n v="197"/>
    <n v="197"/>
    <n v="1"/>
    <n v="0"/>
    <n v="1"/>
    <n v="1"/>
    <n v="1"/>
    <n v="1"/>
    <n v="20"/>
    <n v="0"/>
    <n v="100"/>
    <s v="No"/>
    <s v=""/>
    <n v="0"/>
    <n v="0"/>
    <n v="0"/>
    <s v="Yes"/>
    <s v="KBC-MYT"/>
    <x v="0"/>
    <x v="0"/>
    <x v="0"/>
    <n v="25.3959740909091"/>
    <n v="97.382997575757599"/>
    <s v="MMR001CMP010"/>
    <x v="1"/>
    <m/>
    <n v="44"/>
    <n v="196"/>
  </r>
  <r>
    <x v="0"/>
    <x v="4"/>
    <x v="4"/>
    <s v="UNICEF"/>
    <x v="0"/>
    <x v="2"/>
    <x v="0"/>
    <x v="20"/>
    <n v="70"/>
    <n v="394"/>
    <d v="2021-08-06T00:00:00"/>
    <d v="2022-08-05T00:00:00"/>
    <m/>
    <m/>
    <m/>
    <m/>
    <s v="Yes"/>
    <n v="8"/>
    <n v="3"/>
    <m/>
    <m/>
    <m/>
    <m/>
    <m/>
    <m/>
    <m/>
    <m/>
    <m/>
    <m/>
    <m/>
    <m/>
    <m/>
    <m/>
    <m/>
    <m/>
    <m/>
    <m/>
    <m/>
    <n v="4"/>
    <m/>
    <m/>
    <m/>
    <n v="86"/>
    <m/>
    <m/>
    <m/>
    <m/>
    <m/>
    <m/>
    <m/>
    <x v="1"/>
    <x v="1"/>
    <n v="1"/>
    <m/>
    <m/>
    <m/>
    <m/>
    <m/>
    <n v="8"/>
    <m/>
    <m/>
    <n v="3"/>
    <m/>
    <m/>
    <n v="2"/>
    <n v="91"/>
    <n v="124"/>
    <m/>
    <m/>
    <m/>
    <m/>
    <m/>
    <m/>
    <m/>
    <m/>
    <m/>
    <m/>
    <m/>
    <m/>
    <m/>
    <m/>
    <m/>
    <s v="no test"/>
    <s v="no test"/>
    <s v="No Test"/>
    <n v="0"/>
    <n v="0"/>
    <n v="0"/>
    <n v="0"/>
    <n v="0"/>
    <n v="0"/>
    <n v="0"/>
    <n v="0"/>
    <n v="0"/>
    <n v="0"/>
    <n v="0"/>
    <n v="0"/>
    <n v="0"/>
    <n v="0"/>
    <n v="0"/>
    <n v="0"/>
    <n v="1"/>
    <n v="394"/>
    <n v="1"/>
    <n v="1"/>
    <n v="86"/>
    <n v="1"/>
    <n v="394"/>
    <n v="0"/>
    <n v="0"/>
    <n v="0"/>
    <n v="20"/>
    <n v="0"/>
    <n v="0"/>
    <n v="0"/>
    <n v="394"/>
    <n v="394"/>
    <n v="124"/>
    <n v="394"/>
    <n v="394"/>
    <n v="1"/>
    <n v="0"/>
    <n v="1"/>
    <n v="1"/>
    <n v="1"/>
    <n v="8"/>
    <n v="70"/>
    <n v="0"/>
    <n v="394"/>
    <s v="No"/>
    <s v=""/>
    <n v="0"/>
    <n v="0"/>
    <n v="0"/>
    <s v="Yes"/>
    <s v="KMSS-MYT"/>
    <x v="0"/>
    <x v="0"/>
    <x v="1"/>
    <n v="24.461033"/>
    <n v="97.537099999999995"/>
    <s v="MMR001CMP123"/>
    <x v="1"/>
    <m/>
    <n v="72"/>
    <n v="404"/>
  </r>
  <r>
    <x v="0"/>
    <x v="0"/>
    <x v="0"/>
    <m/>
    <x v="0"/>
    <x v="8"/>
    <x v="0"/>
    <x v="21"/>
    <n v="6"/>
    <n v="32"/>
    <s v="13-8-2021, 6-1-2020"/>
    <s v="12-20-2022, 30-7-2021"/>
    <m/>
    <m/>
    <m/>
    <m/>
    <m/>
    <m/>
    <m/>
    <m/>
    <m/>
    <m/>
    <m/>
    <m/>
    <m/>
    <m/>
    <m/>
    <m/>
    <m/>
    <m/>
    <m/>
    <m/>
    <m/>
    <m/>
    <m/>
    <m/>
    <m/>
    <m/>
    <m/>
    <m/>
    <m/>
    <m/>
    <m/>
    <m/>
    <m/>
    <m/>
    <m/>
    <m/>
    <m/>
    <m/>
    <x v="0"/>
    <x v="0"/>
    <m/>
    <m/>
    <m/>
    <m/>
    <m/>
    <m/>
    <n v="3"/>
    <m/>
    <m/>
    <n v="2"/>
    <m/>
    <m/>
    <m/>
    <n v="10"/>
    <n v="18"/>
    <m/>
    <m/>
    <m/>
    <m/>
    <m/>
    <m/>
    <m/>
    <m/>
    <m/>
    <m/>
    <m/>
    <m/>
    <m/>
    <m/>
    <m/>
    <s v="no test"/>
    <s v="no test"/>
    <s v="No Test"/>
    <n v="0"/>
    <n v="0"/>
    <n v="0"/>
    <n v="0"/>
    <n v="0"/>
    <n v="0"/>
    <n v="0"/>
    <n v="0"/>
    <n v="0"/>
    <n v="0"/>
    <n v="0"/>
    <n v="0"/>
    <n v="0"/>
    <n v="0"/>
    <n v="0"/>
    <n v="0"/>
    <n v="1"/>
    <n v="32"/>
    <n v="1"/>
    <n v="1"/>
    <n v="0"/>
    <n v="0"/>
    <n v="0"/>
    <n v="0"/>
    <n v="0"/>
    <n v="0"/>
    <n v="2"/>
    <n v="2"/>
    <n v="1"/>
    <n v="0"/>
    <n v="0"/>
    <n v="32"/>
    <n v="18"/>
    <n v="32"/>
    <n v="32"/>
    <n v="1"/>
    <n v="0"/>
    <n v="0"/>
    <n v="1"/>
    <n v="1"/>
    <n v="3"/>
    <n v="6"/>
    <n v="0"/>
    <n v="32"/>
    <s v="No"/>
    <s v=""/>
    <n v="0"/>
    <n v="0"/>
    <n v="0"/>
    <n v="0"/>
    <s v="uncovered"/>
    <x v="0"/>
    <x v="3"/>
    <x v="0"/>
    <n v="25.30274"/>
    <n v="96.940380000000005"/>
    <s v="MMR001CMP262"/>
    <x v="0"/>
    <m/>
    <n v="5"/>
    <n v="32"/>
  </r>
  <r>
    <x v="0"/>
    <x v="0"/>
    <x v="0"/>
    <m/>
    <x v="0"/>
    <x v="9"/>
    <x v="0"/>
    <x v="22"/>
    <n v="31"/>
    <n v="171"/>
    <s v="13-8-2021, 6-1-2020"/>
    <s v="12-20-2022, 30-7-2021"/>
    <m/>
    <m/>
    <m/>
    <m/>
    <m/>
    <m/>
    <n v="4"/>
    <m/>
    <m/>
    <m/>
    <m/>
    <m/>
    <m/>
    <m/>
    <m/>
    <m/>
    <m/>
    <m/>
    <m/>
    <m/>
    <m/>
    <m/>
    <m/>
    <m/>
    <m/>
    <m/>
    <m/>
    <m/>
    <m/>
    <m/>
    <m/>
    <m/>
    <m/>
    <m/>
    <m/>
    <m/>
    <m/>
    <m/>
    <x v="0"/>
    <x v="0"/>
    <m/>
    <m/>
    <m/>
    <m/>
    <m/>
    <m/>
    <n v="1"/>
    <m/>
    <m/>
    <n v="1"/>
    <m/>
    <m/>
    <m/>
    <n v="6"/>
    <n v="5"/>
    <m/>
    <m/>
    <m/>
    <m/>
    <m/>
    <m/>
    <m/>
    <m/>
    <m/>
    <m/>
    <m/>
    <m/>
    <m/>
    <m/>
    <m/>
    <s v="no test"/>
    <s v="no test"/>
    <s v="No Test"/>
    <n v="0"/>
    <n v="0"/>
    <n v="0"/>
    <n v="0"/>
    <n v="0"/>
    <n v="0"/>
    <n v="0"/>
    <n v="0"/>
    <n v="0"/>
    <n v="0"/>
    <n v="0"/>
    <n v="0"/>
    <n v="0"/>
    <n v="0"/>
    <n v="0"/>
    <n v="0"/>
    <n v="1"/>
    <n v="171"/>
    <n v="1"/>
    <n v="1"/>
    <n v="0"/>
    <n v="0"/>
    <n v="0"/>
    <n v="0"/>
    <n v="0"/>
    <n v="0"/>
    <n v="9"/>
    <n v="9"/>
    <n v="1"/>
    <n v="0"/>
    <n v="0"/>
    <n v="30"/>
    <n v="5"/>
    <n v="30"/>
    <n v="30"/>
    <n v="0.17543859649122806"/>
    <n v="0.82456140350877194"/>
    <n v="0"/>
    <n v="0.77419354838709675"/>
    <n v="0.16129032258064516"/>
    <n v="1"/>
    <n v="20"/>
    <n v="0"/>
    <n v="100"/>
    <s v="No"/>
    <s v=""/>
    <n v="0"/>
    <n v="0"/>
    <n v="0"/>
    <n v="0"/>
    <s v="uncovered"/>
    <x v="0"/>
    <x v="3"/>
    <x v="0"/>
    <n v="26.299828999999999"/>
    <n v="97.487258999999995"/>
    <s v="MMR001CMP272"/>
    <x v="0"/>
    <m/>
    <n v="31"/>
    <n v="171"/>
  </r>
  <r>
    <x v="0"/>
    <x v="5"/>
    <x v="5"/>
    <s v="Trocaire/MHF"/>
    <x v="0"/>
    <x v="3"/>
    <x v="0"/>
    <x v="23"/>
    <n v="62"/>
    <n v="410"/>
    <d v="2021-01-01T00:00:00"/>
    <d v="2021-12-31T00:00:00"/>
    <m/>
    <m/>
    <m/>
    <m/>
    <s v="Yes"/>
    <n v="3"/>
    <n v="2"/>
    <m/>
    <m/>
    <m/>
    <n v="2"/>
    <m/>
    <n v="1"/>
    <m/>
    <m/>
    <m/>
    <m/>
    <m/>
    <m/>
    <m/>
    <m/>
    <n v="1"/>
    <m/>
    <m/>
    <m/>
    <m/>
    <m/>
    <m/>
    <m/>
    <s v="bathing spaces are needed to renovate pipeline system, walling for women and girls privacy, roofing and water storage tanks. Need to construct new hand dug well "/>
    <n v="59"/>
    <m/>
    <m/>
    <n v="6"/>
    <m/>
    <m/>
    <m/>
    <n v="3"/>
    <x v="1"/>
    <x v="3"/>
    <m/>
    <m/>
    <m/>
    <m/>
    <m/>
    <s v="among 9 latrines, only 3 can be used. To imporve for good latrine coverage ratio: it is big issue raised on September."/>
    <n v="1"/>
    <m/>
    <m/>
    <n v="3"/>
    <n v="2"/>
    <m/>
    <m/>
    <n v="41"/>
    <n v="85"/>
    <m/>
    <m/>
    <m/>
    <m/>
    <m/>
    <m/>
    <m/>
    <m/>
    <m/>
    <m/>
    <m/>
    <m/>
    <m/>
    <m/>
    <m/>
    <s v="no test"/>
    <s v="no test"/>
    <s v="No Test"/>
    <n v="0"/>
    <n v="1"/>
    <n v="0"/>
    <n v="0"/>
    <n v="0"/>
    <n v="0"/>
    <n v="0"/>
    <n v="1"/>
    <n v="0.6097560975609756"/>
    <n v="1"/>
    <n v="410"/>
    <n v="0"/>
    <n v="0"/>
    <n v="1"/>
    <n v="410"/>
    <n v="0.82"/>
    <n v="0"/>
    <n v="0"/>
    <n v="0.18000000000000005"/>
    <n v="1"/>
    <n v="53"/>
    <n v="1"/>
    <n v="410"/>
    <n v="0"/>
    <n v="0"/>
    <n v="0"/>
    <n v="21"/>
    <n v="0"/>
    <n v="0"/>
    <n v="0.10169491525423729"/>
    <n v="0"/>
    <n v="205"/>
    <n v="85"/>
    <n v="205"/>
    <n v="205"/>
    <n v="0.5"/>
    <n v="0.5"/>
    <n v="0"/>
    <n v="1"/>
    <n v="1"/>
    <n v="1"/>
    <n v="20"/>
    <n v="0"/>
    <n v="100"/>
    <s v="No"/>
    <s v=""/>
    <n v="0"/>
    <n v="0"/>
    <n v="0"/>
    <n v="0"/>
    <s v="uncovered"/>
    <x v="0"/>
    <x v="3"/>
    <x v="0"/>
    <n v="25.305008999999998"/>
    <n v="97.430321000000006"/>
    <s v="MMR001CMP248"/>
    <x v="1"/>
    <m/>
    <n v="60"/>
    <n v="371"/>
  </r>
  <r>
    <x v="0"/>
    <x v="2"/>
    <x v="2"/>
    <s v="DFID"/>
    <x v="0"/>
    <x v="3"/>
    <x v="0"/>
    <x v="24"/>
    <n v="59"/>
    <n v="291"/>
    <d v="2021-01-01T00:00:00"/>
    <d v="2022-03-31T00:00:00"/>
    <m/>
    <n v="1"/>
    <m/>
    <m/>
    <s v="Yes"/>
    <n v="4"/>
    <n v="2"/>
    <n v="2"/>
    <m/>
    <m/>
    <m/>
    <m/>
    <m/>
    <m/>
    <m/>
    <m/>
    <m/>
    <m/>
    <m/>
    <m/>
    <m/>
    <m/>
    <m/>
    <m/>
    <m/>
    <m/>
    <m/>
    <m/>
    <m/>
    <m/>
    <n v="24"/>
    <n v="20"/>
    <s v="Unicef &amp; World vision"/>
    <m/>
    <m/>
    <m/>
    <m/>
    <m/>
    <x v="1"/>
    <x v="1"/>
    <m/>
    <m/>
    <m/>
    <n v="4"/>
    <m/>
    <m/>
    <n v="1"/>
    <m/>
    <m/>
    <n v="3"/>
    <m/>
    <n v="1"/>
    <m/>
    <n v="41"/>
    <n v="85"/>
    <m/>
    <m/>
    <n v="0.45"/>
    <m/>
    <n v="0.9"/>
    <n v="0.9"/>
    <m/>
    <n v="0.95"/>
    <m/>
    <n v="59"/>
    <m/>
    <m/>
    <m/>
    <m/>
    <m/>
    <s v="no test"/>
    <s v="no test"/>
    <s v="No Test"/>
    <n v="2"/>
    <n v="0"/>
    <n v="0"/>
    <n v="0"/>
    <n v="0"/>
    <n v="0"/>
    <n v="0"/>
    <n v="1"/>
    <n v="1"/>
    <n v="1"/>
    <n v="291"/>
    <n v="0"/>
    <n v="0"/>
    <n v="1"/>
    <n v="291"/>
    <n v="0.58199999999999996"/>
    <n v="0"/>
    <n v="0"/>
    <n v="0.41800000000000004"/>
    <n v="1"/>
    <n v="44"/>
    <n v="1"/>
    <n v="291"/>
    <n v="0"/>
    <n v="0"/>
    <n v="200"/>
    <n v="15"/>
    <n v="0"/>
    <n v="0"/>
    <n v="0"/>
    <n v="291"/>
    <n v="205"/>
    <n v="85"/>
    <n v="205"/>
    <n v="291"/>
    <n v="1"/>
    <n v="0"/>
    <n v="1"/>
    <n v="1"/>
    <n v="1"/>
    <n v="1"/>
    <n v="20"/>
    <n v="0"/>
    <n v="100"/>
    <s v="No"/>
    <s v=""/>
    <n v="59"/>
    <n v="0"/>
    <n v="200"/>
    <s v="Yes"/>
    <s v="Shalom"/>
    <x v="0"/>
    <x v="0"/>
    <x v="0"/>
    <n v="25.321710740740698"/>
    <n v="97.404195925926004"/>
    <s v="MMR001CMP028"/>
    <x v="1"/>
    <m/>
    <n v="59"/>
    <n v="291"/>
  </r>
  <r>
    <x v="0"/>
    <x v="8"/>
    <x v="7"/>
    <s v="UNICEF, MHF"/>
    <x v="0"/>
    <x v="3"/>
    <x v="0"/>
    <x v="25"/>
    <n v="140"/>
    <n v="895"/>
    <s v="10/1/2020, 8-4-21"/>
    <s v="4/30/2022, 8-3-22"/>
    <m/>
    <n v="3"/>
    <m/>
    <m/>
    <s v="Yes"/>
    <m/>
    <n v="3"/>
    <m/>
    <m/>
    <m/>
    <m/>
    <m/>
    <m/>
    <m/>
    <m/>
    <m/>
    <m/>
    <m/>
    <m/>
    <m/>
    <m/>
    <m/>
    <m/>
    <m/>
    <m/>
    <m/>
    <m/>
    <m/>
    <m/>
    <m/>
    <n v="50"/>
    <m/>
    <m/>
    <m/>
    <m/>
    <m/>
    <m/>
    <n v="50"/>
    <x v="1"/>
    <x v="1"/>
    <m/>
    <m/>
    <m/>
    <m/>
    <m/>
    <m/>
    <n v="8"/>
    <m/>
    <m/>
    <n v="3"/>
    <m/>
    <n v="1"/>
    <n v="2"/>
    <n v="91"/>
    <n v="124"/>
    <m/>
    <m/>
    <m/>
    <m/>
    <m/>
    <m/>
    <m/>
    <m/>
    <m/>
    <m/>
    <m/>
    <m/>
    <m/>
    <m/>
    <m/>
    <s v="no test"/>
    <s v="no test"/>
    <s v="No Test"/>
    <n v="0"/>
    <n v="0"/>
    <n v="0"/>
    <n v="0"/>
    <n v="0"/>
    <n v="0"/>
    <n v="0"/>
    <n v="0"/>
    <n v="0"/>
    <n v="0"/>
    <n v="0"/>
    <n v="0"/>
    <n v="0"/>
    <n v="0"/>
    <n v="0"/>
    <n v="0"/>
    <n v="1"/>
    <n v="895"/>
    <n v="2"/>
    <n v="2"/>
    <n v="50"/>
    <n v="1"/>
    <n v="895"/>
    <n v="0"/>
    <n v="0"/>
    <n v="0"/>
    <n v="45"/>
    <n v="0"/>
    <n v="0"/>
    <n v="0"/>
    <n v="895"/>
    <n v="455"/>
    <n v="124"/>
    <n v="455"/>
    <n v="895"/>
    <n v="1"/>
    <n v="0"/>
    <n v="1"/>
    <n v="0.65"/>
    <n v="0.88571428571428568"/>
    <n v="8"/>
    <n v="140"/>
    <n v="0"/>
    <n v="800"/>
    <s v="No"/>
    <s v=""/>
    <n v="0"/>
    <n v="0"/>
    <n v="0"/>
    <s v="Yes"/>
    <s v="KBC-MYT"/>
    <x v="0"/>
    <x v="0"/>
    <x v="1"/>
    <n v="25.200333000000001"/>
    <n v="97.807182999999995"/>
    <s v="MMR001CMP115"/>
    <x v="1"/>
    <m/>
    <n v="138"/>
    <n v="966"/>
  </r>
  <r>
    <x v="0"/>
    <x v="7"/>
    <x v="7"/>
    <s v="UNICEF"/>
    <x v="0"/>
    <x v="1"/>
    <x v="0"/>
    <x v="26"/>
    <n v="31"/>
    <n v="132"/>
    <d v="2020-10-01T00:00:00"/>
    <d v="2022-04-30T00:00:00"/>
    <m/>
    <n v="1"/>
    <m/>
    <m/>
    <s v="Yes"/>
    <m/>
    <n v="1"/>
    <m/>
    <m/>
    <m/>
    <n v="1"/>
    <m/>
    <m/>
    <m/>
    <m/>
    <m/>
    <m/>
    <m/>
    <m/>
    <m/>
    <m/>
    <m/>
    <m/>
    <m/>
    <m/>
    <m/>
    <m/>
    <m/>
    <m/>
    <m/>
    <n v="9"/>
    <m/>
    <m/>
    <m/>
    <m/>
    <n v="20"/>
    <m/>
    <n v="4"/>
    <x v="1"/>
    <x v="1"/>
    <m/>
    <m/>
    <m/>
    <m/>
    <m/>
    <m/>
    <n v="1"/>
    <m/>
    <m/>
    <n v="1"/>
    <m/>
    <m/>
    <n v="1"/>
    <n v="6"/>
    <n v="5"/>
    <m/>
    <m/>
    <m/>
    <m/>
    <m/>
    <m/>
    <m/>
    <m/>
    <m/>
    <m/>
    <m/>
    <m/>
    <m/>
    <m/>
    <m/>
    <s v="no test"/>
    <s v="no test"/>
    <s v="No Test"/>
    <n v="0"/>
    <n v="1"/>
    <n v="0"/>
    <n v="0"/>
    <n v="0"/>
    <n v="0"/>
    <n v="0"/>
    <n v="1"/>
    <n v="1"/>
    <n v="1"/>
    <n v="132"/>
    <n v="0"/>
    <n v="0"/>
    <n v="1"/>
    <n v="132"/>
    <n v="0.26400000000000001"/>
    <n v="0"/>
    <n v="0"/>
    <n v="0.73599999999999999"/>
    <n v="1"/>
    <n v="9"/>
    <n v="1"/>
    <n v="132"/>
    <n v="132"/>
    <n v="0"/>
    <n v="0"/>
    <n v="7"/>
    <n v="0"/>
    <n v="0"/>
    <n v="0"/>
    <n v="132"/>
    <n v="30"/>
    <n v="5"/>
    <n v="30"/>
    <n v="132"/>
    <n v="1"/>
    <n v="0"/>
    <n v="1"/>
    <n v="0.77419354838709675"/>
    <n v="0.16129032258064516"/>
    <n v="1"/>
    <n v="20"/>
    <n v="0"/>
    <n v="100"/>
    <s v="No"/>
    <s v=""/>
    <n v="0"/>
    <n v="0"/>
    <n v="0"/>
    <s v="Yes"/>
    <s v="KBC-MYT"/>
    <x v="0"/>
    <x v="0"/>
    <x v="0"/>
    <n v="25.51352"/>
    <n v="96.705960000000005"/>
    <s v="MMR001CMP148"/>
    <x v="1"/>
    <m/>
    <n v="26"/>
    <n v="133"/>
  </r>
  <r>
    <x v="0"/>
    <x v="0"/>
    <x v="0"/>
    <m/>
    <x v="0"/>
    <x v="10"/>
    <x v="0"/>
    <x v="27"/>
    <n v="27"/>
    <n v="126"/>
    <s v="13-8-2021, 6-1-2020"/>
    <s v="12-20-2022, 30-7-2021"/>
    <m/>
    <m/>
    <m/>
    <m/>
    <m/>
    <m/>
    <m/>
    <m/>
    <m/>
    <m/>
    <m/>
    <m/>
    <m/>
    <m/>
    <m/>
    <m/>
    <m/>
    <m/>
    <m/>
    <m/>
    <m/>
    <m/>
    <m/>
    <m/>
    <m/>
    <m/>
    <m/>
    <m/>
    <m/>
    <m/>
    <m/>
    <m/>
    <m/>
    <m/>
    <m/>
    <m/>
    <m/>
    <m/>
    <x v="0"/>
    <x v="0"/>
    <m/>
    <m/>
    <m/>
    <m/>
    <m/>
    <m/>
    <n v="8"/>
    <m/>
    <m/>
    <n v="3"/>
    <m/>
    <m/>
    <m/>
    <n v="91"/>
    <n v="124"/>
    <m/>
    <m/>
    <m/>
    <m/>
    <m/>
    <m/>
    <m/>
    <m/>
    <m/>
    <m/>
    <m/>
    <m/>
    <m/>
    <m/>
    <m/>
    <s v="no test"/>
    <s v="no test"/>
    <s v="No Test"/>
    <n v="0"/>
    <n v="0"/>
    <n v="0"/>
    <n v="0"/>
    <n v="0"/>
    <n v="0"/>
    <n v="0"/>
    <n v="0"/>
    <n v="0"/>
    <n v="0"/>
    <n v="0"/>
    <n v="0"/>
    <n v="0"/>
    <n v="0"/>
    <n v="0"/>
    <n v="0"/>
    <n v="1"/>
    <n v="126"/>
    <n v="1"/>
    <n v="1"/>
    <n v="0"/>
    <n v="0"/>
    <n v="0"/>
    <n v="0"/>
    <n v="0"/>
    <n v="0"/>
    <n v="6"/>
    <n v="6"/>
    <n v="1"/>
    <n v="0"/>
    <n v="0"/>
    <n v="126"/>
    <n v="124"/>
    <n v="126"/>
    <n v="126"/>
    <n v="1"/>
    <n v="0"/>
    <n v="0"/>
    <n v="1"/>
    <n v="1"/>
    <n v="8"/>
    <n v="27"/>
    <n v="0"/>
    <n v="126"/>
    <s v="No"/>
    <s v=""/>
    <n v="0"/>
    <n v="0"/>
    <n v="0"/>
    <n v="0"/>
    <s v="uncovered"/>
    <x v="0"/>
    <x v="2"/>
    <x v="0"/>
    <n v="24.996279999999999"/>
    <n v="96.52534"/>
    <s v="MMR001CMP232"/>
    <x v="0"/>
    <m/>
    <n v="26"/>
    <n v="125"/>
  </r>
  <r>
    <x v="0"/>
    <x v="2"/>
    <x v="2"/>
    <s v="DFID"/>
    <x v="0"/>
    <x v="1"/>
    <x v="0"/>
    <x v="28"/>
    <n v="104"/>
    <n v="504"/>
    <d v="2021-01-01T00:00:00"/>
    <d v="2022-03-31T00:00:00"/>
    <n v="50"/>
    <n v="1"/>
    <m/>
    <m/>
    <s v="Yes"/>
    <n v="7"/>
    <n v="2"/>
    <n v="0"/>
    <m/>
    <m/>
    <m/>
    <m/>
    <m/>
    <m/>
    <n v="2"/>
    <m/>
    <m/>
    <m/>
    <n v="2"/>
    <m/>
    <n v="3"/>
    <m/>
    <m/>
    <m/>
    <m/>
    <m/>
    <n v="7"/>
    <n v="4"/>
    <m/>
    <s v="ရေသန့်(ကလိုရင်း ဆေး)"/>
    <n v="30"/>
    <m/>
    <m/>
    <n v="2"/>
    <m/>
    <n v="6"/>
    <m/>
    <m/>
    <x v="1"/>
    <x v="1"/>
    <n v="2"/>
    <m/>
    <m/>
    <m/>
    <m/>
    <s v="အိမ်သာထပ်မံလိုအပ်ပါသည်။"/>
    <n v="1"/>
    <m/>
    <m/>
    <n v="1"/>
    <m/>
    <n v="1"/>
    <n v="1"/>
    <n v="6"/>
    <n v="5"/>
    <s v="Yes"/>
    <n v="3"/>
    <n v="0.55000000000000004"/>
    <s v="(12-50)ကြား အမျိုးသမီးသုံးဆောင်ပစ္စည်းများပေးစေလို"/>
    <n v="1"/>
    <n v="1"/>
    <n v="10"/>
    <n v="0.75"/>
    <m/>
    <m/>
    <m/>
    <m/>
    <m/>
    <m/>
    <m/>
    <s v="no test"/>
    <s v="no test"/>
    <s v="No Test"/>
    <n v="0"/>
    <n v="0"/>
    <n v="2"/>
    <n v="0"/>
    <n v="0"/>
    <n v="504"/>
    <n v="0"/>
    <n v="0.26455026455026459"/>
    <n v="0.26455026455026459"/>
    <n v="0.26455026455026459"/>
    <n v="133.33333333333334"/>
    <n v="0.99206349206349209"/>
    <n v="500"/>
    <n v="1"/>
    <n v="504"/>
    <n v="1.008"/>
    <n v="0"/>
    <n v="0"/>
    <n v="0"/>
    <n v="1"/>
    <n v="28"/>
    <n v="1"/>
    <n v="504"/>
    <n v="120"/>
    <n v="0"/>
    <n v="0"/>
    <n v="25"/>
    <n v="0"/>
    <n v="0"/>
    <n v="6.6666666666666666E-2"/>
    <n v="504"/>
    <n v="30"/>
    <n v="5"/>
    <n v="30"/>
    <n v="504"/>
    <n v="1"/>
    <n v="0"/>
    <n v="1"/>
    <n v="0.23076923076923078"/>
    <n v="4.807692307692308E-2"/>
    <n v="1"/>
    <n v="20"/>
    <n v="7"/>
    <n v="100"/>
    <s v="Yes"/>
    <n v="1.984126984126984E-2"/>
    <n v="0"/>
    <n v="504"/>
    <n v="0"/>
    <s v="Yes"/>
    <s v="KBC-MYT"/>
    <x v="0"/>
    <x v="0"/>
    <x v="0"/>
    <n v="25.611160000000002"/>
    <n v="96.312790000000007"/>
    <s v="MMR001CMP229"/>
    <x v="1"/>
    <m/>
    <n v="97"/>
    <n v="484"/>
  </r>
  <r>
    <x v="0"/>
    <x v="7"/>
    <x v="7"/>
    <s v="UNICEF"/>
    <x v="0"/>
    <x v="6"/>
    <x v="0"/>
    <x v="29"/>
    <n v="169"/>
    <n v="837"/>
    <d v="2020-10-01T00:00:00"/>
    <d v="2022-04-30T00:00:00"/>
    <m/>
    <n v="3"/>
    <m/>
    <m/>
    <s v="Yes"/>
    <m/>
    <n v="4"/>
    <m/>
    <m/>
    <m/>
    <m/>
    <m/>
    <m/>
    <m/>
    <m/>
    <m/>
    <m/>
    <m/>
    <m/>
    <m/>
    <m/>
    <m/>
    <m/>
    <m/>
    <m/>
    <m/>
    <m/>
    <m/>
    <m/>
    <m/>
    <n v="32"/>
    <m/>
    <m/>
    <m/>
    <m/>
    <m/>
    <m/>
    <n v="32"/>
    <x v="1"/>
    <x v="1"/>
    <m/>
    <m/>
    <n v="5"/>
    <m/>
    <m/>
    <m/>
    <n v="8"/>
    <m/>
    <m/>
    <n v="3"/>
    <m/>
    <n v="2"/>
    <n v="1"/>
    <n v="91"/>
    <n v="124"/>
    <m/>
    <m/>
    <m/>
    <m/>
    <m/>
    <m/>
    <m/>
    <m/>
    <m/>
    <m/>
    <m/>
    <m/>
    <m/>
    <m/>
    <m/>
    <s v="no test"/>
    <s v="no test"/>
    <s v="No Test"/>
    <n v="0"/>
    <n v="0"/>
    <n v="0"/>
    <n v="0"/>
    <n v="0"/>
    <n v="0"/>
    <n v="0"/>
    <n v="0"/>
    <n v="0"/>
    <n v="0"/>
    <n v="0"/>
    <n v="0"/>
    <n v="0"/>
    <n v="0"/>
    <n v="0"/>
    <n v="0"/>
    <n v="1"/>
    <n v="837"/>
    <n v="2"/>
    <n v="2"/>
    <n v="32"/>
    <n v="0.7646356033452808"/>
    <n v="640"/>
    <n v="0"/>
    <n v="0"/>
    <n v="0"/>
    <n v="42"/>
    <n v="10"/>
    <n v="0.2353643966547192"/>
    <n v="0"/>
    <n v="837"/>
    <n v="455"/>
    <n v="124"/>
    <n v="455"/>
    <n v="837"/>
    <n v="1"/>
    <n v="0"/>
    <n v="1"/>
    <n v="0.53846153846153844"/>
    <n v="0.73372781065088755"/>
    <n v="8"/>
    <n v="160"/>
    <n v="0"/>
    <n v="800"/>
    <s v="No"/>
    <s v=""/>
    <n v="0"/>
    <n v="0"/>
    <n v="0"/>
    <s v="Yes"/>
    <s v="KBC-MYT"/>
    <x v="0"/>
    <x v="0"/>
    <x v="1"/>
    <n v="25.754110000000001"/>
    <n v="98.475719999999995"/>
    <s v="MMR001CMP043"/>
    <x v="1"/>
    <m/>
    <n v="167"/>
    <n v="936"/>
  </r>
  <r>
    <x v="0"/>
    <x v="3"/>
    <x v="3"/>
    <s v="USAID, HOPE-71, HOPE-94"/>
    <x v="0"/>
    <x v="2"/>
    <x v="0"/>
    <x v="30"/>
    <n v="715"/>
    <n v="3789"/>
    <s v="13-8-2021, 6-1-2020, 1-7-2021"/>
    <s v="12-2-2022, 30-11-2021, 30.4.2021"/>
    <m/>
    <m/>
    <n v="3"/>
    <m/>
    <s v="Yes"/>
    <n v="4"/>
    <n v="3"/>
    <n v="3"/>
    <m/>
    <m/>
    <m/>
    <m/>
    <m/>
    <m/>
    <n v="1"/>
    <m/>
    <m/>
    <m/>
    <m/>
    <n v="265230"/>
    <m/>
    <m/>
    <m/>
    <m/>
    <m/>
    <m/>
    <n v="4"/>
    <n v="3"/>
    <m/>
    <m/>
    <n v="306"/>
    <m/>
    <m/>
    <m/>
    <m/>
    <m/>
    <m/>
    <m/>
    <x v="1"/>
    <x v="1"/>
    <n v="13"/>
    <m/>
    <n v="46"/>
    <n v="4"/>
    <m/>
    <s v="Because of the fully lockdown situation and shotage of materials causes latrines unfunctional"/>
    <n v="1"/>
    <m/>
    <m/>
    <n v="1"/>
    <m/>
    <m/>
    <n v="1"/>
    <n v="6"/>
    <n v="5"/>
    <s v="Yes"/>
    <m/>
    <m/>
    <m/>
    <m/>
    <m/>
    <m/>
    <m/>
    <m/>
    <m/>
    <m/>
    <m/>
    <m/>
    <m/>
    <m/>
    <s v="no test"/>
    <s v="no test"/>
    <s v="No Test"/>
    <n v="3"/>
    <n v="0"/>
    <n v="1"/>
    <n v="0"/>
    <n v="196.46666666666667"/>
    <n v="1500"/>
    <n v="0"/>
    <n v="0.38615289874197239"/>
    <n v="0.26738805313627168"/>
    <n v="0.38615289874197239"/>
    <n v="1463.1333333333334"/>
    <n v="0"/>
    <n v="0"/>
    <n v="0.38615289874197239"/>
    <n v="1463.1333333333334"/>
    <n v="2.9262666666666668"/>
    <n v="0.61384710125802755"/>
    <n v="2325.8666666666663"/>
    <n v="5.0737333333333332"/>
    <n v="8"/>
    <n v="306"/>
    <n v="1"/>
    <n v="3789"/>
    <n v="0"/>
    <n v="0"/>
    <n v="200"/>
    <n v="189"/>
    <n v="0"/>
    <n v="0"/>
    <n v="0"/>
    <n v="500"/>
    <n v="30"/>
    <n v="5"/>
    <n v="30"/>
    <n v="500"/>
    <n v="0.13196093956188967"/>
    <n v="0.8680390604381103"/>
    <n v="0.13196093956188967"/>
    <n v="8.3916083916083916E-3"/>
    <n v="6.993006993006993E-3"/>
    <n v="1"/>
    <n v="20"/>
    <n v="4"/>
    <n v="100"/>
    <s v="No"/>
    <s v=""/>
    <n v="0"/>
    <n v="1500"/>
    <n v="200"/>
    <s v="Yes"/>
    <s v="KMSS-MYT"/>
    <x v="0"/>
    <x v="0"/>
    <x v="1"/>
    <n v="24.661905999999998"/>
    <n v="97.573126000000002"/>
    <s v="MMR001CMP122"/>
    <x v="1"/>
    <m/>
    <n v="664"/>
    <n v="3491"/>
  </r>
  <r>
    <x v="0"/>
    <x v="1"/>
    <x v="1"/>
    <s v="ECHO"/>
    <x v="0"/>
    <x v="2"/>
    <x v="1"/>
    <x v="31"/>
    <n v="3"/>
    <n v="16"/>
    <d v="2022-04-01T00:00:00"/>
    <d v="2022-11-30T00:00:00"/>
    <m/>
    <m/>
    <m/>
    <m/>
    <s v="Yes"/>
    <n v="3"/>
    <n v="8"/>
    <m/>
    <m/>
    <m/>
    <n v="1"/>
    <m/>
    <m/>
    <m/>
    <n v="1"/>
    <m/>
    <n v="1"/>
    <m/>
    <m/>
    <m/>
    <m/>
    <m/>
    <m/>
    <m/>
    <m/>
    <m/>
    <n v="5"/>
    <m/>
    <m/>
    <m/>
    <n v="12"/>
    <m/>
    <m/>
    <m/>
    <m/>
    <m/>
    <m/>
    <m/>
    <x v="1"/>
    <x v="1"/>
    <m/>
    <m/>
    <m/>
    <m/>
    <m/>
    <m/>
    <n v="3"/>
    <m/>
    <m/>
    <n v="2"/>
    <m/>
    <m/>
    <n v="1"/>
    <m/>
    <m/>
    <m/>
    <m/>
    <m/>
    <m/>
    <n v="1"/>
    <n v="1"/>
    <n v="5"/>
    <n v="1"/>
    <m/>
    <m/>
    <m/>
    <m/>
    <m/>
    <m/>
    <m/>
    <s v="no test"/>
    <s v="no test"/>
    <s v="No Test"/>
    <n v="0"/>
    <n v="1"/>
    <n v="1"/>
    <n v="0"/>
    <n v="0"/>
    <n v="0"/>
    <n v="0"/>
    <n v="1"/>
    <n v="1"/>
    <n v="1"/>
    <n v="16"/>
    <n v="0"/>
    <n v="0"/>
    <n v="1"/>
    <n v="16"/>
    <n v="3.2000000000000001E-2"/>
    <n v="0"/>
    <n v="0"/>
    <n v="0.96799999999999997"/>
    <n v="1"/>
    <n v="12"/>
    <n v="1"/>
    <n v="16"/>
    <n v="0"/>
    <n v="0"/>
    <n v="0"/>
    <n v="1"/>
    <n v="0"/>
    <n v="0"/>
    <n v="0"/>
    <n v="16"/>
    <n v="0"/>
    <n v="0"/>
    <n v="0"/>
    <n v="16"/>
    <n v="1"/>
    <n v="0"/>
    <n v="1"/>
    <n v="0"/>
    <n v="0"/>
    <n v="3"/>
    <n v="3"/>
    <n v="0"/>
    <n v="16"/>
    <s v="No"/>
    <n v="0.3125"/>
    <n v="0"/>
    <n v="0"/>
    <n v="0"/>
    <n v="0"/>
    <n v="0"/>
    <x v="0"/>
    <x v="0"/>
    <x v="0"/>
    <n v="0"/>
    <n v="0"/>
    <n v="0"/>
    <x v="1"/>
    <m/>
    <n v="0"/>
    <n v="0"/>
  </r>
  <r>
    <x v="0"/>
    <x v="3"/>
    <x v="3"/>
    <s v="USAID, HOPE-71, HOPE-94"/>
    <x v="0"/>
    <x v="0"/>
    <x v="0"/>
    <x v="32"/>
    <n v="36"/>
    <n v="222"/>
    <s v="13-8-2021, 6-1-2020, 1-7-2021"/>
    <s v="12-2-2022, 30-11-2021, 30.4.2021"/>
    <m/>
    <m/>
    <m/>
    <m/>
    <s v="Yes"/>
    <n v="1"/>
    <n v="2"/>
    <n v="1"/>
    <m/>
    <m/>
    <m/>
    <n v="2"/>
    <m/>
    <m/>
    <m/>
    <m/>
    <m/>
    <m/>
    <m/>
    <m/>
    <m/>
    <m/>
    <m/>
    <m/>
    <m/>
    <m/>
    <m/>
    <m/>
    <m/>
    <m/>
    <n v="7"/>
    <m/>
    <m/>
    <m/>
    <m/>
    <m/>
    <m/>
    <m/>
    <x v="1"/>
    <x v="1"/>
    <m/>
    <m/>
    <m/>
    <m/>
    <m/>
    <m/>
    <n v="7"/>
    <m/>
    <m/>
    <n v="7"/>
    <m/>
    <m/>
    <n v="1"/>
    <n v="104"/>
    <n v="148"/>
    <m/>
    <m/>
    <m/>
    <m/>
    <m/>
    <m/>
    <m/>
    <m/>
    <m/>
    <m/>
    <m/>
    <m/>
    <m/>
    <m/>
    <m/>
    <s v="no test"/>
    <s v="no test"/>
    <s v="No Test"/>
    <n v="1"/>
    <n v="2"/>
    <n v="0"/>
    <n v="0"/>
    <n v="0"/>
    <n v="0"/>
    <n v="0"/>
    <n v="1"/>
    <n v="1"/>
    <n v="1"/>
    <n v="222"/>
    <n v="0"/>
    <n v="0"/>
    <n v="1"/>
    <n v="222"/>
    <n v="0.44400000000000001"/>
    <n v="0"/>
    <n v="0"/>
    <n v="0.55600000000000005"/>
    <n v="1"/>
    <n v="7"/>
    <n v="0.63063063063063063"/>
    <n v="140"/>
    <n v="0"/>
    <n v="0"/>
    <n v="0"/>
    <n v="11"/>
    <n v="4"/>
    <n v="0.36936936936936937"/>
    <n v="0"/>
    <n v="222"/>
    <n v="222"/>
    <n v="148"/>
    <n v="222"/>
    <n v="222"/>
    <n v="1"/>
    <n v="0"/>
    <n v="1"/>
    <n v="1"/>
    <n v="1"/>
    <n v="7"/>
    <n v="36"/>
    <n v="0"/>
    <n v="222"/>
    <s v="No"/>
    <s v=""/>
    <n v="0"/>
    <n v="0"/>
    <n v="0"/>
    <s v="Yes"/>
    <s v="KBC-BMO"/>
    <x v="0"/>
    <x v="0"/>
    <x v="0"/>
    <n v="24.24766"/>
    <n v="97.236919999999998"/>
    <s v="MMR001CMP052"/>
    <x v="1"/>
    <m/>
    <n v="37"/>
    <n v="226"/>
  </r>
  <r>
    <x v="0"/>
    <x v="3"/>
    <x v="3"/>
    <s v="USAID, HOPE-71, HOPE-94"/>
    <x v="0"/>
    <x v="3"/>
    <x v="0"/>
    <x v="33"/>
    <n v="426.2"/>
    <n v="2131"/>
    <s v="13-8-2021, 6-1-2020, 1-7-2021"/>
    <s v="12-2-2022, 30-11-2021, 30.4.2021"/>
    <m/>
    <m/>
    <m/>
    <m/>
    <s v="Yes"/>
    <n v="3"/>
    <n v="6"/>
    <m/>
    <m/>
    <m/>
    <m/>
    <m/>
    <m/>
    <m/>
    <n v="1"/>
    <m/>
    <m/>
    <m/>
    <m/>
    <n v="149170"/>
    <m/>
    <m/>
    <m/>
    <m/>
    <m/>
    <m/>
    <n v="14"/>
    <n v="2"/>
    <m/>
    <m/>
    <n v="89"/>
    <m/>
    <m/>
    <m/>
    <m/>
    <m/>
    <m/>
    <m/>
    <x v="1"/>
    <x v="1"/>
    <m/>
    <m/>
    <m/>
    <m/>
    <m/>
    <s v="Because of the fully lockdown situation and shotage of materials causes latrines unfunctional"/>
    <n v="3"/>
    <m/>
    <m/>
    <n v="2"/>
    <m/>
    <m/>
    <m/>
    <n v="88"/>
    <n v="100"/>
    <s v="Yes"/>
    <m/>
    <m/>
    <m/>
    <m/>
    <m/>
    <m/>
    <m/>
    <m/>
    <m/>
    <m/>
    <m/>
    <m/>
    <m/>
    <m/>
    <s v="no test"/>
    <s v="no test"/>
    <s v="No Test"/>
    <n v="0"/>
    <n v="0"/>
    <n v="1"/>
    <n v="0"/>
    <n v="110.49629629629629"/>
    <n v="1000"/>
    <n v="0"/>
    <n v="8.3136068964318618E-2"/>
    <n v="8.3136068964318618E-2"/>
    <n v="8.3136068964318618E-2"/>
    <n v="177.16296296296298"/>
    <n v="0"/>
    <n v="0"/>
    <n v="8.3136068964318618E-2"/>
    <n v="177.16296296296298"/>
    <n v="0.35432592592592593"/>
    <n v="0.91686393103568142"/>
    <n v="1953.8370370370371"/>
    <n v="3.6456740740740741"/>
    <n v="4"/>
    <n v="89"/>
    <n v="0.8352885969028625"/>
    <n v="1780"/>
    <n v="0"/>
    <n v="0"/>
    <n v="0"/>
    <n v="107"/>
    <n v="18"/>
    <n v="0.1647114030971375"/>
    <n v="0"/>
    <n v="0"/>
    <n v="440"/>
    <n v="100"/>
    <n v="440"/>
    <n v="440"/>
    <n v="0.20647583294228061"/>
    <n v="0.79352416705771933"/>
    <n v="0"/>
    <n v="0.20647583294228061"/>
    <n v="0.23463162834350071"/>
    <n v="3"/>
    <n v="60"/>
    <n v="14"/>
    <n v="300"/>
    <s v="No"/>
    <s v=""/>
    <n v="0"/>
    <n v="1000"/>
    <n v="0"/>
    <n v="0"/>
    <s v="uncovered"/>
    <x v="0"/>
    <x v="4"/>
    <x v="1"/>
    <n v="24.752471"/>
    <n v="97.541793999999996"/>
    <s v="MMR001CMP208"/>
    <x v="1"/>
    <m/>
    <n v="0"/>
    <n v="366"/>
  </r>
  <r>
    <x v="0"/>
    <x v="8"/>
    <x v="7"/>
    <s v="UNICEF,MHF"/>
    <x v="0"/>
    <x v="7"/>
    <x v="0"/>
    <x v="34"/>
    <n v="197"/>
    <n v="1124"/>
    <s v="10/1/2020, 8-4-21"/>
    <s v="4/30/2022, 8-3-22"/>
    <m/>
    <n v="3"/>
    <m/>
    <m/>
    <s v="Yes"/>
    <m/>
    <n v="1"/>
    <n v="1"/>
    <n v="0"/>
    <n v="0"/>
    <n v="4"/>
    <n v="0"/>
    <m/>
    <m/>
    <m/>
    <m/>
    <m/>
    <m/>
    <m/>
    <m/>
    <m/>
    <n v="5"/>
    <m/>
    <m/>
    <m/>
    <m/>
    <m/>
    <m/>
    <m/>
    <m/>
    <n v="43"/>
    <m/>
    <m/>
    <m/>
    <n v="30"/>
    <n v="162"/>
    <m/>
    <n v="43"/>
    <x v="1"/>
    <x v="1"/>
    <m/>
    <m/>
    <m/>
    <m/>
    <m/>
    <m/>
    <n v="7"/>
    <m/>
    <m/>
    <n v="7"/>
    <m/>
    <m/>
    <n v="3"/>
    <n v="104"/>
    <n v="148"/>
    <m/>
    <m/>
    <m/>
    <m/>
    <m/>
    <m/>
    <n v="1067.8"/>
    <n v="0.35"/>
    <m/>
    <m/>
    <m/>
    <n v="0"/>
    <n v="0"/>
    <m/>
    <m/>
    <s v="no test"/>
    <s v="no test"/>
    <s v="No Test"/>
    <n v="1"/>
    <n v="4"/>
    <n v="0"/>
    <n v="0"/>
    <n v="0"/>
    <n v="0"/>
    <n v="0"/>
    <n v="1"/>
    <n v="1"/>
    <n v="1"/>
    <n v="1124"/>
    <n v="0"/>
    <n v="0"/>
    <n v="1"/>
    <n v="1124"/>
    <n v="2.2480000000000002"/>
    <n v="0"/>
    <n v="0"/>
    <n v="0"/>
    <n v="2"/>
    <n v="43"/>
    <n v="0.76512455516014233"/>
    <n v="860"/>
    <n v="1124"/>
    <n v="0"/>
    <n v="0"/>
    <n v="56"/>
    <n v="13"/>
    <n v="0.23487544483985767"/>
    <n v="0"/>
    <n v="1124"/>
    <n v="520"/>
    <n v="148"/>
    <n v="520"/>
    <n v="1124"/>
    <n v="1"/>
    <n v="0"/>
    <n v="1"/>
    <n v="1"/>
    <n v="0.75126903553299496"/>
    <n v="7"/>
    <n v="140"/>
    <n v="0"/>
    <n v="700"/>
    <s v="No"/>
    <n v="0.95"/>
    <n v="0"/>
    <n v="0"/>
    <n v="0"/>
    <s v="Yes"/>
    <s v="KBC-MYT"/>
    <x v="0"/>
    <x v="0"/>
    <x v="0"/>
    <n v="25.397850999999999"/>
    <n v="97.370900000000006"/>
    <s v="MMR001CMP018"/>
    <x v="1"/>
    <m/>
    <n v="201"/>
    <n v="1187"/>
  </r>
  <r>
    <x v="0"/>
    <x v="4"/>
    <x v="4"/>
    <s v="UNICEF"/>
    <x v="0"/>
    <x v="7"/>
    <x v="0"/>
    <x v="35"/>
    <n v="76"/>
    <n v="398"/>
    <d v="2021-08-06T00:00:00"/>
    <d v="2022-08-05T00:00:00"/>
    <m/>
    <n v="2"/>
    <m/>
    <m/>
    <s v="Yes"/>
    <n v="1"/>
    <n v="8"/>
    <n v="1"/>
    <m/>
    <m/>
    <m/>
    <m/>
    <m/>
    <m/>
    <m/>
    <m/>
    <m/>
    <m/>
    <m/>
    <m/>
    <m/>
    <m/>
    <m/>
    <m/>
    <m/>
    <m/>
    <n v="5"/>
    <m/>
    <m/>
    <m/>
    <n v="22"/>
    <m/>
    <m/>
    <m/>
    <m/>
    <m/>
    <m/>
    <m/>
    <x v="1"/>
    <x v="1"/>
    <n v="1"/>
    <m/>
    <m/>
    <m/>
    <m/>
    <m/>
    <n v="7"/>
    <m/>
    <m/>
    <n v="7"/>
    <m/>
    <m/>
    <n v="2"/>
    <n v="104"/>
    <n v="148"/>
    <m/>
    <n v="100"/>
    <n v="0.5"/>
    <m/>
    <m/>
    <m/>
    <m/>
    <m/>
    <m/>
    <m/>
    <m/>
    <m/>
    <m/>
    <m/>
    <m/>
    <s v="no test"/>
    <s v="no test"/>
    <s v="No Test"/>
    <n v="1"/>
    <n v="0"/>
    <n v="0"/>
    <n v="0"/>
    <n v="0"/>
    <n v="0"/>
    <n v="0"/>
    <n v="1"/>
    <n v="0.62814070351758799"/>
    <n v="1"/>
    <n v="398"/>
    <n v="0"/>
    <n v="0"/>
    <n v="1"/>
    <n v="398"/>
    <n v="0.79600000000000004"/>
    <n v="0"/>
    <n v="0"/>
    <n v="0.20399999999999996"/>
    <n v="1"/>
    <n v="22"/>
    <n v="1"/>
    <n v="398"/>
    <n v="0"/>
    <n v="0"/>
    <n v="0"/>
    <n v="20"/>
    <n v="0"/>
    <n v="0"/>
    <n v="0"/>
    <n v="398"/>
    <n v="398"/>
    <n v="148"/>
    <n v="398"/>
    <n v="398"/>
    <n v="1"/>
    <n v="0"/>
    <n v="1"/>
    <n v="1"/>
    <n v="1"/>
    <n v="7"/>
    <n v="76"/>
    <n v="0"/>
    <n v="398"/>
    <s v="No"/>
    <s v=""/>
    <n v="0"/>
    <n v="0"/>
    <n v="0"/>
    <s v="Yes"/>
    <s v="KMSS-MYT"/>
    <x v="0"/>
    <x v="0"/>
    <x v="0"/>
    <n v="25.403476999999999"/>
    <n v="97.373361000000003"/>
    <s v="MMR001CMP019"/>
    <x v="1"/>
    <m/>
    <n v="73"/>
    <n v="387"/>
  </r>
  <r>
    <x v="0"/>
    <x v="8"/>
    <x v="7"/>
    <s v="UNICEF,MHF"/>
    <x v="0"/>
    <x v="7"/>
    <x v="0"/>
    <x v="36"/>
    <n v="137"/>
    <n v="612"/>
    <s v="10/1/2020, 8-4-21"/>
    <s v="4/30/2022, 8-3-22"/>
    <m/>
    <n v="3"/>
    <m/>
    <m/>
    <s v="Yes"/>
    <m/>
    <n v="5"/>
    <n v="1"/>
    <n v="0"/>
    <n v="0"/>
    <n v="7"/>
    <n v="0"/>
    <m/>
    <m/>
    <m/>
    <m/>
    <m/>
    <m/>
    <m/>
    <m/>
    <m/>
    <n v="6"/>
    <m/>
    <m/>
    <m/>
    <m/>
    <m/>
    <m/>
    <m/>
    <m/>
    <n v="16"/>
    <m/>
    <m/>
    <m/>
    <m/>
    <n v="40"/>
    <m/>
    <n v="16"/>
    <x v="1"/>
    <x v="1"/>
    <m/>
    <m/>
    <m/>
    <m/>
    <m/>
    <m/>
    <n v="7"/>
    <m/>
    <m/>
    <n v="4"/>
    <m/>
    <n v="1"/>
    <n v="2"/>
    <n v="124"/>
    <n v="198"/>
    <m/>
    <m/>
    <m/>
    <m/>
    <m/>
    <m/>
    <m/>
    <m/>
    <m/>
    <m/>
    <m/>
    <n v="0"/>
    <n v="0"/>
    <m/>
    <m/>
    <s v="no test"/>
    <s v="no test"/>
    <s v="No Test"/>
    <n v="1"/>
    <n v="7"/>
    <n v="0"/>
    <n v="0"/>
    <n v="0"/>
    <n v="0"/>
    <n v="0"/>
    <n v="1"/>
    <n v="1"/>
    <n v="1"/>
    <n v="612"/>
    <n v="0"/>
    <n v="0"/>
    <n v="1"/>
    <n v="612"/>
    <n v="1.224"/>
    <n v="0"/>
    <n v="0"/>
    <n v="0"/>
    <n v="1"/>
    <n v="16"/>
    <n v="0.52287581699346408"/>
    <n v="320"/>
    <n v="612"/>
    <n v="0"/>
    <n v="0"/>
    <n v="31"/>
    <n v="15"/>
    <n v="0.47712418300653592"/>
    <n v="0"/>
    <n v="612"/>
    <n v="612"/>
    <n v="198"/>
    <n v="612"/>
    <n v="612"/>
    <n v="1"/>
    <n v="0"/>
    <n v="1"/>
    <n v="1"/>
    <n v="1"/>
    <n v="7"/>
    <n v="137"/>
    <n v="0"/>
    <n v="612"/>
    <s v="No"/>
    <s v=""/>
    <n v="0"/>
    <n v="0"/>
    <n v="0"/>
    <n v="0"/>
    <s v="KBC-MYT"/>
    <x v="0"/>
    <x v="0"/>
    <x v="0"/>
    <n v="25.489669799804702"/>
    <n v="97.458778381347699"/>
    <s v="MMR001CMP265"/>
    <x v="1"/>
    <m/>
    <n v="136"/>
    <n v="658"/>
  </r>
  <r>
    <x v="0"/>
    <x v="7"/>
    <x v="7"/>
    <s v="UNICEF"/>
    <x v="0"/>
    <x v="2"/>
    <x v="0"/>
    <x v="37"/>
    <n v="1490"/>
    <n v="8486"/>
    <d v="2020-10-01T00:00:00"/>
    <d v="2022-04-30T00:00:00"/>
    <m/>
    <m/>
    <m/>
    <m/>
    <s v="Yes"/>
    <m/>
    <m/>
    <n v="1"/>
    <m/>
    <m/>
    <m/>
    <m/>
    <m/>
    <m/>
    <m/>
    <m/>
    <m/>
    <m/>
    <m/>
    <m/>
    <m/>
    <m/>
    <m/>
    <m/>
    <m/>
    <m/>
    <n v="3"/>
    <m/>
    <m/>
    <m/>
    <n v="34"/>
    <m/>
    <m/>
    <m/>
    <m/>
    <m/>
    <m/>
    <m/>
    <x v="1"/>
    <x v="1"/>
    <n v="6"/>
    <m/>
    <m/>
    <m/>
    <m/>
    <m/>
    <n v="7"/>
    <m/>
    <m/>
    <n v="7"/>
    <m/>
    <m/>
    <n v="9"/>
    <n v="104"/>
    <n v="148"/>
    <m/>
    <m/>
    <m/>
    <m/>
    <m/>
    <m/>
    <m/>
    <m/>
    <m/>
    <m/>
    <m/>
    <m/>
    <m/>
    <m/>
    <m/>
    <s v="no test"/>
    <s v="no test"/>
    <s v="No Test"/>
    <n v="1"/>
    <n v="0"/>
    <n v="0"/>
    <n v="0"/>
    <n v="0"/>
    <n v="0"/>
    <n v="0"/>
    <n v="4.7136460051850106E-2"/>
    <n v="2.9460287532406315E-2"/>
    <n v="4.7136460051850106E-2"/>
    <n v="400"/>
    <n v="0"/>
    <n v="0"/>
    <n v="4.7136460051850106E-2"/>
    <n v="400"/>
    <n v="0.8"/>
    <n v="0.95286353994814987"/>
    <n v="8086"/>
    <n v="16.2"/>
    <n v="17"/>
    <n v="34"/>
    <n v="9.4272920103700211E-2"/>
    <n v="800"/>
    <n v="0"/>
    <n v="0"/>
    <n v="0"/>
    <n v="424"/>
    <n v="390"/>
    <n v="0.90572707989629975"/>
    <n v="0"/>
    <n v="4500"/>
    <n v="520"/>
    <n v="148"/>
    <n v="520"/>
    <n v="4500"/>
    <n v="0.53028517558331367"/>
    <n v="0.46971482441668633"/>
    <n v="0.53028517558331367"/>
    <n v="6.9798657718120799E-2"/>
    <n v="9.9328859060402688E-2"/>
    <n v="7"/>
    <n v="140"/>
    <n v="0"/>
    <n v="700"/>
    <s v="No"/>
    <s v=""/>
    <n v="0"/>
    <n v="0"/>
    <n v="0"/>
    <s v="Yes"/>
    <s v="KMSS-MYT"/>
    <x v="0"/>
    <x v="0"/>
    <x v="1"/>
    <n v="24.688338999999999"/>
    <n v="97.568331999999998"/>
    <s v="MMR001CMP121"/>
    <x v="1"/>
    <m/>
    <n v="1592"/>
    <n v="8220"/>
  </r>
  <r>
    <x v="0"/>
    <x v="4"/>
    <x v="4"/>
    <s v="UNICEF"/>
    <x v="0"/>
    <x v="7"/>
    <x v="0"/>
    <x v="38"/>
    <n v="14"/>
    <n v="43"/>
    <d v="2021-08-06T00:00:00"/>
    <d v="2022-08-05T00:00:00"/>
    <m/>
    <n v="1"/>
    <m/>
    <m/>
    <s v="Yes"/>
    <n v="1"/>
    <n v="2"/>
    <m/>
    <m/>
    <m/>
    <n v="1"/>
    <m/>
    <m/>
    <m/>
    <m/>
    <m/>
    <m/>
    <m/>
    <m/>
    <m/>
    <m/>
    <m/>
    <m/>
    <m/>
    <m/>
    <m/>
    <n v="4"/>
    <m/>
    <m/>
    <m/>
    <n v="4"/>
    <m/>
    <m/>
    <m/>
    <m/>
    <m/>
    <m/>
    <m/>
    <x v="1"/>
    <x v="1"/>
    <m/>
    <m/>
    <m/>
    <m/>
    <m/>
    <m/>
    <n v="7"/>
    <m/>
    <m/>
    <n v="4"/>
    <m/>
    <m/>
    <m/>
    <n v="124"/>
    <n v="198"/>
    <m/>
    <n v="100"/>
    <n v="0.5"/>
    <m/>
    <m/>
    <m/>
    <m/>
    <m/>
    <m/>
    <m/>
    <m/>
    <m/>
    <m/>
    <m/>
    <m/>
    <s v="no test"/>
    <s v="no test"/>
    <s v="No Test"/>
    <n v="0"/>
    <n v="1"/>
    <n v="0"/>
    <n v="0"/>
    <n v="0"/>
    <n v="0"/>
    <n v="0"/>
    <n v="1"/>
    <n v="1"/>
    <n v="1"/>
    <n v="43"/>
    <n v="0"/>
    <n v="0"/>
    <n v="1"/>
    <n v="43"/>
    <n v="8.5999999999999993E-2"/>
    <n v="0"/>
    <n v="0"/>
    <n v="0.91400000000000003"/>
    <n v="1"/>
    <n v="4"/>
    <n v="1"/>
    <n v="43"/>
    <n v="0"/>
    <n v="0"/>
    <n v="0"/>
    <n v="2"/>
    <n v="0"/>
    <n v="0"/>
    <n v="0"/>
    <n v="0"/>
    <n v="43"/>
    <n v="43"/>
    <n v="43"/>
    <n v="43"/>
    <n v="1"/>
    <n v="0"/>
    <n v="0"/>
    <n v="1"/>
    <n v="1"/>
    <n v="7"/>
    <n v="14"/>
    <n v="0"/>
    <n v="43"/>
    <s v="No"/>
    <s v=""/>
    <n v="0"/>
    <n v="0"/>
    <n v="0"/>
    <n v="0"/>
    <s v="KMSS-MYT"/>
    <x v="0"/>
    <x v="0"/>
    <x v="0"/>
    <n v="25.244700000000002"/>
    <n v="97.2209"/>
    <s v="MMR001CMP256"/>
    <x v="1"/>
    <m/>
    <n v="18"/>
    <n v="60"/>
  </r>
  <r>
    <x v="0"/>
    <x v="3"/>
    <x v="3"/>
    <s v="USAID, HOPE-71, HOPE-94"/>
    <x v="0"/>
    <x v="2"/>
    <x v="1"/>
    <x v="39"/>
    <n v="17"/>
    <n v="100"/>
    <s v="13-8-2021, 6-1-2020, 1-7-2021"/>
    <s v="12-2-2022, 30-11-2021, 30.4.2021"/>
    <m/>
    <m/>
    <m/>
    <m/>
    <s v="No"/>
    <m/>
    <m/>
    <n v="1"/>
    <m/>
    <m/>
    <m/>
    <m/>
    <m/>
    <m/>
    <m/>
    <m/>
    <m/>
    <m/>
    <m/>
    <m/>
    <m/>
    <m/>
    <m/>
    <m/>
    <m/>
    <m/>
    <m/>
    <m/>
    <m/>
    <m/>
    <n v="4"/>
    <m/>
    <m/>
    <m/>
    <m/>
    <m/>
    <m/>
    <m/>
    <x v="1"/>
    <x v="1"/>
    <m/>
    <m/>
    <m/>
    <m/>
    <m/>
    <m/>
    <n v="3"/>
    <m/>
    <m/>
    <n v="2"/>
    <m/>
    <m/>
    <n v="1"/>
    <n v="10"/>
    <n v="18"/>
    <m/>
    <m/>
    <m/>
    <m/>
    <m/>
    <m/>
    <m/>
    <m/>
    <m/>
    <m/>
    <m/>
    <m/>
    <m/>
    <m/>
    <m/>
    <s v="no test"/>
    <s v="no test"/>
    <s v="No Test"/>
    <n v="1"/>
    <n v="0"/>
    <n v="0"/>
    <n v="0"/>
    <n v="0"/>
    <n v="0"/>
    <n v="0"/>
    <n v="1"/>
    <n v="1"/>
    <n v="1"/>
    <n v="100"/>
    <n v="0"/>
    <n v="0"/>
    <n v="1"/>
    <n v="100"/>
    <n v="0.2"/>
    <n v="0"/>
    <n v="0"/>
    <n v="0.8"/>
    <n v="1"/>
    <n v="4"/>
    <n v="0.8"/>
    <n v="80"/>
    <n v="0"/>
    <n v="0"/>
    <n v="0"/>
    <n v="5"/>
    <n v="1"/>
    <n v="0.19999999999999996"/>
    <n v="0"/>
    <n v="100"/>
    <n v="50"/>
    <n v="18"/>
    <n v="50"/>
    <n v="100"/>
    <n v="1"/>
    <n v="0"/>
    <n v="1"/>
    <n v="1"/>
    <n v="1"/>
    <n v="3"/>
    <n v="17"/>
    <n v="0"/>
    <n v="100"/>
    <s v="No"/>
    <s v=""/>
    <n v="0"/>
    <n v="0"/>
    <n v="0"/>
    <n v="0"/>
    <n v="0"/>
    <x v="0"/>
    <x v="0"/>
    <x v="0"/>
    <n v="0"/>
    <n v="0"/>
    <n v="0"/>
    <x v="1"/>
    <m/>
    <n v="0"/>
    <n v="0"/>
  </r>
  <r>
    <x v="0"/>
    <x v="4"/>
    <x v="4"/>
    <s v="UNICEF"/>
    <x v="0"/>
    <x v="1"/>
    <x v="0"/>
    <x v="40"/>
    <n v="14"/>
    <n v="52"/>
    <d v="2021-08-06T00:00:00"/>
    <d v="2022-08-05T00:00:00"/>
    <m/>
    <n v="3"/>
    <m/>
    <m/>
    <s v="Yes"/>
    <n v="3"/>
    <n v="2"/>
    <n v="1"/>
    <n v="1"/>
    <n v="1"/>
    <n v="1"/>
    <m/>
    <m/>
    <m/>
    <n v="1"/>
    <m/>
    <m/>
    <m/>
    <m/>
    <m/>
    <n v="10"/>
    <n v="1"/>
    <n v="2"/>
    <m/>
    <n v="8"/>
    <m/>
    <n v="2"/>
    <n v="1"/>
    <m/>
    <m/>
    <n v="4"/>
    <m/>
    <m/>
    <m/>
    <m/>
    <m/>
    <m/>
    <m/>
    <x v="1"/>
    <x v="2"/>
    <n v="2"/>
    <m/>
    <m/>
    <m/>
    <m/>
    <m/>
    <n v="3"/>
    <m/>
    <m/>
    <n v="2"/>
    <m/>
    <m/>
    <m/>
    <n v="88"/>
    <n v="100"/>
    <m/>
    <m/>
    <m/>
    <m/>
    <m/>
    <m/>
    <m/>
    <m/>
    <m/>
    <m/>
    <m/>
    <m/>
    <m/>
    <m/>
    <m/>
    <n v="0"/>
    <n v="0"/>
    <s v="Tested"/>
    <n v="0"/>
    <n v="1"/>
    <n v="1"/>
    <n v="0"/>
    <n v="0"/>
    <n v="52"/>
    <n v="0"/>
    <n v="1"/>
    <n v="1"/>
    <n v="1"/>
    <n v="52"/>
    <n v="0"/>
    <n v="0"/>
    <n v="1"/>
    <n v="52"/>
    <n v="0.104"/>
    <n v="0"/>
    <n v="0"/>
    <n v="0.89600000000000002"/>
    <n v="1"/>
    <n v="4"/>
    <n v="1"/>
    <n v="52"/>
    <n v="0"/>
    <n v="0"/>
    <n v="0"/>
    <n v="3"/>
    <n v="0"/>
    <n v="0"/>
    <n v="0"/>
    <n v="0"/>
    <n v="52"/>
    <n v="52"/>
    <n v="52"/>
    <n v="52"/>
    <n v="1"/>
    <n v="0"/>
    <n v="0"/>
    <n v="1"/>
    <n v="1"/>
    <n v="3"/>
    <n v="14"/>
    <n v="0"/>
    <n v="52"/>
    <s v="No"/>
    <s v=""/>
    <n v="0"/>
    <n v="52"/>
    <n v="0"/>
    <n v="0"/>
    <s v="KMSS-MYT"/>
    <x v="0"/>
    <x v="0"/>
    <x v="0"/>
    <n v="25.522594999999999"/>
    <n v="96.711534"/>
    <s v="MMR001CMP270"/>
    <x v="1"/>
    <m/>
    <n v="14"/>
    <n v="52"/>
  </r>
  <r>
    <x v="0"/>
    <x v="3"/>
    <x v="3"/>
    <s v="USAID, HOPE-71, HOPE-94"/>
    <x v="0"/>
    <x v="2"/>
    <x v="1"/>
    <x v="41"/>
    <n v="22"/>
    <n v="106"/>
    <s v="13-8-2021, 6-1-2020, 1-7-2021"/>
    <s v="12-2-2022, 30-11-2021, 30.4.2021"/>
    <m/>
    <m/>
    <m/>
    <m/>
    <s v="No"/>
    <m/>
    <m/>
    <m/>
    <m/>
    <m/>
    <m/>
    <n v="1"/>
    <m/>
    <m/>
    <m/>
    <m/>
    <m/>
    <m/>
    <m/>
    <m/>
    <m/>
    <m/>
    <m/>
    <m/>
    <m/>
    <m/>
    <m/>
    <m/>
    <m/>
    <m/>
    <n v="5"/>
    <m/>
    <m/>
    <m/>
    <m/>
    <m/>
    <m/>
    <m/>
    <x v="1"/>
    <x v="1"/>
    <m/>
    <m/>
    <m/>
    <m/>
    <m/>
    <m/>
    <n v="1"/>
    <m/>
    <m/>
    <n v="3"/>
    <m/>
    <m/>
    <n v="1"/>
    <n v="41"/>
    <n v="85"/>
    <m/>
    <m/>
    <m/>
    <m/>
    <m/>
    <m/>
    <m/>
    <m/>
    <m/>
    <m/>
    <m/>
    <m/>
    <m/>
    <m/>
    <m/>
    <s v="no test"/>
    <s v="no test"/>
    <s v="No Test"/>
    <n v="0"/>
    <n v="1"/>
    <n v="0"/>
    <n v="0"/>
    <n v="0"/>
    <n v="0"/>
    <n v="0"/>
    <n v="1"/>
    <n v="1"/>
    <n v="1"/>
    <n v="106"/>
    <n v="0"/>
    <n v="0"/>
    <n v="1"/>
    <n v="106"/>
    <n v="0.21199999999999999"/>
    <n v="0"/>
    <n v="0"/>
    <n v="0.78800000000000003"/>
    <n v="1"/>
    <n v="5"/>
    <n v="0.94339622641509435"/>
    <n v="100"/>
    <n v="0"/>
    <n v="0"/>
    <n v="0"/>
    <n v="5"/>
    <n v="0"/>
    <n v="5.6603773584905648E-2"/>
    <n v="0"/>
    <n v="106"/>
    <n v="106"/>
    <n v="85"/>
    <n v="106"/>
    <n v="106"/>
    <n v="1"/>
    <n v="0"/>
    <n v="1"/>
    <n v="1"/>
    <n v="1"/>
    <n v="1"/>
    <n v="20"/>
    <n v="0"/>
    <n v="100"/>
    <s v="No"/>
    <s v=""/>
    <n v="0"/>
    <n v="0"/>
    <n v="0"/>
    <n v="0"/>
    <n v="0"/>
    <x v="0"/>
    <x v="0"/>
    <x v="0"/>
    <n v="0"/>
    <n v="0"/>
    <n v="0"/>
    <x v="1"/>
    <m/>
    <n v="0"/>
    <n v="0"/>
  </r>
  <r>
    <x v="0"/>
    <x v="7"/>
    <x v="7"/>
    <s v="UNICEF"/>
    <x v="0"/>
    <x v="8"/>
    <x v="0"/>
    <x v="42"/>
    <n v="13"/>
    <n v="66"/>
    <d v="2020-10-01T00:00:00"/>
    <d v="2022-04-30T00:00:00"/>
    <m/>
    <n v="1"/>
    <m/>
    <m/>
    <s v="Yes"/>
    <m/>
    <n v="3"/>
    <m/>
    <m/>
    <m/>
    <n v="1"/>
    <m/>
    <m/>
    <m/>
    <m/>
    <m/>
    <m/>
    <m/>
    <m/>
    <m/>
    <m/>
    <n v="2"/>
    <m/>
    <m/>
    <m/>
    <m/>
    <m/>
    <m/>
    <m/>
    <m/>
    <n v="6"/>
    <m/>
    <m/>
    <m/>
    <m/>
    <m/>
    <m/>
    <n v="6"/>
    <x v="1"/>
    <x v="3"/>
    <m/>
    <m/>
    <m/>
    <m/>
    <m/>
    <m/>
    <n v="7"/>
    <m/>
    <m/>
    <n v="4"/>
    <m/>
    <m/>
    <n v="1"/>
    <n v="124"/>
    <n v="198"/>
    <m/>
    <m/>
    <m/>
    <m/>
    <m/>
    <m/>
    <m/>
    <m/>
    <m/>
    <m/>
    <m/>
    <m/>
    <m/>
    <m/>
    <m/>
    <s v="no test"/>
    <s v="no test"/>
    <s v="No Test"/>
    <n v="0"/>
    <n v="1"/>
    <n v="0"/>
    <n v="0"/>
    <n v="0"/>
    <n v="0"/>
    <n v="0"/>
    <n v="1"/>
    <n v="1"/>
    <n v="1"/>
    <n v="66"/>
    <n v="0"/>
    <n v="0"/>
    <n v="1"/>
    <n v="66"/>
    <n v="0.13200000000000001"/>
    <n v="0"/>
    <n v="0"/>
    <n v="0.86799999999999999"/>
    <n v="1"/>
    <n v="6"/>
    <n v="1"/>
    <n v="66"/>
    <n v="0"/>
    <n v="0"/>
    <n v="0"/>
    <n v="3"/>
    <n v="0"/>
    <n v="0"/>
    <n v="0"/>
    <n v="66"/>
    <n v="66"/>
    <n v="66"/>
    <n v="66"/>
    <n v="66"/>
    <n v="1"/>
    <n v="0"/>
    <n v="1"/>
    <n v="1"/>
    <n v="1"/>
    <n v="7"/>
    <n v="13"/>
    <n v="0"/>
    <n v="66"/>
    <s v="No"/>
    <s v=""/>
    <n v="0"/>
    <n v="0"/>
    <n v="0"/>
    <s v="Yes"/>
    <s v="KBC-MYT"/>
    <x v="0"/>
    <x v="0"/>
    <x v="0"/>
    <n v="25.305669999999999"/>
    <n v="96.922619999999995"/>
    <s v="MMR001CMP078"/>
    <x v="1"/>
    <m/>
    <n v="13"/>
    <n v="76"/>
  </r>
  <r>
    <x v="0"/>
    <x v="7"/>
    <x v="7"/>
    <s v="UNICEF"/>
    <x v="0"/>
    <x v="2"/>
    <x v="1"/>
    <x v="43"/>
    <n v="440"/>
    <n v="2199"/>
    <d v="2020-10-01T00:00:00"/>
    <d v="2022-04-30T00:00:00"/>
    <m/>
    <m/>
    <m/>
    <m/>
    <s v="Yes"/>
    <m/>
    <m/>
    <m/>
    <m/>
    <m/>
    <n v="1"/>
    <m/>
    <m/>
    <m/>
    <m/>
    <m/>
    <m/>
    <m/>
    <m/>
    <m/>
    <m/>
    <m/>
    <m/>
    <m/>
    <m/>
    <m/>
    <n v="20"/>
    <m/>
    <m/>
    <m/>
    <m/>
    <n v="0"/>
    <m/>
    <m/>
    <m/>
    <m/>
    <m/>
    <m/>
    <x v="0"/>
    <x v="0"/>
    <m/>
    <m/>
    <n v="51"/>
    <m/>
    <m/>
    <m/>
    <n v="3"/>
    <m/>
    <m/>
    <n v="2"/>
    <m/>
    <m/>
    <m/>
    <n v="88"/>
    <n v="100"/>
    <m/>
    <m/>
    <m/>
    <m/>
    <m/>
    <m/>
    <m/>
    <m/>
    <m/>
    <m/>
    <m/>
    <m/>
    <m/>
    <m/>
    <m/>
    <s v="no test"/>
    <s v="no test"/>
    <s v="No Test"/>
    <n v="0"/>
    <n v="1"/>
    <n v="0"/>
    <n v="0"/>
    <n v="0"/>
    <n v="0"/>
    <n v="0"/>
    <n v="0.22737608003638018"/>
    <n v="0.11368804001819009"/>
    <n v="0.22737608003638018"/>
    <n v="500"/>
    <n v="0"/>
    <n v="0"/>
    <n v="0.22737608003638018"/>
    <n v="500"/>
    <n v="1"/>
    <n v="0.77262391996361979"/>
    <n v="1699"/>
    <n v="3"/>
    <n v="4"/>
    <n v="0"/>
    <n v="0"/>
    <n v="0"/>
    <n v="0"/>
    <n v="0"/>
    <n v="0"/>
    <n v="110"/>
    <n v="110"/>
    <n v="1"/>
    <n v="0"/>
    <n v="0"/>
    <n v="440"/>
    <n v="100"/>
    <n v="440"/>
    <n v="440"/>
    <n v="0.20009095043201455"/>
    <n v="0.79990904956798548"/>
    <n v="0"/>
    <n v="0.2"/>
    <n v="0.22727272727272727"/>
    <n v="3"/>
    <n v="60"/>
    <n v="0"/>
    <n v="300"/>
    <s v="No"/>
    <s v=""/>
    <n v="0"/>
    <n v="0"/>
    <n v="0"/>
    <n v="0"/>
    <n v="0"/>
    <x v="0"/>
    <x v="1"/>
    <x v="1"/>
    <n v="0"/>
    <n v="0"/>
    <n v="0"/>
    <x v="1"/>
    <m/>
    <n v="0"/>
    <n v="0"/>
  </r>
  <r>
    <x v="0"/>
    <x v="9"/>
    <x v="8"/>
    <s v="(SI (ECHO), HARP - F),UNICEF"/>
    <x v="0"/>
    <x v="5"/>
    <x v="0"/>
    <x v="44"/>
    <n v="481"/>
    <n v="2691"/>
    <s v="5-1-2020, 1-1-2020"/>
    <s v="2-28-2020, 12-1-2020"/>
    <m/>
    <m/>
    <m/>
    <m/>
    <s v="Yes"/>
    <m/>
    <m/>
    <n v="4"/>
    <m/>
    <m/>
    <m/>
    <m/>
    <m/>
    <m/>
    <m/>
    <m/>
    <m/>
    <m/>
    <n v="1"/>
    <m/>
    <m/>
    <n v="1"/>
    <m/>
    <m/>
    <m/>
    <m/>
    <n v="5"/>
    <n v="2"/>
    <m/>
    <m/>
    <n v="438"/>
    <m/>
    <m/>
    <m/>
    <m/>
    <m/>
    <m/>
    <n v="266"/>
    <x v="2"/>
    <x v="1"/>
    <n v="6"/>
    <n v="274"/>
    <n v="62"/>
    <n v="2"/>
    <m/>
    <m/>
    <n v="7"/>
    <m/>
    <n v="266"/>
    <n v="4"/>
    <m/>
    <m/>
    <n v="7"/>
    <n v="124"/>
    <n v="198"/>
    <m/>
    <m/>
    <m/>
    <m/>
    <m/>
    <m/>
    <m/>
    <m/>
    <m/>
    <m/>
    <m/>
    <m/>
    <m/>
    <m/>
    <m/>
    <s v="no test"/>
    <s v="no test"/>
    <s v="No Test"/>
    <n v="4"/>
    <n v="0"/>
    <n v="0"/>
    <n v="0"/>
    <n v="0"/>
    <n v="1000"/>
    <n v="0"/>
    <n v="0.59457450761798591"/>
    <n v="0.37160906726124115"/>
    <n v="0.59457450761798591"/>
    <n v="1600"/>
    <n v="9.2902266815310289E-2"/>
    <n v="250"/>
    <n v="0.68747677443329624"/>
    <n v="1850"/>
    <n v="3.7"/>
    <n v="0.31252322556670376"/>
    <n v="840.99999999999977"/>
    <n v="1.2999999999999998"/>
    <n v="5"/>
    <n v="438"/>
    <n v="1"/>
    <n v="2691"/>
    <n v="0"/>
    <n v="0"/>
    <n v="100"/>
    <n v="135"/>
    <n v="0"/>
    <n v="0"/>
    <n v="0"/>
    <n v="2691"/>
    <n v="620"/>
    <n v="198"/>
    <n v="620"/>
    <n v="2691"/>
    <n v="1"/>
    <n v="0"/>
    <n v="1"/>
    <n v="0.25779625779625781"/>
    <n v="0.41164241164241167"/>
    <n v="7"/>
    <n v="140"/>
    <n v="0"/>
    <n v="700"/>
    <s v="No"/>
    <s v=""/>
    <n v="0"/>
    <n v="1000"/>
    <n v="100"/>
    <s v="Yes"/>
    <s v="KMSS-BMO"/>
    <x v="0"/>
    <x v="0"/>
    <x v="1"/>
    <n v="24.056132999999999"/>
    <n v="97.625617000000005"/>
    <s v="MMR001CMP128"/>
    <x v="1"/>
    <m/>
    <n v="542"/>
    <n v="2503"/>
  </r>
  <r>
    <x v="0"/>
    <x v="0"/>
    <x v="0"/>
    <m/>
    <x v="0"/>
    <x v="1"/>
    <x v="0"/>
    <x v="45"/>
    <n v="49"/>
    <n v="242"/>
    <m/>
    <m/>
    <m/>
    <m/>
    <m/>
    <m/>
    <s v="Yes"/>
    <n v="1"/>
    <n v="2"/>
    <n v="1"/>
    <m/>
    <m/>
    <m/>
    <n v="1"/>
    <m/>
    <m/>
    <m/>
    <m/>
    <m/>
    <m/>
    <m/>
    <m/>
    <m/>
    <m/>
    <m/>
    <m/>
    <m/>
    <m/>
    <n v="2"/>
    <m/>
    <m/>
    <m/>
    <n v="8"/>
    <n v="4"/>
    <m/>
    <m/>
    <m/>
    <m/>
    <m/>
    <m/>
    <x v="1"/>
    <x v="2"/>
    <n v="2"/>
    <m/>
    <m/>
    <m/>
    <m/>
    <m/>
    <n v="7"/>
    <m/>
    <n v="2"/>
    <n v="4"/>
    <m/>
    <m/>
    <m/>
    <n v="124"/>
    <n v="198"/>
    <m/>
    <m/>
    <m/>
    <m/>
    <m/>
    <m/>
    <m/>
    <m/>
    <m/>
    <m/>
    <m/>
    <m/>
    <m/>
    <m/>
    <m/>
    <s v="no test"/>
    <s v="no test"/>
    <s v="No Test"/>
    <n v="1"/>
    <n v="1"/>
    <n v="0"/>
    <n v="0"/>
    <n v="0"/>
    <n v="0"/>
    <n v="0"/>
    <n v="1"/>
    <n v="1"/>
    <n v="1"/>
    <n v="242"/>
    <n v="0"/>
    <n v="0"/>
    <n v="1"/>
    <n v="242"/>
    <n v="0.48399999999999999"/>
    <n v="0"/>
    <n v="0"/>
    <n v="0.51600000000000001"/>
    <n v="1"/>
    <n v="12"/>
    <n v="1"/>
    <n v="242"/>
    <n v="0"/>
    <n v="0"/>
    <n v="0"/>
    <n v="12"/>
    <n v="0"/>
    <n v="0"/>
    <n v="0"/>
    <n v="0"/>
    <n v="242"/>
    <n v="198"/>
    <n v="242"/>
    <n v="242"/>
    <n v="1"/>
    <n v="0"/>
    <n v="0"/>
    <n v="1"/>
    <n v="1"/>
    <n v="7"/>
    <n v="49"/>
    <n v="0"/>
    <n v="242"/>
    <s v="No"/>
    <s v=""/>
    <n v="0"/>
    <n v="0"/>
    <n v="0"/>
    <n v="0"/>
    <s v="KMSS-MYT"/>
    <x v="0"/>
    <x v="5"/>
    <x v="0"/>
    <n v="25.54677963"/>
    <n v="96.793539999999993"/>
    <s v="MMR001CMP268"/>
    <x v="0"/>
    <m/>
    <n v="50"/>
    <n v="250"/>
  </r>
  <r>
    <x v="0"/>
    <x v="2"/>
    <x v="2"/>
    <s v="DFID"/>
    <x v="0"/>
    <x v="1"/>
    <x v="0"/>
    <x v="46"/>
    <n v="124"/>
    <n v="633"/>
    <d v="2021-01-01T00:00:00"/>
    <d v="2022-03-31T00:00:00"/>
    <n v="221"/>
    <n v="1"/>
    <m/>
    <m/>
    <s v="Yes"/>
    <n v="4"/>
    <n v="6"/>
    <n v="1"/>
    <m/>
    <m/>
    <n v="1"/>
    <m/>
    <n v="1"/>
    <m/>
    <n v="1"/>
    <m/>
    <n v="1"/>
    <m/>
    <n v="1"/>
    <m/>
    <n v="1"/>
    <m/>
    <m/>
    <m/>
    <m/>
    <m/>
    <n v="5"/>
    <m/>
    <m/>
    <m/>
    <n v="28"/>
    <m/>
    <m/>
    <m/>
    <n v="10"/>
    <n v="7"/>
    <m/>
    <n v="0"/>
    <x v="1"/>
    <x v="1"/>
    <n v="1"/>
    <n v="0"/>
    <n v="1"/>
    <m/>
    <n v="6"/>
    <s v="အိမ်သာ(၁၀)လုံးပြုပြင်ရန်လိုအပ်နေ"/>
    <n v="8"/>
    <m/>
    <m/>
    <n v="3"/>
    <m/>
    <m/>
    <n v="1"/>
    <n v="91"/>
    <n v="124"/>
    <s v="Yes"/>
    <n v="4"/>
    <m/>
    <s v="ရေစင်(၂)လုံးလိုအပ်နေ။ Hygiene Promotion ပြုလုပ်ရန်လို။ Hygiene Kitsဆက်လက်ပေးရန်"/>
    <m/>
    <m/>
    <n v="35"/>
    <m/>
    <m/>
    <m/>
    <m/>
    <m/>
    <m/>
    <m/>
    <m/>
    <s v="no test"/>
    <s v="no test"/>
    <s v="No Test"/>
    <n v="1"/>
    <n v="0"/>
    <n v="1"/>
    <n v="0"/>
    <n v="0"/>
    <n v="0"/>
    <n v="0"/>
    <n v="0.73723012111637709"/>
    <n v="0.50026329647182732"/>
    <n v="0.73723012111637709"/>
    <n v="466.66666666666669"/>
    <n v="0.39494470774091628"/>
    <n v="250"/>
    <n v="1"/>
    <n v="633"/>
    <n v="1.266"/>
    <n v="0"/>
    <n v="0"/>
    <n v="0"/>
    <n v="1"/>
    <n v="28"/>
    <n v="0.92575039494470779"/>
    <n v="586"/>
    <n v="140"/>
    <n v="50"/>
    <n v="0"/>
    <n v="32"/>
    <n v="4"/>
    <n v="7.4249605055292212E-2"/>
    <n v="0"/>
    <n v="500"/>
    <n v="455"/>
    <n v="124"/>
    <n v="455"/>
    <n v="500"/>
    <n v="0.78988941548183256"/>
    <n v="0.21011058451816744"/>
    <n v="0.78988941548183256"/>
    <n v="1"/>
    <n v="1"/>
    <n v="8"/>
    <n v="124"/>
    <n v="5"/>
    <n v="633"/>
    <s v="Yes"/>
    <n v="5.5292259083728278E-2"/>
    <n v="0"/>
    <n v="50"/>
    <n v="0"/>
    <s v="Yes"/>
    <s v="KBC-MYT"/>
    <x v="0"/>
    <x v="0"/>
    <x v="0"/>
    <n v="25.664000000000001"/>
    <n v="96.34"/>
    <s v="MMR001CMP250"/>
    <x v="1"/>
    <m/>
    <n v="124"/>
    <n v="634"/>
  </r>
  <r>
    <x v="0"/>
    <x v="8"/>
    <x v="7"/>
    <s v="UNICEF,MHF"/>
    <x v="0"/>
    <x v="7"/>
    <x v="0"/>
    <x v="47"/>
    <n v="137"/>
    <n v="680"/>
    <s v="10/1/2020, 8-4-21"/>
    <s v="4/30/2022, 8-3-22"/>
    <m/>
    <n v="3"/>
    <m/>
    <m/>
    <s v="Yes"/>
    <m/>
    <n v="0"/>
    <m/>
    <n v="0"/>
    <n v="0"/>
    <n v="3"/>
    <n v="0"/>
    <m/>
    <m/>
    <m/>
    <m/>
    <m/>
    <m/>
    <m/>
    <m/>
    <m/>
    <n v="2"/>
    <m/>
    <m/>
    <m/>
    <m/>
    <m/>
    <m/>
    <m/>
    <m/>
    <n v="8"/>
    <m/>
    <m/>
    <m/>
    <m/>
    <n v="99"/>
    <m/>
    <n v="8"/>
    <x v="1"/>
    <x v="3"/>
    <m/>
    <m/>
    <m/>
    <m/>
    <m/>
    <m/>
    <n v="3"/>
    <m/>
    <m/>
    <n v="2"/>
    <m/>
    <m/>
    <n v="3"/>
    <n v="88"/>
    <n v="100"/>
    <m/>
    <m/>
    <m/>
    <m/>
    <m/>
    <m/>
    <n v="680"/>
    <n v="0.88"/>
    <m/>
    <m/>
    <m/>
    <n v="0"/>
    <n v="0"/>
    <m/>
    <m/>
    <s v="no test"/>
    <s v="no test"/>
    <s v="No Test"/>
    <n v="0"/>
    <n v="3"/>
    <n v="0"/>
    <n v="0"/>
    <n v="0"/>
    <n v="0"/>
    <n v="0"/>
    <n v="1"/>
    <n v="1"/>
    <n v="1"/>
    <n v="680"/>
    <n v="0"/>
    <n v="0"/>
    <n v="1"/>
    <n v="680"/>
    <n v="1.36"/>
    <n v="0"/>
    <n v="0"/>
    <n v="0"/>
    <n v="1"/>
    <n v="8"/>
    <n v="0.23529411764705882"/>
    <n v="160"/>
    <n v="680"/>
    <n v="0"/>
    <n v="0"/>
    <n v="34"/>
    <n v="26"/>
    <n v="0.76470588235294112"/>
    <n v="0"/>
    <n v="680"/>
    <n v="440"/>
    <n v="100"/>
    <n v="440"/>
    <n v="680"/>
    <n v="1"/>
    <n v="0"/>
    <n v="1"/>
    <n v="1"/>
    <n v="0.72992700729927007"/>
    <n v="3"/>
    <n v="60"/>
    <n v="0"/>
    <n v="300"/>
    <s v="No"/>
    <n v="1"/>
    <n v="0"/>
    <n v="0"/>
    <n v="0"/>
    <s v="Yes"/>
    <s v="KBC-MYT"/>
    <x v="0"/>
    <x v="0"/>
    <x v="0"/>
    <n v="25.362420757575801"/>
    <n v="97.409035000000003"/>
    <s v="MMR001CMP015"/>
    <x v="1"/>
    <m/>
    <n v="144"/>
    <n v="723"/>
  </r>
  <r>
    <x v="0"/>
    <x v="7"/>
    <x v="7"/>
    <s v="UNICEF"/>
    <x v="0"/>
    <x v="7"/>
    <x v="0"/>
    <x v="48"/>
    <n v="132"/>
    <n v="676"/>
    <d v="2020-10-01T00:00:00"/>
    <d v="2022-04-30T00:00:00"/>
    <m/>
    <n v="3"/>
    <m/>
    <m/>
    <s v="Yes"/>
    <m/>
    <n v="5"/>
    <m/>
    <m/>
    <m/>
    <n v="3"/>
    <m/>
    <m/>
    <m/>
    <m/>
    <m/>
    <m/>
    <m/>
    <m/>
    <m/>
    <m/>
    <n v="2"/>
    <m/>
    <m/>
    <m/>
    <m/>
    <m/>
    <m/>
    <m/>
    <m/>
    <n v="32"/>
    <m/>
    <m/>
    <m/>
    <m/>
    <n v="52"/>
    <m/>
    <n v="32"/>
    <x v="1"/>
    <x v="1"/>
    <m/>
    <m/>
    <m/>
    <m/>
    <m/>
    <m/>
    <n v="3"/>
    <m/>
    <m/>
    <n v="2"/>
    <m/>
    <m/>
    <n v="2"/>
    <n v="10"/>
    <n v="18"/>
    <m/>
    <m/>
    <m/>
    <m/>
    <m/>
    <m/>
    <m/>
    <m/>
    <m/>
    <m/>
    <m/>
    <m/>
    <m/>
    <m/>
    <m/>
    <s v="no test"/>
    <s v="no test"/>
    <s v="No Test"/>
    <n v="0"/>
    <n v="3"/>
    <n v="0"/>
    <n v="0"/>
    <n v="0"/>
    <n v="0"/>
    <n v="0"/>
    <n v="1"/>
    <n v="1"/>
    <n v="1"/>
    <n v="676"/>
    <n v="0"/>
    <n v="0"/>
    <n v="1"/>
    <n v="676"/>
    <n v="1.3520000000000001"/>
    <n v="0"/>
    <n v="0"/>
    <n v="0"/>
    <n v="1"/>
    <n v="32"/>
    <n v="0.94674556213017746"/>
    <n v="640"/>
    <n v="676"/>
    <n v="0"/>
    <n v="0"/>
    <n v="34"/>
    <n v="2"/>
    <n v="5.3254437869822535E-2"/>
    <n v="0"/>
    <n v="676"/>
    <n v="50"/>
    <n v="18"/>
    <n v="50"/>
    <n v="676"/>
    <n v="1"/>
    <n v="0"/>
    <n v="1"/>
    <n v="0.30303030303030304"/>
    <n v="0.13636363636363635"/>
    <n v="3"/>
    <n v="60"/>
    <n v="0"/>
    <n v="300"/>
    <s v="No"/>
    <s v=""/>
    <n v="0"/>
    <n v="0"/>
    <n v="0"/>
    <s v="Yes"/>
    <s v="KBC-MYT"/>
    <x v="0"/>
    <x v="0"/>
    <x v="0"/>
    <n v="25.3510167948718"/>
    <n v="97.403402307692303"/>
    <s v="MMR001CMP014"/>
    <x v="1"/>
    <m/>
    <n v="136"/>
    <n v="697"/>
  </r>
  <r>
    <x v="0"/>
    <x v="2"/>
    <x v="2"/>
    <s v="DFID"/>
    <x v="0"/>
    <x v="6"/>
    <x v="0"/>
    <x v="49"/>
    <n v="201"/>
    <n v="884"/>
    <d v="2021-01-01T00:00:00"/>
    <d v="2022-03-31T00:00:00"/>
    <n v="270"/>
    <n v="1"/>
    <m/>
    <m/>
    <s v="Yes"/>
    <n v="3"/>
    <n v="3"/>
    <m/>
    <m/>
    <m/>
    <m/>
    <m/>
    <m/>
    <m/>
    <n v="3"/>
    <n v="1"/>
    <n v="2"/>
    <m/>
    <n v="13"/>
    <m/>
    <m/>
    <m/>
    <m/>
    <m/>
    <m/>
    <m/>
    <n v="1"/>
    <n v="1"/>
    <m/>
    <m/>
    <n v="51"/>
    <n v="14"/>
    <s v="Oxfam/ ICRC"/>
    <m/>
    <m/>
    <n v="3"/>
    <m/>
    <n v="0"/>
    <x v="1"/>
    <x v="1"/>
    <m/>
    <m/>
    <n v="31"/>
    <n v="31"/>
    <m/>
    <m/>
    <n v="8"/>
    <m/>
    <m/>
    <n v="3"/>
    <n v="1"/>
    <n v="1"/>
    <m/>
    <n v="91"/>
    <n v="124"/>
    <s v="Yes"/>
    <n v="5"/>
    <n v="0.5"/>
    <m/>
    <n v="0.8"/>
    <n v="0.8"/>
    <n v="10"/>
    <n v="0.6"/>
    <m/>
    <n v="201"/>
    <n v="3"/>
    <m/>
    <m/>
    <m/>
    <m/>
    <s v="no test"/>
    <s v="no test"/>
    <s v="No Test"/>
    <n v="0"/>
    <n v="0"/>
    <n v="2"/>
    <n v="0"/>
    <n v="0"/>
    <n v="500"/>
    <n v="0"/>
    <n v="0.1508295625942685"/>
    <n v="0.1508295625942685"/>
    <n v="0.1508295625942685"/>
    <n v="133.33333333333334"/>
    <n v="1"/>
    <n v="884"/>
    <n v="1"/>
    <n v="884"/>
    <n v="1.768"/>
    <n v="0"/>
    <n v="0"/>
    <n v="0.23199999999999998"/>
    <n v="2"/>
    <n v="65"/>
    <n v="1"/>
    <n v="884"/>
    <n v="60"/>
    <n v="270"/>
    <n v="1550"/>
    <n v="44"/>
    <n v="0"/>
    <n v="0"/>
    <n v="0"/>
    <n v="500"/>
    <n v="455"/>
    <n v="124"/>
    <n v="455"/>
    <n v="500"/>
    <n v="0.56561085972850678"/>
    <n v="0.43438914027149322"/>
    <n v="0.56561085972850678"/>
    <n v="1"/>
    <n v="0.61691542288557211"/>
    <n v="8"/>
    <n v="160"/>
    <n v="1"/>
    <n v="800"/>
    <s v="Yes"/>
    <n v="1.1312217194570135E-2"/>
    <n v="204"/>
    <n v="500"/>
    <n v="1550"/>
    <s v="Yes"/>
    <s v="Shalom"/>
    <x v="0"/>
    <x v="0"/>
    <x v="0"/>
    <n v="25.887339999999998"/>
    <n v="98.129990000000006"/>
    <s v="MMR001CMP195"/>
    <x v="1"/>
    <m/>
    <n v="195"/>
    <n v="854"/>
  </r>
  <r>
    <x v="0"/>
    <x v="0"/>
    <x v="0"/>
    <m/>
    <x v="0"/>
    <x v="3"/>
    <x v="0"/>
    <x v="50"/>
    <n v="45"/>
    <n v="247"/>
    <m/>
    <m/>
    <m/>
    <m/>
    <m/>
    <m/>
    <m/>
    <m/>
    <m/>
    <m/>
    <m/>
    <m/>
    <m/>
    <m/>
    <m/>
    <m/>
    <m/>
    <m/>
    <m/>
    <m/>
    <m/>
    <m/>
    <m/>
    <m/>
    <m/>
    <m/>
    <m/>
    <m/>
    <m/>
    <m/>
    <m/>
    <m/>
    <m/>
    <m/>
    <m/>
    <m/>
    <m/>
    <m/>
    <m/>
    <m/>
    <x v="0"/>
    <x v="0"/>
    <m/>
    <m/>
    <m/>
    <m/>
    <m/>
    <m/>
    <n v="3"/>
    <m/>
    <m/>
    <n v="2"/>
    <m/>
    <m/>
    <m/>
    <n v="88"/>
    <n v="100"/>
    <m/>
    <m/>
    <m/>
    <m/>
    <m/>
    <m/>
    <m/>
    <m/>
    <m/>
    <m/>
    <m/>
    <m/>
    <m/>
    <m/>
    <m/>
    <s v="no test"/>
    <s v="no test"/>
    <s v="No Test"/>
    <n v="0"/>
    <n v="0"/>
    <n v="0"/>
    <n v="0"/>
    <n v="0"/>
    <n v="0"/>
    <n v="0"/>
    <n v="0"/>
    <n v="0"/>
    <n v="0"/>
    <n v="0"/>
    <n v="0"/>
    <n v="0"/>
    <n v="0"/>
    <n v="0"/>
    <n v="0"/>
    <n v="1"/>
    <n v="247"/>
    <n v="1"/>
    <n v="1"/>
    <n v="0"/>
    <n v="0"/>
    <n v="0"/>
    <n v="0"/>
    <n v="0"/>
    <n v="0"/>
    <n v="12"/>
    <n v="12"/>
    <n v="1"/>
    <n v="0"/>
    <n v="0"/>
    <n v="247"/>
    <n v="100"/>
    <n v="247"/>
    <n v="247"/>
    <n v="1"/>
    <n v="0"/>
    <n v="0"/>
    <n v="1"/>
    <n v="1"/>
    <n v="3"/>
    <n v="45"/>
    <n v="0"/>
    <n v="247"/>
    <s v="No"/>
    <s v=""/>
    <n v="0"/>
    <n v="0"/>
    <n v="0"/>
    <n v="0"/>
    <s v="Uncovered  "/>
    <x v="0"/>
    <x v="3"/>
    <x v="0"/>
    <n v="0"/>
    <n v="0"/>
    <s v="MMR001CMP292"/>
    <x v="0"/>
    <m/>
    <n v="87"/>
    <n v="478"/>
  </r>
  <r>
    <x v="0"/>
    <x v="2"/>
    <x v="2"/>
    <s v="DFID"/>
    <x v="0"/>
    <x v="1"/>
    <x v="0"/>
    <x v="51"/>
    <n v="19"/>
    <n v="100"/>
    <d v="2021-01-01T00:00:00"/>
    <d v="2022-03-31T00:00:00"/>
    <n v="15"/>
    <n v="1"/>
    <m/>
    <m/>
    <s v="Yes"/>
    <n v="3"/>
    <n v="2"/>
    <m/>
    <m/>
    <m/>
    <m/>
    <m/>
    <m/>
    <m/>
    <n v="2"/>
    <m/>
    <m/>
    <m/>
    <n v="1"/>
    <n v="13500"/>
    <m/>
    <m/>
    <m/>
    <m/>
    <m/>
    <m/>
    <n v="2"/>
    <n v="1"/>
    <m/>
    <s v="တောင်ကျရေလုံလောက်မူမရှိ"/>
    <n v="8"/>
    <m/>
    <m/>
    <m/>
    <m/>
    <n v="1"/>
    <m/>
    <m/>
    <x v="1"/>
    <x v="1"/>
    <m/>
    <m/>
    <m/>
    <m/>
    <m/>
    <m/>
    <n v="2"/>
    <m/>
    <m/>
    <n v="2"/>
    <m/>
    <n v="1"/>
    <m/>
    <n v="19"/>
    <n v="26"/>
    <s v="Yes"/>
    <n v="3"/>
    <n v="0.8"/>
    <s v="သင်တန်းများ ပြန်လည်ပို့ချပေးစေလိုပါသည်။"/>
    <n v="1"/>
    <n v="0.8"/>
    <n v="5"/>
    <n v="0.8"/>
    <m/>
    <m/>
    <m/>
    <m/>
    <m/>
    <m/>
    <m/>
    <s v="no test"/>
    <s v="no test"/>
    <s v="No Test"/>
    <n v="0"/>
    <n v="0"/>
    <n v="2"/>
    <n v="0"/>
    <n v="10"/>
    <n v="100"/>
    <n v="0"/>
    <n v="1"/>
    <n v="1"/>
    <n v="1"/>
    <n v="100"/>
    <n v="1"/>
    <n v="100"/>
    <n v="1"/>
    <n v="100"/>
    <n v="0.2"/>
    <n v="0"/>
    <n v="0"/>
    <n v="0.8"/>
    <n v="1"/>
    <n v="8"/>
    <n v="1"/>
    <n v="100"/>
    <n v="20"/>
    <n v="0"/>
    <n v="0"/>
    <n v="5"/>
    <n v="0"/>
    <n v="0"/>
    <n v="0"/>
    <n v="100"/>
    <n v="100"/>
    <n v="26"/>
    <n v="100"/>
    <n v="100"/>
    <n v="1"/>
    <n v="0"/>
    <n v="1"/>
    <n v="1"/>
    <n v="1"/>
    <n v="2"/>
    <n v="19"/>
    <n v="2"/>
    <n v="100"/>
    <s v="Yes"/>
    <n v="0.05"/>
    <n v="0"/>
    <n v="100"/>
    <n v="0"/>
    <s v="Yes"/>
    <s v="Shalom"/>
    <x v="0"/>
    <x v="0"/>
    <x v="0"/>
    <n v="25.566510000000001"/>
    <n v="96.269199999999998"/>
    <s v="MMR001CMP181"/>
    <x v="1"/>
    <m/>
    <n v="19"/>
    <n v="100"/>
  </r>
  <r>
    <x v="0"/>
    <x v="2"/>
    <x v="2"/>
    <s v="DFID"/>
    <x v="0"/>
    <x v="1"/>
    <x v="0"/>
    <x v="52"/>
    <n v="10"/>
    <n v="54"/>
    <d v="2021-01-01T00:00:00"/>
    <d v="2022-03-31T00:00:00"/>
    <n v="23"/>
    <n v="1"/>
    <m/>
    <m/>
    <s v="Yes"/>
    <n v="3"/>
    <n v="4"/>
    <n v="1"/>
    <m/>
    <m/>
    <m/>
    <m/>
    <m/>
    <m/>
    <m/>
    <m/>
    <m/>
    <m/>
    <n v="1"/>
    <n v="1000"/>
    <n v="1"/>
    <m/>
    <m/>
    <m/>
    <m/>
    <m/>
    <m/>
    <m/>
    <m/>
    <s v="ရေအရည်သွေးစစ်ဆေးမူပြုလုပ်စေချင်။ ရေတွင်းသန့်ရှင်းရေးလုပ်ချင်ပါသည်"/>
    <n v="2"/>
    <m/>
    <m/>
    <m/>
    <m/>
    <m/>
    <m/>
    <m/>
    <x v="1"/>
    <x v="1"/>
    <m/>
    <m/>
    <m/>
    <m/>
    <m/>
    <m/>
    <n v="3"/>
    <m/>
    <m/>
    <n v="2"/>
    <m/>
    <m/>
    <n v="1"/>
    <n v="10"/>
    <n v="13"/>
    <s v="No"/>
    <n v="4"/>
    <m/>
    <s v="အတွင်းခံဆိုဒ်ကြီးများလဲ ထည့်ပေးစေချင်ပါသည်။ အသက်(၅၀)ထိလစဉ်သုံးပစ္စည်းရချင်"/>
    <m/>
    <m/>
    <m/>
    <m/>
    <m/>
    <m/>
    <m/>
    <m/>
    <m/>
    <m/>
    <m/>
    <s v="no test"/>
    <s v="no test"/>
    <s v="No Test"/>
    <n v="1"/>
    <n v="0"/>
    <n v="0"/>
    <n v="0"/>
    <n v="0.7407407407407407"/>
    <n v="0"/>
    <n v="0"/>
    <n v="1"/>
    <n v="1"/>
    <n v="1"/>
    <n v="54"/>
    <n v="1"/>
    <n v="54"/>
    <n v="1"/>
    <n v="54"/>
    <n v="0.108"/>
    <n v="0"/>
    <n v="0"/>
    <n v="0.89200000000000002"/>
    <n v="1"/>
    <n v="2"/>
    <n v="0.7407407407407407"/>
    <n v="40"/>
    <n v="0"/>
    <n v="0"/>
    <n v="0"/>
    <n v="3"/>
    <n v="1"/>
    <n v="0.2592592592592593"/>
    <n v="0"/>
    <n v="54"/>
    <n v="54"/>
    <n v="13"/>
    <n v="54"/>
    <n v="54"/>
    <n v="1"/>
    <n v="0"/>
    <n v="1"/>
    <n v="1"/>
    <n v="1"/>
    <n v="3"/>
    <n v="10"/>
    <n v="0"/>
    <n v="54"/>
    <s v="Yes"/>
    <s v=""/>
    <n v="0"/>
    <n v="0"/>
    <n v="0"/>
    <s v="Yes"/>
    <s v="Shalom"/>
    <x v="0"/>
    <x v="0"/>
    <x v="0"/>
    <n v="25.61842"/>
    <n v="96.316400000000002"/>
    <s v="MMR001CMP167"/>
    <x v="1"/>
    <m/>
    <n v="10"/>
    <n v="54"/>
  </r>
  <r>
    <x v="0"/>
    <x v="3"/>
    <x v="3"/>
    <s v="USAID, HOPE-71, HOPE-94"/>
    <x v="0"/>
    <x v="0"/>
    <x v="0"/>
    <x v="53"/>
    <n v="122"/>
    <n v="689"/>
    <s v="13-8-2021, 6-1-2020, 1-7-2021"/>
    <s v="12-2-2022, 30-11-2021, 30.4.2021"/>
    <m/>
    <m/>
    <m/>
    <m/>
    <s v="Yes"/>
    <n v="2"/>
    <n v="2"/>
    <n v="1"/>
    <m/>
    <m/>
    <n v="1"/>
    <n v="1"/>
    <m/>
    <m/>
    <m/>
    <m/>
    <m/>
    <m/>
    <m/>
    <m/>
    <m/>
    <m/>
    <m/>
    <m/>
    <m/>
    <m/>
    <m/>
    <m/>
    <m/>
    <m/>
    <n v="21"/>
    <m/>
    <m/>
    <m/>
    <m/>
    <m/>
    <m/>
    <m/>
    <x v="1"/>
    <x v="1"/>
    <m/>
    <m/>
    <n v="5"/>
    <m/>
    <m/>
    <s v="Metta is negotiating with SI for Desludging service"/>
    <n v="3"/>
    <m/>
    <m/>
    <n v="2"/>
    <m/>
    <m/>
    <m/>
    <n v="88"/>
    <n v="100"/>
    <m/>
    <m/>
    <m/>
    <m/>
    <m/>
    <m/>
    <m/>
    <m/>
    <m/>
    <m/>
    <m/>
    <m/>
    <m/>
    <m/>
    <m/>
    <s v="no test"/>
    <s v="no test"/>
    <s v="No Test"/>
    <n v="1"/>
    <n v="2"/>
    <n v="0"/>
    <n v="0"/>
    <n v="0"/>
    <n v="0"/>
    <n v="0"/>
    <n v="1"/>
    <n v="1"/>
    <n v="1"/>
    <n v="689"/>
    <n v="0"/>
    <n v="0"/>
    <n v="1"/>
    <n v="689"/>
    <n v="1.3779999999999999"/>
    <n v="0"/>
    <n v="0"/>
    <n v="0"/>
    <n v="1"/>
    <n v="21"/>
    <n v="0.60957910014513783"/>
    <n v="420"/>
    <n v="0"/>
    <n v="0"/>
    <n v="0"/>
    <n v="34"/>
    <n v="13"/>
    <n v="0.39042089985486217"/>
    <n v="0"/>
    <n v="0"/>
    <n v="440"/>
    <n v="100"/>
    <n v="440"/>
    <n v="440"/>
    <n v="0.63860667634252544"/>
    <n v="0.36139332365747456"/>
    <n v="0"/>
    <n v="1"/>
    <n v="0.81967213114754101"/>
    <n v="3"/>
    <n v="60"/>
    <n v="0"/>
    <n v="300"/>
    <s v="No"/>
    <s v=""/>
    <n v="0"/>
    <n v="0"/>
    <n v="0"/>
    <s v="Yes"/>
    <s v="Shalom"/>
    <x v="0"/>
    <x v="0"/>
    <x v="0"/>
    <n v="24.2631743589744"/>
    <n v="97.240183461538507"/>
    <s v="MMR001CMP049"/>
    <x v="1"/>
    <m/>
    <n v="134"/>
    <n v="767"/>
  </r>
  <r>
    <x v="0"/>
    <x v="0"/>
    <x v="0"/>
    <m/>
    <x v="0"/>
    <x v="3"/>
    <x v="0"/>
    <x v="54"/>
    <n v="40"/>
    <n v="220"/>
    <m/>
    <m/>
    <m/>
    <m/>
    <m/>
    <m/>
    <m/>
    <m/>
    <m/>
    <m/>
    <m/>
    <m/>
    <m/>
    <m/>
    <m/>
    <m/>
    <m/>
    <m/>
    <m/>
    <m/>
    <m/>
    <m/>
    <m/>
    <m/>
    <m/>
    <m/>
    <m/>
    <m/>
    <m/>
    <m/>
    <m/>
    <m/>
    <m/>
    <m/>
    <m/>
    <m/>
    <m/>
    <m/>
    <m/>
    <m/>
    <x v="0"/>
    <x v="0"/>
    <m/>
    <m/>
    <m/>
    <m/>
    <m/>
    <m/>
    <n v="3"/>
    <m/>
    <m/>
    <n v="2"/>
    <m/>
    <m/>
    <m/>
    <n v="10"/>
    <n v="18"/>
    <m/>
    <m/>
    <m/>
    <m/>
    <m/>
    <m/>
    <m/>
    <m/>
    <m/>
    <m/>
    <m/>
    <m/>
    <m/>
    <m/>
    <m/>
    <s v="no test"/>
    <s v="no test"/>
    <s v="No Test"/>
    <n v="0"/>
    <n v="0"/>
    <n v="0"/>
    <n v="0"/>
    <n v="0"/>
    <n v="0"/>
    <n v="0"/>
    <n v="0"/>
    <n v="0"/>
    <n v="0"/>
    <n v="0"/>
    <n v="0"/>
    <n v="0"/>
    <n v="0"/>
    <n v="0"/>
    <n v="0"/>
    <n v="1"/>
    <n v="220"/>
    <n v="1"/>
    <n v="1"/>
    <n v="0"/>
    <n v="0"/>
    <n v="0"/>
    <n v="0"/>
    <n v="0"/>
    <n v="0"/>
    <n v="11"/>
    <n v="11"/>
    <n v="1"/>
    <n v="0"/>
    <n v="0"/>
    <n v="50"/>
    <n v="18"/>
    <n v="50"/>
    <n v="50"/>
    <n v="0.22727272727272727"/>
    <n v="0.77272727272727271"/>
    <n v="0"/>
    <n v="1"/>
    <n v="0.45"/>
    <n v="3"/>
    <n v="40"/>
    <n v="0"/>
    <n v="220"/>
    <s v="No"/>
    <s v=""/>
    <n v="0"/>
    <n v="0"/>
    <n v="0"/>
    <n v="0"/>
    <s v="Uncovered  "/>
    <x v="0"/>
    <x v="3"/>
    <x v="0"/>
    <n v="25.210599999999999"/>
    <n v="97.264700000000005"/>
    <s v="MMR001CMP289"/>
    <x v="0"/>
    <m/>
    <n v="40"/>
    <n v="220"/>
  </r>
  <r>
    <x v="0"/>
    <x v="1"/>
    <x v="1"/>
    <s v="ECHO"/>
    <x v="0"/>
    <x v="2"/>
    <x v="0"/>
    <x v="55"/>
    <n v="39"/>
    <n v="239"/>
    <d v="2022-04-01T00:00:00"/>
    <d v="2022-11-30T00:00:00"/>
    <m/>
    <m/>
    <m/>
    <m/>
    <s v="Yes"/>
    <n v="3"/>
    <n v="6"/>
    <n v="1"/>
    <m/>
    <m/>
    <m/>
    <m/>
    <m/>
    <m/>
    <n v="1"/>
    <m/>
    <m/>
    <m/>
    <m/>
    <m/>
    <m/>
    <m/>
    <m/>
    <m/>
    <m/>
    <m/>
    <n v="5"/>
    <m/>
    <m/>
    <m/>
    <n v="9"/>
    <m/>
    <m/>
    <m/>
    <m/>
    <m/>
    <m/>
    <m/>
    <x v="1"/>
    <x v="1"/>
    <m/>
    <m/>
    <m/>
    <m/>
    <n v="2"/>
    <m/>
    <n v="4"/>
    <m/>
    <m/>
    <n v="1"/>
    <m/>
    <m/>
    <n v="1"/>
    <m/>
    <m/>
    <m/>
    <m/>
    <m/>
    <m/>
    <n v="1"/>
    <n v="1"/>
    <n v="7"/>
    <n v="0.5"/>
    <m/>
    <m/>
    <m/>
    <m/>
    <m/>
    <m/>
    <m/>
    <s v="no test"/>
    <s v="no test"/>
    <s v="No Test"/>
    <n v="1"/>
    <n v="0"/>
    <n v="1"/>
    <n v="0"/>
    <n v="0"/>
    <n v="0"/>
    <n v="0"/>
    <n v="1"/>
    <n v="1"/>
    <n v="1"/>
    <n v="239"/>
    <n v="0"/>
    <n v="0"/>
    <n v="1"/>
    <n v="239"/>
    <n v="0.47799999999999998"/>
    <n v="0"/>
    <n v="0"/>
    <n v="0.52200000000000002"/>
    <n v="1"/>
    <n v="9"/>
    <n v="0.7615062761506276"/>
    <n v="182"/>
    <n v="0"/>
    <n v="0"/>
    <n v="0"/>
    <n v="12"/>
    <n v="3"/>
    <n v="0.2384937238493724"/>
    <n v="0"/>
    <n v="239"/>
    <n v="0"/>
    <n v="0"/>
    <n v="0"/>
    <n v="239"/>
    <n v="1"/>
    <n v="0"/>
    <n v="1"/>
    <n v="0"/>
    <n v="0"/>
    <n v="4"/>
    <n v="39"/>
    <n v="0"/>
    <n v="239"/>
    <s v="No"/>
    <n v="2.9288702928870293E-2"/>
    <n v="0"/>
    <n v="0"/>
    <n v="0"/>
    <s v="Yes"/>
    <s v="KBC-BMO"/>
    <x v="0"/>
    <x v="0"/>
    <x v="0"/>
    <n v="24.200972"/>
    <n v="97.718582999999995"/>
    <s v="MMR001CMP071"/>
    <x v="1"/>
    <m/>
    <n v="40"/>
    <n v="247"/>
  </r>
  <r>
    <x v="0"/>
    <x v="1"/>
    <x v="1"/>
    <s v="ECHO"/>
    <x v="0"/>
    <x v="2"/>
    <x v="0"/>
    <x v="56"/>
    <n v="68"/>
    <n v="426"/>
    <d v="2022-04-01T00:00:00"/>
    <d v="2022-11-30T00:00:00"/>
    <m/>
    <m/>
    <m/>
    <m/>
    <s v="Yes"/>
    <n v="5"/>
    <n v="6"/>
    <m/>
    <m/>
    <m/>
    <n v="1"/>
    <m/>
    <m/>
    <m/>
    <n v="1"/>
    <m/>
    <m/>
    <m/>
    <m/>
    <m/>
    <m/>
    <m/>
    <m/>
    <m/>
    <m/>
    <m/>
    <m/>
    <m/>
    <m/>
    <m/>
    <n v="6"/>
    <m/>
    <m/>
    <m/>
    <m/>
    <m/>
    <m/>
    <m/>
    <x v="1"/>
    <x v="1"/>
    <m/>
    <m/>
    <m/>
    <m/>
    <n v="6"/>
    <m/>
    <m/>
    <m/>
    <m/>
    <n v="1"/>
    <m/>
    <m/>
    <n v="1"/>
    <m/>
    <m/>
    <m/>
    <m/>
    <m/>
    <m/>
    <n v="1"/>
    <n v="1"/>
    <n v="10"/>
    <m/>
    <m/>
    <m/>
    <m/>
    <m/>
    <m/>
    <m/>
    <m/>
    <s v="no test"/>
    <s v="no test"/>
    <s v="No Test"/>
    <n v="0"/>
    <n v="1"/>
    <n v="1"/>
    <n v="0"/>
    <n v="0"/>
    <n v="0"/>
    <n v="0"/>
    <n v="1"/>
    <n v="0.74334898278560257"/>
    <n v="1"/>
    <n v="426"/>
    <n v="0"/>
    <n v="0"/>
    <n v="1"/>
    <n v="426"/>
    <n v="0.85199999999999998"/>
    <n v="0"/>
    <n v="0"/>
    <n v="0.14800000000000002"/>
    <n v="1"/>
    <n v="6"/>
    <n v="0.29577464788732394"/>
    <n v="126"/>
    <n v="0"/>
    <n v="0"/>
    <n v="0"/>
    <n v="21"/>
    <n v="15"/>
    <n v="0.70422535211267601"/>
    <n v="0"/>
    <n v="426"/>
    <n v="0"/>
    <n v="0"/>
    <n v="0"/>
    <n v="426"/>
    <n v="1"/>
    <n v="0"/>
    <n v="1"/>
    <n v="0"/>
    <n v="0"/>
    <n v="0"/>
    <n v="0"/>
    <n v="0"/>
    <n v="0"/>
    <s v="No"/>
    <n v="2.3474178403755867E-2"/>
    <n v="0"/>
    <n v="0"/>
    <n v="0"/>
    <s v="Yes"/>
    <s v="KMSS-BMO"/>
    <x v="0"/>
    <x v="0"/>
    <x v="0"/>
    <n v="24.205417000000001"/>
    <n v="97.724566999999993"/>
    <s v="MMR001CMP069"/>
    <x v="1"/>
    <m/>
    <n v="79"/>
    <n v="448"/>
  </r>
  <r>
    <x v="0"/>
    <x v="1"/>
    <x v="1"/>
    <s v="ECHO"/>
    <x v="0"/>
    <x v="2"/>
    <x v="0"/>
    <x v="57"/>
    <n v="232"/>
    <n v="1322"/>
    <d v="2022-04-01T00:00:00"/>
    <d v="2022-11-30T00:00:00"/>
    <m/>
    <m/>
    <m/>
    <m/>
    <s v="Yes"/>
    <n v="11"/>
    <n v="13"/>
    <n v="5"/>
    <m/>
    <m/>
    <n v="5"/>
    <m/>
    <m/>
    <m/>
    <n v="4"/>
    <m/>
    <m/>
    <m/>
    <m/>
    <m/>
    <m/>
    <m/>
    <m/>
    <m/>
    <m/>
    <m/>
    <n v="15"/>
    <m/>
    <m/>
    <m/>
    <n v="47"/>
    <m/>
    <m/>
    <m/>
    <m/>
    <m/>
    <m/>
    <m/>
    <x v="1"/>
    <x v="1"/>
    <m/>
    <m/>
    <m/>
    <m/>
    <n v="3"/>
    <m/>
    <n v="15"/>
    <m/>
    <m/>
    <n v="6"/>
    <m/>
    <m/>
    <n v="4"/>
    <m/>
    <m/>
    <m/>
    <m/>
    <m/>
    <m/>
    <n v="1"/>
    <n v="1"/>
    <n v="41"/>
    <n v="1"/>
    <m/>
    <m/>
    <m/>
    <m/>
    <m/>
    <m/>
    <m/>
    <s v="no test"/>
    <s v="no test"/>
    <s v="No Test"/>
    <n v="5"/>
    <n v="5"/>
    <n v="4"/>
    <n v="0"/>
    <n v="0"/>
    <n v="0"/>
    <n v="0"/>
    <n v="1"/>
    <n v="1"/>
    <n v="1"/>
    <n v="1322"/>
    <n v="0"/>
    <n v="0"/>
    <n v="1"/>
    <n v="1322"/>
    <n v="2.6440000000000001"/>
    <n v="0"/>
    <n v="0"/>
    <n v="0.35599999999999987"/>
    <n v="3"/>
    <n v="47"/>
    <n v="0.71331316187594551"/>
    <n v="943"/>
    <n v="0"/>
    <n v="0"/>
    <n v="0"/>
    <n v="66"/>
    <n v="19"/>
    <n v="0.28668683812405449"/>
    <n v="0"/>
    <n v="1322"/>
    <n v="0"/>
    <n v="0"/>
    <n v="0"/>
    <n v="1322"/>
    <n v="1"/>
    <n v="0"/>
    <n v="1"/>
    <n v="0"/>
    <n v="0"/>
    <n v="15"/>
    <n v="232"/>
    <n v="0"/>
    <n v="1322"/>
    <s v="No"/>
    <n v="3.1013615733736764E-2"/>
    <n v="0"/>
    <n v="0"/>
    <n v="0"/>
    <s v="Yes"/>
    <s v="KBC-BMO"/>
    <x v="0"/>
    <x v="0"/>
    <x v="0"/>
    <n v="24.200433"/>
    <n v="97.717133000000004"/>
    <s v="MMR001CMP070"/>
    <x v="1"/>
    <m/>
    <n v="240"/>
    <n v="1395"/>
  </r>
  <r>
    <x v="0"/>
    <x v="4"/>
    <x v="4"/>
    <s v="UNICEF"/>
    <x v="0"/>
    <x v="1"/>
    <x v="1"/>
    <x v="58"/>
    <n v="94"/>
    <n v="467"/>
    <d v="2021-08-06T00:00:00"/>
    <d v="2022-08-05T00:00:00"/>
    <m/>
    <n v="5"/>
    <m/>
    <m/>
    <s v="Yes"/>
    <n v="2"/>
    <n v="5"/>
    <n v="1"/>
    <m/>
    <m/>
    <m/>
    <m/>
    <m/>
    <m/>
    <m/>
    <m/>
    <m/>
    <m/>
    <m/>
    <m/>
    <m/>
    <m/>
    <n v="10"/>
    <m/>
    <m/>
    <m/>
    <m/>
    <m/>
    <m/>
    <m/>
    <n v="12"/>
    <m/>
    <m/>
    <m/>
    <m/>
    <m/>
    <m/>
    <m/>
    <x v="1"/>
    <x v="1"/>
    <n v="3"/>
    <m/>
    <m/>
    <m/>
    <m/>
    <m/>
    <n v="1"/>
    <m/>
    <m/>
    <n v="3"/>
    <m/>
    <m/>
    <m/>
    <n v="41"/>
    <n v="85"/>
    <m/>
    <n v="100"/>
    <n v="0.3"/>
    <m/>
    <m/>
    <m/>
    <m/>
    <m/>
    <m/>
    <m/>
    <m/>
    <m/>
    <m/>
    <m/>
    <m/>
    <n v="0"/>
    <s v="no test"/>
    <s v="Tested"/>
    <n v="1"/>
    <n v="0"/>
    <n v="0"/>
    <n v="0"/>
    <n v="0"/>
    <n v="0"/>
    <n v="0"/>
    <n v="0.85653104925053536"/>
    <n v="0.53533190578158463"/>
    <n v="0.85653104925053536"/>
    <n v="400"/>
    <n v="0"/>
    <n v="0"/>
    <n v="0.85653104925053536"/>
    <n v="400"/>
    <n v="0.8"/>
    <n v="0.14346895074946464"/>
    <n v="66.999999999999986"/>
    <n v="0.19999999999999996"/>
    <n v="1"/>
    <n v="12"/>
    <n v="0.64239828693790146"/>
    <n v="300"/>
    <n v="0"/>
    <n v="0"/>
    <n v="0"/>
    <n v="23"/>
    <n v="11"/>
    <n v="0.35760171306209854"/>
    <n v="0"/>
    <n v="0"/>
    <n v="205"/>
    <n v="85"/>
    <n v="205"/>
    <n v="205"/>
    <n v="0.43897216274089934"/>
    <n v="0.56102783725910066"/>
    <n v="0"/>
    <n v="1"/>
    <n v="0.9042553191489362"/>
    <n v="1"/>
    <n v="20"/>
    <n v="0"/>
    <n v="100"/>
    <s v="No"/>
    <s v=""/>
    <n v="0"/>
    <n v="0"/>
    <n v="0"/>
    <n v="0"/>
    <n v="0"/>
    <x v="0"/>
    <x v="3"/>
    <x v="0"/>
    <n v="0"/>
    <n v="0"/>
    <n v="0"/>
    <x v="1"/>
    <m/>
    <n v="0"/>
    <n v="0"/>
  </r>
  <r>
    <x v="0"/>
    <x v="7"/>
    <x v="7"/>
    <s v="UNICEF"/>
    <x v="0"/>
    <x v="11"/>
    <x v="0"/>
    <x v="59"/>
    <n v="60"/>
    <n v="289"/>
    <d v="2020-10-01T00:00:00"/>
    <d v="2022-04-30T00:00:00"/>
    <m/>
    <n v="2"/>
    <m/>
    <m/>
    <s v="Yes"/>
    <m/>
    <m/>
    <n v="1"/>
    <m/>
    <m/>
    <m/>
    <m/>
    <m/>
    <m/>
    <m/>
    <m/>
    <m/>
    <m/>
    <n v="1"/>
    <m/>
    <m/>
    <n v="1"/>
    <m/>
    <m/>
    <m/>
    <m/>
    <m/>
    <m/>
    <m/>
    <m/>
    <n v="12"/>
    <m/>
    <m/>
    <m/>
    <m/>
    <m/>
    <m/>
    <n v="12"/>
    <x v="1"/>
    <x v="1"/>
    <m/>
    <m/>
    <m/>
    <m/>
    <m/>
    <m/>
    <n v="1"/>
    <m/>
    <m/>
    <n v="3"/>
    <m/>
    <n v="1"/>
    <n v="1"/>
    <n v="41"/>
    <n v="85"/>
    <m/>
    <m/>
    <m/>
    <m/>
    <m/>
    <m/>
    <m/>
    <m/>
    <m/>
    <m/>
    <m/>
    <m/>
    <m/>
    <m/>
    <m/>
    <s v="no test"/>
    <s v="no test"/>
    <s v="No Test"/>
    <n v="1"/>
    <n v="0"/>
    <n v="0"/>
    <n v="0"/>
    <n v="0"/>
    <n v="0"/>
    <n v="0"/>
    <n v="1"/>
    <n v="0.86505190311418689"/>
    <n v="1"/>
    <n v="289"/>
    <n v="0.86505190311418689"/>
    <n v="250"/>
    <n v="1"/>
    <n v="289"/>
    <n v="0.57799999999999996"/>
    <n v="0"/>
    <n v="0"/>
    <n v="0.42200000000000004"/>
    <n v="1"/>
    <n v="12"/>
    <n v="0.83044982698961933"/>
    <n v="240"/>
    <n v="0"/>
    <n v="0"/>
    <n v="0"/>
    <n v="14"/>
    <n v="2"/>
    <n v="0.16955017301038067"/>
    <n v="0"/>
    <n v="289"/>
    <n v="205"/>
    <n v="85"/>
    <n v="205"/>
    <n v="289"/>
    <n v="1"/>
    <n v="0"/>
    <n v="1"/>
    <n v="1"/>
    <n v="1"/>
    <n v="1"/>
    <n v="20"/>
    <n v="0"/>
    <n v="100"/>
    <s v="No"/>
    <s v=""/>
    <n v="0"/>
    <n v="0"/>
    <n v="0"/>
    <s v="Yes"/>
    <s v="KBC-MYT"/>
    <x v="0"/>
    <x v="5"/>
    <x v="0"/>
    <n v="27.337499999999999"/>
    <n v="97.416121000000004"/>
    <s v="MMR001CMP234"/>
    <x v="1"/>
    <m/>
    <n v="0"/>
    <n v="0"/>
  </r>
  <r>
    <x v="0"/>
    <x v="0"/>
    <x v="0"/>
    <m/>
    <x v="0"/>
    <x v="2"/>
    <x v="1"/>
    <x v="60"/>
    <m/>
    <m/>
    <d v="2020-01-03T00:00:00"/>
    <d v="2022-02-28T00:00:00"/>
    <m/>
    <m/>
    <m/>
    <m/>
    <s v="Yes"/>
    <m/>
    <m/>
    <n v="2"/>
    <m/>
    <m/>
    <n v="1"/>
    <m/>
    <m/>
    <m/>
    <m/>
    <m/>
    <m/>
    <m/>
    <m/>
    <m/>
    <m/>
    <m/>
    <m/>
    <m/>
    <m/>
    <m/>
    <m/>
    <m/>
    <m/>
    <m/>
    <n v="7"/>
    <m/>
    <m/>
    <m/>
    <m/>
    <m/>
    <m/>
    <m/>
    <x v="1"/>
    <x v="0"/>
    <m/>
    <m/>
    <m/>
    <m/>
    <n v="5"/>
    <m/>
    <n v="1"/>
    <m/>
    <m/>
    <n v="3"/>
    <m/>
    <m/>
    <m/>
    <n v="41"/>
    <n v="85"/>
    <m/>
    <m/>
    <m/>
    <m/>
    <m/>
    <m/>
    <m/>
    <m/>
    <m/>
    <m/>
    <m/>
    <m/>
    <m/>
    <m/>
    <m/>
    <s v="no test"/>
    <s v="no test"/>
    <s v="No Test"/>
    <n v="2"/>
    <n v="1"/>
    <n v="0"/>
    <n v="0"/>
    <n v="0"/>
    <n v="0"/>
    <n v="0"/>
    <s v=""/>
    <s v=""/>
    <s v=""/>
    <m/>
    <m/>
    <n v="0"/>
    <m/>
    <m/>
    <n v="0"/>
    <m/>
    <m/>
    <n v="1"/>
    <n v="1"/>
    <n v="7"/>
    <m/>
    <n v="0"/>
    <n v="0"/>
    <n v="0"/>
    <n v="0"/>
    <n v="0"/>
    <n v="0"/>
    <m/>
    <m/>
    <n v="0"/>
    <n v="0"/>
    <n v="0"/>
    <n v="0"/>
    <n v="0"/>
    <m/>
    <m/>
    <m/>
    <m/>
    <m/>
    <n v="1"/>
    <n v="0"/>
    <n v="0"/>
    <n v="0"/>
    <s v="No"/>
    <s v=""/>
    <n v="0"/>
    <n v="0"/>
    <n v="0"/>
    <n v="0"/>
    <n v="0"/>
    <x v="0"/>
    <x v="1"/>
    <x v="0"/>
    <n v="0"/>
    <n v="0"/>
    <n v="0"/>
    <x v="0"/>
    <m/>
    <n v="0"/>
    <n v="0"/>
  </r>
  <r>
    <x v="0"/>
    <x v="7"/>
    <x v="7"/>
    <s v="UNICEF"/>
    <x v="0"/>
    <x v="8"/>
    <x v="0"/>
    <x v="61"/>
    <n v="16"/>
    <n v="78"/>
    <d v="2020-10-01T00:00:00"/>
    <d v="2022-04-30T00:00:00"/>
    <m/>
    <n v="1"/>
    <m/>
    <m/>
    <s v="Yes"/>
    <m/>
    <n v="3"/>
    <m/>
    <m/>
    <m/>
    <n v="1"/>
    <m/>
    <m/>
    <m/>
    <m/>
    <m/>
    <m/>
    <m/>
    <m/>
    <m/>
    <m/>
    <n v="2"/>
    <m/>
    <m/>
    <m/>
    <m/>
    <m/>
    <m/>
    <m/>
    <m/>
    <n v="2"/>
    <m/>
    <m/>
    <m/>
    <m/>
    <m/>
    <m/>
    <n v="2"/>
    <x v="1"/>
    <x v="1"/>
    <m/>
    <m/>
    <m/>
    <m/>
    <m/>
    <m/>
    <n v="1"/>
    <m/>
    <m/>
    <n v="1"/>
    <m/>
    <m/>
    <n v="1"/>
    <n v="6"/>
    <n v="5"/>
    <m/>
    <m/>
    <m/>
    <m/>
    <m/>
    <m/>
    <m/>
    <m/>
    <m/>
    <m/>
    <m/>
    <m/>
    <m/>
    <m/>
    <m/>
    <s v="no test"/>
    <s v="no test"/>
    <s v="No Test"/>
    <n v="0"/>
    <n v="1"/>
    <n v="0"/>
    <n v="0"/>
    <n v="0"/>
    <n v="0"/>
    <n v="0"/>
    <n v="1"/>
    <n v="1"/>
    <n v="1"/>
    <n v="78"/>
    <n v="0"/>
    <n v="0"/>
    <n v="1"/>
    <n v="78"/>
    <n v="0.156"/>
    <n v="0"/>
    <n v="0"/>
    <n v="0.84399999999999997"/>
    <n v="1"/>
    <n v="2"/>
    <n v="0.51282051282051277"/>
    <n v="40"/>
    <n v="0"/>
    <n v="0"/>
    <n v="0"/>
    <n v="4"/>
    <n v="2"/>
    <n v="0.48717948717948723"/>
    <n v="0"/>
    <n v="78"/>
    <n v="30"/>
    <n v="5"/>
    <n v="30"/>
    <n v="78"/>
    <n v="1"/>
    <n v="0"/>
    <n v="1"/>
    <n v="1"/>
    <n v="0.3125"/>
    <n v="1"/>
    <n v="16"/>
    <n v="0"/>
    <n v="78"/>
    <s v="No"/>
    <s v=""/>
    <n v="0"/>
    <n v="0"/>
    <n v="0"/>
    <s v="Yes"/>
    <s v="KBC-MYT"/>
    <x v="0"/>
    <x v="0"/>
    <x v="0"/>
    <n v="25.296579999999999"/>
    <n v="96.942279999999997"/>
    <s v="MMR001CMP077"/>
    <x v="1"/>
    <m/>
    <n v="16"/>
    <n v="75"/>
  </r>
  <r>
    <x v="0"/>
    <x v="7"/>
    <x v="7"/>
    <s v="UNICEF"/>
    <x v="0"/>
    <x v="3"/>
    <x v="0"/>
    <x v="62"/>
    <n v="28"/>
    <n v="159"/>
    <d v="2020-10-01T00:00:00"/>
    <d v="2022-04-30T00:00:00"/>
    <m/>
    <n v="1"/>
    <m/>
    <m/>
    <s v="Yes"/>
    <m/>
    <n v="1"/>
    <n v="2"/>
    <m/>
    <m/>
    <n v="1"/>
    <m/>
    <m/>
    <m/>
    <m/>
    <m/>
    <m/>
    <m/>
    <m/>
    <m/>
    <m/>
    <n v="3"/>
    <m/>
    <m/>
    <m/>
    <m/>
    <m/>
    <m/>
    <m/>
    <m/>
    <n v="6"/>
    <m/>
    <m/>
    <m/>
    <m/>
    <n v="12"/>
    <m/>
    <n v="6"/>
    <x v="1"/>
    <x v="1"/>
    <m/>
    <m/>
    <m/>
    <m/>
    <m/>
    <m/>
    <n v="8"/>
    <m/>
    <m/>
    <n v="3"/>
    <m/>
    <m/>
    <n v="1"/>
    <n v="91"/>
    <n v="124"/>
    <m/>
    <m/>
    <m/>
    <m/>
    <m/>
    <m/>
    <m/>
    <m/>
    <m/>
    <m/>
    <m/>
    <m/>
    <m/>
    <m/>
    <m/>
    <s v="no test"/>
    <s v="no test"/>
    <s v="No Test"/>
    <n v="2"/>
    <n v="1"/>
    <n v="0"/>
    <n v="0"/>
    <n v="0"/>
    <n v="0"/>
    <n v="0"/>
    <n v="1"/>
    <n v="1"/>
    <n v="1"/>
    <n v="159"/>
    <n v="0"/>
    <n v="0"/>
    <n v="1"/>
    <n v="159"/>
    <n v="0.318"/>
    <n v="0"/>
    <n v="0"/>
    <n v="0.68199999999999994"/>
    <n v="1"/>
    <n v="6"/>
    <n v="0.75471698113207553"/>
    <n v="120"/>
    <n v="159"/>
    <n v="0"/>
    <n v="0"/>
    <n v="8"/>
    <n v="2"/>
    <n v="0.24528301886792447"/>
    <n v="0"/>
    <n v="159"/>
    <n v="159"/>
    <n v="124"/>
    <n v="159"/>
    <n v="159"/>
    <n v="1"/>
    <n v="0"/>
    <n v="1"/>
    <n v="1"/>
    <n v="1"/>
    <n v="8"/>
    <n v="28"/>
    <n v="0"/>
    <n v="159"/>
    <s v="No"/>
    <s v=""/>
    <n v="0"/>
    <n v="0"/>
    <n v="0"/>
    <s v="Yes"/>
    <s v="KBC-MYT"/>
    <x v="0"/>
    <x v="0"/>
    <x v="0"/>
    <n v="25.356632000000001"/>
    <n v="97.451965000000001"/>
    <s v="MMR001CMP027"/>
    <x v="1"/>
    <m/>
    <n v="39"/>
    <n v="238"/>
  </r>
  <r>
    <x v="0"/>
    <x v="8"/>
    <x v="7"/>
    <s v="UNICEF, MHF"/>
    <x v="0"/>
    <x v="3"/>
    <x v="0"/>
    <x v="63"/>
    <n v="405"/>
    <n v="1736"/>
    <s v="10/1/2020, 8-4-21"/>
    <s v="4/30/2022, 8-3-22"/>
    <m/>
    <n v="6"/>
    <m/>
    <m/>
    <s v="Yes"/>
    <m/>
    <n v="5"/>
    <m/>
    <m/>
    <m/>
    <m/>
    <m/>
    <m/>
    <m/>
    <m/>
    <m/>
    <m/>
    <m/>
    <m/>
    <m/>
    <m/>
    <m/>
    <m/>
    <m/>
    <m/>
    <m/>
    <m/>
    <m/>
    <m/>
    <m/>
    <n v="407"/>
    <m/>
    <m/>
    <m/>
    <m/>
    <m/>
    <m/>
    <m/>
    <x v="1"/>
    <x v="1"/>
    <n v="3"/>
    <m/>
    <m/>
    <m/>
    <m/>
    <m/>
    <n v="3"/>
    <m/>
    <m/>
    <n v="2"/>
    <m/>
    <n v="1"/>
    <n v="5"/>
    <n v="10"/>
    <n v="18"/>
    <m/>
    <m/>
    <m/>
    <m/>
    <m/>
    <m/>
    <m/>
    <m/>
    <m/>
    <m/>
    <m/>
    <m/>
    <m/>
    <m/>
    <m/>
    <s v="no test"/>
    <s v="no test"/>
    <s v="No Test"/>
    <n v="0"/>
    <n v="0"/>
    <n v="0"/>
    <n v="0"/>
    <n v="0"/>
    <n v="0"/>
    <n v="0"/>
    <n v="0"/>
    <n v="0"/>
    <n v="0"/>
    <n v="0"/>
    <n v="0"/>
    <n v="0"/>
    <n v="0"/>
    <n v="0"/>
    <n v="0"/>
    <n v="1"/>
    <n v="1736"/>
    <n v="3"/>
    <n v="3"/>
    <n v="407"/>
    <n v="1"/>
    <n v="1736"/>
    <n v="0"/>
    <n v="0"/>
    <n v="0"/>
    <n v="289"/>
    <n v="0"/>
    <n v="0"/>
    <n v="0"/>
    <n v="1736"/>
    <n v="50"/>
    <n v="18"/>
    <n v="50"/>
    <n v="1736"/>
    <n v="1"/>
    <n v="0"/>
    <n v="1"/>
    <n v="2.4691358024691357E-2"/>
    <n v="4.4444444444444446E-2"/>
    <n v="3"/>
    <n v="60"/>
    <n v="0"/>
    <n v="300"/>
    <s v="No"/>
    <s v=""/>
    <n v="0"/>
    <n v="0"/>
    <n v="0"/>
    <s v="Yes"/>
    <s v="KMSS-MYT"/>
    <x v="1"/>
    <x v="0"/>
    <x v="1"/>
    <n v="24.980250000000002"/>
    <n v="97.715230000000005"/>
    <s v="MMR001CMP119"/>
    <x v="1"/>
    <m/>
    <n v="417"/>
    <n v="1608"/>
  </r>
  <r>
    <x v="0"/>
    <x v="2"/>
    <x v="2"/>
    <s v="DFID"/>
    <x v="0"/>
    <x v="3"/>
    <x v="0"/>
    <x v="64"/>
    <n v="353"/>
    <n v="2160"/>
    <d v="2021-01-01T00:00:00"/>
    <d v="2022-03-31T00:00:00"/>
    <m/>
    <n v="1"/>
    <m/>
    <m/>
    <s v="Yes"/>
    <n v="1"/>
    <n v="6"/>
    <n v="3"/>
    <n v="3"/>
    <m/>
    <n v="1"/>
    <n v="2"/>
    <n v="1"/>
    <m/>
    <m/>
    <m/>
    <m/>
    <m/>
    <m/>
    <m/>
    <m/>
    <m/>
    <m/>
    <m/>
    <m/>
    <m/>
    <n v="2"/>
    <m/>
    <m/>
    <m/>
    <n v="20"/>
    <n v="4"/>
    <s v="worldvision/KBC"/>
    <n v="3"/>
    <m/>
    <m/>
    <m/>
    <m/>
    <x v="1"/>
    <x v="1"/>
    <m/>
    <n v="10"/>
    <n v="10"/>
    <n v="10"/>
    <m/>
    <s v="မိလ္လာစုပ်ထုတ်ရန် လိုအပ်ပါက ရုံးမှ တိုက်ရိုက်ဆက်သွယ်လုပ်ဆောင်ပေးပါရန်"/>
    <n v="1"/>
    <m/>
    <m/>
    <n v="1"/>
    <n v="1"/>
    <n v="1"/>
    <n v="1"/>
    <n v="6"/>
    <n v="5"/>
    <s v="Yes"/>
    <m/>
    <n v="0.8"/>
    <s v="12နှစ်မှ ၂၅နှစ်များကို တကိုယ်ရည်သန့်ရှင်းရေးသင်တန်းများ လိုအပ်"/>
    <n v="1"/>
    <n v="1"/>
    <m/>
    <m/>
    <m/>
    <m/>
    <m/>
    <m/>
    <m/>
    <m/>
    <m/>
    <s v="no test"/>
    <s v="no test"/>
    <s v="No Test"/>
    <n v="0"/>
    <n v="2"/>
    <n v="0"/>
    <n v="0"/>
    <n v="0"/>
    <n v="0"/>
    <n v="0"/>
    <n v="0.46296296296296297"/>
    <n v="0.23148148148148148"/>
    <n v="0.46296296296296297"/>
    <n v="1000"/>
    <n v="0"/>
    <n v="0"/>
    <n v="0.46296296296296297"/>
    <n v="1000"/>
    <n v="2"/>
    <n v="0.53703703703703698"/>
    <n v="1159.9999999999998"/>
    <n v="2"/>
    <n v="4"/>
    <n v="21"/>
    <n v="0.19444444444444445"/>
    <n v="420"/>
    <n v="0"/>
    <n v="0"/>
    <n v="500"/>
    <n v="108"/>
    <n v="84"/>
    <n v="0.80555555555555558"/>
    <n v="0.125"/>
    <n v="1000"/>
    <n v="30"/>
    <n v="5"/>
    <n v="30"/>
    <n v="1000"/>
    <n v="0.46296296296296297"/>
    <n v="0.53703703703703698"/>
    <n v="0.46296296296296297"/>
    <n v="6.79886685552408E-2"/>
    <n v="1.4164305949008499E-2"/>
    <n v="1"/>
    <n v="20"/>
    <n v="2"/>
    <n v="100"/>
    <s v="No"/>
    <s v=""/>
    <n v="0"/>
    <n v="0"/>
    <n v="500"/>
    <s v="Yes"/>
    <s v="Shalom"/>
    <x v="0"/>
    <x v="0"/>
    <x v="0"/>
    <n v="25.424529444444399"/>
    <n v="97.433419259259296"/>
    <s v="MMR001CMP031"/>
    <x v="1"/>
    <m/>
    <n v="353"/>
    <n v="2166"/>
  </r>
  <r>
    <x v="0"/>
    <x v="4"/>
    <x v="4"/>
    <s v="UNICEF"/>
    <x v="0"/>
    <x v="3"/>
    <x v="0"/>
    <x v="65"/>
    <n v="328"/>
    <n v="1776"/>
    <d v="2021-08-06T00:00:00"/>
    <d v="2022-08-05T00:00:00"/>
    <m/>
    <n v="5"/>
    <m/>
    <m/>
    <s v="Yes"/>
    <n v="4"/>
    <n v="3"/>
    <n v="11"/>
    <m/>
    <m/>
    <m/>
    <m/>
    <m/>
    <m/>
    <m/>
    <m/>
    <m/>
    <m/>
    <m/>
    <m/>
    <m/>
    <m/>
    <m/>
    <m/>
    <m/>
    <m/>
    <n v="5"/>
    <m/>
    <m/>
    <m/>
    <n v="97"/>
    <m/>
    <m/>
    <m/>
    <m/>
    <m/>
    <m/>
    <m/>
    <x v="1"/>
    <x v="1"/>
    <m/>
    <m/>
    <m/>
    <m/>
    <m/>
    <m/>
    <n v="1"/>
    <m/>
    <m/>
    <n v="1"/>
    <m/>
    <m/>
    <m/>
    <n v="6"/>
    <n v="5"/>
    <m/>
    <n v="100"/>
    <n v="0.6"/>
    <m/>
    <m/>
    <m/>
    <m/>
    <m/>
    <m/>
    <m/>
    <m/>
    <m/>
    <m/>
    <m/>
    <m/>
    <s v="no test"/>
    <s v="no test"/>
    <s v="No Test"/>
    <n v="11"/>
    <n v="0"/>
    <n v="0"/>
    <n v="0"/>
    <n v="0"/>
    <n v="0"/>
    <n v="0"/>
    <n v="1"/>
    <n v="1"/>
    <n v="1"/>
    <n v="1776"/>
    <n v="0"/>
    <n v="0"/>
    <n v="1"/>
    <n v="1776"/>
    <n v="3.552"/>
    <n v="0"/>
    <n v="0"/>
    <n v="0.44799999999999995"/>
    <n v="4"/>
    <n v="97"/>
    <n v="1"/>
    <n v="1776"/>
    <n v="0"/>
    <n v="0"/>
    <n v="0"/>
    <n v="89"/>
    <n v="0"/>
    <n v="0"/>
    <n v="0"/>
    <n v="0"/>
    <n v="30"/>
    <n v="5"/>
    <n v="30"/>
    <n v="30"/>
    <n v="1.6891891891891893E-2"/>
    <n v="0.98310810810810811"/>
    <n v="0"/>
    <n v="7.3170731707317069E-2"/>
    <n v="1.524390243902439E-2"/>
    <n v="1"/>
    <n v="20"/>
    <n v="0"/>
    <n v="100"/>
    <s v="No"/>
    <s v=""/>
    <n v="0"/>
    <n v="0"/>
    <n v="0"/>
    <s v="Yes"/>
    <s v="KMSS-MYT"/>
    <x v="0"/>
    <x v="0"/>
    <x v="0"/>
    <n v="25.415667500000001"/>
    <n v="97.437782499999997"/>
    <s v="MMR001CMP029"/>
    <x v="1"/>
    <m/>
    <n v="276"/>
    <n v="1492"/>
  </r>
  <r>
    <x v="0"/>
    <x v="7"/>
    <x v="7"/>
    <s v="UNICEF"/>
    <x v="0"/>
    <x v="3"/>
    <x v="0"/>
    <x v="66"/>
    <n v="494"/>
    <n v="2500"/>
    <d v="2020-10-01T00:00:00"/>
    <d v="2022-04-30T00:00:00"/>
    <m/>
    <n v="6"/>
    <m/>
    <m/>
    <s v="Yes"/>
    <m/>
    <m/>
    <n v="9"/>
    <m/>
    <m/>
    <n v="2"/>
    <m/>
    <m/>
    <m/>
    <m/>
    <m/>
    <m/>
    <m/>
    <m/>
    <m/>
    <m/>
    <n v="9"/>
    <m/>
    <m/>
    <m/>
    <m/>
    <m/>
    <m/>
    <m/>
    <m/>
    <n v="130"/>
    <m/>
    <m/>
    <m/>
    <n v="30"/>
    <n v="122"/>
    <m/>
    <n v="130"/>
    <x v="1"/>
    <x v="1"/>
    <m/>
    <m/>
    <m/>
    <m/>
    <m/>
    <m/>
    <n v="7"/>
    <m/>
    <m/>
    <n v="7"/>
    <m/>
    <n v="2"/>
    <n v="4"/>
    <n v="104"/>
    <n v="148"/>
    <m/>
    <m/>
    <m/>
    <m/>
    <m/>
    <m/>
    <m/>
    <m/>
    <m/>
    <m/>
    <m/>
    <m/>
    <m/>
    <m/>
    <m/>
    <s v="no test"/>
    <s v="no test"/>
    <s v="No Test"/>
    <n v="9"/>
    <n v="2"/>
    <n v="0"/>
    <n v="0"/>
    <n v="0"/>
    <n v="0"/>
    <n v="0"/>
    <n v="1"/>
    <n v="1"/>
    <n v="1"/>
    <n v="2500"/>
    <n v="0"/>
    <n v="0"/>
    <n v="1"/>
    <n v="2500"/>
    <n v="5"/>
    <n v="0"/>
    <n v="0"/>
    <n v="0"/>
    <n v="5"/>
    <n v="130"/>
    <n v="1"/>
    <n v="2500"/>
    <n v="2440"/>
    <n v="0"/>
    <n v="0"/>
    <n v="125"/>
    <n v="0"/>
    <n v="0"/>
    <n v="0"/>
    <n v="2500"/>
    <n v="520"/>
    <n v="148"/>
    <n v="520"/>
    <n v="2500"/>
    <n v="1"/>
    <n v="0"/>
    <n v="1"/>
    <n v="0.84210526315789469"/>
    <n v="0.29959514170040485"/>
    <n v="7"/>
    <n v="140"/>
    <n v="0"/>
    <n v="700"/>
    <s v="No"/>
    <s v=""/>
    <n v="0"/>
    <n v="0"/>
    <n v="0"/>
    <s v="Yes"/>
    <s v="KBC-MYT"/>
    <x v="0"/>
    <x v="0"/>
    <x v="0"/>
    <n v="25.4118005797101"/>
    <n v="97.434855869565197"/>
    <s v="MMR001CMP040"/>
    <x v="1"/>
    <m/>
    <n v="531"/>
    <n v="2920"/>
  </r>
  <r>
    <x v="0"/>
    <x v="7"/>
    <x v="7"/>
    <s v="UNICEF"/>
    <x v="0"/>
    <x v="3"/>
    <x v="0"/>
    <x v="67"/>
    <n v="43"/>
    <n v="191"/>
    <d v="2020-10-01T00:00:00"/>
    <d v="2022-04-30T00:00:00"/>
    <m/>
    <n v="1"/>
    <m/>
    <m/>
    <s v="Yes"/>
    <m/>
    <n v="4"/>
    <n v="1"/>
    <m/>
    <m/>
    <m/>
    <m/>
    <m/>
    <m/>
    <m/>
    <m/>
    <m/>
    <m/>
    <m/>
    <m/>
    <m/>
    <n v="2"/>
    <m/>
    <m/>
    <m/>
    <m/>
    <m/>
    <m/>
    <m/>
    <m/>
    <n v="10"/>
    <m/>
    <m/>
    <m/>
    <m/>
    <n v="60"/>
    <m/>
    <n v="10"/>
    <x v="1"/>
    <x v="1"/>
    <m/>
    <m/>
    <m/>
    <m/>
    <m/>
    <m/>
    <n v="7"/>
    <m/>
    <m/>
    <n v="4"/>
    <m/>
    <n v="1"/>
    <m/>
    <n v="124"/>
    <n v="198"/>
    <m/>
    <m/>
    <m/>
    <m/>
    <m/>
    <m/>
    <m/>
    <m/>
    <m/>
    <m/>
    <m/>
    <m/>
    <m/>
    <m/>
    <m/>
    <s v="no test"/>
    <s v="no test"/>
    <s v="No Test"/>
    <n v="1"/>
    <n v="0"/>
    <n v="0"/>
    <n v="0"/>
    <n v="0"/>
    <n v="0"/>
    <n v="0"/>
    <n v="1"/>
    <n v="1"/>
    <n v="1"/>
    <n v="191"/>
    <n v="0"/>
    <n v="0"/>
    <n v="1"/>
    <n v="191"/>
    <n v="0.38200000000000001"/>
    <n v="0"/>
    <n v="0"/>
    <n v="0.61799999999999999"/>
    <n v="1"/>
    <n v="10"/>
    <n v="1"/>
    <n v="191"/>
    <n v="191"/>
    <n v="0"/>
    <n v="0"/>
    <n v="10"/>
    <n v="0"/>
    <n v="0"/>
    <n v="0"/>
    <n v="191"/>
    <n v="191"/>
    <n v="191"/>
    <n v="191"/>
    <n v="191"/>
    <n v="1"/>
    <n v="0"/>
    <n v="1"/>
    <n v="1"/>
    <n v="1"/>
    <n v="7"/>
    <n v="43"/>
    <n v="0"/>
    <n v="191"/>
    <s v="No"/>
    <s v=""/>
    <n v="0"/>
    <n v="0"/>
    <n v="0"/>
    <s v="Yes"/>
    <s v="KBC-MYT"/>
    <x v="0"/>
    <x v="0"/>
    <x v="0"/>
    <n v="25.409612685185198"/>
    <n v="97.426536944444507"/>
    <s v="MMR001CMP039"/>
    <x v="1"/>
    <m/>
    <n v="55"/>
    <n v="283"/>
  </r>
  <r>
    <x v="0"/>
    <x v="2"/>
    <x v="2"/>
    <s v="DFID"/>
    <x v="0"/>
    <x v="3"/>
    <x v="0"/>
    <x v="68"/>
    <n v="40"/>
    <n v="221"/>
    <d v="2021-01-01T00:00:00"/>
    <d v="2022-03-31T00:00:00"/>
    <m/>
    <n v="1"/>
    <m/>
    <m/>
    <s v="Yes"/>
    <n v="1"/>
    <n v="4"/>
    <n v="1"/>
    <m/>
    <m/>
    <m/>
    <m/>
    <m/>
    <m/>
    <m/>
    <m/>
    <m/>
    <m/>
    <m/>
    <m/>
    <m/>
    <m/>
    <m/>
    <m/>
    <m/>
    <m/>
    <m/>
    <m/>
    <m/>
    <s v="နွေရာသီတွင် ရေရှားပါးမှုဖြစ်"/>
    <n v="8"/>
    <m/>
    <m/>
    <m/>
    <m/>
    <m/>
    <m/>
    <m/>
    <x v="1"/>
    <x v="1"/>
    <m/>
    <m/>
    <m/>
    <m/>
    <m/>
    <m/>
    <n v="7"/>
    <m/>
    <m/>
    <n v="4"/>
    <m/>
    <n v="1"/>
    <m/>
    <n v="124"/>
    <n v="198"/>
    <s v="No"/>
    <m/>
    <n v="0.5"/>
    <m/>
    <n v="0.98"/>
    <n v="0.9"/>
    <n v="4"/>
    <n v="0.99"/>
    <m/>
    <m/>
    <m/>
    <m/>
    <m/>
    <m/>
    <m/>
    <s v="no test"/>
    <s v="no test"/>
    <s v="No Test"/>
    <n v="1"/>
    <n v="0"/>
    <n v="0"/>
    <n v="0"/>
    <n v="0"/>
    <n v="0"/>
    <n v="0"/>
    <n v="1"/>
    <n v="1"/>
    <n v="1"/>
    <n v="221"/>
    <n v="0"/>
    <n v="0"/>
    <n v="1"/>
    <n v="221"/>
    <n v="0.442"/>
    <n v="0"/>
    <n v="0"/>
    <n v="0.55800000000000005"/>
    <n v="1"/>
    <n v="8"/>
    <n v="0.72398190045248867"/>
    <n v="160"/>
    <n v="0"/>
    <n v="0"/>
    <n v="0"/>
    <n v="11"/>
    <n v="3"/>
    <n v="0.27601809954751133"/>
    <n v="0"/>
    <n v="221"/>
    <n v="221"/>
    <n v="198"/>
    <n v="221"/>
    <n v="221"/>
    <n v="1"/>
    <n v="0"/>
    <n v="1"/>
    <n v="1"/>
    <n v="1"/>
    <n v="7"/>
    <n v="40"/>
    <n v="0"/>
    <n v="221"/>
    <s v="No"/>
    <n v="1.8099547511312219E-2"/>
    <n v="0"/>
    <n v="0"/>
    <n v="0"/>
    <s v="Yes"/>
    <s v="Shalom"/>
    <x v="0"/>
    <x v="0"/>
    <x v="0"/>
    <n v="25.345918166666699"/>
    <n v="97.437472666666693"/>
    <s v="MMR001CMP030"/>
    <x v="1"/>
    <m/>
    <n v="40"/>
    <n v="221"/>
  </r>
  <r>
    <x v="0"/>
    <x v="8"/>
    <x v="7"/>
    <s v="UNICEF, MHF"/>
    <x v="0"/>
    <x v="5"/>
    <x v="0"/>
    <x v="69"/>
    <n v="364"/>
    <n v="1599"/>
    <s v="10/1/2020, 4-8-21"/>
    <s v="4/30/2022, 3-8-22"/>
    <n v="456"/>
    <n v="9"/>
    <m/>
    <m/>
    <s v="Yes"/>
    <n v="14"/>
    <n v="42"/>
    <m/>
    <m/>
    <n v="0"/>
    <n v="4"/>
    <n v="0"/>
    <m/>
    <n v="3"/>
    <m/>
    <m/>
    <m/>
    <m/>
    <m/>
    <m/>
    <n v="5"/>
    <m/>
    <n v="4"/>
    <n v="4"/>
    <n v="15"/>
    <n v="13"/>
    <n v="8"/>
    <m/>
    <m/>
    <m/>
    <n v="110"/>
    <n v="0"/>
    <m/>
    <n v="0"/>
    <m/>
    <m/>
    <m/>
    <n v="110"/>
    <x v="1"/>
    <x v="1"/>
    <m/>
    <m/>
    <n v="4"/>
    <m/>
    <n v="76"/>
    <m/>
    <n v="1"/>
    <m/>
    <m/>
    <n v="3"/>
    <m/>
    <m/>
    <n v="5"/>
    <n v="41"/>
    <n v="85"/>
    <m/>
    <m/>
    <m/>
    <m/>
    <m/>
    <m/>
    <n v="1407.1200000000001"/>
    <n v="0.62"/>
    <m/>
    <n v="17"/>
    <m/>
    <n v="0"/>
    <n v="0"/>
    <m/>
    <m/>
    <n v="1"/>
    <n v="0.8666666666666667"/>
    <s v="Tested"/>
    <n v="0"/>
    <n v="4"/>
    <n v="0"/>
    <n v="0"/>
    <n v="0"/>
    <n v="0"/>
    <n v="0"/>
    <n v="1"/>
    <n v="0.62539086929330834"/>
    <n v="1"/>
    <n v="1599"/>
    <n v="0"/>
    <n v="0"/>
    <n v="1"/>
    <n v="1599"/>
    <n v="3.198"/>
    <n v="0"/>
    <n v="0"/>
    <n v="0"/>
    <n v="3"/>
    <n v="110"/>
    <n v="1"/>
    <n v="1599"/>
    <n v="0"/>
    <n v="200"/>
    <n v="0"/>
    <n v="80"/>
    <n v="0"/>
    <n v="0"/>
    <n v="0"/>
    <n v="1599"/>
    <n v="205"/>
    <n v="85"/>
    <n v="205"/>
    <n v="1599"/>
    <n v="1"/>
    <n v="0"/>
    <n v="1"/>
    <n v="0.45054945054945056"/>
    <n v="0.23351648351648352"/>
    <n v="1"/>
    <n v="20"/>
    <n v="0"/>
    <n v="100"/>
    <s v="Yes"/>
    <n v="0.88000000000000012"/>
    <n v="17"/>
    <n v="200"/>
    <n v="0"/>
    <s v="Yes"/>
    <s v="KBC-BMO"/>
    <x v="0"/>
    <x v="0"/>
    <x v="0"/>
    <n v="23.972453000000002"/>
    <n v="97.225881000000001"/>
    <s v="MMR001CMP218"/>
    <x v="1"/>
    <m/>
    <n v="363"/>
    <n v="1757"/>
  </r>
  <r>
    <x v="0"/>
    <x v="0"/>
    <x v="0"/>
    <m/>
    <x v="0"/>
    <x v="5"/>
    <x v="0"/>
    <x v="70"/>
    <n v="154"/>
    <n v="694"/>
    <m/>
    <m/>
    <m/>
    <n v="2"/>
    <m/>
    <m/>
    <s v="Yes"/>
    <n v="7"/>
    <n v="7"/>
    <n v="1"/>
    <n v="1"/>
    <m/>
    <m/>
    <n v="2"/>
    <m/>
    <n v="1"/>
    <m/>
    <m/>
    <m/>
    <m/>
    <n v="1"/>
    <m/>
    <n v="2"/>
    <n v="8"/>
    <m/>
    <m/>
    <m/>
    <m/>
    <m/>
    <m/>
    <m/>
    <m/>
    <n v="61"/>
    <m/>
    <m/>
    <n v="6"/>
    <n v="0"/>
    <n v="11"/>
    <n v="732"/>
    <m/>
    <x v="1"/>
    <x v="1"/>
    <m/>
    <n v="2"/>
    <m/>
    <m/>
    <n v="7"/>
    <m/>
    <n v="4"/>
    <m/>
    <n v="0"/>
    <n v="3"/>
    <n v="0"/>
    <m/>
    <n v="2"/>
    <n v="41"/>
    <n v="85"/>
    <m/>
    <m/>
    <n v="0.4"/>
    <m/>
    <m/>
    <m/>
    <m/>
    <m/>
    <m/>
    <m/>
    <m/>
    <m/>
    <m/>
    <m/>
    <m/>
    <s v="no test"/>
    <s v="no test"/>
    <s v="No Test"/>
    <n v="0"/>
    <n v="2"/>
    <n v="0"/>
    <n v="0"/>
    <n v="0"/>
    <n v="0"/>
    <n v="0"/>
    <n v="1"/>
    <n v="0.72046109510086453"/>
    <n v="1"/>
    <n v="694"/>
    <n v="0.36023054755043227"/>
    <n v="250"/>
    <n v="1"/>
    <n v="694"/>
    <n v="1.3879999999999999"/>
    <n v="0"/>
    <n v="0"/>
    <n v="0"/>
    <n v="1"/>
    <n v="55"/>
    <n v="1"/>
    <n v="694"/>
    <n v="220"/>
    <n v="0"/>
    <n v="0"/>
    <n v="35"/>
    <n v="0"/>
    <n v="0"/>
    <n v="9.8360655737704916E-2"/>
    <n v="694"/>
    <n v="205"/>
    <n v="85"/>
    <n v="205"/>
    <n v="694"/>
    <n v="1"/>
    <n v="0"/>
    <n v="1"/>
    <n v="1"/>
    <n v="0.55194805194805197"/>
    <n v="4"/>
    <n v="80"/>
    <n v="0"/>
    <n v="400"/>
    <s v="No"/>
    <s v=""/>
    <n v="0"/>
    <n v="0"/>
    <n v="0"/>
    <s v="Yes"/>
    <s v="KMSS-BMO"/>
    <x v="0"/>
    <x v="0"/>
    <x v="0"/>
    <n v="23.976571"/>
    <n v="97.227057000000002"/>
    <s v="MMR001CMP223"/>
    <x v="0"/>
    <m/>
    <n v="151"/>
    <n v="732"/>
  </r>
  <r>
    <x v="0"/>
    <x v="7"/>
    <x v="7"/>
    <s v="UNICEF"/>
    <x v="0"/>
    <x v="7"/>
    <x v="0"/>
    <x v="71"/>
    <n v="61"/>
    <n v="290"/>
    <d v="2020-10-01T00:00:00"/>
    <d v="2022-04-30T00:00:00"/>
    <m/>
    <n v="2"/>
    <m/>
    <m/>
    <s v="Yes"/>
    <m/>
    <n v="4"/>
    <n v="1"/>
    <m/>
    <m/>
    <n v="7"/>
    <m/>
    <m/>
    <m/>
    <m/>
    <m/>
    <m/>
    <m/>
    <m/>
    <m/>
    <m/>
    <n v="2"/>
    <m/>
    <m/>
    <m/>
    <m/>
    <m/>
    <m/>
    <m/>
    <m/>
    <n v="7"/>
    <m/>
    <m/>
    <m/>
    <n v="9"/>
    <n v="74"/>
    <m/>
    <n v="7"/>
    <x v="1"/>
    <x v="3"/>
    <m/>
    <m/>
    <m/>
    <m/>
    <m/>
    <m/>
    <n v="3"/>
    <m/>
    <m/>
    <n v="2"/>
    <m/>
    <m/>
    <n v="2"/>
    <n v="88"/>
    <n v="100"/>
    <m/>
    <m/>
    <m/>
    <m/>
    <m/>
    <m/>
    <m/>
    <m/>
    <m/>
    <m/>
    <m/>
    <m/>
    <m/>
    <m/>
    <m/>
    <s v="no test"/>
    <s v="no test"/>
    <s v="No Test"/>
    <n v="1"/>
    <n v="7"/>
    <n v="0"/>
    <n v="0"/>
    <n v="0"/>
    <n v="0"/>
    <n v="0"/>
    <n v="1"/>
    <n v="1"/>
    <n v="1"/>
    <n v="290"/>
    <n v="0"/>
    <n v="0"/>
    <n v="1"/>
    <n v="290"/>
    <n v="0.57999999999999996"/>
    <n v="0"/>
    <n v="0"/>
    <n v="0.42000000000000004"/>
    <n v="1"/>
    <n v="7"/>
    <n v="0.48275862068965519"/>
    <n v="140"/>
    <n v="290"/>
    <n v="0"/>
    <n v="0"/>
    <n v="15"/>
    <n v="8"/>
    <n v="0.51724137931034475"/>
    <n v="0"/>
    <n v="290"/>
    <n v="290"/>
    <n v="100"/>
    <n v="290"/>
    <n v="290"/>
    <n v="1"/>
    <n v="0"/>
    <n v="1"/>
    <n v="1"/>
    <n v="1"/>
    <n v="3"/>
    <n v="60"/>
    <n v="0"/>
    <n v="290"/>
    <s v="No"/>
    <s v=""/>
    <n v="0"/>
    <n v="0"/>
    <n v="0"/>
    <s v="Yes"/>
    <s v="KBC-MYT"/>
    <x v="0"/>
    <x v="0"/>
    <x v="0"/>
    <n v="25.360463124999999"/>
    <n v="97.4113064583333"/>
    <s v="MMR001CMP016"/>
    <x v="1"/>
    <m/>
    <n v="59"/>
    <n v="327"/>
  </r>
  <r>
    <x v="0"/>
    <x v="3"/>
    <x v="3"/>
    <s v="USAID, HOPE-20, Hope-21"/>
    <x v="0"/>
    <x v="2"/>
    <x v="0"/>
    <x v="72"/>
    <n v="127"/>
    <n v="741"/>
    <s v="13-8-2021, 6-1-2020, 1-7-2021"/>
    <s v="12-20-2022, 30-8-2021, 30-6-22"/>
    <m/>
    <m/>
    <m/>
    <m/>
    <s v="No"/>
    <m/>
    <m/>
    <m/>
    <m/>
    <m/>
    <n v="2"/>
    <n v="1"/>
    <m/>
    <m/>
    <m/>
    <m/>
    <m/>
    <m/>
    <m/>
    <m/>
    <m/>
    <m/>
    <m/>
    <m/>
    <m/>
    <m/>
    <m/>
    <m/>
    <m/>
    <m/>
    <n v="40"/>
    <m/>
    <m/>
    <m/>
    <m/>
    <m/>
    <m/>
    <m/>
    <x v="1"/>
    <x v="1"/>
    <m/>
    <m/>
    <m/>
    <m/>
    <m/>
    <m/>
    <n v="1"/>
    <m/>
    <m/>
    <n v="1"/>
    <m/>
    <m/>
    <n v="1"/>
    <n v="6"/>
    <n v="5"/>
    <m/>
    <m/>
    <m/>
    <m/>
    <m/>
    <m/>
    <m/>
    <m/>
    <m/>
    <m/>
    <m/>
    <m/>
    <m/>
    <m/>
    <m/>
    <s v="no test"/>
    <s v="no test"/>
    <s v="No Test"/>
    <n v="0"/>
    <n v="3"/>
    <n v="0"/>
    <n v="0"/>
    <n v="0"/>
    <n v="0"/>
    <n v="0"/>
    <n v="1"/>
    <n v="1"/>
    <n v="1"/>
    <n v="741"/>
    <n v="0"/>
    <n v="0"/>
    <n v="1"/>
    <n v="741"/>
    <n v="1.482"/>
    <n v="0"/>
    <n v="0"/>
    <n v="0"/>
    <n v="1"/>
    <n v="40"/>
    <n v="1"/>
    <n v="741"/>
    <n v="0"/>
    <n v="0"/>
    <n v="0"/>
    <n v="37"/>
    <n v="0"/>
    <n v="0"/>
    <n v="0"/>
    <n v="500"/>
    <n v="30"/>
    <n v="5"/>
    <n v="30"/>
    <n v="500"/>
    <n v="0.67476383265856954"/>
    <n v="0.32523616734143046"/>
    <n v="0.67476383265856954"/>
    <n v="0.1889763779527559"/>
    <n v="3.937007874015748E-2"/>
    <n v="1"/>
    <n v="20"/>
    <n v="0"/>
    <n v="100"/>
    <s v="No"/>
    <s v=""/>
    <n v="0"/>
    <n v="0"/>
    <n v="0"/>
    <s v="Yes"/>
    <s v="KMSS-BMO"/>
    <x v="0"/>
    <x v="0"/>
    <x v="0"/>
    <n v="24.245100000000001"/>
    <n v="97.325019999999995"/>
    <s v="MMR001CMP062"/>
    <x v="1"/>
    <m/>
    <n v="122"/>
    <n v="571"/>
  </r>
  <r>
    <x v="0"/>
    <x v="1"/>
    <x v="1"/>
    <s v="ECHO"/>
    <x v="0"/>
    <x v="2"/>
    <x v="1"/>
    <x v="73"/>
    <n v="114"/>
    <n v="590"/>
    <d v="2022-04-01T00:00:00"/>
    <d v="2022-11-30T00:00:00"/>
    <m/>
    <m/>
    <m/>
    <m/>
    <s v="Yes"/>
    <n v="6"/>
    <n v="10"/>
    <n v="1"/>
    <m/>
    <m/>
    <n v="1"/>
    <m/>
    <m/>
    <m/>
    <m/>
    <m/>
    <m/>
    <m/>
    <m/>
    <m/>
    <m/>
    <m/>
    <m/>
    <m/>
    <m/>
    <m/>
    <n v="12"/>
    <m/>
    <m/>
    <s v="Water safety plan need to install"/>
    <n v="28"/>
    <m/>
    <m/>
    <m/>
    <m/>
    <m/>
    <m/>
    <m/>
    <x v="1"/>
    <x v="1"/>
    <m/>
    <m/>
    <m/>
    <m/>
    <n v="3"/>
    <m/>
    <n v="12"/>
    <m/>
    <m/>
    <n v="4"/>
    <m/>
    <m/>
    <n v="2"/>
    <m/>
    <m/>
    <m/>
    <m/>
    <m/>
    <m/>
    <n v="1"/>
    <n v="1"/>
    <n v="12"/>
    <m/>
    <m/>
    <m/>
    <m/>
    <m/>
    <m/>
    <m/>
    <m/>
    <s v="no test"/>
    <s v="no test"/>
    <s v="No Test"/>
    <n v="1"/>
    <n v="1"/>
    <n v="0"/>
    <n v="0"/>
    <n v="0"/>
    <n v="0"/>
    <n v="0"/>
    <n v="1"/>
    <n v="0.84745762711864403"/>
    <n v="1"/>
    <n v="590"/>
    <n v="0"/>
    <n v="0"/>
    <n v="1"/>
    <n v="590"/>
    <n v="1.18"/>
    <n v="0"/>
    <n v="0"/>
    <n v="0"/>
    <n v="1"/>
    <n v="28"/>
    <n v="0.95423728813559328"/>
    <n v="563"/>
    <n v="0"/>
    <n v="0"/>
    <n v="0"/>
    <n v="30"/>
    <n v="2"/>
    <n v="4.5762711864406724E-2"/>
    <n v="0"/>
    <n v="590"/>
    <n v="0"/>
    <n v="0"/>
    <n v="0"/>
    <n v="590"/>
    <n v="1"/>
    <n v="0"/>
    <n v="1"/>
    <n v="0"/>
    <n v="0"/>
    <n v="12"/>
    <n v="114"/>
    <n v="0"/>
    <n v="590"/>
    <s v="No"/>
    <n v="2.0338983050847456E-2"/>
    <n v="0"/>
    <n v="0"/>
    <n v="0"/>
    <n v="0"/>
    <n v="0"/>
    <x v="0"/>
    <x v="0"/>
    <x v="0"/>
    <n v="0"/>
    <n v="0"/>
    <n v="0"/>
    <x v="1"/>
    <m/>
    <n v="0"/>
    <n v="0"/>
  </r>
  <r>
    <x v="0"/>
    <x v="7"/>
    <x v="7"/>
    <s v="UNICEF"/>
    <x v="0"/>
    <x v="7"/>
    <x v="0"/>
    <x v="74"/>
    <n v="101"/>
    <n v="547"/>
    <d v="2020-10-01T00:00:00"/>
    <d v="2022-04-30T00:00:00"/>
    <m/>
    <n v="2"/>
    <m/>
    <m/>
    <s v="Yes"/>
    <m/>
    <n v="5"/>
    <m/>
    <m/>
    <m/>
    <n v="3"/>
    <m/>
    <m/>
    <m/>
    <m/>
    <m/>
    <m/>
    <m/>
    <m/>
    <m/>
    <m/>
    <n v="3"/>
    <m/>
    <m/>
    <m/>
    <m/>
    <m/>
    <m/>
    <m/>
    <m/>
    <n v="34"/>
    <m/>
    <m/>
    <m/>
    <n v="5"/>
    <n v="14"/>
    <m/>
    <n v="34"/>
    <x v="1"/>
    <x v="3"/>
    <m/>
    <m/>
    <m/>
    <m/>
    <m/>
    <m/>
    <n v="3"/>
    <m/>
    <m/>
    <n v="2"/>
    <m/>
    <m/>
    <n v="2"/>
    <n v="10"/>
    <n v="18"/>
    <m/>
    <m/>
    <m/>
    <m/>
    <m/>
    <m/>
    <m/>
    <m/>
    <m/>
    <m/>
    <m/>
    <m/>
    <m/>
    <m/>
    <m/>
    <s v="no test"/>
    <s v="no test"/>
    <s v="No Test"/>
    <n v="0"/>
    <n v="3"/>
    <n v="0"/>
    <n v="0"/>
    <n v="0"/>
    <n v="0"/>
    <n v="0"/>
    <n v="1"/>
    <n v="1"/>
    <n v="1"/>
    <n v="547"/>
    <n v="0"/>
    <n v="0"/>
    <n v="1"/>
    <n v="547"/>
    <n v="1.0940000000000001"/>
    <n v="0"/>
    <n v="0"/>
    <n v="0"/>
    <n v="1"/>
    <n v="34"/>
    <n v="1"/>
    <n v="547"/>
    <n v="280"/>
    <n v="0"/>
    <n v="0"/>
    <n v="27"/>
    <n v="0"/>
    <n v="0"/>
    <n v="0"/>
    <n v="547"/>
    <n v="50"/>
    <n v="18"/>
    <n v="50"/>
    <n v="547"/>
    <n v="1"/>
    <n v="0"/>
    <n v="1"/>
    <n v="0.39603960396039606"/>
    <n v="0.17821782178217821"/>
    <n v="3"/>
    <n v="60"/>
    <n v="0"/>
    <n v="300"/>
    <s v="No"/>
    <s v=""/>
    <n v="0"/>
    <n v="0"/>
    <n v="0"/>
    <s v="Yes"/>
    <s v="KBC-MYT"/>
    <x v="0"/>
    <x v="0"/>
    <x v="0"/>
    <n v="25.428910999999999"/>
    <n v="97.418694000000002"/>
    <s v="MMR001CMP008"/>
    <x v="1"/>
    <m/>
    <n v="108"/>
    <n v="622"/>
  </r>
  <r>
    <x v="0"/>
    <x v="10"/>
    <x v="9"/>
    <s v="UNICEF,(UNICEF, USAID)"/>
    <x v="0"/>
    <x v="5"/>
    <x v="0"/>
    <x v="75"/>
    <n v="155"/>
    <n v="655"/>
    <d v="2021-08-01T00:00:00"/>
    <d v="2022-08-01T00:00:00"/>
    <m/>
    <n v="1"/>
    <m/>
    <m/>
    <s v="Yes"/>
    <m/>
    <m/>
    <m/>
    <m/>
    <m/>
    <m/>
    <n v="1"/>
    <m/>
    <m/>
    <m/>
    <m/>
    <n v="2"/>
    <m/>
    <m/>
    <m/>
    <m/>
    <m/>
    <m/>
    <m/>
    <m/>
    <m/>
    <m/>
    <m/>
    <m/>
    <m/>
    <n v="18"/>
    <m/>
    <m/>
    <m/>
    <m/>
    <m/>
    <m/>
    <m/>
    <x v="0"/>
    <x v="0"/>
    <m/>
    <m/>
    <m/>
    <m/>
    <m/>
    <m/>
    <n v="3"/>
    <m/>
    <m/>
    <n v="2"/>
    <m/>
    <m/>
    <n v="1"/>
    <n v="88"/>
    <n v="100"/>
    <m/>
    <m/>
    <m/>
    <m/>
    <m/>
    <m/>
    <m/>
    <m/>
    <m/>
    <m/>
    <m/>
    <m/>
    <m/>
    <m/>
    <m/>
    <s v="no test"/>
    <s v="no test"/>
    <s v="No Test"/>
    <n v="0"/>
    <n v="1"/>
    <n v="0"/>
    <n v="0"/>
    <n v="0"/>
    <n v="0"/>
    <n v="0"/>
    <n v="0.76335877862595425"/>
    <n v="0.38167938931297712"/>
    <n v="0.76335877862595425"/>
    <n v="500.00000000000006"/>
    <n v="0"/>
    <n v="0"/>
    <n v="0.76335877862595425"/>
    <n v="500.00000000000006"/>
    <n v="1.0000000000000002"/>
    <n v="0.23664122137404575"/>
    <n v="154.99999999999997"/>
    <n v="0"/>
    <n v="1"/>
    <n v="18"/>
    <n v="0.54961832061068705"/>
    <n v="360"/>
    <n v="0"/>
    <n v="0"/>
    <n v="0"/>
    <n v="33"/>
    <n v="15"/>
    <n v="0.45038167938931295"/>
    <n v="0"/>
    <n v="500"/>
    <n v="440"/>
    <n v="100"/>
    <n v="440"/>
    <n v="500"/>
    <n v="0.76335877862595425"/>
    <n v="0.23664122137404575"/>
    <n v="0.76335877862595425"/>
    <n v="1"/>
    <n v="0.64516129032258063"/>
    <n v="3"/>
    <n v="60"/>
    <n v="0"/>
    <n v="300"/>
    <s v="No"/>
    <s v=""/>
    <n v="0"/>
    <n v="0"/>
    <n v="0"/>
    <s v="Yes"/>
    <s v="KBC-NSS"/>
    <x v="0"/>
    <x v="0"/>
    <x v="0"/>
    <n v="23.83013"/>
    <n v="97.589979999999997"/>
    <s v="MMR001CMP133"/>
    <x v="1"/>
    <m/>
    <n v="132"/>
    <n v="630"/>
  </r>
  <r>
    <x v="0"/>
    <x v="10"/>
    <x v="9"/>
    <s v="UNICEF,(UNICEF, USAID)"/>
    <x v="0"/>
    <x v="5"/>
    <x v="0"/>
    <x v="76"/>
    <n v="119"/>
    <n v="538"/>
    <d v="2021-08-01T00:00:00"/>
    <d v="2022-08-01T00:00:00"/>
    <m/>
    <m/>
    <m/>
    <m/>
    <m/>
    <m/>
    <m/>
    <m/>
    <m/>
    <m/>
    <m/>
    <n v="2"/>
    <m/>
    <m/>
    <n v="2"/>
    <m/>
    <n v="2"/>
    <m/>
    <m/>
    <m/>
    <m/>
    <m/>
    <m/>
    <m/>
    <m/>
    <m/>
    <m/>
    <n v="4"/>
    <m/>
    <m/>
    <n v="29"/>
    <m/>
    <m/>
    <m/>
    <m/>
    <m/>
    <m/>
    <m/>
    <x v="0"/>
    <x v="0"/>
    <m/>
    <m/>
    <m/>
    <m/>
    <m/>
    <m/>
    <n v="3"/>
    <m/>
    <m/>
    <n v="2"/>
    <m/>
    <m/>
    <m/>
    <n v="10"/>
    <n v="18"/>
    <m/>
    <m/>
    <m/>
    <m/>
    <m/>
    <m/>
    <m/>
    <m/>
    <m/>
    <m/>
    <m/>
    <m/>
    <m/>
    <m/>
    <m/>
    <s v="no test"/>
    <s v="no test"/>
    <s v="No Test"/>
    <n v="0"/>
    <n v="2"/>
    <n v="2"/>
    <n v="0"/>
    <n v="0"/>
    <n v="538"/>
    <n v="0"/>
    <n v="1"/>
    <n v="1"/>
    <n v="1"/>
    <n v="538"/>
    <n v="0"/>
    <n v="0"/>
    <n v="1"/>
    <n v="538"/>
    <n v="1.0760000000000001"/>
    <n v="0"/>
    <n v="0"/>
    <n v="0"/>
    <n v="1"/>
    <n v="29"/>
    <n v="1"/>
    <n v="538"/>
    <n v="0"/>
    <n v="0"/>
    <n v="0"/>
    <n v="27"/>
    <n v="0"/>
    <n v="0"/>
    <n v="0"/>
    <n v="0"/>
    <n v="50"/>
    <n v="18"/>
    <n v="50"/>
    <n v="50"/>
    <n v="9.2936802973977689E-2"/>
    <n v="0.90706319702602234"/>
    <n v="0"/>
    <n v="0.33613445378151263"/>
    <n v="0.15126050420168066"/>
    <n v="3"/>
    <n v="60"/>
    <n v="0"/>
    <n v="300"/>
    <s v="No"/>
    <s v=""/>
    <n v="0"/>
    <n v="538"/>
    <n v="0"/>
    <s v="Yes"/>
    <s v="KBC-NSS"/>
    <x v="0"/>
    <x v="0"/>
    <x v="0"/>
    <n v="23.829599000000002"/>
    <n v="97.590767"/>
    <s v="MMR001CMP230"/>
    <x v="1"/>
    <m/>
    <n v="155"/>
    <n v="677"/>
  </r>
  <r>
    <x v="0"/>
    <x v="10"/>
    <x v="9"/>
    <s v="UNICEF,(UNICEF, USAID)"/>
    <x v="0"/>
    <x v="5"/>
    <x v="0"/>
    <x v="77"/>
    <n v="454"/>
    <n v="2354"/>
    <d v="2021-08-01T00:00:00"/>
    <d v="2022-08-01T00:00:00"/>
    <m/>
    <m/>
    <m/>
    <m/>
    <m/>
    <m/>
    <m/>
    <m/>
    <m/>
    <m/>
    <m/>
    <n v="1"/>
    <m/>
    <m/>
    <n v="2"/>
    <n v="2"/>
    <m/>
    <m/>
    <m/>
    <m/>
    <m/>
    <m/>
    <m/>
    <m/>
    <m/>
    <m/>
    <m/>
    <n v="12"/>
    <m/>
    <m/>
    <n v="147"/>
    <m/>
    <m/>
    <m/>
    <m/>
    <m/>
    <m/>
    <m/>
    <x v="0"/>
    <x v="0"/>
    <m/>
    <m/>
    <m/>
    <m/>
    <m/>
    <m/>
    <n v="1"/>
    <m/>
    <m/>
    <n v="3"/>
    <m/>
    <m/>
    <n v="1"/>
    <n v="41"/>
    <n v="85"/>
    <m/>
    <m/>
    <m/>
    <m/>
    <m/>
    <m/>
    <m/>
    <m/>
    <m/>
    <m/>
    <m/>
    <m/>
    <m/>
    <m/>
    <m/>
    <s v="no test"/>
    <s v="no test"/>
    <s v="No Test"/>
    <n v="0"/>
    <n v="1"/>
    <n v="0"/>
    <n v="0"/>
    <n v="0"/>
    <n v="2354"/>
    <n v="0"/>
    <n v="0.21240441801189464"/>
    <n v="0.10620220900594732"/>
    <n v="0.21240441801189464"/>
    <n v="500"/>
    <n v="0"/>
    <n v="0"/>
    <n v="0.21240441801189464"/>
    <n v="500"/>
    <n v="1"/>
    <n v="0.78759558198810531"/>
    <n v="1854"/>
    <n v="4"/>
    <n v="5"/>
    <n v="147"/>
    <n v="1"/>
    <n v="2354"/>
    <n v="0"/>
    <n v="0"/>
    <n v="0"/>
    <n v="118"/>
    <n v="0"/>
    <n v="0"/>
    <n v="0"/>
    <n v="500"/>
    <n v="205"/>
    <n v="85"/>
    <n v="205"/>
    <n v="500"/>
    <n v="0.21240441801189464"/>
    <n v="0.78759558198810531"/>
    <n v="0.21240441801189464"/>
    <n v="0.36123348017621143"/>
    <n v="0.18722466960352424"/>
    <n v="1"/>
    <n v="20"/>
    <n v="0"/>
    <n v="100"/>
    <s v="No"/>
    <s v=""/>
    <n v="0"/>
    <n v="2354"/>
    <n v="0"/>
    <s v="Yes"/>
    <s v="KMSS-BMO"/>
    <x v="0"/>
    <x v="0"/>
    <x v="0"/>
    <n v="23.835319999999999"/>
    <n v="97.578490000000002"/>
    <s v="MMR001CMP132"/>
    <x v="1"/>
    <m/>
    <n v="622"/>
    <n v="3302"/>
  </r>
  <r>
    <x v="0"/>
    <x v="10"/>
    <x v="9"/>
    <s v="UNICEF,(UNICEF, USAID)"/>
    <x v="0"/>
    <x v="5"/>
    <x v="0"/>
    <x v="78"/>
    <n v="142"/>
    <n v="737"/>
    <d v="2021-08-01T00:00:00"/>
    <d v="2022-08-01T00:00:00"/>
    <m/>
    <m/>
    <m/>
    <m/>
    <m/>
    <m/>
    <m/>
    <n v="1"/>
    <m/>
    <m/>
    <m/>
    <n v="1"/>
    <m/>
    <m/>
    <m/>
    <m/>
    <m/>
    <m/>
    <m/>
    <m/>
    <m/>
    <m/>
    <m/>
    <m/>
    <m/>
    <m/>
    <m/>
    <m/>
    <m/>
    <m/>
    <n v="48"/>
    <m/>
    <m/>
    <m/>
    <m/>
    <m/>
    <m/>
    <m/>
    <x v="0"/>
    <x v="0"/>
    <m/>
    <m/>
    <m/>
    <m/>
    <m/>
    <m/>
    <n v="1"/>
    <m/>
    <m/>
    <n v="1"/>
    <m/>
    <m/>
    <m/>
    <n v="6"/>
    <n v="5"/>
    <m/>
    <m/>
    <m/>
    <m/>
    <m/>
    <m/>
    <m/>
    <m/>
    <m/>
    <m/>
    <m/>
    <m/>
    <m/>
    <m/>
    <m/>
    <s v="no test"/>
    <s v="no test"/>
    <s v="No Test"/>
    <n v="1"/>
    <n v="1"/>
    <n v="0"/>
    <n v="0"/>
    <n v="0"/>
    <n v="0"/>
    <n v="0"/>
    <n v="1"/>
    <n v="0.67842605156037994"/>
    <n v="1"/>
    <n v="737"/>
    <n v="0"/>
    <n v="0"/>
    <n v="1"/>
    <n v="737"/>
    <n v="1.474"/>
    <n v="0"/>
    <n v="0"/>
    <n v="0"/>
    <n v="1"/>
    <n v="48"/>
    <n v="1"/>
    <n v="737"/>
    <n v="0"/>
    <n v="0"/>
    <n v="0"/>
    <n v="37"/>
    <n v="0"/>
    <n v="0"/>
    <n v="0"/>
    <n v="0"/>
    <n v="30"/>
    <n v="5"/>
    <n v="30"/>
    <n v="30"/>
    <n v="4.0705563093622797E-2"/>
    <n v="0.95929443690637717"/>
    <n v="0"/>
    <n v="0.16901408450704225"/>
    <n v="3.5211267605633804E-2"/>
    <n v="1"/>
    <n v="20"/>
    <n v="0"/>
    <n v="100"/>
    <s v="No"/>
    <s v=""/>
    <n v="0"/>
    <n v="0"/>
    <n v="0"/>
    <s v="Yes"/>
    <s v="KMSS-BMO"/>
    <x v="0"/>
    <x v="0"/>
    <x v="0"/>
    <n v="23.833477999999999"/>
    <n v="97.578367"/>
    <s v="MMR001CMP228"/>
    <x v="1"/>
    <m/>
    <n v="142"/>
    <n v="830"/>
  </r>
  <r>
    <x v="0"/>
    <x v="3"/>
    <x v="3"/>
    <s v="UNICEF, USAID"/>
    <x v="0"/>
    <x v="5"/>
    <x v="0"/>
    <x v="79"/>
    <n v="97"/>
    <n v="544"/>
    <s v="2-01-2019, 07-01-2020"/>
    <s v="30-09-2021, 28-2-2022"/>
    <m/>
    <m/>
    <m/>
    <m/>
    <m/>
    <m/>
    <m/>
    <n v="3"/>
    <m/>
    <m/>
    <m/>
    <m/>
    <m/>
    <m/>
    <m/>
    <m/>
    <m/>
    <m/>
    <m/>
    <m/>
    <m/>
    <m/>
    <m/>
    <m/>
    <m/>
    <m/>
    <m/>
    <m/>
    <m/>
    <m/>
    <m/>
    <m/>
    <m/>
    <m/>
    <m/>
    <m/>
    <m/>
    <m/>
    <x v="0"/>
    <x v="0"/>
    <m/>
    <m/>
    <m/>
    <m/>
    <m/>
    <m/>
    <n v="7"/>
    <m/>
    <m/>
    <n v="7"/>
    <m/>
    <m/>
    <m/>
    <n v="104"/>
    <n v="148"/>
    <m/>
    <m/>
    <m/>
    <m/>
    <m/>
    <m/>
    <m/>
    <m/>
    <m/>
    <m/>
    <m/>
    <m/>
    <m/>
    <m/>
    <m/>
    <s v="no test"/>
    <s v="no test"/>
    <s v="No Test"/>
    <n v="3"/>
    <n v="0"/>
    <n v="0"/>
    <n v="0"/>
    <n v="0"/>
    <n v="0"/>
    <n v="0"/>
    <n v="1"/>
    <n v="1"/>
    <n v="1"/>
    <n v="544"/>
    <n v="0"/>
    <n v="0"/>
    <n v="1"/>
    <n v="544"/>
    <n v="1.0880000000000001"/>
    <n v="0"/>
    <n v="0"/>
    <n v="0"/>
    <n v="1"/>
    <n v="0"/>
    <n v="0"/>
    <n v="0"/>
    <n v="0"/>
    <n v="0"/>
    <n v="0"/>
    <n v="27"/>
    <n v="27"/>
    <n v="1"/>
    <n v="0"/>
    <n v="0"/>
    <n v="520"/>
    <n v="148"/>
    <n v="520"/>
    <n v="520"/>
    <n v="0.95588235294117652"/>
    <n v="4.4117647058823484E-2"/>
    <n v="0"/>
    <n v="1"/>
    <n v="1"/>
    <n v="7"/>
    <n v="97"/>
    <n v="0"/>
    <n v="544"/>
    <s v="No"/>
    <s v=""/>
    <n v="0"/>
    <n v="0"/>
    <n v="0"/>
    <n v="0"/>
    <s v="uncovered"/>
    <x v="0"/>
    <x v="2"/>
    <x v="0"/>
    <n v="23.827870999999998"/>
    <n v="97.588291999999996"/>
    <s v="MMR001CMP134"/>
    <x v="1"/>
    <m/>
    <n v="120"/>
    <n v="664"/>
  </r>
  <r>
    <x v="0"/>
    <x v="3"/>
    <x v="3"/>
    <s v="USAID, HOPE-20, Hope-21"/>
    <x v="0"/>
    <x v="5"/>
    <x v="0"/>
    <x v="80"/>
    <n v="172"/>
    <n v="789"/>
    <s v="13-8-2021, 6-1-2020, 1-7-2021"/>
    <s v="12-20-2022, 30-8-2021, 30-6-2022"/>
    <m/>
    <m/>
    <m/>
    <m/>
    <s v="Yes"/>
    <m/>
    <n v="7"/>
    <n v="2"/>
    <m/>
    <m/>
    <n v="2"/>
    <n v="3"/>
    <m/>
    <m/>
    <m/>
    <m/>
    <m/>
    <m/>
    <m/>
    <m/>
    <m/>
    <m/>
    <m/>
    <m/>
    <m/>
    <m/>
    <n v="1"/>
    <m/>
    <m/>
    <m/>
    <n v="40"/>
    <m/>
    <m/>
    <m/>
    <m/>
    <m/>
    <m/>
    <m/>
    <x v="1"/>
    <x v="1"/>
    <m/>
    <n v="1"/>
    <n v="3"/>
    <m/>
    <n v="1"/>
    <m/>
    <n v="3"/>
    <m/>
    <m/>
    <n v="2"/>
    <m/>
    <m/>
    <n v="3"/>
    <n v="88"/>
    <n v="100"/>
    <m/>
    <m/>
    <m/>
    <m/>
    <m/>
    <m/>
    <m/>
    <m/>
    <m/>
    <m/>
    <m/>
    <m/>
    <m/>
    <m/>
    <m/>
    <s v="no test"/>
    <s v="no test"/>
    <s v="No Test"/>
    <n v="2"/>
    <n v="5"/>
    <n v="0"/>
    <n v="0"/>
    <n v="0"/>
    <n v="0"/>
    <n v="0"/>
    <n v="1"/>
    <n v="1"/>
    <n v="1"/>
    <n v="789"/>
    <n v="0"/>
    <n v="0"/>
    <n v="1"/>
    <n v="789"/>
    <n v="1.5780000000000001"/>
    <n v="0"/>
    <n v="0"/>
    <n v="0.42199999999999993"/>
    <n v="2"/>
    <n v="40"/>
    <n v="1"/>
    <n v="789"/>
    <n v="0"/>
    <n v="0"/>
    <n v="0"/>
    <n v="39"/>
    <n v="0"/>
    <n v="0"/>
    <n v="0"/>
    <n v="789"/>
    <n v="440"/>
    <n v="100"/>
    <n v="440"/>
    <n v="789"/>
    <n v="1"/>
    <n v="0"/>
    <n v="1"/>
    <n v="1"/>
    <n v="0.58139534883720934"/>
    <n v="3"/>
    <n v="60"/>
    <n v="0"/>
    <n v="300"/>
    <s v="No"/>
    <s v=""/>
    <n v="0"/>
    <n v="0"/>
    <n v="0"/>
    <s v="Yes"/>
    <s v="KBC-BMO"/>
    <x v="0"/>
    <x v="0"/>
    <x v="0"/>
    <n v="24.129059999999999"/>
    <n v="97.291820000000001"/>
    <s v="MMR001CMP066"/>
    <x v="1"/>
    <m/>
    <n v="181"/>
    <n v="815"/>
  </r>
  <r>
    <x v="0"/>
    <x v="0"/>
    <x v="0"/>
    <m/>
    <x v="0"/>
    <x v="5"/>
    <x v="0"/>
    <x v="81"/>
    <n v="67"/>
    <n v="308"/>
    <s v="13-8-2021, 6-1-2020"/>
    <s v="12-20-2022, 30-7-2021"/>
    <m/>
    <m/>
    <m/>
    <m/>
    <m/>
    <m/>
    <n v="4"/>
    <m/>
    <m/>
    <m/>
    <m/>
    <m/>
    <m/>
    <m/>
    <m/>
    <m/>
    <m/>
    <m/>
    <m/>
    <m/>
    <m/>
    <m/>
    <m/>
    <m/>
    <m/>
    <m/>
    <m/>
    <m/>
    <m/>
    <m/>
    <m/>
    <m/>
    <m/>
    <m/>
    <m/>
    <m/>
    <m/>
    <m/>
    <x v="0"/>
    <x v="0"/>
    <m/>
    <m/>
    <m/>
    <m/>
    <m/>
    <m/>
    <n v="7"/>
    <m/>
    <m/>
    <n v="7"/>
    <m/>
    <m/>
    <m/>
    <n v="104"/>
    <n v="148"/>
    <m/>
    <m/>
    <m/>
    <m/>
    <m/>
    <m/>
    <m/>
    <m/>
    <m/>
    <m/>
    <m/>
    <m/>
    <m/>
    <m/>
    <m/>
    <s v="no test"/>
    <s v="no test"/>
    <s v="No Test"/>
    <n v="0"/>
    <n v="0"/>
    <n v="0"/>
    <n v="0"/>
    <n v="0"/>
    <n v="0"/>
    <n v="0"/>
    <n v="0"/>
    <n v="0"/>
    <n v="0"/>
    <n v="0"/>
    <n v="0"/>
    <n v="0"/>
    <n v="0"/>
    <n v="0"/>
    <n v="0"/>
    <n v="1"/>
    <n v="308"/>
    <n v="1"/>
    <n v="1"/>
    <n v="0"/>
    <n v="0"/>
    <n v="0"/>
    <n v="0"/>
    <n v="0"/>
    <n v="0"/>
    <n v="15"/>
    <n v="15"/>
    <n v="1"/>
    <n v="0"/>
    <n v="0"/>
    <n v="308"/>
    <n v="148"/>
    <n v="308"/>
    <n v="308"/>
    <n v="1"/>
    <n v="0"/>
    <n v="0"/>
    <n v="1"/>
    <n v="1"/>
    <n v="7"/>
    <n v="67"/>
    <n v="0"/>
    <n v="308"/>
    <s v="No"/>
    <s v=""/>
    <n v="0"/>
    <n v="0"/>
    <n v="0"/>
    <n v="0"/>
    <s v="uncovered"/>
    <x v="0"/>
    <x v="2"/>
    <x v="0"/>
    <n v="24.118618999999999"/>
    <n v="97.298055000000005"/>
    <s v="MMR001CMP196"/>
    <x v="0"/>
    <m/>
    <n v="70"/>
    <n v="344"/>
  </r>
  <r>
    <x v="0"/>
    <x v="2"/>
    <x v="2"/>
    <s v="DFID"/>
    <x v="0"/>
    <x v="7"/>
    <x v="0"/>
    <x v="82"/>
    <n v="22"/>
    <n v="90"/>
    <d v="2021-01-01T00:00:00"/>
    <d v="2022-03-31T00:00:00"/>
    <m/>
    <n v="1"/>
    <m/>
    <m/>
    <s v="Yes"/>
    <n v="2"/>
    <n v="3"/>
    <n v="1"/>
    <m/>
    <m/>
    <m/>
    <n v="1"/>
    <m/>
    <m/>
    <m/>
    <m/>
    <m/>
    <m/>
    <m/>
    <m/>
    <m/>
    <m/>
    <m/>
    <m/>
    <m/>
    <m/>
    <m/>
    <m/>
    <m/>
    <m/>
    <n v="4"/>
    <m/>
    <m/>
    <m/>
    <m/>
    <n v="4"/>
    <m/>
    <m/>
    <x v="1"/>
    <x v="1"/>
    <m/>
    <m/>
    <m/>
    <m/>
    <m/>
    <m/>
    <n v="8"/>
    <m/>
    <m/>
    <n v="3"/>
    <m/>
    <n v="1"/>
    <m/>
    <n v="91"/>
    <n v="124"/>
    <m/>
    <m/>
    <n v="0.5"/>
    <s v="ဆပ်ပြာလုံလောက်စွာရရှိရန်"/>
    <n v="0.5"/>
    <n v="0.8"/>
    <m/>
    <n v="0.5"/>
    <m/>
    <m/>
    <n v="2"/>
    <m/>
    <m/>
    <m/>
    <m/>
    <s v="no test"/>
    <s v="no test"/>
    <s v="No Test"/>
    <n v="1"/>
    <n v="1"/>
    <n v="0"/>
    <n v="0"/>
    <n v="0"/>
    <n v="0"/>
    <n v="0"/>
    <n v="1"/>
    <n v="1"/>
    <n v="1"/>
    <n v="90"/>
    <n v="0"/>
    <n v="0"/>
    <n v="1"/>
    <n v="90"/>
    <n v="0.18"/>
    <n v="0"/>
    <n v="0"/>
    <n v="0.82000000000000006"/>
    <n v="1"/>
    <n v="4"/>
    <n v="0.88888888888888884"/>
    <n v="80"/>
    <n v="80"/>
    <n v="0"/>
    <n v="0"/>
    <n v="5"/>
    <n v="1"/>
    <n v="0.11111111111111116"/>
    <n v="0"/>
    <n v="90"/>
    <n v="90"/>
    <n v="90"/>
    <n v="90"/>
    <n v="90"/>
    <n v="1"/>
    <n v="0"/>
    <n v="1"/>
    <n v="1"/>
    <n v="1"/>
    <n v="8"/>
    <n v="22"/>
    <n v="0"/>
    <n v="90"/>
    <s v="No"/>
    <s v=""/>
    <n v="2"/>
    <n v="0"/>
    <n v="0"/>
    <s v="Yes"/>
    <s v="Shalom"/>
    <x v="0"/>
    <x v="0"/>
    <x v="0"/>
    <n v="25.374343974359"/>
    <n v="97.2843958974359"/>
    <s v="MMR001CMP020"/>
    <x v="1"/>
    <m/>
    <n v="22"/>
    <n v="90"/>
  </r>
  <r>
    <x v="0"/>
    <x v="2"/>
    <x v="2"/>
    <s v="DFID"/>
    <x v="0"/>
    <x v="7"/>
    <x v="0"/>
    <x v="83"/>
    <n v="28"/>
    <n v="166"/>
    <d v="2021-01-01T00:00:00"/>
    <d v="2022-03-31T00:00:00"/>
    <n v="43"/>
    <n v="1"/>
    <m/>
    <m/>
    <s v="Yes"/>
    <m/>
    <n v="5"/>
    <n v="1"/>
    <m/>
    <n v="1"/>
    <n v="1"/>
    <n v="1"/>
    <m/>
    <n v="1"/>
    <m/>
    <m/>
    <m/>
    <m/>
    <n v="2"/>
    <m/>
    <m/>
    <m/>
    <m/>
    <m/>
    <m/>
    <m/>
    <n v="1"/>
    <m/>
    <m/>
    <s v="ရေမသန့်၍သောက်သုံးမရ"/>
    <n v="6"/>
    <m/>
    <m/>
    <m/>
    <m/>
    <m/>
    <m/>
    <m/>
    <x v="2"/>
    <x v="1"/>
    <m/>
    <m/>
    <m/>
    <m/>
    <m/>
    <s v="မိလ္လာစုပ်ထုတ်ရန်ရှိ"/>
    <n v="7"/>
    <m/>
    <m/>
    <n v="7"/>
    <m/>
    <m/>
    <n v="1"/>
    <n v="104"/>
    <n v="148"/>
    <s v="No"/>
    <n v="2"/>
    <n v="0.7"/>
    <s v="အသိပညာပေး"/>
    <n v="0.9"/>
    <n v="0.9"/>
    <n v="60"/>
    <n v="0.7"/>
    <m/>
    <m/>
    <m/>
    <m/>
    <m/>
    <m/>
    <m/>
    <s v="no test"/>
    <s v="no test"/>
    <s v="No Test"/>
    <n v="1"/>
    <n v="2"/>
    <n v="0"/>
    <n v="0"/>
    <n v="0"/>
    <n v="0"/>
    <n v="0"/>
    <n v="1"/>
    <n v="1"/>
    <n v="1"/>
    <n v="166"/>
    <n v="1"/>
    <n v="166"/>
    <n v="1"/>
    <n v="166"/>
    <n v="0.33200000000000002"/>
    <n v="0"/>
    <n v="0"/>
    <n v="0.66799999999999993"/>
    <n v="1"/>
    <n v="6"/>
    <n v="0.72289156626506024"/>
    <n v="120"/>
    <n v="0"/>
    <n v="0"/>
    <n v="0"/>
    <n v="8"/>
    <n v="2"/>
    <n v="0.27710843373493976"/>
    <n v="0"/>
    <n v="166"/>
    <n v="166"/>
    <n v="148"/>
    <n v="166"/>
    <n v="166"/>
    <n v="1"/>
    <n v="0"/>
    <n v="1"/>
    <n v="1"/>
    <n v="1"/>
    <n v="7"/>
    <n v="28"/>
    <n v="0"/>
    <n v="166"/>
    <s v="Yes"/>
    <n v="0.36144578313253012"/>
    <n v="0"/>
    <n v="0"/>
    <n v="0"/>
    <s v="Yes"/>
    <s v="Shalom"/>
    <x v="0"/>
    <x v="0"/>
    <x v="0"/>
    <n v="25.371049444444399"/>
    <n v="97.290952037037002"/>
    <s v="MMR001CMP021"/>
    <x v="1"/>
    <m/>
    <n v="30"/>
    <n v="177"/>
  </r>
  <r>
    <x v="0"/>
    <x v="0"/>
    <x v="0"/>
    <m/>
    <x v="0"/>
    <x v="1"/>
    <x v="0"/>
    <x v="84"/>
    <n v="3"/>
    <n v="15"/>
    <s v="13-8-2021, 6-1-2020"/>
    <s v="12-20-2022, 30-7-2021"/>
    <m/>
    <n v="0"/>
    <m/>
    <m/>
    <s v="Yes"/>
    <m/>
    <n v="5"/>
    <n v="1"/>
    <m/>
    <m/>
    <n v="1"/>
    <m/>
    <m/>
    <m/>
    <m/>
    <m/>
    <m/>
    <m/>
    <m/>
    <m/>
    <m/>
    <n v="1"/>
    <m/>
    <m/>
    <m/>
    <m/>
    <m/>
    <m/>
    <m/>
    <m/>
    <n v="0"/>
    <m/>
    <m/>
    <m/>
    <m/>
    <m/>
    <m/>
    <n v="0"/>
    <x v="1"/>
    <x v="3"/>
    <m/>
    <m/>
    <m/>
    <m/>
    <m/>
    <m/>
    <n v="7"/>
    <m/>
    <n v="0"/>
    <n v="4"/>
    <m/>
    <m/>
    <m/>
    <n v="124"/>
    <n v="198"/>
    <m/>
    <m/>
    <m/>
    <m/>
    <m/>
    <m/>
    <m/>
    <m/>
    <m/>
    <m/>
    <m/>
    <m/>
    <m/>
    <m/>
    <m/>
    <s v="no test"/>
    <s v="no test"/>
    <s v="No Test"/>
    <n v="1"/>
    <n v="1"/>
    <n v="0"/>
    <n v="0"/>
    <n v="0"/>
    <n v="0"/>
    <n v="0"/>
    <n v="1"/>
    <n v="1"/>
    <n v="1"/>
    <n v="15"/>
    <n v="0"/>
    <n v="0"/>
    <n v="1"/>
    <n v="15"/>
    <n v="0.03"/>
    <n v="0"/>
    <n v="0"/>
    <n v="0.97"/>
    <n v="1"/>
    <n v="0"/>
    <n v="0"/>
    <n v="0"/>
    <n v="0"/>
    <n v="0"/>
    <n v="0"/>
    <n v="1"/>
    <n v="1"/>
    <n v="1"/>
    <n v="0"/>
    <n v="0"/>
    <n v="15"/>
    <n v="15"/>
    <n v="15"/>
    <n v="15"/>
    <n v="1"/>
    <n v="0"/>
    <n v="0"/>
    <n v="1"/>
    <n v="1"/>
    <n v="7"/>
    <n v="3"/>
    <n v="0"/>
    <n v="15"/>
    <s v="No"/>
    <s v=""/>
    <n v="0"/>
    <n v="0"/>
    <n v="0"/>
    <s v="Yes"/>
    <s v="Shalom"/>
    <x v="0"/>
    <x v="3"/>
    <x v="0"/>
    <n v="25.6145"/>
    <n v="96.319829999999996"/>
    <s v="MMR001CMP091"/>
    <x v="0"/>
    <m/>
    <n v="3"/>
    <n v="14"/>
  </r>
  <r>
    <x v="0"/>
    <x v="0"/>
    <x v="0"/>
    <m/>
    <x v="0"/>
    <x v="10"/>
    <x v="0"/>
    <x v="85"/>
    <n v="15"/>
    <n v="71"/>
    <s v="13-8-2021, 6-1-2020"/>
    <s v="12-20-2022, 30-7-2021"/>
    <m/>
    <m/>
    <m/>
    <m/>
    <m/>
    <m/>
    <n v="4"/>
    <m/>
    <m/>
    <m/>
    <m/>
    <m/>
    <m/>
    <m/>
    <m/>
    <m/>
    <m/>
    <m/>
    <m/>
    <m/>
    <m/>
    <m/>
    <m/>
    <m/>
    <m/>
    <m/>
    <m/>
    <m/>
    <m/>
    <m/>
    <m/>
    <m/>
    <m/>
    <m/>
    <m/>
    <m/>
    <m/>
    <m/>
    <x v="0"/>
    <x v="0"/>
    <m/>
    <m/>
    <m/>
    <m/>
    <m/>
    <m/>
    <n v="3"/>
    <m/>
    <m/>
    <n v="2"/>
    <m/>
    <m/>
    <m/>
    <n v="88"/>
    <n v="100"/>
    <m/>
    <m/>
    <m/>
    <m/>
    <m/>
    <m/>
    <m/>
    <m/>
    <m/>
    <m/>
    <m/>
    <m/>
    <m/>
    <m/>
    <m/>
    <s v="no test"/>
    <s v="no test"/>
    <s v="No Test"/>
    <n v="0"/>
    <n v="0"/>
    <n v="0"/>
    <n v="0"/>
    <n v="0"/>
    <n v="0"/>
    <n v="0"/>
    <n v="0"/>
    <n v="0"/>
    <n v="0"/>
    <n v="0"/>
    <n v="0"/>
    <n v="0"/>
    <n v="0"/>
    <n v="0"/>
    <n v="0"/>
    <n v="1"/>
    <n v="71"/>
    <n v="1"/>
    <n v="1"/>
    <n v="0"/>
    <n v="0"/>
    <n v="0"/>
    <n v="0"/>
    <n v="0"/>
    <n v="0"/>
    <n v="4"/>
    <n v="4"/>
    <n v="1"/>
    <n v="0"/>
    <n v="0"/>
    <n v="71"/>
    <n v="71"/>
    <n v="71"/>
    <n v="71"/>
    <n v="1"/>
    <n v="0"/>
    <n v="0"/>
    <n v="1"/>
    <n v="1"/>
    <n v="3"/>
    <n v="15"/>
    <n v="0"/>
    <n v="71"/>
    <s v="No"/>
    <s v=""/>
    <n v="0"/>
    <n v="0"/>
    <n v="0"/>
    <n v="0"/>
    <s v="uncovered"/>
    <x v="0"/>
    <x v="2"/>
    <x v="0"/>
    <n v="24.764959999999999"/>
    <n v="96.366919999999993"/>
    <s v="MMR001CMP233"/>
    <x v="0"/>
    <m/>
    <n v="7"/>
    <n v="35"/>
  </r>
  <r>
    <x v="0"/>
    <x v="3"/>
    <x v="3"/>
    <s v="USAID, HOPE-71, HOPE-94"/>
    <x v="0"/>
    <x v="2"/>
    <x v="0"/>
    <x v="86"/>
    <n v="86"/>
    <n v="424"/>
    <s v="13-8-2021, 6-1-2020, 1-7-2021"/>
    <s v="12-2-2022, 30-11-2021, 30.4.2021"/>
    <m/>
    <m/>
    <m/>
    <m/>
    <s v="Yes"/>
    <n v="5"/>
    <n v="3"/>
    <n v="2"/>
    <m/>
    <m/>
    <n v="2"/>
    <m/>
    <m/>
    <m/>
    <m/>
    <m/>
    <m/>
    <m/>
    <m/>
    <m/>
    <m/>
    <m/>
    <m/>
    <m/>
    <m/>
    <m/>
    <n v="1"/>
    <m/>
    <m/>
    <m/>
    <n v="28"/>
    <m/>
    <m/>
    <m/>
    <m/>
    <m/>
    <m/>
    <m/>
    <x v="1"/>
    <x v="1"/>
    <m/>
    <m/>
    <n v="2"/>
    <m/>
    <m/>
    <m/>
    <n v="1"/>
    <m/>
    <m/>
    <n v="3"/>
    <m/>
    <m/>
    <n v="1"/>
    <n v="41"/>
    <n v="85"/>
    <m/>
    <m/>
    <m/>
    <m/>
    <m/>
    <m/>
    <m/>
    <m/>
    <m/>
    <m/>
    <m/>
    <m/>
    <m/>
    <m/>
    <m/>
    <s v="no test"/>
    <s v="no test"/>
    <s v="No Test"/>
    <n v="2"/>
    <n v="2"/>
    <n v="0"/>
    <n v="0"/>
    <n v="0"/>
    <n v="0"/>
    <n v="0"/>
    <n v="1"/>
    <n v="1"/>
    <n v="1"/>
    <n v="424"/>
    <n v="0"/>
    <n v="0"/>
    <n v="1"/>
    <n v="424"/>
    <n v="0.84799999999999998"/>
    <n v="0"/>
    <n v="0"/>
    <n v="0.15200000000000002"/>
    <n v="1"/>
    <n v="28"/>
    <n v="1"/>
    <n v="424"/>
    <n v="0"/>
    <n v="0"/>
    <n v="0"/>
    <n v="21"/>
    <n v="0"/>
    <n v="0"/>
    <n v="0"/>
    <n v="424"/>
    <n v="205"/>
    <n v="85"/>
    <n v="205"/>
    <n v="424"/>
    <n v="1"/>
    <n v="0"/>
    <n v="1"/>
    <n v="1"/>
    <n v="0.98837209302325579"/>
    <n v="1"/>
    <n v="20"/>
    <n v="0"/>
    <n v="100"/>
    <s v="No"/>
    <s v=""/>
    <n v="0"/>
    <n v="0"/>
    <n v="0"/>
    <s v="Yes"/>
    <s v="KBC-BMO"/>
    <x v="0"/>
    <x v="0"/>
    <x v="0"/>
    <n v="24.250689999999999"/>
    <n v="97.344359999999995"/>
    <s v="MMR001CMP056"/>
    <x v="1"/>
    <m/>
    <n v="646"/>
    <n v="2978"/>
  </r>
  <r>
    <x v="0"/>
    <x v="7"/>
    <x v="7"/>
    <s v="UNICEF"/>
    <x v="0"/>
    <x v="0"/>
    <x v="1"/>
    <x v="87"/>
    <n v="48"/>
    <n v="267"/>
    <d v="2020-10-01T00:00:00"/>
    <d v="2022-04-30T00:00:00"/>
    <m/>
    <m/>
    <m/>
    <m/>
    <s v="Yes"/>
    <n v="2"/>
    <n v="2"/>
    <m/>
    <m/>
    <m/>
    <n v="2"/>
    <m/>
    <m/>
    <m/>
    <m/>
    <m/>
    <m/>
    <m/>
    <m/>
    <m/>
    <m/>
    <n v="2"/>
    <m/>
    <m/>
    <m/>
    <m/>
    <n v="1"/>
    <m/>
    <m/>
    <m/>
    <n v="7"/>
    <m/>
    <m/>
    <m/>
    <m/>
    <m/>
    <m/>
    <n v="6"/>
    <x v="1"/>
    <x v="1"/>
    <m/>
    <m/>
    <m/>
    <m/>
    <n v="4"/>
    <m/>
    <n v="1"/>
    <m/>
    <m/>
    <n v="3"/>
    <m/>
    <m/>
    <n v="2"/>
    <n v="41"/>
    <n v="85"/>
    <m/>
    <m/>
    <m/>
    <m/>
    <m/>
    <m/>
    <m/>
    <m/>
    <m/>
    <m/>
    <m/>
    <m/>
    <m/>
    <m/>
    <m/>
    <s v="no test"/>
    <s v="no test"/>
    <s v="No Test"/>
    <n v="0"/>
    <n v="2"/>
    <n v="0"/>
    <n v="0"/>
    <n v="0"/>
    <n v="0"/>
    <n v="0"/>
    <n v="1"/>
    <n v="1"/>
    <n v="1"/>
    <n v="267"/>
    <n v="0"/>
    <n v="0"/>
    <n v="1"/>
    <n v="267"/>
    <n v="0.53400000000000003"/>
    <n v="0"/>
    <n v="0"/>
    <n v="0.46599999999999997"/>
    <n v="1"/>
    <n v="7"/>
    <n v="0.5393258426966292"/>
    <n v="144"/>
    <n v="0"/>
    <n v="0"/>
    <n v="0"/>
    <n v="13"/>
    <n v="6"/>
    <n v="0.4606741573033708"/>
    <n v="0"/>
    <n v="267"/>
    <n v="205"/>
    <n v="85"/>
    <n v="205"/>
    <n v="267"/>
    <n v="1"/>
    <n v="0"/>
    <n v="1"/>
    <n v="1"/>
    <n v="1"/>
    <n v="1"/>
    <n v="20"/>
    <n v="0"/>
    <n v="100"/>
    <s v="No"/>
    <s v=""/>
    <n v="0"/>
    <n v="0"/>
    <n v="0"/>
    <n v="0"/>
    <n v="0"/>
    <x v="0"/>
    <x v="3"/>
    <x v="0"/>
    <n v="0"/>
    <n v="0"/>
    <n v="0"/>
    <x v="1"/>
    <m/>
    <n v="0"/>
    <n v="0"/>
  </r>
  <r>
    <x v="0"/>
    <x v="11"/>
    <x v="7"/>
    <s v="MHF"/>
    <x v="0"/>
    <x v="2"/>
    <x v="1"/>
    <x v="88"/>
    <n v="311"/>
    <n v="1340"/>
    <d v="2021-08-04T00:00:00"/>
    <d v="2022-08-03T00:00:00"/>
    <n v="543"/>
    <n v="4"/>
    <m/>
    <m/>
    <s v="No"/>
    <n v="2"/>
    <n v="6"/>
    <m/>
    <n v="0"/>
    <n v="0"/>
    <n v="0"/>
    <n v="0"/>
    <n v="0"/>
    <n v="8"/>
    <n v="0"/>
    <n v="0"/>
    <m/>
    <n v="0"/>
    <n v="0"/>
    <n v="0"/>
    <n v="0"/>
    <n v="0"/>
    <n v="6"/>
    <n v="6"/>
    <n v="19"/>
    <n v="0"/>
    <n v="0"/>
    <n v="0"/>
    <m/>
    <m/>
    <n v="0"/>
    <n v="0"/>
    <m/>
    <n v="0"/>
    <m/>
    <m/>
    <m/>
    <n v="0"/>
    <x v="1"/>
    <x v="1"/>
    <n v="0"/>
    <n v="0"/>
    <n v="0"/>
    <n v="0"/>
    <n v="9"/>
    <m/>
    <n v="3"/>
    <m/>
    <m/>
    <n v="2"/>
    <m/>
    <m/>
    <n v="6"/>
    <n v="88"/>
    <n v="100"/>
    <m/>
    <m/>
    <m/>
    <m/>
    <m/>
    <m/>
    <n v="0.8"/>
    <n v="0.46"/>
    <m/>
    <m/>
    <m/>
    <n v="0"/>
    <n v="0"/>
    <m/>
    <m/>
    <n v="1"/>
    <n v="0"/>
    <s v="Tested"/>
    <n v="0"/>
    <n v="0"/>
    <n v="0"/>
    <n v="0"/>
    <n v="0"/>
    <n v="0"/>
    <n v="0"/>
    <n v="0"/>
    <n v="0"/>
    <n v="0"/>
    <n v="0"/>
    <n v="0"/>
    <n v="0"/>
    <n v="0"/>
    <n v="0"/>
    <n v="0"/>
    <n v="1"/>
    <n v="1340"/>
    <n v="3"/>
    <n v="3"/>
    <n v="0"/>
    <n v="6.7164179104477612E-3"/>
    <n v="9"/>
    <n v="0"/>
    <n v="0"/>
    <n v="0"/>
    <n v="67"/>
    <n v="67"/>
    <n v="0.99328358208955225"/>
    <n v="0"/>
    <n v="1340"/>
    <n v="440"/>
    <n v="100"/>
    <n v="440"/>
    <n v="1340"/>
    <n v="1"/>
    <n v="0"/>
    <n v="1"/>
    <n v="1"/>
    <n v="0.32154340836012862"/>
    <n v="3"/>
    <n v="60"/>
    <n v="0"/>
    <n v="300"/>
    <s v="Yes"/>
    <n v="5.9701492537313433E-4"/>
    <n v="0"/>
    <n v="0"/>
    <n v="0"/>
    <n v="0"/>
    <n v="0"/>
    <x v="0"/>
    <x v="0"/>
    <x v="0"/>
    <n v="0"/>
    <n v="0"/>
    <n v="0"/>
    <x v="1"/>
    <m/>
    <n v="0"/>
    <n v="0"/>
  </r>
  <r>
    <x v="0"/>
    <x v="0"/>
    <x v="0"/>
    <m/>
    <x v="0"/>
    <x v="2"/>
    <x v="0"/>
    <x v="89"/>
    <n v="223"/>
    <n v="1067"/>
    <s v="13-8-2021, 6-1-2020"/>
    <s v="12-20-2022, 30-7-2021"/>
    <m/>
    <m/>
    <m/>
    <m/>
    <m/>
    <m/>
    <n v="4"/>
    <m/>
    <m/>
    <m/>
    <m/>
    <m/>
    <m/>
    <m/>
    <m/>
    <m/>
    <m/>
    <m/>
    <m/>
    <m/>
    <m/>
    <m/>
    <m/>
    <m/>
    <m/>
    <m/>
    <m/>
    <m/>
    <m/>
    <m/>
    <m/>
    <m/>
    <m/>
    <m/>
    <m/>
    <m/>
    <m/>
    <m/>
    <x v="0"/>
    <x v="0"/>
    <m/>
    <m/>
    <m/>
    <m/>
    <m/>
    <m/>
    <n v="3"/>
    <m/>
    <m/>
    <n v="2"/>
    <m/>
    <m/>
    <m/>
    <n v="10"/>
    <n v="18"/>
    <m/>
    <m/>
    <m/>
    <m/>
    <m/>
    <m/>
    <m/>
    <m/>
    <m/>
    <m/>
    <m/>
    <m/>
    <m/>
    <m/>
    <m/>
    <s v="no test"/>
    <s v="no test"/>
    <s v="No Test"/>
    <n v="0"/>
    <n v="0"/>
    <n v="0"/>
    <n v="0"/>
    <n v="0"/>
    <n v="0"/>
    <n v="0"/>
    <n v="0"/>
    <n v="0"/>
    <n v="0"/>
    <n v="0"/>
    <n v="0"/>
    <n v="0"/>
    <n v="0"/>
    <n v="0"/>
    <n v="0"/>
    <n v="1"/>
    <n v="1067"/>
    <n v="2"/>
    <n v="2"/>
    <n v="0"/>
    <n v="0"/>
    <n v="0"/>
    <n v="0"/>
    <n v="0"/>
    <n v="0"/>
    <n v="53"/>
    <n v="53"/>
    <n v="1"/>
    <n v="0"/>
    <n v="0"/>
    <n v="50"/>
    <n v="18"/>
    <n v="50"/>
    <n v="50"/>
    <n v="4.6860356138706656E-2"/>
    <n v="0.95313964386129335"/>
    <n v="0"/>
    <n v="0.17937219730941703"/>
    <n v="8.0717488789237665E-2"/>
    <n v="3"/>
    <n v="60"/>
    <n v="0"/>
    <n v="300"/>
    <s v="No"/>
    <s v=""/>
    <n v="0"/>
    <n v="0"/>
    <n v="0"/>
    <n v="0"/>
    <s v="uncovered"/>
    <x v="0"/>
    <x v="2"/>
    <x v="0"/>
    <n v="24.251232000000002"/>
    <n v="97.348405"/>
    <s v="MMR001CMP197"/>
    <x v="0"/>
    <m/>
    <n v="171"/>
    <n v="882"/>
  </r>
  <r>
    <x v="0"/>
    <x v="7"/>
    <x v="7"/>
    <s v="UNICEF"/>
    <x v="0"/>
    <x v="1"/>
    <x v="0"/>
    <x v="90"/>
    <n v="10"/>
    <n v="18"/>
    <d v="2020-10-01T00:00:00"/>
    <d v="2022-04-30T00:00:00"/>
    <m/>
    <m/>
    <m/>
    <m/>
    <m/>
    <m/>
    <n v="4"/>
    <m/>
    <m/>
    <m/>
    <m/>
    <m/>
    <m/>
    <m/>
    <m/>
    <m/>
    <m/>
    <m/>
    <m/>
    <m/>
    <m/>
    <m/>
    <m/>
    <m/>
    <m/>
    <m/>
    <m/>
    <m/>
    <m/>
    <m/>
    <m/>
    <m/>
    <m/>
    <m/>
    <m/>
    <m/>
    <m/>
    <m/>
    <x v="0"/>
    <x v="0"/>
    <m/>
    <m/>
    <m/>
    <m/>
    <m/>
    <m/>
    <n v="1"/>
    <m/>
    <m/>
    <n v="1"/>
    <m/>
    <m/>
    <m/>
    <n v="6"/>
    <n v="5"/>
    <m/>
    <m/>
    <m/>
    <m/>
    <m/>
    <m/>
    <m/>
    <m/>
    <m/>
    <m/>
    <m/>
    <m/>
    <m/>
    <m/>
    <m/>
    <s v="no test"/>
    <s v="no test"/>
    <s v="No Test"/>
    <n v="0"/>
    <n v="0"/>
    <n v="0"/>
    <n v="0"/>
    <n v="0"/>
    <n v="0"/>
    <n v="0"/>
    <n v="0"/>
    <n v="0"/>
    <n v="0"/>
    <n v="0"/>
    <n v="0"/>
    <n v="0"/>
    <n v="0"/>
    <n v="0"/>
    <n v="0"/>
    <n v="1"/>
    <n v="18"/>
    <n v="1"/>
    <n v="1"/>
    <n v="0"/>
    <n v="0"/>
    <n v="0"/>
    <n v="0"/>
    <n v="0"/>
    <n v="0"/>
    <n v="1"/>
    <n v="1"/>
    <n v="1"/>
    <n v="0"/>
    <n v="0"/>
    <n v="18"/>
    <n v="5"/>
    <n v="18"/>
    <n v="18"/>
    <n v="1"/>
    <n v="0"/>
    <n v="0"/>
    <n v="1"/>
    <n v="0.5"/>
    <n v="1"/>
    <n v="10"/>
    <n v="0"/>
    <n v="18"/>
    <s v="No"/>
    <s v=""/>
    <n v="0"/>
    <n v="0"/>
    <n v="0"/>
    <s v="Yes"/>
    <s v="KMSS-MYT"/>
    <x v="0"/>
    <x v="0"/>
    <x v="0"/>
    <n v="25.920006000000001"/>
    <n v="96.662092000000001"/>
    <s v="MMR001CMP247"/>
    <x v="1"/>
    <m/>
    <n v="24"/>
    <n v="101"/>
  </r>
  <r>
    <x v="0"/>
    <x v="0"/>
    <x v="0"/>
    <m/>
    <x v="0"/>
    <x v="2"/>
    <x v="0"/>
    <x v="91"/>
    <n v="15"/>
    <n v="101"/>
    <s v="13-8-2021, 6-1-2020"/>
    <s v="12-20-2022, 30-7-2021"/>
    <m/>
    <m/>
    <m/>
    <m/>
    <m/>
    <m/>
    <n v="1"/>
    <m/>
    <m/>
    <m/>
    <m/>
    <m/>
    <m/>
    <m/>
    <m/>
    <m/>
    <m/>
    <m/>
    <m/>
    <m/>
    <m/>
    <m/>
    <m/>
    <m/>
    <m/>
    <m/>
    <m/>
    <m/>
    <m/>
    <m/>
    <m/>
    <m/>
    <m/>
    <m/>
    <m/>
    <m/>
    <m/>
    <m/>
    <x v="0"/>
    <x v="0"/>
    <m/>
    <m/>
    <m/>
    <m/>
    <m/>
    <m/>
    <n v="1"/>
    <m/>
    <m/>
    <n v="3"/>
    <m/>
    <m/>
    <m/>
    <n v="41"/>
    <n v="85"/>
    <m/>
    <m/>
    <m/>
    <m/>
    <m/>
    <m/>
    <m/>
    <m/>
    <m/>
    <m/>
    <m/>
    <m/>
    <m/>
    <m/>
    <m/>
    <s v="no test"/>
    <s v="no test"/>
    <s v="No Test"/>
    <n v="0"/>
    <n v="0"/>
    <n v="0"/>
    <n v="0"/>
    <n v="0"/>
    <n v="0"/>
    <n v="0"/>
    <n v="0"/>
    <n v="0"/>
    <n v="0"/>
    <n v="0"/>
    <n v="0"/>
    <n v="0"/>
    <n v="0"/>
    <n v="0"/>
    <n v="0"/>
    <n v="1"/>
    <n v="101"/>
    <n v="1"/>
    <n v="1"/>
    <n v="0"/>
    <n v="0"/>
    <n v="0"/>
    <n v="0"/>
    <n v="0"/>
    <n v="0"/>
    <n v="5"/>
    <n v="5"/>
    <n v="1"/>
    <n v="0"/>
    <n v="0"/>
    <n v="101"/>
    <n v="85"/>
    <n v="101"/>
    <n v="101"/>
    <n v="1"/>
    <n v="0"/>
    <n v="0"/>
    <n v="1"/>
    <n v="1"/>
    <n v="1"/>
    <n v="15"/>
    <n v="0"/>
    <n v="100"/>
    <s v="No"/>
    <s v=""/>
    <n v="0"/>
    <n v="0"/>
    <n v="0"/>
    <n v="0"/>
    <s v="uncovered"/>
    <x v="0"/>
    <x v="2"/>
    <x v="0"/>
    <n v="24.404876999999999"/>
    <n v="97.407787999999996"/>
    <s v="MMR001CMP061"/>
    <x v="0"/>
    <m/>
    <n v="15"/>
    <n v="101"/>
  </r>
  <r>
    <x v="0"/>
    <x v="4"/>
    <x v="4"/>
    <s v="UNICEF"/>
    <x v="0"/>
    <x v="3"/>
    <x v="0"/>
    <x v="92"/>
    <n v="51"/>
    <n v="319"/>
    <d v="2021-08-06T00:00:00"/>
    <d v="2022-08-05T00:00:00"/>
    <m/>
    <m/>
    <m/>
    <m/>
    <s v="Yes"/>
    <n v="3"/>
    <n v="4"/>
    <n v="2"/>
    <m/>
    <m/>
    <m/>
    <m/>
    <m/>
    <m/>
    <m/>
    <m/>
    <m/>
    <m/>
    <m/>
    <m/>
    <m/>
    <m/>
    <m/>
    <m/>
    <m/>
    <m/>
    <n v="4"/>
    <m/>
    <m/>
    <m/>
    <n v="98"/>
    <m/>
    <m/>
    <m/>
    <m/>
    <m/>
    <m/>
    <m/>
    <x v="1"/>
    <x v="1"/>
    <n v="3"/>
    <m/>
    <m/>
    <m/>
    <m/>
    <m/>
    <n v="1"/>
    <m/>
    <m/>
    <n v="1"/>
    <m/>
    <n v="1"/>
    <n v="1"/>
    <n v="6"/>
    <n v="5"/>
    <m/>
    <m/>
    <m/>
    <m/>
    <m/>
    <m/>
    <m/>
    <m/>
    <m/>
    <m/>
    <m/>
    <m/>
    <m/>
    <m/>
    <m/>
    <s v="no test"/>
    <s v="no test"/>
    <s v="No Test"/>
    <n v="2"/>
    <n v="0"/>
    <n v="0"/>
    <n v="0"/>
    <n v="0"/>
    <n v="0"/>
    <n v="0"/>
    <n v="1"/>
    <n v="1"/>
    <n v="1"/>
    <n v="319"/>
    <n v="0"/>
    <n v="0"/>
    <n v="1"/>
    <n v="319"/>
    <n v="0.63800000000000001"/>
    <n v="0"/>
    <n v="0"/>
    <n v="0.36199999999999999"/>
    <n v="1"/>
    <n v="98"/>
    <n v="1"/>
    <n v="319"/>
    <n v="0"/>
    <n v="0"/>
    <n v="0"/>
    <n v="16"/>
    <n v="0"/>
    <n v="0"/>
    <n v="0"/>
    <n v="319"/>
    <n v="30"/>
    <n v="5"/>
    <n v="30"/>
    <n v="319"/>
    <n v="1"/>
    <n v="0"/>
    <n v="1"/>
    <n v="0.47058823529411764"/>
    <n v="9.8039215686274508E-2"/>
    <n v="1"/>
    <n v="20"/>
    <n v="0"/>
    <n v="100"/>
    <s v="No"/>
    <s v=""/>
    <n v="0"/>
    <n v="0"/>
    <n v="0"/>
    <n v="0"/>
    <n v="0"/>
    <x v="0"/>
    <x v="0"/>
    <x v="0"/>
    <n v="25.428995"/>
    <n v="97.957487999999998"/>
    <s v="MMR001CMP279"/>
    <x v="1"/>
    <m/>
    <n v="55"/>
    <n v="320"/>
  </r>
  <r>
    <x v="0"/>
    <x v="0"/>
    <x v="0"/>
    <m/>
    <x v="0"/>
    <x v="0"/>
    <x v="0"/>
    <x v="93"/>
    <n v="40"/>
    <n v="168"/>
    <m/>
    <m/>
    <m/>
    <m/>
    <m/>
    <m/>
    <m/>
    <m/>
    <m/>
    <m/>
    <m/>
    <m/>
    <m/>
    <m/>
    <m/>
    <m/>
    <m/>
    <m/>
    <m/>
    <m/>
    <m/>
    <m/>
    <m/>
    <m/>
    <m/>
    <m/>
    <m/>
    <m/>
    <m/>
    <m/>
    <m/>
    <m/>
    <m/>
    <m/>
    <m/>
    <m/>
    <m/>
    <m/>
    <m/>
    <m/>
    <x v="0"/>
    <x v="0"/>
    <m/>
    <m/>
    <m/>
    <m/>
    <m/>
    <m/>
    <n v="8"/>
    <m/>
    <m/>
    <n v="3"/>
    <m/>
    <m/>
    <m/>
    <n v="91"/>
    <n v="124"/>
    <m/>
    <m/>
    <m/>
    <m/>
    <m/>
    <m/>
    <m/>
    <m/>
    <m/>
    <m/>
    <m/>
    <m/>
    <m/>
    <m/>
    <m/>
    <s v="no test"/>
    <s v="no test"/>
    <s v="No Test"/>
    <n v="0"/>
    <n v="0"/>
    <n v="0"/>
    <n v="0"/>
    <n v="0"/>
    <n v="0"/>
    <n v="0"/>
    <n v="0"/>
    <n v="0"/>
    <n v="0"/>
    <n v="0"/>
    <n v="0"/>
    <n v="0"/>
    <n v="0"/>
    <n v="0"/>
    <n v="0"/>
    <n v="1"/>
    <n v="168"/>
    <n v="1"/>
    <n v="1"/>
    <n v="0"/>
    <n v="0"/>
    <n v="0"/>
    <n v="0"/>
    <n v="0"/>
    <n v="0"/>
    <n v="8"/>
    <n v="8"/>
    <n v="1"/>
    <n v="0"/>
    <n v="0"/>
    <n v="168"/>
    <n v="124"/>
    <n v="168"/>
    <n v="168"/>
    <n v="1"/>
    <n v="0"/>
    <n v="0"/>
    <n v="1"/>
    <n v="1"/>
    <n v="8"/>
    <n v="40"/>
    <n v="0"/>
    <n v="168"/>
    <s v="No"/>
    <s v=""/>
    <n v="0"/>
    <n v="0"/>
    <n v="0"/>
    <n v="0"/>
    <n v="0"/>
    <x v="0"/>
    <x v="0"/>
    <x v="0"/>
    <n v="24.314934000000001"/>
    <n v="97.305190999999994"/>
    <s v="MMR001CMP285"/>
    <x v="0"/>
    <m/>
    <n v="40"/>
    <n v="190"/>
  </r>
  <r>
    <x v="0"/>
    <x v="2"/>
    <x v="2"/>
    <s v="DFID"/>
    <x v="0"/>
    <x v="1"/>
    <x v="0"/>
    <x v="94"/>
    <n v="7"/>
    <n v="24"/>
    <d v="2021-01-01T00:00:00"/>
    <d v="2022-03-31T00:00:00"/>
    <m/>
    <n v="1"/>
    <m/>
    <m/>
    <s v="Yes"/>
    <n v="2"/>
    <n v="2"/>
    <n v="1"/>
    <m/>
    <m/>
    <m/>
    <m/>
    <m/>
    <n v="1"/>
    <n v="1"/>
    <m/>
    <m/>
    <m/>
    <n v="1"/>
    <m/>
    <n v="1"/>
    <m/>
    <m/>
    <m/>
    <m/>
    <m/>
    <m/>
    <m/>
    <m/>
    <m/>
    <n v="3"/>
    <m/>
    <m/>
    <m/>
    <m/>
    <m/>
    <m/>
    <m/>
    <x v="1"/>
    <x v="2"/>
    <m/>
    <m/>
    <m/>
    <m/>
    <m/>
    <m/>
    <n v="3"/>
    <m/>
    <m/>
    <n v="2"/>
    <m/>
    <n v="1"/>
    <m/>
    <n v="7"/>
    <n v="4"/>
    <s v="No"/>
    <m/>
    <m/>
    <s v="Hygiene Kits ထောက်ပံ့ပေးပါရန်"/>
    <m/>
    <m/>
    <n v="5"/>
    <m/>
    <m/>
    <m/>
    <m/>
    <m/>
    <m/>
    <m/>
    <m/>
    <s v="no test"/>
    <s v="no test"/>
    <s v="No Test"/>
    <n v="1"/>
    <n v="0"/>
    <n v="1"/>
    <n v="0"/>
    <n v="0"/>
    <n v="0"/>
    <n v="0"/>
    <n v="1"/>
    <n v="1"/>
    <n v="1"/>
    <n v="24"/>
    <n v="1"/>
    <n v="24"/>
    <n v="1"/>
    <n v="24"/>
    <n v="4.8000000000000001E-2"/>
    <n v="0"/>
    <n v="0"/>
    <n v="0.95199999999999996"/>
    <n v="1"/>
    <n v="3"/>
    <n v="1"/>
    <n v="24"/>
    <n v="0"/>
    <n v="0"/>
    <n v="0"/>
    <n v="1"/>
    <n v="0"/>
    <n v="0"/>
    <n v="0"/>
    <n v="24"/>
    <n v="24"/>
    <n v="4"/>
    <n v="24"/>
    <n v="24"/>
    <n v="1"/>
    <n v="0"/>
    <n v="1"/>
    <n v="1"/>
    <n v="0.5714285714285714"/>
    <n v="3"/>
    <n v="7"/>
    <n v="0"/>
    <n v="24"/>
    <s v="No"/>
    <n v="0.20833333333333334"/>
    <n v="0"/>
    <n v="0"/>
    <n v="0"/>
    <s v="Yes"/>
    <s v="Shalom"/>
    <x v="0"/>
    <x v="3"/>
    <x v="0"/>
    <n v="25.617998"/>
    <n v="96.339590000000001"/>
    <s v="MMR001CMP192"/>
    <x v="1"/>
    <m/>
    <n v="7"/>
    <n v="24"/>
  </r>
  <r>
    <x v="0"/>
    <x v="7"/>
    <x v="7"/>
    <s v="UNICEF"/>
    <x v="0"/>
    <x v="8"/>
    <x v="1"/>
    <x v="95"/>
    <n v="6"/>
    <n v="36"/>
    <d v="2020-10-01T00:00:00"/>
    <d v="2022-04-30T00:00:00"/>
    <m/>
    <n v="1"/>
    <m/>
    <m/>
    <s v="Yes"/>
    <m/>
    <n v="1"/>
    <m/>
    <m/>
    <m/>
    <n v="1"/>
    <m/>
    <m/>
    <m/>
    <m/>
    <m/>
    <m/>
    <m/>
    <m/>
    <m/>
    <m/>
    <n v="3"/>
    <m/>
    <m/>
    <m/>
    <m/>
    <m/>
    <m/>
    <m/>
    <m/>
    <n v="2"/>
    <m/>
    <m/>
    <m/>
    <n v="2"/>
    <m/>
    <m/>
    <n v="2"/>
    <x v="1"/>
    <x v="1"/>
    <m/>
    <m/>
    <m/>
    <m/>
    <m/>
    <m/>
    <n v="8"/>
    <m/>
    <m/>
    <n v="3"/>
    <m/>
    <m/>
    <n v="1"/>
    <n v="91"/>
    <n v="124"/>
    <m/>
    <m/>
    <m/>
    <m/>
    <m/>
    <m/>
    <m/>
    <m/>
    <m/>
    <m/>
    <m/>
    <m/>
    <m/>
    <m/>
    <m/>
    <s v="no test"/>
    <s v="no test"/>
    <s v="No Test"/>
    <n v="0"/>
    <n v="1"/>
    <n v="0"/>
    <n v="0"/>
    <n v="0"/>
    <n v="0"/>
    <n v="0"/>
    <n v="1"/>
    <n v="1"/>
    <n v="1"/>
    <n v="36"/>
    <n v="0"/>
    <n v="0"/>
    <n v="1"/>
    <n v="36"/>
    <n v="7.1999999999999995E-2"/>
    <n v="0"/>
    <n v="0"/>
    <n v="0.92800000000000005"/>
    <n v="1"/>
    <n v="2"/>
    <n v="1"/>
    <n v="36"/>
    <n v="0"/>
    <n v="0"/>
    <n v="0"/>
    <n v="2"/>
    <n v="0"/>
    <n v="0"/>
    <n v="0"/>
    <n v="36"/>
    <n v="36"/>
    <n v="36"/>
    <n v="36"/>
    <n v="36"/>
    <n v="1"/>
    <n v="0"/>
    <n v="1"/>
    <n v="1"/>
    <n v="1"/>
    <n v="8"/>
    <n v="6"/>
    <n v="0"/>
    <n v="36"/>
    <s v="No"/>
    <s v=""/>
    <n v="0"/>
    <n v="0"/>
    <n v="0"/>
    <n v="0"/>
    <n v="0"/>
    <x v="0"/>
    <x v="3"/>
    <x v="0"/>
    <n v="0"/>
    <n v="0"/>
    <n v="0"/>
    <x v="1"/>
    <m/>
    <n v="0"/>
    <n v="0"/>
  </r>
  <r>
    <x v="0"/>
    <x v="7"/>
    <x v="7"/>
    <s v="UNICEF"/>
    <x v="0"/>
    <x v="8"/>
    <x v="0"/>
    <x v="96"/>
    <n v="105"/>
    <n v="474"/>
    <d v="2020-10-01T00:00:00"/>
    <d v="2022-04-30T00:00:00"/>
    <m/>
    <n v="3"/>
    <m/>
    <m/>
    <s v="Yes"/>
    <m/>
    <n v="2"/>
    <n v="1"/>
    <m/>
    <m/>
    <m/>
    <m/>
    <m/>
    <m/>
    <m/>
    <m/>
    <m/>
    <m/>
    <m/>
    <m/>
    <m/>
    <n v="2"/>
    <m/>
    <m/>
    <m/>
    <m/>
    <m/>
    <m/>
    <m/>
    <m/>
    <n v="13"/>
    <m/>
    <m/>
    <m/>
    <n v="12"/>
    <m/>
    <m/>
    <n v="12"/>
    <x v="1"/>
    <x v="1"/>
    <m/>
    <m/>
    <m/>
    <m/>
    <m/>
    <m/>
    <n v="7"/>
    <m/>
    <m/>
    <n v="7"/>
    <m/>
    <n v="2"/>
    <n v="1"/>
    <n v="104"/>
    <n v="148"/>
    <m/>
    <m/>
    <m/>
    <m/>
    <m/>
    <m/>
    <m/>
    <m/>
    <m/>
    <m/>
    <m/>
    <m/>
    <m/>
    <m/>
    <m/>
    <s v="no test"/>
    <s v="no test"/>
    <s v="No Test"/>
    <n v="1"/>
    <n v="0"/>
    <n v="0"/>
    <n v="0"/>
    <n v="0"/>
    <n v="0"/>
    <n v="0"/>
    <n v="0.84388185654008441"/>
    <n v="0.52742616033755274"/>
    <n v="0.84388185654008441"/>
    <n v="400"/>
    <n v="0"/>
    <n v="0"/>
    <n v="0.84388185654008441"/>
    <n v="400"/>
    <n v="0.8"/>
    <n v="0.15611814345991559"/>
    <n v="73.999999999999986"/>
    <n v="0.19999999999999996"/>
    <n v="1"/>
    <n v="13"/>
    <n v="0.54852320675105481"/>
    <n v="260"/>
    <n v="0"/>
    <n v="0"/>
    <n v="0"/>
    <n v="24"/>
    <n v="11"/>
    <n v="0.45147679324894519"/>
    <n v="0"/>
    <n v="474"/>
    <n v="474"/>
    <n v="148"/>
    <n v="474"/>
    <n v="474"/>
    <n v="1"/>
    <n v="0"/>
    <n v="1"/>
    <n v="1"/>
    <n v="1"/>
    <n v="7"/>
    <n v="105"/>
    <n v="0"/>
    <n v="474"/>
    <s v="No"/>
    <s v=""/>
    <n v="0"/>
    <n v="0"/>
    <n v="0"/>
    <n v="0"/>
    <s v="KBC-MYT"/>
    <x v="0"/>
    <x v="0"/>
    <x v="0"/>
    <n v="25.2226"/>
    <n v="97.012299999999996"/>
    <s v="MMR001CMP261"/>
    <x v="1"/>
    <m/>
    <n v="111"/>
    <n v="599"/>
  </r>
  <r>
    <x v="0"/>
    <x v="1"/>
    <x v="1"/>
    <s v="ECHO"/>
    <x v="0"/>
    <x v="2"/>
    <x v="1"/>
    <x v="97"/>
    <n v="40"/>
    <n v="189"/>
    <d v="2022-04-01T00:00:00"/>
    <d v="2022-11-30T00:00:00"/>
    <m/>
    <m/>
    <m/>
    <m/>
    <s v="Yes"/>
    <n v="2"/>
    <n v="5"/>
    <n v="2"/>
    <m/>
    <m/>
    <n v="2"/>
    <m/>
    <m/>
    <n v="1"/>
    <m/>
    <m/>
    <m/>
    <m/>
    <m/>
    <m/>
    <m/>
    <m/>
    <m/>
    <m/>
    <m/>
    <m/>
    <n v="4"/>
    <m/>
    <m/>
    <m/>
    <n v="8"/>
    <m/>
    <m/>
    <m/>
    <m/>
    <m/>
    <m/>
    <m/>
    <x v="1"/>
    <x v="1"/>
    <m/>
    <m/>
    <m/>
    <m/>
    <n v="4"/>
    <m/>
    <m/>
    <m/>
    <m/>
    <n v="2"/>
    <m/>
    <m/>
    <m/>
    <m/>
    <m/>
    <m/>
    <m/>
    <m/>
    <m/>
    <m/>
    <m/>
    <m/>
    <m/>
    <m/>
    <m/>
    <m/>
    <m/>
    <m/>
    <m/>
    <m/>
    <s v="no test"/>
    <s v="no test"/>
    <s v="No Test"/>
    <n v="2"/>
    <n v="2"/>
    <n v="0"/>
    <n v="0"/>
    <n v="0"/>
    <n v="0"/>
    <n v="0"/>
    <n v="1"/>
    <n v="1"/>
    <n v="1"/>
    <n v="189"/>
    <n v="0"/>
    <n v="0"/>
    <n v="1"/>
    <n v="189"/>
    <n v="0.378"/>
    <n v="0"/>
    <n v="0"/>
    <n v="0.622"/>
    <n v="1"/>
    <n v="8"/>
    <n v="0.86772486772486768"/>
    <n v="164"/>
    <n v="0"/>
    <n v="0"/>
    <n v="0"/>
    <n v="9"/>
    <n v="1"/>
    <n v="0.13227513227513232"/>
    <n v="0"/>
    <n v="0"/>
    <n v="0"/>
    <n v="0"/>
    <n v="0"/>
    <n v="0"/>
    <n v="0"/>
    <n v="1"/>
    <n v="0"/>
    <n v="0"/>
    <n v="0"/>
    <n v="0"/>
    <n v="0"/>
    <n v="0"/>
    <n v="0"/>
    <s v="No"/>
    <s v=""/>
    <n v="0"/>
    <n v="0"/>
    <n v="0"/>
    <e v="#N/A"/>
    <e v="#N/A"/>
    <x v="0"/>
    <x v="0"/>
    <x v="0"/>
    <e v="#N/A"/>
    <e v="#N/A"/>
    <e v="#N/A"/>
    <x v="1"/>
    <m/>
    <e v="#N/A"/>
    <e v="#N/A"/>
  </r>
  <r>
    <x v="0"/>
    <x v="4"/>
    <x v="4"/>
    <s v="UNICEF"/>
    <x v="0"/>
    <x v="7"/>
    <x v="0"/>
    <x v="98"/>
    <n v="63"/>
    <n v="309"/>
    <d v="2021-08-06T00:00:00"/>
    <d v="2022-08-05T00:00:00"/>
    <m/>
    <m/>
    <m/>
    <m/>
    <s v="Yes"/>
    <n v="2"/>
    <n v="9"/>
    <m/>
    <m/>
    <m/>
    <n v="4"/>
    <m/>
    <m/>
    <m/>
    <m/>
    <m/>
    <m/>
    <m/>
    <m/>
    <m/>
    <m/>
    <m/>
    <m/>
    <m/>
    <m/>
    <m/>
    <n v="4"/>
    <m/>
    <m/>
    <m/>
    <n v="20"/>
    <m/>
    <m/>
    <m/>
    <m/>
    <m/>
    <m/>
    <m/>
    <x v="1"/>
    <x v="1"/>
    <n v="1"/>
    <m/>
    <m/>
    <m/>
    <m/>
    <m/>
    <n v="7"/>
    <m/>
    <m/>
    <n v="7"/>
    <m/>
    <n v="1"/>
    <n v="1"/>
    <n v="104"/>
    <n v="148"/>
    <m/>
    <m/>
    <m/>
    <m/>
    <m/>
    <m/>
    <m/>
    <m/>
    <m/>
    <m/>
    <m/>
    <m/>
    <m/>
    <m/>
    <m/>
    <s v="no test"/>
    <s v="no test"/>
    <s v="No Test"/>
    <n v="0"/>
    <n v="4"/>
    <n v="0"/>
    <n v="0"/>
    <n v="0"/>
    <n v="0"/>
    <n v="0"/>
    <n v="1"/>
    <n v="1"/>
    <n v="1"/>
    <n v="309"/>
    <n v="0"/>
    <n v="0"/>
    <n v="1"/>
    <n v="309"/>
    <n v="0.61799999999999999"/>
    <n v="0"/>
    <n v="0"/>
    <n v="0.38200000000000001"/>
    <n v="1"/>
    <n v="20"/>
    <n v="1"/>
    <n v="309"/>
    <n v="0"/>
    <n v="0"/>
    <n v="0"/>
    <n v="15"/>
    <n v="0"/>
    <n v="0"/>
    <n v="0"/>
    <n v="309"/>
    <n v="309"/>
    <n v="148"/>
    <n v="309"/>
    <n v="309"/>
    <n v="1"/>
    <n v="0"/>
    <n v="1"/>
    <n v="1"/>
    <n v="1"/>
    <n v="7"/>
    <n v="63"/>
    <n v="0"/>
    <n v="309"/>
    <s v="No"/>
    <s v=""/>
    <n v="0"/>
    <n v="0"/>
    <n v="0"/>
    <s v="Yes"/>
    <s v="KMSS-MYT"/>
    <x v="0"/>
    <x v="0"/>
    <x v="0"/>
    <n v="25.410569299999999"/>
    <n v="97.359320179999997"/>
    <s v="MMR001CMP024"/>
    <x v="1"/>
    <m/>
    <n v="61"/>
    <n v="290"/>
  </r>
  <r>
    <x v="0"/>
    <x v="4"/>
    <x v="4"/>
    <s v="UNICEF"/>
    <x v="0"/>
    <x v="1"/>
    <x v="0"/>
    <x v="99"/>
    <n v="50"/>
    <n v="218"/>
    <d v="2021-08-06T00:00:00"/>
    <d v="2022-08-05T00:00:00"/>
    <m/>
    <n v="1"/>
    <m/>
    <m/>
    <s v="Yes"/>
    <n v="3"/>
    <n v="3"/>
    <n v="1"/>
    <m/>
    <m/>
    <m/>
    <m/>
    <m/>
    <m/>
    <m/>
    <m/>
    <m/>
    <m/>
    <m/>
    <m/>
    <m/>
    <m/>
    <m/>
    <m/>
    <m/>
    <m/>
    <n v="4"/>
    <m/>
    <m/>
    <m/>
    <n v="16"/>
    <m/>
    <m/>
    <m/>
    <m/>
    <m/>
    <m/>
    <m/>
    <x v="1"/>
    <x v="1"/>
    <m/>
    <m/>
    <m/>
    <m/>
    <m/>
    <m/>
    <n v="7"/>
    <m/>
    <m/>
    <n v="4"/>
    <m/>
    <m/>
    <m/>
    <n v="124"/>
    <n v="198"/>
    <m/>
    <m/>
    <m/>
    <m/>
    <m/>
    <m/>
    <m/>
    <m/>
    <m/>
    <m/>
    <m/>
    <m/>
    <m/>
    <m/>
    <m/>
    <s v="no test"/>
    <s v="no test"/>
    <s v="No Test"/>
    <n v="1"/>
    <n v="0"/>
    <n v="0"/>
    <n v="0"/>
    <n v="0"/>
    <n v="0"/>
    <n v="0"/>
    <n v="1"/>
    <n v="1"/>
    <n v="1"/>
    <n v="218"/>
    <n v="0"/>
    <n v="0"/>
    <n v="1"/>
    <n v="218"/>
    <n v="0.436"/>
    <n v="0"/>
    <n v="0"/>
    <n v="0.56400000000000006"/>
    <n v="1"/>
    <n v="16"/>
    <n v="1"/>
    <n v="218"/>
    <n v="0"/>
    <n v="0"/>
    <n v="0"/>
    <n v="11"/>
    <n v="0"/>
    <n v="0"/>
    <n v="0"/>
    <n v="0"/>
    <n v="218"/>
    <n v="198"/>
    <n v="218"/>
    <n v="218"/>
    <n v="1"/>
    <n v="0"/>
    <n v="0"/>
    <n v="1"/>
    <n v="1"/>
    <n v="7"/>
    <n v="50"/>
    <n v="0"/>
    <n v="218"/>
    <s v="No"/>
    <s v=""/>
    <n v="0"/>
    <n v="0"/>
    <n v="0"/>
    <s v="Yes"/>
    <s v="KMSS-MYT"/>
    <x v="0"/>
    <x v="0"/>
    <x v="0"/>
    <n v="25.613894999999999"/>
    <n v="96.341352999999998"/>
    <s v="MMR001CMP103"/>
    <x v="1"/>
    <m/>
    <n v="47"/>
    <n v="226"/>
  </r>
  <r>
    <x v="0"/>
    <x v="7"/>
    <x v="7"/>
    <s v="UNICEF"/>
    <x v="0"/>
    <x v="8"/>
    <x v="0"/>
    <x v="100"/>
    <n v="10"/>
    <n v="41"/>
    <d v="2020-10-01T00:00:00"/>
    <d v="2022-04-30T00:00:00"/>
    <m/>
    <n v="1"/>
    <m/>
    <m/>
    <s v="Yes"/>
    <m/>
    <n v="5"/>
    <n v="1"/>
    <m/>
    <m/>
    <m/>
    <m/>
    <m/>
    <m/>
    <m/>
    <m/>
    <m/>
    <m/>
    <m/>
    <m/>
    <m/>
    <n v="3"/>
    <m/>
    <m/>
    <m/>
    <m/>
    <m/>
    <m/>
    <m/>
    <m/>
    <n v="3"/>
    <m/>
    <m/>
    <m/>
    <m/>
    <m/>
    <m/>
    <n v="3"/>
    <x v="1"/>
    <x v="1"/>
    <m/>
    <m/>
    <m/>
    <m/>
    <m/>
    <m/>
    <n v="7"/>
    <m/>
    <m/>
    <n v="4"/>
    <m/>
    <m/>
    <n v="1"/>
    <n v="124"/>
    <n v="198"/>
    <m/>
    <m/>
    <m/>
    <m/>
    <m/>
    <m/>
    <m/>
    <m/>
    <m/>
    <m/>
    <m/>
    <m/>
    <m/>
    <m/>
    <m/>
    <s v="no test"/>
    <s v="no test"/>
    <s v="No Test"/>
    <n v="1"/>
    <n v="0"/>
    <n v="0"/>
    <n v="0"/>
    <n v="0"/>
    <n v="0"/>
    <n v="0"/>
    <n v="1"/>
    <n v="1"/>
    <n v="1"/>
    <n v="41"/>
    <n v="0"/>
    <n v="0"/>
    <n v="1"/>
    <n v="41"/>
    <n v="8.2000000000000003E-2"/>
    <n v="0"/>
    <n v="0"/>
    <n v="0.91800000000000004"/>
    <n v="1"/>
    <n v="3"/>
    <n v="1"/>
    <n v="41"/>
    <n v="0"/>
    <n v="0"/>
    <n v="0"/>
    <n v="2"/>
    <n v="0"/>
    <n v="0"/>
    <n v="0"/>
    <n v="41"/>
    <n v="41"/>
    <n v="41"/>
    <n v="41"/>
    <n v="41"/>
    <n v="1"/>
    <n v="0"/>
    <n v="1"/>
    <n v="1"/>
    <n v="1"/>
    <n v="7"/>
    <n v="10"/>
    <n v="0"/>
    <n v="41"/>
    <s v="No"/>
    <s v=""/>
    <n v="0"/>
    <n v="0"/>
    <n v="0"/>
    <s v="Yes"/>
    <s v="KBC-MYT"/>
    <x v="0"/>
    <x v="0"/>
    <x v="0"/>
    <n v="25.30442"/>
    <n v="96.948740000000001"/>
    <s v="MMR001CMP079"/>
    <x v="1"/>
    <m/>
    <n v="10"/>
    <n v="48"/>
  </r>
  <r>
    <x v="0"/>
    <x v="0"/>
    <x v="0"/>
    <m/>
    <x v="0"/>
    <x v="3"/>
    <x v="0"/>
    <x v="101"/>
    <n v="12"/>
    <n v="59"/>
    <m/>
    <m/>
    <m/>
    <m/>
    <m/>
    <m/>
    <m/>
    <m/>
    <m/>
    <m/>
    <m/>
    <m/>
    <m/>
    <m/>
    <m/>
    <m/>
    <m/>
    <m/>
    <m/>
    <m/>
    <m/>
    <m/>
    <m/>
    <m/>
    <m/>
    <m/>
    <m/>
    <m/>
    <m/>
    <m/>
    <m/>
    <m/>
    <m/>
    <m/>
    <m/>
    <m/>
    <m/>
    <m/>
    <m/>
    <m/>
    <x v="0"/>
    <x v="0"/>
    <m/>
    <m/>
    <m/>
    <m/>
    <m/>
    <m/>
    <n v="7"/>
    <m/>
    <m/>
    <n v="7"/>
    <m/>
    <m/>
    <m/>
    <n v="104"/>
    <n v="148"/>
    <m/>
    <m/>
    <m/>
    <m/>
    <m/>
    <m/>
    <m/>
    <m/>
    <m/>
    <m/>
    <m/>
    <m/>
    <m/>
    <m/>
    <m/>
    <s v="no test"/>
    <s v="no test"/>
    <s v="No Test"/>
    <n v="0"/>
    <n v="0"/>
    <n v="0"/>
    <n v="0"/>
    <n v="0"/>
    <n v="0"/>
    <n v="0"/>
    <n v="0"/>
    <n v="0"/>
    <n v="0"/>
    <n v="0"/>
    <n v="0"/>
    <n v="0"/>
    <n v="0"/>
    <n v="0"/>
    <n v="0"/>
    <n v="1"/>
    <n v="59"/>
    <n v="1"/>
    <n v="1"/>
    <n v="0"/>
    <n v="0"/>
    <n v="0"/>
    <n v="0"/>
    <n v="0"/>
    <n v="0"/>
    <n v="3"/>
    <n v="3"/>
    <n v="1"/>
    <n v="0"/>
    <n v="0"/>
    <n v="59"/>
    <n v="59"/>
    <n v="59"/>
    <n v="59"/>
    <n v="1"/>
    <n v="0"/>
    <n v="0"/>
    <n v="1"/>
    <n v="1"/>
    <n v="7"/>
    <n v="12"/>
    <n v="0"/>
    <n v="59"/>
    <s v="No"/>
    <s v=""/>
    <n v="0"/>
    <n v="0"/>
    <n v="0"/>
    <n v="0"/>
    <s v="Uncovered  "/>
    <x v="0"/>
    <x v="3"/>
    <x v="0"/>
    <n v="0"/>
    <n v="0"/>
    <s v="MMR001CMP295"/>
    <x v="0"/>
    <m/>
    <n v="12"/>
    <n v="59"/>
  </r>
  <r>
    <x v="0"/>
    <x v="0"/>
    <x v="0"/>
    <m/>
    <x v="0"/>
    <x v="3"/>
    <x v="0"/>
    <x v="102"/>
    <n v="12"/>
    <n v="80"/>
    <m/>
    <m/>
    <m/>
    <m/>
    <m/>
    <m/>
    <m/>
    <m/>
    <m/>
    <m/>
    <m/>
    <m/>
    <m/>
    <m/>
    <m/>
    <m/>
    <m/>
    <m/>
    <m/>
    <m/>
    <m/>
    <m/>
    <m/>
    <m/>
    <m/>
    <m/>
    <m/>
    <m/>
    <m/>
    <m/>
    <m/>
    <m/>
    <m/>
    <m/>
    <m/>
    <m/>
    <m/>
    <m/>
    <m/>
    <m/>
    <x v="0"/>
    <x v="0"/>
    <m/>
    <m/>
    <m/>
    <m/>
    <m/>
    <m/>
    <n v="7"/>
    <m/>
    <m/>
    <n v="4"/>
    <m/>
    <m/>
    <m/>
    <n v="124"/>
    <n v="198"/>
    <m/>
    <m/>
    <m/>
    <m/>
    <m/>
    <m/>
    <m/>
    <m/>
    <m/>
    <m/>
    <m/>
    <m/>
    <m/>
    <m/>
    <m/>
    <s v="no test"/>
    <s v="no test"/>
    <s v="No Test"/>
    <n v="0"/>
    <n v="0"/>
    <n v="0"/>
    <n v="0"/>
    <n v="0"/>
    <n v="0"/>
    <n v="0"/>
    <n v="0"/>
    <n v="0"/>
    <n v="0"/>
    <n v="0"/>
    <n v="0"/>
    <n v="0"/>
    <n v="0"/>
    <n v="0"/>
    <n v="0"/>
    <n v="1"/>
    <n v="80"/>
    <n v="1"/>
    <n v="1"/>
    <n v="0"/>
    <n v="0"/>
    <n v="0"/>
    <n v="0"/>
    <n v="0"/>
    <n v="0"/>
    <n v="4"/>
    <n v="4"/>
    <n v="1"/>
    <n v="0"/>
    <n v="0"/>
    <n v="80"/>
    <n v="80"/>
    <n v="80"/>
    <n v="80"/>
    <n v="1"/>
    <n v="0"/>
    <n v="0"/>
    <n v="1"/>
    <n v="1"/>
    <n v="7"/>
    <n v="12"/>
    <n v="0"/>
    <n v="80"/>
    <s v="No"/>
    <s v=""/>
    <n v="0"/>
    <n v="0"/>
    <n v="0"/>
    <s v="Yes"/>
    <s v="Shalom"/>
    <x v="0"/>
    <x v="3"/>
    <x v="0"/>
    <n v="25.221299999999999"/>
    <n v="97.255300000000005"/>
    <s v="MMR001CMP286"/>
    <x v="0"/>
    <m/>
    <n v="12"/>
    <n v="80"/>
  </r>
  <r>
    <x v="0"/>
    <x v="2"/>
    <x v="2"/>
    <s v="DFID"/>
    <x v="0"/>
    <x v="3"/>
    <x v="0"/>
    <x v="103"/>
    <n v="19"/>
    <n v="85"/>
    <d v="2021-01-01T00:00:00"/>
    <d v="2022-03-31T00:00:00"/>
    <n v="13"/>
    <n v="1"/>
    <m/>
    <m/>
    <s v="Yes"/>
    <m/>
    <n v="5"/>
    <n v="1"/>
    <m/>
    <m/>
    <n v="1"/>
    <m/>
    <m/>
    <m/>
    <m/>
    <m/>
    <m/>
    <m/>
    <m/>
    <m/>
    <m/>
    <m/>
    <m/>
    <m/>
    <m/>
    <m/>
    <n v="2"/>
    <m/>
    <m/>
    <s v="နွေရာသီတွင် ရေအခက်အခဲဖြစ်"/>
    <n v="4"/>
    <m/>
    <m/>
    <m/>
    <m/>
    <n v="4"/>
    <m/>
    <m/>
    <x v="1"/>
    <x v="1"/>
    <m/>
    <m/>
    <m/>
    <m/>
    <m/>
    <m/>
    <n v="8"/>
    <m/>
    <m/>
    <n v="3"/>
    <m/>
    <m/>
    <n v="1"/>
    <n v="91"/>
    <n v="124"/>
    <m/>
    <m/>
    <n v="0.7"/>
    <m/>
    <m/>
    <n v="0.7"/>
    <n v="4"/>
    <n v="0.9"/>
    <m/>
    <m/>
    <m/>
    <m/>
    <m/>
    <m/>
    <m/>
    <s v="no test"/>
    <s v="no test"/>
    <s v="No Test"/>
    <n v="1"/>
    <n v="1"/>
    <n v="0"/>
    <n v="0"/>
    <n v="0"/>
    <n v="0"/>
    <n v="0"/>
    <n v="1"/>
    <n v="1"/>
    <n v="1"/>
    <n v="85"/>
    <n v="0"/>
    <n v="0"/>
    <n v="1"/>
    <n v="85"/>
    <n v="0.17"/>
    <n v="0"/>
    <n v="0"/>
    <n v="0.83"/>
    <n v="1"/>
    <n v="4"/>
    <n v="0.94117647058823528"/>
    <n v="80"/>
    <n v="80"/>
    <n v="0"/>
    <n v="0"/>
    <n v="4"/>
    <n v="0"/>
    <n v="5.8823529411764719E-2"/>
    <n v="0"/>
    <n v="85"/>
    <n v="85"/>
    <n v="85"/>
    <n v="85"/>
    <n v="85"/>
    <n v="1"/>
    <n v="0"/>
    <n v="1"/>
    <n v="1"/>
    <n v="1"/>
    <n v="8"/>
    <n v="19"/>
    <n v="0"/>
    <n v="85"/>
    <s v="Yes"/>
    <n v="4.7058823529411764E-2"/>
    <n v="0"/>
    <n v="0"/>
    <n v="0"/>
    <s v="Yes"/>
    <s v="Shalom"/>
    <x v="0"/>
    <x v="0"/>
    <x v="0"/>
    <n v="25.351965"/>
    <n v="97.345039"/>
    <s v="MMR001CMP033"/>
    <x v="1"/>
    <m/>
    <n v="19"/>
    <n v="85"/>
  </r>
  <r>
    <x v="0"/>
    <x v="7"/>
    <x v="7"/>
    <s v="UNICEF"/>
    <x v="0"/>
    <x v="10"/>
    <x v="0"/>
    <x v="104"/>
    <n v="22"/>
    <n v="113"/>
    <d v="2020-10-01T00:00:00"/>
    <d v="2022-04-30T00:00:00"/>
    <m/>
    <n v="1"/>
    <m/>
    <m/>
    <s v="Yes"/>
    <m/>
    <n v="1"/>
    <n v="0"/>
    <m/>
    <m/>
    <n v="3"/>
    <m/>
    <m/>
    <m/>
    <m/>
    <m/>
    <m/>
    <m/>
    <m/>
    <m/>
    <m/>
    <m/>
    <m/>
    <m/>
    <m/>
    <m/>
    <m/>
    <m/>
    <m/>
    <m/>
    <n v="5"/>
    <m/>
    <m/>
    <m/>
    <m/>
    <m/>
    <m/>
    <m/>
    <x v="1"/>
    <x v="3"/>
    <m/>
    <m/>
    <m/>
    <m/>
    <m/>
    <m/>
    <n v="3"/>
    <m/>
    <m/>
    <n v="2"/>
    <m/>
    <n v="1"/>
    <m/>
    <n v="88"/>
    <n v="100"/>
    <m/>
    <m/>
    <m/>
    <m/>
    <m/>
    <m/>
    <m/>
    <m/>
    <m/>
    <m/>
    <m/>
    <m/>
    <m/>
    <m/>
    <m/>
    <s v="no test"/>
    <s v="no test"/>
    <s v="No Test"/>
    <n v="0"/>
    <n v="3"/>
    <n v="0"/>
    <n v="0"/>
    <n v="0"/>
    <n v="0"/>
    <n v="0"/>
    <n v="1"/>
    <n v="1"/>
    <n v="1"/>
    <n v="113"/>
    <n v="0"/>
    <n v="0"/>
    <n v="1"/>
    <n v="113"/>
    <n v="0.22600000000000001"/>
    <n v="0"/>
    <n v="0"/>
    <n v="0.77400000000000002"/>
    <n v="1"/>
    <n v="5"/>
    <n v="0.88495575221238942"/>
    <n v="100"/>
    <n v="0"/>
    <n v="0"/>
    <n v="0"/>
    <n v="6"/>
    <n v="1"/>
    <n v="0.11504424778761058"/>
    <n v="0"/>
    <n v="113"/>
    <n v="113"/>
    <n v="100"/>
    <n v="113"/>
    <n v="113"/>
    <n v="1"/>
    <n v="0"/>
    <n v="1"/>
    <n v="1"/>
    <n v="1"/>
    <n v="3"/>
    <n v="22"/>
    <n v="0"/>
    <n v="113"/>
    <s v="No"/>
    <s v=""/>
    <n v="0"/>
    <n v="0"/>
    <n v="0"/>
    <s v="Yes"/>
    <s v="KBC-MYT"/>
    <x v="0"/>
    <x v="0"/>
    <x v="0"/>
    <n v="24.998349999999999"/>
    <n v="96.364949999999993"/>
    <s v="MMR001CMP152"/>
    <x v="1"/>
    <m/>
    <n v="26"/>
    <n v="127"/>
  </r>
  <r>
    <x v="0"/>
    <x v="7"/>
    <x v="7"/>
    <s v="UNICEF"/>
    <x v="0"/>
    <x v="9"/>
    <x v="0"/>
    <x v="105"/>
    <n v="127"/>
    <n v="547"/>
    <d v="2020-10-01T00:00:00"/>
    <d v="2022-04-30T00:00:00"/>
    <m/>
    <n v="2"/>
    <m/>
    <m/>
    <s v="Yes"/>
    <m/>
    <m/>
    <n v="0"/>
    <m/>
    <m/>
    <n v="0"/>
    <m/>
    <m/>
    <m/>
    <m/>
    <m/>
    <m/>
    <m/>
    <m/>
    <m/>
    <m/>
    <n v="0"/>
    <m/>
    <m/>
    <m/>
    <m/>
    <m/>
    <m/>
    <m/>
    <m/>
    <n v="90"/>
    <m/>
    <m/>
    <m/>
    <m/>
    <m/>
    <m/>
    <n v="90"/>
    <x v="1"/>
    <x v="1"/>
    <m/>
    <m/>
    <m/>
    <m/>
    <m/>
    <m/>
    <n v="3"/>
    <m/>
    <m/>
    <n v="2"/>
    <m/>
    <n v="1"/>
    <n v="1"/>
    <n v="10"/>
    <n v="18"/>
    <m/>
    <m/>
    <m/>
    <m/>
    <m/>
    <m/>
    <m/>
    <m/>
    <m/>
    <m/>
    <m/>
    <m/>
    <m/>
    <m/>
    <m/>
    <s v="no test"/>
    <s v="no test"/>
    <s v="No Test"/>
    <n v="0"/>
    <n v="0"/>
    <n v="0"/>
    <n v="0"/>
    <n v="0"/>
    <n v="0"/>
    <n v="0"/>
    <n v="0"/>
    <n v="0"/>
    <n v="0"/>
    <n v="0"/>
    <n v="0"/>
    <n v="0"/>
    <n v="0"/>
    <n v="0"/>
    <n v="0"/>
    <n v="1"/>
    <n v="547"/>
    <n v="1"/>
    <n v="1"/>
    <n v="90"/>
    <n v="1"/>
    <n v="547"/>
    <n v="0"/>
    <n v="0"/>
    <n v="0"/>
    <n v="27"/>
    <n v="0"/>
    <n v="0"/>
    <n v="0"/>
    <n v="547"/>
    <n v="50"/>
    <n v="18"/>
    <n v="50"/>
    <n v="547"/>
    <n v="1"/>
    <n v="0"/>
    <n v="1"/>
    <n v="7.874015748031496E-2"/>
    <n v="0.14173228346456693"/>
    <n v="3"/>
    <n v="60"/>
    <n v="0"/>
    <n v="300"/>
    <s v="No"/>
    <s v=""/>
    <n v="0"/>
    <n v="0"/>
    <n v="0"/>
    <s v="Yes"/>
    <s v="KBC-MYT"/>
    <x v="0"/>
    <x v="0"/>
    <x v="1"/>
    <n v="26.569633"/>
    <n v="97.745480999999998"/>
    <s v="MMR001CMP238"/>
    <x v="1"/>
    <m/>
    <n v="123"/>
    <n v="646"/>
  </r>
  <r>
    <x v="0"/>
    <x v="6"/>
    <x v="6"/>
    <s v="MHF-Metta"/>
    <x v="0"/>
    <x v="2"/>
    <x v="0"/>
    <x v="106"/>
    <n v="332"/>
    <n v="1675"/>
    <d v="2020-02-13T00:00:00"/>
    <d v="2021-02-12T00:00:00"/>
    <m/>
    <m/>
    <m/>
    <m/>
    <s v="Yes"/>
    <m/>
    <m/>
    <m/>
    <m/>
    <m/>
    <m/>
    <m/>
    <m/>
    <m/>
    <m/>
    <m/>
    <m/>
    <m/>
    <n v="6"/>
    <m/>
    <m/>
    <n v="6"/>
    <m/>
    <m/>
    <m/>
    <m/>
    <n v="4"/>
    <n v="2"/>
    <m/>
    <m/>
    <n v="181"/>
    <m/>
    <m/>
    <m/>
    <m/>
    <m/>
    <m/>
    <n v="71"/>
    <x v="2"/>
    <x v="1"/>
    <n v="2"/>
    <m/>
    <n v="16"/>
    <n v="2"/>
    <m/>
    <m/>
    <n v="8"/>
    <m/>
    <n v="30"/>
    <n v="3"/>
    <m/>
    <m/>
    <n v="6"/>
    <n v="91"/>
    <n v="124"/>
    <m/>
    <m/>
    <m/>
    <m/>
    <m/>
    <m/>
    <m/>
    <m/>
    <m/>
    <m/>
    <m/>
    <m/>
    <m/>
    <m/>
    <m/>
    <s v="no test"/>
    <s v="no test"/>
    <s v="No Test"/>
    <n v="0"/>
    <n v="0"/>
    <n v="0"/>
    <n v="0"/>
    <n v="0"/>
    <n v="1000"/>
    <n v="0"/>
    <n v="0"/>
    <n v="0"/>
    <n v="0"/>
    <n v="0"/>
    <n v="0.89552238805970152"/>
    <n v="1500"/>
    <n v="0.89552238805970152"/>
    <n v="1500"/>
    <n v="3"/>
    <n v="0.10447761194029848"/>
    <n v="174.99999999999994"/>
    <n v="0"/>
    <n v="3"/>
    <n v="181"/>
    <n v="1"/>
    <n v="1675"/>
    <n v="0"/>
    <n v="0"/>
    <n v="100"/>
    <n v="84"/>
    <n v="0"/>
    <n v="0"/>
    <n v="0"/>
    <n v="1675"/>
    <n v="455"/>
    <n v="124"/>
    <n v="455"/>
    <n v="1675"/>
    <n v="1"/>
    <n v="0"/>
    <n v="1"/>
    <n v="0.2740963855421687"/>
    <n v="0.37349397590361444"/>
    <n v="8"/>
    <n v="160"/>
    <n v="0"/>
    <n v="800"/>
    <s v="No"/>
    <s v=""/>
    <n v="0"/>
    <n v="1000"/>
    <n v="100"/>
    <s v="Yes"/>
    <s v="KMSS-BMO"/>
    <x v="0"/>
    <x v="0"/>
    <x v="1"/>
    <n v="24.378167000000001"/>
    <n v="97.669366999999994"/>
    <s v="MMR001CMP131"/>
    <x v="1"/>
    <m/>
    <n v="349"/>
    <n v="1570"/>
  </r>
  <r>
    <x v="0"/>
    <x v="8"/>
    <x v="7"/>
    <s v="UNICEF,MHF"/>
    <x v="0"/>
    <x v="7"/>
    <x v="0"/>
    <x v="107"/>
    <n v="68"/>
    <n v="299"/>
    <s v="10/1/2020, 8-4-21"/>
    <s v="4/30/2022, 8-3-22"/>
    <m/>
    <n v="2"/>
    <m/>
    <m/>
    <s v="No"/>
    <m/>
    <n v="4"/>
    <n v="1"/>
    <m/>
    <m/>
    <n v="2"/>
    <m/>
    <m/>
    <m/>
    <m/>
    <m/>
    <m/>
    <m/>
    <m/>
    <m/>
    <m/>
    <n v="3"/>
    <m/>
    <m/>
    <m/>
    <m/>
    <m/>
    <m/>
    <m/>
    <m/>
    <n v="15"/>
    <m/>
    <m/>
    <m/>
    <m/>
    <m/>
    <m/>
    <n v="15"/>
    <x v="1"/>
    <x v="1"/>
    <m/>
    <m/>
    <m/>
    <m/>
    <m/>
    <m/>
    <n v="1"/>
    <m/>
    <m/>
    <n v="1"/>
    <m/>
    <m/>
    <n v="2"/>
    <n v="6"/>
    <n v="5"/>
    <m/>
    <m/>
    <m/>
    <m/>
    <m/>
    <m/>
    <n v="299"/>
    <n v="0.75"/>
    <m/>
    <m/>
    <m/>
    <n v="0"/>
    <n v="0"/>
    <m/>
    <m/>
    <s v="no test"/>
    <s v="no test"/>
    <s v="No Test"/>
    <n v="1"/>
    <n v="2"/>
    <n v="0"/>
    <n v="0"/>
    <n v="0"/>
    <n v="0"/>
    <n v="0"/>
    <n v="1"/>
    <n v="1"/>
    <n v="1"/>
    <n v="299"/>
    <n v="0"/>
    <n v="0"/>
    <n v="1"/>
    <n v="299"/>
    <n v="0.59799999999999998"/>
    <n v="0"/>
    <n v="0"/>
    <n v="0.40200000000000002"/>
    <n v="1"/>
    <n v="15"/>
    <n v="1"/>
    <n v="299"/>
    <n v="0"/>
    <n v="0"/>
    <n v="0"/>
    <n v="15"/>
    <n v="0"/>
    <n v="0"/>
    <n v="0"/>
    <n v="299"/>
    <n v="30"/>
    <n v="5"/>
    <n v="30"/>
    <n v="299"/>
    <n v="1"/>
    <n v="0"/>
    <n v="1"/>
    <n v="0.35294117647058826"/>
    <n v="7.3529411764705885E-2"/>
    <n v="1"/>
    <n v="20"/>
    <n v="0"/>
    <n v="100"/>
    <s v="No"/>
    <n v="1"/>
    <n v="0"/>
    <n v="0"/>
    <n v="0"/>
    <s v="Yes"/>
    <s v="KBC-MYT"/>
    <x v="0"/>
    <x v="0"/>
    <x v="0"/>
    <n v="25.422194000000001"/>
    <n v="97.394547000000003"/>
    <s v="MMR001CMP002"/>
    <x v="1"/>
    <m/>
    <n v="72"/>
    <n v="323"/>
  </r>
  <r>
    <x v="0"/>
    <x v="1"/>
    <x v="1"/>
    <s v="ECHO"/>
    <x v="0"/>
    <x v="2"/>
    <x v="0"/>
    <x v="108"/>
    <n v="47"/>
    <n v="299"/>
    <d v="2022-04-01T00:00:00"/>
    <d v="2022-11-30T00:00:00"/>
    <m/>
    <m/>
    <m/>
    <m/>
    <s v="Yes"/>
    <n v="3"/>
    <n v="9"/>
    <n v="3"/>
    <m/>
    <m/>
    <n v="3"/>
    <m/>
    <m/>
    <m/>
    <m/>
    <m/>
    <m/>
    <m/>
    <m/>
    <m/>
    <m/>
    <m/>
    <m/>
    <m/>
    <m/>
    <m/>
    <n v="7"/>
    <m/>
    <m/>
    <m/>
    <n v="13"/>
    <m/>
    <m/>
    <m/>
    <m/>
    <m/>
    <m/>
    <m/>
    <x v="1"/>
    <x v="1"/>
    <m/>
    <m/>
    <m/>
    <m/>
    <n v="3"/>
    <m/>
    <n v="6"/>
    <m/>
    <m/>
    <n v="3"/>
    <m/>
    <m/>
    <n v="1"/>
    <m/>
    <m/>
    <m/>
    <m/>
    <m/>
    <m/>
    <n v="1"/>
    <n v="1"/>
    <n v="9"/>
    <m/>
    <m/>
    <m/>
    <m/>
    <m/>
    <m/>
    <m/>
    <m/>
    <s v="no test"/>
    <s v="no test"/>
    <s v="No Test"/>
    <n v="3"/>
    <n v="3"/>
    <n v="0"/>
    <n v="0"/>
    <n v="0"/>
    <n v="0"/>
    <n v="0"/>
    <n v="1"/>
    <n v="1"/>
    <n v="1"/>
    <n v="299"/>
    <n v="0"/>
    <n v="0"/>
    <n v="1"/>
    <n v="299"/>
    <n v="0.59799999999999998"/>
    <n v="0"/>
    <n v="0"/>
    <n v="0.40200000000000002"/>
    <n v="1"/>
    <n v="13"/>
    <n v="0.87959866220735783"/>
    <n v="263"/>
    <n v="0"/>
    <n v="0"/>
    <n v="0"/>
    <n v="15"/>
    <n v="2"/>
    <n v="0.12040133779264217"/>
    <n v="0"/>
    <n v="299"/>
    <n v="0"/>
    <n v="0"/>
    <n v="0"/>
    <n v="299"/>
    <n v="1"/>
    <n v="0"/>
    <n v="1"/>
    <n v="0"/>
    <n v="0"/>
    <n v="6"/>
    <n v="47"/>
    <n v="0"/>
    <n v="299"/>
    <s v="No"/>
    <n v="3.0100334448160536E-2"/>
    <n v="0"/>
    <n v="0"/>
    <n v="0"/>
    <s v="Yes"/>
    <s v="KBC-BMO"/>
    <x v="0"/>
    <x v="0"/>
    <x v="0"/>
    <n v="24.205417000000001"/>
    <n v="97.724483000000006"/>
    <s v="MMR001CMP072"/>
    <x v="1"/>
    <m/>
    <n v="47"/>
    <n v="291"/>
  </r>
  <r>
    <x v="0"/>
    <x v="4"/>
    <x v="4"/>
    <s v="UNICEF"/>
    <x v="0"/>
    <x v="7"/>
    <x v="0"/>
    <x v="109"/>
    <n v="141"/>
    <n v="895"/>
    <d v="2021-08-06T00:00:00"/>
    <d v="2022-08-05T00:00:00"/>
    <m/>
    <n v="2"/>
    <m/>
    <m/>
    <s v="Yes"/>
    <n v="1"/>
    <n v="4"/>
    <n v="4"/>
    <m/>
    <m/>
    <n v="2"/>
    <m/>
    <m/>
    <m/>
    <m/>
    <m/>
    <m/>
    <m/>
    <m/>
    <m/>
    <m/>
    <m/>
    <m/>
    <m/>
    <m/>
    <m/>
    <n v="12"/>
    <m/>
    <m/>
    <m/>
    <n v="33"/>
    <m/>
    <m/>
    <m/>
    <m/>
    <m/>
    <m/>
    <n v="8"/>
    <x v="1"/>
    <x v="1"/>
    <n v="1"/>
    <m/>
    <m/>
    <m/>
    <m/>
    <m/>
    <n v="3"/>
    <m/>
    <m/>
    <n v="2"/>
    <m/>
    <n v="1"/>
    <n v="2"/>
    <n v="88"/>
    <n v="100"/>
    <m/>
    <m/>
    <m/>
    <m/>
    <m/>
    <m/>
    <m/>
    <m/>
    <m/>
    <m/>
    <m/>
    <m/>
    <m/>
    <m/>
    <m/>
    <s v="no test"/>
    <s v="no test"/>
    <s v="No Test"/>
    <n v="4"/>
    <n v="2"/>
    <n v="0"/>
    <n v="0"/>
    <n v="0"/>
    <n v="0"/>
    <n v="0"/>
    <n v="1"/>
    <n v="1"/>
    <n v="1"/>
    <n v="895"/>
    <n v="0"/>
    <n v="0"/>
    <n v="1"/>
    <n v="895"/>
    <n v="1.79"/>
    <n v="0"/>
    <n v="0"/>
    <n v="0.20999999999999996"/>
    <n v="2"/>
    <n v="33"/>
    <n v="0.75977653631284914"/>
    <n v="680"/>
    <n v="0"/>
    <n v="0"/>
    <n v="0"/>
    <n v="45"/>
    <n v="12"/>
    <n v="0.24022346368715086"/>
    <n v="0"/>
    <n v="895"/>
    <n v="440"/>
    <n v="100"/>
    <n v="440"/>
    <n v="895"/>
    <n v="1"/>
    <n v="0"/>
    <n v="1"/>
    <n v="1"/>
    <n v="0.70921985815602839"/>
    <n v="3"/>
    <n v="60"/>
    <n v="0"/>
    <n v="300"/>
    <s v="No"/>
    <s v=""/>
    <n v="0"/>
    <n v="0"/>
    <n v="0"/>
    <s v="Yes"/>
    <s v="KMSS-MYT"/>
    <x v="0"/>
    <x v="0"/>
    <x v="0"/>
    <n v="25.493819999999999"/>
    <n v="97.4345"/>
    <s v="MMR001CMP162"/>
    <x v="1"/>
    <m/>
    <n v="152"/>
    <n v="941"/>
  </r>
  <r>
    <x v="0"/>
    <x v="4"/>
    <x v="4"/>
    <s v="UNICEF"/>
    <x v="0"/>
    <x v="7"/>
    <x v="0"/>
    <x v="110"/>
    <n v="247"/>
    <n v="1365"/>
    <d v="2021-08-06T00:00:00"/>
    <d v="2022-08-05T00:00:00"/>
    <m/>
    <n v="2"/>
    <m/>
    <m/>
    <s v="Yes"/>
    <n v="2"/>
    <n v="4"/>
    <n v="4"/>
    <m/>
    <m/>
    <m/>
    <m/>
    <m/>
    <m/>
    <m/>
    <m/>
    <m/>
    <m/>
    <m/>
    <m/>
    <m/>
    <m/>
    <m/>
    <m/>
    <m/>
    <m/>
    <m/>
    <m/>
    <m/>
    <m/>
    <n v="66"/>
    <m/>
    <m/>
    <m/>
    <m/>
    <m/>
    <m/>
    <m/>
    <x v="1"/>
    <x v="1"/>
    <n v="1"/>
    <m/>
    <m/>
    <m/>
    <m/>
    <m/>
    <n v="3"/>
    <m/>
    <n v="7"/>
    <n v="2"/>
    <m/>
    <m/>
    <m/>
    <n v="10"/>
    <n v="18"/>
    <m/>
    <m/>
    <m/>
    <m/>
    <m/>
    <m/>
    <m/>
    <m/>
    <m/>
    <m/>
    <m/>
    <m/>
    <m/>
    <m/>
    <m/>
    <s v="no test"/>
    <s v="no test"/>
    <s v="No Test"/>
    <n v="4"/>
    <n v="0"/>
    <n v="0"/>
    <n v="0"/>
    <n v="0"/>
    <n v="0"/>
    <n v="0"/>
    <n v="1"/>
    <n v="0.73260073260073255"/>
    <n v="1"/>
    <n v="1365"/>
    <n v="0"/>
    <n v="0"/>
    <n v="1"/>
    <n v="1365"/>
    <n v="2.73"/>
    <n v="0"/>
    <n v="0"/>
    <n v="0.27"/>
    <n v="3"/>
    <n v="66"/>
    <n v="0.98168498168498164"/>
    <n v="1340"/>
    <n v="0"/>
    <n v="0"/>
    <n v="0"/>
    <n v="68"/>
    <n v="2"/>
    <n v="1.8315018315018361E-2"/>
    <n v="0"/>
    <n v="0"/>
    <n v="50"/>
    <n v="18"/>
    <n v="50"/>
    <n v="50"/>
    <n v="3.6630036630036632E-2"/>
    <n v="0.96336996336996339"/>
    <n v="0"/>
    <n v="0.16194331983805668"/>
    <n v="7.28744939271255E-2"/>
    <n v="3"/>
    <n v="60"/>
    <n v="0"/>
    <n v="300"/>
    <s v="No"/>
    <s v=""/>
    <n v="0"/>
    <n v="0"/>
    <n v="0"/>
    <s v="Yes"/>
    <s v="KMSS-MYT"/>
    <x v="0"/>
    <x v="0"/>
    <x v="0"/>
    <n v="25.493819999999999"/>
    <n v="97.4345"/>
    <s v="MMR001CMP271"/>
    <x v="1"/>
    <m/>
    <n v="215"/>
    <n v="1188"/>
  </r>
  <r>
    <x v="0"/>
    <x v="6"/>
    <x v="6"/>
    <s v="MHF-Metta"/>
    <x v="0"/>
    <x v="2"/>
    <x v="0"/>
    <x v="111"/>
    <n v="593"/>
    <n v="2975"/>
    <d v="2020-02-13T00:00:00"/>
    <d v="2021-02-12T00:00:00"/>
    <m/>
    <m/>
    <m/>
    <m/>
    <s v="Yes"/>
    <m/>
    <m/>
    <m/>
    <m/>
    <m/>
    <m/>
    <m/>
    <m/>
    <m/>
    <m/>
    <m/>
    <m/>
    <m/>
    <n v="1"/>
    <m/>
    <m/>
    <n v="1"/>
    <m/>
    <m/>
    <m/>
    <m/>
    <n v="21"/>
    <n v="6"/>
    <m/>
    <m/>
    <n v="152"/>
    <m/>
    <m/>
    <m/>
    <m/>
    <m/>
    <m/>
    <m/>
    <x v="2"/>
    <x v="1"/>
    <n v="4"/>
    <m/>
    <n v="16"/>
    <n v="2"/>
    <m/>
    <m/>
    <n v="7"/>
    <m/>
    <m/>
    <n v="7"/>
    <m/>
    <m/>
    <n v="6"/>
    <n v="104"/>
    <n v="148"/>
    <m/>
    <m/>
    <m/>
    <m/>
    <m/>
    <m/>
    <m/>
    <m/>
    <m/>
    <m/>
    <m/>
    <m/>
    <m/>
    <m/>
    <m/>
    <s v="no test"/>
    <s v="no test"/>
    <s v="No Test"/>
    <n v="0"/>
    <n v="0"/>
    <n v="0"/>
    <n v="0"/>
    <n v="0"/>
    <n v="2975"/>
    <n v="0"/>
    <n v="0"/>
    <n v="0"/>
    <n v="0"/>
    <n v="0"/>
    <n v="8.4033613445378158E-2"/>
    <n v="250.00000000000003"/>
    <n v="8.4033613445378158E-2"/>
    <n v="250.00000000000003"/>
    <n v="0.50000000000000011"/>
    <n v="0.91596638655462181"/>
    <n v="2725"/>
    <n v="5.5"/>
    <n v="6"/>
    <n v="152"/>
    <n v="1"/>
    <n v="2975"/>
    <n v="0"/>
    <n v="0"/>
    <n v="100"/>
    <n v="149"/>
    <n v="0"/>
    <n v="0"/>
    <n v="0"/>
    <n v="2975"/>
    <n v="520"/>
    <n v="148"/>
    <n v="520"/>
    <n v="2975"/>
    <n v="1"/>
    <n v="0"/>
    <n v="1"/>
    <n v="0.17537942664418213"/>
    <n v="0.24957841483979765"/>
    <n v="7"/>
    <n v="140"/>
    <n v="0"/>
    <n v="700"/>
    <s v="No"/>
    <s v=""/>
    <n v="0"/>
    <n v="2975"/>
    <n v="100"/>
    <s v="Yes"/>
    <s v="KMSS-BMO"/>
    <x v="0"/>
    <x v="0"/>
    <x v="1"/>
    <n v="24.2744"/>
    <n v="97.752667000000002"/>
    <s v="MMR001CMP126"/>
    <x v="1"/>
    <m/>
    <n v="616"/>
    <n v="3682"/>
  </r>
  <r>
    <x v="0"/>
    <x v="8"/>
    <x v="7"/>
    <s v="UNICEF, MHF"/>
    <x v="0"/>
    <x v="3"/>
    <x v="0"/>
    <x v="112"/>
    <n v="177"/>
    <n v="852"/>
    <s v="10/1/2020, 8-4-21"/>
    <s v="4/30/2022, 8-3-22"/>
    <m/>
    <n v="3"/>
    <m/>
    <m/>
    <s v="Yes"/>
    <m/>
    <n v="4"/>
    <m/>
    <m/>
    <m/>
    <m/>
    <m/>
    <m/>
    <m/>
    <m/>
    <m/>
    <m/>
    <m/>
    <m/>
    <m/>
    <m/>
    <m/>
    <m/>
    <m/>
    <m/>
    <m/>
    <m/>
    <m/>
    <m/>
    <m/>
    <n v="150"/>
    <m/>
    <m/>
    <m/>
    <m/>
    <m/>
    <m/>
    <n v="150"/>
    <x v="1"/>
    <x v="1"/>
    <m/>
    <m/>
    <m/>
    <m/>
    <m/>
    <m/>
    <n v="8"/>
    <m/>
    <m/>
    <n v="3"/>
    <m/>
    <n v="1"/>
    <n v="2"/>
    <n v="91"/>
    <n v="124"/>
    <m/>
    <m/>
    <m/>
    <m/>
    <m/>
    <m/>
    <m/>
    <m/>
    <m/>
    <m/>
    <m/>
    <m/>
    <m/>
    <m/>
    <m/>
    <s v="no test"/>
    <s v="no test"/>
    <s v="No Test"/>
    <n v="0"/>
    <n v="0"/>
    <n v="0"/>
    <n v="0"/>
    <n v="0"/>
    <n v="0"/>
    <n v="0"/>
    <n v="0"/>
    <n v="0"/>
    <n v="0"/>
    <n v="0"/>
    <n v="0"/>
    <n v="0"/>
    <n v="0"/>
    <n v="0"/>
    <n v="0"/>
    <n v="1"/>
    <n v="852"/>
    <n v="2"/>
    <n v="2"/>
    <n v="150"/>
    <n v="0.88028169014084512"/>
    <n v="750"/>
    <n v="0"/>
    <n v="0"/>
    <n v="0"/>
    <n v="142"/>
    <n v="0"/>
    <n v="0.11971830985915488"/>
    <n v="0"/>
    <n v="852"/>
    <n v="455"/>
    <n v="124"/>
    <n v="455"/>
    <n v="852"/>
    <n v="1"/>
    <n v="0"/>
    <n v="1"/>
    <n v="0.51412429378531077"/>
    <n v="0.70056497175141241"/>
    <n v="8"/>
    <n v="160"/>
    <n v="0"/>
    <n v="800"/>
    <s v="No"/>
    <s v=""/>
    <n v="0"/>
    <n v="0"/>
    <n v="0"/>
    <s v="Yes"/>
    <s v="KBC-MYT"/>
    <x v="1"/>
    <x v="0"/>
    <x v="1"/>
    <n v="24.831944"/>
    <n v="97.751389000000003"/>
    <s v="MMR001CMP120"/>
    <x v="1"/>
    <m/>
    <n v="166"/>
    <n v="966"/>
  </r>
  <r>
    <x v="0"/>
    <x v="4"/>
    <x v="4"/>
    <s v="UNICEF"/>
    <x v="0"/>
    <x v="7"/>
    <x v="1"/>
    <x v="113"/>
    <n v="26"/>
    <n v="143"/>
    <d v="2021-08-06T00:00:00"/>
    <d v="2022-08-05T00:00:00"/>
    <m/>
    <n v="1"/>
    <m/>
    <m/>
    <s v="Yes"/>
    <n v="2"/>
    <n v="2"/>
    <m/>
    <m/>
    <m/>
    <n v="2"/>
    <m/>
    <m/>
    <m/>
    <m/>
    <m/>
    <m/>
    <m/>
    <m/>
    <m/>
    <m/>
    <n v="26"/>
    <m/>
    <m/>
    <m/>
    <m/>
    <n v="3"/>
    <m/>
    <m/>
    <m/>
    <n v="6"/>
    <m/>
    <m/>
    <m/>
    <m/>
    <m/>
    <m/>
    <m/>
    <x v="1"/>
    <x v="2"/>
    <m/>
    <m/>
    <m/>
    <m/>
    <m/>
    <m/>
    <n v="1"/>
    <m/>
    <m/>
    <n v="3"/>
    <m/>
    <m/>
    <n v="1"/>
    <n v="41"/>
    <n v="85"/>
    <m/>
    <m/>
    <m/>
    <m/>
    <m/>
    <m/>
    <m/>
    <m/>
    <m/>
    <m/>
    <m/>
    <m/>
    <m/>
    <m/>
    <m/>
    <s v="no test"/>
    <s v="no test"/>
    <s v="No Test"/>
    <n v="0"/>
    <n v="2"/>
    <n v="0"/>
    <n v="0"/>
    <n v="0"/>
    <n v="0"/>
    <n v="0"/>
    <n v="1"/>
    <n v="1"/>
    <n v="1"/>
    <n v="143"/>
    <n v="0"/>
    <n v="0"/>
    <n v="1"/>
    <n v="143"/>
    <n v="0.28599999999999998"/>
    <n v="0"/>
    <n v="0"/>
    <n v="0.71399999999999997"/>
    <n v="1"/>
    <n v="6"/>
    <n v="0.83916083916083917"/>
    <n v="120"/>
    <n v="0"/>
    <n v="0"/>
    <n v="0"/>
    <n v="7"/>
    <n v="1"/>
    <n v="0.16083916083916083"/>
    <n v="0"/>
    <n v="143"/>
    <n v="143"/>
    <n v="85"/>
    <n v="143"/>
    <n v="143"/>
    <n v="1"/>
    <n v="0"/>
    <n v="1"/>
    <n v="1"/>
    <n v="1"/>
    <n v="1"/>
    <n v="20"/>
    <n v="0"/>
    <n v="100"/>
    <s v="No"/>
    <s v=""/>
    <n v="0"/>
    <n v="0"/>
    <n v="0"/>
    <n v="0"/>
    <n v="0"/>
    <x v="0"/>
    <x v="0"/>
    <x v="0"/>
    <n v="0"/>
    <n v="0"/>
    <n v="0"/>
    <x v="1"/>
    <m/>
    <n v="0"/>
    <n v="0"/>
  </r>
  <r>
    <x v="0"/>
    <x v="12"/>
    <x v="7"/>
    <s v="UNICEF,MHG"/>
    <x v="0"/>
    <x v="12"/>
    <x v="0"/>
    <x v="114"/>
    <n v="386"/>
    <n v="1397"/>
    <s v="10/1/2020,8-4-2021"/>
    <s v="4/30/2022,8-3-2022"/>
    <m/>
    <m/>
    <m/>
    <m/>
    <m/>
    <n v="19"/>
    <n v="55"/>
    <n v="13"/>
    <m/>
    <m/>
    <n v="1"/>
    <m/>
    <m/>
    <m/>
    <m/>
    <m/>
    <m/>
    <m/>
    <m/>
    <m/>
    <n v="7"/>
    <m/>
    <m/>
    <m/>
    <m/>
    <m/>
    <m/>
    <m/>
    <m/>
    <m/>
    <n v="5"/>
    <m/>
    <m/>
    <m/>
    <m/>
    <m/>
    <m/>
    <m/>
    <x v="1"/>
    <x v="0"/>
    <m/>
    <m/>
    <n v="50"/>
    <m/>
    <m/>
    <m/>
    <n v="1"/>
    <m/>
    <m/>
    <n v="3"/>
    <m/>
    <m/>
    <m/>
    <n v="41"/>
    <n v="85"/>
    <m/>
    <m/>
    <m/>
    <m/>
    <m/>
    <m/>
    <m/>
    <m/>
    <m/>
    <m/>
    <m/>
    <m/>
    <m/>
    <m/>
    <m/>
    <s v="no test"/>
    <s v="no test"/>
    <s v="No Test"/>
    <n v="13"/>
    <n v="1"/>
    <n v="0"/>
    <n v="0"/>
    <n v="0"/>
    <n v="0"/>
    <n v="0"/>
    <n v="1"/>
    <n v="1"/>
    <n v="1"/>
    <n v="1397"/>
    <n v="0"/>
    <n v="0"/>
    <n v="1"/>
    <n v="1397"/>
    <n v="2.794"/>
    <n v="0"/>
    <n v="0"/>
    <n v="0.20599999999999996"/>
    <n v="3"/>
    <n v="5"/>
    <n v="7.158196134574088E-2"/>
    <n v="100"/>
    <n v="0"/>
    <n v="0"/>
    <n v="0"/>
    <n v="70"/>
    <n v="65"/>
    <n v="0.92841803865425909"/>
    <n v="0"/>
    <n v="0"/>
    <n v="205"/>
    <n v="85"/>
    <n v="205"/>
    <n v="205"/>
    <n v="0.1467430207587688"/>
    <n v="0.85325697924123123"/>
    <n v="0"/>
    <n v="0.10621761658031088"/>
    <n v="0.22020725388601037"/>
    <n v="1"/>
    <n v="20"/>
    <n v="0"/>
    <n v="100"/>
    <s v="No"/>
    <s v=""/>
    <n v="0"/>
    <n v="0"/>
    <n v="0"/>
    <n v="0"/>
    <s v="uncovered"/>
    <x v="0"/>
    <x v="3"/>
    <x v="1"/>
    <n v="24.590350000000001"/>
    <n v="96.95626"/>
    <s v="MMR001CMP273"/>
    <x v="1"/>
    <m/>
    <n v="318"/>
    <n v="1329"/>
  </r>
  <r>
    <x v="0"/>
    <x v="3"/>
    <x v="3"/>
    <s v="USAID, HOPE-71, HOPE-94"/>
    <x v="0"/>
    <x v="0"/>
    <x v="0"/>
    <x v="115"/>
    <n v="65"/>
    <n v="334"/>
    <s v="13-8-2021, 6-1-2020, 1-7-2021"/>
    <s v="12-2-2022, 30-11-2021, 30.4.2021"/>
    <m/>
    <m/>
    <m/>
    <m/>
    <s v="Yes"/>
    <n v="8"/>
    <n v="15"/>
    <n v="1"/>
    <m/>
    <m/>
    <n v="3"/>
    <m/>
    <m/>
    <m/>
    <m/>
    <m/>
    <m/>
    <m/>
    <m/>
    <m/>
    <n v="3"/>
    <m/>
    <m/>
    <m/>
    <m/>
    <m/>
    <n v="14"/>
    <m/>
    <m/>
    <m/>
    <n v="48"/>
    <m/>
    <m/>
    <m/>
    <m/>
    <m/>
    <m/>
    <m/>
    <x v="1"/>
    <x v="1"/>
    <m/>
    <m/>
    <n v="2"/>
    <m/>
    <m/>
    <m/>
    <n v="3"/>
    <m/>
    <m/>
    <n v="2"/>
    <m/>
    <m/>
    <n v="1"/>
    <n v="88"/>
    <n v="100"/>
    <m/>
    <m/>
    <m/>
    <m/>
    <m/>
    <m/>
    <m/>
    <m/>
    <m/>
    <m/>
    <m/>
    <m/>
    <m/>
    <m/>
    <m/>
    <s v="no test"/>
    <s v="no test"/>
    <s v="No Test"/>
    <n v="1"/>
    <n v="3"/>
    <n v="0"/>
    <n v="0"/>
    <n v="0"/>
    <n v="0"/>
    <n v="0"/>
    <n v="1"/>
    <n v="1"/>
    <n v="1"/>
    <n v="334"/>
    <n v="0"/>
    <n v="0"/>
    <n v="1"/>
    <n v="334"/>
    <n v="0.66800000000000004"/>
    <n v="0"/>
    <n v="0"/>
    <n v="0.33199999999999996"/>
    <n v="1"/>
    <n v="48"/>
    <n v="1"/>
    <n v="334"/>
    <n v="0"/>
    <n v="0"/>
    <n v="0"/>
    <n v="17"/>
    <n v="0"/>
    <n v="0"/>
    <n v="0"/>
    <n v="334"/>
    <n v="334"/>
    <n v="100"/>
    <n v="334"/>
    <n v="334"/>
    <n v="1"/>
    <n v="0"/>
    <n v="1"/>
    <n v="1"/>
    <n v="1"/>
    <n v="3"/>
    <n v="60"/>
    <n v="0"/>
    <n v="300"/>
    <s v="No"/>
    <s v=""/>
    <n v="0"/>
    <n v="0"/>
    <n v="0"/>
    <s v="Yes"/>
    <s v="KBC-BMO"/>
    <x v="0"/>
    <x v="0"/>
    <x v="0"/>
    <n v="24.222349999999999"/>
    <n v="97.252650000000003"/>
    <s v="MMR001CMP193"/>
    <x v="1"/>
    <m/>
    <n v="64"/>
    <n v="339"/>
  </r>
  <r>
    <x v="0"/>
    <x v="0"/>
    <x v="0"/>
    <m/>
    <x v="0"/>
    <x v="3"/>
    <x v="0"/>
    <x v="116"/>
    <n v="39"/>
    <n v="183"/>
    <m/>
    <m/>
    <m/>
    <m/>
    <m/>
    <m/>
    <m/>
    <m/>
    <m/>
    <m/>
    <m/>
    <m/>
    <m/>
    <m/>
    <m/>
    <m/>
    <m/>
    <m/>
    <m/>
    <m/>
    <m/>
    <m/>
    <m/>
    <m/>
    <m/>
    <m/>
    <m/>
    <m/>
    <m/>
    <m/>
    <m/>
    <m/>
    <m/>
    <m/>
    <m/>
    <m/>
    <m/>
    <m/>
    <m/>
    <m/>
    <x v="0"/>
    <x v="0"/>
    <m/>
    <m/>
    <m/>
    <m/>
    <m/>
    <m/>
    <n v="3"/>
    <m/>
    <m/>
    <n v="2"/>
    <m/>
    <m/>
    <m/>
    <n v="10"/>
    <n v="18"/>
    <m/>
    <m/>
    <m/>
    <m/>
    <m/>
    <m/>
    <m/>
    <m/>
    <m/>
    <m/>
    <m/>
    <m/>
    <m/>
    <m/>
    <m/>
    <s v="no test"/>
    <s v="no test"/>
    <s v="No Test"/>
    <n v="0"/>
    <n v="0"/>
    <n v="0"/>
    <n v="0"/>
    <n v="0"/>
    <n v="0"/>
    <n v="0"/>
    <n v="0"/>
    <n v="0"/>
    <n v="0"/>
    <n v="0"/>
    <n v="0"/>
    <n v="0"/>
    <n v="0"/>
    <n v="0"/>
    <n v="0"/>
    <n v="1"/>
    <n v="183"/>
    <n v="1"/>
    <n v="1"/>
    <n v="0"/>
    <n v="0"/>
    <n v="0"/>
    <n v="0"/>
    <n v="0"/>
    <n v="0"/>
    <n v="9"/>
    <n v="9"/>
    <n v="1"/>
    <n v="0"/>
    <n v="0"/>
    <n v="50"/>
    <n v="18"/>
    <n v="50"/>
    <n v="50"/>
    <n v="0.27322404371584702"/>
    <n v="0.72677595628415292"/>
    <n v="0"/>
    <n v="1"/>
    <n v="0.46153846153846156"/>
    <n v="3"/>
    <n v="39"/>
    <n v="0"/>
    <n v="183"/>
    <s v="No"/>
    <s v=""/>
    <n v="0"/>
    <n v="0"/>
    <n v="0"/>
    <n v="0"/>
    <s v="Uncovered  "/>
    <x v="0"/>
    <x v="6"/>
    <x v="0"/>
    <n v="25.2057"/>
    <n v="97.262200000000007"/>
    <s v="MMR001CMP290"/>
    <x v="0"/>
    <m/>
    <n v="39"/>
    <n v="183"/>
  </r>
  <r>
    <x v="0"/>
    <x v="2"/>
    <x v="2"/>
    <s v="DFID"/>
    <x v="0"/>
    <x v="3"/>
    <x v="0"/>
    <x v="117"/>
    <n v="111"/>
    <n v="506"/>
    <d v="2021-01-01T00:00:00"/>
    <d v="2022-03-31T00:00:00"/>
    <n v="70"/>
    <n v="2"/>
    <m/>
    <m/>
    <s v="Yes"/>
    <n v="3"/>
    <n v="11"/>
    <n v="4"/>
    <n v="1"/>
    <n v="1"/>
    <n v="2"/>
    <m/>
    <n v="2"/>
    <n v="1"/>
    <m/>
    <m/>
    <m/>
    <m/>
    <m/>
    <m/>
    <m/>
    <m/>
    <m/>
    <m/>
    <m/>
    <m/>
    <n v="7"/>
    <m/>
    <m/>
    <s v="ရေသန့်လိုအပ်"/>
    <n v="15"/>
    <n v="10"/>
    <s v="ICRC &amp; DVB"/>
    <n v="4"/>
    <n v="2"/>
    <m/>
    <m/>
    <m/>
    <x v="1"/>
    <x v="1"/>
    <m/>
    <n v="1"/>
    <n v="6"/>
    <n v="6"/>
    <m/>
    <m/>
    <n v="10"/>
    <m/>
    <m/>
    <n v="7"/>
    <m/>
    <m/>
    <n v="2"/>
    <n v="104"/>
    <n v="148"/>
    <m/>
    <m/>
    <m/>
    <m/>
    <m/>
    <m/>
    <n v="5"/>
    <m/>
    <m/>
    <n v="111"/>
    <m/>
    <m/>
    <m/>
    <m/>
    <m/>
    <s v="no test"/>
    <s v="no test"/>
    <s v="No Test"/>
    <n v="3"/>
    <n v="0"/>
    <n v="0"/>
    <n v="0"/>
    <n v="0"/>
    <n v="0"/>
    <n v="0"/>
    <n v="1"/>
    <n v="1"/>
    <n v="1"/>
    <n v="506"/>
    <n v="0"/>
    <n v="0"/>
    <n v="1"/>
    <n v="506"/>
    <n v="1.012"/>
    <n v="0"/>
    <n v="0"/>
    <n v="0"/>
    <n v="1"/>
    <n v="21"/>
    <n v="0.83003952569169959"/>
    <n v="420"/>
    <n v="0"/>
    <n v="70"/>
    <n v="300"/>
    <n v="25"/>
    <n v="0"/>
    <n v="0.16996047430830041"/>
    <n v="0.16"/>
    <n v="506"/>
    <n v="506"/>
    <n v="148"/>
    <n v="506"/>
    <n v="506"/>
    <n v="1"/>
    <n v="0"/>
    <n v="1"/>
    <n v="1"/>
    <n v="1"/>
    <n v="10"/>
    <n v="111"/>
    <n v="0"/>
    <n v="506"/>
    <s v="Yes"/>
    <n v="9.881422924901186E-3"/>
    <n v="111"/>
    <n v="70"/>
    <n v="300"/>
    <s v="Yes"/>
    <s v="Shalom"/>
    <x v="0"/>
    <x v="0"/>
    <x v="0"/>
    <n v="25.3540362037037"/>
    <n v="97.441166388888902"/>
    <s v="MMR001CMP032"/>
    <x v="1"/>
    <m/>
    <n v="111"/>
    <n v="505"/>
  </r>
  <r>
    <x v="0"/>
    <x v="7"/>
    <x v="7"/>
    <s v="UNICEF"/>
    <x v="0"/>
    <x v="3"/>
    <x v="0"/>
    <x v="118"/>
    <n v="60"/>
    <n v="307"/>
    <d v="2020-10-01T00:00:00"/>
    <d v="2022-04-30T00:00:00"/>
    <m/>
    <n v="2"/>
    <m/>
    <m/>
    <s v="Yes"/>
    <m/>
    <n v="3"/>
    <n v="2"/>
    <m/>
    <m/>
    <m/>
    <m/>
    <m/>
    <m/>
    <m/>
    <m/>
    <m/>
    <m/>
    <m/>
    <m/>
    <m/>
    <n v="1"/>
    <m/>
    <m/>
    <m/>
    <m/>
    <m/>
    <m/>
    <m/>
    <m/>
    <n v="14"/>
    <m/>
    <m/>
    <m/>
    <n v="10"/>
    <m/>
    <m/>
    <n v="10"/>
    <x v="1"/>
    <x v="1"/>
    <m/>
    <m/>
    <m/>
    <m/>
    <m/>
    <m/>
    <n v="1"/>
    <m/>
    <m/>
    <n v="3"/>
    <m/>
    <n v="1"/>
    <n v="1"/>
    <n v="41"/>
    <n v="85"/>
    <m/>
    <m/>
    <m/>
    <m/>
    <m/>
    <m/>
    <m/>
    <m/>
    <m/>
    <m/>
    <m/>
    <m/>
    <m/>
    <m/>
    <m/>
    <s v="no test"/>
    <s v="no test"/>
    <s v="No Test"/>
    <n v="2"/>
    <n v="0"/>
    <n v="0"/>
    <n v="0"/>
    <n v="0"/>
    <n v="0"/>
    <n v="0"/>
    <n v="1"/>
    <n v="1"/>
    <n v="1"/>
    <n v="307"/>
    <n v="0"/>
    <n v="0"/>
    <n v="1"/>
    <n v="307"/>
    <n v="0.61399999999999999"/>
    <n v="0"/>
    <n v="0"/>
    <n v="0.38600000000000001"/>
    <n v="1"/>
    <n v="14"/>
    <n v="0.91205211726384361"/>
    <n v="280"/>
    <n v="0"/>
    <n v="0"/>
    <n v="0"/>
    <n v="15"/>
    <n v="1"/>
    <n v="8.7947882736156391E-2"/>
    <n v="0"/>
    <n v="307"/>
    <n v="205"/>
    <n v="85"/>
    <n v="205"/>
    <n v="307"/>
    <n v="1"/>
    <n v="0"/>
    <n v="1"/>
    <n v="1"/>
    <n v="1"/>
    <n v="1"/>
    <n v="20"/>
    <n v="0"/>
    <n v="100"/>
    <s v="No"/>
    <s v=""/>
    <n v="0"/>
    <n v="0"/>
    <n v="0"/>
    <s v="Yes"/>
    <s v="KBC-MYT"/>
    <x v="0"/>
    <x v="0"/>
    <x v="0"/>
    <n v="25.351724999999998"/>
    <n v="97.438432380952406"/>
    <s v="MMR001CMP025"/>
    <x v="1"/>
    <m/>
    <n v="72"/>
    <n v="360"/>
  </r>
  <r>
    <x v="0"/>
    <x v="2"/>
    <x v="2"/>
    <s v="DFID"/>
    <x v="0"/>
    <x v="1"/>
    <x v="0"/>
    <x v="119"/>
    <n v="16"/>
    <n v="70"/>
    <d v="2021-01-01T00:00:00"/>
    <d v="2022-03-31T00:00:00"/>
    <m/>
    <n v="1"/>
    <m/>
    <m/>
    <s v="Yes"/>
    <n v="1"/>
    <n v="3"/>
    <n v="1"/>
    <m/>
    <m/>
    <m/>
    <n v="1"/>
    <m/>
    <m/>
    <n v="1"/>
    <m/>
    <m/>
    <m/>
    <m/>
    <n v="4500"/>
    <n v="1"/>
    <n v="1"/>
    <m/>
    <m/>
    <m/>
    <m/>
    <n v="4"/>
    <m/>
    <m/>
    <s v="မီးစက်ဒိုင်နမိုလို"/>
    <n v="2"/>
    <m/>
    <m/>
    <m/>
    <m/>
    <m/>
    <m/>
    <m/>
    <x v="1"/>
    <x v="1"/>
    <m/>
    <m/>
    <m/>
    <m/>
    <m/>
    <m/>
    <n v="4"/>
    <m/>
    <m/>
    <n v="2"/>
    <m/>
    <n v="1"/>
    <m/>
    <n v="16"/>
    <n v="25"/>
    <s v="Yes"/>
    <n v="3"/>
    <n v="0.75"/>
    <m/>
    <n v="1"/>
    <n v="0.5"/>
    <n v="2"/>
    <n v="0.7"/>
    <m/>
    <m/>
    <m/>
    <m/>
    <m/>
    <m/>
    <m/>
    <s v="no test"/>
    <s v="no test"/>
    <s v="No Test"/>
    <n v="1"/>
    <n v="1"/>
    <n v="1"/>
    <n v="0"/>
    <n v="3.3333333333333335"/>
    <n v="0"/>
    <n v="0"/>
    <n v="1"/>
    <n v="1"/>
    <n v="1"/>
    <n v="70"/>
    <n v="0"/>
    <n v="0"/>
    <n v="1"/>
    <n v="70"/>
    <n v="0.14000000000000001"/>
    <n v="0"/>
    <n v="0"/>
    <n v="0.86"/>
    <n v="1"/>
    <n v="2"/>
    <n v="0.5714285714285714"/>
    <n v="40"/>
    <n v="0"/>
    <n v="0"/>
    <n v="0"/>
    <n v="4"/>
    <n v="2"/>
    <n v="0.4285714285714286"/>
    <n v="0"/>
    <n v="70"/>
    <n v="70"/>
    <n v="25"/>
    <n v="70"/>
    <n v="70"/>
    <n v="1"/>
    <n v="0"/>
    <n v="1"/>
    <n v="1"/>
    <n v="1"/>
    <n v="4"/>
    <n v="16"/>
    <n v="4"/>
    <n v="70"/>
    <s v="No"/>
    <n v="2.8571428571428571E-2"/>
    <n v="0"/>
    <n v="0"/>
    <n v="0"/>
    <s v="Yes"/>
    <s v="Shalom"/>
    <x v="0"/>
    <x v="3"/>
    <x v="0"/>
    <n v="25.56551"/>
    <n v="96.279200000000003"/>
    <s v="MMR001CMP182"/>
    <x v="1"/>
    <m/>
    <n v="16"/>
    <n v="70"/>
  </r>
  <r>
    <x v="0"/>
    <x v="1"/>
    <x v="1"/>
    <s v="ECHO"/>
    <x v="0"/>
    <x v="0"/>
    <x v="0"/>
    <x v="120"/>
    <n v="610"/>
    <n v="3860"/>
    <d v="2022-04-01T00:00:00"/>
    <d v="2022-11-30T00:00:00"/>
    <m/>
    <m/>
    <m/>
    <m/>
    <s v="Yes"/>
    <n v="20"/>
    <n v="14"/>
    <n v="1"/>
    <m/>
    <m/>
    <n v="23"/>
    <m/>
    <m/>
    <n v="9"/>
    <m/>
    <m/>
    <m/>
    <m/>
    <m/>
    <m/>
    <m/>
    <m/>
    <n v="15"/>
    <n v="15"/>
    <n v="27"/>
    <n v="27"/>
    <n v="19"/>
    <m/>
    <m/>
    <m/>
    <n v="149"/>
    <m/>
    <m/>
    <m/>
    <m/>
    <m/>
    <m/>
    <m/>
    <x v="1"/>
    <x v="1"/>
    <m/>
    <m/>
    <m/>
    <m/>
    <n v="23"/>
    <m/>
    <n v="11"/>
    <m/>
    <m/>
    <n v="15"/>
    <m/>
    <n v="1"/>
    <n v="5"/>
    <m/>
    <m/>
    <m/>
    <m/>
    <m/>
    <m/>
    <n v="0.9838709677419355"/>
    <n v="0.967741935483871"/>
    <n v="58"/>
    <n v="0.5"/>
    <m/>
    <m/>
    <m/>
    <m/>
    <m/>
    <m/>
    <m/>
    <n v="1"/>
    <n v="1"/>
    <s v="Tested"/>
    <n v="1"/>
    <n v="23"/>
    <n v="0"/>
    <n v="0"/>
    <n v="0"/>
    <n v="0"/>
    <n v="0"/>
    <n v="1"/>
    <n v="1"/>
    <n v="1"/>
    <n v="3860"/>
    <n v="0"/>
    <n v="0"/>
    <n v="1"/>
    <n v="3860"/>
    <n v="7.72"/>
    <n v="0"/>
    <n v="0"/>
    <n v="0.28000000000000025"/>
    <n v="8"/>
    <n v="149"/>
    <n v="0.77797927461139893"/>
    <n v="3003"/>
    <n v="0"/>
    <n v="0"/>
    <n v="0"/>
    <n v="193"/>
    <n v="44"/>
    <n v="0.22202072538860107"/>
    <n v="0"/>
    <n v="3000"/>
    <n v="0"/>
    <n v="0"/>
    <n v="0"/>
    <n v="3000"/>
    <n v="0.77720207253886009"/>
    <n v="0.22279792746113991"/>
    <n v="0.77720207253886009"/>
    <n v="0"/>
    <n v="0"/>
    <n v="11"/>
    <n v="220"/>
    <n v="0"/>
    <n v="1100"/>
    <s v="No"/>
    <n v="1.5025906735751295E-2"/>
    <n v="0"/>
    <n v="0"/>
    <n v="0"/>
    <s v="Yes"/>
    <s v="KBC-BMO"/>
    <x v="0"/>
    <x v="0"/>
    <x v="0"/>
    <n v="24.268292826086999"/>
    <n v="97.229116811594196"/>
    <s v="MMR001CMP047"/>
    <x v="1"/>
    <m/>
    <n v="597"/>
    <n v="3765"/>
  </r>
  <r>
    <x v="0"/>
    <x v="0"/>
    <x v="0"/>
    <m/>
    <x v="0"/>
    <x v="0"/>
    <x v="1"/>
    <x v="121"/>
    <m/>
    <m/>
    <d v="2020-01-03T00:00:00"/>
    <d v="2022-02-28T00:00:00"/>
    <m/>
    <m/>
    <m/>
    <m/>
    <s v="Yes"/>
    <m/>
    <m/>
    <m/>
    <m/>
    <m/>
    <n v="5"/>
    <m/>
    <m/>
    <m/>
    <m/>
    <m/>
    <m/>
    <m/>
    <m/>
    <m/>
    <m/>
    <m/>
    <m/>
    <m/>
    <m/>
    <m/>
    <m/>
    <m/>
    <m/>
    <m/>
    <n v="18"/>
    <m/>
    <m/>
    <m/>
    <m/>
    <m/>
    <m/>
    <m/>
    <x v="1"/>
    <x v="0"/>
    <m/>
    <m/>
    <m/>
    <m/>
    <m/>
    <m/>
    <n v="7"/>
    <m/>
    <m/>
    <n v="4"/>
    <m/>
    <m/>
    <m/>
    <n v="124"/>
    <n v="198"/>
    <m/>
    <m/>
    <m/>
    <m/>
    <m/>
    <m/>
    <m/>
    <m/>
    <m/>
    <m/>
    <m/>
    <m/>
    <m/>
    <m/>
    <m/>
    <s v="no test"/>
    <s v="no test"/>
    <s v="No Test"/>
    <n v="0"/>
    <n v="5"/>
    <n v="0"/>
    <n v="0"/>
    <n v="0"/>
    <n v="0"/>
    <n v="0"/>
    <s v=""/>
    <s v=""/>
    <s v=""/>
    <m/>
    <m/>
    <n v="0"/>
    <m/>
    <m/>
    <n v="0"/>
    <m/>
    <m/>
    <n v="1"/>
    <n v="1"/>
    <n v="18"/>
    <m/>
    <n v="0"/>
    <n v="0"/>
    <n v="0"/>
    <n v="0"/>
    <n v="0"/>
    <n v="0"/>
    <m/>
    <m/>
    <n v="0"/>
    <n v="0"/>
    <n v="0"/>
    <n v="0"/>
    <n v="0"/>
    <m/>
    <m/>
    <m/>
    <m/>
    <m/>
    <n v="7"/>
    <n v="0"/>
    <n v="0"/>
    <n v="0"/>
    <s v="No"/>
    <s v=""/>
    <n v="0"/>
    <n v="0"/>
    <n v="0"/>
    <s v="No"/>
    <n v="0"/>
    <x v="0"/>
    <x v="0"/>
    <x v="0"/>
    <n v="0"/>
    <n v="0"/>
    <n v="0"/>
    <x v="0"/>
    <m/>
    <n v="0"/>
    <n v="0"/>
  </r>
  <r>
    <x v="0"/>
    <x v="0"/>
    <x v="0"/>
    <m/>
    <x v="0"/>
    <x v="3"/>
    <x v="0"/>
    <x v="122"/>
    <n v="45"/>
    <n v="247"/>
    <s v="13-8-2021, 6-1-2020"/>
    <s v="12-20-2022, 30-7-2021"/>
    <m/>
    <m/>
    <m/>
    <m/>
    <m/>
    <m/>
    <n v="2"/>
    <m/>
    <m/>
    <m/>
    <m/>
    <m/>
    <m/>
    <m/>
    <m/>
    <m/>
    <m/>
    <m/>
    <m/>
    <m/>
    <m/>
    <m/>
    <m/>
    <m/>
    <m/>
    <m/>
    <m/>
    <m/>
    <m/>
    <m/>
    <m/>
    <m/>
    <m/>
    <m/>
    <m/>
    <m/>
    <m/>
    <m/>
    <x v="0"/>
    <x v="0"/>
    <m/>
    <m/>
    <m/>
    <m/>
    <m/>
    <m/>
    <n v="1"/>
    <m/>
    <m/>
    <n v="3"/>
    <m/>
    <m/>
    <m/>
    <n v="41"/>
    <n v="85"/>
    <m/>
    <m/>
    <m/>
    <m/>
    <m/>
    <m/>
    <m/>
    <m/>
    <m/>
    <m/>
    <m/>
    <m/>
    <m/>
    <m/>
    <m/>
    <s v="no test"/>
    <s v="no test"/>
    <s v="No Test"/>
    <n v="0"/>
    <n v="0"/>
    <n v="0"/>
    <n v="0"/>
    <n v="0"/>
    <n v="0"/>
    <n v="0"/>
    <n v="0"/>
    <n v="0"/>
    <n v="0"/>
    <n v="0"/>
    <n v="0"/>
    <n v="0"/>
    <n v="0"/>
    <n v="0"/>
    <n v="0"/>
    <n v="1"/>
    <n v="247"/>
    <n v="1"/>
    <n v="1"/>
    <n v="0"/>
    <n v="0"/>
    <n v="0"/>
    <n v="0"/>
    <n v="0"/>
    <n v="0"/>
    <n v="12"/>
    <n v="12"/>
    <n v="1"/>
    <n v="0"/>
    <n v="0"/>
    <n v="205"/>
    <n v="85"/>
    <n v="205"/>
    <n v="205"/>
    <n v="0.82995951417004044"/>
    <n v="0.17004048582995956"/>
    <n v="0"/>
    <n v="1"/>
    <n v="1"/>
    <n v="1"/>
    <n v="20"/>
    <n v="0"/>
    <n v="100"/>
    <s v="No"/>
    <s v=""/>
    <n v="0"/>
    <n v="0"/>
    <n v="0"/>
    <n v="0"/>
    <s v="uncovered"/>
    <x v="0"/>
    <x v="3"/>
    <x v="0"/>
    <n v="25.391428000000001"/>
    <n v="97.898184999999998"/>
    <s v="MMR001CMP258"/>
    <x v="0"/>
    <m/>
    <n v="45"/>
    <n v="247"/>
  </r>
  <r>
    <x v="0"/>
    <x v="2"/>
    <x v="2"/>
    <s v="DFID"/>
    <x v="0"/>
    <x v="7"/>
    <x v="0"/>
    <x v="123"/>
    <n v="16"/>
    <n v="83"/>
    <d v="2021-01-01T00:00:00"/>
    <d v="2022-03-31T00:00:00"/>
    <n v="14"/>
    <n v="1"/>
    <m/>
    <m/>
    <s v="Yes"/>
    <n v="2"/>
    <n v="3"/>
    <n v="1"/>
    <n v="1"/>
    <m/>
    <n v="3"/>
    <n v="2"/>
    <n v="1"/>
    <n v="3"/>
    <m/>
    <m/>
    <m/>
    <m/>
    <n v="2"/>
    <m/>
    <m/>
    <m/>
    <m/>
    <m/>
    <m/>
    <m/>
    <n v="4"/>
    <n v="5"/>
    <m/>
    <m/>
    <n v="2"/>
    <n v="3"/>
    <s v="Chruch"/>
    <m/>
    <m/>
    <m/>
    <m/>
    <m/>
    <x v="1"/>
    <x v="1"/>
    <n v="3"/>
    <m/>
    <n v="2"/>
    <m/>
    <m/>
    <m/>
    <n v="3"/>
    <m/>
    <m/>
    <n v="2"/>
    <m/>
    <m/>
    <n v="1"/>
    <n v="10"/>
    <n v="18"/>
    <s v="Yes"/>
    <m/>
    <n v="0.7"/>
    <m/>
    <n v="1"/>
    <n v="1"/>
    <m/>
    <n v="0.8"/>
    <m/>
    <m/>
    <m/>
    <m/>
    <m/>
    <m/>
    <m/>
    <s v="no test"/>
    <s v="no test"/>
    <s v="No Test"/>
    <n v="0"/>
    <n v="4"/>
    <n v="0"/>
    <n v="0"/>
    <n v="0"/>
    <n v="83"/>
    <n v="0"/>
    <n v="1"/>
    <n v="1"/>
    <n v="1"/>
    <n v="83"/>
    <n v="1"/>
    <n v="83"/>
    <n v="1"/>
    <n v="83"/>
    <n v="0.16600000000000001"/>
    <n v="0"/>
    <n v="0"/>
    <n v="0.83399999999999996"/>
    <n v="1"/>
    <n v="5"/>
    <n v="1"/>
    <n v="83"/>
    <n v="0"/>
    <n v="14"/>
    <n v="0"/>
    <n v="4"/>
    <n v="0"/>
    <n v="0"/>
    <n v="0"/>
    <n v="83"/>
    <n v="50"/>
    <n v="18"/>
    <n v="50"/>
    <n v="83"/>
    <n v="1"/>
    <n v="0"/>
    <n v="1"/>
    <n v="1"/>
    <n v="1"/>
    <n v="3"/>
    <n v="16"/>
    <n v="4"/>
    <n v="83"/>
    <s v="Yes"/>
    <s v=""/>
    <n v="0"/>
    <n v="83"/>
    <n v="0"/>
    <s v="Yes"/>
    <s v="Shalom"/>
    <x v="0"/>
    <x v="0"/>
    <x v="0"/>
    <n v="25.417733999999999"/>
    <n v="97.389778000000007"/>
    <s v="MMR001CMP004"/>
    <x v="1"/>
    <m/>
    <n v="16"/>
    <n v="83"/>
  </r>
  <r>
    <x v="0"/>
    <x v="7"/>
    <x v="7"/>
    <s v="UNICEF"/>
    <x v="0"/>
    <x v="9"/>
    <x v="0"/>
    <x v="124"/>
    <n v="63"/>
    <n v="325"/>
    <d v="2020-10-01T00:00:00"/>
    <d v="2022-04-30T00:00:00"/>
    <m/>
    <n v="2"/>
    <m/>
    <m/>
    <s v="Yes"/>
    <m/>
    <m/>
    <n v="0"/>
    <m/>
    <m/>
    <n v="0"/>
    <m/>
    <m/>
    <m/>
    <m/>
    <m/>
    <m/>
    <m/>
    <m/>
    <m/>
    <m/>
    <n v="0"/>
    <m/>
    <m/>
    <m/>
    <m/>
    <m/>
    <m/>
    <m/>
    <m/>
    <n v="65"/>
    <m/>
    <m/>
    <m/>
    <m/>
    <m/>
    <m/>
    <n v="65"/>
    <x v="1"/>
    <x v="1"/>
    <m/>
    <m/>
    <m/>
    <m/>
    <m/>
    <m/>
    <n v="1"/>
    <m/>
    <m/>
    <n v="1"/>
    <m/>
    <n v="1"/>
    <n v="1"/>
    <n v="6"/>
    <n v="5"/>
    <m/>
    <m/>
    <m/>
    <m/>
    <m/>
    <m/>
    <m/>
    <m/>
    <m/>
    <m/>
    <m/>
    <m/>
    <m/>
    <m/>
    <m/>
    <s v="no test"/>
    <s v="no test"/>
    <s v="No Test"/>
    <n v="0"/>
    <n v="0"/>
    <n v="0"/>
    <n v="0"/>
    <n v="0"/>
    <n v="0"/>
    <n v="0"/>
    <n v="0"/>
    <n v="0"/>
    <n v="0"/>
    <n v="0"/>
    <n v="0"/>
    <n v="0"/>
    <n v="0"/>
    <n v="0"/>
    <n v="0"/>
    <n v="1"/>
    <n v="325"/>
    <n v="1"/>
    <n v="1"/>
    <n v="65"/>
    <n v="1"/>
    <n v="325"/>
    <n v="0"/>
    <n v="0"/>
    <n v="0"/>
    <n v="16"/>
    <n v="0"/>
    <n v="0"/>
    <n v="0"/>
    <n v="325"/>
    <n v="30"/>
    <n v="5"/>
    <n v="30"/>
    <n v="325"/>
    <n v="1"/>
    <n v="0"/>
    <n v="1"/>
    <n v="9.5238095238095233E-2"/>
    <n v="7.9365079365079361E-2"/>
    <n v="1"/>
    <n v="20"/>
    <n v="0"/>
    <n v="100"/>
    <s v="No"/>
    <s v=""/>
    <n v="0"/>
    <n v="0"/>
    <n v="0"/>
    <s v="Yes"/>
    <s v="KBC-MYT"/>
    <x v="0"/>
    <x v="0"/>
    <x v="1"/>
    <n v="26.548506"/>
    <n v="97.75609"/>
    <s v="MMR001CMP239"/>
    <x v="1"/>
    <m/>
    <n v="68"/>
    <n v="353"/>
  </r>
  <r>
    <x v="0"/>
    <x v="7"/>
    <x v="7"/>
    <s v="UNICEF"/>
    <x v="0"/>
    <x v="8"/>
    <x v="0"/>
    <x v="125"/>
    <n v="28"/>
    <n v="136"/>
    <d v="2020-10-01T00:00:00"/>
    <d v="2022-04-30T00:00:00"/>
    <m/>
    <n v="1"/>
    <m/>
    <m/>
    <s v="Yes"/>
    <m/>
    <n v="4"/>
    <n v="1"/>
    <m/>
    <m/>
    <n v="1"/>
    <m/>
    <m/>
    <m/>
    <m/>
    <m/>
    <m/>
    <m/>
    <m/>
    <m/>
    <m/>
    <n v="3"/>
    <m/>
    <m/>
    <m/>
    <m/>
    <m/>
    <m/>
    <m/>
    <m/>
    <n v="12"/>
    <m/>
    <m/>
    <m/>
    <m/>
    <m/>
    <m/>
    <n v="12"/>
    <x v="1"/>
    <x v="3"/>
    <m/>
    <m/>
    <m/>
    <m/>
    <m/>
    <m/>
    <n v="8"/>
    <m/>
    <m/>
    <n v="3"/>
    <m/>
    <m/>
    <n v="1"/>
    <n v="91"/>
    <n v="124"/>
    <m/>
    <m/>
    <m/>
    <m/>
    <m/>
    <m/>
    <m/>
    <m/>
    <m/>
    <m/>
    <m/>
    <m/>
    <m/>
    <m/>
    <m/>
    <s v="no test"/>
    <s v="no test"/>
    <s v="No Test"/>
    <n v="1"/>
    <n v="1"/>
    <n v="0"/>
    <n v="0"/>
    <n v="0"/>
    <n v="0"/>
    <n v="0"/>
    <n v="1"/>
    <n v="1"/>
    <n v="1"/>
    <n v="136"/>
    <n v="0"/>
    <n v="0"/>
    <n v="1"/>
    <n v="136"/>
    <n v="0.27200000000000002"/>
    <n v="0"/>
    <n v="0"/>
    <n v="0.72799999999999998"/>
    <n v="1"/>
    <n v="12"/>
    <n v="1"/>
    <n v="136"/>
    <n v="0"/>
    <n v="0"/>
    <n v="0"/>
    <n v="7"/>
    <n v="0"/>
    <n v="0"/>
    <n v="0"/>
    <n v="136"/>
    <n v="136"/>
    <n v="124"/>
    <n v="136"/>
    <n v="136"/>
    <n v="1"/>
    <n v="0"/>
    <n v="1"/>
    <n v="1"/>
    <n v="1"/>
    <n v="8"/>
    <n v="28"/>
    <n v="0"/>
    <n v="136"/>
    <s v="No"/>
    <s v=""/>
    <n v="0"/>
    <n v="0"/>
    <n v="0"/>
    <s v="Yes"/>
    <s v="KBC-MYT"/>
    <x v="0"/>
    <x v="0"/>
    <x v="0"/>
    <n v="25.225000000000001"/>
    <n v="96.793999999999997"/>
    <s v="MMR001CMP236"/>
    <x v="1"/>
    <m/>
    <n v="27"/>
    <n v="137"/>
  </r>
  <r>
    <x v="0"/>
    <x v="0"/>
    <x v="0"/>
    <m/>
    <x v="0"/>
    <x v="7"/>
    <x v="0"/>
    <x v="126"/>
    <n v="26"/>
    <n v="147"/>
    <s v="13-8-2021, 6-1-2020"/>
    <s v="12-20-2022, 30-7-2021"/>
    <m/>
    <m/>
    <m/>
    <m/>
    <m/>
    <m/>
    <n v="4"/>
    <m/>
    <m/>
    <m/>
    <m/>
    <m/>
    <m/>
    <m/>
    <m/>
    <m/>
    <m/>
    <m/>
    <m/>
    <m/>
    <m/>
    <m/>
    <m/>
    <m/>
    <m/>
    <m/>
    <m/>
    <m/>
    <m/>
    <m/>
    <m/>
    <m/>
    <m/>
    <m/>
    <m/>
    <m/>
    <m/>
    <m/>
    <x v="0"/>
    <x v="0"/>
    <m/>
    <m/>
    <m/>
    <m/>
    <m/>
    <m/>
    <n v="1"/>
    <m/>
    <m/>
    <n v="1"/>
    <m/>
    <m/>
    <m/>
    <n v="6"/>
    <n v="5"/>
    <m/>
    <m/>
    <m/>
    <m/>
    <m/>
    <m/>
    <m/>
    <m/>
    <m/>
    <m/>
    <m/>
    <m/>
    <m/>
    <m/>
    <m/>
    <s v="no test"/>
    <s v="no test"/>
    <s v="No Test"/>
    <n v="0"/>
    <n v="0"/>
    <n v="0"/>
    <n v="0"/>
    <n v="0"/>
    <n v="0"/>
    <n v="0"/>
    <n v="0"/>
    <n v="0"/>
    <n v="0"/>
    <n v="0"/>
    <n v="0"/>
    <n v="0"/>
    <n v="0"/>
    <n v="0"/>
    <n v="0"/>
    <n v="1"/>
    <n v="147"/>
    <n v="1"/>
    <n v="1"/>
    <n v="0"/>
    <n v="0"/>
    <n v="0"/>
    <n v="0"/>
    <n v="0"/>
    <n v="0"/>
    <n v="7"/>
    <n v="7"/>
    <n v="1"/>
    <n v="0"/>
    <n v="0"/>
    <n v="30"/>
    <n v="5"/>
    <n v="30"/>
    <n v="30"/>
    <n v="0.20408163265306123"/>
    <n v="0.79591836734693877"/>
    <n v="0"/>
    <n v="0.92307692307692313"/>
    <n v="0.19230769230769232"/>
    <n v="1"/>
    <n v="20"/>
    <n v="0"/>
    <n v="100"/>
    <s v="No"/>
    <s v=""/>
    <n v="0"/>
    <n v="0"/>
    <n v="0"/>
    <n v="0"/>
    <s v="uncovered"/>
    <x v="0"/>
    <x v="0"/>
    <x v="0"/>
    <n v="25.387892000000001"/>
    <n v="97.325181999999998"/>
    <s v="MMR001CMP276"/>
    <x v="0"/>
    <m/>
    <n v="26"/>
    <n v="138"/>
  </r>
  <r>
    <x v="0"/>
    <x v="1"/>
    <x v="1"/>
    <s v="ECHO"/>
    <x v="0"/>
    <x v="2"/>
    <x v="0"/>
    <x v="127"/>
    <n v="40"/>
    <n v="255"/>
    <d v="2022-04-01T00:00:00"/>
    <d v="2022-11-30T00:00:00"/>
    <m/>
    <m/>
    <m/>
    <m/>
    <s v="Yes"/>
    <n v="3"/>
    <n v="10"/>
    <n v="2"/>
    <m/>
    <m/>
    <n v="2"/>
    <m/>
    <m/>
    <m/>
    <n v="1"/>
    <m/>
    <m/>
    <m/>
    <m/>
    <m/>
    <m/>
    <m/>
    <m/>
    <m/>
    <m/>
    <m/>
    <n v="10"/>
    <m/>
    <m/>
    <m/>
    <n v="16"/>
    <m/>
    <m/>
    <m/>
    <m/>
    <m/>
    <m/>
    <m/>
    <x v="1"/>
    <x v="1"/>
    <m/>
    <m/>
    <m/>
    <m/>
    <m/>
    <m/>
    <n v="8"/>
    <m/>
    <m/>
    <n v="1"/>
    <m/>
    <n v="1"/>
    <n v="1"/>
    <m/>
    <m/>
    <m/>
    <m/>
    <m/>
    <m/>
    <n v="0.77777777777777779"/>
    <n v="1"/>
    <n v="9"/>
    <m/>
    <m/>
    <m/>
    <m/>
    <m/>
    <m/>
    <m/>
    <m/>
    <s v="no test"/>
    <s v="no test"/>
    <s v="No Test"/>
    <n v="2"/>
    <n v="2"/>
    <n v="1"/>
    <n v="0"/>
    <n v="0"/>
    <n v="0"/>
    <n v="0"/>
    <n v="1"/>
    <n v="1"/>
    <n v="1"/>
    <n v="255"/>
    <n v="0"/>
    <n v="0"/>
    <n v="1"/>
    <n v="255"/>
    <n v="0.51"/>
    <n v="0"/>
    <n v="0"/>
    <n v="0.49"/>
    <n v="1"/>
    <n v="16"/>
    <n v="1"/>
    <n v="255"/>
    <n v="0"/>
    <n v="0"/>
    <n v="0"/>
    <n v="13"/>
    <n v="0"/>
    <n v="0"/>
    <n v="0"/>
    <n v="255"/>
    <n v="0"/>
    <n v="0"/>
    <n v="0"/>
    <n v="255"/>
    <n v="1"/>
    <n v="0"/>
    <n v="1"/>
    <n v="0"/>
    <n v="0"/>
    <n v="8"/>
    <n v="40"/>
    <n v="0"/>
    <n v="255"/>
    <s v="No"/>
    <n v="3.5294117647058823E-2"/>
    <n v="0"/>
    <n v="0"/>
    <n v="0"/>
    <s v="Yes"/>
    <s v="KBC-BMO"/>
    <x v="0"/>
    <x v="0"/>
    <x v="0"/>
    <n v="24.207332999999998"/>
    <n v="97.710864000000001"/>
    <s v="MMR001CMP073"/>
    <x v="1"/>
    <m/>
    <n v="47"/>
    <n v="279"/>
  </r>
  <r>
    <x v="0"/>
    <x v="8"/>
    <x v="7"/>
    <s v="UNICEF, MHF"/>
    <x v="0"/>
    <x v="3"/>
    <x v="0"/>
    <x v="128"/>
    <n v="382"/>
    <n v="1532"/>
    <s v="10/1/2020, 8-4-21"/>
    <s v="4/30/2022, 8-3-22"/>
    <m/>
    <n v="6"/>
    <m/>
    <m/>
    <s v="Yes"/>
    <m/>
    <n v="2"/>
    <m/>
    <m/>
    <m/>
    <m/>
    <m/>
    <m/>
    <m/>
    <m/>
    <m/>
    <m/>
    <m/>
    <m/>
    <m/>
    <m/>
    <m/>
    <m/>
    <m/>
    <m/>
    <m/>
    <m/>
    <m/>
    <m/>
    <m/>
    <n v="391"/>
    <m/>
    <m/>
    <m/>
    <m/>
    <m/>
    <m/>
    <n v="413"/>
    <x v="1"/>
    <x v="1"/>
    <m/>
    <m/>
    <m/>
    <m/>
    <m/>
    <m/>
    <n v="7"/>
    <m/>
    <m/>
    <n v="7"/>
    <m/>
    <n v="3"/>
    <n v="3"/>
    <n v="104"/>
    <n v="148"/>
    <m/>
    <m/>
    <m/>
    <m/>
    <m/>
    <m/>
    <m/>
    <m/>
    <m/>
    <m/>
    <m/>
    <m/>
    <m/>
    <m/>
    <m/>
    <s v="no test"/>
    <s v="no test"/>
    <s v="No Test"/>
    <n v="0"/>
    <n v="0"/>
    <n v="0"/>
    <n v="0"/>
    <n v="0"/>
    <n v="0"/>
    <n v="0"/>
    <n v="0"/>
    <n v="0"/>
    <n v="0"/>
    <n v="0"/>
    <n v="0"/>
    <n v="0"/>
    <n v="0"/>
    <n v="0"/>
    <n v="0"/>
    <n v="1"/>
    <n v="1532"/>
    <n v="3"/>
    <n v="3"/>
    <n v="391"/>
    <n v="1"/>
    <n v="1532"/>
    <n v="0"/>
    <n v="0"/>
    <n v="0"/>
    <n v="77"/>
    <n v="0"/>
    <n v="0"/>
    <n v="0"/>
    <n v="1532"/>
    <n v="520"/>
    <n v="148"/>
    <n v="520"/>
    <n v="1532"/>
    <n v="1"/>
    <n v="0"/>
    <n v="1"/>
    <n v="0.27225130890052357"/>
    <n v="0.38743455497382201"/>
    <n v="7"/>
    <n v="140"/>
    <n v="0"/>
    <n v="700"/>
    <s v="No"/>
    <s v=""/>
    <n v="0"/>
    <n v="0"/>
    <n v="0"/>
    <s v="Yes"/>
    <s v="KBC-MYT"/>
    <x v="0"/>
    <x v="0"/>
    <x v="1"/>
    <n v="25.418084"/>
    <n v="98.025662999999994"/>
    <s v="MMR001CMP249"/>
    <x v="1"/>
    <m/>
    <n v="380"/>
    <n v="1877"/>
  </r>
  <r>
    <x v="0"/>
    <x v="7"/>
    <x v="7"/>
    <s v="UNICEF"/>
    <x v="0"/>
    <x v="1"/>
    <x v="0"/>
    <x v="129"/>
    <n v="28"/>
    <n v="103"/>
    <d v="2020-10-01T00:00:00"/>
    <d v="2022-04-30T00:00:00"/>
    <m/>
    <n v="1"/>
    <m/>
    <m/>
    <s v="Yes"/>
    <m/>
    <n v="4"/>
    <n v="1"/>
    <m/>
    <m/>
    <n v="1"/>
    <m/>
    <m/>
    <m/>
    <m/>
    <m/>
    <m/>
    <m/>
    <m/>
    <m/>
    <m/>
    <m/>
    <m/>
    <m/>
    <m/>
    <m/>
    <m/>
    <m/>
    <m/>
    <m/>
    <n v="8"/>
    <m/>
    <m/>
    <m/>
    <m/>
    <m/>
    <m/>
    <n v="8"/>
    <x v="1"/>
    <x v="3"/>
    <m/>
    <m/>
    <m/>
    <m/>
    <m/>
    <m/>
    <n v="7"/>
    <m/>
    <m/>
    <n v="7"/>
    <m/>
    <m/>
    <n v="1"/>
    <n v="104"/>
    <n v="148"/>
    <m/>
    <m/>
    <m/>
    <m/>
    <m/>
    <m/>
    <m/>
    <m/>
    <m/>
    <m/>
    <m/>
    <m/>
    <m/>
    <m/>
    <m/>
    <s v="no test"/>
    <s v="no test"/>
    <s v="No Test"/>
    <n v="1"/>
    <n v="1"/>
    <n v="0"/>
    <n v="0"/>
    <n v="0"/>
    <n v="0"/>
    <n v="0"/>
    <n v="1"/>
    <n v="1"/>
    <n v="1"/>
    <n v="103"/>
    <n v="0"/>
    <n v="0"/>
    <n v="1"/>
    <n v="103"/>
    <n v="0.20599999999999999"/>
    <n v="0"/>
    <n v="0"/>
    <n v="0.79400000000000004"/>
    <n v="1"/>
    <n v="8"/>
    <n v="1"/>
    <n v="103"/>
    <n v="0"/>
    <n v="0"/>
    <n v="0"/>
    <n v="5"/>
    <n v="0"/>
    <n v="0"/>
    <n v="0"/>
    <n v="103"/>
    <n v="103"/>
    <n v="103"/>
    <n v="103"/>
    <n v="103"/>
    <n v="1"/>
    <n v="0"/>
    <n v="1"/>
    <n v="1"/>
    <n v="1"/>
    <n v="7"/>
    <n v="28"/>
    <n v="0"/>
    <n v="103"/>
    <s v="No"/>
    <s v=""/>
    <n v="0"/>
    <n v="0"/>
    <n v="0"/>
    <s v="Yes"/>
    <s v="KBC-MYT"/>
    <x v="0"/>
    <x v="0"/>
    <x v="0"/>
    <n v="25.920006000000001"/>
    <n v="96.662092000000001"/>
    <s v="MMR001CMP244"/>
    <x v="1"/>
    <m/>
    <n v="24"/>
    <n v="110"/>
  </r>
  <r>
    <x v="0"/>
    <x v="8"/>
    <x v="7"/>
    <s v="UNICEF,MHF"/>
    <x v="0"/>
    <x v="7"/>
    <x v="0"/>
    <x v="130"/>
    <n v="117"/>
    <n v="583"/>
    <s v="10/1/2020, 8-4-21"/>
    <s v="4/30/2022, 8-3-22"/>
    <m/>
    <n v="2"/>
    <m/>
    <m/>
    <s v="No"/>
    <m/>
    <n v="4"/>
    <n v="1"/>
    <m/>
    <m/>
    <n v="1"/>
    <m/>
    <m/>
    <m/>
    <m/>
    <m/>
    <m/>
    <m/>
    <m/>
    <m/>
    <m/>
    <n v="2"/>
    <m/>
    <m/>
    <m/>
    <m/>
    <m/>
    <m/>
    <m/>
    <m/>
    <n v="13"/>
    <m/>
    <m/>
    <m/>
    <m/>
    <m/>
    <m/>
    <n v="13"/>
    <x v="1"/>
    <x v="1"/>
    <m/>
    <m/>
    <m/>
    <m/>
    <m/>
    <m/>
    <n v="7"/>
    <m/>
    <m/>
    <n v="4"/>
    <m/>
    <n v="1"/>
    <n v="2"/>
    <n v="124"/>
    <n v="198"/>
    <m/>
    <m/>
    <m/>
    <m/>
    <m/>
    <m/>
    <n v="571.34"/>
    <n v="0.48"/>
    <m/>
    <m/>
    <m/>
    <n v="0"/>
    <n v="0"/>
    <m/>
    <m/>
    <s v="no test"/>
    <s v="no test"/>
    <s v="No Test"/>
    <n v="1"/>
    <n v="1"/>
    <n v="0"/>
    <n v="0"/>
    <n v="0"/>
    <n v="0"/>
    <n v="0"/>
    <n v="1"/>
    <n v="0.85763293310463118"/>
    <n v="1"/>
    <n v="583"/>
    <n v="0"/>
    <n v="0"/>
    <n v="1"/>
    <n v="583"/>
    <n v="1.1659999999999999"/>
    <n v="0"/>
    <n v="0"/>
    <n v="0"/>
    <n v="1"/>
    <n v="13"/>
    <n v="0.44596912521440824"/>
    <n v="260"/>
    <n v="0"/>
    <n v="0"/>
    <n v="0"/>
    <n v="29"/>
    <n v="16"/>
    <n v="0.55403087478559176"/>
    <n v="0"/>
    <n v="583"/>
    <n v="583"/>
    <n v="198"/>
    <n v="583"/>
    <n v="583"/>
    <n v="1"/>
    <n v="0"/>
    <n v="1"/>
    <n v="1"/>
    <n v="1"/>
    <n v="7"/>
    <n v="117"/>
    <n v="0"/>
    <n v="583"/>
    <s v="No"/>
    <n v="0.98000000000000009"/>
    <n v="0"/>
    <n v="0"/>
    <n v="0"/>
    <s v="Yes"/>
    <s v="KBC-MYT"/>
    <x v="0"/>
    <x v="0"/>
    <x v="0"/>
    <n v="25.412313000000001"/>
    <n v="97.399628000000007"/>
    <s v="MMR001CMP006"/>
    <x v="1"/>
    <m/>
    <n v="110"/>
    <n v="562"/>
  </r>
  <r>
    <x v="0"/>
    <x v="2"/>
    <x v="2"/>
    <s v="DFID"/>
    <x v="0"/>
    <x v="7"/>
    <x v="0"/>
    <x v="131"/>
    <n v="26"/>
    <n v="119"/>
    <d v="2021-01-01T00:00:00"/>
    <d v="2022-03-31T00:00:00"/>
    <m/>
    <n v="1"/>
    <m/>
    <m/>
    <s v="Yes"/>
    <n v="1"/>
    <n v="4"/>
    <n v="1"/>
    <m/>
    <m/>
    <m/>
    <m/>
    <m/>
    <m/>
    <m/>
    <m/>
    <m/>
    <m/>
    <m/>
    <m/>
    <m/>
    <m/>
    <m/>
    <m/>
    <m/>
    <m/>
    <n v="2"/>
    <m/>
    <m/>
    <m/>
    <n v="2"/>
    <n v="5"/>
    <s v="Chruch"/>
    <m/>
    <m/>
    <m/>
    <m/>
    <m/>
    <x v="1"/>
    <x v="1"/>
    <m/>
    <m/>
    <m/>
    <m/>
    <m/>
    <m/>
    <n v="7"/>
    <m/>
    <m/>
    <n v="4"/>
    <m/>
    <m/>
    <n v="1"/>
    <n v="124"/>
    <n v="198"/>
    <m/>
    <m/>
    <m/>
    <m/>
    <m/>
    <m/>
    <n v="60"/>
    <n v="0.5"/>
    <m/>
    <m/>
    <m/>
    <m/>
    <m/>
    <m/>
    <m/>
    <s v="no test"/>
    <s v="no test"/>
    <s v="No Test"/>
    <n v="1"/>
    <n v="0"/>
    <n v="0"/>
    <n v="0"/>
    <n v="0"/>
    <n v="0"/>
    <n v="0"/>
    <n v="1"/>
    <n v="1"/>
    <n v="1"/>
    <n v="119"/>
    <n v="0"/>
    <n v="0"/>
    <n v="1"/>
    <n v="119"/>
    <n v="0.23799999999999999"/>
    <n v="0"/>
    <n v="0"/>
    <n v="0.76200000000000001"/>
    <n v="1"/>
    <n v="7"/>
    <n v="1"/>
    <n v="119"/>
    <n v="0"/>
    <n v="0"/>
    <n v="0"/>
    <n v="6"/>
    <n v="0"/>
    <n v="0"/>
    <n v="0"/>
    <n v="119"/>
    <n v="119"/>
    <n v="119"/>
    <n v="119"/>
    <n v="119"/>
    <n v="1"/>
    <n v="0"/>
    <n v="1"/>
    <n v="1"/>
    <n v="1"/>
    <n v="7"/>
    <n v="26"/>
    <n v="0"/>
    <n v="119"/>
    <s v="No"/>
    <n v="0.50420168067226889"/>
    <n v="0"/>
    <n v="0"/>
    <n v="0"/>
    <s v="Yes"/>
    <s v="Shalom"/>
    <x v="0"/>
    <x v="0"/>
    <x v="0"/>
    <n v="25.423817"/>
    <n v="97.418004999999994"/>
    <s v="MMR001CMP007"/>
    <x v="1"/>
    <m/>
    <n v="26"/>
    <n v="119"/>
  </r>
  <r>
    <x v="0"/>
    <x v="7"/>
    <x v="7"/>
    <s v="UNICEF"/>
    <x v="0"/>
    <x v="3"/>
    <x v="0"/>
    <x v="132"/>
    <n v="179"/>
    <n v="958"/>
    <d v="2020-10-01T00:00:00"/>
    <d v="2022-04-30T00:00:00"/>
    <m/>
    <n v="3"/>
    <m/>
    <m/>
    <s v="Yes"/>
    <m/>
    <m/>
    <m/>
    <m/>
    <m/>
    <m/>
    <m/>
    <m/>
    <m/>
    <m/>
    <m/>
    <m/>
    <m/>
    <m/>
    <m/>
    <m/>
    <m/>
    <m/>
    <m/>
    <m/>
    <m/>
    <m/>
    <m/>
    <m/>
    <m/>
    <n v="158"/>
    <m/>
    <m/>
    <m/>
    <m/>
    <m/>
    <m/>
    <n v="158"/>
    <x v="1"/>
    <x v="1"/>
    <m/>
    <m/>
    <m/>
    <m/>
    <m/>
    <m/>
    <n v="7"/>
    <m/>
    <m/>
    <n v="4"/>
    <m/>
    <n v="2"/>
    <n v="1"/>
    <n v="124"/>
    <n v="198"/>
    <m/>
    <m/>
    <m/>
    <m/>
    <m/>
    <m/>
    <m/>
    <m/>
    <m/>
    <m/>
    <m/>
    <m/>
    <m/>
    <m/>
    <m/>
    <s v="no test"/>
    <s v="no test"/>
    <s v="No Test"/>
    <n v="0"/>
    <n v="0"/>
    <n v="0"/>
    <n v="0"/>
    <n v="0"/>
    <n v="0"/>
    <n v="0"/>
    <n v="0"/>
    <n v="0"/>
    <n v="0"/>
    <n v="0"/>
    <n v="0"/>
    <n v="0"/>
    <n v="0"/>
    <n v="0"/>
    <n v="0"/>
    <n v="1"/>
    <n v="958"/>
    <n v="2"/>
    <n v="2"/>
    <n v="158"/>
    <n v="1"/>
    <n v="958"/>
    <n v="0"/>
    <n v="0"/>
    <n v="0"/>
    <n v="48"/>
    <n v="0"/>
    <n v="0"/>
    <n v="0"/>
    <n v="958"/>
    <n v="620"/>
    <n v="198"/>
    <n v="620"/>
    <n v="958"/>
    <n v="1"/>
    <n v="0"/>
    <n v="1"/>
    <n v="1"/>
    <n v="1"/>
    <n v="7"/>
    <n v="140"/>
    <n v="0"/>
    <n v="700"/>
    <s v="No"/>
    <s v=""/>
    <n v="0"/>
    <n v="0"/>
    <n v="0"/>
    <s v="Yes"/>
    <s v="KBC-MYT"/>
    <x v="0"/>
    <x v="0"/>
    <x v="0"/>
    <n v="25.418084"/>
    <n v="98.025662999999994"/>
    <s v="MMR001CMP041"/>
    <x v="1"/>
    <m/>
    <n v="213"/>
    <n v="1172"/>
  </r>
  <r>
    <x v="0"/>
    <x v="11"/>
    <x v="7"/>
    <s v="MHF"/>
    <x v="0"/>
    <x v="12"/>
    <x v="0"/>
    <x v="133"/>
    <n v="49"/>
    <n v="300"/>
    <d v="2021-08-04T00:00:00"/>
    <d v="2022-08-03T00:00:00"/>
    <m/>
    <n v="4"/>
    <m/>
    <m/>
    <s v="Yes"/>
    <n v="2"/>
    <n v="4"/>
    <m/>
    <m/>
    <m/>
    <m/>
    <n v="2"/>
    <m/>
    <m/>
    <m/>
    <m/>
    <m/>
    <m/>
    <m/>
    <m/>
    <m/>
    <m/>
    <n v="1"/>
    <n v="1"/>
    <n v="10"/>
    <n v="8"/>
    <n v="5"/>
    <m/>
    <m/>
    <m/>
    <n v="13"/>
    <m/>
    <m/>
    <m/>
    <m/>
    <m/>
    <m/>
    <m/>
    <x v="1"/>
    <x v="1"/>
    <m/>
    <m/>
    <n v="4"/>
    <m/>
    <n v="4"/>
    <m/>
    <n v="3"/>
    <m/>
    <m/>
    <n v="2"/>
    <m/>
    <m/>
    <n v="2"/>
    <n v="10"/>
    <n v="18"/>
    <m/>
    <m/>
    <m/>
    <m/>
    <m/>
    <m/>
    <m/>
    <m/>
    <m/>
    <m/>
    <m/>
    <m/>
    <m/>
    <m/>
    <m/>
    <n v="1"/>
    <n v="0.8"/>
    <s v="Tested"/>
    <n v="0"/>
    <n v="2"/>
    <n v="0"/>
    <n v="0"/>
    <n v="0"/>
    <n v="0"/>
    <n v="0"/>
    <n v="1"/>
    <n v="1"/>
    <n v="1"/>
    <n v="300"/>
    <n v="0"/>
    <n v="0"/>
    <n v="1"/>
    <n v="300"/>
    <n v="0.6"/>
    <n v="0"/>
    <n v="0"/>
    <n v="0.4"/>
    <n v="1"/>
    <n v="13"/>
    <n v="0.88"/>
    <n v="264"/>
    <n v="0"/>
    <n v="0"/>
    <n v="0"/>
    <n v="15"/>
    <n v="2"/>
    <n v="0.12"/>
    <n v="0"/>
    <n v="300"/>
    <n v="50"/>
    <n v="18"/>
    <n v="50"/>
    <n v="300"/>
    <n v="1"/>
    <n v="0"/>
    <n v="1"/>
    <n v="0.81632653061224492"/>
    <n v="0.36734693877551022"/>
    <n v="3"/>
    <n v="49"/>
    <n v="0"/>
    <n v="300"/>
    <s v="No"/>
    <s v=""/>
    <n v="0"/>
    <n v="0"/>
    <n v="0"/>
    <s v="Yes"/>
    <s v="KBC-BMO"/>
    <x v="0"/>
    <x v="0"/>
    <x v="0"/>
    <n v="24.200361000000001"/>
    <n v="96.807353000000006"/>
    <s v="MMR001CMP067"/>
    <x v="1"/>
    <m/>
    <n v="46"/>
    <n v="263"/>
  </r>
  <r>
    <x v="0"/>
    <x v="3"/>
    <x v="3"/>
    <s v="USAID, HOPE-71, HOPE-94"/>
    <x v="0"/>
    <x v="12"/>
    <x v="0"/>
    <x v="134"/>
    <n v="43"/>
    <n v="182"/>
    <s v="13-8-2021, 6-1-2020, 1-7-2021"/>
    <s v="12-2-2022, 30-11-2021, 30.4.2021"/>
    <m/>
    <m/>
    <m/>
    <m/>
    <s v="Yes"/>
    <n v="1"/>
    <n v="1"/>
    <m/>
    <m/>
    <m/>
    <m/>
    <n v="1"/>
    <m/>
    <m/>
    <m/>
    <m/>
    <m/>
    <m/>
    <m/>
    <m/>
    <m/>
    <m/>
    <m/>
    <m/>
    <m/>
    <m/>
    <m/>
    <m/>
    <m/>
    <m/>
    <n v="9"/>
    <m/>
    <m/>
    <m/>
    <m/>
    <m/>
    <m/>
    <m/>
    <x v="1"/>
    <x v="1"/>
    <m/>
    <m/>
    <m/>
    <m/>
    <m/>
    <m/>
    <n v="3"/>
    <m/>
    <m/>
    <n v="2"/>
    <m/>
    <m/>
    <n v="1"/>
    <n v="10"/>
    <n v="18"/>
    <m/>
    <m/>
    <m/>
    <m/>
    <m/>
    <m/>
    <m/>
    <m/>
    <m/>
    <m/>
    <m/>
    <m/>
    <m/>
    <m/>
    <m/>
    <s v="no test"/>
    <s v="no test"/>
    <s v="No Test"/>
    <n v="0"/>
    <n v="1"/>
    <n v="0"/>
    <n v="0"/>
    <n v="0"/>
    <n v="0"/>
    <n v="0"/>
    <n v="1"/>
    <n v="1"/>
    <n v="1"/>
    <n v="182"/>
    <n v="0"/>
    <n v="0"/>
    <n v="1"/>
    <n v="182"/>
    <n v="0.36399999999999999"/>
    <n v="0"/>
    <n v="0"/>
    <n v="0.63600000000000001"/>
    <n v="1"/>
    <n v="9"/>
    <n v="0.98901098901098905"/>
    <n v="180"/>
    <n v="0"/>
    <n v="0"/>
    <n v="0"/>
    <n v="9"/>
    <n v="0"/>
    <n v="1.098901098901095E-2"/>
    <n v="0"/>
    <n v="182"/>
    <n v="50"/>
    <n v="18"/>
    <n v="50"/>
    <n v="182"/>
    <n v="1"/>
    <n v="0"/>
    <n v="1"/>
    <n v="0.93023255813953487"/>
    <n v="0.41860465116279072"/>
    <n v="3"/>
    <n v="43"/>
    <n v="0"/>
    <n v="182"/>
    <s v="No"/>
    <s v=""/>
    <n v="0"/>
    <n v="0"/>
    <n v="0"/>
    <s v="Yes"/>
    <s v="KMSS-BMO"/>
    <x v="0"/>
    <x v="0"/>
    <x v="0"/>
    <n v="24.200367"/>
    <n v="96.807353000000006"/>
    <s v="MMR001CMP068"/>
    <x v="1"/>
    <m/>
    <n v="35"/>
    <n v="170"/>
  </r>
  <r>
    <x v="0"/>
    <x v="7"/>
    <x v="7"/>
    <s v="UNICEF"/>
    <x v="0"/>
    <x v="7"/>
    <x v="0"/>
    <x v="135"/>
    <n v="93"/>
    <n v="499"/>
    <d v="2020-10-01T00:00:00"/>
    <d v="2022-04-30T00:00:00"/>
    <m/>
    <n v="2"/>
    <m/>
    <m/>
    <s v="Yes"/>
    <m/>
    <n v="5"/>
    <n v="2"/>
    <m/>
    <m/>
    <n v="2"/>
    <m/>
    <m/>
    <m/>
    <m/>
    <m/>
    <m/>
    <m/>
    <m/>
    <m/>
    <m/>
    <n v="2"/>
    <m/>
    <m/>
    <m/>
    <m/>
    <m/>
    <m/>
    <m/>
    <m/>
    <n v="17"/>
    <m/>
    <m/>
    <m/>
    <m/>
    <m/>
    <m/>
    <n v="17"/>
    <x v="1"/>
    <x v="1"/>
    <m/>
    <m/>
    <m/>
    <m/>
    <m/>
    <m/>
    <n v="3"/>
    <m/>
    <m/>
    <n v="2"/>
    <m/>
    <m/>
    <n v="2"/>
    <n v="88"/>
    <n v="100"/>
    <m/>
    <m/>
    <m/>
    <m/>
    <m/>
    <m/>
    <m/>
    <m/>
    <m/>
    <m/>
    <m/>
    <m/>
    <m/>
    <m/>
    <m/>
    <s v="no test"/>
    <s v="no test"/>
    <s v="No Test"/>
    <n v="2"/>
    <n v="2"/>
    <n v="0"/>
    <n v="0"/>
    <n v="0"/>
    <n v="0"/>
    <n v="0"/>
    <n v="1"/>
    <n v="1"/>
    <n v="1"/>
    <n v="499"/>
    <n v="0"/>
    <n v="0"/>
    <n v="1"/>
    <n v="499"/>
    <n v="0.998"/>
    <n v="0"/>
    <n v="0"/>
    <n v="2.0000000000000018E-3"/>
    <n v="1"/>
    <n v="17"/>
    <n v="0.68136272545090182"/>
    <n v="340"/>
    <n v="0"/>
    <n v="0"/>
    <n v="0"/>
    <n v="25"/>
    <n v="8"/>
    <n v="0.31863727454909818"/>
    <n v="0"/>
    <n v="499"/>
    <n v="440"/>
    <n v="100"/>
    <n v="440"/>
    <n v="499"/>
    <n v="1"/>
    <n v="0"/>
    <n v="1"/>
    <n v="1"/>
    <n v="1"/>
    <n v="3"/>
    <n v="60"/>
    <n v="0"/>
    <n v="300"/>
    <s v="No"/>
    <s v=""/>
    <n v="0"/>
    <n v="0"/>
    <n v="0"/>
    <s v="Yes"/>
    <s v="KBC-MYT"/>
    <x v="0"/>
    <x v="0"/>
    <x v="0"/>
    <n v="25.440928"/>
    <n v="97.419403000000003"/>
    <s v="MMR001CMP009"/>
    <x v="1"/>
    <m/>
    <n v="104"/>
    <n v="633"/>
  </r>
  <r>
    <x v="0"/>
    <x v="4"/>
    <x v="4"/>
    <s v="UNICEF"/>
    <x v="0"/>
    <x v="13"/>
    <x v="0"/>
    <x v="136"/>
    <n v="133"/>
    <n v="622"/>
    <d v="2021-08-06T00:00:00"/>
    <d v="2022-08-05T00:00:00"/>
    <m/>
    <n v="1"/>
    <m/>
    <m/>
    <s v="Yes"/>
    <n v="4"/>
    <n v="2"/>
    <n v="1"/>
    <m/>
    <m/>
    <n v="1"/>
    <m/>
    <m/>
    <m/>
    <m/>
    <m/>
    <m/>
    <m/>
    <m/>
    <m/>
    <m/>
    <m/>
    <m/>
    <m/>
    <m/>
    <m/>
    <n v="5"/>
    <m/>
    <m/>
    <m/>
    <m/>
    <m/>
    <m/>
    <m/>
    <m/>
    <m/>
    <m/>
    <m/>
    <x v="1"/>
    <x v="1"/>
    <m/>
    <m/>
    <m/>
    <m/>
    <m/>
    <m/>
    <n v="8"/>
    <m/>
    <m/>
    <n v="3"/>
    <m/>
    <m/>
    <m/>
    <n v="91"/>
    <n v="124"/>
    <m/>
    <n v="100"/>
    <n v="0.25"/>
    <m/>
    <m/>
    <m/>
    <m/>
    <m/>
    <m/>
    <m/>
    <m/>
    <m/>
    <m/>
    <m/>
    <m/>
    <s v="no test"/>
    <s v="no test"/>
    <s v="No Test"/>
    <n v="1"/>
    <n v="1"/>
    <n v="0"/>
    <n v="0"/>
    <n v="0"/>
    <n v="0"/>
    <n v="0"/>
    <n v="1"/>
    <n v="0.8038585209003215"/>
    <n v="1"/>
    <n v="622"/>
    <n v="0"/>
    <n v="0"/>
    <n v="1"/>
    <n v="622"/>
    <n v="1.244"/>
    <n v="0"/>
    <n v="0"/>
    <n v="0"/>
    <n v="1"/>
    <n v="0"/>
    <n v="0"/>
    <n v="0"/>
    <n v="0"/>
    <n v="0"/>
    <n v="0"/>
    <n v="31"/>
    <n v="31"/>
    <n v="1"/>
    <n v="0"/>
    <n v="0"/>
    <n v="455"/>
    <n v="124"/>
    <n v="455"/>
    <n v="455"/>
    <n v="0.73151125401929262"/>
    <n v="0.26848874598070738"/>
    <n v="0"/>
    <n v="1"/>
    <n v="0.93233082706766912"/>
    <n v="8"/>
    <n v="133"/>
    <n v="0"/>
    <n v="622"/>
    <s v="No"/>
    <s v=""/>
    <n v="0"/>
    <n v="0"/>
    <n v="0"/>
    <s v="Yes"/>
    <s v="KMSS-MYT"/>
    <x v="0"/>
    <x v="0"/>
    <x v="0"/>
    <n v="26.350176000000001"/>
    <n v="96.711387999999999"/>
    <s v="MMR001CMP251"/>
    <x v="1"/>
    <m/>
    <n v="133"/>
    <n v="622"/>
  </r>
  <r>
    <x v="0"/>
    <x v="4"/>
    <x v="4"/>
    <s v="UNICEF"/>
    <x v="0"/>
    <x v="10"/>
    <x v="0"/>
    <x v="137"/>
    <n v="11"/>
    <n v="68"/>
    <d v="2021-08-06T00:00:00"/>
    <d v="2022-08-05T00:00:00"/>
    <m/>
    <m/>
    <m/>
    <m/>
    <s v="Yes"/>
    <m/>
    <n v="8"/>
    <n v="1"/>
    <m/>
    <m/>
    <m/>
    <m/>
    <m/>
    <m/>
    <m/>
    <m/>
    <m/>
    <m/>
    <m/>
    <m/>
    <m/>
    <m/>
    <m/>
    <m/>
    <m/>
    <m/>
    <n v="4"/>
    <m/>
    <m/>
    <m/>
    <n v="7"/>
    <m/>
    <m/>
    <m/>
    <m/>
    <m/>
    <m/>
    <m/>
    <x v="1"/>
    <x v="1"/>
    <n v="1"/>
    <m/>
    <m/>
    <m/>
    <m/>
    <m/>
    <n v="7"/>
    <m/>
    <m/>
    <n v="7"/>
    <m/>
    <m/>
    <n v="1"/>
    <n v="104"/>
    <n v="148"/>
    <m/>
    <m/>
    <m/>
    <m/>
    <m/>
    <m/>
    <m/>
    <m/>
    <m/>
    <m/>
    <m/>
    <m/>
    <m/>
    <m/>
    <m/>
    <s v="no test"/>
    <s v="no test"/>
    <s v="No Test"/>
    <n v="1"/>
    <n v="0"/>
    <n v="0"/>
    <n v="0"/>
    <n v="0"/>
    <n v="0"/>
    <n v="0"/>
    <n v="1"/>
    <n v="1"/>
    <n v="1"/>
    <n v="68"/>
    <n v="0"/>
    <n v="0"/>
    <n v="1"/>
    <n v="68"/>
    <n v="0.13600000000000001"/>
    <n v="0"/>
    <n v="0"/>
    <n v="0.86399999999999999"/>
    <n v="1"/>
    <n v="7"/>
    <n v="1"/>
    <n v="68"/>
    <n v="0"/>
    <n v="0"/>
    <n v="0"/>
    <n v="3"/>
    <n v="0"/>
    <n v="0"/>
    <n v="0"/>
    <n v="68"/>
    <n v="68"/>
    <n v="68"/>
    <n v="68"/>
    <n v="68"/>
    <n v="1"/>
    <n v="0"/>
    <n v="1"/>
    <n v="1"/>
    <n v="1"/>
    <n v="7"/>
    <n v="11"/>
    <n v="0"/>
    <n v="68"/>
    <s v="No"/>
    <s v=""/>
    <n v="0"/>
    <n v="0"/>
    <n v="0"/>
    <s v="Yes"/>
    <s v="KMSS-MYT"/>
    <x v="0"/>
    <x v="5"/>
    <x v="0"/>
    <n v="24.764800000000001"/>
    <n v="96.367059999999995"/>
    <s v="MMR001CMP080"/>
    <x v="1"/>
    <m/>
    <n v="11"/>
    <n v="68"/>
  </r>
  <r>
    <x v="0"/>
    <x v="0"/>
    <x v="0"/>
    <m/>
    <x v="0"/>
    <x v="1"/>
    <x v="0"/>
    <x v="138"/>
    <n v="95"/>
    <n v="472"/>
    <m/>
    <m/>
    <m/>
    <m/>
    <m/>
    <m/>
    <m/>
    <m/>
    <m/>
    <m/>
    <m/>
    <m/>
    <m/>
    <m/>
    <m/>
    <m/>
    <m/>
    <m/>
    <m/>
    <m/>
    <m/>
    <m/>
    <m/>
    <m/>
    <m/>
    <m/>
    <m/>
    <m/>
    <m/>
    <m/>
    <m/>
    <m/>
    <m/>
    <m/>
    <m/>
    <m/>
    <m/>
    <m/>
    <m/>
    <m/>
    <x v="0"/>
    <x v="0"/>
    <m/>
    <m/>
    <m/>
    <m/>
    <m/>
    <m/>
    <n v="8"/>
    <m/>
    <m/>
    <n v="3"/>
    <m/>
    <m/>
    <m/>
    <n v="91"/>
    <n v="124"/>
    <m/>
    <m/>
    <m/>
    <m/>
    <m/>
    <m/>
    <m/>
    <m/>
    <m/>
    <m/>
    <m/>
    <m/>
    <m/>
    <m/>
    <m/>
    <s v="no test"/>
    <s v="no test"/>
    <s v="No Test"/>
    <n v="0"/>
    <n v="0"/>
    <n v="0"/>
    <n v="0"/>
    <n v="0"/>
    <n v="0"/>
    <n v="0"/>
    <n v="0"/>
    <n v="0"/>
    <n v="0"/>
    <n v="0"/>
    <n v="0"/>
    <n v="0"/>
    <n v="0"/>
    <n v="0"/>
    <n v="0"/>
    <n v="1"/>
    <n v="472"/>
    <n v="1"/>
    <n v="1"/>
    <n v="0"/>
    <n v="0"/>
    <n v="0"/>
    <n v="0"/>
    <n v="0"/>
    <n v="0"/>
    <n v="24"/>
    <n v="24"/>
    <n v="1"/>
    <n v="0"/>
    <n v="0"/>
    <n v="455"/>
    <n v="124"/>
    <n v="455"/>
    <n v="455"/>
    <n v="0.96398305084745761"/>
    <n v="3.6016949152542388E-2"/>
    <n v="0"/>
    <n v="1"/>
    <n v="1"/>
    <n v="8"/>
    <n v="95"/>
    <n v="0"/>
    <n v="472"/>
    <s v="No"/>
    <s v=""/>
    <n v="0"/>
    <n v="0"/>
    <n v="0"/>
    <s v="Yes"/>
    <s v="KMSS-MYT"/>
    <x v="0"/>
    <x v="0"/>
    <x v="0"/>
    <n v="25.656009999999998"/>
    <n v="96.361609999999999"/>
    <s v="MMR001CMP168"/>
    <x v="0"/>
    <m/>
    <n v="90"/>
    <n v="456"/>
  </r>
  <r>
    <x v="0"/>
    <x v="4"/>
    <x v="4"/>
    <s v="UNICEF"/>
    <x v="0"/>
    <x v="8"/>
    <x v="0"/>
    <x v="139"/>
    <n v="48"/>
    <n v="267"/>
    <d v="2021-08-06T00:00:00"/>
    <d v="2022-08-05T00:00:00"/>
    <m/>
    <n v="1"/>
    <m/>
    <m/>
    <s v="Yes"/>
    <n v="2"/>
    <n v="3"/>
    <n v="3"/>
    <m/>
    <n v="1"/>
    <m/>
    <m/>
    <m/>
    <m/>
    <m/>
    <m/>
    <m/>
    <m/>
    <m/>
    <m/>
    <m/>
    <m/>
    <n v="3"/>
    <m/>
    <m/>
    <m/>
    <n v="10"/>
    <m/>
    <m/>
    <m/>
    <n v="14"/>
    <m/>
    <m/>
    <m/>
    <m/>
    <m/>
    <m/>
    <m/>
    <x v="1"/>
    <x v="2"/>
    <n v="1"/>
    <m/>
    <m/>
    <m/>
    <m/>
    <m/>
    <n v="8"/>
    <m/>
    <n v="2"/>
    <n v="3"/>
    <m/>
    <m/>
    <n v="1"/>
    <n v="91"/>
    <n v="124"/>
    <m/>
    <n v="100"/>
    <n v="0.5"/>
    <s v="still need to do Hygiene promotion to be practical step "/>
    <m/>
    <m/>
    <m/>
    <m/>
    <m/>
    <m/>
    <m/>
    <m/>
    <m/>
    <m/>
    <m/>
    <n v="0"/>
    <s v="no test"/>
    <s v="Tested"/>
    <n v="3"/>
    <n v="0"/>
    <n v="0"/>
    <n v="0"/>
    <n v="0"/>
    <n v="0"/>
    <n v="0"/>
    <n v="1"/>
    <n v="1"/>
    <n v="1"/>
    <n v="267"/>
    <n v="0"/>
    <n v="0"/>
    <n v="1"/>
    <n v="267"/>
    <n v="0.53400000000000003"/>
    <n v="0"/>
    <n v="0"/>
    <n v="0.46599999999999997"/>
    <n v="1"/>
    <n v="14"/>
    <n v="1"/>
    <n v="267"/>
    <n v="0"/>
    <n v="0"/>
    <n v="0"/>
    <n v="13"/>
    <n v="0"/>
    <n v="0"/>
    <n v="0"/>
    <n v="267"/>
    <n v="267"/>
    <n v="124"/>
    <n v="267"/>
    <n v="267"/>
    <n v="1"/>
    <n v="0"/>
    <n v="1"/>
    <n v="1"/>
    <n v="1"/>
    <n v="8"/>
    <n v="48"/>
    <n v="0"/>
    <n v="267"/>
    <s v="No"/>
    <s v=""/>
    <n v="0"/>
    <n v="0"/>
    <n v="0"/>
    <n v="0"/>
    <s v="KMSS-MYT"/>
    <x v="0"/>
    <x v="0"/>
    <x v="0"/>
    <n v="25.383058999999999"/>
    <n v="97.014313000000001"/>
    <s v="MMR001CMP259"/>
    <x v="1"/>
    <m/>
    <n v="48"/>
    <n v="268"/>
  </r>
  <r>
    <x v="0"/>
    <x v="4"/>
    <x v="4"/>
    <s v="UNICEF"/>
    <x v="0"/>
    <x v="8"/>
    <x v="0"/>
    <x v="140"/>
    <n v="83"/>
    <n v="412"/>
    <d v="2021-08-06T00:00:00"/>
    <d v="2022-08-05T00:00:00"/>
    <m/>
    <m/>
    <m/>
    <m/>
    <s v="Yes"/>
    <m/>
    <n v="1"/>
    <n v="2"/>
    <m/>
    <m/>
    <m/>
    <m/>
    <m/>
    <m/>
    <m/>
    <m/>
    <m/>
    <m/>
    <m/>
    <m/>
    <m/>
    <m/>
    <m/>
    <m/>
    <m/>
    <m/>
    <n v="5"/>
    <m/>
    <m/>
    <m/>
    <n v="18"/>
    <m/>
    <m/>
    <m/>
    <m/>
    <m/>
    <m/>
    <m/>
    <x v="1"/>
    <x v="3"/>
    <m/>
    <m/>
    <m/>
    <m/>
    <m/>
    <m/>
    <n v="3"/>
    <m/>
    <n v="2"/>
    <n v="2"/>
    <m/>
    <m/>
    <m/>
    <n v="10"/>
    <n v="18"/>
    <m/>
    <m/>
    <m/>
    <m/>
    <m/>
    <m/>
    <m/>
    <m/>
    <m/>
    <m/>
    <m/>
    <m/>
    <m/>
    <m/>
    <m/>
    <s v="no test"/>
    <s v="no test"/>
    <s v="No Test"/>
    <n v="2"/>
    <n v="0"/>
    <n v="0"/>
    <n v="0"/>
    <n v="0"/>
    <n v="0"/>
    <n v="0"/>
    <n v="1"/>
    <n v="1"/>
    <n v="1"/>
    <n v="412"/>
    <n v="0"/>
    <n v="0"/>
    <n v="1"/>
    <n v="412"/>
    <n v="0.82399999999999995"/>
    <n v="0"/>
    <n v="0"/>
    <n v="0.17600000000000005"/>
    <n v="1"/>
    <n v="18"/>
    <n v="0.87378640776699024"/>
    <n v="360"/>
    <n v="0"/>
    <n v="0"/>
    <n v="0"/>
    <n v="21"/>
    <n v="3"/>
    <n v="0.12621359223300976"/>
    <n v="0"/>
    <n v="0"/>
    <n v="50"/>
    <n v="18"/>
    <n v="50"/>
    <n v="50"/>
    <n v="0.12135922330097088"/>
    <n v="0.87864077669902918"/>
    <n v="0"/>
    <n v="0.48192771084337349"/>
    <n v="0.21686746987951808"/>
    <n v="3"/>
    <n v="60"/>
    <n v="0"/>
    <n v="300"/>
    <s v="No"/>
    <s v=""/>
    <n v="0"/>
    <n v="0"/>
    <n v="0"/>
    <n v="0"/>
    <s v="KMSS-MYT"/>
    <x v="0"/>
    <x v="0"/>
    <x v="0"/>
    <n v="25.383058999999999"/>
    <n v="97.014313000000001"/>
    <s v="MMR001CMP260"/>
    <x v="1"/>
    <m/>
    <n v="83"/>
    <n v="422"/>
  </r>
  <r>
    <x v="0"/>
    <x v="4"/>
    <x v="4"/>
    <s v="UNICEF"/>
    <x v="0"/>
    <x v="13"/>
    <x v="0"/>
    <x v="141"/>
    <n v="34"/>
    <n v="153"/>
    <d v="2021-08-06T00:00:00"/>
    <d v="2022-08-05T00:00:00"/>
    <m/>
    <n v="1"/>
    <m/>
    <m/>
    <s v="Yes"/>
    <n v="4"/>
    <n v="1"/>
    <m/>
    <m/>
    <m/>
    <n v="2"/>
    <m/>
    <m/>
    <m/>
    <m/>
    <m/>
    <m/>
    <m/>
    <m/>
    <m/>
    <m/>
    <m/>
    <m/>
    <m/>
    <m/>
    <m/>
    <n v="5"/>
    <m/>
    <m/>
    <m/>
    <m/>
    <m/>
    <m/>
    <m/>
    <m/>
    <m/>
    <m/>
    <m/>
    <x v="1"/>
    <x v="2"/>
    <m/>
    <m/>
    <m/>
    <m/>
    <m/>
    <m/>
    <n v="7"/>
    <m/>
    <n v="2"/>
    <n v="4"/>
    <m/>
    <m/>
    <m/>
    <n v="124"/>
    <n v="198"/>
    <m/>
    <n v="50"/>
    <n v="0.25"/>
    <m/>
    <m/>
    <m/>
    <m/>
    <m/>
    <m/>
    <m/>
    <m/>
    <m/>
    <m/>
    <m/>
    <m/>
    <s v="no test"/>
    <s v="no test"/>
    <s v="No Test"/>
    <n v="0"/>
    <n v="2"/>
    <n v="0"/>
    <n v="0"/>
    <n v="0"/>
    <n v="0"/>
    <n v="0"/>
    <n v="1"/>
    <n v="1"/>
    <n v="1"/>
    <n v="153"/>
    <n v="0"/>
    <n v="0"/>
    <n v="1"/>
    <n v="153"/>
    <n v="0.30599999999999999"/>
    <n v="0"/>
    <n v="0"/>
    <n v="0.69399999999999995"/>
    <n v="1"/>
    <n v="0"/>
    <n v="0"/>
    <n v="0"/>
    <n v="0"/>
    <n v="0"/>
    <n v="0"/>
    <n v="8"/>
    <n v="8"/>
    <n v="1"/>
    <n v="0"/>
    <n v="0"/>
    <n v="153"/>
    <n v="153"/>
    <n v="153"/>
    <n v="153"/>
    <n v="1"/>
    <n v="0"/>
    <n v="0"/>
    <n v="1"/>
    <n v="1"/>
    <n v="7"/>
    <n v="34"/>
    <n v="0"/>
    <n v="153"/>
    <s v="No"/>
    <s v=""/>
    <n v="0"/>
    <n v="0"/>
    <n v="0"/>
    <s v="Yes"/>
    <s v="KMSS-MYT"/>
    <x v="0"/>
    <x v="0"/>
    <x v="0"/>
    <n v="26.351690999999999"/>
    <n v="96.690871999999999"/>
    <s v="MMR001CMP254"/>
    <x v="1"/>
    <m/>
    <n v="35"/>
    <n v="161"/>
  </r>
  <r>
    <x v="0"/>
    <x v="11"/>
    <x v="7"/>
    <s v="MHF"/>
    <x v="0"/>
    <x v="13"/>
    <x v="0"/>
    <x v="142"/>
    <n v="108"/>
    <n v="468"/>
    <d v="2021-08-04T00:00:00"/>
    <d v="2022-08-03T00:00:00"/>
    <m/>
    <m/>
    <m/>
    <m/>
    <s v="No"/>
    <n v="1"/>
    <n v="1"/>
    <m/>
    <m/>
    <m/>
    <m/>
    <m/>
    <m/>
    <m/>
    <m/>
    <m/>
    <m/>
    <m/>
    <m/>
    <m/>
    <m/>
    <m/>
    <m/>
    <m/>
    <m/>
    <m/>
    <m/>
    <m/>
    <m/>
    <m/>
    <m/>
    <m/>
    <m/>
    <m/>
    <m/>
    <m/>
    <m/>
    <m/>
    <x v="0"/>
    <x v="0"/>
    <m/>
    <m/>
    <m/>
    <m/>
    <m/>
    <m/>
    <n v="1"/>
    <m/>
    <m/>
    <n v="3"/>
    <m/>
    <m/>
    <n v="1"/>
    <n v="41"/>
    <n v="85"/>
    <m/>
    <m/>
    <m/>
    <m/>
    <m/>
    <m/>
    <m/>
    <m/>
    <m/>
    <m/>
    <m/>
    <m/>
    <m/>
    <m/>
    <m/>
    <s v="no test"/>
    <s v="no test"/>
    <s v="No Test"/>
    <n v="0"/>
    <n v="0"/>
    <n v="0"/>
    <n v="0"/>
    <n v="0"/>
    <n v="0"/>
    <n v="0"/>
    <n v="0"/>
    <n v="0"/>
    <n v="0"/>
    <n v="0"/>
    <n v="0"/>
    <n v="0"/>
    <n v="0"/>
    <n v="0"/>
    <n v="0"/>
    <n v="1"/>
    <n v="468"/>
    <n v="1"/>
    <n v="1"/>
    <n v="0"/>
    <n v="0"/>
    <n v="0"/>
    <n v="0"/>
    <n v="0"/>
    <n v="0"/>
    <n v="23"/>
    <n v="23"/>
    <n v="1"/>
    <n v="0"/>
    <n v="468"/>
    <n v="205"/>
    <n v="85"/>
    <n v="205"/>
    <n v="468"/>
    <n v="1"/>
    <n v="0"/>
    <n v="1"/>
    <n v="1"/>
    <n v="0.78703703703703709"/>
    <n v="1"/>
    <n v="20"/>
    <n v="0"/>
    <n v="100"/>
    <s v="No"/>
    <s v=""/>
    <n v="0"/>
    <n v="0"/>
    <n v="0"/>
    <s v="Yes"/>
    <s v="KBC-MYT"/>
    <x v="0"/>
    <x v="0"/>
    <x v="0"/>
    <n v="26.356223"/>
    <n v="96.721439000000004"/>
    <s v="MMR001CMP253"/>
    <x v="1"/>
    <m/>
    <n v="110"/>
    <n v="486"/>
  </r>
  <r>
    <x v="0"/>
    <x v="7"/>
    <x v="7"/>
    <s v="UNICEF"/>
    <x v="0"/>
    <x v="7"/>
    <x v="0"/>
    <x v="143"/>
    <n v="69"/>
    <n v="351"/>
    <d v="2020-10-01T00:00:00"/>
    <d v="2022-04-30T00:00:00"/>
    <m/>
    <n v="2"/>
    <m/>
    <m/>
    <s v="Yes"/>
    <m/>
    <n v="4"/>
    <m/>
    <m/>
    <m/>
    <n v="2"/>
    <m/>
    <m/>
    <m/>
    <m/>
    <m/>
    <m/>
    <m/>
    <m/>
    <m/>
    <m/>
    <n v="2"/>
    <m/>
    <m/>
    <m/>
    <m/>
    <m/>
    <m/>
    <m/>
    <m/>
    <n v="11"/>
    <m/>
    <m/>
    <m/>
    <m/>
    <m/>
    <m/>
    <n v="11"/>
    <x v="1"/>
    <x v="1"/>
    <m/>
    <m/>
    <m/>
    <m/>
    <m/>
    <m/>
    <n v="3"/>
    <m/>
    <m/>
    <n v="2"/>
    <m/>
    <n v="1"/>
    <n v="1"/>
    <n v="10"/>
    <n v="18"/>
    <m/>
    <m/>
    <m/>
    <m/>
    <m/>
    <m/>
    <m/>
    <m/>
    <m/>
    <m/>
    <m/>
    <m/>
    <m/>
    <m/>
    <m/>
    <s v="no test"/>
    <s v="no test"/>
    <s v="No Test"/>
    <n v="0"/>
    <n v="2"/>
    <n v="0"/>
    <n v="0"/>
    <n v="0"/>
    <n v="0"/>
    <n v="0"/>
    <n v="1"/>
    <n v="1"/>
    <n v="1"/>
    <n v="351"/>
    <n v="0"/>
    <n v="0"/>
    <n v="1"/>
    <n v="351"/>
    <n v="0.70199999999999996"/>
    <n v="0"/>
    <n v="0"/>
    <n v="0.29800000000000004"/>
    <n v="1"/>
    <n v="11"/>
    <n v="0.62678062678062674"/>
    <n v="220"/>
    <n v="0"/>
    <n v="0"/>
    <n v="0"/>
    <n v="18"/>
    <n v="7"/>
    <n v="0.37321937321937326"/>
    <n v="0"/>
    <n v="351"/>
    <n v="50"/>
    <n v="18"/>
    <n v="50"/>
    <n v="351"/>
    <n v="1"/>
    <n v="0"/>
    <n v="1"/>
    <n v="0.57971014492753625"/>
    <n v="0.2608695652173913"/>
    <n v="3"/>
    <n v="60"/>
    <n v="0"/>
    <n v="300"/>
    <s v="No"/>
    <s v=""/>
    <n v="0"/>
    <n v="0"/>
    <n v="0"/>
    <s v="Yes"/>
    <s v="KBC-MYT"/>
    <x v="0"/>
    <x v="0"/>
    <x v="0"/>
    <n v="25.415482000000001"/>
    <n v="97.386718999999999"/>
    <s v="MMR001CMP001"/>
    <x v="1"/>
    <m/>
    <n v="98"/>
    <n v="540"/>
  </r>
  <r>
    <x v="0"/>
    <x v="2"/>
    <x v="2"/>
    <s v="DFID"/>
    <x v="0"/>
    <x v="7"/>
    <x v="0"/>
    <x v="144"/>
    <n v="56"/>
    <n v="262"/>
    <d v="2021-01-01T00:00:00"/>
    <d v="2022-03-31T00:00:00"/>
    <n v="68"/>
    <n v="1"/>
    <m/>
    <m/>
    <s v="Yes"/>
    <n v="2"/>
    <n v="5"/>
    <n v="1"/>
    <m/>
    <m/>
    <n v="5"/>
    <n v="1"/>
    <n v="1"/>
    <n v="4"/>
    <m/>
    <m/>
    <m/>
    <m/>
    <n v="5"/>
    <m/>
    <m/>
    <m/>
    <m/>
    <m/>
    <m/>
    <m/>
    <n v="4"/>
    <m/>
    <m/>
    <s v="ရေတွင်းအသစ် တခုလိုအပ်"/>
    <n v="19"/>
    <m/>
    <m/>
    <m/>
    <m/>
    <m/>
    <m/>
    <m/>
    <x v="1"/>
    <x v="1"/>
    <m/>
    <m/>
    <m/>
    <m/>
    <n v="8"/>
    <m/>
    <n v="3"/>
    <m/>
    <m/>
    <n v="2"/>
    <m/>
    <m/>
    <n v="1"/>
    <n v="88"/>
    <n v="100"/>
    <s v="Yes"/>
    <n v="1"/>
    <n v="0.4"/>
    <m/>
    <n v="1"/>
    <n v="1"/>
    <m/>
    <n v="0.7"/>
    <m/>
    <m/>
    <m/>
    <m/>
    <m/>
    <m/>
    <m/>
    <s v="no test"/>
    <s v="no test"/>
    <s v="No Test"/>
    <n v="1"/>
    <n v="5"/>
    <n v="0"/>
    <n v="0"/>
    <n v="0"/>
    <n v="0"/>
    <n v="0"/>
    <n v="1"/>
    <n v="1"/>
    <n v="1"/>
    <n v="262"/>
    <n v="1"/>
    <n v="262"/>
    <n v="1"/>
    <n v="262"/>
    <n v="0.52400000000000002"/>
    <n v="0"/>
    <n v="0"/>
    <n v="0.47599999999999998"/>
    <n v="1"/>
    <n v="19"/>
    <n v="1"/>
    <n v="262"/>
    <n v="0"/>
    <n v="0"/>
    <n v="0"/>
    <n v="13"/>
    <n v="0"/>
    <n v="0"/>
    <n v="0"/>
    <n v="262"/>
    <n v="262"/>
    <n v="100"/>
    <n v="262"/>
    <n v="262"/>
    <n v="1"/>
    <n v="0"/>
    <n v="1"/>
    <n v="1"/>
    <n v="1"/>
    <n v="3"/>
    <n v="56"/>
    <n v="4"/>
    <n v="262"/>
    <s v="Yes"/>
    <s v=""/>
    <n v="0"/>
    <n v="0"/>
    <n v="0"/>
    <s v="Yes"/>
    <s v="Shalom"/>
    <x v="0"/>
    <x v="0"/>
    <x v="0"/>
    <n v="25.423209"/>
    <n v="97.379987"/>
    <s v="MMR001CMP023"/>
    <x v="1"/>
    <m/>
    <n v="56"/>
    <n v="266"/>
  </r>
  <r>
    <x v="0"/>
    <x v="7"/>
    <x v="7"/>
    <s v="UNICEF"/>
    <x v="0"/>
    <x v="7"/>
    <x v="0"/>
    <x v="145"/>
    <n v="30"/>
    <n v="165"/>
    <d v="2020-10-01T00:00:00"/>
    <d v="2022-04-30T00:00:00"/>
    <m/>
    <n v="1"/>
    <m/>
    <m/>
    <s v="Yes"/>
    <m/>
    <n v="5"/>
    <m/>
    <m/>
    <m/>
    <n v="2"/>
    <m/>
    <m/>
    <m/>
    <m/>
    <m/>
    <m/>
    <m/>
    <m/>
    <m/>
    <m/>
    <n v="3"/>
    <m/>
    <m/>
    <m/>
    <m/>
    <m/>
    <m/>
    <m/>
    <m/>
    <n v="5"/>
    <m/>
    <m/>
    <m/>
    <m/>
    <m/>
    <m/>
    <n v="5"/>
    <x v="1"/>
    <x v="1"/>
    <m/>
    <m/>
    <m/>
    <m/>
    <m/>
    <m/>
    <n v="1"/>
    <m/>
    <m/>
    <n v="3"/>
    <m/>
    <m/>
    <n v="1"/>
    <n v="41"/>
    <n v="85"/>
    <m/>
    <m/>
    <m/>
    <m/>
    <m/>
    <m/>
    <m/>
    <m/>
    <m/>
    <m/>
    <m/>
    <m/>
    <m/>
    <m/>
    <m/>
    <s v="no test"/>
    <s v="no test"/>
    <s v="No Test"/>
    <n v="0"/>
    <n v="2"/>
    <n v="0"/>
    <n v="0"/>
    <n v="0"/>
    <n v="0"/>
    <n v="0"/>
    <n v="1"/>
    <n v="1"/>
    <n v="1"/>
    <n v="165"/>
    <n v="0"/>
    <n v="0"/>
    <n v="1"/>
    <n v="165"/>
    <n v="0.33"/>
    <n v="0"/>
    <n v="0"/>
    <n v="0.66999999999999993"/>
    <n v="1"/>
    <n v="5"/>
    <n v="0.60606060606060608"/>
    <n v="100"/>
    <n v="0"/>
    <n v="0"/>
    <n v="0"/>
    <n v="8"/>
    <n v="3"/>
    <n v="0.39393939393939392"/>
    <n v="0"/>
    <n v="165"/>
    <n v="165"/>
    <n v="85"/>
    <n v="165"/>
    <n v="165"/>
    <n v="1"/>
    <n v="0"/>
    <n v="1"/>
    <n v="1"/>
    <n v="1"/>
    <n v="1"/>
    <n v="20"/>
    <n v="0"/>
    <n v="100"/>
    <s v="No"/>
    <s v=""/>
    <n v="0"/>
    <n v="0"/>
    <n v="0"/>
    <s v="Yes"/>
    <s v="KBC-MYT"/>
    <x v="0"/>
    <x v="0"/>
    <x v="0"/>
    <n v="25.404752999999999"/>
    <n v="97.377662999999998"/>
    <s v="MMR001CMP003"/>
    <x v="1"/>
    <m/>
    <n v="35"/>
    <n v="189"/>
  </r>
  <r>
    <x v="0"/>
    <x v="7"/>
    <x v="7"/>
    <s v="UNICEF"/>
    <x v="0"/>
    <x v="7"/>
    <x v="0"/>
    <x v="146"/>
    <n v="43"/>
    <n v="219"/>
    <d v="2020-10-01T00:00:00"/>
    <d v="2022-04-30T00:00:00"/>
    <m/>
    <n v="1"/>
    <m/>
    <m/>
    <s v="Yes"/>
    <m/>
    <n v="4"/>
    <m/>
    <m/>
    <m/>
    <n v="2"/>
    <m/>
    <m/>
    <m/>
    <m/>
    <m/>
    <m/>
    <m/>
    <m/>
    <m/>
    <m/>
    <n v="3"/>
    <m/>
    <m/>
    <m/>
    <m/>
    <m/>
    <m/>
    <m/>
    <m/>
    <n v="13"/>
    <m/>
    <m/>
    <m/>
    <m/>
    <m/>
    <m/>
    <n v="13"/>
    <x v="1"/>
    <x v="1"/>
    <m/>
    <m/>
    <m/>
    <m/>
    <m/>
    <m/>
    <n v="1"/>
    <m/>
    <m/>
    <n v="1"/>
    <m/>
    <m/>
    <n v="1"/>
    <n v="6"/>
    <n v="5"/>
    <m/>
    <m/>
    <m/>
    <m/>
    <m/>
    <m/>
    <m/>
    <m/>
    <m/>
    <m/>
    <m/>
    <m/>
    <m/>
    <m/>
    <m/>
    <s v="no test"/>
    <s v="no test"/>
    <s v="No Test"/>
    <n v="0"/>
    <n v="2"/>
    <n v="0"/>
    <n v="0"/>
    <n v="0"/>
    <n v="0"/>
    <n v="0"/>
    <n v="1"/>
    <n v="1"/>
    <n v="1"/>
    <n v="219"/>
    <n v="0"/>
    <n v="0"/>
    <n v="1"/>
    <n v="219"/>
    <n v="0.438"/>
    <n v="0"/>
    <n v="0"/>
    <n v="0.56200000000000006"/>
    <n v="1"/>
    <n v="13"/>
    <n v="1"/>
    <n v="219"/>
    <n v="0"/>
    <n v="0"/>
    <n v="0"/>
    <n v="11"/>
    <n v="0"/>
    <n v="0"/>
    <n v="0"/>
    <n v="219"/>
    <n v="30"/>
    <n v="5"/>
    <n v="30"/>
    <n v="219"/>
    <n v="1"/>
    <n v="0"/>
    <n v="1"/>
    <n v="0.55813953488372092"/>
    <n v="0.11627906976744186"/>
    <n v="1"/>
    <n v="20"/>
    <n v="0"/>
    <n v="100"/>
    <s v="No"/>
    <s v=""/>
    <n v="0"/>
    <n v="0"/>
    <n v="0"/>
    <s v="Yes"/>
    <s v="KBC-MYT"/>
    <x v="0"/>
    <x v="0"/>
    <x v="0"/>
    <n v="25.437125999999999"/>
    <n v="97.387276"/>
    <s v="MMR001CMP005"/>
    <x v="1"/>
    <m/>
    <n v="47"/>
    <n v="239"/>
  </r>
  <r>
    <x v="0"/>
    <x v="2"/>
    <x v="2"/>
    <s v="DFID"/>
    <x v="0"/>
    <x v="3"/>
    <x v="0"/>
    <x v="147"/>
    <n v="46"/>
    <n v="192"/>
    <d v="2021-01-01T00:00:00"/>
    <d v="2022-03-31T00:00:00"/>
    <m/>
    <n v="1"/>
    <m/>
    <m/>
    <s v="Yes"/>
    <n v="1"/>
    <n v="4"/>
    <n v="1"/>
    <m/>
    <m/>
    <m/>
    <m/>
    <m/>
    <m/>
    <m/>
    <m/>
    <m/>
    <m/>
    <m/>
    <m/>
    <m/>
    <m/>
    <m/>
    <m/>
    <m/>
    <m/>
    <m/>
    <m/>
    <m/>
    <s v="နွေရာသီတွင် ရေခမ်း၍ ရေအနည်များခြင်း"/>
    <n v="6"/>
    <m/>
    <m/>
    <m/>
    <m/>
    <m/>
    <m/>
    <m/>
    <x v="1"/>
    <x v="1"/>
    <m/>
    <m/>
    <m/>
    <m/>
    <m/>
    <m/>
    <n v="3"/>
    <m/>
    <m/>
    <n v="2"/>
    <m/>
    <m/>
    <n v="1"/>
    <n v="88"/>
    <n v="100"/>
    <m/>
    <m/>
    <n v="0.4"/>
    <m/>
    <n v="0.95"/>
    <n v="0.9"/>
    <n v="3"/>
    <n v="0.99"/>
    <m/>
    <m/>
    <m/>
    <m/>
    <m/>
    <m/>
    <m/>
    <s v="no test"/>
    <s v="no test"/>
    <s v="No Test"/>
    <n v="1"/>
    <n v="0"/>
    <n v="0"/>
    <n v="0"/>
    <n v="0"/>
    <n v="0"/>
    <n v="0"/>
    <n v="1"/>
    <n v="1"/>
    <n v="1"/>
    <n v="192"/>
    <n v="0"/>
    <n v="0"/>
    <n v="1"/>
    <n v="192"/>
    <n v="0.38400000000000001"/>
    <n v="0"/>
    <n v="0"/>
    <n v="0.61599999999999999"/>
    <n v="1"/>
    <n v="6"/>
    <n v="0.625"/>
    <n v="120"/>
    <n v="0"/>
    <n v="0"/>
    <n v="0"/>
    <n v="10"/>
    <n v="4"/>
    <n v="0.375"/>
    <n v="0"/>
    <n v="192"/>
    <n v="192"/>
    <n v="100"/>
    <n v="192"/>
    <n v="192"/>
    <n v="1"/>
    <n v="0"/>
    <n v="1"/>
    <n v="1"/>
    <n v="1"/>
    <n v="3"/>
    <n v="46"/>
    <n v="0"/>
    <n v="192"/>
    <s v="No"/>
    <n v="1.5625E-2"/>
    <n v="0"/>
    <n v="0"/>
    <n v="0"/>
    <s v="Yes"/>
    <s v="Shalom"/>
    <x v="0"/>
    <x v="0"/>
    <x v="0"/>
    <n v="25.333683333333301"/>
    <n v="97.428251153846105"/>
    <s v="MMR001CMP037"/>
    <x v="1"/>
    <m/>
    <n v="46"/>
    <n v="192"/>
  </r>
  <r>
    <x v="0"/>
    <x v="8"/>
    <x v="7"/>
    <s v="UNICEF,MHF"/>
    <x v="0"/>
    <x v="7"/>
    <x v="0"/>
    <x v="148"/>
    <n v="168"/>
    <n v="866"/>
    <s v="10/1/2020, 8-4-21"/>
    <s v="4/30/2022, 8-3-22"/>
    <m/>
    <n v="3"/>
    <m/>
    <m/>
    <s v="No"/>
    <m/>
    <n v="3"/>
    <n v="1"/>
    <m/>
    <m/>
    <n v="1"/>
    <m/>
    <m/>
    <m/>
    <m/>
    <m/>
    <m/>
    <m/>
    <m/>
    <m/>
    <m/>
    <n v="4"/>
    <m/>
    <m/>
    <m/>
    <m/>
    <m/>
    <m/>
    <m/>
    <m/>
    <n v="28"/>
    <m/>
    <m/>
    <m/>
    <m/>
    <m/>
    <m/>
    <n v="10"/>
    <x v="1"/>
    <x v="1"/>
    <m/>
    <m/>
    <m/>
    <m/>
    <m/>
    <m/>
    <n v="3"/>
    <m/>
    <m/>
    <n v="2"/>
    <m/>
    <n v="1"/>
    <n v="2"/>
    <n v="88"/>
    <n v="100"/>
    <m/>
    <m/>
    <m/>
    <m/>
    <m/>
    <m/>
    <n v="675.48"/>
    <n v="0.52"/>
    <m/>
    <m/>
    <m/>
    <n v="0"/>
    <n v="0"/>
    <m/>
    <m/>
    <s v="no test"/>
    <s v="no test"/>
    <s v="No Test"/>
    <n v="1"/>
    <n v="1"/>
    <n v="0"/>
    <n v="0"/>
    <n v="0"/>
    <n v="0"/>
    <n v="0"/>
    <n v="1"/>
    <n v="0.57736720554272514"/>
    <n v="1"/>
    <n v="866"/>
    <n v="0"/>
    <n v="0"/>
    <n v="1"/>
    <n v="866"/>
    <n v="1.732"/>
    <n v="0"/>
    <n v="0"/>
    <n v="0.26800000000000002"/>
    <n v="2"/>
    <n v="28"/>
    <n v="0.64665127020785218"/>
    <n v="560"/>
    <n v="0"/>
    <n v="0"/>
    <n v="0"/>
    <n v="43"/>
    <n v="15"/>
    <n v="0.35334872979214782"/>
    <n v="0"/>
    <n v="866"/>
    <n v="440"/>
    <n v="100"/>
    <n v="440"/>
    <n v="866"/>
    <n v="1"/>
    <n v="0"/>
    <n v="1"/>
    <n v="1"/>
    <n v="0.59523809523809523"/>
    <n v="3"/>
    <n v="60"/>
    <n v="0"/>
    <n v="300"/>
    <s v="No"/>
    <n v="0.78"/>
    <n v="0"/>
    <n v="0"/>
    <n v="0"/>
    <s v="Yes"/>
    <s v="KBC-MYT"/>
    <x v="0"/>
    <x v="0"/>
    <x v="0"/>
    <n v="25.480989999999998"/>
    <n v="97.431079999999994"/>
    <s v="MMR001CMP263"/>
    <x v="1"/>
    <m/>
    <n v="197"/>
    <n v="981"/>
  </r>
  <r>
    <x v="0"/>
    <x v="8"/>
    <x v="7"/>
    <s v="UNICEF, MHF"/>
    <x v="0"/>
    <x v="3"/>
    <x v="0"/>
    <x v="149"/>
    <n v="79"/>
    <n v="351"/>
    <s v="10/1/2020, 8-4-21"/>
    <s v="4/30/2022, 8-3-22"/>
    <m/>
    <n v="2"/>
    <m/>
    <m/>
    <s v="Yes"/>
    <m/>
    <n v="5"/>
    <m/>
    <m/>
    <m/>
    <n v="1"/>
    <m/>
    <m/>
    <m/>
    <m/>
    <m/>
    <m/>
    <m/>
    <m/>
    <m/>
    <m/>
    <n v="3"/>
    <m/>
    <m/>
    <m/>
    <m/>
    <m/>
    <m/>
    <m/>
    <m/>
    <n v="8"/>
    <m/>
    <m/>
    <m/>
    <m/>
    <n v="79"/>
    <m/>
    <n v="6"/>
    <x v="1"/>
    <x v="1"/>
    <m/>
    <m/>
    <m/>
    <m/>
    <m/>
    <m/>
    <n v="3"/>
    <m/>
    <m/>
    <n v="2"/>
    <m/>
    <n v="1"/>
    <n v="1"/>
    <n v="10"/>
    <n v="18"/>
    <m/>
    <m/>
    <m/>
    <m/>
    <m/>
    <m/>
    <n v="217.14"/>
    <n v="0.65"/>
    <m/>
    <m/>
    <m/>
    <m/>
    <m/>
    <m/>
    <m/>
    <s v="no test"/>
    <s v="no test"/>
    <s v="No Test"/>
    <n v="0"/>
    <n v="1"/>
    <n v="0"/>
    <n v="0"/>
    <n v="0"/>
    <n v="0"/>
    <n v="0"/>
    <n v="1"/>
    <n v="0.71225071225071224"/>
    <n v="1"/>
    <n v="351"/>
    <n v="0"/>
    <n v="0"/>
    <n v="1"/>
    <n v="351"/>
    <n v="0.70199999999999996"/>
    <n v="0"/>
    <n v="0"/>
    <n v="0.29800000000000004"/>
    <n v="1"/>
    <n v="8"/>
    <n v="0.45584045584045585"/>
    <n v="160"/>
    <n v="351"/>
    <n v="0"/>
    <n v="0"/>
    <n v="18"/>
    <n v="10"/>
    <n v="0.54415954415954415"/>
    <n v="0"/>
    <n v="351"/>
    <n v="50"/>
    <n v="18"/>
    <n v="50"/>
    <n v="351"/>
    <n v="1"/>
    <n v="0"/>
    <n v="1"/>
    <n v="0.50632911392405067"/>
    <n v="0.22784810126582278"/>
    <n v="3"/>
    <n v="60"/>
    <n v="0"/>
    <n v="300"/>
    <s v="No"/>
    <n v="0.61863247863247861"/>
    <n v="0"/>
    <n v="0"/>
    <n v="0"/>
    <s v="Yes"/>
    <s v="KBC-MYT"/>
    <x v="0"/>
    <x v="0"/>
    <x v="0"/>
    <n v="25.350989999999999"/>
    <n v="97.442809999999994"/>
    <s v="MMR001CMP269"/>
    <x v="1"/>
    <m/>
    <n v="81"/>
    <n v="387"/>
  </r>
  <r>
    <x v="0"/>
    <x v="2"/>
    <x v="2"/>
    <s v="DFID"/>
    <x v="0"/>
    <x v="3"/>
    <x v="0"/>
    <x v="150"/>
    <n v="68"/>
    <n v="293"/>
    <d v="2021-01-01T00:00:00"/>
    <d v="2022-03-31T00:00:00"/>
    <m/>
    <n v="1"/>
    <m/>
    <m/>
    <s v="Yes"/>
    <n v="1"/>
    <n v="4"/>
    <n v="2"/>
    <m/>
    <m/>
    <n v="1"/>
    <m/>
    <m/>
    <m/>
    <m/>
    <m/>
    <m/>
    <m/>
    <m/>
    <m/>
    <m/>
    <m/>
    <m/>
    <m/>
    <m/>
    <m/>
    <n v="1"/>
    <m/>
    <m/>
    <s v="နွေရာသီတွင် ရေခမ်း၍ ရေအနည်များခြင်း/မသန့်ခြင်း"/>
    <n v="9"/>
    <m/>
    <m/>
    <m/>
    <m/>
    <n v="5"/>
    <m/>
    <m/>
    <x v="1"/>
    <x v="1"/>
    <m/>
    <m/>
    <m/>
    <m/>
    <m/>
    <m/>
    <n v="3"/>
    <m/>
    <m/>
    <n v="2"/>
    <m/>
    <m/>
    <n v="1"/>
    <n v="10"/>
    <n v="18"/>
    <s v="Yes"/>
    <m/>
    <n v="0.5"/>
    <m/>
    <n v="0.96"/>
    <n v="0.9"/>
    <n v="4"/>
    <n v="0.99"/>
    <n v="4"/>
    <n v="68"/>
    <m/>
    <m/>
    <m/>
    <m/>
    <m/>
    <s v="no test"/>
    <s v="no test"/>
    <s v="No Test"/>
    <n v="2"/>
    <n v="1"/>
    <n v="0"/>
    <n v="0"/>
    <n v="0"/>
    <n v="0"/>
    <n v="0"/>
    <n v="1"/>
    <n v="1"/>
    <n v="1"/>
    <n v="293"/>
    <n v="0"/>
    <n v="0"/>
    <n v="1"/>
    <n v="293"/>
    <n v="0.58599999999999997"/>
    <n v="0"/>
    <n v="0"/>
    <n v="0.41400000000000003"/>
    <n v="1"/>
    <n v="9"/>
    <n v="0.61433447098976113"/>
    <n v="180"/>
    <n v="100"/>
    <n v="0"/>
    <n v="0"/>
    <n v="15"/>
    <n v="6"/>
    <n v="0.38566552901023887"/>
    <n v="0"/>
    <n v="293"/>
    <n v="50"/>
    <n v="18"/>
    <n v="50"/>
    <n v="293"/>
    <n v="1"/>
    <n v="0"/>
    <n v="1"/>
    <n v="0.58823529411764708"/>
    <n v="0.26470588235294118"/>
    <n v="3"/>
    <n v="60"/>
    <n v="1"/>
    <n v="293"/>
    <s v="No"/>
    <n v="1.3651877133105802E-2"/>
    <n v="72"/>
    <n v="0"/>
    <n v="0"/>
    <s v="Yes"/>
    <s v="Shalom"/>
    <x v="0"/>
    <x v="0"/>
    <x v="0"/>
    <n v="25.351250396825399"/>
    <n v="97.444283730158702"/>
    <s v="MMR001CMP038"/>
    <x v="1"/>
    <m/>
    <n v="71"/>
    <n v="307"/>
  </r>
  <r>
    <x v="0"/>
    <x v="0"/>
    <x v="0"/>
    <m/>
    <x v="0"/>
    <x v="3"/>
    <x v="0"/>
    <x v="151"/>
    <n v="42"/>
    <n v="231"/>
    <m/>
    <m/>
    <m/>
    <m/>
    <m/>
    <m/>
    <m/>
    <m/>
    <m/>
    <m/>
    <m/>
    <m/>
    <m/>
    <m/>
    <m/>
    <m/>
    <m/>
    <m/>
    <m/>
    <m/>
    <m/>
    <m/>
    <m/>
    <m/>
    <m/>
    <m/>
    <m/>
    <m/>
    <m/>
    <m/>
    <m/>
    <m/>
    <m/>
    <m/>
    <m/>
    <m/>
    <m/>
    <m/>
    <m/>
    <m/>
    <x v="0"/>
    <x v="0"/>
    <m/>
    <m/>
    <m/>
    <m/>
    <m/>
    <m/>
    <n v="8"/>
    <m/>
    <m/>
    <n v="3"/>
    <m/>
    <m/>
    <m/>
    <n v="91"/>
    <n v="124"/>
    <m/>
    <m/>
    <m/>
    <m/>
    <m/>
    <m/>
    <m/>
    <m/>
    <m/>
    <m/>
    <m/>
    <m/>
    <m/>
    <m/>
    <m/>
    <s v="no test"/>
    <s v="no test"/>
    <s v="No Test"/>
    <n v="0"/>
    <n v="0"/>
    <n v="0"/>
    <n v="0"/>
    <n v="0"/>
    <n v="0"/>
    <n v="0"/>
    <n v="0"/>
    <n v="0"/>
    <n v="0"/>
    <n v="0"/>
    <n v="0"/>
    <n v="0"/>
    <n v="0"/>
    <n v="0"/>
    <n v="0"/>
    <n v="1"/>
    <n v="231"/>
    <n v="1"/>
    <n v="1"/>
    <n v="0"/>
    <n v="0"/>
    <n v="0"/>
    <n v="0"/>
    <n v="0"/>
    <n v="0"/>
    <n v="12"/>
    <n v="12"/>
    <n v="1"/>
    <n v="0"/>
    <n v="0"/>
    <n v="231"/>
    <n v="124"/>
    <n v="231"/>
    <n v="231"/>
    <n v="1"/>
    <n v="0"/>
    <n v="0"/>
    <n v="1"/>
    <n v="1"/>
    <n v="8"/>
    <n v="42"/>
    <n v="0"/>
    <n v="231"/>
    <s v="No"/>
    <s v=""/>
    <n v="0"/>
    <n v="0"/>
    <n v="0"/>
    <n v="0"/>
    <s v="Uncovered  "/>
    <x v="0"/>
    <x v="5"/>
    <x v="0"/>
    <n v="25.211600000000001"/>
    <n v="97.262799999999999"/>
    <s v="MMR001CMP288"/>
    <x v="0"/>
    <m/>
    <n v="42"/>
    <n v="231"/>
  </r>
  <r>
    <x v="0"/>
    <x v="0"/>
    <x v="0"/>
    <m/>
    <x v="0"/>
    <x v="3"/>
    <x v="0"/>
    <x v="152"/>
    <n v="27"/>
    <n v="139"/>
    <m/>
    <m/>
    <m/>
    <m/>
    <m/>
    <m/>
    <m/>
    <m/>
    <m/>
    <m/>
    <m/>
    <m/>
    <m/>
    <m/>
    <m/>
    <m/>
    <m/>
    <m/>
    <m/>
    <m/>
    <m/>
    <m/>
    <m/>
    <m/>
    <m/>
    <m/>
    <m/>
    <m/>
    <m/>
    <m/>
    <m/>
    <m/>
    <m/>
    <m/>
    <m/>
    <m/>
    <m/>
    <m/>
    <m/>
    <m/>
    <x v="0"/>
    <x v="0"/>
    <m/>
    <m/>
    <m/>
    <m/>
    <m/>
    <m/>
    <n v="7"/>
    <m/>
    <m/>
    <n v="7"/>
    <m/>
    <m/>
    <m/>
    <n v="104"/>
    <n v="148"/>
    <m/>
    <m/>
    <m/>
    <m/>
    <m/>
    <m/>
    <m/>
    <m/>
    <m/>
    <m/>
    <m/>
    <m/>
    <m/>
    <m/>
    <m/>
    <s v="no test"/>
    <s v="no test"/>
    <s v="No Test"/>
    <n v="0"/>
    <n v="0"/>
    <n v="0"/>
    <n v="0"/>
    <n v="0"/>
    <n v="0"/>
    <n v="0"/>
    <n v="0"/>
    <n v="0"/>
    <n v="0"/>
    <n v="0"/>
    <n v="0"/>
    <n v="0"/>
    <n v="0"/>
    <n v="0"/>
    <n v="0"/>
    <n v="1"/>
    <n v="139"/>
    <n v="1"/>
    <n v="1"/>
    <n v="0"/>
    <n v="0"/>
    <n v="0"/>
    <n v="0"/>
    <n v="0"/>
    <n v="0"/>
    <n v="7"/>
    <n v="7"/>
    <n v="1"/>
    <n v="0"/>
    <n v="0"/>
    <n v="139"/>
    <n v="139"/>
    <n v="139"/>
    <n v="139"/>
    <n v="1"/>
    <n v="0"/>
    <n v="0"/>
    <n v="1"/>
    <n v="1"/>
    <n v="7"/>
    <n v="27"/>
    <n v="0"/>
    <n v="139"/>
    <s v="No"/>
    <s v=""/>
    <n v="0"/>
    <n v="0"/>
    <n v="0"/>
    <n v="0"/>
    <s v="Uncovered  "/>
    <x v="0"/>
    <x v="3"/>
    <x v="0"/>
    <n v="25.211500000000001"/>
    <n v="97.261799999999994"/>
    <s v="MMR001CMP287"/>
    <x v="0"/>
    <m/>
    <n v="27"/>
    <n v="139"/>
  </r>
  <r>
    <x v="0"/>
    <x v="2"/>
    <x v="2"/>
    <s v="DFID"/>
    <x v="0"/>
    <x v="1"/>
    <x v="0"/>
    <x v="153"/>
    <n v="25"/>
    <n v="133"/>
    <d v="2021-01-01T00:00:00"/>
    <d v="2022-03-31T00:00:00"/>
    <n v="30"/>
    <m/>
    <n v="3"/>
    <m/>
    <s v="Yes"/>
    <n v="2"/>
    <n v="2"/>
    <n v="1"/>
    <m/>
    <m/>
    <m/>
    <m/>
    <m/>
    <m/>
    <n v="1"/>
    <m/>
    <m/>
    <m/>
    <n v="1"/>
    <m/>
    <m/>
    <m/>
    <m/>
    <m/>
    <m/>
    <m/>
    <n v="1"/>
    <n v="2"/>
    <m/>
    <s v="မီးကြိုးလှဲလှယ်ရန်လိုအပ် ရေအရည်အသွေးစစ်ဆေးရန်"/>
    <n v="8"/>
    <n v="3"/>
    <s v="Chruch"/>
    <m/>
    <m/>
    <m/>
    <m/>
    <n v="1"/>
    <x v="1"/>
    <x v="1"/>
    <m/>
    <m/>
    <m/>
    <m/>
    <n v="1"/>
    <m/>
    <n v="5"/>
    <m/>
    <m/>
    <n v="2"/>
    <m/>
    <n v="1"/>
    <n v="3"/>
    <n v="25"/>
    <n v="47"/>
    <s v="Yes"/>
    <n v="3"/>
    <n v="0.55000000000000004"/>
    <s v="သွားတိုက်ဆေး/တံ၊ အမျိုးသမီး(၅၀)ထိအသုံးအဆောင်ရစေလို"/>
    <n v="0.8"/>
    <n v="0.8"/>
    <n v="10"/>
    <n v="0.8"/>
    <m/>
    <m/>
    <m/>
    <m/>
    <m/>
    <m/>
    <m/>
    <s v="no test"/>
    <s v="no test"/>
    <s v="No Test"/>
    <n v="1"/>
    <n v="0"/>
    <n v="1"/>
    <n v="0"/>
    <n v="0"/>
    <n v="133"/>
    <n v="0"/>
    <n v="1"/>
    <n v="1"/>
    <n v="1"/>
    <n v="133"/>
    <n v="1"/>
    <n v="133"/>
    <n v="1"/>
    <n v="133"/>
    <n v="0.26600000000000001"/>
    <n v="0"/>
    <n v="0"/>
    <n v="0.73399999999999999"/>
    <n v="1"/>
    <n v="11"/>
    <n v="1"/>
    <n v="133"/>
    <n v="0"/>
    <n v="0"/>
    <n v="0"/>
    <n v="7"/>
    <n v="0"/>
    <n v="0"/>
    <n v="0"/>
    <n v="133"/>
    <n v="133"/>
    <n v="47"/>
    <n v="133"/>
    <n v="133"/>
    <n v="1"/>
    <n v="0"/>
    <n v="1"/>
    <n v="1"/>
    <n v="1"/>
    <n v="5"/>
    <n v="25"/>
    <n v="1"/>
    <n v="133"/>
    <s v="Yes"/>
    <n v="7.5187969924812026E-2"/>
    <n v="0"/>
    <n v="133"/>
    <n v="0"/>
    <s v="Yes"/>
    <s v="KBC-MYT"/>
    <x v="0"/>
    <x v="0"/>
    <x v="0"/>
    <n v="25.577559999999998"/>
    <n v="96.286680000000004"/>
    <s v="MMR001CMP184"/>
    <x v="1"/>
    <m/>
    <n v="25"/>
    <n v="133"/>
  </r>
  <r>
    <x v="0"/>
    <x v="3"/>
    <x v="3"/>
    <s v="USAID, HOPE-71, HOPE-94"/>
    <x v="0"/>
    <x v="3"/>
    <x v="0"/>
    <x v="154"/>
    <n v="1294"/>
    <n v="6861"/>
    <s v="13-8-2021, 6-1-2020, 1-7-2021"/>
    <s v="12-2-2022, 30-11-2021, 30.4.2021"/>
    <m/>
    <m/>
    <n v="3"/>
    <m/>
    <s v="Yes"/>
    <n v="3"/>
    <n v="3"/>
    <m/>
    <m/>
    <m/>
    <m/>
    <m/>
    <m/>
    <m/>
    <n v="1"/>
    <m/>
    <m/>
    <m/>
    <m/>
    <n v="480270"/>
    <m/>
    <m/>
    <m/>
    <m/>
    <m/>
    <m/>
    <n v="12"/>
    <n v="3"/>
    <m/>
    <m/>
    <n v="242"/>
    <m/>
    <m/>
    <m/>
    <m/>
    <m/>
    <m/>
    <m/>
    <x v="1"/>
    <x v="1"/>
    <n v="4"/>
    <n v="2"/>
    <m/>
    <m/>
    <m/>
    <s v="Because of the fully lockdown situation and shotage of materials causes latrines unfunctional"/>
    <n v="1"/>
    <m/>
    <m/>
    <n v="1"/>
    <m/>
    <m/>
    <n v="3"/>
    <n v="6"/>
    <n v="5"/>
    <s v="Yes"/>
    <m/>
    <m/>
    <m/>
    <m/>
    <m/>
    <m/>
    <m/>
    <m/>
    <m/>
    <m/>
    <m/>
    <m/>
    <m/>
    <m/>
    <s v="no test"/>
    <s v="no test"/>
    <s v="No Test"/>
    <n v="0"/>
    <n v="0"/>
    <n v="1"/>
    <n v="0"/>
    <n v="355.75555555555553"/>
    <n v="1500"/>
    <n v="0"/>
    <n v="6.1568608398516578E-2"/>
    <n v="6.1568608398516578E-2"/>
    <n v="6.1568608398516578E-2"/>
    <n v="422.42222222222222"/>
    <n v="0"/>
    <n v="0"/>
    <n v="6.1568608398516578E-2"/>
    <n v="422.42222222222222"/>
    <n v="0.8448444444444444"/>
    <n v="0.93843139160148348"/>
    <n v="6438.5777777777785"/>
    <n v="13.155155555555556"/>
    <n v="14"/>
    <n v="242"/>
    <n v="0.71709663314385663"/>
    <n v="4920"/>
    <n v="0"/>
    <n v="0"/>
    <n v="0"/>
    <n v="343"/>
    <n v="101"/>
    <n v="0.28290336685614337"/>
    <n v="0"/>
    <n v="1500"/>
    <n v="30"/>
    <n v="5"/>
    <n v="30"/>
    <n v="1500"/>
    <n v="0.21862702229995629"/>
    <n v="0.78137297770004377"/>
    <n v="0.21862702229995629"/>
    <n v="4.6367851622874804E-3"/>
    <n v="3.8639876352395673E-3"/>
    <n v="1"/>
    <n v="20"/>
    <n v="12"/>
    <n v="100"/>
    <s v="No"/>
    <s v=""/>
    <n v="0"/>
    <n v="1500"/>
    <n v="0"/>
    <s v="Yes"/>
    <s v="KMSS-MYT"/>
    <x v="0"/>
    <x v="0"/>
    <x v="1"/>
    <n v="24.755253"/>
    <n v="97.546893999999995"/>
    <s v="MMR001CMP116"/>
    <x v="1"/>
    <m/>
    <n v="1333"/>
    <n v="7163"/>
  </r>
  <r>
    <x v="0"/>
    <x v="3"/>
    <x v="3"/>
    <s v="USAID, HOPE-71, HOPE-94"/>
    <x v="0"/>
    <x v="3"/>
    <x v="1"/>
    <x v="155"/>
    <n v="134"/>
    <n v="709"/>
    <s v="13-8-2021, 6-1-2020, 1-7-2021"/>
    <s v="12-2-2022, 30-11-2021, 30.4.2021"/>
    <m/>
    <m/>
    <m/>
    <m/>
    <m/>
    <m/>
    <m/>
    <m/>
    <m/>
    <m/>
    <m/>
    <m/>
    <m/>
    <m/>
    <m/>
    <m/>
    <m/>
    <m/>
    <m/>
    <m/>
    <m/>
    <m/>
    <m/>
    <m/>
    <m/>
    <m/>
    <m/>
    <m/>
    <m/>
    <m/>
    <m/>
    <m/>
    <m/>
    <m/>
    <m/>
    <m/>
    <m/>
    <m/>
    <x v="1"/>
    <x v="3"/>
    <m/>
    <m/>
    <m/>
    <m/>
    <m/>
    <m/>
    <n v="8"/>
    <m/>
    <m/>
    <n v="3"/>
    <m/>
    <m/>
    <m/>
    <n v="91"/>
    <n v="124"/>
    <m/>
    <m/>
    <m/>
    <m/>
    <m/>
    <m/>
    <m/>
    <m/>
    <m/>
    <m/>
    <m/>
    <m/>
    <m/>
    <m/>
    <m/>
    <s v="no test"/>
    <s v="no test"/>
    <s v="No Test"/>
    <n v="0"/>
    <n v="0"/>
    <n v="0"/>
    <n v="0"/>
    <n v="0"/>
    <n v="0"/>
    <n v="0"/>
    <n v="0"/>
    <n v="0"/>
    <n v="0"/>
    <n v="0"/>
    <n v="0"/>
    <n v="0"/>
    <n v="0"/>
    <n v="0"/>
    <n v="0"/>
    <n v="1"/>
    <n v="709"/>
    <n v="1"/>
    <n v="1"/>
    <n v="0"/>
    <n v="0"/>
    <n v="0"/>
    <n v="0"/>
    <n v="0"/>
    <n v="0"/>
    <n v="35"/>
    <n v="35"/>
    <n v="1"/>
    <n v="0"/>
    <n v="0"/>
    <n v="455"/>
    <n v="124"/>
    <n v="455"/>
    <n v="455"/>
    <n v="0.64174894217207334"/>
    <n v="0.35825105782792666"/>
    <n v="0"/>
    <n v="0.67910447761194026"/>
    <n v="0.92537313432835822"/>
    <n v="8"/>
    <n v="134"/>
    <n v="0"/>
    <n v="709"/>
    <s v="No"/>
    <s v=""/>
    <n v="0"/>
    <n v="0"/>
    <n v="0"/>
    <n v="0"/>
    <n v="0"/>
    <x v="0"/>
    <x v="0"/>
    <x v="1"/>
    <n v="0"/>
    <n v="0"/>
    <n v="0"/>
    <x v="1"/>
    <m/>
    <n v="0"/>
    <n v="0"/>
  </r>
  <r>
    <x v="0"/>
    <x v="3"/>
    <x v="3"/>
    <s v="USAID, HOPE-71, HOPE-94"/>
    <x v="0"/>
    <x v="3"/>
    <x v="1"/>
    <x v="156"/>
    <n v="546"/>
    <n v="2550"/>
    <s v="13-8-2021, 6-1-2020, 1-7-2021"/>
    <s v="12-2-2022, 30-11-2021, 30.4.2021"/>
    <m/>
    <m/>
    <m/>
    <m/>
    <m/>
    <m/>
    <m/>
    <m/>
    <m/>
    <m/>
    <m/>
    <m/>
    <m/>
    <m/>
    <m/>
    <m/>
    <m/>
    <m/>
    <m/>
    <m/>
    <m/>
    <m/>
    <m/>
    <m/>
    <m/>
    <m/>
    <m/>
    <m/>
    <m/>
    <m/>
    <m/>
    <m/>
    <m/>
    <m/>
    <m/>
    <m/>
    <m/>
    <m/>
    <x v="2"/>
    <x v="2"/>
    <m/>
    <m/>
    <m/>
    <m/>
    <m/>
    <m/>
    <n v="7"/>
    <m/>
    <m/>
    <n v="7"/>
    <m/>
    <m/>
    <m/>
    <n v="104"/>
    <n v="148"/>
    <m/>
    <m/>
    <m/>
    <m/>
    <m/>
    <m/>
    <m/>
    <m/>
    <m/>
    <m/>
    <m/>
    <m/>
    <m/>
    <m/>
    <m/>
    <s v="no test"/>
    <s v="no test"/>
    <s v="No Test"/>
    <n v="0"/>
    <n v="0"/>
    <n v="0"/>
    <n v="0"/>
    <n v="0"/>
    <n v="0"/>
    <n v="0"/>
    <n v="0"/>
    <n v="0"/>
    <n v="0"/>
    <n v="0"/>
    <n v="0"/>
    <n v="0"/>
    <n v="0"/>
    <n v="0"/>
    <n v="0"/>
    <n v="1"/>
    <n v="2550"/>
    <n v="5"/>
    <n v="5"/>
    <n v="0"/>
    <n v="0"/>
    <n v="0"/>
    <n v="0"/>
    <n v="0"/>
    <n v="0"/>
    <n v="128"/>
    <n v="128"/>
    <n v="1"/>
    <n v="0"/>
    <n v="0"/>
    <n v="520"/>
    <n v="148"/>
    <n v="520"/>
    <n v="520"/>
    <n v="0.20392156862745098"/>
    <n v="0.79607843137254908"/>
    <n v="0"/>
    <n v="0.19047619047619047"/>
    <n v="0.27106227106227104"/>
    <n v="7"/>
    <n v="140"/>
    <n v="0"/>
    <n v="700"/>
    <s v="No"/>
    <s v=""/>
    <n v="0"/>
    <n v="0"/>
    <n v="0"/>
    <n v="0"/>
    <n v="0"/>
    <x v="0"/>
    <x v="7"/>
    <x v="1"/>
    <n v="0"/>
    <n v="0"/>
    <n v="0"/>
    <x v="1"/>
    <m/>
    <n v="0"/>
    <n v="0"/>
  </r>
  <r>
    <x v="0"/>
    <x v="2"/>
    <x v="2"/>
    <s v="DFID"/>
    <x v="0"/>
    <x v="1"/>
    <x v="0"/>
    <x v="157"/>
    <n v="16"/>
    <n v="66"/>
    <d v="2021-01-01T00:00:00"/>
    <d v="2022-03-31T00:00:00"/>
    <n v="15"/>
    <n v="1"/>
    <m/>
    <m/>
    <s v="Yes"/>
    <n v="2"/>
    <n v="4"/>
    <m/>
    <m/>
    <m/>
    <m/>
    <m/>
    <m/>
    <m/>
    <n v="1"/>
    <m/>
    <m/>
    <m/>
    <n v="1"/>
    <m/>
    <m/>
    <m/>
    <m/>
    <m/>
    <m/>
    <n v="3"/>
    <m/>
    <m/>
    <m/>
    <m/>
    <n v="5"/>
    <m/>
    <m/>
    <m/>
    <m/>
    <m/>
    <m/>
    <m/>
    <x v="1"/>
    <x v="1"/>
    <n v="2"/>
    <m/>
    <m/>
    <m/>
    <m/>
    <m/>
    <n v="3"/>
    <m/>
    <m/>
    <n v="2"/>
    <m/>
    <n v="2"/>
    <n v="1"/>
    <n v="16"/>
    <n v="18"/>
    <s v="Yes"/>
    <n v="4"/>
    <n v="0.5"/>
    <s v="Hygiene Kits များပုံမှန်ပေးစေလိုပါသည်။"/>
    <n v="0.8"/>
    <n v="0.8"/>
    <n v="7"/>
    <n v="0.75"/>
    <m/>
    <m/>
    <m/>
    <m/>
    <m/>
    <m/>
    <m/>
    <s v="no test"/>
    <s v="no test"/>
    <s v="No Test"/>
    <n v="0"/>
    <n v="0"/>
    <n v="1"/>
    <n v="0"/>
    <n v="0"/>
    <n v="0"/>
    <n v="0"/>
    <n v="1"/>
    <n v="1"/>
    <n v="1"/>
    <n v="66"/>
    <n v="1"/>
    <n v="66"/>
    <n v="1"/>
    <n v="66"/>
    <n v="0.13200000000000001"/>
    <n v="0"/>
    <n v="0"/>
    <n v="0.86799999999999999"/>
    <n v="1"/>
    <n v="5"/>
    <n v="1"/>
    <n v="66"/>
    <n v="0"/>
    <n v="0"/>
    <n v="0"/>
    <n v="3"/>
    <n v="0"/>
    <n v="0"/>
    <n v="0"/>
    <n v="66"/>
    <n v="66"/>
    <n v="18"/>
    <n v="66"/>
    <n v="66"/>
    <n v="1"/>
    <n v="0"/>
    <n v="1"/>
    <n v="1"/>
    <n v="1"/>
    <n v="3"/>
    <n v="16"/>
    <n v="0"/>
    <n v="66"/>
    <s v="Yes"/>
    <n v="0.10606060606060606"/>
    <n v="0"/>
    <n v="0"/>
    <n v="0"/>
    <s v="Yes"/>
    <s v="KBC-MYT"/>
    <x v="0"/>
    <x v="0"/>
    <x v="0"/>
    <n v="25.599250000000001"/>
    <n v="96.306910999999999"/>
    <s v="MMR001CMP105"/>
    <x v="1"/>
    <m/>
    <n v="16"/>
    <n v="64"/>
  </r>
  <r>
    <x v="0"/>
    <x v="0"/>
    <x v="0"/>
    <m/>
    <x v="0"/>
    <x v="3"/>
    <x v="0"/>
    <x v="158"/>
    <n v="45"/>
    <n v="247"/>
    <m/>
    <m/>
    <m/>
    <m/>
    <m/>
    <m/>
    <m/>
    <m/>
    <m/>
    <m/>
    <m/>
    <m/>
    <m/>
    <m/>
    <m/>
    <m/>
    <m/>
    <m/>
    <m/>
    <m/>
    <m/>
    <m/>
    <m/>
    <m/>
    <m/>
    <m/>
    <m/>
    <m/>
    <m/>
    <m/>
    <m/>
    <m/>
    <m/>
    <m/>
    <m/>
    <m/>
    <m/>
    <m/>
    <m/>
    <m/>
    <x v="0"/>
    <x v="0"/>
    <m/>
    <m/>
    <m/>
    <m/>
    <m/>
    <m/>
    <n v="7"/>
    <m/>
    <m/>
    <n v="4"/>
    <m/>
    <m/>
    <m/>
    <n v="124"/>
    <n v="198"/>
    <m/>
    <m/>
    <m/>
    <m/>
    <m/>
    <m/>
    <m/>
    <m/>
    <m/>
    <m/>
    <m/>
    <m/>
    <m/>
    <m/>
    <m/>
    <s v="no test"/>
    <s v="no test"/>
    <s v="No Test"/>
    <n v="0"/>
    <n v="0"/>
    <n v="0"/>
    <n v="0"/>
    <n v="0"/>
    <n v="0"/>
    <n v="0"/>
    <n v="0"/>
    <n v="0"/>
    <n v="0"/>
    <n v="0"/>
    <n v="0"/>
    <n v="0"/>
    <n v="0"/>
    <n v="0"/>
    <n v="0"/>
    <n v="1"/>
    <n v="247"/>
    <n v="1"/>
    <n v="1"/>
    <n v="0"/>
    <n v="0"/>
    <n v="0"/>
    <n v="0"/>
    <n v="0"/>
    <n v="0"/>
    <n v="12"/>
    <n v="12"/>
    <n v="1"/>
    <n v="0"/>
    <n v="0"/>
    <n v="247"/>
    <n v="198"/>
    <n v="247"/>
    <n v="247"/>
    <n v="1"/>
    <n v="0"/>
    <n v="0"/>
    <n v="1"/>
    <n v="1"/>
    <n v="7"/>
    <n v="45"/>
    <n v="0"/>
    <n v="247"/>
    <s v="No"/>
    <s v=""/>
    <n v="0"/>
    <n v="0"/>
    <n v="0"/>
    <n v="0"/>
    <s v="Uncovered  "/>
    <x v="0"/>
    <x v="6"/>
    <x v="0"/>
    <n v="25.2056"/>
    <n v="97.260800000000003"/>
    <s v="MMR001CMP291"/>
    <x v="0"/>
    <m/>
    <n v="45"/>
    <n v="247"/>
  </r>
  <r>
    <x v="0"/>
    <x v="3"/>
    <x v="3"/>
    <s v="UNICEF"/>
    <x v="1"/>
    <x v="14"/>
    <x v="0"/>
    <x v="159"/>
    <n v="27"/>
    <n v="162"/>
    <d v="2021-11-11T00:00:00"/>
    <d v="2022-10-11T00:00:00"/>
    <m/>
    <m/>
    <m/>
    <m/>
    <m/>
    <m/>
    <m/>
    <m/>
    <m/>
    <m/>
    <m/>
    <m/>
    <m/>
    <m/>
    <m/>
    <m/>
    <m/>
    <m/>
    <m/>
    <m/>
    <m/>
    <m/>
    <m/>
    <m/>
    <m/>
    <m/>
    <m/>
    <m/>
    <m/>
    <m/>
    <m/>
    <m/>
    <m/>
    <m/>
    <m/>
    <m/>
    <m/>
    <m/>
    <x v="0"/>
    <x v="0"/>
    <m/>
    <m/>
    <m/>
    <m/>
    <m/>
    <m/>
    <n v="7"/>
    <m/>
    <m/>
    <n v="4"/>
    <m/>
    <m/>
    <m/>
    <n v="124"/>
    <n v="198"/>
    <m/>
    <m/>
    <m/>
    <m/>
    <m/>
    <m/>
    <m/>
    <m/>
    <m/>
    <m/>
    <m/>
    <m/>
    <m/>
    <m/>
    <m/>
    <s v="no test"/>
    <s v="no test"/>
    <s v="No Test"/>
    <n v="0"/>
    <n v="0"/>
    <n v="0"/>
    <n v="0"/>
    <n v="0"/>
    <n v="0"/>
    <n v="0"/>
    <n v="0"/>
    <n v="0"/>
    <n v="0"/>
    <n v="0"/>
    <n v="0"/>
    <n v="0"/>
    <n v="0"/>
    <n v="0"/>
    <n v="0"/>
    <n v="1"/>
    <n v="162"/>
    <n v="1"/>
    <n v="1"/>
    <n v="0"/>
    <n v="0"/>
    <n v="0"/>
    <n v="0"/>
    <n v="0"/>
    <n v="0"/>
    <n v="8"/>
    <n v="8"/>
    <n v="1"/>
    <n v="0"/>
    <n v="0"/>
    <n v="162"/>
    <n v="162"/>
    <n v="162"/>
    <n v="162"/>
    <n v="1"/>
    <n v="0"/>
    <n v="0"/>
    <n v="1"/>
    <n v="1"/>
    <n v="7"/>
    <n v="27"/>
    <n v="0"/>
    <n v="162"/>
    <s v="No"/>
    <s v=""/>
    <n v="0"/>
    <n v="0"/>
    <n v="0"/>
    <n v="0"/>
    <n v="0"/>
    <x v="0"/>
    <x v="2"/>
    <x v="0"/>
    <n v="23.400155999999999"/>
    <n v="98.220614999999995"/>
    <s v="MMR015CMP071"/>
    <x v="1"/>
    <m/>
    <n v="27"/>
    <n v="162"/>
  </r>
  <r>
    <x v="0"/>
    <x v="3"/>
    <x v="3"/>
    <s v="UNICEF, MHF"/>
    <x v="1"/>
    <x v="15"/>
    <x v="1"/>
    <x v="160"/>
    <n v="23"/>
    <n v="103"/>
    <s v="11-11-2021, 07-01-2020"/>
    <s v="10-11-2022, 28-2-2022"/>
    <m/>
    <m/>
    <m/>
    <m/>
    <s v="Yes"/>
    <n v="5"/>
    <n v="1"/>
    <n v="1"/>
    <m/>
    <m/>
    <m/>
    <n v="1"/>
    <m/>
    <m/>
    <m/>
    <m/>
    <m/>
    <m/>
    <m/>
    <m/>
    <m/>
    <m/>
    <m/>
    <m/>
    <m/>
    <m/>
    <m/>
    <m/>
    <m/>
    <m/>
    <n v="23"/>
    <m/>
    <m/>
    <m/>
    <m/>
    <m/>
    <m/>
    <m/>
    <x v="0"/>
    <x v="0"/>
    <m/>
    <m/>
    <m/>
    <m/>
    <m/>
    <m/>
    <n v="3"/>
    <m/>
    <m/>
    <n v="2"/>
    <m/>
    <m/>
    <m/>
    <n v="88"/>
    <n v="100"/>
    <m/>
    <m/>
    <m/>
    <m/>
    <m/>
    <m/>
    <m/>
    <m/>
    <m/>
    <m/>
    <m/>
    <m/>
    <m/>
    <m/>
    <m/>
    <s v="no test"/>
    <s v="no test"/>
    <s v="No Test"/>
    <n v="1"/>
    <n v="1"/>
    <n v="0"/>
    <n v="0"/>
    <n v="0"/>
    <n v="0"/>
    <n v="0"/>
    <n v="1"/>
    <n v="1"/>
    <n v="1"/>
    <n v="103"/>
    <n v="0"/>
    <n v="0"/>
    <n v="1"/>
    <n v="103"/>
    <n v="0.20599999999999999"/>
    <n v="0"/>
    <n v="0"/>
    <n v="0.79400000000000004"/>
    <n v="1"/>
    <n v="23"/>
    <n v="1"/>
    <n v="103"/>
    <n v="0"/>
    <n v="0"/>
    <n v="0"/>
    <n v="5"/>
    <n v="0"/>
    <n v="0"/>
    <n v="0"/>
    <n v="0"/>
    <n v="103"/>
    <n v="100"/>
    <n v="103"/>
    <n v="103"/>
    <n v="1"/>
    <n v="0"/>
    <n v="0"/>
    <n v="1"/>
    <n v="1"/>
    <n v="3"/>
    <n v="23"/>
    <n v="0"/>
    <n v="103"/>
    <s v="No"/>
    <s v=""/>
    <n v="0"/>
    <n v="0"/>
    <n v="0"/>
    <n v="0"/>
    <n v="0"/>
    <x v="0"/>
    <x v="3"/>
    <x v="0"/>
    <n v="0"/>
    <n v="0"/>
    <n v="0"/>
    <x v="1"/>
    <m/>
    <n v="0"/>
    <n v="0"/>
  </r>
  <r>
    <x v="0"/>
    <x v="3"/>
    <x v="3"/>
    <s v="UNICEF, USAID"/>
    <x v="1"/>
    <x v="14"/>
    <x v="0"/>
    <x v="161"/>
    <n v="74"/>
    <n v="439"/>
    <s v="11-11-2021, 07-01-2020"/>
    <s v="10-11-2022, 28-2-2022"/>
    <m/>
    <n v="1"/>
    <m/>
    <m/>
    <s v="Yes"/>
    <n v="5"/>
    <n v="1"/>
    <m/>
    <m/>
    <m/>
    <m/>
    <m/>
    <m/>
    <m/>
    <n v="14"/>
    <m/>
    <m/>
    <m/>
    <m/>
    <m/>
    <m/>
    <m/>
    <m/>
    <m/>
    <m/>
    <m/>
    <m/>
    <m/>
    <m/>
    <m/>
    <n v="40"/>
    <m/>
    <m/>
    <m/>
    <m/>
    <m/>
    <m/>
    <m/>
    <x v="0"/>
    <x v="0"/>
    <m/>
    <m/>
    <m/>
    <m/>
    <m/>
    <m/>
    <n v="3"/>
    <m/>
    <m/>
    <n v="2"/>
    <m/>
    <m/>
    <n v="1"/>
    <n v="10"/>
    <n v="18"/>
    <m/>
    <m/>
    <m/>
    <m/>
    <m/>
    <m/>
    <m/>
    <m/>
    <m/>
    <m/>
    <m/>
    <m/>
    <m/>
    <m/>
    <m/>
    <s v="no test"/>
    <s v="no test"/>
    <s v="No Test"/>
    <n v="0"/>
    <n v="0"/>
    <n v="14"/>
    <n v="0"/>
    <n v="0"/>
    <n v="0"/>
    <n v="0"/>
    <n v="1"/>
    <n v="1"/>
    <n v="1"/>
    <n v="439"/>
    <n v="0"/>
    <n v="0"/>
    <n v="1"/>
    <n v="439"/>
    <n v="0.878"/>
    <n v="0"/>
    <n v="0"/>
    <n v="0.122"/>
    <n v="1"/>
    <n v="40"/>
    <n v="1"/>
    <n v="439"/>
    <n v="0"/>
    <n v="0"/>
    <n v="0"/>
    <n v="22"/>
    <n v="0"/>
    <n v="0"/>
    <n v="0"/>
    <n v="439"/>
    <n v="50"/>
    <n v="18"/>
    <n v="50"/>
    <n v="439"/>
    <n v="1"/>
    <n v="0"/>
    <n v="1"/>
    <n v="0.54054054054054057"/>
    <n v="0.24324324324324326"/>
    <n v="3"/>
    <n v="60"/>
    <n v="0"/>
    <n v="300"/>
    <s v="No"/>
    <s v=""/>
    <n v="0"/>
    <n v="0"/>
    <n v="0"/>
    <n v="0"/>
    <s v="uncovered"/>
    <x v="0"/>
    <x v="3"/>
    <x v="0"/>
    <n v="23.234137"/>
    <n v="97.505339000000006"/>
    <s v="MMR015CMP030"/>
    <x v="1"/>
    <m/>
    <n v="86"/>
    <n v="525"/>
  </r>
  <r>
    <x v="0"/>
    <x v="3"/>
    <x v="3"/>
    <s v="UNICEF, USAID"/>
    <x v="1"/>
    <x v="14"/>
    <x v="0"/>
    <x v="162"/>
    <n v="26"/>
    <n v="132"/>
    <s v="11-11-2021, 07-01-2020"/>
    <s v="10-11-2022, 28-2-2022"/>
    <m/>
    <m/>
    <m/>
    <m/>
    <m/>
    <n v="3"/>
    <n v="2"/>
    <m/>
    <m/>
    <m/>
    <m/>
    <m/>
    <m/>
    <m/>
    <n v="8"/>
    <m/>
    <m/>
    <m/>
    <m/>
    <m/>
    <m/>
    <m/>
    <m/>
    <m/>
    <m/>
    <m/>
    <m/>
    <m/>
    <m/>
    <m/>
    <n v="27"/>
    <m/>
    <m/>
    <m/>
    <m/>
    <m/>
    <m/>
    <n v="2"/>
    <x v="1"/>
    <x v="2"/>
    <m/>
    <m/>
    <m/>
    <m/>
    <m/>
    <m/>
    <n v="7"/>
    <m/>
    <m/>
    <n v="7"/>
    <m/>
    <m/>
    <n v="1"/>
    <n v="104"/>
    <n v="148"/>
    <m/>
    <m/>
    <m/>
    <m/>
    <m/>
    <m/>
    <m/>
    <m/>
    <m/>
    <m/>
    <m/>
    <m/>
    <m/>
    <m/>
    <m/>
    <s v="no test"/>
    <s v="no test"/>
    <s v="No Test"/>
    <n v="0"/>
    <n v="0"/>
    <n v="8"/>
    <n v="0"/>
    <n v="0"/>
    <n v="0"/>
    <n v="0"/>
    <n v="1"/>
    <n v="1"/>
    <n v="1"/>
    <n v="132"/>
    <n v="0"/>
    <n v="0"/>
    <n v="1"/>
    <n v="132"/>
    <n v="0.26400000000000001"/>
    <n v="0"/>
    <n v="0"/>
    <n v="0.73599999999999999"/>
    <n v="1"/>
    <n v="27"/>
    <n v="1"/>
    <n v="132"/>
    <n v="0"/>
    <n v="0"/>
    <n v="0"/>
    <n v="7"/>
    <n v="0"/>
    <n v="0"/>
    <n v="0"/>
    <n v="132"/>
    <n v="132"/>
    <n v="132"/>
    <n v="132"/>
    <n v="132"/>
    <n v="1"/>
    <n v="0"/>
    <n v="1"/>
    <n v="1"/>
    <n v="1"/>
    <n v="7"/>
    <n v="26"/>
    <n v="0"/>
    <n v="132"/>
    <s v="No"/>
    <s v=""/>
    <n v="0"/>
    <n v="0"/>
    <n v="0"/>
    <s v="Yes"/>
    <s v="KMSS-LSO"/>
    <x v="0"/>
    <x v="0"/>
    <x v="0"/>
    <n v="23.38503"/>
    <n v="97.837040000000002"/>
    <s v="MMR015CMP017"/>
    <x v="1"/>
    <m/>
    <n v="26"/>
    <n v="133"/>
  </r>
  <r>
    <x v="0"/>
    <x v="0"/>
    <x v="0"/>
    <m/>
    <x v="1"/>
    <x v="16"/>
    <x v="0"/>
    <x v="163"/>
    <n v="13"/>
    <n v="29"/>
    <m/>
    <m/>
    <m/>
    <m/>
    <m/>
    <m/>
    <m/>
    <m/>
    <m/>
    <m/>
    <m/>
    <m/>
    <m/>
    <m/>
    <m/>
    <m/>
    <m/>
    <m/>
    <m/>
    <m/>
    <m/>
    <m/>
    <m/>
    <m/>
    <m/>
    <m/>
    <m/>
    <m/>
    <m/>
    <m/>
    <m/>
    <m/>
    <m/>
    <m/>
    <m/>
    <m/>
    <m/>
    <m/>
    <m/>
    <m/>
    <x v="0"/>
    <x v="0"/>
    <m/>
    <m/>
    <m/>
    <m/>
    <m/>
    <m/>
    <n v="1"/>
    <m/>
    <m/>
    <n v="3"/>
    <m/>
    <m/>
    <m/>
    <n v="41"/>
    <n v="85"/>
    <m/>
    <m/>
    <m/>
    <m/>
    <m/>
    <m/>
    <m/>
    <m/>
    <m/>
    <m/>
    <m/>
    <m/>
    <m/>
    <m/>
    <m/>
    <s v="no test"/>
    <s v="no test"/>
    <s v="No Test"/>
    <n v="0"/>
    <n v="0"/>
    <n v="0"/>
    <n v="0"/>
    <n v="0"/>
    <n v="0"/>
    <n v="0"/>
    <n v="0"/>
    <n v="0"/>
    <n v="0"/>
    <n v="0"/>
    <n v="0"/>
    <n v="0"/>
    <n v="0"/>
    <n v="0"/>
    <n v="0"/>
    <n v="1"/>
    <n v="29"/>
    <n v="1"/>
    <n v="1"/>
    <n v="0"/>
    <n v="0"/>
    <n v="0"/>
    <n v="0"/>
    <n v="0"/>
    <n v="0"/>
    <n v="1"/>
    <n v="1"/>
    <n v="1"/>
    <n v="0"/>
    <n v="0"/>
    <n v="29"/>
    <n v="29"/>
    <n v="29"/>
    <n v="29"/>
    <n v="1"/>
    <n v="0"/>
    <n v="0"/>
    <n v="1"/>
    <n v="1"/>
    <n v="1"/>
    <n v="13"/>
    <n v="0"/>
    <n v="29"/>
    <s v="No"/>
    <s v=""/>
    <n v="0"/>
    <n v="0"/>
    <n v="0"/>
    <n v="0"/>
    <s v="uncovered"/>
    <x v="0"/>
    <x v="5"/>
    <x v="0"/>
    <n v="22.6923503875732"/>
    <n v="97.434150695800795"/>
    <s v="MMR015CMP084"/>
    <x v="0"/>
    <m/>
    <n v="13"/>
    <n v="29"/>
  </r>
  <r>
    <x v="0"/>
    <x v="13"/>
    <x v="10"/>
    <s v="UNICEF"/>
    <x v="1"/>
    <x v="17"/>
    <x v="0"/>
    <x v="164"/>
    <n v="340"/>
    <n v="1674"/>
    <d v="2021-10-19T00:00:00"/>
    <d v="2022-10-18T00:00:00"/>
    <m/>
    <m/>
    <m/>
    <m/>
    <s v="Yes"/>
    <n v="2"/>
    <n v="2"/>
    <m/>
    <m/>
    <m/>
    <m/>
    <m/>
    <m/>
    <m/>
    <n v="24"/>
    <m/>
    <n v="13.62"/>
    <m/>
    <m/>
    <m/>
    <m/>
    <n v="1"/>
    <m/>
    <m/>
    <m/>
    <m/>
    <m/>
    <n v="1"/>
    <m/>
    <m/>
    <n v="30"/>
    <m/>
    <m/>
    <n v="16"/>
    <m/>
    <m/>
    <m/>
    <m/>
    <x v="2"/>
    <x v="2"/>
    <m/>
    <m/>
    <m/>
    <m/>
    <m/>
    <m/>
    <n v="3"/>
    <n v="2"/>
    <m/>
    <n v="2"/>
    <m/>
    <m/>
    <m/>
    <n v="88"/>
    <n v="100"/>
    <m/>
    <m/>
    <m/>
    <m/>
    <m/>
    <m/>
    <m/>
    <m/>
    <m/>
    <m/>
    <m/>
    <m/>
    <m/>
    <m/>
    <m/>
    <s v="no test"/>
    <s v="no test"/>
    <s v="No Test"/>
    <n v="0"/>
    <n v="0"/>
    <n v="24"/>
    <n v="0"/>
    <n v="0"/>
    <n v="500"/>
    <n v="0"/>
    <n v="0.95579450418160095"/>
    <n v="0.95579450418160095"/>
    <n v="0.95579450418160095"/>
    <n v="1600"/>
    <n v="0"/>
    <n v="0"/>
    <n v="0.95579450418160095"/>
    <n v="1600"/>
    <n v="3.2"/>
    <n v="4.4205495818399054E-2"/>
    <n v="74.000000000000014"/>
    <n v="0"/>
    <n v="3"/>
    <n v="14"/>
    <n v="0.16726403823178015"/>
    <n v="280"/>
    <n v="0"/>
    <n v="0"/>
    <n v="0"/>
    <n v="84"/>
    <n v="54"/>
    <n v="0.83273596176821985"/>
    <n v="0.53333333333333333"/>
    <n v="0"/>
    <n v="440"/>
    <n v="100"/>
    <n v="440"/>
    <n v="440"/>
    <n v="0.26284348864994028"/>
    <n v="0.73715651135005977"/>
    <n v="0"/>
    <n v="1"/>
    <n v="0.29411764705882354"/>
    <n v="1"/>
    <n v="20"/>
    <n v="0"/>
    <n v="100"/>
    <s v="No"/>
    <s v=""/>
    <n v="0"/>
    <n v="500"/>
    <n v="0"/>
    <n v="0"/>
    <n v="0"/>
    <x v="0"/>
    <x v="3"/>
    <x v="0"/>
    <n v="23.420603"/>
    <n v="98.451791999999998"/>
    <s v="MMR015CMP069"/>
    <x v="1"/>
    <m/>
    <n v="166"/>
    <n v="830"/>
  </r>
  <r>
    <x v="0"/>
    <x v="3"/>
    <x v="3"/>
    <s v="UNICEF, USAID"/>
    <x v="1"/>
    <x v="18"/>
    <x v="0"/>
    <x v="165"/>
    <n v="180"/>
    <n v="934"/>
    <s v="11-11-2021, 07-01-2020"/>
    <s v="10-11-2022, 28-2-2022"/>
    <m/>
    <m/>
    <m/>
    <m/>
    <m/>
    <n v="5"/>
    <n v="1"/>
    <m/>
    <m/>
    <m/>
    <m/>
    <m/>
    <m/>
    <m/>
    <n v="18"/>
    <m/>
    <m/>
    <m/>
    <m/>
    <m/>
    <m/>
    <n v="1"/>
    <m/>
    <m/>
    <m/>
    <m/>
    <m/>
    <m/>
    <m/>
    <m/>
    <n v="40"/>
    <m/>
    <m/>
    <m/>
    <m/>
    <m/>
    <m/>
    <m/>
    <x v="2"/>
    <x v="3"/>
    <m/>
    <m/>
    <m/>
    <m/>
    <m/>
    <m/>
    <n v="1"/>
    <m/>
    <m/>
    <n v="3"/>
    <m/>
    <m/>
    <n v="2"/>
    <n v="41"/>
    <n v="85"/>
    <m/>
    <m/>
    <m/>
    <m/>
    <m/>
    <m/>
    <m/>
    <m/>
    <m/>
    <m/>
    <m/>
    <m/>
    <m/>
    <m/>
    <m/>
    <s v="no test"/>
    <s v="no test"/>
    <s v="No Test"/>
    <n v="0"/>
    <n v="0"/>
    <n v="18"/>
    <n v="0"/>
    <n v="0"/>
    <n v="0"/>
    <n v="0"/>
    <n v="1"/>
    <n v="1"/>
    <n v="1"/>
    <n v="934"/>
    <n v="0"/>
    <n v="0"/>
    <n v="1"/>
    <n v="934"/>
    <n v="1.8680000000000001"/>
    <n v="0"/>
    <n v="0"/>
    <n v="0.1319999999999999"/>
    <n v="2"/>
    <n v="40"/>
    <n v="0.85653104925053536"/>
    <n v="800"/>
    <n v="0"/>
    <n v="0"/>
    <n v="0"/>
    <n v="47"/>
    <n v="7"/>
    <n v="0.14346895074946464"/>
    <n v="0"/>
    <n v="934"/>
    <n v="205"/>
    <n v="85"/>
    <n v="205"/>
    <n v="934"/>
    <n v="1"/>
    <n v="0"/>
    <n v="1"/>
    <n v="0.91111111111111109"/>
    <n v="0.47222222222222221"/>
    <n v="1"/>
    <n v="20"/>
    <n v="0"/>
    <n v="100"/>
    <s v="No"/>
    <s v=""/>
    <n v="0"/>
    <n v="0"/>
    <n v="0"/>
    <s v="Yes"/>
    <s v="KBC-NSS"/>
    <x v="0"/>
    <x v="0"/>
    <x v="0"/>
    <n v="24.08738"/>
    <n v="98.115809999999996"/>
    <s v="MMR015CMP065"/>
    <x v="1"/>
    <m/>
    <n v="306"/>
    <n v="1573"/>
  </r>
  <r>
    <x v="0"/>
    <x v="3"/>
    <x v="3"/>
    <s v="UNICEF"/>
    <x v="1"/>
    <x v="19"/>
    <x v="2"/>
    <x v="166"/>
    <n v="19"/>
    <n v="77"/>
    <d v="2021-11-11T00:00:00"/>
    <d v="2022-10-11T00:00:00"/>
    <m/>
    <m/>
    <m/>
    <m/>
    <m/>
    <m/>
    <m/>
    <m/>
    <m/>
    <m/>
    <m/>
    <m/>
    <m/>
    <m/>
    <m/>
    <m/>
    <m/>
    <m/>
    <m/>
    <m/>
    <m/>
    <m/>
    <m/>
    <m/>
    <m/>
    <m/>
    <m/>
    <m/>
    <m/>
    <m/>
    <m/>
    <n v="4"/>
    <m/>
    <m/>
    <m/>
    <m/>
    <m/>
    <m/>
    <x v="0"/>
    <x v="0"/>
    <m/>
    <m/>
    <m/>
    <m/>
    <m/>
    <m/>
    <n v="8"/>
    <m/>
    <m/>
    <n v="3"/>
    <m/>
    <m/>
    <m/>
    <n v="91"/>
    <n v="124"/>
    <m/>
    <m/>
    <m/>
    <m/>
    <m/>
    <m/>
    <m/>
    <m/>
    <m/>
    <m/>
    <m/>
    <m/>
    <m/>
    <m/>
    <m/>
    <s v="no test"/>
    <s v="no test"/>
    <s v="No Test"/>
    <n v="0"/>
    <n v="0"/>
    <n v="0"/>
    <n v="0"/>
    <n v="0"/>
    <n v="0"/>
    <n v="0"/>
    <n v="0"/>
    <n v="0"/>
    <n v="0"/>
    <n v="0"/>
    <n v="0"/>
    <n v="0"/>
    <n v="0"/>
    <n v="0"/>
    <n v="0"/>
    <n v="1"/>
    <n v="77"/>
    <n v="1"/>
    <n v="1"/>
    <n v="4"/>
    <n v="0.25974025974025972"/>
    <n v="20"/>
    <n v="0"/>
    <n v="0"/>
    <n v="0"/>
    <n v="13"/>
    <n v="9"/>
    <n v="0.74025974025974028"/>
    <n v="0"/>
    <n v="0"/>
    <n v="77"/>
    <n v="77"/>
    <n v="77"/>
    <n v="77"/>
    <n v="1"/>
    <n v="0"/>
    <n v="0"/>
    <n v="1"/>
    <n v="1"/>
    <n v="8"/>
    <n v="19"/>
    <n v="0"/>
    <n v="77"/>
    <s v="No"/>
    <s v=""/>
    <n v="0"/>
    <n v="0"/>
    <n v="0"/>
    <n v="0"/>
    <n v="0"/>
    <x v="2"/>
    <x v="8"/>
    <x v="0"/>
    <n v="23.078210830688501"/>
    <n v="97.411773681640597"/>
    <s v="MMR015CMP074"/>
    <x v="1"/>
    <m/>
    <n v="19"/>
    <n v="77"/>
  </r>
  <r>
    <x v="0"/>
    <x v="3"/>
    <x v="3"/>
    <s v="UNICEF, USAID"/>
    <x v="1"/>
    <x v="14"/>
    <x v="0"/>
    <x v="167"/>
    <n v="29"/>
    <n v="130"/>
    <s v="11-11-2021, 07-01-2020"/>
    <s v="10-11-2022, 28-2-2022"/>
    <m/>
    <n v="1"/>
    <m/>
    <m/>
    <s v="Yes"/>
    <n v="4"/>
    <n v="5"/>
    <m/>
    <m/>
    <m/>
    <m/>
    <m/>
    <m/>
    <m/>
    <n v="13"/>
    <m/>
    <m/>
    <m/>
    <m/>
    <m/>
    <m/>
    <m/>
    <m/>
    <m/>
    <m/>
    <m/>
    <m/>
    <m/>
    <m/>
    <m/>
    <n v="30"/>
    <m/>
    <m/>
    <m/>
    <m/>
    <m/>
    <m/>
    <m/>
    <x v="1"/>
    <x v="1"/>
    <m/>
    <m/>
    <m/>
    <m/>
    <m/>
    <m/>
    <n v="7"/>
    <m/>
    <m/>
    <n v="4"/>
    <m/>
    <m/>
    <n v="1"/>
    <n v="124"/>
    <n v="198"/>
    <m/>
    <m/>
    <m/>
    <m/>
    <m/>
    <m/>
    <m/>
    <m/>
    <m/>
    <m/>
    <m/>
    <m/>
    <m/>
    <m/>
    <m/>
    <s v="no test"/>
    <s v="no test"/>
    <s v="No Test"/>
    <n v="0"/>
    <n v="0"/>
    <n v="13"/>
    <n v="0"/>
    <n v="0"/>
    <n v="0"/>
    <n v="0"/>
    <n v="1"/>
    <n v="1"/>
    <n v="1"/>
    <n v="130"/>
    <n v="0"/>
    <n v="0"/>
    <n v="1"/>
    <n v="130"/>
    <n v="0.26"/>
    <n v="0"/>
    <n v="0"/>
    <n v="0.74"/>
    <n v="1"/>
    <n v="30"/>
    <n v="1"/>
    <n v="130"/>
    <n v="0"/>
    <n v="0"/>
    <n v="0"/>
    <n v="7"/>
    <n v="0"/>
    <n v="0"/>
    <n v="0"/>
    <n v="130"/>
    <n v="130"/>
    <n v="130"/>
    <n v="130"/>
    <n v="130"/>
    <n v="1"/>
    <n v="0"/>
    <n v="1"/>
    <n v="1"/>
    <n v="1"/>
    <n v="7"/>
    <n v="29"/>
    <n v="0"/>
    <n v="130"/>
    <s v="No"/>
    <s v=""/>
    <n v="0"/>
    <n v="0"/>
    <n v="0"/>
    <s v="Yes"/>
    <s v="KMSS-LSO"/>
    <x v="0"/>
    <x v="0"/>
    <x v="0"/>
    <n v="23.638999999999999"/>
    <n v="97.861999999999995"/>
    <s v="MMR015CMP068"/>
    <x v="1"/>
    <m/>
    <n v="31"/>
    <n v="133"/>
  </r>
  <r>
    <x v="0"/>
    <x v="3"/>
    <x v="3"/>
    <s v="UNICEF, USAID"/>
    <x v="1"/>
    <x v="14"/>
    <x v="0"/>
    <x v="168"/>
    <n v="40"/>
    <n v="244"/>
    <s v="11-11-2021, 07-01-2020"/>
    <s v="10-11-2022, 28-2-2022"/>
    <m/>
    <n v="1"/>
    <m/>
    <m/>
    <s v="Yes"/>
    <n v="3"/>
    <n v="3"/>
    <n v="1"/>
    <m/>
    <m/>
    <n v="1"/>
    <n v="2"/>
    <m/>
    <m/>
    <m/>
    <m/>
    <m/>
    <m/>
    <m/>
    <m/>
    <m/>
    <m/>
    <m/>
    <m/>
    <m/>
    <m/>
    <m/>
    <m/>
    <m/>
    <m/>
    <n v="12"/>
    <m/>
    <m/>
    <m/>
    <m/>
    <m/>
    <m/>
    <m/>
    <x v="1"/>
    <x v="2"/>
    <m/>
    <m/>
    <n v="1"/>
    <m/>
    <m/>
    <m/>
    <n v="1"/>
    <m/>
    <m/>
    <n v="1"/>
    <m/>
    <m/>
    <n v="1"/>
    <n v="6"/>
    <n v="5"/>
    <m/>
    <m/>
    <m/>
    <m/>
    <m/>
    <m/>
    <m/>
    <m/>
    <m/>
    <m/>
    <m/>
    <m/>
    <m/>
    <m/>
    <m/>
    <s v="no test"/>
    <s v="no test"/>
    <s v="No Test"/>
    <n v="1"/>
    <n v="3"/>
    <n v="0"/>
    <n v="0"/>
    <n v="0"/>
    <n v="0"/>
    <n v="0"/>
    <n v="1"/>
    <n v="1"/>
    <n v="1"/>
    <n v="244"/>
    <n v="0"/>
    <n v="0"/>
    <n v="1"/>
    <n v="244"/>
    <n v="0.48799999999999999"/>
    <n v="0"/>
    <n v="0"/>
    <n v="0.51200000000000001"/>
    <n v="1"/>
    <n v="12"/>
    <n v="0.98360655737704916"/>
    <n v="240"/>
    <n v="0"/>
    <n v="0"/>
    <n v="0"/>
    <n v="12"/>
    <n v="0"/>
    <n v="1.6393442622950838E-2"/>
    <n v="0"/>
    <n v="244"/>
    <n v="30"/>
    <n v="5"/>
    <n v="30"/>
    <n v="244"/>
    <n v="1"/>
    <n v="0"/>
    <n v="1"/>
    <n v="0.6"/>
    <n v="0.125"/>
    <n v="1"/>
    <n v="20"/>
    <n v="0"/>
    <n v="100"/>
    <s v="No"/>
    <s v=""/>
    <n v="0"/>
    <n v="0"/>
    <n v="0"/>
    <s v="Yes"/>
    <s v="KBC-NSS"/>
    <x v="0"/>
    <x v="0"/>
    <x v="0"/>
    <n v="23.450914000000001"/>
    <n v="97.926813999999993"/>
    <s v="MMR015CMP016"/>
    <x v="1"/>
    <m/>
    <n v="40"/>
    <n v="251"/>
  </r>
  <r>
    <x v="0"/>
    <x v="3"/>
    <x v="3"/>
    <s v="UNICEF, USAID"/>
    <x v="1"/>
    <x v="14"/>
    <x v="0"/>
    <x v="169"/>
    <n v="38"/>
    <n v="180"/>
    <s v="11-11-2021, 07-01-2020"/>
    <s v="10-11-2022, 28-2-2022"/>
    <m/>
    <m/>
    <m/>
    <m/>
    <m/>
    <n v="4"/>
    <n v="5"/>
    <n v="1"/>
    <m/>
    <m/>
    <n v="1"/>
    <m/>
    <m/>
    <m/>
    <m/>
    <m/>
    <m/>
    <m/>
    <m/>
    <m/>
    <m/>
    <m/>
    <m/>
    <m/>
    <m/>
    <m/>
    <m/>
    <m/>
    <m/>
    <m/>
    <n v="9"/>
    <m/>
    <m/>
    <m/>
    <m/>
    <m/>
    <m/>
    <m/>
    <x v="1"/>
    <x v="1"/>
    <m/>
    <m/>
    <m/>
    <m/>
    <m/>
    <m/>
    <n v="8"/>
    <m/>
    <m/>
    <n v="3"/>
    <m/>
    <m/>
    <n v="1"/>
    <n v="91"/>
    <n v="124"/>
    <m/>
    <m/>
    <m/>
    <m/>
    <m/>
    <m/>
    <m/>
    <m/>
    <m/>
    <m/>
    <m/>
    <m/>
    <m/>
    <m/>
    <m/>
    <s v="no test"/>
    <s v="no test"/>
    <s v="No Test"/>
    <n v="1"/>
    <n v="1"/>
    <n v="0"/>
    <n v="0"/>
    <n v="0"/>
    <n v="0"/>
    <n v="0"/>
    <n v="1"/>
    <n v="1"/>
    <n v="1"/>
    <n v="180"/>
    <n v="0"/>
    <n v="0"/>
    <n v="1"/>
    <n v="180"/>
    <n v="0.36"/>
    <n v="0"/>
    <n v="0"/>
    <n v="0.64"/>
    <n v="1"/>
    <n v="9"/>
    <n v="1"/>
    <n v="180"/>
    <n v="0"/>
    <n v="0"/>
    <n v="0"/>
    <n v="9"/>
    <n v="0"/>
    <n v="0"/>
    <n v="0"/>
    <n v="180"/>
    <n v="180"/>
    <n v="124"/>
    <n v="180"/>
    <n v="180"/>
    <n v="1"/>
    <n v="0"/>
    <n v="1"/>
    <n v="1"/>
    <n v="1"/>
    <n v="8"/>
    <n v="38"/>
    <n v="0"/>
    <n v="180"/>
    <s v="No"/>
    <s v=""/>
    <n v="0"/>
    <n v="0"/>
    <n v="0"/>
    <s v="Yes"/>
    <s v="KBC-NSS"/>
    <x v="0"/>
    <x v="0"/>
    <x v="0"/>
    <n v="23.460349999999998"/>
    <n v="97.947360000000003"/>
    <s v="MMR015CMP063"/>
    <x v="1"/>
    <m/>
    <n v="36"/>
    <n v="158"/>
  </r>
  <r>
    <x v="0"/>
    <x v="0"/>
    <x v="0"/>
    <m/>
    <x v="1"/>
    <x v="20"/>
    <x v="0"/>
    <x v="170"/>
    <n v="142"/>
    <n v="504"/>
    <m/>
    <m/>
    <m/>
    <m/>
    <m/>
    <m/>
    <m/>
    <m/>
    <m/>
    <m/>
    <m/>
    <m/>
    <m/>
    <m/>
    <m/>
    <m/>
    <m/>
    <m/>
    <m/>
    <m/>
    <m/>
    <m/>
    <m/>
    <m/>
    <m/>
    <m/>
    <m/>
    <m/>
    <m/>
    <m/>
    <m/>
    <m/>
    <m/>
    <m/>
    <m/>
    <m/>
    <m/>
    <m/>
    <m/>
    <m/>
    <x v="0"/>
    <x v="0"/>
    <m/>
    <m/>
    <m/>
    <m/>
    <m/>
    <m/>
    <n v="7"/>
    <m/>
    <m/>
    <n v="7"/>
    <m/>
    <m/>
    <m/>
    <n v="104"/>
    <n v="148"/>
    <m/>
    <m/>
    <m/>
    <m/>
    <m/>
    <m/>
    <m/>
    <m/>
    <m/>
    <m/>
    <m/>
    <m/>
    <m/>
    <m/>
    <m/>
    <s v="no test"/>
    <s v="no test"/>
    <s v="No Test"/>
    <n v="0"/>
    <n v="0"/>
    <n v="0"/>
    <n v="0"/>
    <n v="0"/>
    <n v="0"/>
    <n v="0"/>
    <n v="0"/>
    <n v="0"/>
    <n v="0"/>
    <n v="0"/>
    <n v="0"/>
    <n v="0"/>
    <n v="0"/>
    <n v="0"/>
    <n v="0"/>
    <n v="1"/>
    <n v="504"/>
    <n v="1"/>
    <n v="1"/>
    <n v="0"/>
    <n v="0"/>
    <n v="0"/>
    <n v="0"/>
    <n v="0"/>
    <n v="0"/>
    <n v="25"/>
    <n v="25"/>
    <n v="1"/>
    <n v="0"/>
    <n v="0"/>
    <n v="504"/>
    <n v="148"/>
    <n v="504"/>
    <n v="504"/>
    <n v="1"/>
    <n v="0"/>
    <n v="0"/>
    <n v="1"/>
    <n v="1"/>
    <n v="7"/>
    <n v="140"/>
    <n v="0"/>
    <n v="504"/>
    <s v="No"/>
    <s v=""/>
    <n v="0"/>
    <n v="0"/>
    <n v="0"/>
    <n v="0"/>
    <s v="uncovered"/>
    <x v="0"/>
    <x v="2"/>
    <x v="0"/>
    <n v="22.325900000000001"/>
    <n v="97.021000000000001"/>
    <s v="MMR015CMP075"/>
    <x v="0"/>
    <m/>
    <n v="1036"/>
    <n v="3986"/>
  </r>
  <r>
    <x v="0"/>
    <x v="3"/>
    <x v="3"/>
    <s v="UNICEF, USAID"/>
    <x v="1"/>
    <x v="19"/>
    <x v="0"/>
    <x v="171"/>
    <n v="60"/>
    <n v="270"/>
    <s v="11-11-2021, 07-01-2020"/>
    <s v="10-11-2022, 28-2-2022"/>
    <m/>
    <m/>
    <n v="1"/>
    <m/>
    <s v="Yes"/>
    <n v="4"/>
    <n v="3"/>
    <n v="1"/>
    <m/>
    <m/>
    <n v="1"/>
    <n v="1"/>
    <m/>
    <m/>
    <m/>
    <m/>
    <m/>
    <m/>
    <m/>
    <m/>
    <m/>
    <m/>
    <m/>
    <m/>
    <m/>
    <m/>
    <n v="2"/>
    <m/>
    <m/>
    <m/>
    <n v="16"/>
    <m/>
    <m/>
    <m/>
    <m/>
    <m/>
    <m/>
    <m/>
    <x v="1"/>
    <x v="1"/>
    <m/>
    <m/>
    <m/>
    <m/>
    <m/>
    <m/>
    <n v="7"/>
    <m/>
    <m/>
    <n v="4"/>
    <m/>
    <m/>
    <n v="1"/>
    <n v="124"/>
    <n v="198"/>
    <m/>
    <m/>
    <m/>
    <m/>
    <m/>
    <m/>
    <m/>
    <m/>
    <m/>
    <m/>
    <m/>
    <m/>
    <m/>
    <m/>
    <m/>
    <s v="no test"/>
    <s v="no test"/>
    <s v="No Test"/>
    <n v="1"/>
    <n v="2"/>
    <n v="0"/>
    <n v="0"/>
    <n v="0"/>
    <n v="0"/>
    <n v="0"/>
    <n v="1"/>
    <n v="1"/>
    <n v="1"/>
    <n v="270"/>
    <n v="0"/>
    <n v="0"/>
    <n v="1"/>
    <n v="270"/>
    <n v="0.54"/>
    <n v="0"/>
    <n v="0"/>
    <n v="0.45999999999999996"/>
    <n v="1"/>
    <n v="16"/>
    <n v="1"/>
    <n v="270"/>
    <n v="0"/>
    <n v="0"/>
    <n v="0"/>
    <n v="14"/>
    <n v="0"/>
    <n v="0"/>
    <n v="0"/>
    <n v="270"/>
    <n v="270"/>
    <n v="198"/>
    <n v="270"/>
    <n v="270"/>
    <n v="1"/>
    <n v="0"/>
    <n v="1"/>
    <n v="1"/>
    <n v="1"/>
    <n v="7"/>
    <n v="60"/>
    <n v="0"/>
    <n v="270"/>
    <s v="No"/>
    <s v=""/>
    <n v="0"/>
    <n v="0"/>
    <n v="0"/>
    <s v="Yes"/>
    <s v="KMSS-LSO"/>
    <x v="0"/>
    <x v="0"/>
    <x v="0"/>
    <n v="23.099304"/>
    <n v="97.400671000000003"/>
    <s v="MMR015CMP066"/>
    <x v="1"/>
    <m/>
    <n v="60"/>
    <n v="272"/>
  </r>
  <r>
    <x v="0"/>
    <x v="3"/>
    <x v="3"/>
    <s v="UNICEF, USAID"/>
    <x v="1"/>
    <x v="19"/>
    <x v="0"/>
    <x v="172"/>
    <n v="30"/>
    <n v="127"/>
    <s v="11-11-2021, 07-01-2020"/>
    <s v="10-11-2022, 28-2-2022"/>
    <m/>
    <m/>
    <n v="1"/>
    <m/>
    <s v="Yes"/>
    <n v="3"/>
    <n v="3"/>
    <m/>
    <m/>
    <m/>
    <n v="2"/>
    <n v="1"/>
    <m/>
    <m/>
    <m/>
    <m/>
    <m/>
    <m/>
    <m/>
    <m/>
    <m/>
    <m/>
    <m/>
    <m/>
    <m/>
    <m/>
    <m/>
    <m/>
    <m/>
    <m/>
    <n v="10"/>
    <n v="2"/>
    <m/>
    <m/>
    <m/>
    <m/>
    <m/>
    <n v="2"/>
    <x v="1"/>
    <x v="1"/>
    <m/>
    <m/>
    <m/>
    <m/>
    <m/>
    <m/>
    <n v="3"/>
    <m/>
    <m/>
    <n v="2"/>
    <m/>
    <m/>
    <n v="1"/>
    <n v="10"/>
    <n v="18"/>
    <m/>
    <m/>
    <m/>
    <m/>
    <m/>
    <m/>
    <m/>
    <m/>
    <m/>
    <m/>
    <m/>
    <m/>
    <m/>
    <m/>
    <m/>
    <s v="no test"/>
    <s v="no test"/>
    <s v="No Test"/>
    <n v="0"/>
    <n v="3"/>
    <n v="0"/>
    <n v="0"/>
    <n v="0"/>
    <n v="0"/>
    <n v="0"/>
    <n v="1"/>
    <n v="1"/>
    <n v="1"/>
    <n v="127"/>
    <n v="0"/>
    <n v="0"/>
    <n v="1"/>
    <n v="127"/>
    <n v="0.254"/>
    <n v="0"/>
    <n v="0"/>
    <n v="0.746"/>
    <n v="1"/>
    <n v="12"/>
    <n v="1"/>
    <n v="127"/>
    <n v="0"/>
    <n v="0"/>
    <n v="0"/>
    <n v="6"/>
    <n v="0"/>
    <n v="0"/>
    <n v="0"/>
    <n v="127"/>
    <n v="50"/>
    <n v="18"/>
    <n v="50"/>
    <n v="127"/>
    <n v="1"/>
    <n v="0"/>
    <n v="1"/>
    <n v="1"/>
    <n v="0.6"/>
    <n v="3"/>
    <n v="30"/>
    <n v="0"/>
    <n v="127"/>
    <s v="No"/>
    <s v=""/>
    <n v="0"/>
    <n v="0"/>
    <n v="0"/>
    <s v="Yes"/>
    <s v="KMSS-LSO"/>
    <x v="0"/>
    <x v="0"/>
    <x v="0"/>
    <n v="23.088011000000002"/>
    <n v="97.398698999999993"/>
    <s v="MMR015CMP050"/>
    <x v="1"/>
    <m/>
    <n v="30"/>
    <n v="129"/>
  </r>
  <r>
    <x v="0"/>
    <x v="3"/>
    <x v="3"/>
    <s v="UNICEF, USAID"/>
    <x v="1"/>
    <x v="14"/>
    <x v="0"/>
    <x v="173"/>
    <n v="74"/>
    <n v="502"/>
    <s v="11-11-2021, 07-01-2020"/>
    <s v="10-11-2022, 28-2-2022"/>
    <m/>
    <m/>
    <m/>
    <m/>
    <m/>
    <n v="6"/>
    <n v="3"/>
    <m/>
    <m/>
    <m/>
    <m/>
    <m/>
    <m/>
    <m/>
    <n v="8"/>
    <m/>
    <m/>
    <m/>
    <m/>
    <m/>
    <m/>
    <m/>
    <m/>
    <m/>
    <m/>
    <m/>
    <n v="1"/>
    <n v="2"/>
    <m/>
    <m/>
    <n v="85"/>
    <m/>
    <m/>
    <m/>
    <m/>
    <m/>
    <m/>
    <n v="5"/>
    <x v="1"/>
    <x v="3"/>
    <m/>
    <m/>
    <m/>
    <m/>
    <m/>
    <m/>
    <n v="1"/>
    <m/>
    <m/>
    <n v="3"/>
    <m/>
    <n v="1"/>
    <m/>
    <n v="41"/>
    <n v="85"/>
    <m/>
    <m/>
    <m/>
    <m/>
    <m/>
    <m/>
    <m/>
    <m/>
    <m/>
    <m/>
    <m/>
    <m/>
    <m/>
    <m/>
    <m/>
    <s v="no test"/>
    <s v="no test"/>
    <s v="No Test"/>
    <n v="0"/>
    <n v="0"/>
    <n v="8"/>
    <n v="0"/>
    <n v="0"/>
    <n v="502"/>
    <n v="0"/>
    <n v="1"/>
    <n v="1"/>
    <n v="1"/>
    <n v="502"/>
    <n v="0"/>
    <n v="0"/>
    <n v="1"/>
    <n v="502"/>
    <n v="1.004"/>
    <n v="0"/>
    <n v="0"/>
    <n v="0"/>
    <n v="1"/>
    <n v="85"/>
    <n v="1"/>
    <n v="502"/>
    <n v="0"/>
    <n v="0"/>
    <n v="0"/>
    <n v="25"/>
    <n v="0"/>
    <n v="0"/>
    <n v="0"/>
    <n v="500"/>
    <n v="205"/>
    <n v="85"/>
    <n v="205"/>
    <n v="500"/>
    <n v="0.99601593625498008"/>
    <n v="3.9840637450199168E-3"/>
    <n v="0.99601593625498008"/>
    <n v="1"/>
    <n v="1"/>
    <n v="1"/>
    <n v="20"/>
    <n v="0"/>
    <n v="100"/>
    <s v="No"/>
    <s v=""/>
    <n v="0"/>
    <n v="502"/>
    <n v="0"/>
    <s v="Yes"/>
    <s v="KMSS-LSO"/>
    <x v="0"/>
    <x v="0"/>
    <x v="0"/>
    <n v="23.591999999999999"/>
    <n v="97.796999999999997"/>
    <s v="MMR015CMP038"/>
    <x v="1"/>
    <m/>
    <n v="75"/>
    <n v="395"/>
  </r>
  <r>
    <x v="0"/>
    <x v="0"/>
    <x v="0"/>
    <m/>
    <x v="1"/>
    <x v="16"/>
    <x v="0"/>
    <x v="174"/>
    <n v="37"/>
    <n v="120"/>
    <m/>
    <m/>
    <m/>
    <m/>
    <m/>
    <m/>
    <m/>
    <m/>
    <m/>
    <m/>
    <m/>
    <m/>
    <m/>
    <m/>
    <m/>
    <m/>
    <m/>
    <m/>
    <m/>
    <m/>
    <m/>
    <m/>
    <m/>
    <m/>
    <m/>
    <m/>
    <m/>
    <m/>
    <m/>
    <m/>
    <m/>
    <m/>
    <m/>
    <m/>
    <m/>
    <m/>
    <m/>
    <m/>
    <m/>
    <m/>
    <x v="0"/>
    <x v="0"/>
    <m/>
    <m/>
    <m/>
    <m/>
    <m/>
    <m/>
    <n v="1"/>
    <m/>
    <m/>
    <n v="1"/>
    <m/>
    <m/>
    <m/>
    <n v="6"/>
    <n v="5"/>
    <m/>
    <m/>
    <m/>
    <m/>
    <m/>
    <m/>
    <m/>
    <m/>
    <m/>
    <m/>
    <m/>
    <m/>
    <m/>
    <m/>
    <m/>
    <s v="no test"/>
    <s v="no test"/>
    <s v="No Test"/>
    <n v="0"/>
    <n v="0"/>
    <n v="0"/>
    <n v="0"/>
    <n v="0"/>
    <n v="0"/>
    <n v="0"/>
    <n v="0"/>
    <n v="0"/>
    <n v="0"/>
    <n v="0"/>
    <n v="0"/>
    <n v="0"/>
    <n v="0"/>
    <n v="0"/>
    <n v="0"/>
    <n v="1"/>
    <n v="120"/>
    <n v="1"/>
    <n v="1"/>
    <n v="0"/>
    <n v="0"/>
    <n v="0"/>
    <n v="0"/>
    <n v="0"/>
    <n v="0"/>
    <n v="6"/>
    <n v="6"/>
    <n v="1"/>
    <n v="0"/>
    <n v="0"/>
    <n v="30"/>
    <n v="5"/>
    <n v="30"/>
    <n v="30"/>
    <n v="0.25"/>
    <n v="0.75"/>
    <n v="0"/>
    <n v="0.64864864864864868"/>
    <n v="0.13513513513513514"/>
    <n v="1"/>
    <n v="20"/>
    <n v="0"/>
    <n v="100"/>
    <s v="No"/>
    <s v=""/>
    <n v="0"/>
    <n v="0"/>
    <n v="0"/>
    <n v="0"/>
    <s v="uncovered"/>
    <x v="0"/>
    <x v="3"/>
    <x v="0"/>
    <n v="22.677008000000001"/>
    <n v="97.314762999999999"/>
    <s v="MMR015CMP062"/>
    <x v="0"/>
    <m/>
    <n v="37"/>
    <n v="120"/>
  </r>
  <r>
    <x v="0"/>
    <x v="3"/>
    <x v="3"/>
    <s v="UNICEF, USAID"/>
    <x v="1"/>
    <x v="14"/>
    <x v="0"/>
    <x v="175"/>
    <n v="26"/>
    <n v="104"/>
    <s v="11-11-2021, 07-01-2020"/>
    <s v="10-11-2022, 28-2-2022"/>
    <m/>
    <m/>
    <m/>
    <m/>
    <m/>
    <m/>
    <m/>
    <m/>
    <m/>
    <m/>
    <m/>
    <n v="1"/>
    <m/>
    <m/>
    <m/>
    <m/>
    <n v="1"/>
    <m/>
    <m/>
    <m/>
    <m/>
    <m/>
    <m/>
    <m/>
    <m/>
    <m/>
    <m/>
    <m/>
    <m/>
    <m/>
    <n v="4"/>
    <m/>
    <m/>
    <m/>
    <m/>
    <m/>
    <m/>
    <m/>
    <x v="0"/>
    <x v="0"/>
    <m/>
    <m/>
    <m/>
    <m/>
    <m/>
    <m/>
    <n v="8"/>
    <m/>
    <m/>
    <n v="3"/>
    <m/>
    <m/>
    <m/>
    <n v="91"/>
    <n v="124"/>
    <m/>
    <m/>
    <m/>
    <m/>
    <m/>
    <m/>
    <m/>
    <m/>
    <m/>
    <m/>
    <m/>
    <m/>
    <m/>
    <m/>
    <m/>
    <s v="no test"/>
    <s v="no test"/>
    <s v="No Test"/>
    <n v="0"/>
    <n v="1"/>
    <n v="0"/>
    <n v="0"/>
    <n v="0"/>
    <n v="0"/>
    <n v="0"/>
    <n v="1"/>
    <n v="1"/>
    <n v="1"/>
    <n v="104"/>
    <n v="0"/>
    <n v="0"/>
    <n v="1"/>
    <n v="104"/>
    <n v="0.20799999999999999"/>
    <n v="0"/>
    <n v="0"/>
    <n v="0.79200000000000004"/>
    <n v="1"/>
    <n v="4"/>
    <n v="0.76923076923076927"/>
    <n v="80"/>
    <n v="0"/>
    <n v="0"/>
    <n v="0"/>
    <n v="5"/>
    <n v="1"/>
    <n v="0.23076923076923073"/>
    <n v="0"/>
    <n v="0"/>
    <n v="104"/>
    <n v="104"/>
    <n v="104"/>
    <n v="104"/>
    <n v="1"/>
    <n v="0"/>
    <n v="0"/>
    <n v="1"/>
    <n v="1"/>
    <n v="8"/>
    <n v="26"/>
    <n v="0"/>
    <n v="104"/>
    <s v="No"/>
    <s v=""/>
    <n v="0"/>
    <n v="0"/>
    <n v="0"/>
    <n v="0"/>
    <s v="uncovered"/>
    <x v="0"/>
    <x v="3"/>
    <x v="0"/>
    <n v="23.621317999999999"/>
    <n v="97.795981999999995"/>
    <s v="MMR015CMP064"/>
    <x v="1"/>
    <m/>
    <n v="24"/>
    <n v="84"/>
  </r>
  <r>
    <x v="0"/>
    <x v="3"/>
    <x v="3"/>
    <s v="UNICEF, USAID"/>
    <x v="1"/>
    <x v="21"/>
    <x v="0"/>
    <x v="176"/>
    <n v="28"/>
    <n v="125"/>
    <s v="11-11-2021, 07-01-2020"/>
    <s v="10-11-2022, 28-2-2022"/>
    <m/>
    <m/>
    <n v="1"/>
    <m/>
    <s v="Yes"/>
    <m/>
    <m/>
    <m/>
    <m/>
    <m/>
    <n v="1"/>
    <n v="1"/>
    <m/>
    <m/>
    <m/>
    <m/>
    <m/>
    <m/>
    <m/>
    <m/>
    <m/>
    <m/>
    <m/>
    <m/>
    <m/>
    <m/>
    <m/>
    <m/>
    <m/>
    <m/>
    <n v="18"/>
    <m/>
    <m/>
    <m/>
    <m/>
    <m/>
    <m/>
    <m/>
    <x v="1"/>
    <x v="1"/>
    <m/>
    <m/>
    <m/>
    <m/>
    <m/>
    <m/>
    <n v="7"/>
    <m/>
    <m/>
    <n v="4"/>
    <m/>
    <m/>
    <n v="1"/>
    <n v="124"/>
    <n v="198"/>
    <m/>
    <m/>
    <m/>
    <m/>
    <m/>
    <m/>
    <m/>
    <m/>
    <m/>
    <m/>
    <m/>
    <m/>
    <m/>
    <m/>
    <m/>
    <s v="no test"/>
    <s v="no test"/>
    <s v="No Test"/>
    <n v="0"/>
    <n v="2"/>
    <n v="0"/>
    <n v="0"/>
    <n v="0"/>
    <n v="0"/>
    <n v="0"/>
    <n v="1"/>
    <n v="1"/>
    <n v="1"/>
    <n v="125"/>
    <n v="0"/>
    <n v="0"/>
    <n v="1"/>
    <n v="125"/>
    <n v="0.25"/>
    <n v="0"/>
    <n v="0"/>
    <n v="0.75"/>
    <n v="1"/>
    <n v="18"/>
    <n v="1"/>
    <n v="125"/>
    <n v="0"/>
    <n v="0"/>
    <n v="0"/>
    <n v="6"/>
    <n v="0"/>
    <n v="0"/>
    <n v="0"/>
    <n v="125"/>
    <n v="125"/>
    <n v="125"/>
    <n v="125"/>
    <n v="125"/>
    <n v="1"/>
    <n v="0"/>
    <n v="1"/>
    <n v="1"/>
    <n v="1"/>
    <n v="7"/>
    <n v="28"/>
    <n v="0"/>
    <n v="125"/>
    <s v="No"/>
    <s v=""/>
    <n v="0"/>
    <n v="0"/>
    <n v="0"/>
    <s v="Yes"/>
    <s v="KBC-NSS"/>
    <x v="0"/>
    <x v="5"/>
    <x v="0"/>
    <n v="23.250678000000001"/>
    <n v="97.124403000000001"/>
    <s v="MMR015CMP009"/>
    <x v="1"/>
    <m/>
    <n v="28"/>
    <n v="147"/>
  </r>
  <r>
    <x v="0"/>
    <x v="14"/>
    <x v="11"/>
    <s v="UNICEF, USAID"/>
    <x v="1"/>
    <x v="21"/>
    <x v="0"/>
    <x v="177"/>
    <n v="30"/>
    <n v="157"/>
    <s v="11-11-2021, 07-01-2020"/>
    <s v="10-11-2022, 28-2-2022"/>
    <m/>
    <n v="2"/>
    <m/>
    <m/>
    <s v="Yes"/>
    <n v="2"/>
    <n v="8"/>
    <n v="1"/>
    <m/>
    <m/>
    <n v="2"/>
    <m/>
    <m/>
    <m/>
    <m/>
    <m/>
    <m/>
    <m/>
    <n v="2"/>
    <m/>
    <m/>
    <n v="1"/>
    <m/>
    <m/>
    <m/>
    <m/>
    <n v="4"/>
    <m/>
    <m/>
    <m/>
    <n v="8"/>
    <m/>
    <m/>
    <m/>
    <m/>
    <m/>
    <m/>
    <n v="8"/>
    <x v="1"/>
    <x v="1"/>
    <m/>
    <m/>
    <m/>
    <m/>
    <m/>
    <m/>
    <n v="1"/>
    <m/>
    <m/>
    <n v="3"/>
    <m/>
    <m/>
    <n v="2"/>
    <n v="41"/>
    <n v="85"/>
    <m/>
    <m/>
    <m/>
    <m/>
    <m/>
    <m/>
    <m/>
    <m/>
    <m/>
    <m/>
    <m/>
    <m/>
    <m/>
    <m/>
    <m/>
    <s v="no test"/>
    <s v="no test"/>
    <s v="No Test"/>
    <n v="1"/>
    <n v="2"/>
    <n v="0"/>
    <n v="0"/>
    <n v="0"/>
    <n v="0"/>
    <n v="0"/>
    <n v="1"/>
    <n v="1"/>
    <n v="1"/>
    <n v="157"/>
    <n v="1"/>
    <n v="157"/>
    <n v="1"/>
    <n v="157"/>
    <n v="0.314"/>
    <n v="0"/>
    <n v="0"/>
    <n v="0.68599999999999994"/>
    <n v="1"/>
    <n v="8"/>
    <n v="1"/>
    <n v="157"/>
    <n v="0"/>
    <n v="0"/>
    <n v="0"/>
    <n v="8"/>
    <n v="0"/>
    <n v="0"/>
    <n v="0"/>
    <n v="157"/>
    <n v="157"/>
    <n v="85"/>
    <n v="157"/>
    <n v="157"/>
    <n v="1"/>
    <n v="0"/>
    <n v="1"/>
    <n v="1"/>
    <n v="1"/>
    <n v="1"/>
    <n v="20"/>
    <n v="0"/>
    <n v="100"/>
    <s v="No"/>
    <s v=""/>
    <n v="0"/>
    <n v="0"/>
    <n v="0"/>
    <s v="Yes"/>
    <s v="KMSS-LSO"/>
    <x v="0"/>
    <x v="0"/>
    <x v="0"/>
    <n v="23.24661"/>
    <n v="97.116680000000002"/>
    <s v="MMR015CMP027"/>
    <x v="1"/>
    <m/>
    <n v="30"/>
    <n v="159"/>
  </r>
  <r>
    <x v="0"/>
    <x v="0"/>
    <x v="0"/>
    <m/>
    <x v="1"/>
    <x v="18"/>
    <x v="0"/>
    <x v="178"/>
    <n v="16"/>
    <n v="91"/>
    <s v="11-11-2021, 07-01-2020"/>
    <s v="10-11-2022, 28-2-2022"/>
    <m/>
    <m/>
    <m/>
    <m/>
    <m/>
    <m/>
    <m/>
    <m/>
    <m/>
    <m/>
    <m/>
    <m/>
    <m/>
    <m/>
    <m/>
    <m/>
    <m/>
    <m/>
    <m/>
    <m/>
    <m/>
    <m/>
    <m/>
    <m/>
    <m/>
    <m/>
    <m/>
    <m/>
    <m/>
    <m/>
    <m/>
    <m/>
    <m/>
    <m/>
    <m/>
    <m/>
    <m/>
    <m/>
    <x v="0"/>
    <x v="0"/>
    <m/>
    <m/>
    <m/>
    <m/>
    <m/>
    <m/>
    <n v="8"/>
    <m/>
    <m/>
    <n v="3"/>
    <m/>
    <m/>
    <m/>
    <n v="91"/>
    <n v="124"/>
    <m/>
    <m/>
    <m/>
    <m/>
    <m/>
    <m/>
    <m/>
    <m/>
    <m/>
    <m/>
    <m/>
    <m/>
    <m/>
    <m/>
    <m/>
    <s v="no test"/>
    <s v="no test"/>
    <s v="No Test"/>
    <n v="0"/>
    <n v="0"/>
    <n v="0"/>
    <n v="0"/>
    <n v="0"/>
    <n v="0"/>
    <n v="0"/>
    <n v="0"/>
    <n v="0"/>
    <n v="0"/>
    <n v="0"/>
    <n v="0"/>
    <n v="0"/>
    <n v="0"/>
    <n v="0"/>
    <n v="0"/>
    <n v="1"/>
    <n v="91"/>
    <n v="1"/>
    <n v="1"/>
    <n v="0"/>
    <n v="0"/>
    <n v="0"/>
    <n v="0"/>
    <n v="0"/>
    <n v="0"/>
    <n v="5"/>
    <n v="5"/>
    <n v="1"/>
    <n v="0"/>
    <n v="0"/>
    <n v="91"/>
    <n v="91"/>
    <n v="91"/>
    <n v="91"/>
    <n v="1"/>
    <n v="0"/>
    <n v="0"/>
    <n v="1"/>
    <n v="1"/>
    <n v="8"/>
    <n v="16"/>
    <n v="0"/>
    <n v="91"/>
    <s v="No"/>
    <s v=""/>
    <n v="0"/>
    <n v="0"/>
    <n v="0"/>
    <n v="0"/>
    <n v="0"/>
    <x v="0"/>
    <x v="2"/>
    <x v="0"/>
    <n v="23.963060379028299"/>
    <n v="98.127189636230497"/>
    <s v="MMR015CMP076"/>
    <x v="0"/>
    <m/>
    <n v="19"/>
    <n v="60"/>
  </r>
  <r>
    <x v="0"/>
    <x v="3"/>
    <x v="3"/>
    <s v="UNICEF, USAID"/>
    <x v="1"/>
    <x v="14"/>
    <x v="0"/>
    <x v="179"/>
    <n v="64"/>
    <n v="251"/>
    <s v="11-11-2021, 07-01-2020"/>
    <s v="10-11-2022, 28-2-2022"/>
    <m/>
    <n v="1"/>
    <m/>
    <m/>
    <s v="Yes"/>
    <n v="4"/>
    <n v="5"/>
    <m/>
    <m/>
    <m/>
    <m/>
    <m/>
    <m/>
    <m/>
    <n v="14"/>
    <m/>
    <m/>
    <m/>
    <m/>
    <m/>
    <m/>
    <n v="1"/>
    <m/>
    <m/>
    <m/>
    <m/>
    <n v="3"/>
    <m/>
    <m/>
    <m/>
    <n v="71"/>
    <m/>
    <m/>
    <m/>
    <m/>
    <m/>
    <m/>
    <m/>
    <x v="2"/>
    <x v="3"/>
    <m/>
    <m/>
    <n v="4"/>
    <m/>
    <m/>
    <m/>
    <n v="3"/>
    <m/>
    <m/>
    <n v="2"/>
    <m/>
    <n v="1"/>
    <m/>
    <n v="10"/>
    <n v="18"/>
    <m/>
    <m/>
    <m/>
    <m/>
    <m/>
    <m/>
    <m/>
    <m/>
    <m/>
    <m/>
    <m/>
    <m/>
    <m/>
    <m/>
    <m/>
    <s v="no test"/>
    <s v="no test"/>
    <s v="No Test"/>
    <n v="0"/>
    <n v="0"/>
    <n v="14"/>
    <n v="0"/>
    <n v="0"/>
    <n v="0"/>
    <n v="0"/>
    <n v="1"/>
    <n v="1"/>
    <n v="1"/>
    <n v="251"/>
    <n v="0"/>
    <n v="0"/>
    <n v="1"/>
    <n v="251"/>
    <n v="0.502"/>
    <n v="0"/>
    <n v="0"/>
    <n v="0.498"/>
    <n v="1"/>
    <n v="71"/>
    <n v="1"/>
    <n v="251"/>
    <n v="0"/>
    <n v="0"/>
    <n v="0"/>
    <n v="42"/>
    <n v="0"/>
    <n v="0"/>
    <n v="0"/>
    <n v="251"/>
    <n v="50"/>
    <n v="18"/>
    <n v="50"/>
    <n v="251"/>
    <n v="1"/>
    <n v="0"/>
    <n v="1"/>
    <n v="0.625"/>
    <n v="0.28125"/>
    <n v="3"/>
    <n v="60"/>
    <n v="0"/>
    <n v="251"/>
    <s v="No"/>
    <s v=""/>
    <n v="0"/>
    <n v="0"/>
    <n v="0"/>
    <s v="Yes"/>
    <s v="KMSS-LSO"/>
    <x v="1"/>
    <x v="0"/>
    <x v="0"/>
    <n v="23.588920000000002"/>
    <n v="97.793019999999999"/>
    <s v="MMR015CMP018"/>
    <x v="1"/>
    <m/>
    <n v="66"/>
    <n v="248"/>
  </r>
  <r>
    <x v="0"/>
    <x v="3"/>
    <x v="3"/>
    <s v="UNICEF, USAID"/>
    <x v="1"/>
    <x v="22"/>
    <x v="2"/>
    <x v="180"/>
    <n v="64"/>
    <n v="292"/>
    <s v="11-11-2021, 07-01-2020"/>
    <s v="10-11-2022, 28-2-2022"/>
    <m/>
    <m/>
    <m/>
    <m/>
    <m/>
    <n v="4"/>
    <n v="5"/>
    <m/>
    <m/>
    <m/>
    <m/>
    <m/>
    <m/>
    <m/>
    <n v="8"/>
    <m/>
    <m/>
    <m/>
    <m/>
    <m/>
    <m/>
    <m/>
    <m/>
    <m/>
    <m/>
    <m/>
    <m/>
    <m/>
    <m/>
    <m/>
    <n v="25"/>
    <m/>
    <m/>
    <m/>
    <m/>
    <m/>
    <m/>
    <n v="25"/>
    <x v="1"/>
    <x v="1"/>
    <m/>
    <m/>
    <m/>
    <m/>
    <m/>
    <m/>
    <n v="1"/>
    <m/>
    <m/>
    <n v="1"/>
    <m/>
    <m/>
    <n v="1"/>
    <n v="6"/>
    <n v="5"/>
    <m/>
    <m/>
    <m/>
    <m/>
    <m/>
    <m/>
    <m/>
    <m/>
    <m/>
    <m/>
    <m/>
    <m/>
    <m/>
    <m/>
    <m/>
    <s v="no test"/>
    <s v="no test"/>
    <s v="No Test"/>
    <n v="0"/>
    <n v="0"/>
    <n v="8"/>
    <n v="0"/>
    <n v="0"/>
    <n v="0"/>
    <n v="0"/>
    <n v="1"/>
    <n v="1"/>
    <n v="1"/>
    <n v="292"/>
    <n v="0"/>
    <n v="0"/>
    <n v="1"/>
    <n v="292"/>
    <n v="0.58399999999999996"/>
    <n v="0"/>
    <n v="0"/>
    <n v="0.41600000000000004"/>
    <n v="1"/>
    <n v="25"/>
    <n v="0.42808219178082191"/>
    <n v="125"/>
    <n v="0"/>
    <n v="0"/>
    <n v="0"/>
    <n v="49"/>
    <n v="24"/>
    <n v="0.57191780821917804"/>
    <n v="0"/>
    <n v="292"/>
    <n v="30"/>
    <n v="5"/>
    <n v="30"/>
    <n v="292"/>
    <n v="1"/>
    <n v="0"/>
    <n v="1"/>
    <n v="0.375"/>
    <n v="7.8125E-2"/>
    <n v="1"/>
    <n v="20"/>
    <n v="0"/>
    <n v="100"/>
    <s v="No"/>
    <s v=""/>
    <n v="0"/>
    <n v="0"/>
    <n v="0"/>
    <n v="0"/>
    <s v="uncovered"/>
    <x v="2"/>
    <x v="5"/>
    <x v="0"/>
    <n v="23.611999999999998"/>
    <n v="97.506"/>
    <s v="MMR015CMP042"/>
    <x v="1"/>
    <m/>
    <n v="67"/>
    <n v="307"/>
  </r>
  <r>
    <x v="0"/>
    <x v="3"/>
    <x v="3"/>
    <s v="UNICEF, USAID"/>
    <x v="1"/>
    <x v="14"/>
    <x v="0"/>
    <x v="181"/>
    <n v="31"/>
    <n v="176"/>
    <s v="11-11-2021, 07-01-2020"/>
    <s v="10-11-2022, 28-2-2022"/>
    <m/>
    <m/>
    <m/>
    <m/>
    <m/>
    <n v="5"/>
    <n v="4"/>
    <m/>
    <m/>
    <m/>
    <m/>
    <m/>
    <m/>
    <m/>
    <n v="14"/>
    <m/>
    <m/>
    <m/>
    <m/>
    <m/>
    <m/>
    <m/>
    <m/>
    <m/>
    <m/>
    <m/>
    <m/>
    <m/>
    <m/>
    <m/>
    <n v="34"/>
    <m/>
    <m/>
    <m/>
    <m/>
    <m/>
    <m/>
    <m/>
    <x v="1"/>
    <x v="1"/>
    <m/>
    <m/>
    <n v="2"/>
    <m/>
    <m/>
    <m/>
    <n v="8"/>
    <m/>
    <m/>
    <n v="3"/>
    <m/>
    <m/>
    <n v="1"/>
    <n v="91"/>
    <n v="124"/>
    <m/>
    <m/>
    <m/>
    <m/>
    <m/>
    <m/>
    <m/>
    <m/>
    <m/>
    <m/>
    <m/>
    <m/>
    <m/>
    <m/>
    <m/>
    <s v="no test"/>
    <s v="no test"/>
    <s v="No Test"/>
    <n v="0"/>
    <n v="0"/>
    <n v="14"/>
    <n v="0"/>
    <n v="0"/>
    <n v="0"/>
    <n v="0"/>
    <n v="1"/>
    <n v="1"/>
    <n v="1"/>
    <n v="176"/>
    <n v="0"/>
    <n v="0"/>
    <n v="1"/>
    <n v="176"/>
    <n v="0.35199999999999998"/>
    <n v="0"/>
    <n v="0"/>
    <n v="0.64800000000000002"/>
    <n v="1"/>
    <n v="34"/>
    <n v="1"/>
    <n v="176"/>
    <n v="0"/>
    <n v="0"/>
    <n v="0"/>
    <n v="9"/>
    <n v="0"/>
    <n v="0"/>
    <n v="0"/>
    <n v="176"/>
    <n v="176"/>
    <n v="124"/>
    <n v="176"/>
    <n v="176"/>
    <n v="1"/>
    <n v="0"/>
    <n v="1"/>
    <n v="1"/>
    <n v="1"/>
    <n v="8"/>
    <n v="31"/>
    <n v="0"/>
    <n v="176"/>
    <s v="No"/>
    <s v=""/>
    <n v="0"/>
    <n v="0"/>
    <n v="0"/>
    <n v="0"/>
    <s v="uncovered"/>
    <x v="0"/>
    <x v="3"/>
    <x v="0"/>
    <n v="23.850999999999999"/>
    <n v="98.337999999999994"/>
    <s v="MMR015CMP045"/>
    <x v="1"/>
    <m/>
    <n v="30"/>
    <n v="170"/>
  </r>
  <r>
    <x v="0"/>
    <x v="15"/>
    <x v="12"/>
    <s v="UNICEF, USAID"/>
    <x v="1"/>
    <x v="22"/>
    <x v="0"/>
    <x v="182"/>
    <n v="85"/>
    <n v="396"/>
    <s v="11-11-2021, 07-01-2020"/>
    <s v="10-11-2022, 28-2-2022"/>
    <m/>
    <n v="2"/>
    <m/>
    <m/>
    <s v="Yes"/>
    <n v="7"/>
    <n v="9"/>
    <m/>
    <m/>
    <m/>
    <m/>
    <n v="1"/>
    <m/>
    <m/>
    <n v="1"/>
    <m/>
    <m/>
    <m/>
    <m/>
    <m/>
    <m/>
    <n v="2"/>
    <m/>
    <m/>
    <m/>
    <m/>
    <n v="8"/>
    <m/>
    <m/>
    <m/>
    <n v="14"/>
    <n v="6"/>
    <m/>
    <m/>
    <m/>
    <m/>
    <m/>
    <n v="14"/>
    <x v="1"/>
    <x v="1"/>
    <m/>
    <m/>
    <m/>
    <m/>
    <m/>
    <m/>
    <n v="3"/>
    <m/>
    <m/>
    <n v="2"/>
    <m/>
    <n v="1"/>
    <n v="1"/>
    <n v="88"/>
    <n v="100"/>
    <m/>
    <m/>
    <m/>
    <m/>
    <m/>
    <m/>
    <m/>
    <m/>
    <m/>
    <m/>
    <m/>
    <m/>
    <m/>
    <m/>
    <m/>
    <s v="no test"/>
    <s v="no test"/>
    <s v="No Test"/>
    <n v="0"/>
    <n v="1"/>
    <n v="1"/>
    <n v="0"/>
    <n v="0"/>
    <n v="0"/>
    <n v="0"/>
    <n v="1"/>
    <n v="0.79966329966329974"/>
    <n v="1"/>
    <n v="396"/>
    <n v="0"/>
    <n v="0"/>
    <n v="1"/>
    <n v="396"/>
    <n v="0.79200000000000004"/>
    <n v="0"/>
    <n v="0"/>
    <n v="0.20799999999999996"/>
    <n v="1"/>
    <n v="20"/>
    <n v="1"/>
    <n v="396"/>
    <n v="0"/>
    <n v="0"/>
    <n v="0"/>
    <n v="20"/>
    <n v="0"/>
    <n v="0"/>
    <n v="0"/>
    <n v="396"/>
    <n v="396"/>
    <n v="100"/>
    <n v="396"/>
    <n v="396"/>
    <n v="1"/>
    <n v="0"/>
    <n v="1"/>
    <n v="1"/>
    <n v="1"/>
    <n v="3"/>
    <n v="60"/>
    <n v="0"/>
    <n v="300"/>
    <s v="No"/>
    <s v=""/>
    <n v="0"/>
    <n v="0"/>
    <n v="0"/>
    <s v="Yes"/>
    <s v="KBC-NSS"/>
    <x v="0"/>
    <x v="0"/>
    <x v="0"/>
    <n v="23.821380000000001"/>
    <n v="97.681970000000007"/>
    <s v="MMR015CMP004"/>
    <x v="1"/>
    <m/>
    <n v="89"/>
    <n v="401"/>
  </r>
  <r>
    <x v="0"/>
    <x v="3"/>
    <x v="3"/>
    <s v="UNICEF, USAID"/>
    <x v="1"/>
    <x v="22"/>
    <x v="0"/>
    <x v="183"/>
    <n v="64"/>
    <n v="323"/>
    <s v="11-11-2021, 07-01-2020"/>
    <s v="10-11-2022, 28-2-2022"/>
    <m/>
    <n v="1"/>
    <n v="1"/>
    <m/>
    <s v="Yes"/>
    <m/>
    <m/>
    <m/>
    <m/>
    <m/>
    <m/>
    <n v="1"/>
    <m/>
    <m/>
    <m/>
    <m/>
    <m/>
    <m/>
    <m/>
    <m/>
    <m/>
    <m/>
    <m/>
    <m/>
    <m/>
    <m/>
    <m/>
    <m/>
    <m/>
    <m/>
    <n v="10"/>
    <m/>
    <m/>
    <m/>
    <m/>
    <m/>
    <m/>
    <m/>
    <x v="0"/>
    <x v="0"/>
    <m/>
    <m/>
    <m/>
    <m/>
    <m/>
    <m/>
    <n v="7"/>
    <m/>
    <m/>
    <n v="7"/>
    <m/>
    <m/>
    <m/>
    <n v="104"/>
    <n v="148"/>
    <m/>
    <m/>
    <m/>
    <m/>
    <m/>
    <m/>
    <m/>
    <m/>
    <m/>
    <m/>
    <m/>
    <m/>
    <m/>
    <m/>
    <m/>
    <s v="no test"/>
    <s v="no test"/>
    <s v="No Test"/>
    <n v="0"/>
    <n v="1"/>
    <n v="0"/>
    <n v="0"/>
    <n v="0"/>
    <n v="0"/>
    <n v="0"/>
    <n v="1"/>
    <n v="0.77399380804953566"/>
    <n v="1"/>
    <n v="323"/>
    <n v="0"/>
    <n v="0"/>
    <n v="1"/>
    <n v="323"/>
    <n v="0.64600000000000002"/>
    <n v="0"/>
    <n v="0"/>
    <n v="0.35399999999999998"/>
    <n v="1"/>
    <n v="10"/>
    <n v="0.61919504643962853"/>
    <n v="200"/>
    <n v="0"/>
    <n v="0"/>
    <n v="0"/>
    <n v="16"/>
    <n v="6"/>
    <n v="0.38080495356037147"/>
    <n v="0"/>
    <n v="0"/>
    <n v="323"/>
    <n v="148"/>
    <n v="323"/>
    <n v="323"/>
    <n v="1"/>
    <n v="0"/>
    <n v="0"/>
    <n v="1"/>
    <n v="1"/>
    <n v="7"/>
    <n v="64"/>
    <n v="0"/>
    <n v="323"/>
    <s v="No"/>
    <s v=""/>
    <n v="0"/>
    <n v="0"/>
    <n v="0"/>
    <s v="Yes"/>
    <s v="KBC-NSS"/>
    <x v="0"/>
    <x v="0"/>
    <x v="0"/>
    <n v="23.828520000000001"/>
    <n v="97.669557999999995"/>
    <s v="MMR015CMP001"/>
    <x v="1"/>
    <m/>
    <n v="66"/>
    <n v="333"/>
  </r>
  <r>
    <x v="0"/>
    <x v="3"/>
    <x v="3"/>
    <s v="UNICEF, USAID"/>
    <x v="1"/>
    <x v="22"/>
    <x v="0"/>
    <x v="184"/>
    <n v="6"/>
    <n v="31"/>
    <s v="11-11-2021, 07-01-2020"/>
    <s v="10-11-2022, 28-2-2022"/>
    <m/>
    <m/>
    <n v="1"/>
    <m/>
    <m/>
    <m/>
    <m/>
    <m/>
    <m/>
    <m/>
    <m/>
    <n v="1"/>
    <m/>
    <m/>
    <m/>
    <m/>
    <m/>
    <m/>
    <m/>
    <m/>
    <m/>
    <m/>
    <m/>
    <m/>
    <m/>
    <m/>
    <m/>
    <m/>
    <m/>
    <m/>
    <m/>
    <n v="10"/>
    <m/>
    <m/>
    <m/>
    <m/>
    <m/>
    <m/>
    <x v="0"/>
    <x v="0"/>
    <m/>
    <m/>
    <m/>
    <m/>
    <m/>
    <m/>
    <n v="7"/>
    <m/>
    <m/>
    <n v="4"/>
    <m/>
    <m/>
    <n v="1"/>
    <n v="124"/>
    <n v="198"/>
    <m/>
    <m/>
    <m/>
    <m/>
    <m/>
    <m/>
    <m/>
    <m/>
    <m/>
    <m/>
    <m/>
    <m/>
    <m/>
    <m/>
    <m/>
    <s v="no test"/>
    <s v="no test"/>
    <s v="No Test"/>
    <n v="0"/>
    <n v="1"/>
    <n v="0"/>
    <n v="0"/>
    <n v="0"/>
    <n v="0"/>
    <n v="0"/>
    <n v="1"/>
    <n v="1"/>
    <n v="1"/>
    <n v="31"/>
    <n v="0"/>
    <n v="0"/>
    <n v="1"/>
    <n v="31"/>
    <n v="6.2E-2"/>
    <n v="0"/>
    <n v="0"/>
    <n v="0.93799999999999994"/>
    <n v="1"/>
    <n v="10"/>
    <n v="1"/>
    <n v="31"/>
    <n v="0"/>
    <n v="0"/>
    <n v="0"/>
    <n v="2"/>
    <n v="0"/>
    <n v="0"/>
    <n v="0"/>
    <n v="31"/>
    <n v="31"/>
    <n v="31"/>
    <n v="31"/>
    <n v="31"/>
    <n v="1"/>
    <n v="0"/>
    <n v="1"/>
    <n v="1"/>
    <n v="1"/>
    <n v="7"/>
    <n v="6"/>
    <n v="0"/>
    <n v="31"/>
    <s v="No"/>
    <s v=""/>
    <n v="0"/>
    <n v="0"/>
    <n v="0"/>
    <s v="Yes"/>
    <s v="KBC-NSS"/>
    <x v="0"/>
    <x v="5"/>
    <x v="0"/>
    <n v="23.841646999999998"/>
    <n v="97.700940000000003"/>
    <s v="MMR015CMP214"/>
    <x v="1"/>
    <m/>
    <n v="7"/>
    <n v="32"/>
  </r>
  <r>
    <x v="0"/>
    <x v="15"/>
    <x v="12"/>
    <s v="UNICEF, USAID"/>
    <x v="1"/>
    <x v="22"/>
    <x v="0"/>
    <x v="185"/>
    <n v="44"/>
    <n v="213"/>
    <s v="11-11-2021, 07-01-2020"/>
    <s v="10-11-2022, 28-2-2022"/>
    <m/>
    <n v="2"/>
    <m/>
    <m/>
    <s v="Yes"/>
    <n v="3"/>
    <n v="9"/>
    <n v="1"/>
    <m/>
    <m/>
    <m/>
    <n v="2"/>
    <m/>
    <m/>
    <m/>
    <m/>
    <m/>
    <m/>
    <n v="1"/>
    <m/>
    <m/>
    <n v="2"/>
    <m/>
    <m/>
    <m/>
    <m/>
    <n v="3"/>
    <m/>
    <m/>
    <m/>
    <n v="14"/>
    <m/>
    <m/>
    <m/>
    <m/>
    <m/>
    <m/>
    <n v="14"/>
    <x v="1"/>
    <x v="1"/>
    <m/>
    <m/>
    <m/>
    <m/>
    <m/>
    <m/>
    <n v="3"/>
    <m/>
    <m/>
    <n v="2"/>
    <m/>
    <n v="1"/>
    <n v="1"/>
    <n v="10"/>
    <n v="18"/>
    <m/>
    <m/>
    <m/>
    <m/>
    <m/>
    <m/>
    <m/>
    <m/>
    <m/>
    <m/>
    <m/>
    <m/>
    <m/>
    <m/>
    <m/>
    <s v="no test"/>
    <s v="no test"/>
    <s v="No Test"/>
    <n v="1"/>
    <n v="2"/>
    <n v="0"/>
    <n v="0"/>
    <n v="0"/>
    <n v="0"/>
    <n v="0"/>
    <n v="1"/>
    <n v="1"/>
    <n v="1"/>
    <n v="213"/>
    <n v="1"/>
    <n v="213"/>
    <n v="1"/>
    <n v="213"/>
    <n v="0.42599999999999999"/>
    <n v="0"/>
    <n v="0"/>
    <n v="0.57400000000000007"/>
    <n v="1"/>
    <n v="14"/>
    <n v="1"/>
    <n v="213"/>
    <n v="0"/>
    <n v="0"/>
    <n v="0"/>
    <n v="11"/>
    <n v="0"/>
    <n v="0"/>
    <n v="0"/>
    <n v="213"/>
    <n v="50"/>
    <n v="18"/>
    <n v="50"/>
    <n v="213"/>
    <n v="1"/>
    <n v="0"/>
    <n v="1"/>
    <n v="0.90909090909090906"/>
    <n v="0.40909090909090912"/>
    <n v="3"/>
    <n v="44"/>
    <n v="0"/>
    <n v="213"/>
    <s v="No"/>
    <s v=""/>
    <n v="0"/>
    <n v="0"/>
    <n v="0"/>
    <s v="Yes"/>
    <s v="KMSS-LSO"/>
    <x v="0"/>
    <x v="0"/>
    <x v="0"/>
    <n v="23.828150000000001"/>
    <n v="97.670360000000002"/>
    <s v="MMR015CMP003"/>
    <x v="1"/>
    <m/>
    <n v="44"/>
    <n v="217"/>
  </r>
  <r>
    <x v="0"/>
    <x v="3"/>
    <x v="3"/>
    <s v="UNICEF, USAID"/>
    <x v="1"/>
    <x v="14"/>
    <x v="0"/>
    <x v="186"/>
    <n v="54"/>
    <n v="250"/>
    <s v="11-11-2021, 07-01-2020"/>
    <s v="10-11-2022, 28-2-2022"/>
    <m/>
    <n v="1"/>
    <m/>
    <m/>
    <s v="Yes"/>
    <n v="5"/>
    <n v="4"/>
    <m/>
    <m/>
    <m/>
    <m/>
    <m/>
    <m/>
    <m/>
    <n v="12"/>
    <m/>
    <m/>
    <m/>
    <m/>
    <m/>
    <m/>
    <n v="1"/>
    <m/>
    <m/>
    <m/>
    <m/>
    <m/>
    <m/>
    <m/>
    <m/>
    <n v="18"/>
    <m/>
    <m/>
    <m/>
    <m/>
    <m/>
    <m/>
    <m/>
    <x v="1"/>
    <x v="1"/>
    <m/>
    <m/>
    <m/>
    <m/>
    <m/>
    <m/>
    <n v="3"/>
    <m/>
    <m/>
    <n v="2"/>
    <m/>
    <m/>
    <n v="2"/>
    <n v="88"/>
    <n v="100"/>
    <m/>
    <m/>
    <m/>
    <m/>
    <m/>
    <m/>
    <m/>
    <m/>
    <m/>
    <m/>
    <m/>
    <m/>
    <m/>
    <m/>
    <m/>
    <s v="no test"/>
    <s v="no test"/>
    <s v="No Test"/>
    <n v="0"/>
    <n v="0"/>
    <n v="12"/>
    <n v="0"/>
    <n v="0"/>
    <n v="0"/>
    <n v="0"/>
    <n v="1"/>
    <n v="1"/>
    <n v="1"/>
    <n v="250"/>
    <n v="0"/>
    <n v="0"/>
    <n v="1"/>
    <n v="250"/>
    <n v="0.5"/>
    <n v="0"/>
    <n v="0"/>
    <n v="0.5"/>
    <n v="1"/>
    <n v="18"/>
    <n v="1"/>
    <n v="250"/>
    <n v="0"/>
    <n v="0"/>
    <n v="0"/>
    <n v="13"/>
    <n v="0"/>
    <n v="0"/>
    <n v="0"/>
    <n v="250"/>
    <n v="250"/>
    <n v="100"/>
    <n v="250"/>
    <n v="250"/>
    <n v="1"/>
    <n v="0"/>
    <n v="1"/>
    <n v="1"/>
    <n v="1"/>
    <n v="3"/>
    <n v="54"/>
    <n v="0"/>
    <n v="250"/>
    <s v="No"/>
    <s v=""/>
    <n v="0"/>
    <n v="0"/>
    <n v="0"/>
    <s v="Yes"/>
    <s v="KBC-NSS"/>
    <x v="0"/>
    <x v="0"/>
    <x v="0"/>
    <n v="23.694130000000001"/>
    <n v="97.818979999999996"/>
    <s v="MMR015CMP007"/>
    <x v="1"/>
    <m/>
    <n v="54"/>
    <n v="279"/>
  </r>
  <r>
    <x v="0"/>
    <x v="3"/>
    <x v="3"/>
    <s v="UNICEF, USAID"/>
    <x v="1"/>
    <x v="14"/>
    <x v="0"/>
    <x v="187"/>
    <n v="35"/>
    <n v="158"/>
    <s v="11-11-2021, 07-01-2020"/>
    <s v="10-11-2022, 28-2-2022"/>
    <m/>
    <n v="1"/>
    <m/>
    <m/>
    <s v="Yes"/>
    <n v="5"/>
    <n v="4"/>
    <m/>
    <m/>
    <m/>
    <n v="2"/>
    <m/>
    <m/>
    <m/>
    <m/>
    <m/>
    <m/>
    <m/>
    <m/>
    <m/>
    <m/>
    <n v="1"/>
    <m/>
    <m/>
    <m/>
    <m/>
    <m/>
    <m/>
    <m/>
    <m/>
    <n v="8"/>
    <m/>
    <m/>
    <m/>
    <m/>
    <m/>
    <m/>
    <m/>
    <x v="1"/>
    <x v="2"/>
    <m/>
    <m/>
    <m/>
    <m/>
    <m/>
    <m/>
    <n v="3"/>
    <m/>
    <m/>
    <n v="2"/>
    <m/>
    <m/>
    <n v="2"/>
    <n v="10"/>
    <n v="18"/>
    <m/>
    <m/>
    <m/>
    <m/>
    <m/>
    <m/>
    <m/>
    <m/>
    <m/>
    <m/>
    <m/>
    <m/>
    <m/>
    <m/>
    <m/>
    <s v="no test"/>
    <s v="no test"/>
    <s v="No Test"/>
    <n v="0"/>
    <n v="2"/>
    <n v="0"/>
    <n v="0"/>
    <n v="0"/>
    <n v="0"/>
    <n v="0"/>
    <n v="1"/>
    <n v="1"/>
    <n v="1"/>
    <n v="158"/>
    <n v="0"/>
    <n v="0"/>
    <n v="1"/>
    <n v="158"/>
    <n v="0.316"/>
    <n v="0"/>
    <n v="0"/>
    <n v="0.68399999999999994"/>
    <n v="1"/>
    <n v="8"/>
    <n v="1"/>
    <n v="158"/>
    <n v="0"/>
    <n v="0"/>
    <n v="0"/>
    <n v="8"/>
    <n v="0"/>
    <n v="0"/>
    <n v="0"/>
    <n v="158"/>
    <n v="50"/>
    <n v="18"/>
    <n v="50"/>
    <n v="158"/>
    <n v="1"/>
    <n v="0"/>
    <n v="1"/>
    <n v="1"/>
    <n v="0.51428571428571423"/>
    <n v="3"/>
    <n v="35"/>
    <n v="0"/>
    <n v="158"/>
    <s v="No"/>
    <s v=""/>
    <n v="0"/>
    <n v="0"/>
    <n v="0"/>
    <s v="Yes"/>
    <s v="KMSS-LSO"/>
    <x v="0"/>
    <x v="0"/>
    <x v="0"/>
    <n v="23.682887999999998"/>
    <n v="97.810101000000003"/>
    <s v="MMR015CMP043"/>
    <x v="1"/>
    <m/>
    <n v="34"/>
    <n v="144"/>
  </r>
  <r>
    <x v="0"/>
    <x v="3"/>
    <x v="3"/>
    <s v="UNICEF, USAID"/>
    <x v="1"/>
    <x v="23"/>
    <x v="0"/>
    <x v="188"/>
    <n v="40"/>
    <n v="206"/>
    <s v="11-11-2021, 07-01-2020"/>
    <s v="10-11-2022, 28-2-2022"/>
    <m/>
    <m/>
    <n v="1"/>
    <m/>
    <s v="Yes"/>
    <m/>
    <n v="5"/>
    <n v="4"/>
    <m/>
    <m/>
    <n v="1"/>
    <m/>
    <m/>
    <m/>
    <m/>
    <m/>
    <m/>
    <m/>
    <m/>
    <m/>
    <m/>
    <m/>
    <m/>
    <m/>
    <m/>
    <m/>
    <m/>
    <m/>
    <m/>
    <m/>
    <m/>
    <n v="10"/>
    <m/>
    <m/>
    <m/>
    <m/>
    <m/>
    <m/>
    <x v="1"/>
    <x v="1"/>
    <m/>
    <m/>
    <m/>
    <m/>
    <m/>
    <m/>
    <n v="1"/>
    <m/>
    <m/>
    <n v="3"/>
    <m/>
    <m/>
    <n v="1"/>
    <n v="41"/>
    <n v="85"/>
    <m/>
    <m/>
    <m/>
    <m/>
    <m/>
    <m/>
    <m/>
    <m/>
    <m/>
    <m/>
    <m/>
    <m/>
    <m/>
    <m/>
    <m/>
    <s v="no test"/>
    <s v="no test"/>
    <s v="No Test"/>
    <n v="4"/>
    <n v="1"/>
    <n v="0"/>
    <n v="0"/>
    <n v="0"/>
    <n v="0"/>
    <n v="0"/>
    <n v="1"/>
    <n v="1"/>
    <n v="1"/>
    <n v="206"/>
    <n v="0"/>
    <n v="0"/>
    <n v="1"/>
    <n v="206"/>
    <n v="0.41199999999999998"/>
    <n v="0"/>
    <n v="0"/>
    <n v="0.58800000000000008"/>
    <n v="1"/>
    <n v="10"/>
    <n v="0.970873786407767"/>
    <n v="200"/>
    <n v="0"/>
    <n v="0"/>
    <n v="0"/>
    <n v="10"/>
    <n v="0"/>
    <n v="2.9126213592232997E-2"/>
    <n v="0"/>
    <n v="206"/>
    <n v="205"/>
    <n v="85"/>
    <n v="205"/>
    <n v="206"/>
    <n v="1"/>
    <n v="0"/>
    <n v="1"/>
    <n v="1"/>
    <n v="1"/>
    <n v="1"/>
    <n v="20"/>
    <n v="0"/>
    <n v="100"/>
    <s v="No"/>
    <s v=""/>
    <n v="0"/>
    <n v="0"/>
    <n v="0"/>
    <s v="Yes"/>
    <s v="KBC-NSS"/>
    <x v="0"/>
    <x v="0"/>
    <x v="0"/>
    <n v="23.354268999999999"/>
    <n v="98.218626999999998"/>
    <s v="MMR015CMP036"/>
    <x v="1"/>
    <m/>
    <n v="36"/>
    <n v="180"/>
  </r>
  <r>
    <x v="0"/>
    <x v="3"/>
    <x v="3"/>
    <s v="UNICEF, USAID"/>
    <x v="1"/>
    <x v="19"/>
    <x v="0"/>
    <x v="189"/>
    <n v="32"/>
    <n v="141"/>
    <s v="11-11-2021, 07-01-2020"/>
    <s v="10-11-2022, 28-2-2022"/>
    <m/>
    <m/>
    <n v="1"/>
    <m/>
    <s v="Yes"/>
    <n v="3"/>
    <n v="3"/>
    <m/>
    <m/>
    <m/>
    <m/>
    <m/>
    <m/>
    <m/>
    <n v="1"/>
    <m/>
    <m/>
    <m/>
    <m/>
    <m/>
    <m/>
    <m/>
    <m/>
    <m/>
    <m/>
    <m/>
    <m/>
    <m/>
    <m/>
    <m/>
    <n v="8"/>
    <m/>
    <m/>
    <m/>
    <m/>
    <m/>
    <m/>
    <m/>
    <x v="1"/>
    <x v="1"/>
    <m/>
    <m/>
    <m/>
    <m/>
    <m/>
    <m/>
    <n v="1"/>
    <m/>
    <m/>
    <n v="1"/>
    <m/>
    <m/>
    <n v="1"/>
    <n v="6"/>
    <n v="5"/>
    <m/>
    <m/>
    <m/>
    <m/>
    <m/>
    <m/>
    <m/>
    <m/>
    <m/>
    <m/>
    <m/>
    <m/>
    <m/>
    <m/>
    <m/>
    <s v="no test"/>
    <s v="no test"/>
    <s v="No Test"/>
    <n v="0"/>
    <n v="0"/>
    <n v="1"/>
    <n v="0"/>
    <n v="0"/>
    <n v="0"/>
    <n v="0"/>
    <n v="0.4728132387706856"/>
    <n v="0.4728132387706856"/>
    <n v="0.4728132387706856"/>
    <n v="66.666666666666671"/>
    <n v="0"/>
    <n v="0"/>
    <n v="0.4728132387706856"/>
    <n v="66.666666666666671"/>
    <n v="0.13333333333333333"/>
    <n v="0.5271867612293144"/>
    <n v="74.333333333333329"/>
    <n v="0.8666666666666667"/>
    <n v="1"/>
    <n v="8"/>
    <n v="1"/>
    <n v="141"/>
    <n v="0"/>
    <n v="0"/>
    <n v="0"/>
    <n v="7"/>
    <n v="0"/>
    <n v="0"/>
    <n v="0"/>
    <n v="141"/>
    <n v="30"/>
    <n v="5"/>
    <n v="30"/>
    <n v="141"/>
    <n v="1"/>
    <n v="0"/>
    <n v="1"/>
    <n v="0.75"/>
    <n v="0.15625"/>
    <n v="1"/>
    <n v="20"/>
    <n v="0"/>
    <n v="100"/>
    <s v="No"/>
    <s v=""/>
    <n v="0"/>
    <n v="0"/>
    <n v="0"/>
    <s v="Yes"/>
    <s v="KBC-NSS"/>
    <x v="0"/>
    <x v="0"/>
    <x v="0"/>
    <n v="23.094290000000001"/>
    <n v="97.404089999999997"/>
    <s v="MMR015CMP014"/>
    <x v="1"/>
    <m/>
    <n v="30"/>
    <n v="126"/>
  </r>
  <r>
    <x v="0"/>
    <x v="3"/>
    <x v="3"/>
    <s v="UNICEF, USAID"/>
    <x v="1"/>
    <x v="14"/>
    <x v="0"/>
    <x v="190"/>
    <n v="121"/>
    <n v="664"/>
    <s v="11-11-2021, 07-01-2020"/>
    <s v="10-11-2022, 28-2-2022"/>
    <m/>
    <n v="1"/>
    <m/>
    <m/>
    <s v="Yes"/>
    <n v="4"/>
    <n v="5"/>
    <m/>
    <m/>
    <m/>
    <m/>
    <m/>
    <m/>
    <m/>
    <n v="8"/>
    <m/>
    <m/>
    <m/>
    <m/>
    <m/>
    <m/>
    <m/>
    <m/>
    <m/>
    <m/>
    <m/>
    <n v="1"/>
    <m/>
    <m/>
    <m/>
    <n v="105"/>
    <m/>
    <m/>
    <m/>
    <m/>
    <m/>
    <m/>
    <m/>
    <x v="1"/>
    <x v="1"/>
    <m/>
    <m/>
    <m/>
    <m/>
    <m/>
    <m/>
    <n v="8"/>
    <m/>
    <m/>
    <n v="3"/>
    <m/>
    <m/>
    <n v="1"/>
    <n v="91"/>
    <n v="124"/>
    <m/>
    <m/>
    <m/>
    <m/>
    <m/>
    <m/>
    <m/>
    <m/>
    <m/>
    <m/>
    <m/>
    <m/>
    <m/>
    <m/>
    <m/>
    <s v="no test"/>
    <s v="no test"/>
    <s v="No Test"/>
    <n v="0"/>
    <n v="0"/>
    <n v="8"/>
    <n v="0"/>
    <n v="0"/>
    <n v="0"/>
    <n v="0"/>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455"/>
    <n v="124"/>
    <n v="455"/>
    <n v="500"/>
    <n v="0.75301204819277112"/>
    <n v="0.24698795180722888"/>
    <n v="0.75301204819277112"/>
    <n v="1"/>
    <n v="1"/>
    <n v="8"/>
    <n v="121"/>
    <n v="0"/>
    <n v="664"/>
    <s v="No"/>
    <s v=""/>
    <n v="0"/>
    <n v="0"/>
    <n v="0"/>
    <s v="Yes"/>
    <s v="KMSS-LSO"/>
    <x v="1"/>
    <x v="0"/>
    <x v="0"/>
    <n v="23.447111"/>
    <n v="97.868876999999998"/>
    <s v="MMR015CMP037"/>
    <x v="1"/>
    <m/>
    <n v="123"/>
    <n v="706"/>
  </r>
  <r>
    <x v="0"/>
    <x v="3"/>
    <x v="3"/>
    <s v="UNICEF, USAID"/>
    <x v="1"/>
    <x v="14"/>
    <x v="0"/>
    <x v="191"/>
    <n v="45"/>
    <n v="221"/>
    <s v="11-11-2021, 07-01-2020"/>
    <s v="10-11-2022, 28-2-2022"/>
    <m/>
    <m/>
    <m/>
    <m/>
    <m/>
    <n v="5"/>
    <n v="4"/>
    <m/>
    <m/>
    <m/>
    <m/>
    <m/>
    <m/>
    <m/>
    <n v="8"/>
    <m/>
    <m/>
    <m/>
    <m/>
    <m/>
    <m/>
    <n v="1"/>
    <m/>
    <m/>
    <m/>
    <m/>
    <n v="2"/>
    <n v="1"/>
    <m/>
    <m/>
    <n v="37"/>
    <m/>
    <m/>
    <m/>
    <m/>
    <m/>
    <m/>
    <n v="3"/>
    <x v="2"/>
    <x v="3"/>
    <m/>
    <m/>
    <n v="2"/>
    <m/>
    <m/>
    <m/>
    <n v="7"/>
    <m/>
    <m/>
    <n v="7"/>
    <m/>
    <m/>
    <n v="1"/>
    <n v="104"/>
    <n v="148"/>
    <m/>
    <m/>
    <m/>
    <m/>
    <m/>
    <m/>
    <m/>
    <m/>
    <m/>
    <m/>
    <m/>
    <m/>
    <m/>
    <m/>
    <m/>
    <s v="no test"/>
    <s v="no test"/>
    <s v="No Test"/>
    <n v="0"/>
    <n v="0"/>
    <n v="8"/>
    <n v="0"/>
    <n v="0"/>
    <n v="221"/>
    <n v="0"/>
    <n v="1"/>
    <n v="1"/>
    <n v="1"/>
    <n v="221"/>
    <n v="0"/>
    <n v="0"/>
    <n v="1"/>
    <n v="221"/>
    <n v="0.442"/>
    <n v="0"/>
    <n v="0"/>
    <n v="0.55800000000000005"/>
    <n v="1"/>
    <n v="37"/>
    <n v="1"/>
    <n v="221"/>
    <n v="0"/>
    <n v="0"/>
    <n v="0"/>
    <n v="11"/>
    <n v="0"/>
    <n v="0"/>
    <n v="0"/>
    <n v="221"/>
    <n v="221"/>
    <n v="148"/>
    <n v="221"/>
    <n v="221"/>
    <n v="1"/>
    <n v="0"/>
    <n v="1"/>
    <n v="1"/>
    <n v="1"/>
    <n v="7"/>
    <n v="45"/>
    <n v="0"/>
    <n v="221"/>
    <s v="No"/>
    <s v=""/>
    <n v="0"/>
    <n v="221"/>
    <n v="0"/>
    <s v="Yes"/>
    <s v="KMSS-LSO"/>
    <x v="0"/>
    <x v="0"/>
    <x v="0"/>
    <n v="23.59"/>
    <n v="97.805999999999997"/>
    <s v="MMR015CMP067"/>
    <x v="1"/>
    <m/>
    <n v="47"/>
    <n v="230"/>
  </r>
  <r>
    <x v="0"/>
    <x v="3"/>
    <x v="3"/>
    <s v="UNICEF, USAID"/>
    <x v="1"/>
    <x v="19"/>
    <x v="0"/>
    <x v="192"/>
    <n v="16"/>
    <n v="91"/>
    <s v="2-01-2019, 07-01-2020"/>
    <s v="30-09-2021, 28-2-2022"/>
    <m/>
    <m/>
    <m/>
    <m/>
    <m/>
    <m/>
    <m/>
    <m/>
    <m/>
    <m/>
    <n v="1"/>
    <m/>
    <m/>
    <m/>
    <m/>
    <m/>
    <m/>
    <m/>
    <m/>
    <m/>
    <m/>
    <m/>
    <m/>
    <m/>
    <m/>
    <m/>
    <m/>
    <m/>
    <m/>
    <m/>
    <n v="6"/>
    <m/>
    <m/>
    <m/>
    <m/>
    <m/>
    <m/>
    <m/>
    <x v="2"/>
    <x v="3"/>
    <m/>
    <m/>
    <m/>
    <m/>
    <m/>
    <m/>
    <n v="7"/>
    <m/>
    <m/>
    <n v="4"/>
    <m/>
    <m/>
    <m/>
    <n v="124"/>
    <n v="198"/>
    <m/>
    <m/>
    <m/>
    <m/>
    <m/>
    <m/>
    <m/>
    <m/>
    <m/>
    <m/>
    <m/>
    <m/>
    <m/>
    <m/>
    <m/>
    <s v="no test"/>
    <s v="no test"/>
    <s v="No Test"/>
    <n v="0"/>
    <n v="1"/>
    <n v="0"/>
    <n v="0"/>
    <n v="0"/>
    <n v="0"/>
    <n v="0"/>
    <n v="1"/>
    <n v="1"/>
    <n v="1"/>
    <n v="91"/>
    <n v="0"/>
    <n v="0"/>
    <n v="1"/>
    <n v="91"/>
    <n v="0.182"/>
    <n v="0"/>
    <n v="0"/>
    <n v="0.81800000000000006"/>
    <n v="1"/>
    <n v="6"/>
    <n v="1"/>
    <n v="91"/>
    <n v="0"/>
    <n v="0"/>
    <n v="0"/>
    <n v="5"/>
    <n v="0"/>
    <n v="0"/>
    <n v="0"/>
    <n v="0"/>
    <n v="91"/>
    <n v="91"/>
    <n v="91"/>
    <n v="91"/>
    <n v="1"/>
    <n v="0"/>
    <n v="0"/>
    <n v="1"/>
    <n v="1"/>
    <n v="7"/>
    <n v="16"/>
    <n v="0"/>
    <n v="91"/>
    <s v="No"/>
    <s v=""/>
    <n v="0"/>
    <n v="0"/>
    <n v="0"/>
    <n v="0"/>
    <s v="uncovered"/>
    <x v="0"/>
    <x v="5"/>
    <x v="0"/>
    <n v="22.765999999999998"/>
    <n v="97.358999999999995"/>
    <s v="MMR015CMP221"/>
    <x v="1"/>
    <m/>
    <n v="3"/>
    <n v="17"/>
  </r>
  <r>
    <x v="0"/>
    <x v="13"/>
    <x v="10"/>
    <s v="UNICEF"/>
    <x v="1"/>
    <x v="17"/>
    <x v="0"/>
    <x v="193"/>
    <n v="627"/>
    <n v="3469"/>
    <d v="2021-10-19T00:00:00"/>
    <d v="2022-10-18T00:00:00"/>
    <m/>
    <m/>
    <m/>
    <m/>
    <s v="Yes"/>
    <n v="5"/>
    <n v="4"/>
    <m/>
    <m/>
    <m/>
    <m/>
    <m/>
    <m/>
    <m/>
    <m/>
    <m/>
    <m/>
    <m/>
    <m/>
    <m/>
    <m/>
    <m/>
    <m/>
    <m/>
    <m/>
    <m/>
    <m/>
    <m/>
    <m/>
    <m/>
    <m/>
    <n v="627"/>
    <m/>
    <m/>
    <m/>
    <m/>
    <m/>
    <m/>
    <x v="2"/>
    <x v="2"/>
    <m/>
    <m/>
    <m/>
    <m/>
    <m/>
    <m/>
    <n v="3"/>
    <m/>
    <m/>
    <n v="2"/>
    <m/>
    <m/>
    <m/>
    <n v="10"/>
    <n v="18"/>
    <m/>
    <m/>
    <m/>
    <m/>
    <m/>
    <m/>
    <m/>
    <m/>
    <m/>
    <m/>
    <m/>
    <m/>
    <m/>
    <m/>
    <m/>
    <s v="no test"/>
    <s v="no test"/>
    <s v="No Test"/>
    <n v="0"/>
    <n v="0"/>
    <n v="0"/>
    <n v="0"/>
    <n v="0"/>
    <n v="0"/>
    <n v="0"/>
    <n v="0"/>
    <n v="0"/>
    <n v="0"/>
    <n v="0"/>
    <n v="0"/>
    <n v="0"/>
    <n v="0"/>
    <n v="0"/>
    <n v="0"/>
    <n v="1"/>
    <n v="3469"/>
    <n v="7"/>
    <n v="7"/>
    <n v="627"/>
    <n v="1"/>
    <n v="3469"/>
    <n v="0"/>
    <n v="0"/>
    <n v="0"/>
    <n v="173"/>
    <n v="0"/>
    <n v="0"/>
    <n v="0"/>
    <n v="0"/>
    <n v="50"/>
    <n v="18"/>
    <n v="50"/>
    <n v="50"/>
    <n v="1.4413375612568464E-2"/>
    <n v="0.9855866243874315"/>
    <n v="0"/>
    <n v="6.3795853269537475E-2"/>
    <n v="2.8708133971291867E-2"/>
    <n v="3"/>
    <n v="60"/>
    <n v="0"/>
    <n v="300"/>
    <s v="No"/>
    <s v=""/>
    <n v="0"/>
    <n v="0"/>
    <n v="0"/>
    <n v="0"/>
    <n v="0"/>
    <x v="0"/>
    <x v="3"/>
    <x v="0"/>
    <n v="23.729893000000001"/>
    <n v="98.779853500000002"/>
    <s v="MMR015CMP070"/>
    <x v="1"/>
    <m/>
    <n v="34"/>
    <n v="170"/>
  </r>
  <r>
    <x v="0"/>
    <x v="3"/>
    <x v="3"/>
    <s v="UNICEF, USAID"/>
    <x v="1"/>
    <x v="23"/>
    <x v="0"/>
    <x v="194"/>
    <n v="42"/>
    <n v="195"/>
    <s v="11-11-2021, 07-01-2020"/>
    <s v="10-11-2022, 28-2-2022"/>
    <m/>
    <m/>
    <m/>
    <m/>
    <m/>
    <n v="4"/>
    <n v="4"/>
    <m/>
    <m/>
    <m/>
    <n v="1"/>
    <m/>
    <m/>
    <m/>
    <n v="1"/>
    <m/>
    <m/>
    <m/>
    <m/>
    <m/>
    <m/>
    <n v="1"/>
    <m/>
    <m/>
    <m/>
    <m/>
    <n v="1"/>
    <m/>
    <m/>
    <m/>
    <n v="38"/>
    <m/>
    <m/>
    <m/>
    <m/>
    <m/>
    <m/>
    <m/>
    <x v="2"/>
    <x v="2"/>
    <m/>
    <m/>
    <m/>
    <m/>
    <m/>
    <m/>
    <n v="1"/>
    <m/>
    <m/>
    <n v="3"/>
    <m/>
    <m/>
    <n v="1"/>
    <n v="41"/>
    <n v="85"/>
    <m/>
    <m/>
    <m/>
    <m/>
    <m/>
    <m/>
    <m/>
    <m/>
    <m/>
    <m/>
    <m/>
    <m/>
    <m/>
    <m/>
    <m/>
    <s v="no test"/>
    <s v="no test"/>
    <s v="No Test"/>
    <n v="0"/>
    <n v="1"/>
    <n v="1"/>
    <n v="0"/>
    <n v="0"/>
    <n v="0"/>
    <n v="0"/>
    <n v="1"/>
    <n v="1"/>
    <n v="1"/>
    <n v="195"/>
    <n v="0"/>
    <n v="0"/>
    <n v="1"/>
    <n v="195"/>
    <n v="0.39"/>
    <n v="0"/>
    <n v="0"/>
    <n v="0.61"/>
    <n v="1"/>
    <n v="38"/>
    <n v="1"/>
    <n v="195"/>
    <n v="0"/>
    <n v="0"/>
    <n v="0"/>
    <n v="10"/>
    <n v="0"/>
    <n v="0"/>
    <n v="0"/>
    <n v="195"/>
    <n v="195"/>
    <n v="85"/>
    <n v="195"/>
    <n v="195"/>
    <n v="1"/>
    <n v="0"/>
    <n v="1"/>
    <n v="1"/>
    <n v="1"/>
    <n v="1"/>
    <n v="20"/>
    <n v="0"/>
    <n v="100"/>
    <s v="No"/>
    <s v=""/>
    <n v="0"/>
    <n v="0"/>
    <n v="0"/>
    <n v="0"/>
    <n v="0"/>
    <x v="0"/>
    <x v="5"/>
    <x v="0"/>
    <n v="23.353999999999999"/>
    <n v="98.221000000000004"/>
    <s v="MMR015CMP226"/>
    <x v="1"/>
    <m/>
    <n v="0"/>
    <n v="0"/>
  </r>
  <r>
    <x v="0"/>
    <x v="3"/>
    <x v="3"/>
    <s v="UNICEF, USAID"/>
    <x v="1"/>
    <x v="14"/>
    <x v="0"/>
    <x v="195"/>
    <n v="209"/>
    <n v="1101"/>
    <s v="11-11-2021, 07-01-2020"/>
    <s v="10-11-2022, 28-2-2022"/>
    <m/>
    <n v="2"/>
    <m/>
    <m/>
    <s v="Yes"/>
    <n v="5"/>
    <n v="4"/>
    <n v="2"/>
    <m/>
    <m/>
    <n v="1"/>
    <m/>
    <m/>
    <m/>
    <n v="48"/>
    <m/>
    <m/>
    <m/>
    <m/>
    <m/>
    <m/>
    <n v="1"/>
    <m/>
    <m/>
    <m/>
    <m/>
    <m/>
    <n v="2"/>
    <m/>
    <m/>
    <n v="200"/>
    <n v="5"/>
    <m/>
    <m/>
    <m/>
    <m/>
    <m/>
    <n v="18"/>
    <x v="2"/>
    <x v="2"/>
    <m/>
    <m/>
    <n v="2"/>
    <m/>
    <m/>
    <m/>
    <n v="7"/>
    <m/>
    <m/>
    <n v="4"/>
    <m/>
    <m/>
    <n v="1"/>
    <n v="124"/>
    <n v="198"/>
    <m/>
    <m/>
    <m/>
    <m/>
    <m/>
    <m/>
    <m/>
    <m/>
    <m/>
    <m/>
    <m/>
    <m/>
    <m/>
    <m/>
    <m/>
    <s v="no test"/>
    <s v="no test"/>
    <s v="No Test"/>
    <n v="2"/>
    <n v="1"/>
    <n v="48"/>
    <n v="0"/>
    <n v="0"/>
    <n v="1000"/>
    <n v="0"/>
    <n v="1"/>
    <n v="1"/>
    <n v="1"/>
    <n v="1101"/>
    <n v="0"/>
    <n v="0"/>
    <n v="1"/>
    <n v="1101"/>
    <n v="2.202"/>
    <n v="0"/>
    <n v="0"/>
    <n v="0"/>
    <n v="2"/>
    <n v="205"/>
    <n v="0.93097184377838327"/>
    <n v="1025"/>
    <n v="0"/>
    <n v="0"/>
    <n v="0"/>
    <n v="184"/>
    <n v="0"/>
    <n v="6.9028156221616732E-2"/>
    <n v="0"/>
    <n v="500"/>
    <n v="620"/>
    <n v="198"/>
    <n v="620"/>
    <n v="620"/>
    <n v="0.56312443233424159"/>
    <n v="0.43687556766575841"/>
    <n v="0.45413260672116257"/>
    <n v="1"/>
    <n v="0.94736842105263153"/>
    <n v="7"/>
    <n v="140"/>
    <n v="0"/>
    <n v="700"/>
    <s v="No"/>
    <s v=""/>
    <n v="0"/>
    <n v="1000"/>
    <n v="0"/>
    <s v="Yes"/>
    <s v="KBC-NSS"/>
    <x v="1"/>
    <x v="0"/>
    <x v="0"/>
    <n v="23.38503"/>
    <n v="97.837040000000002"/>
    <s v="MMR015CMP020"/>
    <x v="1"/>
    <m/>
    <n v="209"/>
    <n v="1084"/>
  </r>
  <r>
    <x v="1"/>
    <x v="0"/>
    <x v="0"/>
    <m/>
    <x v="0"/>
    <x v="0"/>
    <x v="0"/>
    <x v="0"/>
    <n v="12"/>
    <n v="60"/>
    <m/>
    <m/>
    <m/>
    <m/>
    <m/>
    <m/>
    <m/>
    <m/>
    <m/>
    <m/>
    <m/>
    <m/>
    <m/>
    <m/>
    <m/>
    <m/>
    <m/>
    <m/>
    <m/>
    <m/>
    <m/>
    <m/>
    <m/>
    <m/>
    <m/>
    <m/>
    <m/>
    <m/>
    <m/>
    <m/>
    <m/>
    <m/>
    <m/>
    <m/>
    <m/>
    <m/>
    <m/>
    <m/>
    <m/>
    <m/>
    <x v="0"/>
    <x v="0"/>
    <m/>
    <m/>
    <m/>
    <m/>
    <m/>
    <m/>
    <n v="1"/>
    <m/>
    <m/>
    <n v="1"/>
    <m/>
    <m/>
    <m/>
    <m/>
    <m/>
    <m/>
    <m/>
    <m/>
    <m/>
    <m/>
    <m/>
    <m/>
    <m/>
    <m/>
    <m/>
    <m/>
    <m/>
    <m/>
    <m/>
    <m/>
    <s v="no test"/>
    <s v="no test"/>
    <s v="No Test"/>
    <n v="0"/>
    <n v="0"/>
    <n v="0"/>
    <n v="0"/>
    <n v="0"/>
    <n v="0"/>
    <n v="0"/>
    <n v="0"/>
    <n v="0"/>
    <n v="0"/>
    <n v="0"/>
    <n v="0"/>
    <n v="0"/>
    <n v="0"/>
    <n v="0"/>
    <n v="0"/>
    <n v="1"/>
    <n v="60"/>
    <n v="1"/>
    <n v="1"/>
    <n v="0"/>
    <n v="0"/>
    <n v="0"/>
    <n v="0"/>
    <n v="0"/>
    <n v="0"/>
    <n v="3"/>
    <n v="3"/>
    <n v="1"/>
    <n v="0"/>
    <n v="0"/>
    <n v="0"/>
    <n v="0"/>
    <n v="0"/>
    <n v="0"/>
    <n v="0"/>
    <n v="1"/>
    <n v="0"/>
    <n v="0"/>
    <n v="0"/>
    <n v="1"/>
    <n v="12"/>
    <n v="0"/>
    <n v="60"/>
    <s v="No"/>
    <s v=""/>
    <n v="0"/>
    <n v="0"/>
    <n v="0"/>
    <s v="Yes"/>
    <s v="Shalom"/>
    <x v="0"/>
    <x v="0"/>
    <x v="0"/>
    <n v="24.154199999999999"/>
    <n v="97.160600000000002"/>
    <s v="MMR001CMP281"/>
    <x v="0"/>
    <m/>
    <n v="97"/>
    <n v="480"/>
  </r>
  <r>
    <x v="1"/>
    <x v="1"/>
    <x v="1"/>
    <s v="ECHO 2739"/>
    <x v="0"/>
    <x v="0"/>
    <x v="0"/>
    <x v="3"/>
    <n v="260"/>
    <n v="1278"/>
    <d v="2022-04-01T00:00:00"/>
    <d v="2022-11-30T00:00:00"/>
    <m/>
    <m/>
    <m/>
    <m/>
    <s v="Yes"/>
    <n v="7"/>
    <n v="5"/>
    <n v="2"/>
    <m/>
    <m/>
    <n v="8"/>
    <m/>
    <m/>
    <m/>
    <m/>
    <m/>
    <m/>
    <m/>
    <m/>
    <m/>
    <m/>
    <m/>
    <n v="5"/>
    <n v="5"/>
    <n v="21"/>
    <n v="20"/>
    <m/>
    <m/>
    <m/>
    <m/>
    <n v="52"/>
    <m/>
    <m/>
    <m/>
    <m/>
    <n v="53"/>
    <n v="80"/>
    <m/>
    <x v="1"/>
    <x v="1"/>
    <m/>
    <n v="2"/>
    <m/>
    <m/>
    <n v="9"/>
    <m/>
    <n v="12"/>
    <m/>
    <m/>
    <n v="5"/>
    <m/>
    <m/>
    <n v="3"/>
    <n v="260"/>
    <n v="447"/>
    <m/>
    <m/>
    <m/>
    <m/>
    <n v="1"/>
    <n v="1"/>
    <n v="26"/>
    <n v="1"/>
    <m/>
    <n v="52"/>
    <n v="5"/>
    <m/>
    <m/>
    <m/>
    <m/>
    <n v="1"/>
    <n v="0.95238095238095233"/>
    <s v="Tested"/>
    <n v="2"/>
    <n v="8"/>
    <n v="0"/>
    <n v="0"/>
    <n v="0"/>
    <n v="0"/>
    <n v="0"/>
    <n v="1"/>
    <n v="1"/>
    <n v="1"/>
    <n v="1278"/>
    <n v="0"/>
    <n v="0"/>
    <n v="1"/>
    <n v="1278"/>
    <n v="2.556"/>
    <n v="0"/>
    <n v="0"/>
    <n v="0.44399999999999995"/>
    <n v="3"/>
    <n v="52"/>
    <n v="0.82081377151799684"/>
    <n v="1049"/>
    <n v="1060"/>
    <n v="0"/>
    <n v="0"/>
    <n v="64"/>
    <n v="12"/>
    <n v="0.17918622848200316"/>
    <n v="0"/>
    <n v="1278"/>
    <n v="1278"/>
    <n v="447"/>
    <n v="1278"/>
    <n v="1278"/>
    <n v="1"/>
    <n v="0"/>
    <n v="1"/>
    <n v="1"/>
    <n v="1"/>
    <n v="12"/>
    <n v="240"/>
    <n v="0"/>
    <n v="1200"/>
    <s v="No"/>
    <n v="2.0344287949921751E-2"/>
    <n v="57"/>
    <n v="0"/>
    <n v="0"/>
    <s v="Yes"/>
    <s v="KMSS-BMO"/>
    <x v="0"/>
    <x v="0"/>
    <x v="0"/>
    <n v="24.260719999999999"/>
    <n v="97.238829999999993"/>
    <s v="MMR001CMP050"/>
    <x v="1"/>
    <m/>
    <n v="222"/>
    <n v="1055"/>
  </r>
  <r>
    <x v="1"/>
    <x v="2"/>
    <x v="2"/>
    <s v="MHF"/>
    <x v="0"/>
    <x v="1"/>
    <x v="0"/>
    <x v="4"/>
    <n v="95"/>
    <n v="440"/>
    <d v="2022-01-01T00:00:00"/>
    <d v="2022-12-31T00:00:00"/>
    <n v="15"/>
    <n v="1"/>
    <m/>
    <m/>
    <s v="Yes"/>
    <n v="6"/>
    <n v="5"/>
    <n v="1"/>
    <m/>
    <m/>
    <m/>
    <m/>
    <m/>
    <m/>
    <m/>
    <m/>
    <m/>
    <m/>
    <n v="4"/>
    <n v="3000"/>
    <n v="1"/>
    <m/>
    <m/>
    <m/>
    <m/>
    <m/>
    <n v="3"/>
    <m/>
    <m/>
    <m/>
    <n v="6"/>
    <n v="5"/>
    <s v="Chruch"/>
    <m/>
    <m/>
    <m/>
    <m/>
    <n v="5"/>
    <x v="1"/>
    <x v="1"/>
    <m/>
    <m/>
    <m/>
    <m/>
    <m/>
    <s v="အိမ်သာအသစ် လိုအပ် မလုံလောက်"/>
    <n v="3"/>
    <m/>
    <m/>
    <n v="3"/>
    <m/>
    <m/>
    <n v="1"/>
    <m/>
    <m/>
    <m/>
    <m/>
    <m/>
    <s v="Capacity building training"/>
    <n v="0.1"/>
    <n v="0.1"/>
    <m/>
    <n v="0.1"/>
    <m/>
    <m/>
    <m/>
    <m/>
    <m/>
    <m/>
    <m/>
    <s v="no test"/>
    <s v="no test"/>
    <s v="No Test"/>
    <n v="1"/>
    <n v="0"/>
    <n v="0"/>
    <n v="0"/>
    <n v="2.2222222222222223"/>
    <n v="0"/>
    <n v="0"/>
    <n v="0.91414141414141414"/>
    <n v="0.5732323232323232"/>
    <n v="0.91414141414141414"/>
    <n v="402.22222222222223"/>
    <n v="1"/>
    <n v="440"/>
    <n v="1"/>
    <n v="440"/>
    <n v="0.88"/>
    <n v="0"/>
    <n v="0"/>
    <n v="0.12"/>
    <n v="1"/>
    <n v="11"/>
    <n v="0.5"/>
    <n v="220"/>
    <n v="0"/>
    <n v="0"/>
    <n v="0"/>
    <n v="22"/>
    <n v="11"/>
    <n v="0.5"/>
    <n v="0"/>
    <n v="440"/>
    <n v="0"/>
    <n v="0"/>
    <n v="0"/>
    <n v="440"/>
    <n v="1"/>
    <n v="0"/>
    <n v="1"/>
    <n v="0"/>
    <n v="0"/>
    <n v="3"/>
    <n v="60"/>
    <n v="0"/>
    <n v="300"/>
    <s v="Yes"/>
    <s v=""/>
    <n v="0"/>
    <n v="0"/>
    <n v="0"/>
    <s v="Yes"/>
    <s v="Shalom"/>
    <x v="0"/>
    <x v="0"/>
    <x v="0"/>
    <n v="25.635300000000001"/>
    <n v="96.345569999999995"/>
    <s v="MMR001CMP176"/>
    <x v="1"/>
    <m/>
    <n v="94"/>
    <n v="438"/>
  </r>
  <r>
    <x v="1"/>
    <x v="2"/>
    <x v="2"/>
    <s v="MHF"/>
    <x v="0"/>
    <x v="1"/>
    <x v="0"/>
    <x v="5"/>
    <n v="13"/>
    <n v="72"/>
    <d v="2022-01-01T00:00:00"/>
    <d v="2022-12-31T00:00:00"/>
    <m/>
    <n v="1"/>
    <m/>
    <m/>
    <s v="Yes"/>
    <n v="1"/>
    <n v="4"/>
    <n v="1"/>
    <m/>
    <m/>
    <m/>
    <m/>
    <m/>
    <n v="1"/>
    <m/>
    <m/>
    <m/>
    <m/>
    <m/>
    <n v="1000"/>
    <n v="2"/>
    <m/>
    <m/>
    <m/>
    <m/>
    <m/>
    <n v="1"/>
    <m/>
    <m/>
    <m/>
    <n v="5"/>
    <m/>
    <m/>
    <m/>
    <m/>
    <m/>
    <m/>
    <m/>
    <x v="1"/>
    <x v="1"/>
    <m/>
    <n v="2"/>
    <m/>
    <m/>
    <m/>
    <m/>
    <n v="5"/>
    <m/>
    <m/>
    <n v="1"/>
    <m/>
    <m/>
    <n v="1"/>
    <m/>
    <m/>
    <m/>
    <m/>
    <n v="0.8"/>
    <m/>
    <n v="0.5"/>
    <n v="0.5"/>
    <n v="58"/>
    <n v="0.5"/>
    <m/>
    <m/>
    <m/>
    <m/>
    <m/>
    <m/>
    <m/>
    <s v="no test"/>
    <s v="no test"/>
    <s v="No Test"/>
    <n v="1"/>
    <n v="0"/>
    <n v="0"/>
    <n v="0"/>
    <n v="0.7407407407407407"/>
    <n v="0"/>
    <n v="0"/>
    <n v="1"/>
    <n v="1"/>
    <n v="1"/>
    <n v="72"/>
    <n v="0"/>
    <n v="0"/>
    <n v="1"/>
    <n v="72"/>
    <n v="0.14399999999999999"/>
    <n v="0"/>
    <n v="0"/>
    <n v="0.85599999999999998"/>
    <n v="1"/>
    <n v="5"/>
    <n v="1"/>
    <n v="72"/>
    <n v="0"/>
    <n v="0"/>
    <n v="0"/>
    <n v="4"/>
    <n v="0"/>
    <n v="0"/>
    <n v="0"/>
    <n v="72"/>
    <n v="0"/>
    <n v="0"/>
    <n v="0"/>
    <n v="72"/>
    <n v="1"/>
    <n v="0"/>
    <n v="1"/>
    <n v="0"/>
    <n v="0"/>
    <n v="5"/>
    <n v="13"/>
    <n v="0"/>
    <n v="72"/>
    <s v="No"/>
    <n v="0.80555555555555558"/>
    <n v="0"/>
    <n v="0"/>
    <n v="0"/>
    <s v="Yes"/>
    <s v="Shalom"/>
    <x v="0"/>
    <x v="0"/>
    <x v="0"/>
    <n v="25.616509000000001"/>
    <n v="96.317350000000005"/>
    <s v="MMR001CMP190"/>
    <x v="1"/>
    <m/>
    <n v="14"/>
    <n v="72"/>
  </r>
  <r>
    <x v="1"/>
    <x v="1"/>
    <x v="1"/>
    <s v="ECHO 2739"/>
    <x v="0"/>
    <x v="2"/>
    <x v="1"/>
    <x v="6"/>
    <n v="11"/>
    <n v="32"/>
    <d v="2022-04-01T00:00:00"/>
    <d v="2022-11-30T00:00:00"/>
    <m/>
    <m/>
    <m/>
    <m/>
    <s v="Yes"/>
    <n v="2"/>
    <n v="3"/>
    <n v="3"/>
    <m/>
    <m/>
    <n v="1"/>
    <m/>
    <m/>
    <m/>
    <m/>
    <m/>
    <m/>
    <m/>
    <m/>
    <m/>
    <m/>
    <m/>
    <n v="3"/>
    <n v="1"/>
    <m/>
    <m/>
    <m/>
    <m/>
    <m/>
    <s v="2 sources are not using any more for drinking"/>
    <n v="31"/>
    <m/>
    <m/>
    <m/>
    <m/>
    <n v="31"/>
    <n v="9"/>
    <m/>
    <x v="1"/>
    <x v="1"/>
    <m/>
    <m/>
    <n v="3"/>
    <m/>
    <m/>
    <m/>
    <n v="11"/>
    <m/>
    <m/>
    <n v="3"/>
    <m/>
    <m/>
    <m/>
    <m/>
    <m/>
    <m/>
    <m/>
    <m/>
    <m/>
    <m/>
    <m/>
    <m/>
    <n v="0"/>
    <m/>
    <n v="31"/>
    <n v="3"/>
    <m/>
    <m/>
    <m/>
    <m/>
    <n v="0.33333333333333331"/>
    <s v="no test"/>
    <s v="Tested"/>
    <n v="3"/>
    <n v="1"/>
    <n v="0"/>
    <n v="0"/>
    <n v="0"/>
    <n v="0"/>
    <n v="0"/>
    <n v="1"/>
    <n v="1"/>
    <n v="1"/>
    <n v="32"/>
    <n v="0"/>
    <n v="0"/>
    <n v="1"/>
    <n v="32"/>
    <n v="6.4000000000000001E-2"/>
    <n v="0"/>
    <n v="0"/>
    <n v="0.93599999999999994"/>
    <n v="1"/>
    <n v="31"/>
    <n v="1"/>
    <n v="32"/>
    <n v="32"/>
    <n v="0"/>
    <n v="0"/>
    <n v="2"/>
    <n v="0"/>
    <n v="0"/>
    <n v="0"/>
    <n v="0"/>
    <n v="0"/>
    <n v="0"/>
    <n v="0"/>
    <n v="0"/>
    <n v="0"/>
    <n v="1"/>
    <n v="0"/>
    <n v="0"/>
    <n v="0"/>
    <n v="11"/>
    <n v="11"/>
    <n v="0"/>
    <n v="32"/>
    <s v="No"/>
    <s v=""/>
    <n v="34"/>
    <n v="0"/>
    <n v="0"/>
    <n v="0"/>
    <n v="0"/>
    <x v="0"/>
    <x v="0"/>
    <x v="0"/>
    <n v="0"/>
    <n v="0"/>
    <n v="0"/>
    <x v="1"/>
    <m/>
    <n v="0"/>
    <n v="0"/>
  </r>
  <r>
    <x v="1"/>
    <x v="1"/>
    <x v="1"/>
    <s v="ECHO 2739"/>
    <x v="0"/>
    <x v="0"/>
    <x v="0"/>
    <x v="7"/>
    <n v="36"/>
    <n v="222"/>
    <d v="2022-04-01T00:00:00"/>
    <d v="2022-11-30T00:00:00"/>
    <m/>
    <m/>
    <m/>
    <m/>
    <s v="Yes"/>
    <n v="1"/>
    <n v="1"/>
    <n v="1"/>
    <m/>
    <m/>
    <n v="1"/>
    <m/>
    <m/>
    <m/>
    <m/>
    <m/>
    <m/>
    <m/>
    <m/>
    <m/>
    <m/>
    <m/>
    <m/>
    <m/>
    <m/>
    <m/>
    <m/>
    <m/>
    <m/>
    <m/>
    <n v="2"/>
    <m/>
    <m/>
    <m/>
    <m/>
    <m/>
    <m/>
    <m/>
    <x v="1"/>
    <x v="1"/>
    <m/>
    <m/>
    <m/>
    <m/>
    <m/>
    <m/>
    <m/>
    <m/>
    <n v="3"/>
    <m/>
    <m/>
    <m/>
    <m/>
    <m/>
    <m/>
    <m/>
    <m/>
    <m/>
    <m/>
    <m/>
    <m/>
    <m/>
    <n v="0"/>
    <m/>
    <n v="2"/>
    <n v="3"/>
    <m/>
    <m/>
    <m/>
    <m/>
    <s v="no test"/>
    <s v="no test"/>
    <s v="No Test"/>
    <n v="1"/>
    <n v="1"/>
    <n v="0"/>
    <n v="0"/>
    <n v="0"/>
    <n v="0"/>
    <n v="0"/>
    <n v="1"/>
    <n v="1"/>
    <n v="1"/>
    <n v="222"/>
    <n v="0"/>
    <n v="0"/>
    <n v="1"/>
    <n v="222"/>
    <n v="0.44400000000000001"/>
    <n v="0"/>
    <n v="0"/>
    <n v="0.55600000000000005"/>
    <n v="1"/>
    <n v="2"/>
    <n v="0.18018018018018017"/>
    <n v="40"/>
    <n v="0"/>
    <n v="0"/>
    <n v="0"/>
    <n v="11"/>
    <n v="9"/>
    <n v="0.81981981981981988"/>
    <n v="0"/>
    <n v="0"/>
    <n v="0"/>
    <n v="0"/>
    <n v="0"/>
    <n v="0"/>
    <n v="0"/>
    <n v="1"/>
    <n v="0"/>
    <n v="0"/>
    <n v="0"/>
    <n v="0"/>
    <n v="0"/>
    <n v="0"/>
    <n v="0"/>
    <s v="No"/>
    <s v=""/>
    <n v="5"/>
    <n v="0"/>
    <n v="0"/>
    <s v="Yes"/>
    <s v="KBC-BMO"/>
    <x v="0"/>
    <x v="0"/>
    <x v="0"/>
    <n v="24.260466999999998"/>
    <n v="97.252650000000003"/>
    <s v="MMR001CMP194"/>
    <x v="1"/>
    <m/>
    <n v="9"/>
    <n v="37"/>
  </r>
  <r>
    <x v="1"/>
    <x v="2"/>
    <x v="2"/>
    <s v="MHF"/>
    <x v="0"/>
    <x v="1"/>
    <x v="0"/>
    <x v="8"/>
    <n v="41"/>
    <n v="250"/>
    <d v="2022-01-01T00:00:00"/>
    <d v="2022-12-31T00:00:00"/>
    <n v="30"/>
    <n v="1"/>
    <m/>
    <m/>
    <s v="Yes"/>
    <m/>
    <n v="5"/>
    <n v="2"/>
    <m/>
    <m/>
    <m/>
    <m/>
    <m/>
    <m/>
    <m/>
    <m/>
    <m/>
    <m/>
    <n v="1"/>
    <n v="10000"/>
    <n v="1"/>
    <m/>
    <m/>
    <m/>
    <m/>
    <m/>
    <m/>
    <m/>
    <m/>
    <m/>
    <n v="10"/>
    <m/>
    <m/>
    <m/>
    <m/>
    <m/>
    <m/>
    <m/>
    <x v="2"/>
    <x v="1"/>
    <m/>
    <m/>
    <m/>
    <m/>
    <m/>
    <m/>
    <n v="2"/>
    <m/>
    <n v="1"/>
    <n v="2"/>
    <m/>
    <m/>
    <n v="1"/>
    <n v="41"/>
    <m/>
    <m/>
    <m/>
    <m/>
    <s v="Hygiene Kits"/>
    <n v="0.5"/>
    <n v="0.9"/>
    <n v="15"/>
    <m/>
    <m/>
    <m/>
    <m/>
    <m/>
    <m/>
    <m/>
    <m/>
    <s v="no test"/>
    <s v="no test"/>
    <s v="No Test"/>
    <n v="2"/>
    <n v="0"/>
    <n v="0"/>
    <n v="0"/>
    <n v="7.4074074074074074"/>
    <n v="0"/>
    <n v="0"/>
    <n v="1"/>
    <n v="1"/>
    <n v="1"/>
    <n v="250"/>
    <n v="1"/>
    <n v="250"/>
    <n v="1"/>
    <n v="250"/>
    <n v="0.5"/>
    <n v="0"/>
    <n v="0"/>
    <n v="0.5"/>
    <n v="1"/>
    <n v="10"/>
    <n v="0.8"/>
    <n v="200"/>
    <n v="0"/>
    <n v="0"/>
    <n v="0"/>
    <n v="13"/>
    <n v="3"/>
    <n v="0.19999999999999996"/>
    <n v="0"/>
    <n v="250"/>
    <n v="250"/>
    <n v="0"/>
    <n v="250"/>
    <n v="250"/>
    <n v="1"/>
    <n v="0"/>
    <n v="1"/>
    <n v="1"/>
    <n v="0"/>
    <n v="2"/>
    <n v="40"/>
    <n v="0"/>
    <n v="200"/>
    <s v="Yes"/>
    <n v="0.06"/>
    <n v="0"/>
    <n v="0"/>
    <n v="0"/>
    <s v="Yes"/>
    <s v="KBC-MYT"/>
    <x v="0"/>
    <x v="0"/>
    <x v="0"/>
    <n v="25.647649999999999"/>
    <n v="96.346469999999997"/>
    <s v="MMR001CMP169"/>
    <x v="1"/>
    <m/>
    <n v="41"/>
    <n v="249"/>
  </r>
  <r>
    <x v="1"/>
    <x v="0"/>
    <x v="0"/>
    <m/>
    <x v="0"/>
    <x v="0"/>
    <x v="0"/>
    <x v="9"/>
    <n v="181"/>
    <n v="906"/>
    <s v="13-8-2021, 6-1-2020"/>
    <s v="12-20-2022, 30-7-2021"/>
    <m/>
    <m/>
    <m/>
    <m/>
    <m/>
    <m/>
    <n v="4"/>
    <m/>
    <m/>
    <m/>
    <m/>
    <m/>
    <m/>
    <m/>
    <m/>
    <m/>
    <m/>
    <m/>
    <m/>
    <m/>
    <m/>
    <m/>
    <m/>
    <m/>
    <m/>
    <m/>
    <m/>
    <m/>
    <m/>
    <m/>
    <m/>
    <m/>
    <m/>
    <m/>
    <m/>
    <m/>
    <m/>
    <m/>
    <x v="0"/>
    <x v="0"/>
    <m/>
    <m/>
    <m/>
    <m/>
    <m/>
    <m/>
    <n v="7"/>
    <m/>
    <m/>
    <n v="7"/>
    <m/>
    <m/>
    <m/>
    <m/>
    <m/>
    <m/>
    <m/>
    <m/>
    <m/>
    <m/>
    <m/>
    <m/>
    <m/>
    <m/>
    <m/>
    <m/>
    <m/>
    <m/>
    <m/>
    <m/>
    <s v="no test"/>
    <s v="no test"/>
    <s v="No Test"/>
    <n v="0"/>
    <n v="0"/>
    <n v="0"/>
    <n v="0"/>
    <n v="0"/>
    <n v="0"/>
    <n v="0"/>
    <n v="0"/>
    <n v="0"/>
    <n v="0"/>
    <n v="0"/>
    <n v="0"/>
    <n v="0"/>
    <n v="0"/>
    <n v="0"/>
    <n v="0"/>
    <n v="1"/>
    <n v="906"/>
    <n v="2"/>
    <n v="2"/>
    <n v="0"/>
    <n v="0"/>
    <n v="0"/>
    <n v="0"/>
    <n v="0"/>
    <n v="0"/>
    <n v="45"/>
    <n v="45"/>
    <n v="1"/>
    <n v="0"/>
    <n v="0"/>
    <n v="0"/>
    <n v="0"/>
    <n v="0"/>
    <n v="0"/>
    <n v="0"/>
    <n v="1"/>
    <n v="0"/>
    <n v="0"/>
    <n v="0"/>
    <n v="7"/>
    <n v="140"/>
    <n v="0"/>
    <n v="700"/>
    <s v="No"/>
    <s v=""/>
    <n v="0"/>
    <n v="0"/>
    <n v="0"/>
    <n v="0"/>
    <s v="uncovered"/>
    <x v="0"/>
    <x v="2"/>
    <x v="0"/>
    <n v="24.263786"/>
    <n v="97.228835000000004"/>
    <s v="MMR001CMP163"/>
    <x v="0"/>
    <m/>
    <n v="65"/>
    <n v="337"/>
  </r>
  <r>
    <x v="1"/>
    <x v="4"/>
    <x v="4"/>
    <s v="UNICEF"/>
    <x v="0"/>
    <x v="3"/>
    <x v="0"/>
    <x v="10"/>
    <n v="118"/>
    <n v="420"/>
    <d v="2021-08-06T00:00:00"/>
    <d v="2022-08-05T00:00:00"/>
    <m/>
    <n v="3"/>
    <m/>
    <m/>
    <s v="Yes"/>
    <n v="4"/>
    <n v="3"/>
    <n v="3"/>
    <n v="0"/>
    <m/>
    <n v="2"/>
    <m/>
    <m/>
    <m/>
    <n v="1"/>
    <m/>
    <m/>
    <m/>
    <m/>
    <m/>
    <m/>
    <m/>
    <m/>
    <m/>
    <m/>
    <m/>
    <n v="4"/>
    <m/>
    <m/>
    <m/>
    <n v="90"/>
    <m/>
    <m/>
    <n v="2"/>
    <m/>
    <m/>
    <m/>
    <m/>
    <x v="1"/>
    <x v="1"/>
    <m/>
    <m/>
    <m/>
    <m/>
    <m/>
    <m/>
    <n v="2"/>
    <m/>
    <m/>
    <n v="3"/>
    <m/>
    <m/>
    <n v="2"/>
    <n v="118"/>
    <n v="90.09"/>
    <s v="Yes"/>
    <n v="100"/>
    <m/>
    <s v="Requested Sanitary pads "/>
    <m/>
    <m/>
    <m/>
    <n v="0.01"/>
    <m/>
    <m/>
    <m/>
    <m/>
    <m/>
    <m/>
    <m/>
    <s v="no test"/>
    <s v="no test"/>
    <s v="No Test"/>
    <n v="3"/>
    <n v="2"/>
    <n v="1"/>
    <n v="0"/>
    <n v="0"/>
    <n v="0"/>
    <n v="0"/>
    <n v="1"/>
    <n v="1"/>
    <n v="1"/>
    <n v="420"/>
    <n v="0"/>
    <n v="0"/>
    <n v="1"/>
    <n v="420"/>
    <n v="0.84"/>
    <n v="0"/>
    <n v="0"/>
    <n v="0.16000000000000003"/>
    <n v="1"/>
    <n v="88"/>
    <n v="1"/>
    <n v="420"/>
    <n v="0"/>
    <n v="0"/>
    <n v="0"/>
    <n v="21"/>
    <n v="0"/>
    <n v="0"/>
    <n v="2.2222222222222223E-2"/>
    <n v="420"/>
    <n v="420"/>
    <n v="90.09"/>
    <n v="420"/>
    <n v="420"/>
    <n v="1"/>
    <n v="0"/>
    <n v="1"/>
    <n v="1"/>
    <n v="0.76347457627118642"/>
    <n v="2"/>
    <n v="40"/>
    <n v="4"/>
    <n v="200"/>
    <s v="No"/>
    <s v=""/>
    <n v="0"/>
    <n v="0"/>
    <n v="0"/>
    <s v="Yes"/>
    <s v="KMSS-MYT"/>
    <x v="0"/>
    <x v="0"/>
    <x v="1"/>
    <n v="25.220278"/>
    <n v="97.915833000000006"/>
    <s v="MMR001CMP113"/>
    <x v="1"/>
    <m/>
    <n v="118"/>
    <n v="419"/>
  </r>
  <r>
    <x v="1"/>
    <x v="5"/>
    <x v="5"/>
    <s v="Trocaire/Irish"/>
    <x v="0"/>
    <x v="4"/>
    <x v="0"/>
    <x v="11"/>
    <n v="126"/>
    <n v="591"/>
    <d v="2022-01-01T00:00:00"/>
    <d v="2022-12-31T00:00:00"/>
    <m/>
    <m/>
    <m/>
    <m/>
    <s v="Yes"/>
    <n v="4"/>
    <n v="3"/>
    <n v="1"/>
    <m/>
    <m/>
    <n v="2"/>
    <m/>
    <m/>
    <m/>
    <n v="1"/>
    <m/>
    <m/>
    <m/>
    <m/>
    <m/>
    <m/>
    <m/>
    <m/>
    <m/>
    <m/>
    <m/>
    <m/>
    <m/>
    <m/>
    <s v="Needed Water tasting ,O&amp;M Training"/>
    <n v="48"/>
    <n v="12"/>
    <s v="Metta"/>
    <m/>
    <m/>
    <m/>
    <m/>
    <m/>
    <x v="1"/>
    <x v="1"/>
    <m/>
    <m/>
    <m/>
    <m/>
    <m/>
    <s v="Needed Solid wates management,Cleaning Tools"/>
    <n v="60"/>
    <m/>
    <n v="108"/>
    <n v="1"/>
    <m/>
    <n v="1"/>
    <n v="1"/>
    <n v="126"/>
    <n v="489"/>
    <s v="No"/>
    <m/>
    <n v="0.4"/>
    <s v="Need Local IEC meterial and Hygiene Promotion,Hygiene Kits Refill Item."/>
    <m/>
    <n v="0.5"/>
    <n v="7"/>
    <n v="0.2"/>
    <n v="48"/>
    <n v="9"/>
    <n v="1"/>
    <m/>
    <m/>
    <m/>
    <m/>
    <s v="no test"/>
    <s v="no test"/>
    <s v="No Test"/>
    <n v="1"/>
    <n v="2"/>
    <n v="1"/>
    <n v="0"/>
    <n v="0"/>
    <n v="0"/>
    <n v="0"/>
    <n v="1"/>
    <n v="1"/>
    <n v="1"/>
    <n v="591"/>
    <n v="0"/>
    <n v="0"/>
    <n v="1"/>
    <n v="591"/>
    <n v="1.1819999999999999"/>
    <n v="0"/>
    <n v="0"/>
    <n v="0"/>
    <n v="1"/>
    <n v="60"/>
    <n v="1"/>
    <n v="591"/>
    <n v="0"/>
    <n v="0"/>
    <n v="0"/>
    <n v="30"/>
    <n v="0"/>
    <n v="0"/>
    <n v="0"/>
    <n v="591"/>
    <n v="591"/>
    <n v="489"/>
    <n v="591"/>
    <n v="591"/>
    <n v="1"/>
    <n v="0"/>
    <n v="1"/>
    <n v="1"/>
    <n v="1"/>
    <n v="60"/>
    <n v="126"/>
    <n v="0"/>
    <n v="591"/>
    <s v="No"/>
    <n v="1.1844331641285956E-2"/>
    <n v="58"/>
    <n v="0"/>
    <n v="0"/>
    <s v="Yes"/>
    <s v="STW/KMSS-MYT"/>
    <x v="0"/>
    <x v="0"/>
    <x v="1"/>
    <n v="26.007408000000002"/>
    <n v="97.823777000000007"/>
    <s v="MMR001CMP280"/>
    <x v="1"/>
    <m/>
    <n v="140"/>
    <n v="659"/>
  </r>
  <r>
    <x v="1"/>
    <x v="6"/>
    <x v="6"/>
    <s v="SI (ECHO)"/>
    <x v="0"/>
    <x v="5"/>
    <x v="0"/>
    <x v="12"/>
    <n v="388"/>
    <n v="1900"/>
    <d v="2022-04-01T00:00:00"/>
    <d v="2022-12-31T00:00:00"/>
    <m/>
    <m/>
    <m/>
    <m/>
    <s v="Yes"/>
    <n v="5"/>
    <n v="6"/>
    <n v="4"/>
    <m/>
    <m/>
    <n v="1"/>
    <m/>
    <m/>
    <m/>
    <n v="1"/>
    <m/>
    <m/>
    <m/>
    <n v="5"/>
    <m/>
    <m/>
    <n v="5"/>
    <m/>
    <m/>
    <m/>
    <m/>
    <n v="0"/>
    <n v="5"/>
    <m/>
    <m/>
    <n v="185"/>
    <m/>
    <m/>
    <m/>
    <m/>
    <m/>
    <m/>
    <n v="73"/>
    <x v="2"/>
    <x v="1"/>
    <n v="4"/>
    <n v="60"/>
    <n v="15"/>
    <n v="2"/>
    <n v="6"/>
    <m/>
    <n v="3"/>
    <m/>
    <n v="60"/>
    <n v="2"/>
    <m/>
    <m/>
    <n v="6"/>
    <m/>
    <m/>
    <m/>
    <m/>
    <m/>
    <m/>
    <m/>
    <m/>
    <m/>
    <m/>
    <m/>
    <m/>
    <m/>
    <m/>
    <m/>
    <m/>
    <m/>
    <s v="no test"/>
    <s v="no test"/>
    <s v="No Test"/>
    <n v="4"/>
    <n v="1"/>
    <n v="1"/>
    <n v="0"/>
    <n v="0"/>
    <n v="1900"/>
    <n v="0"/>
    <n v="1"/>
    <n v="0.69298245614035092"/>
    <n v="1"/>
    <n v="1900"/>
    <n v="0.65789473684210531"/>
    <n v="1250"/>
    <n v="1"/>
    <n v="1900"/>
    <n v="3.8"/>
    <n v="0"/>
    <n v="0"/>
    <n v="0.20000000000000018"/>
    <n v="4"/>
    <n v="185"/>
    <n v="1"/>
    <n v="1900"/>
    <n v="0"/>
    <n v="0"/>
    <n v="100"/>
    <n v="95"/>
    <n v="0"/>
    <n v="0"/>
    <n v="0"/>
    <n v="1900"/>
    <n v="0"/>
    <n v="0"/>
    <n v="0"/>
    <n v="1900"/>
    <n v="1"/>
    <n v="0"/>
    <n v="1"/>
    <n v="0"/>
    <n v="0"/>
    <n v="3"/>
    <n v="60"/>
    <n v="0"/>
    <n v="300"/>
    <s v="No"/>
    <s v=""/>
    <n v="0"/>
    <n v="1900"/>
    <n v="100"/>
    <s v="Yes"/>
    <s v="KMSS-BMO"/>
    <x v="0"/>
    <x v="0"/>
    <x v="1"/>
    <n v="24.002433"/>
    <n v="97.609832999999995"/>
    <s v="MMR001CMP129"/>
    <x v="1"/>
    <m/>
    <n v="388"/>
    <n v="1900"/>
  </r>
  <r>
    <x v="1"/>
    <x v="2"/>
    <x v="2"/>
    <s v="MHF"/>
    <x v="0"/>
    <x v="1"/>
    <x v="0"/>
    <x v="13"/>
    <n v="5"/>
    <n v="24"/>
    <d v="2022-01-01T00:00:00"/>
    <d v="2022-12-31T00:00:00"/>
    <m/>
    <m/>
    <m/>
    <m/>
    <s v="Yes"/>
    <n v="2"/>
    <n v="2"/>
    <n v="0"/>
    <m/>
    <m/>
    <m/>
    <m/>
    <m/>
    <m/>
    <n v="4"/>
    <m/>
    <m/>
    <m/>
    <m/>
    <m/>
    <n v="1"/>
    <m/>
    <m/>
    <m/>
    <m/>
    <m/>
    <m/>
    <m/>
    <m/>
    <m/>
    <n v="2"/>
    <m/>
    <m/>
    <m/>
    <m/>
    <m/>
    <m/>
    <m/>
    <x v="1"/>
    <x v="1"/>
    <m/>
    <m/>
    <m/>
    <m/>
    <m/>
    <s v="အိမ်သာ(အသစ်) (2)"/>
    <n v="2"/>
    <n v="1"/>
    <m/>
    <n v="1"/>
    <m/>
    <m/>
    <n v="1"/>
    <n v="5"/>
    <m/>
    <m/>
    <m/>
    <m/>
    <s v="Capacity building training"/>
    <n v="0.8"/>
    <n v="0.5"/>
    <n v="5"/>
    <n v="0.7"/>
    <m/>
    <m/>
    <m/>
    <m/>
    <m/>
    <m/>
    <m/>
    <s v="no test"/>
    <s v="no test"/>
    <s v="No Test"/>
    <n v="0"/>
    <n v="0"/>
    <n v="4"/>
    <n v="0"/>
    <n v="0"/>
    <n v="0"/>
    <n v="0"/>
    <n v="1"/>
    <n v="1"/>
    <n v="1"/>
    <n v="24"/>
    <n v="0"/>
    <n v="0"/>
    <n v="1"/>
    <n v="24"/>
    <n v="4.8000000000000001E-2"/>
    <n v="0"/>
    <n v="0"/>
    <n v="0.95199999999999996"/>
    <n v="1"/>
    <n v="2"/>
    <n v="1"/>
    <n v="24"/>
    <n v="0"/>
    <n v="0"/>
    <n v="0"/>
    <n v="1"/>
    <n v="0"/>
    <n v="0"/>
    <n v="0"/>
    <n v="24"/>
    <n v="24"/>
    <n v="0"/>
    <n v="24"/>
    <n v="24"/>
    <n v="1"/>
    <n v="0"/>
    <n v="1"/>
    <n v="1"/>
    <n v="0"/>
    <n v="1"/>
    <n v="5"/>
    <n v="0"/>
    <n v="24"/>
    <s v="No"/>
    <n v="0.20833333333333334"/>
    <n v="0"/>
    <n v="0"/>
    <n v="0"/>
    <s v="Yes"/>
    <s v="Shalom"/>
    <x v="0"/>
    <x v="3"/>
    <x v="0"/>
    <n v="25.582065"/>
    <n v="96.283377000000002"/>
    <s v="MMR001CMP109"/>
    <x v="1"/>
    <m/>
    <n v="5"/>
    <n v="24"/>
  </r>
  <r>
    <x v="1"/>
    <x v="2"/>
    <x v="2"/>
    <s v="MHF"/>
    <x v="0"/>
    <x v="6"/>
    <x v="0"/>
    <x v="14"/>
    <n v="138"/>
    <n v="706"/>
    <d v="2022-01-01T00:00:00"/>
    <d v="2022-12-31T00:00:00"/>
    <m/>
    <n v="1"/>
    <n v="1"/>
    <m/>
    <s v="Yes"/>
    <n v="2"/>
    <n v="6"/>
    <m/>
    <m/>
    <m/>
    <m/>
    <m/>
    <m/>
    <m/>
    <n v="12"/>
    <m/>
    <n v="1"/>
    <m/>
    <n v="3"/>
    <m/>
    <n v="1"/>
    <m/>
    <m/>
    <m/>
    <m/>
    <m/>
    <m/>
    <m/>
    <m/>
    <m/>
    <n v="15"/>
    <m/>
    <m/>
    <n v="4"/>
    <n v="1"/>
    <n v="6"/>
    <m/>
    <n v="0"/>
    <x v="1"/>
    <x v="1"/>
    <m/>
    <m/>
    <m/>
    <m/>
    <m/>
    <m/>
    <n v="2"/>
    <m/>
    <m/>
    <n v="1"/>
    <m/>
    <m/>
    <n v="1"/>
    <m/>
    <m/>
    <m/>
    <m/>
    <m/>
    <m/>
    <n v="0.8"/>
    <n v="0.3"/>
    <m/>
    <n v="0.9"/>
    <m/>
    <m/>
    <m/>
    <m/>
    <m/>
    <m/>
    <m/>
    <s v="no test"/>
    <s v="no test"/>
    <s v="No Test"/>
    <n v="0"/>
    <n v="0"/>
    <n v="12"/>
    <n v="0"/>
    <n v="0"/>
    <n v="0"/>
    <n v="0"/>
    <n v="1"/>
    <n v="1"/>
    <n v="1"/>
    <n v="706"/>
    <n v="1"/>
    <n v="706"/>
    <n v="1"/>
    <n v="706"/>
    <n v="1.4119999999999999"/>
    <n v="0"/>
    <n v="0"/>
    <n v="0"/>
    <n v="1"/>
    <n v="11"/>
    <n v="0.31161473087818697"/>
    <n v="220"/>
    <n v="120"/>
    <n v="0"/>
    <n v="0"/>
    <n v="35"/>
    <n v="20"/>
    <n v="0.68838526912181308"/>
    <n v="0.26666666666666666"/>
    <n v="500"/>
    <n v="0"/>
    <n v="0"/>
    <n v="0"/>
    <n v="500"/>
    <n v="0.70821529745042489"/>
    <n v="0.29178470254957511"/>
    <n v="0.70821529745042489"/>
    <n v="0"/>
    <n v="0"/>
    <n v="2"/>
    <n v="40"/>
    <n v="0"/>
    <n v="200"/>
    <s v="No"/>
    <s v=""/>
    <n v="0"/>
    <n v="0"/>
    <n v="0"/>
    <s v="Yes"/>
    <s v="Shalom"/>
    <x v="0"/>
    <x v="0"/>
    <x v="0"/>
    <n v="25.889410000000002"/>
    <n v="98.131550000000004"/>
    <s v="MMR001CMP042"/>
    <x v="1"/>
    <m/>
    <n v="138"/>
    <n v="706"/>
  </r>
  <r>
    <x v="1"/>
    <x v="0"/>
    <x v="0"/>
    <m/>
    <x v="0"/>
    <x v="6"/>
    <x v="0"/>
    <x v="15"/>
    <n v="57"/>
    <n v="264"/>
    <m/>
    <m/>
    <m/>
    <m/>
    <m/>
    <m/>
    <s v="Yes"/>
    <m/>
    <m/>
    <m/>
    <m/>
    <m/>
    <m/>
    <m/>
    <m/>
    <m/>
    <m/>
    <m/>
    <m/>
    <m/>
    <m/>
    <m/>
    <m/>
    <m/>
    <m/>
    <m/>
    <m/>
    <m/>
    <m/>
    <m/>
    <m/>
    <m/>
    <n v="28"/>
    <m/>
    <m/>
    <m/>
    <m/>
    <m/>
    <m/>
    <m/>
    <x v="1"/>
    <x v="1"/>
    <n v="2"/>
    <m/>
    <m/>
    <m/>
    <m/>
    <m/>
    <n v="3"/>
    <m/>
    <m/>
    <n v="2"/>
    <m/>
    <m/>
    <m/>
    <m/>
    <m/>
    <m/>
    <m/>
    <m/>
    <m/>
    <m/>
    <m/>
    <m/>
    <m/>
    <m/>
    <m/>
    <m/>
    <m/>
    <m/>
    <m/>
    <m/>
    <s v="no test"/>
    <s v="no test"/>
    <s v="No Test"/>
    <n v="0"/>
    <n v="0"/>
    <n v="0"/>
    <n v="0"/>
    <n v="0"/>
    <n v="0"/>
    <n v="0"/>
    <n v="0"/>
    <n v="0"/>
    <n v="0"/>
    <n v="0"/>
    <n v="0"/>
    <n v="0"/>
    <n v="0"/>
    <n v="0"/>
    <n v="0"/>
    <n v="1"/>
    <n v="264"/>
    <n v="1"/>
    <n v="1"/>
    <n v="28"/>
    <n v="1"/>
    <n v="264"/>
    <n v="0"/>
    <n v="0"/>
    <n v="0"/>
    <n v="13"/>
    <n v="0"/>
    <n v="0"/>
    <n v="0"/>
    <n v="0"/>
    <n v="0"/>
    <n v="0"/>
    <n v="0"/>
    <n v="0"/>
    <n v="0"/>
    <n v="1"/>
    <n v="0"/>
    <n v="0"/>
    <n v="0"/>
    <n v="3"/>
    <n v="57"/>
    <n v="0"/>
    <n v="264"/>
    <s v="No"/>
    <s v=""/>
    <n v="0"/>
    <n v="0"/>
    <n v="0"/>
    <s v="Yes"/>
    <s v="KMSS-MYT"/>
    <x v="0"/>
    <x v="2"/>
    <x v="0"/>
    <n v="25.60867"/>
    <n v="98.377780000000001"/>
    <s v="MMR001CMP210"/>
    <x v="0"/>
    <m/>
    <n v="4"/>
    <n v="20"/>
  </r>
  <r>
    <x v="1"/>
    <x v="2"/>
    <x v="2"/>
    <s v="MHF"/>
    <x v="0"/>
    <x v="1"/>
    <x v="0"/>
    <x v="16"/>
    <n v="91"/>
    <n v="443"/>
    <d v="2022-01-01T00:00:00"/>
    <d v="2022-12-31T00:00:00"/>
    <n v="240"/>
    <n v="1"/>
    <m/>
    <m/>
    <s v="Yes"/>
    <n v="4"/>
    <n v="5"/>
    <m/>
    <m/>
    <m/>
    <n v="1"/>
    <m/>
    <m/>
    <m/>
    <m/>
    <m/>
    <m/>
    <m/>
    <n v="2"/>
    <m/>
    <n v="2"/>
    <m/>
    <m/>
    <m/>
    <m/>
    <m/>
    <n v="1"/>
    <n v="1"/>
    <m/>
    <s v="သောက်သုံးရေ ခက်ခဲ"/>
    <n v="23"/>
    <n v="23"/>
    <m/>
    <m/>
    <n v="19"/>
    <m/>
    <m/>
    <m/>
    <x v="1"/>
    <x v="1"/>
    <m/>
    <n v="1"/>
    <m/>
    <m/>
    <n v="8"/>
    <m/>
    <n v="8"/>
    <n v="4"/>
    <m/>
    <n v="3"/>
    <m/>
    <m/>
    <n v="1"/>
    <n v="91"/>
    <n v="148"/>
    <s v="Yes"/>
    <n v="4"/>
    <n v="0.3"/>
    <s v="soap "/>
    <n v="0.7"/>
    <n v="0.5"/>
    <m/>
    <n v="0.2"/>
    <m/>
    <m/>
    <m/>
    <m/>
    <m/>
    <m/>
    <m/>
    <s v="no test"/>
    <s v="no test"/>
    <s v="No Test"/>
    <n v="0"/>
    <n v="1"/>
    <n v="0"/>
    <n v="0"/>
    <n v="0"/>
    <n v="443"/>
    <n v="0"/>
    <n v="1"/>
    <n v="0.56433408577878108"/>
    <n v="1"/>
    <n v="443"/>
    <n v="1"/>
    <n v="443"/>
    <n v="1"/>
    <n v="443"/>
    <n v="0.88600000000000001"/>
    <n v="0"/>
    <n v="0"/>
    <n v="0.11399999999999999"/>
    <n v="1"/>
    <n v="46"/>
    <n v="1"/>
    <n v="443"/>
    <n v="0"/>
    <n v="0"/>
    <n v="0"/>
    <n v="22"/>
    <n v="0"/>
    <n v="0"/>
    <n v="0"/>
    <n v="443"/>
    <n v="443"/>
    <n v="148"/>
    <n v="443"/>
    <n v="443"/>
    <n v="1"/>
    <n v="0"/>
    <n v="1"/>
    <n v="1"/>
    <n v="1"/>
    <n v="4"/>
    <n v="80"/>
    <n v="1"/>
    <n v="400"/>
    <s v="Yes"/>
    <s v=""/>
    <n v="0"/>
    <n v="443"/>
    <n v="0"/>
    <s v="Yes"/>
    <s v="Shalom"/>
    <x v="0"/>
    <x v="0"/>
    <x v="0"/>
    <n v="25.637309999999999"/>
    <n v="96.35257"/>
    <s v="MMR001CMP174"/>
    <x v="1"/>
    <m/>
    <n v="91"/>
    <n v="442"/>
  </r>
  <r>
    <x v="1"/>
    <x v="0"/>
    <x v="0"/>
    <m/>
    <x v="0"/>
    <x v="3"/>
    <x v="0"/>
    <x v="17"/>
    <n v="48"/>
    <n v="240"/>
    <m/>
    <m/>
    <m/>
    <m/>
    <m/>
    <m/>
    <m/>
    <m/>
    <m/>
    <m/>
    <m/>
    <m/>
    <m/>
    <m/>
    <m/>
    <m/>
    <m/>
    <m/>
    <m/>
    <m/>
    <m/>
    <m/>
    <m/>
    <m/>
    <m/>
    <m/>
    <m/>
    <m/>
    <m/>
    <m/>
    <m/>
    <m/>
    <m/>
    <m/>
    <m/>
    <m/>
    <m/>
    <m/>
    <m/>
    <m/>
    <x v="0"/>
    <x v="0"/>
    <m/>
    <m/>
    <m/>
    <m/>
    <m/>
    <m/>
    <n v="7"/>
    <m/>
    <m/>
    <n v="4"/>
    <m/>
    <m/>
    <m/>
    <m/>
    <m/>
    <m/>
    <m/>
    <m/>
    <m/>
    <m/>
    <m/>
    <m/>
    <m/>
    <m/>
    <m/>
    <m/>
    <m/>
    <m/>
    <m/>
    <m/>
    <s v="no test"/>
    <s v="no test"/>
    <s v="No Test"/>
    <n v="0"/>
    <n v="0"/>
    <n v="0"/>
    <n v="0"/>
    <n v="0"/>
    <n v="0"/>
    <n v="0"/>
    <n v="0"/>
    <n v="0"/>
    <n v="0"/>
    <n v="0"/>
    <n v="0"/>
    <n v="0"/>
    <n v="0"/>
    <n v="0"/>
    <n v="0"/>
    <n v="1"/>
    <n v="240"/>
    <n v="1"/>
    <n v="1"/>
    <n v="0"/>
    <n v="0"/>
    <n v="0"/>
    <n v="0"/>
    <n v="0"/>
    <n v="0"/>
    <n v="12"/>
    <n v="12"/>
    <n v="1"/>
    <n v="0"/>
    <n v="0"/>
    <n v="0"/>
    <n v="0"/>
    <n v="0"/>
    <n v="0"/>
    <n v="0"/>
    <n v="1"/>
    <n v="0"/>
    <n v="0"/>
    <n v="0"/>
    <n v="7"/>
    <n v="48"/>
    <n v="0"/>
    <n v="240"/>
    <s v="No"/>
    <s v=""/>
    <n v="0"/>
    <n v="0"/>
    <n v="0"/>
    <n v="0"/>
    <s v="Uncovered  "/>
    <x v="0"/>
    <x v="3"/>
    <x v="0"/>
    <n v="0"/>
    <n v="0"/>
    <s v="MMR001CMP293"/>
    <x v="0"/>
    <m/>
    <n v="48"/>
    <n v="240"/>
  </r>
  <r>
    <x v="1"/>
    <x v="0"/>
    <x v="0"/>
    <m/>
    <x v="0"/>
    <x v="3"/>
    <x v="0"/>
    <x v="18"/>
    <n v="34"/>
    <n v="189"/>
    <m/>
    <m/>
    <m/>
    <m/>
    <m/>
    <m/>
    <m/>
    <m/>
    <m/>
    <m/>
    <m/>
    <m/>
    <m/>
    <m/>
    <m/>
    <m/>
    <m/>
    <m/>
    <m/>
    <m/>
    <m/>
    <m/>
    <m/>
    <m/>
    <m/>
    <m/>
    <m/>
    <m/>
    <m/>
    <m/>
    <m/>
    <m/>
    <m/>
    <m/>
    <m/>
    <m/>
    <m/>
    <m/>
    <m/>
    <m/>
    <x v="0"/>
    <x v="0"/>
    <m/>
    <m/>
    <m/>
    <m/>
    <m/>
    <m/>
    <n v="3"/>
    <m/>
    <m/>
    <n v="2"/>
    <m/>
    <m/>
    <m/>
    <m/>
    <m/>
    <m/>
    <m/>
    <m/>
    <m/>
    <m/>
    <m/>
    <m/>
    <m/>
    <m/>
    <m/>
    <m/>
    <m/>
    <m/>
    <m/>
    <m/>
    <s v="no test"/>
    <s v="no test"/>
    <s v="No Test"/>
    <n v="0"/>
    <n v="0"/>
    <n v="0"/>
    <n v="0"/>
    <n v="0"/>
    <n v="0"/>
    <n v="0"/>
    <n v="0"/>
    <n v="0"/>
    <n v="0"/>
    <n v="0"/>
    <n v="0"/>
    <n v="0"/>
    <n v="0"/>
    <n v="0"/>
    <n v="0"/>
    <n v="1"/>
    <n v="189"/>
    <n v="1"/>
    <n v="1"/>
    <n v="0"/>
    <n v="0"/>
    <n v="0"/>
    <n v="0"/>
    <n v="0"/>
    <n v="0"/>
    <n v="9"/>
    <n v="9"/>
    <n v="1"/>
    <n v="0"/>
    <n v="0"/>
    <n v="0"/>
    <n v="0"/>
    <n v="0"/>
    <n v="0"/>
    <n v="0"/>
    <n v="1"/>
    <n v="0"/>
    <n v="0"/>
    <n v="0"/>
    <n v="3"/>
    <n v="34"/>
    <n v="0"/>
    <n v="189"/>
    <s v="No"/>
    <s v=""/>
    <n v="0"/>
    <n v="0"/>
    <n v="0"/>
    <n v="0"/>
    <s v="Uncovered  "/>
    <x v="0"/>
    <x v="3"/>
    <x v="0"/>
    <n v="0"/>
    <n v="0"/>
    <s v="MMR001CMP294"/>
    <x v="0"/>
    <m/>
    <n v="34"/>
    <n v="189"/>
  </r>
  <r>
    <x v="1"/>
    <x v="16"/>
    <x v="7"/>
    <s v="MHF,SIDA"/>
    <x v="0"/>
    <x v="7"/>
    <x v="0"/>
    <x v="19"/>
    <n v="43"/>
    <n v="193"/>
    <d v="2022-05-01T00:00:00"/>
    <d v="2022-10-31T00:00:00"/>
    <m/>
    <n v="1"/>
    <m/>
    <m/>
    <s v="Yes"/>
    <n v="2"/>
    <n v="2"/>
    <n v="3"/>
    <n v="1"/>
    <m/>
    <n v="3"/>
    <m/>
    <m/>
    <m/>
    <m/>
    <m/>
    <m/>
    <m/>
    <n v="3"/>
    <m/>
    <m/>
    <n v="3"/>
    <m/>
    <m/>
    <m/>
    <m/>
    <m/>
    <m/>
    <m/>
    <m/>
    <n v="6"/>
    <m/>
    <m/>
    <n v="1"/>
    <m/>
    <m/>
    <m/>
    <n v="6"/>
    <x v="1"/>
    <x v="1"/>
    <m/>
    <m/>
    <m/>
    <m/>
    <m/>
    <m/>
    <n v="5"/>
    <m/>
    <m/>
    <n v="3"/>
    <m/>
    <n v="1"/>
    <m/>
    <m/>
    <m/>
    <m/>
    <m/>
    <m/>
    <m/>
    <m/>
    <m/>
    <m/>
    <m/>
    <m/>
    <m/>
    <m/>
    <m/>
    <m/>
    <m/>
    <m/>
    <s v="no test"/>
    <s v="no test"/>
    <s v="No Test"/>
    <n v="2"/>
    <n v="3"/>
    <n v="0"/>
    <n v="0"/>
    <n v="0"/>
    <n v="0"/>
    <n v="0"/>
    <n v="1"/>
    <n v="1"/>
    <n v="1"/>
    <n v="193"/>
    <n v="1"/>
    <n v="193"/>
    <n v="1"/>
    <n v="193"/>
    <n v="0.38600000000000001"/>
    <n v="0"/>
    <n v="0"/>
    <n v="0.61399999999999999"/>
    <n v="1"/>
    <n v="5"/>
    <n v="0.51813471502590669"/>
    <n v="100"/>
    <n v="0"/>
    <n v="0"/>
    <n v="0"/>
    <n v="10"/>
    <n v="4"/>
    <n v="0.48186528497409331"/>
    <n v="0.16666666666666666"/>
    <n v="193"/>
    <n v="0"/>
    <n v="0"/>
    <n v="0"/>
    <n v="193"/>
    <n v="1"/>
    <n v="0"/>
    <n v="1"/>
    <n v="0"/>
    <n v="0"/>
    <n v="5"/>
    <n v="43"/>
    <n v="0"/>
    <n v="193"/>
    <s v="No"/>
    <s v=""/>
    <n v="0"/>
    <n v="0"/>
    <n v="0"/>
    <s v="Yes"/>
    <s v="KBC-MYT"/>
    <x v="0"/>
    <x v="0"/>
    <x v="0"/>
    <n v="25.3959740909091"/>
    <n v="97.382997575757599"/>
    <s v="MMR001CMP010"/>
    <x v="1"/>
    <m/>
    <n v="44"/>
    <n v="196"/>
  </r>
  <r>
    <x v="1"/>
    <x v="4"/>
    <x v="4"/>
    <s v="UNICEF"/>
    <x v="0"/>
    <x v="2"/>
    <x v="0"/>
    <x v="20"/>
    <n v="72"/>
    <n v="406"/>
    <d v="2021-08-06T00:00:00"/>
    <d v="2022-08-05T00:00:00"/>
    <m/>
    <n v="2"/>
    <m/>
    <m/>
    <s v="Yes"/>
    <n v="3"/>
    <n v="3"/>
    <n v="3"/>
    <n v="1"/>
    <n v="1"/>
    <n v="1"/>
    <m/>
    <m/>
    <m/>
    <n v="1"/>
    <m/>
    <m/>
    <m/>
    <m/>
    <m/>
    <m/>
    <m/>
    <m/>
    <m/>
    <m/>
    <m/>
    <n v="4"/>
    <m/>
    <m/>
    <m/>
    <n v="20"/>
    <m/>
    <m/>
    <n v="1"/>
    <m/>
    <m/>
    <m/>
    <m/>
    <x v="1"/>
    <x v="1"/>
    <n v="1"/>
    <m/>
    <m/>
    <m/>
    <m/>
    <m/>
    <n v="0"/>
    <m/>
    <m/>
    <n v="3"/>
    <n v="1"/>
    <m/>
    <n v="2"/>
    <n v="72"/>
    <n v="87.087000000000018"/>
    <s v="Yes"/>
    <n v="100"/>
    <m/>
    <s v="Every woman requested Sanitary pads"/>
    <m/>
    <m/>
    <m/>
    <n v="0.01"/>
    <m/>
    <m/>
    <m/>
    <m/>
    <m/>
    <m/>
    <m/>
    <s v="no test"/>
    <s v="no test"/>
    <s v="No Test"/>
    <n v="2"/>
    <n v="1"/>
    <n v="1"/>
    <n v="0"/>
    <n v="0"/>
    <n v="0"/>
    <n v="0"/>
    <n v="1"/>
    <n v="1"/>
    <n v="1"/>
    <n v="406"/>
    <n v="0"/>
    <n v="0"/>
    <n v="1"/>
    <n v="406"/>
    <n v="0.81200000000000006"/>
    <n v="0"/>
    <n v="0"/>
    <n v="0.18799999999999994"/>
    <n v="1"/>
    <n v="19"/>
    <n v="0.98522167487684731"/>
    <n v="400"/>
    <n v="0"/>
    <n v="0"/>
    <n v="0"/>
    <n v="20"/>
    <n v="0"/>
    <n v="1.4778325123152691E-2"/>
    <n v="0.05"/>
    <n v="406"/>
    <n v="406"/>
    <n v="87.087000000000018"/>
    <n v="406"/>
    <n v="406"/>
    <n v="1"/>
    <n v="0"/>
    <n v="1"/>
    <n v="1"/>
    <n v="1"/>
    <n v="0"/>
    <n v="0"/>
    <n v="4"/>
    <n v="0"/>
    <s v="No"/>
    <s v=""/>
    <n v="0"/>
    <n v="0"/>
    <n v="0"/>
    <s v="Yes"/>
    <s v="KMSS-MYT"/>
    <x v="0"/>
    <x v="0"/>
    <x v="1"/>
    <n v="24.461033"/>
    <n v="97.537099999999995"/>
    <s v="MMR001CMP123"/>
    <x v="1"/>
    <m/>
    <n v="72"/>
    <n v="404"/>
  </r>
  <r>
    <x v="1"/>
    <x v="0"/>
    <x v="0"/>
    <m/>
    <x v="0"/>
    <x v="8"/>
    <x v="0"/>
    <x v="21"/>
    <n v="6"/>
    <n v="32"/>
    <s v="13-8-2021, 6-1-2020"/>
    <s v="12-20-2022, 30-7-2021"/>
    <m/>
    <m/>
    <m/>
    <m/>
    <m/>
    <m/>
    <m/>
    <m/>
    <m/>
    <m/>
    <m/>
    <m/>
    <m/>
    <m/>
    <m/>
    <m/>
    <m/>
    <m/>
    <m/>
    <m/>
    <m/>
    <m/>
    <m/>
    <m/>
    <m/>
    <m/>
    <m/>
    <m/>
    <m/>
    <m/>
    <m/>
    <m/>
    <m/>
    <m/>
    <m/>
    <m/>
    <m/>
    <m/>
    <x v="0"/>
    <x v="0"/>
    <m/>
    <m/>
    <m/>
    <m/>
    <m/>
    <m/>
    <n v="3"/>
    <m/>
    <m/>
    <n v="2"/>
    <m/>
    <m/>
    <m/>
    <m/>
    <m/>
    <m/>
    <m/>
    <m/>
    <m/>
    <m/>
    <m/>
    <m/>
    <m/>
    <m/>
    <m/>
    <m/>
    <m/>
    <m/>
    <m/>
    <m/>
    <s v="no test"/>
    <s v="no test"/>
    <s v="No Test"/>
    <n v="0"/>
    <n v="0"/>
    <n v="0"/>
    <n v="0"/>
    <n v="0"/>
    <n v="0"/>
    <n v="0"/>
    <n v="0"/>
    <n v="0"/>
    <n v="0"/>
    <n v="0"/>
    <n v="0"/>
    <n v="0"/>
    <n v="0"/>
    <n v="0"/>
    <n v="0"/>
    <n v="1"/>
    <n v="32"/>
    <n v="1"/>
    <n v="1"/>
    <n v="0"/>
    <n v="0"/>
    <n v="0"/>
    <n v="0"/>
    <n v="0"/>
    <n v="0"/>
    <n v="2"/>
    <n v="2"/>
    <n v="1"/>
    <n v="0"/>
    <n v="0"/>
    <n v="0"/>
    <n v="0"/>
    <n v="0"/>
    <n v="0"/>
    <n v="0"/>
    <n v="1"/>
    <n v="0"/>
    <n v="0"/>
    <n v="0"/>
    <n v="3"/>
    <n v="6"/>
    <n v="0"/>
    <n v="32"/>
    <s v="No"/>
    <s v=""/>
    <n v="0"/>
    <n v="0"/>
    <n v="0"/>
    <n v="0"/>
    <s v="uncovered"/>
    <x v="0"/>
    <x v="3"/>
    <x v="0"/>
    <n v="25.30274"/>
    <n v="96.940380000000005"/>
    <s v="MMR001CMP262"/>
    <x v="0"/>
    <m/>
    <n v="5"/>
    <n v="32"/>
  </r>
  <r>
    <x v="1"/>
    <x v="0"/>
    <x v="0"/>
    <m/>
    <x v="0"/>
    <x v="9"/>
    <x v="0"/>
    <x v="22"/>
    <n v="31"/>
    <n v="171"/>
    <s v="13-8-2021, 6-1-2020"/>
    <s v="12-20-2022, 30-7-2021"/>
    <m/>
    <m/>
    <m/>
    <m/>
    <m/>
    <m/>
    <n v="4"/>
    <m/>
    <m/>
    <m/>
    <m/>
    <m/>
    <m/>
    <m/>
    <m/>
    <m/>
    <m/>
    <m/>
    <m/>
    <m/>
    <m/>
    <m/>
    <m/>
    <m/>
    <m/>
    <m/>
    <m/>
    <m/>
    <m/>
    <m/>
    <m/>
    <m/>
    <m/>
    <m/>
    <m/>
    <m/>
    <m/>
    <m/>
    <x v="0"/>
    <x v="0"/>
    <m/>
    <m/>
    <m/>
    <m/>
    <m/>
    <m/>
    <n v="1"/>
    <m/>
    <m/>
    <n v="1"/>
    <m/>
    <m/>
    <m/>
    <m/>
    <m/>
    <m/>
    <m/>
    <m/>
    <m/>
    <m/>
    <m/>
    <m/>
    <m/>
    <m/>
    <m/>
    <m/>
    <m/>
    <m/>
    <m/>
    <m/>
    <s v="no test"/>
    <s v="no test"/>
    <s v="No Test"/>
    <n v="0"/>
    <n v="0"/>
    <n v="0"/>
    <n v="0"/>
    <n v="0"/>
    <n v="0"/>
    <n v="0"/>
    <n v="0"/>
    <n v="0"/>
    <n v="0"/>
    <n v="0"/>
    <n v="0"/>
    <n v="0"/>
    <n v="0"/>
    <n v="0"/>
    <n v="0"/>
    <n v="1"/>
    <n v="171"/>
    <n v="1"/>
    <n v="1"/>
    <n v="0"/>
    <n v="0"/>
    <n v="0"/>
    <n v="0"/>
    <n v="0"/>
    <n v="0"/>
    <n v="9"/>
    <n v="9"/>
    <n v="1"/>
    <n v="0"/>
    <n v="0"/>
    <n v="0"/>
    <n v="0"/>
    <n v="0"/>
    <n v="0"/>
    <n v="0"/>
    <n v="1"/>
    <n v="0"/>
    <n v="0"/>
    <n v="0"/>
    <n v="1"/>
    <n v="20"/>
    <n v="0"/>
    <n v="100"/>
    <s v="No"/>
    <s v=""/>
    <n v="0"/>
    <n v="0"/>
    <n v="0"/>
    <n v="0"/>
    <s v="uncovered"/>
    <x v="0"/>
    <x v="3"/>
    <x v="0"/>
    <n v="26.299828999999999"/>
    <n v="97.487258999999995"/>
    <s v="MMR001CMP272"/>
    <x v="0"/>
    <m/>
    <n v="31"/>
    <n v="171"/>
  </r>
  <r>
    <x v="1"/>
    <x v="5"/>
    <x v="5"/>
    <s v="Trocaire/MHF"/>
    <x v="0"/>
    <x v="3"/>
    <x v="0"/>
    <x v="23"/>
    <n v="64"/>
    <n v="381"/>
    <d v="2022-01-01T00:00:00"/>
    <d v="2022-12-31T00:00:00"/>
    <m/>
    <m/>
    <m/>
    <m/>
    <s v="Yes"/>
    <n v="3"/>
    <n v="8"/>
    <n v="2"/>
    <m/>
    <m/>
    <n v="1"/>
    <m/>
    <m/>
    <m/>
    <n v="1"/>
    <m/>
    <m/>
    <m/>
    <m/>
    <m/>
    <m/>
    <m/>
    <m/>
    <m/>
    <m/>
    <m/>
    <m/>
    <m/>
    <m/>
    <s v="Needed Water tasting ,O&amp;M Training"/>
    <n v="8"/>
    <m/>
    <m/>
    <m/>
    <n v="2"/>
    <m/>
    <m/>
    <m/>
    <x v="1"/>
    <x v="1"/>
    <m/>
    <n v="2"/>
    <m/>
    <m/>
    <m/>
    <s v="Needed Solid wates management,Cleaning Tools and Fly Proof Latrine"/>
    <n v="3"/>
    <m/>
    <m/>
    <n v="2"/>
    <n v="1"/>
    <m/>
    <n v="1"/>
    <n v="64"/>
    <n v="336"/>
    <s v="No"/>
    <m/>
    <n v="0.3"/>
    <s v="Need Local IEC meterial and Hygiene Promotion,Hygiene Kits Refill Item."/>
    <n v="0.7"/>
    <n v="0.4"/>
    <n v="9"/>
    <n v="0.2"/>
    <n v="8"/>
    <n v="16"/>
    <n v="2"/>
    <m/>
    <m/>
    <m/>
    <m/>
    <s v="no test"/>
    <s v="no test"/>
    <s v="No Test"/>
    <n v="2"/>
    <n v="1"/>
    <n v="1"/>
    <n v="0"/>
    <n v="0"/>
    <n v="0"/>
    <n v="0"/>
    <n v="1"/>
    <n v="1"/>
    <n v="1"/>
    <n v="381"/>
    <n v="0"/>
    <n v="0"/>
    <n v="1"/>
    <n v="381"/>
    <n v="0.76200000000000001"/>
    <n v="0"/>
    <n v="0"/>
    <n v="0.23799999999999999"/>
    <n v="1"/>
    <n v="8"/>
    <n v="0.41994750656167978"/>
    <n v="160"/>
    <n v="0"/>
    <n v="0"/>
    <n v="0"/>
    <n v="19"/>
    <n v="11"/>
    <n v="0.58005249343832022"/>
    <n v="0"/>
    <n v="381"/>
    <n v="381"/>
    <n v="336"/>
    <n v="381"/>
    <n v="381"/>
    <n v="1"/>
    <n v="0"/>
    <n v="1"/>
    <n v="1"/>
    <n v="1"/>
    <n v="3"/>
    <n v="60"/>
    <n v="0"/>
    <n v="300"/>
    <s v="No"/>
    <n v="2.3622047244094488E-2"/>
    <n v="26"/>
    <n v="0"/>
    <n v="0"/>
    <n v="0"/>
    <s v="uncovered"/>
    <x v="0"/>
    <x v="3"/>
    <x v="0"/>
    <n v="25.305008999999998"/>
    <n v="97.430321000000006"/>
    <s v="MMR001CMP248"/>
    <x v="1"/>
    <m/>
    <n v="60"/>
    <n v="371"/>
  </r>
  <r>
    <x v="1"/>
    <x v="2"/>
    <x v="2"/>
    <s v="MHF"/>
    <x v="0"/>
    <x v="3"/>
    <x v="0"/>
    <x v="24"/>
    <n v="59"/>
    <n v="293"/>
    <d v="2022-01-01T00:00:00"/>
    <d v="2022-12-31T00:00:00"/>
    <m/>
    <n v="1"/>
    <n v="1"/>
    <m/>
    <s v="Yes"/>
    <n v="1"/>
    <n v="6"/>
    <n v="1"/>
    <n v="1"/>
    <m/>
    <m/>
    <m/>
    <m/>
    <m/>
    <m/>
    <m/>
    <m/>
    <m/>
    <n v="1"/>
    <m/>
    <n v="2"/>
    <m/>
    <m/>
    <m/>
    <m/>
    <m/>
    <n v="2"/>
    <n v="2"/>
    <n v="2"/>
    <m/>
    <n v="6"/>
    <n v="2"/>
    <s v="World vision"/>
    <n v="8"/>
    <m/>
    <m/>
    <m/>
    <m/>
    <x v="1"/>
    <x v="1"/>
    <m/>
    <m/>
    <m/>
    <n v="4"/>
    <m/>
    <m/>
    <n v="2"/>
    <m/>
    <m/>
    <n v="3"/>
    <m/>
    <m/>
    <m/>
    <n v="59"/>
    <m/>
    <s v="Yes"/>
    <m/>
    <n v="0.5"/>
    <m/>
    <n v="1"/>
    <n v="0.9"/>
    <m/>
    <n v="1"/>
    <m/>
    <m/>
    <m/>
    <m/>
    <m/>
    <m/>
    <m/>
    <s v="no test"/>
    <s v="no test"/>
    <s v="No Test"/>
    <n v="0"/>
    <n v="0"/>
    <n v="0"/>
    <n v="0"/>
    <n v="0"/>
    <n v="293"/>
    <n v="293"/>
    <n v="0"/>
    <n v="0"/>
    <n v="0"/>
    <n v="0"/>
    <n v="0.85324232081911267"/>
    <n v="250"/>
    <n v="0.85324232081911267"/>
    <n v="250"/>
    <n v="0.5"/>
    <n v="0.14675767918088733"/>
    <n v="42.999999999999986"/>
    <n v="0.5"/>
    <n v="1"/>
    <n v="0"/>
    <n v="0"/>
    <n v="0"/>
    <n v="0"/>
    <n v="0"/>
    <n v="200"/>
    <n v="15"/>
    <n v="7"/>
    <n v="1"/>
    <n v="1"/>
    <n v="0"/>
    <n v="293"/>
    <n v="0"/>
    <n v="293"/>
    <n v="293"/>
    <n v="1"/>
    <n v="0"/>
    <n v="0"/>
    <n v="1"/>
    <n v="0"/>
    <n v="2"/>
    <n v="40"/>
    <n v="2"/>
    <n v="200"/>
    <s v="No"/>
    <s v=""/>
    <n v="0"/>
    <n v="293"/>
    <n v="293"/>
    <s v="Yes"/>
    <s v="Shalom"/>
    <x v="0"/>
    <x v="0"/>
    <x v="0"/>
    <n v="25.321710740740698"/>
    <n v="97.404195925926004"/>
    <s v="MMR001CMP028"/>
    <x v="1"/>
    <m/>
    <n v="59"/>
    <n v="291"/>
  </r>
  <r>
    <x v="1"/>
    <x v="11"/>
    <x v="7"/>
    <s v="MHF"/>
    <x v="0"/>
    <x v="3"/>
    <x v="0"/>
    <x v="25"/>
    <n v="138"/>
    <n v="966"/>
    <d v="2022-05-01T00:00:00"/>
    <d v="2022-10-31T00:00:00"/>
    <m/>
    <n v="1"/>
    <m/>
    <m/>
    <s v="Yes"/>
    <n v="2"/>
    <n v="3"/>
    <n v="2"/>
    <m/>
    <m/>
    <m/>
    <m/>
    <m/>
    <m/>
    <n v="2"/>
    <m/>
    <n v="2"/>
    <m/>
    <m/>
    <m/>
    <m/>
    <m/>
    <m/>
    <m/>
    <m/>
    <m/>
    <m/>
    <m/>
    <m/>
    <m/>
    <n v="50"/>
    <n v="62"/>
    <m/>
    <n v="50"/>
    <m/>
    <m/>
    <m/>
    <n v="50"/>
    <x v="1"/>
    <x v="1"/>
    <m/>
    <m/>
    <m/>
    <m/>
    <m/>
    <m/>
    <n v="8"/>
    <m/>
    <m/>
    <n v="2"/>
    <n v="2"/>
    <m/>
    <n v="2"/>
    <m/>
    <m/>
    <m/>
    <m/>
    <m/>
    <m/>
    <m/>
    <m/>
    <m/>
    <m/>
    <m/>
    <m/>
    <m/>
    <m/>
    <m/>
    <m/>
    <m/>
    <s v="no test"/>
    <s v="no test"/>
    <s v="No Test"/>
    <n v="2"/>
    <n v="0"/>
    <n v="2"/>
    <n v="0"/>
    <n v="0"/>
    <n v="0"/>
    <n v="0"/>
    <n v="0.96618357487922713"/>
    <n v="0.65562456866804697"/>
    <n v="0.96618357487922713"/>
    <n v="933.33333333333337"/>
    <n v="0"/>
    <n v="0"/>
    <n v="0.96618357487922713"/>
    <n v="933.33333333333337"/>
    <n v="1.8666666666666667"/>
    <n v="3.3816425120772875E-2"/>
    <n v="32.6666666666666"/>
    <n v="0.1333333333333333"/>
    <n v="2"/>
    <n v="62"/>
    <n v="1"/>
    <n v="966"/>
    <n v="0"/>
    <n v="0"/>
    <n v="0"/>
    <n v="48"/>
    <n v="0"/>
    <n v="0"/>
    <n v="0.44642857142857145"/>
    <n v="966"/>
    <n v="0"/>
    <n v="0"/>
    <n v="0"/>
    <n v="966"/>
    <n v="1"/>
    <n v="0"/>
    <n v="1"/>
    <n v="0"/>
    <n v="0"/>
    <n v="8"/>
    <n v="138"/>
    <n v="0"/>
    <n v="800"/>
    <s v="No"/>
    <s v=""/>
    <n v="0"/>
    <n v="0"/>
    <n v="0"/>
    <s v="Yes"/>
    <s v="KBC-MYT"/>
    <x v="0"/>
    <x v="0"/>
    <x v="1"/>
    <n v="25.200333000000001"/>
    <n v="97.807182999999995"/>
    <s v="MMR001CMP115"/>
    <x v="1"/>
    <m/>
    <n v="138"/>
    <n v="966"/>
  </r>
  <r>
    <x v="1"/>
    <x v="16"/>
    <x v="7"/>
    <s v="MHF,IRC"/>
    <x v="0"/>
    <x v="1"/>
    <x v="0"/>
    <x v="26"/>
    <n v="26"/>
    <n v="133"/>
    <d v="2022-05-01T00:00:00"/>
    <d v="2022-10-31T00:00:00"/>
    <m/>
    <n v="1"/>
    <m/>
    <m/>
    <s v="Yes"/>
    <n v="3"/>
    <n v="3"/>
    <m/>
    <m/>
    <m/>
    <n v="1"/>
    <m/>
    <m/>
    <m/>
    <m/>
    <m/>
    <m/>
    <m/>
    <m/>
    <m/>
    <m/>
    <m/>
    <m/>
    <m/>
    <m/>
    <m/>
    <m/>
    <m/>
    <m/>
    <m/>
    <n v="4"/>
    <m/>
    <m/>
    <n v="4"/>
    <m/>
    <m/>
    <m/>
    <n v="4"/>
    <x v="1"/>
    <x v="1"/>
    <m/>
    <m/>
    <m/>
    <m/>
    <m/>
    <m/>
    <n v="1"/>
    <m/>
    <m/>
    <n v="1"/>
    <m/>
    <m/>
    <m/>
    <m/>
    <m/>
    <m/>
    <m/>
    <m/>
    <m/>
    <m/>
    <m/>
    <m/>
    <m/>
    <m/>
    <m/>
    <m/>
    <m/>
    <m/>
    <m/>
    <m/>
    <s v="no test"/>
    <s v="no test"/>
    <s v="No Test"/>
    <n v="0"/>
    <n v="1"/>
    <n v="0"/>
    <n v="0"/>
    <n v="0"/>
    <n v="0"/>
    <n v="0"/>
    <n v="1"/>
    <n v="1"/>
    <n v="1"/>
    <n v="133"/>
    <n v="0"/>
    <n v="0"/>
    <n v="1"/>
    <n v="133"/>
    <n v="0.26600000000000001"/>
    <n v="0"/>
    <n v="0"/>
    <n v="0.73399999999999999"/>
    <n v="1"/>
    <n v="0"/>
    <n v="0"/>
    <n v="0"/>
    <n v="0"/>
    <n v="0"/>
    <n v="0"/>
    <n v="7"/>
    <n v="3"/>
    <n v="1"/>
    <n v="1"/>
    <n v="0"/>
    <n v="0"/>
    <n v="0"/>
    <n v="0"/>
    <n v="0"/>
    <n v="0"/>
    <n v="1"/>
    <n v="0"/>
    <n v="0"/>
    <n v="0"/>
    <n v="1"/>
    <n v="20"/>
    <n v="0"/>
    <n v="100"/>
    <s v="No"/>
    <s v=""/>
    <n v="0"/>
    <n v="0"/>
    <n v="0"/>
    <s v="Yes"/>
    <s v="KBC-MYT"/>
    <x v="0"/>
    <x v="0"/>
    <x v="0"/>
    <n v="25.51352"/>
    <n v="96.705960000000005"/>
    <s v="MMR001CMP148"/>
    <x v="1"/>
    <m/>
    <n v="26"/>
    <n v="133"/>
  </r>
  <r>
    <x v="1"/>
    <x v="0"/>
    <x v="0"/>
    <m/>
    <x v="0"/>
    <x v="10"/>
    <x v="0"/>
    <x v="27"/>
    <n v="27"/>
    <n v="126"/>
    <s v="13-8-2021, 6-1-2020"/>
    <s v="12-20-2022, 30-7-2021"/>
    <m/>
    <m/>
    <m/>
    <m/>
    <m/>
    <m/>
    <m/>
    <m/>
    <m/>
    <m/>
    <m/>
    <m/>
    <m/>
    <m/>
    <m/>
    <m/>
    <m/>
    <m/>
    <m/>
    <m/>
    <m/>
    <m/>
    <m/>
    <m/>
    <m/>
    <m/>
    <m/>
    <m/>
    <m/>
    <m/>
    <m/>
    <m/>
    <m/>
    <m/>
    <m/>
    <m/>
    <m/>
    <m/>
    <x v="0"/>
    <x v="0"/>
    <m/>
    <m/>
    <m/>
    <m/>
    <m/>
    <m/>
    <n v="8"/>
    <m/>
    <m/>
    <n v="3"/>
    <m/>
    <m/>
    <m/>
    <m/>
    <m/>
    <m/>
    <m/>
    <m/>
    <m/>
    <m/>
    <m/>
    <m/>
    <m/>
    <m/>
    <m/>
    <m/>
    <m/>
    <m/>
    <m/>
    <m/>
    <s v="no test"/>
    <s v="no test"/>
    <s v="No Test"/>
    <n v="0"/>
    <n v="0"/>
    <n v="0"/>
    <n v="0"/>
    <n v="0"/>
    <n v="0"/>
    <n v="0"/>
    <n v="0"/>
    <n v="0"/>
    <n v="0"/>
    <n v="0"/>
    <n v="0"/>
    <n v="0"/>
    <n v="0"/>
    <n v="0"/>
    <n v="0"/>
    <n v="1"/>
    <n v="126"/>
    <n v="1"/>
    <n v="1"/>
    <n v="0"/>
    <n v="0"/>
    <n v="0"/>
    <n v="0"/>
    <n v="0"/>
    <n v="0"/>
    <n v="6"/>
    <n v="6"/>
    <n v="1"/>
    <n v="0"/>
    <n v="0"/>
    <n v="0"/>
    <n v="0"/>
    <n v="0"/>
    <n v="0"/>
    <n v="0"/>
    <n v="1"/>
    <n v="0"/>
    <n v="0"/>
    <n v="0"/>
    <n v="8"/>
    <n v="27"/>
    <n v="0"/>
    <n v="126"/>
    <s v="No"/>
    <s v=""/>
    <n v="0"/>
    <n v="0"/>
    <n v="0"/>
    <n v="0"/>
    <s v="uncovered"/>
    <x v="0"/>
    <x v="2"/>
    <x v="0"/>
    <n v="24.996279999999999"/>
    <n v="96.52534"/>
    <s v="MMR001CMP232"/>
    <x v="0"/>
    <m/>
    <n v="26"/>
    <n v="125"/>
  </r>
  <r>
    <x v="1"/>
    <x v="2"/>
    <x v="2"/>
    <s v="MHF"/>
    <x v="0"/>
    <x v="1"/>
    <x v="0"/>
    <x v="28"/>
    <n v="100"/>
    <n v="504"/>
    <d v="2022-01-01T00:00:00"/>
    <d v="2022-12-31T00:00:00"/>
    <n v="50"/>
    <m/>
    <m/>
    <m/>
    <s v="Yes"/>
    <n v="7"/>
    <n v="2"/>
    <n v="0"/>
    <m/>
    <m/>
    <m/>
    <m/>
    <m/>
    <m/>
    <n v="1"/>
    <m/>
    <n v="1"/>
    <m/>
    <n v="1"/>
    <m/>
    <n v="1"/>
    <m/>
    <m/>
    <m/>
    <m/>
    <m/>
    <n v="1"/>
    <n v="4"/>
    <m/>
    <s v="water intake and water quality testing "/>
    <n v="30"/>
    <m/>
    <m/>
    <n v="14"/>
    <n v="6"/>
    <m/>
    <m/>
    <m/>
    <x v="1"/>
    <x v="1"/>
    <n v="2"/>
    <m/>
    <m/>
    <m/>
    <n v="3"/>
    <s v="၆ ကျင်း စုပ်ထုတ်ရန်"/>
    <n v="4"/>
    <m/>
    <m/>
    <n v="7"/>
    <n v="3"/>
    <n v="1"/>
    <m/>
    <n v="100"/>
    <m/>
    <s v="No"/>
    <n v="3"/>
    <n v="0.3"/>
    <s v="Hygiene Kits"/>
    <n v="0.5"/>
    <n v="0.8"/>
    <n v="10"/>
    <n v="0.5"/>
    <m/>
    <m/>
    <m/>
    <m/>
    <m/>
    <m/>
    <m/>
    <s v="no test"/>
    <s v="no test"/>
    <s v="No Test"/>
    <n v="0"/>
    <n v="0"/>
    <n v="1"/>
    <n v="0"/>
    <n v="0"/>
    <n v="504"/>
    <n v="0"/>
    <n v="0.1322751322751323"/>
    <n v="0.1322751322751323"/>
    <n v="0.1322751322751323"/>
    <n v="66.666666666666671"/>
    <n v="0.49603174603174605"/>
    <n v="250"/>
    <n v="0.62830687830687837"/>
    <n v="316.66666666666669"/>
    <n v="0.63333333333333341"/>
    <n v="0.37169312169312163"/>
    <n v="187.33333333333331"/>
    <n v="0.36666666666666659"/>
    <n v="1"/>
    <n v="16"/>
    <n v="0.72023809523809523"/>
    <n v="363"/>
    <n v="0"/>
    <n v="0"/>
    <n v="0"/>
    <n v="25"/>
    <n v="0"/>
    <n v="0.27976190476190477"/>
    <n v="0.46666666666666667"/>
    <n v="500"/>
    <n v="504"/>
    <n v="0"/>
    <n v="504"/>
    <n v="504"/>
    <n v="1"/>
    <n v="0"/>
    <n v="0.99206349206349209"/>
    <n v="1"/>
    <n v="0"/>
    <n v="4"/>
    <n v="80"/>
    <n v="0"/>
    <n v="400"/>
    <s v="Yes"/>
    <n v="1.984126984126984E-2"/>
    <n v="0"/>
    <n v="504"/>
    <n v="0"/>
    <s v="Yes"/>
    <s v="KBC-MYT"/>
    <x v="0"/>
    <x v="0"/>
    <x v="0"/>
    <n v="25.611160000000002"/>
    <n v="96.312790000000007"/>
    <s v="MMR001CMP229"/>
    <x v="1"/>
    <m/>
    <n v="97"/>
    <n v="484"/>
  </r>
  <r>
    <x v="1"/>
    <x v="11"/>
    <x v="7"/>
    <s v="MHF"/>
    <x v="0"/>
    <x v="6"/>
    <x v="0"/>
    <x v="29"/>
    <n v="167"/>
    <n v="936"/>
    <d v="2022-05-01T00:00:00"/>
    <d v="2022-10-31T00:00:00"/>
    <m/>
    <n v="1"/>
    <m/>
    <m/>
    <s v="Yes"/>
    <n v="3"/>
    <n v="1"/>
    <m/>
    <m/>
    <m/>
    <m/>
    <m/>
    <m/>
    <m/>
    <m/>
    <m/>
    <m/>
    <m/>
    <m/>
    <m/>
    <m/>
    <m/>
    <m/>
    <m/>
    <m/>
    <m/>
    <m/>
    <m/>
    <m/>
    <m/>
    <n v="32"/>
    <m/>
    <m/>
    <m/>
    <m/>
    <m/>
    <m/>
    <n v="32"/>
    <x v="1"/>
    <x v="1"/>
    <m/>
    <m/>
    <n v="5"/>
    <m/>
    <m/>
    <m/>
    <n v="8"/>
    <m/>
    <m/>
    <n v="3"/>
    <m/>
    <n v="2"/>
    <m/>
    <m/>
    <m/>
    <m/>
    <m/>
    <m/>
    <m/>
    <m/>
    <m/>
    <m/>
    <m/>
    <m/>
    <m/>
    <m/>
    <m/>
    <m/>
    <m/>
    <m/>
    <s v="no test"/>
    <s v="no test"/>
    <s v="No Test"/>
    <n v="0"/>
    <n v="0"/>
    <n v="0"/>
    <n v="0"/>
    <n v="0"/>
    <n v="0"/>
    <n v="0"/>
    <n v="0"/>
    <n v="0"/>
    <n v="0"/>
    <n v="0"/>
    <n v="0"/>
    <n v="0"/>
    <n v="0"/>
    <n v="0"/>
    <n v="0"/>
    <n v="1"/>
    <n v="936"/>
    <n v="2"/>
    <n v="2"/>
    <n v="32"/>
    <n v="0.68376068376068377"/>
    <n v="640"/>
    <n v="0"/>
    <n v="0"/>
    <n v="0"/>
    <n v="47"/>
    <n v="15"/>
    <n v="0.31623931623931623"/>
    <n v="0"/>
    <n v="936"/>
    <n v="0"/>
    <n v="0"/>
    <n v="0"/>
    <n v="936"/>
    <n v="1"/>
    <n v="0"/>
    <n v="1"/>
    <n v="0"/>
    <n v="0"/>
    <n v="8"/>
    <n v="160"/>
    <n v="0"/>
    <n v="800"/>
    <s v="No"/>
    <s v=""/>
    <n v="0"/>
    <n v="0"/>
    <n v="0"/>
    <s v="Yes"/>
    <s v="KBC-MYT"/>
    <x v="0"/>
    <x v="0"/>
    <x v="1"/>
    <n v="25.754110000000001"/>
    <n v="98.475719999999995"/>
    <s v="MMR001CMP043"/>
    <x v="1"/>
    <m/>
    <n v="167"/>
    <n v="936"/>
  </r>
  <r>
    <x v="1"/>
    <x v="3"/>
    <x v="3"/>
    <s v="USAID/HOPE-94"/>
    <x v="0"/>
    <x v="2"/>
    <x v="0"/>
    <x v="30"/>
    <n v="715"/>
    <n v="3789"/>
    <s v="13-8-2021/1-7-2021"/>
    <s v="12-2-2022/30-4-2021"/>
    <m/>
    <m/>
    <n v="3"/>
    <m/>
    <s v="Yes"/>
    <n v="4"/>
    <n v="3"/>
    <n v="3"/>
    <m/>
    <m/>
    <m/>
    <m/>
    <m/>
    <m/>
    <n v="1"/>
    <m/>
    <m/>
    <m/>
    <m/>
    <m/>
    <m/>
    <m/>
    <m/>
    <m/>
    <m/>
    <m/>
    <n v="4"/>
    <n v="3"/>
    <m/>
    <m/>
    <n v="306"/>
    <m/>
    <m/>
    <m/>
    <m/>
    <m/>
    <m/>
    <m/>
    <x v="1"/>
    <x v="1"/>
    <n v="13"/>
    <m/>
    <n v="46"/>
    <n v="4"/>
    <m/>
    <m/>
    <n v="1"/>
    <m/>
    <m/>
    <n v="1"/>
    <m/>
    <m/>
    <n v="1"/>
    <m/>
    <m/>
    <m/>
    <m/>
    <m/>
    <m/>
    <m/>
    <m/>
    <m/>
    <m/>
    <m/>
    <m/>
    <m/>
    <m/>
    <m/>
    <m/>
    <m/>
    <s v="no test"/>
    <s v="no test"/>
    <s v="No Test"/>
    <n v="3"/>
    <n v="0"/>
    <n v="1"/>
    <n v="0"/>
    <n v="0"/>
    <n v="1500"/>
    <n v="0"/>
    <n v="0.33430104689012052"/>
    <n v="0.2155362012844198"/>
    <n v="0.33430104689012052"/>
    <n v="1266.6666666666667"/>
    <n v="0"/>
    <n v="0"/>
    <n v="0.33430104689012052"/>
    <n v="1266.6666666666667"/>
    <n v="2.5333333333333337"/>
    <n v="0.66569895310987948"/>
    <n v="2522.3333333333335"/>
    <n v="5.4666666666666668"/>
    <n v="8"/>
    <n v="306"/>
    <n v="1"/>
    <n v="3789"/>
    <n v="0"/>
    <n v="0"/>
    <n v="200"/>
    <n v="189"/>
    <n v="0"/>
    <n v="0"/>
    <n v="0"/>
    <n v="500"/>
    <n v="0"/>
    <n v="0"/>
    <n v="0"/>
    <n v="500"/>
    <n v="0.13196093956188967"/>
    <n v="0.8680390604381103"/>
    <n v="0.13196093956188967"/>
    <n v="0"/>
    <n v="0"/>
    <n v="1"/>
    <n v="20"/>
    <n v="0"/>
    <n v="100"/>
    <s v="No"/>
    <s v=""/>
    <n v="0"/>
    <n v="1500"/>
    <n v="200"/>
    <s v="Yes"/>
    <s v="KMSS-MYT"/>
    <x v="0"/>
    <x v="0"/>
    <x v="1"/>
    <n v="24.661905999999998"/>
    <n v="97.573126000000002"/>
    <s v="MMR001CMP122"/>
    <x v="1"/>
    <m/>
    <n v="664"/>
    <n v="3491"/>
  </r>
  <r>
    <x v="1"/>
    <x v="1"/>
    <x v="1"/>
    <s v="ECHO 2739"/>
    <x v="0"/>
    <x v="2"/>
    <x v="1"/>
    <x v="31"/>
    <n v="3"/>
    <n v="16"/>
    <d v="2022-04-01T00:00:00"/>
    <d v="2022-11-30T00:00:00"/>
    <m/>
    <m/>
    <m/>
    <m/>
    <s v="Yes"/>
    <n v="3"/>
    <n v="8"/>
    <m/>
    <m/>
    <m/>
    <n v="1"/>
    <m/>
    <m/>
    <m/>
    <m/>
    <m/>
    <m/>
    <m/>
    <m/>
    <m/>
    <m/>
    <m/>
    <n v="2"/>
    <n v="2"/>
    <n v="3"/>
    <n v="3"/>
    <m/>
    <m/>
    <m/>
    <m/>
    <n v="12"/>
    <m/>
    <m/>
    <m/>
    <m/>
    <n v="8"/>
    <n v="3.2"/>
    <m/>
    <x v="1"/>
    <x v="1"/>
    <m/>
    <m/>
    <m/>
    <m/>
    <m/>
    <m/>
    <n v="7"/>
    <m/>
    <m/>
    <n v="7"/>
    <m/>
    <m/>
    <n v="1"/>
    <n v="11"/>
    <m/>
    <m/>
    <m/>
    <m/>
    <m/>
    <n v="1"/>
    <n v="1"/>
    <n v="5"/>
    <n v="0"/>
    <m/>
    <n v="12"/>
    <n v="2"/>
    <m/>
    <m/>
    <m/>
    <m/>
    <n v="1"/>
    <n v="1"/>
    <s v="Tested"/>
    <n v="0"/>
    <n v="1"/>
    <n v="0"/>
    <n v="0"/>
    <n v="0"/>
    <n v="0"/>
    <n v="0"/>
    <n v="1"/>
    <n v="1"/>
    <n v="1"/>
    <n v="16"/>
    <n v="0"/>
    <n v="0"/>
    <n v="1"/>
    <n v="16"/>
    <n v="3.2000000000000001E-2"/>
    <n v="0"/>
    <n v="0"/>
    <n v="0.96799999999999997"/>
    <n v="1"/>
    <n v="12"/>
    <n v="1"/>
    <n v="16"/>
    <n v="16"/>
    <n v="0"/>
    <n v="0"/>
    <n v="1"/>
    <n v="0"/>
    <n v="0"/>
    <n v="0"/>
    <n v="16"/>
    <n v="16"/>
    <n v="0"/>
    <n v="16"/>
    <n v="16"/>
    <n v="1"/>
    <n v="0"/>
    <n v="1"/>
    <n v="1"/>
    <n v="0"/>
    <n v="7"/>
    <n v="3"/>
    <n v="0"/>
    <n v="16"/>
    <s v="No"/>
    <n v="0.3125"/>
    <n v="14"/>
    <n v="0"/>
    <n v="0"/>
    <n v="0"/>
    <n v="0"/>
    <x v="0"/>
    <x v="0"/>
    <x v="0"/>
    <n v="0"/>
    <n v="0"/>
    <n v="0"/>
    <x v="1"/>
    <m/>
    <n v="0"/>
    <n v="0"/>
  </r>
  <r>
    <x v="1"/>
    <x v="1"/>
    <x v="1"/>
    <s v="ECHO 2739"/>
    <x v="0"/>
    <x v="0"/>
    <x v="0"/>
    <x v="32"/>
    <n v="36"/>
    <n v="222"/>
    <d v="2022-04-01T00:00:00"/>
    <d v="2022-11-30T00:00:00"/>
    <m/>
    <m/>
    <m/>
    <m/>
    <s v="Yes"/>
    <n v="0"/>
    <n v="5"/>
    <m/>
    <m/>
    <m/>
    <n v="2"/>
    <m/>
    <m/>
    <m/>
    <m/>
    <m/>
    <m/>
    <m/>
    <m/>
    <m/>
    <m/>
    <m/>
    <n v="2"/>
    <n v="2"/>
    <m/>
    <m/>
    <m/>
    <m/>
    <m/>
    <m/>
    <n v="7"/>
    <m/>
    <m/>
    <m/>
    <m/>
    <n v="7"/>
    <n v="18"/>
    <m/>
    <x v="1"/>
    <x v="1"/>
    <m/>
    <m/>
    <m/>
    <m/>
    <m/>
    <m/>
    <m/>
    <m/>
    <m/>
    <n v="2"/>
    <m/>
    <m/>
    <m/>
    <m/>
    <m/>
    <m/>
    <m/>
    <m/>
    <m/>
    <m/>
    <m/>
    <m/>
    <n v="0"/>
    <m/>
    <n v="7"/>
    <n v="2"/>
    <m/>
    <m/>
    <m/>
    <m/>
    <n v="1"/>
    <s v="no test"/>
    <s v="Tested"/>
    <n v="0"/>
    <n v="2"/>
    <n v="0"/>
    <n v="0"/>
    <n v="0"/>
    <n v="0"/>
    <n v="0"/>
    <n v="1"/>
    <n v="1"/>
    <n v="1"/>
    <n v="222"/>
    <n v="0"/>
    <n v="0"/>
    <n v="1"/>
    <n v="222"/>
    <n v="0.44400000000000001"/>
    <n v="0"/>
    <n v="0"/>
    <n v="0.55600000000000005"/>
    <n v="1"/>
    <n v="7"/>
    <n v="0.63063063063063063"/>
    <n v="140"/>
    <n v="140"/>
    <n v="0"/>
    <n v="0"/>
    <n v="11"/>
    <n v="4"/>
    <n v="0.36936936936936937"/>
    <n v="0"/>
    <n v="0"/>
    <n v="0"/>
    <n v="0"/>
    <n v="0"/>
    <n v="0"/>
    <n v="0"/>
    <n v="1"/>
    <n v="0"/>
    <n v="0"/>
    <n v="0"/>
    <n v="0"/>
    <n v="0"/>
    <n v="0"/>
    <n v="0"/>
    <s v="No"/>
    <s v=""/>
    <n v="9"/>
    <n v="0"/>
    <n v="0"/>
    <s v="Yes"/>
    <s v="KBC-BMO"/>
    <x v="0"/>
    <x v="0"/>
    <x v="0"/>
    <n v="24.24766"/>
    <n v="97.236919999999998"/>
    <s v="MMR001CMP052"/>
    <x v="1"/>
    <m/>
    <n v="37"/>
    <n v="226"/>
  </r>
  <r>
    <x v="1"/>
    <x v="3"/>
    <x v="3"/>
    <s v="USAID/HOPE-94"/>
    <x v="0"/>
    <x v="3"/>
    <x v="0"/>
    <x v="33"/>
    <n v="426.2"/>
    <n v="2131"/>
    <s v="13-8-2021, 6-1-2020, 1-7-2021"/>
    <s v="12-2-2022, 30-11-2021, 30.4.2021"/>
    <m/>
    <m/>
    <m/>
    <m/>
    <s v="Yes"/>
    <n v="3"/>
    <n v="6"/>
    <m/>
    <m/>
    <m/>
    <m/>
    <m/>
    <m/>
    <m/>
    <n v="1"/>
    <m/>
    <m/>
    <m/>
    <m/>
    <m/>
    <m/>
    <m/>
    <m/>
    <m/>
    <m/>
    <m/>
    <n v="14"/>
    <n v="2"/>
    <m/>
    <m/>
    <n v="89"/>
    <m/>
    <m/>
    <m/>
    <m/>
    <m/>
    <m/>
    <m/>
    <x v="1"/>
    <x v="1"/>
    <m/>
    <m/>
    <m/>
    <m/>
    <m/>
    <m/>
    <n v="3"/>
    <m/>
    <m/>
    <n v="2"/>
    <m/>
    <m/>
    <m/>
    <m/>
    <m/>
    <m/>
    <m/>
    <m/>
    <m/>
    <m/>
    <m/>
    <m/>
    <m/>
    <m/>
    <m/>
    <m/>
    <m/>
    <m/>
    <m/>
    <m/>
    <s v="no test"/>
    <s v="no test"/>
    <s v="No Test"/>
    <n v="0"/>
    <n v="0"/>
    <n v="1"/>
    <n v="0"/>
    <n v="0"/>
    <n v="1000"/>
    <n v="0"/>
    <n v="3.1284217112466761E-2"/>
    <n v="3.1284217112466761E-2"/>
    <n v="3.1284217112466761E-2"/>
    <n v="66.666666666666671"/>
    <n v="0"/>
    <n v="0"/>
    <n v="3.1284217112466761E-2"/>
    <n v="66.666666666666671"/>
    <n v="0.13333333333333333"/>
    <n v="0.96871578288753324"/>
    <n v="2064.3333333333335"/>
    <n v="3.8666666666666667"/>
    <n v="4"/>
    <n v="89"/>
    <n v="0.8352885969028625"/>
    <n v="1780"/>
    <n v="0"/>
    <n v="0"/>
    <n v="0"/>
    <n v="107"/>
    <n v="18"/>
    <n v="0.1647114030971375"/>
    <n v="0"/>
    <n v="0"/>
    <n v="0"/>
    <n v="0"/>
    <n v="0"/>
    <n v="0"/>
    <n v="0"/>
    <n v="1"/>
    <n v="0"/>
    <n v="0"/>
    <n v="0"/>
    <n v="3"/>
    <n v="60"/>
    <n v="0"/>
    <n v="300"/>
    <s v="No"/>
    <s v=""/>
    <n v="0"/>
    <n v="1000"/>
    <n v="0"/>
    <n v="0"/>
    <s v="uncovered"/>
    <x v="0"/>
    <x v="4"/>
    <x v="1"/>
    <n v="24.752471"/>
    <n v="97.541793999999996"/>
    <s v="MMR001CMP208"/>
    <x v="1"/>
    <m/>
    <n v="0"/>
    <n v="366"/>
  </r>
  <r>
    <x v="1"/>
    <x v="16"/>
    <x v="7"/>
    <s v="MHF,SIDA"/>
    <x v="0"/>
    <x v="7"/>
    <x v="0"/>
    <x v="34"/>
    <n v="201"/>
    <n v="1184"/>
    <d v="2022-05-01T00:00:00"/>
    <d v="2022-10-31T00:00:00"/>
    <m/>
    <n v="1"/>
    <m/>
    <m/>
    <s v="Yes"/>
    <n v="1"/>
    <n v="4"/>
    <n v="7"/>
    <m/>
    <n v="2"/>
    <n v="4"/>
    <n v="0"/>
    <m/>
    <m/>
    <m/>
    <m/>
    <m/>
    <m/>
    <m/>
    <m/>
    <m/>
    <n v="5"/>
    <m/>
    <m/>
    <m/>
    <m/>
    <m/>
    <m/>
    <m/>
    <m/>
    <n v="45"/>
    <m/>
    <m/>
    <m/>
    <m/>
    <m/>
    <m/>
    <n v="45"/>
    <x v="1"/>
    <x v="1"/>
    <m/>
    <m/>
    <m/>
    <m/>
    <m/>
    <m/>
    <n v="7"/>
    <m/>
    <m/>
    <n v="7"/>
    <m/>
    <n v="1"/>
    <m/>
    <m/>
    <m/>
    <m/>
    <m/>
    <m/>
    <m/>
    <m/>
    <m/>
    <m/>
    <m/>
    <m/>
    <m/>
    <m/>
    <m/>
    <m/>
    <m/>
    <m/>
    <s v="no test"/>
    <s v="no test"/>
    <s v="No Test"/>
    <n v="7"/>
    <n v="4"/>
    <n v="0"/>
    <n v="0"/>
    <n v="0"/>
    <n v="0"/>
    <n v="0"/>
    <n v="1"/>
    <n v="1"/>
    <n v="1"/>
    <n v="1184"/>
    <n v="0"/>
    <n v="0"/>
    <n v="1"/>
    <n v="1184"/>
    <n v="2.3679999999999999"/>
    <n v="0"/>
    <n v="0"/>
    <n v="0"/>
    <n v="2"/>
    <n v="45"/>
    <n v="0.76013513513513509"/>
    <n v="900"/>
    <n v="0"/>
    <n v="0"/>
    <n v="0"/>
    <n v="59"/>
    <n v="14"/>
    <n v="0.23986486486486491"/>
    <n v="0"/>
    <n v="500"/>
    <n v="0"/>
    <n v="0"/>
    <n v="0"/>
    <n v="500"/>
    <n v="0.42229729729729731"/>
    <n v="0.57770270270270263"/>
    <n v="0.42229729729729731"/>
    <n v="0"/>
    <n v="0"/>
    <n v="7"/>
    <n v="140"/>
    <n v="0"/>
    <n v="700"/>
    <s v="No"/>
    <s v=""/>
    <n v="0"/>
    <n v="0"/>
    <n v="0"/>
    <s v="Yes"/>
    <s v="KBC-MYT"/>
    <x v="0"/>
    <x v="0"/>
    <x v="0"/>
    <n v="25.397850999999999"/>
    <n v="97.370900000000006"/>
    <s v="MMR001CMP018"/>
    <x v="1"/>
    <m/>
    <n v="201"/>
    <n v="1187"/>
  </r>
  <r>
    <x v="1"/>
    <x v="4"/>
    <x v="4"/>
    <s v="UNICEF"/>
    <x v="0"/>
    <x v="7"/>
    <x v="0"/>
    <x v="35"/>
    <n v="72"/>
    <n v="388"/>
    <d v="2021-08-06T00:00:00"/>
    <d v="2022-08-05T00:00:00"/>
    <m/>
    <n v="3"/>
    <m/>
    <m/>
    <s v="Yes"/>
    <n v="2"/>
    <n v="8"/>
    <n v="1"/>
    <m/>
    <m/>
    <m/>
    <m/>
    <m/>
    <m/>
    <m/>
    <m/>
    <m/>
    <m/>
    <m/>
    <m/>
    <m/>
    <m/>
    <n v="7"/>
    <n v="2"/>
    <m/>
    <m/>
    <n v="5"/>
    <m/>
    <m/>
    <m/>
    <n v="22"/>
    <m/>
    <m/>
    <n v="1"/>
    <m/>
    <m/>
    <m/>
    <m/>
    <x v="1"/>
    <x v="1"/>
    <n v="1"/>
    <m/>
    <m/>
    <m/>
    <m/>
    <m/>
    <n v="7"/>
    <m/>
    <m/>
    <n v="3"/>
    <m/>
    <m/>
    <n v="2"/>
    <n v="72"/>
    <n v="83.226000000000013"/>
    <s v="Yes"/>
    <n v="100"/>
    <n v="0.5"/>
    <s v="Requested Sanitary pads "/>
    <m/>
    <m/>
    <m/>
    <n v="0.01"/>
    <m/>
    <m/>
    <m/>
    <m/>
    <m/>
    <m/>
    <m/>
    <n v="0.2857142857142857"/>
    <s v="no test"/>
    <s v="Tested"/>
    <n v="1"/>
    <n v="0"/>
    <n v="0"/>
    <n v="0"/>
    <n v="0"/>
    <n v="0"/>
    <n v="0"/>
    <n v="1"/>
    <n v="0.64432989690721654"/>
    <n v="1"/>
    <n v="388"/>
    <n v="0"/>
    <n v="0"/>
    <n v="1"/>
    <n v="388"/>
    <n v="0.77600000000000002"/>
    <n v="0"/>
    <n v="0"/>
    <n v="0.22399999999999998"/>
    <n v="1"/>
    <n v="21"/>
    <n v="1"/>
    <n v="388"/>
    <n v="0"/>
    <n v="0"/>
    <n v="0"/>
    <n v="19"/>
    <n v="0"/>
    <n v="0"/>
    <n v="4.5454545454545456E-2"/>
    <n v="388"/>
    <n v="388"/>
    <n v="83.226000000000013"/>
    <n v="388"/>
    <n v="388"/>
    <n v="1"/>
    <n v="0"/>
    <n v="1"/>
    <n v="1"/>
    <n v="1"/>
    <n v="7"/>
    <n v="72"/>
    <n v="5"/>
    <n v="388"/>
    <s v="No"/>
    <s v=""/>
    <n v="0"/>
    <n v="0"/>
    <n v="0"/>
    <s v="Yes"/>
    <s v="KMSS-MYT"/>
    <x v="0"/>
    <x v="0"/>
    <x v="0"/>
    <n v="25.403476999999999"/>
    <n v="97.373361000000003"/>
    <s v="MMR001CMP019"/>
    <x v="1"/>
    <m/>
    <n v="73"/>
    <n v="387"/>
  </r>
  <r>
    <x v="1"/>
    <x v="17"/>
    <x v="7"/>
    <s v="MHF,SIDA,LIFT"/>
    <x v="0"/>
    <x v="7"/>
    <x v="0"/>
    <x v="36"/>
    <n v="136"/>
    <n v="658"/>
    <s v="5/1/2022,1/1/2020"/>
    <s v="10/31/2022,12/31/2022"/>
    <m/>
    <n v="3"/>
    <m/>
    <m/>
    <s v="Yes"/>
    <n v="2"/>
    <n v="4"/>
    <n v="9"/>
    <m/>
    <n v="2"/>
    <n v="4"/>
    <n v="0"/>
    <m/>
    <m/>
    <m/>
    <m/>
    <m/>
    <m/>
    <m/>
    <m/>
    <m/>
    <n v="6"/>
    <m/>
    <m/>
    <m/>
    <m/>
    <m/>
    <m/>
    <m/>
    <m/>
    <n v="16"/>
    <m/>
    <m/>
    <n v="1"/>
    <m/>
    <m/>
    <m/>
    <n v="8"/>
    <x v="1"/>
    <x v="1"/>
    <m/>
    <m/>
    <m/>
    <m/>
    <m/>
    <m/>
    <n v="12"/>
    <m/>
    <m/>
    <n v="8"/>
    <m/>
    <n v="1"/>
    <m/>
    <n v="21"/>
    <n v="54"/>
    <m/>
    <m/>
    <m/>
    <s v="Provide hygiene 4 clean message to mother group session and adolescent sessions (Under managed by Nutrition Programme) "/>
    <m/>
    <m/>
    <m/>
    <m/>
    <m/>
    <m/>
    <m/>
    <m/>
    <m/>
    <m/>
    <m/>
    <s v="no test"/>
    <s v="no test"/>
    <s v="No Test"/>
    <n v="9"/>
    <n v="4"/>
    <n v="0"/>
    <n v="0"/>
    <n v="0"/>
    <n v="0"/>
    <n v="0"/>
    <n v="1"/>
    <n v="1"/>
    <n v="1"/>
    <n v="658"/>
    <n v="0"/>
    <n v="0"/>
    <n v="1"/>
    <n v="658"/>
    <n v="1.3160000000000001"/>
    <n v="0"/>
    <n v="0"/>
    <n v="0"/>
    <n v="1"/>
    <n v="15"/>
    <n v="0.45592705167173253"/>
    <n v="300"/>
    <n v="0"/>
    <n v="0"/>
    <n v="0"/>
    <n v="33"/>
    <n v="17"/>
    <n v="0.54407294832826747"/>
    <n v="6.25E-2"/>
    <n v="500"/>
    <n v="105"/>
    <n v="54"/>
    <n v="105"/>
    <n v="500"/>
    <n v="0.75987841945288759"/>
    <n v="0.24012158054711241"/>
    <n v="0.75987841945288759"/>
    <n v="0.61764705882352944"/>
    <n v="0.39705882352941174"/>
    <n v="12"/>
    <n v="136"/>
    <n v="0"/>
    <n v="658"/>
    <s v="No"/>
    <s v=""/>
    <n v="0"/>
    <n v="0"/>
    <n v="0"/>
    <n v="0"/>
    <s v="KBC-MYT"/>
    <x v="0"/>
    <x v="0"/>
    <x v="0"/>
    <n v="25.489669799804702"/>
    <n v="97.458778381347699"/>
    <s v="MMR001CMP265"/>
    <x v="1"/>
    <m/>
    <n v="136"/>
    <n v="658"/>
  </r>
  <r>
    <x v="1"/>
    <x v="7"/>
    <x v="7"/>
    <s v="UNICEF"/>
    <x v="0"/>
    <x v="2"/>
    <x v="0"/>
    <x v="37"/>
    <n v="1490"/>
    <n v="8486"/>
    <d v="2022-05-01T00:00:00"/>
    <d v="2022-10-31T00:00:00"/>
    <m/>
    <n v="3"/>
    <m/>
    <m/>
    <s v="Yes"/>
    <n v="12"/>
    <n v="13"/>
    <n v="3"/>
    <m/>
    <m/>
    <m/>
    <m/>
    <m/>
    <m/>
    <n v="3"/>
    <m/>
    <m/>
    <m/>
    <n v="3"/>
    <m/>
    <n v="12"/>
    <m/>
    <m/>
    <m/>
    <m/>
    <m/>
    <m/>
    <m/>
    <m/>
    <s v="Please request to KMSS (MKN) to get more information about Je Yang School /water source pipe line need to repair in every raining season because of  landslide."/>
    <n v="715"/>
    <m/>
    <m/>
    <n v="78"/>
    <n v="39"/>
    <m/>
    <n v="340"/>
    <m/>
    <x v="1"/>
    <x v="1"/>
    <m/>
    <n v="8"/>
    <m/>
    <m/>
    <m/>
    <m/>
    <n v="145"/>
    <n v="97"/>
    <m/>
    <n v="49"/>
    <n v="2"/>
    <n v="12"/>
    <n v="13"/>
    <n v="1597"/>
    <n v="2887"/>
    <s v="No"/>
    <m/>
    <m/>
    <s v="More Need hygiene kits "/>
    <n v="0.8"/>
    <n v="0.8"/>
    <n v="50"/>
    <n v="0.65"/>
    <m/>
    <m/>
    <m/>
    <m/>
    <m/>
    <m/>
    <m/>
    <s v="no test"/>
    <s v="no test"/>
    <s v="No Test"/>
    <n v="3"/>
    <n v="0"/>
    <n v="3"/>
    <n v="0"/>
    <n v="0"/>
    <n v="0"/>
    <n v="0"/>
    <n v="0.16497761018147536"/>
    <n v="0.11194909262314401"/>
    <n v="0.16497761018147536"/>
    <n v="1400"/>
    <n v="8.8380862597218945E-2"/>
    <n v="750"/>
    <n v="0.25335847277869428"/>
    <n v="2150"/>
    <n v="4.3"/>
    <n v="0.74664152722130572"/>
    <n v="6336"/>
    <n v="12.7"/>
    <n v="17"/>
    <n v="637"/>
    <n v="1"/>
    <n v="8486"/>
    <n v="0"/>
    <n v="0"/>
    <n v="0"/>
    <n v="424"/>
    <n v="0"/>
    <n v="0"/>
    <n v="0.10909090909090909"/>
    <n v="8486"/>
    <n v="7985"/>
    <n v="2887"/>
    <n v="7985"/>
    <n v="8486"/>
    <n v="1"/>
    <n v="0"/>
    <n v="1"/>
    <n v="1"/>
    <n v="1"/>
    <n v="48"/>
    <n v="960"/>
    <n v="0"/>
    <n v="4800"/>
    <s v="No"/>
    <n v="5.8920575064812632E-3"/>
    <n v="0"/>
    <n v="0"/>
    <n v="0"/>
    <s v="Yes"/>
    <s v="KMSS-MYT"/>
    <x v="0"/>
    <x v="0"/>
    <x v="1"/>
    <n v="24.688338999999999"/>
    <n v="97.568331999999998"/>
    <s v="MMR001CMP121"/>
    <x v="1"/>
    <m/>
    <n v="1592"/>
    <n v="8220"/>
  </r>
  <r>
    <x v="1"/>
    <x v="4"/>
    <x v="4"/>
    <s v="UNICEF"/>
    <x v="0"/>
    <x v="7"/>
    <x v="0"/>
    <x v="38"/>
    <n v="18"/>
    <n v="61"/>
    <d v="2021-08-06T00:00:00"/>
    <d v="2022-08-05T00:00:00"/>
    <n v="489"/>
    <n v="2"/>
    <m/>
    <m/>
    <s v="Yes"/>
    <n v="1"/>
    <n v="2"/>
    <n v="1"/>
    <m/>
    <m/>
    <n v="1"/>
    <m/>
    <m/>
    <m/>
    <m/>
    <m/>
    <m/>
    <m/>
    <m/>
    <m/>
    <m/>
    <m/>
    <m/>
    <m/>
    <m/>
    <m/>
    <n v="4"/>
    <m/>
    <m/>
    <m/>
    <n v="4"/>
    <m/>
    <m/>
    <n v="1"/>
    <m/>
    <m/>
    <m/>
    <m/>
    <x v="1"/>
    <x v="1"/>
    <m/>
    <m/>
    <m/>
    <m/>
    <m/>
    <m/>
    <n v="2"/>
    <m/>
    <m/>
    <n v="1"/>
    <n v="1"/>
    <m/>
    <n v="1"/>
    <n v="18"/>
    <n v="13.0845"/>
    <s v="Yes"/>
    <n v="100"/>
    <n v="0.5"/>
    <s v="Requested Sanitary pads "/>
    <m/>
    <m/>
    <m/>
    <n v="0.01"/>
    <m/>
    <m/>
    <m/>
    <m/>
    <m/>
    <m/>
    <m/>
    <s v="no test"/>
    <s v="no test"/>
    <s v="No Test"/>
    <n v="1"/>
    <n v="1"/>
    <n v="0"/>
    <n v="0"/>
    <n v="0"/>
    <n v="0"/>
    <n v="0"/>
    <n v="1"/>
    <n v="1"/>
    <n v="1"/>
    <n v="61"/>
    <n v="0"/>
    <n v="0"/>
    <n v="1"/>
    <n v="61"/>
    <n v="0.122"/>
    <n v="0"/>
    <n v="0"/>
    <n v="0.878"/>
    <n v="1"/>
    <n v="3"/>
    <n v="0.98360655737704916"/>
    <n v="60"/>
    <n v="0"/>
    <n v="0"/>
    <n v="0"/>
    <n v="3"/>
    <n v="0"/>
    <n v="1.6393442622950838E-2"/>
    <n v="0.25"/>
    <n v="61"/>
    <n v="61"/>
    <n v="13.0845"/>
    <n v="61"/>
    <n v="61"/>
    <n v="1"/>
    <n v="0"/>
    <n v="1"/>
    <n v="1"/>
    <n v="0.72691666666666666"/>
    <n v="2"/>
    <n v="18"/>
    <n v="4"/>
    <n v="61"/>
    <s v="Yes"/>
    <s v=""/>
    <n v="0"/>
    <n v="0"/>
    <n v="0"/>
    <n v="0"/>
    <s v="KMSS-MYT"/>
    <x v="0"/>
    <x v="0"/>
    <x v="0"/>
    <n v="25.244700000000002"/>
    <n v="97.2209"/>
    <s v="MMR001CMP256"/>
    <x v="1"/>
    <m/>
    <n v="18"/>
    <n v="60"/>
  </r>
  <r>
    <x v="1"/>
    <x v="1"/>
    <x v="1"/>
    <s v="ECHO 2739"/>
    <x v="0"/>
    <x v="2"/>
    <x v="1"/>
    <x v="39"/>
    <n v="1597"/>
    <n v="8250"/>
    <d v="2022-04-01T00:00:00"/>
    <d v="2022-11-30T00:00:00"/>
    <m/>
    <m/>
    <m/>
    <m/>
    <s v="Yes"/>
    <n v="1"/>
    <n v="5"/>
    <n v="1"/>
    <m/>
    <m/>
    <m/>
    <m/>
    <m/>
    <m/>
    <m/>
    <m/>
    <m/>
    <m/>
    <m/>
    <m/>
    <m/>
    <m/>
    <n v="1"/>
    <n v="0"/>
    <m/>
    <m/>
    <m/>
    <m/>
    <m/>
    <s v="finished chlorination for HDW"/>
    <n v="6"/>
    <m/>
    <m/>
    <m/>
    <m/>
    <n v="6"/>
    <n v="4"/>
    <m/>
    <x v="1"/>
    <x v="1"/>
    <m/>
    <m/>
    <m/>
    <m/>
    <m/>
    <m/>
    <m/>
    <m/>
    <m/>
    <n v="2"/>
    <m/>
    <m/>
    <m/>
    <m/>
    <m/>
    <m/>
    <m/>
    <m/>
    <m/>
    <m/>
    <m/>
    <m/>
    <n v="0"/>
    <m/>
    <n v="6"/>
    <n v="2"/>
    <m/>
    <m/>
    <m/>
    <m/>
    <n v="0"/>
    <s v="no test"/>
    <s v="Tested"/>
    <n v="1"/>
    <n v="0"/>
    <n v="0"/>
    <n v="0"/>
    <n v="0"/>
    <n v="0"/>
    <n v="0"/>
    <n v="4.8484848484848485E-2"/>
    <n v="3.0303030303030304E-2"/>
    <n v="4.8484848484848485E-2"/>
    <n v="400"/>
    <n v="0"/>
    <n v="0"/>
    <n v="4.8484848484848485E-2"/>
    <n v="400"/>
    <n v="0.8"/>
    <n v="0.95151515151515154"/>
    <n v="7850"/>
    <n v="16.2"/>
    <n v="17"/>
    <n v="6"/>
    <n v="1.4545454545454545E-2"/>
    <n v="120"/>
    <n v="120"/>
    <n v="0"/>
    <n v="0"/>
    <n v="413"/>
    <n v="407"/>
    <n v="0.98545454545454547"/>
    <n v="0"/>
    <n v="0"/>
    <n v="0"/>
    <n v="0"/>
    <n v="0"/>
    <n v="0"/>
    <n v="0"/>
    <n v="1"/>
    <n v="0"/>
    <n v="0"/>
    <n v="0"/>
    <n v="0"/>
    <n v="0"/>
    <n v="0"/>
    <n v="0"/>
    <s v="No"/>
    <s v=""/>
    <n v="8"/>
    <n v="0"/>
    <n v="0"/>
    <n v="0"/>
    <n v="0"/>
    <x v="0"/>
    <x v="0"/>
    <x v="0"/>
    <n v="0"/>
    <n v="0"/>
    <n v="0"/>
    <x v="1"/>
    <m/>
    <n v="0"/>
    <n v="0"/>
  </r>
  <r>
    <x v="1"/>
    <x v="4"/>
    <x v="4"/>
    <s v="UNICEF"/>
    <x v="0"/>
    <x v="1"/>
    <x v="0"/>
    <x v="40"/>
    <n v="14"/>
    <n v="52"/>
    <d v="2021-08-06T00:00:00"/>
    <d v="2022-08-05T00:00:00"/>
    <n v="155"/>
    <n v="3"/>
    <m/>
    <m/>
    <s v="Yes"/>
    <n v="3"/>
    <n v="2"/>
    <n v="1"/>
    <n v="1"/>
    <n v="1"/>
    <n v="1"/>
    <m/>
    <m/>
    <m/>
    <n v="1"/>
    <m/>
    <m/>
    <m/>
    <m/>
    <m/>
    <n v="10"/>
    <n v="7"/>
    <n v="2"/>
    <n v="0"/>
    <n v="8"/>
    <m/>
    <n v="2"/>
    <n v="1"/>
    <m/>
    <s v="NA"/>
    <n v="4"/>
    <m/>
    <m/>
    <n v="1"/>
    <m/>
    <m/>
    <m/>
    <m/>
    <x v="1"/>
    <x v="2"/>
    <n v="2"/>
    <m/>
    <m/>
    <m/>
    <m/>
    <m/>
    <n v="2"/>
    <m/>
    <m/>
    <n v="2"/>
    <m/>
    <m/>
    <n v="1"/>
    <n v="14"/>
    <n v="11.154000000000002"/>
    <s v="Yes"/>
    <n v="100"/>
    <m/>
    <s v="Every woman requested Sanitary pads"/>
    <n v="0.4"/>
    <m/>
    <m/>
    <n v="0.01"/>
    <m/>
    <m/>
    <m/>
    <m/>
    <m/>
    <m/>
    <m/>
    <n v="0"/>
    <n v="0"/>
    <s v="Tested"/>
    <n v="0"/>
    <n v="1"/>
    <n v="1"/>
    <n v="0"/>
    <n v="0"/>
    <n v="52"/>
    <n v="0"/>
    <n v="1"/>
    <n v="1"/>
    <n v="1"/>
    <n v="52"/>
    <n v="0"/>
    <n v="0"/>
    <n v="1"/>
    <n v="52"/>
    <n v="0.104"/>
    <n v="0"/>
    <n v="0"/>
    <n v="0.89600000000000002"/>
    <n v="1"/>
    <n v="3"/>
    <n v="1"/>
    <n v="52"/>
    <n v="0"/>
    <n v="0"/>
    <n v="0"/>
    <n v="3"/>
    <n v="0"/>
    <n v="0"/>
    <n v="0.25"/>
    <n v="52"/>
    <n v="52"/>
    <n v="11.154000000000002"/>
    <n v="52"/>
    <n v="52"/>
    <n v="1"/>
    <n v="0"/>
    <n v="1"/>
    <n v="1"/>
    <n v="0.79671428571428582"/>
    <n v="2"/>
    <n v="14"/>
    <n v="2"/>
    <n v="52"/>
    <s v="Yes"/>
    <s v=""/>
    <n v="0"/>
    <n v="52"/>
    <n v="0"/>
    <n v="0"/>
    <s v="KMSS-MYT"/>
    <x v="0"/>
    <x v="0"/>
    <x v="0"/>
    <n v="25.522594999999999"/>
    <n v="96.711534"/>
    <s v="MMR001CMP270"/>
    <x v="1"/>
    <m/>
    <n v="14"/>
    <n v="52"/>
  </r>
  <r>
    <x v="1"/>
    <x v="1"/>
    <x v="1"/>
    <s v="ECHO 2739"/>
    <x v="0"/>
    <x v="2"/>
    <x v="1"/>
    <x v="41"/>
    <n v="46"/>
    <n v="263"/>
    <d v="2022-04-01T00:00:00"/>
    <d v="2022-11-30T00:00:00"/>
    <m/>
    <m/>
    <m/>
    <m/>
    <s v="Yes"/>
    <n v="4"/>
    <n v="0"/>
    <n v="1"/>
    <m/>
    <m/>
    <n v="2"/>
    <m/>
    <m/>
    <m/>
    <m/>
    <m/>
    <m/>
    <m/>
    <m/>
    <m/>
    <m/>
    <m/>
    <n v="3"/>
    <n v="3"/>
    <m/>
    <m/>
    <m/>
    <m/>
    <m/>
    <m/>
    <n v="5"/>
    <m/>
    <m/>
    <m/>
    <m/>
    <n v="5"/>
    <n v="4"/>
    <m/>
    <x v="1"/>
    <x v="1"/>
    <m/>
    <m/>
    <m/>
    <m/>
    <m/>
    <m/>
    <n v="2"/>
    <m/>
    <m/>
    <n v="2"/>
    <m/>
    <m/>
    <m/>
    <m/>
    <m/>
    <m/>
    <m/>
    <m/>
    <m/>
    <m/>
    <m/>
    <m/>
    <n v="0"/>
    <m/>
    <n v="5"/>
    <n v="2"/>
    <m/>
    <m/>
    <m/>
    <m/>
    <n v="1"/>
    <s v="no test"/>
    <s v="Tested"/>
    <n v="1"/>
    <n v="2"/>
    <n v="0"/>
    <n v="0"/>
    <n v="0"/>
    <n v="0"/>
    <n v="0"/>
    <n v="1"/>
    <n v="1"/>
    <n v="1"/>
    <n v="263"/>
    <n v="0"/>
    <n v="0"/>
    <n v="1"/>
    <n v="263"/>
    <n v="0.52600000000000002"/>
    <n v="0"/>
    <n v="0"/>
    <n v="0.47399999999999998"/>
    <n v="1"/>
    <n v="5"/>
    <n v="0.38022813688212925"/>
    <n v="100"/>
    <n v="100"/>
    <n v="0"/>
    <n v="0"/>
    <n v="13"/>
    <n v="8"/>
    <n v="0.6197718631178708"/>
    <n v="0"/>
    <n v="0"/>
    <n v="0"/>
    <n v="0"/>
    <n v="0"/>
    <n v="0"/>
    <n v="0"/>
    <n v="1"/>
    <n v="0"/>
    <n v="0"/>
    <n v="0"/>
    <n v="2"/>
    <n v="40"/>
    <n v="0"/>
    <n v="200"/>
    <s v="No"/>
    <s v=""/>
    <n v="7"/>
    <n v="0"/>
    <n v="0"/>
    <n v="0"/>
    <n v="0"/>
    <x v="0"/>
    <x v="0"/>
    <x v="0"/>
    <n v="0"/>
    <n v="0"/>
    <n v="0"/>
    <x v="1"/>
    <m/>
    <n v="0"/>
    <n v="0"/>
  </r>
  <r>
    <x v="1"/>
    <x v="18"/>
    <x v="7"/>
    <s v="SIDA"/>
    <x v="0"/>
    <x v="8"/>
    <x v="0"/>
    <x v="42"/>
    <n v="13"/>
    <n v="76"/>
    <d v="2022-05-01T00:00:00"/>
    <d v="2022-10-31T00:00:00"/>
    <m/>
    <m/>
    <m/>
    <m/>
    <s v="Yes"/>
    <n v="2"/>
    <n v="3"/>
    <n v="1"/>
    <m/>
    <m/>
    <n v="1"/>
    <m/>
    <m/>
    <m/>
    <m/>
    <m/>
    <m/>
    <m/>
    <m/>
    <m/>
    <m/>
    <n v="2"/>
    <m/>
    <m/>
    <m/>
    <m/>
    <m/>
    <m/>
    <m/>
    <m/>
    <n v="6"/>
    <m/>
    <m/>
    <n v="6"/>
    <m/>
    <m/>
    <m/>
    <n v="6"/>
    <x v="1"/>
    <x v="3"/>
    <m/>
    <m/>
    <m/>
    <m/>
    <m/>
    <m/>
    <n v="4"/>
    <m/>
    <m/>
    <n v="2"/>
    <m/>
    <m/>
    <m/>
    <m/>
    <m/>
    <m/>
    <m/>
    <m/>
    <m/>
    <m/>
    <m/>
    <m/>
    <m/>
    <m/>
    <m/>
    <m/>
    <m/>
    <m/>
    <m/>
    <m/>
    <s v="no test"/>
    <s v="no test"/>
    <s v="No Test"/>
    <n v="1"/>
    <n v="1"/>
    <n v="0"/>
    <n v="0"/>
    <n v="0"/>
    <n v="0"/>
    <n v="0"/>
    <n v="1"/>
    <n v="1"/>
    <n v="1"/>
    <n v="76"/>
    <n v="0"/>
    <n v="0"/>
    <n v="1"/>
    <n v="76"/>
    <n v="0.152"/>
    <n v="0"/>
    <n v="0"/>
    <n v="0.84799999999999998"/>
    <n v="1"/>
    <n v="0"/>
    <n v="0"/>
    <n v="0"/>
    <n v="0"/>
    <n v="0"/>
    <n v="0"/>
    <n v="4"/>
    <n v="0"/>
    <n v="1"/>
    <n v="1"/>
    <n v="0"/>
    <n v="0"/>
    <n v="0"/>
    <n v="0"/>
    <n v="0"/>
    <n v="0"/>
    <n v="1"/>
    <n v="0"/>
    <n v="0"/>
    <n v="0"/>
    <n v="4"/>
    <n v="13"/>
    <n v="0"/>
    <n v="76"/>
    <s v="No"/>
    <s v=""/>
    <n v="0"/>
    <n v="0"/>
    <n v="0"/>
    <s v="Yes"/>
    <s v="KBC-MYT"/>
    <x v="0"/>
    <x v="0"/>
    <x v="0"/>
    <n v="25.305669999999999"/>
    <n v="96.922619999999995"/>
    <s v="MMR001CMP078"/>
    <x v="1"/>
    <m/>
    <n v="13"/>
    <n v="76"/>
  </r>
  <r>
    <x v="1"/>
    <x v="7"/>
    <x v="7"/>
    <s v="UNICEF"/>
    <x v="0"/>
    <x v="2"/>
    <x v="1"/>
    <x v="43"/>
    <n v="440"/>
    <n v="2199"/>
    <d v="2020-10-01T00:00:00"/>
    <d v="2022-04-30T00:00:00"/>
    <m/>
    <m/>
    <m/>
    <m/>
    <s v="Yes"/>
    <m/>
    <m/>
    <m/>
    <m/>
    <m/>
    <n v="1"/>
    <m/>
    <m/>
    <m/>
    <m/>
    <m/>
    <m/>
    <m/>
    <m/>
    <m/>
    <m/>
    <m/>
    <m/>
    <m/>
    <m/>
    <m/>
    <n v="20"/>
    <m/>
    <m/>
    <m/>
    <m/>
    <n v="0"/>
    <m/>
    <m/>
    <m/>
    <m/>
    <m/>
    <m/>
    <x v="0"/>
    <x v="0"/>
    <m/>
    <m/>
    <n v="51"/>
    <m/>
    <m/>
    <m/>
    <n v="3"/>
    <m/>
    <m/>
    <n v="2"/>
    <m/>
    <m/>
    <m/>
    <m/>
    <m/>
    <m/>
    <m/>
    <m/>
    <m/>
    <m/>
    <m/>
    <m/>
    <m/>
    <m/>
    <m/>
    <m/>
    <m/>
    <m/>
    <m/>
    <m/>
    <s v="no test"/>
    <s v="no test"/>
    <s v="No Test"/>
    <n v="0"/>
    <n v="1"/>
    <n v="0"/>
    <n v="0"/>
    <n v="0"/>
    <n v="0"/>
    <n v="0"/>
    <n v="0.22737608003638018"/>
    <n v="0.11368804001819009"/>
    <n v="0.22737608003638018"/>
    <n v="500"/>
    <n v="0"/>
    <n v="0"/>
    <n v="0.22737608003638018"/>
    <n v="500"/>
    <n v="1"/>
    <n v="0.77262391996361979"/>
    <n v="1699"/>
    <n v="3"/>
    <n v="4"/>
    <n v="0"/>
    <n v="0"/>
    <n v="0"/>
    <n v="0"/>
    <n v="0"/>
    <n v="0"/>
    <n v="110"/>
    <n v="110"/>
    <n v="1"/>
    <n v="0"/>
    <n v="0"/>
    <n v="0"/>
    <n v="0"/>
    <n v="0"/>
    <n v="0"/>
    <n v="0"/>
    <n v="1"/>
    <n v="0"/>
    <n v="0"/>
    <n v="0"/>
    <n v="3"/>
    <n v="60"/>
    <n v="0"/>
    <n v="300"/>
    <s v="No"/>
    <s v=""/>
    <n v="0"/>
    <n v="0"/>
    <n v="0"/>
    <n v="0"/>
    <n v="0"/>
    <x v="0"/>
    <x v="1"/>
    <x v="1"/>
    <n v="0"/>
    <n v="0"/>
    <n v="0"/>
    <x v="1"/>
    <m/>
    <n v="0"/>
    <n v="0"/>
  </r>
  <r>
    <x v="1"/>
    <x v="6"/>
    <x v="6"/>
    <s v="SI (ECHO)"/>
    <x v="0"/>
    <x v="5"/>
    <x v="0"/>
    <x v="44"/>
    <n v="542"/>
    <n v="2503"/>
    <d v="2022-04-01T00:00:00"/>
    <d v="2022-12-31T00:00:00"/>
    <m/>
    <m/>
    <m/>
    <m/>
    <s v="Yes"/>
    <m/>
    <m/>
    <n v="4"/>
    <m/>
    <m/>
    <m/>
    <m/>
    <m/>
    <m/>
    <m/>
    <m/>
    <m/>
    <m/>
    <n v="1"/>
    <m/>
    <m/>
    <n v="1"/>
    <m/>
    <m/>
    <m/>
    <m/>
    <n v="5"/>
    <n v="2"/>
    <m/>
    <m/>
    <n v="438"/>
    <m/>
    <m/>
    <m/>
    <m/>
    <m/>
    <m/>
    <n v="266"/>
    <x v="2"/>
    <x v="1"/>
    <n v="6"/>
    <n v="274"/>
    <n v="62"/>
    <n v="2"/>
    <m/>
    <m/>
    <n v="7"/>
    <m/>
    <n v="266"/>
    <n v="4"/>
    <m/>
    <m/>
    <n v="7"/>
    <m/>
    <m/>
    <m/>
    <m/>
    <m/>
    <m/>
    <m/>
    <m/>
    <m/>
    <m/>
    <m/>
    <m/>
    <m/>
    <m/>
    <m/>
    <m/>
    <m/>
    <s v="no test"/>
    <s v="no test"/>
    <s v="No Test"/>
    <n v="4"/>
    <n v="0"/>
    <n v="0"/>
    <n v="0"/>
    <n v="0"/>
    <n v="1000"/>
    <n v="0"/>
    <n v="0.63923292049540548"/>
    <n v="0.39952057530962842"/>
    <n v="0.63923292049540548"/>
    <n v="1600"/>
    <n v="9.9880143827407106E-2"/>
    <n v="249.99999999999997"/>
    <n v="0.73911306432281254"/>
    <n v="1850"/>
    <n v="3.7"/>
    <n v="0.26088693567718746"/>
    <n v="653.00000000000023"/>
    <n v="1.2999999999999998"/>
    <n v="5"/>
    <n v="438"/>
    <n v="1"/>
    <n v="2503"/>
    <n v="0"/>
    <n v="0"/>
    <n v="100"/>
    <n v="125"/>
    <n v="0"/>
    <n v="0"/>
    <n v="0"/>
    <n v="2503"/>
    <n v="0"/>
    <n v="0"/>
    <n v="0"/>
    <n v="2503"/>
    <n v="1"/>
    <n v="0"/>
    <n v="1"/>
    <n v="0"/>
    <n v="0"/>
    <n v="7"/>
    <n v="140"/>
    <n v="0"/>
    <n v="700"/>
    <s v="No"/>
    <s v=""/>
    <n v="0"/>
    <n v="1000"/>
    <n v="100"/>
    <s v="Yes"/>
    <s v="KMSS-BMO"/>
    <x v="0"/>
    <x v="0"/>
    <x v="1"/>
    <n v="24.056132999999999"/>
    <n v="97.625617000000005"/>
    <s v="MMR001CMP128"/>
    <x v="1"/>
    <m/>
    <n v="542"/>
    <n v="2503"/>
  </r>
  <r>
    <x v="1"/>
    <x v="2"/>
    <x v="2"/>
    <s v="MHF"/>
    <x v="0"/>
    <x v="1"/>
    <x v="0"/>
    <x v="46"/>
    <n v="124"/>
    <n v="633"/>
    <d v="2022-01-01T00:00:00"/>
    <d v="2022-12-31T00:00:00"/>
    <n v="152"/>
    <n v="1"/>
    <m/>
    <m/>
    <s v="Yes"/>
    <n v="4"/>
    <n v="6"/>
    <n v="1"/>
    <m/>
    <m/>
    <m/>
    <m/>
    <m/>
    <m/>
    <n v="1"/>
    <m/>
    <n v="1"/>
    <m/>
    <n v="1"/>
    <m/>
    <n v="1"/>
    <m/>
    <m/>
    <m/>
    <m/>
    <m/>
    <n v="2"/>
    <m/>
    <m/>
    <m/>
    <n v="29"/>
    <m/>
    <m/>
    <m/>
    <n v="10"/>
    <n v="7"/>
    <m/>
    <n v="0"/>
    <x v="1"/>
    <x v="1"/>
    <n v="1"/>
    <n v="0"/>
    <m/>
    <m/>
    <n v="7"/>
    <s v="ရေနုတ်မြောင်း ပြုပြင်ရန်"/>
    <n v="7"/>
    <m/>
    <m/>
    <n v="4"/>
    <m/>
    <m/>
    <n v="1"/>
    <n v="124"/>
    <m/>
    <m/>
    <m/>
    <m/>
    <s v="Hygiene Kits and capacity building training"/>
    <n v="0.5"/>
    <n v="0.9"/>
    <n v="40"/>
    <n v="0.3"/>
    <m/>
    <m/>
    <m/>
    <m/>
    <m/>
    <m/>
    <m/>
    <s v="no test"/>
    <s v="no test"/>
    <s v="No Test"/>
    <n v="1"/>
    <n v="0"/>
    <n v="1"/>
    <n v="0"/>
    <n v="0"/>
    <n v="0"/>
    <n v="0"/>
    <n v="0.73723012111637709"/>
    <n v="0.50026329647182732"/>
    <n v="0.73723012111637709"/>
    <n v="466.66666666666669"/>
    <n v="0.39494470774091628"/>
    <n v="250"/>
    <n v="1"/>
    <n v="633"/>
    <n v="1.266"/>
    <n v="0"/>
    <n v="0"/>
    <n v="0"/>
    <n v="1"/>
    <n v="29"/>
    <n v="0.95892575039494465"/>
    <n v="607"/>
    <n v="140"/>
    <n v="0"/>
    <n v="0"/>
    <n v="32"/>
    <n v="3"/>
    <n v="4.1074249605055346E-2"/>
    <n v="0"/>
    <n v="500"/>
    <n v="633"/>
    <n v="0"/>
    <n v="633"/>
    <n v="633"/>
    <n v="1"/>
    <n v="0"/>
    <n v="0.78988941548183256"/>
    <n v="1"/>
    <n v="0"/>
    <n v="7"/>
    <n v="124"/>
    <n v="0"/>
    <n v="633"/>
    <s v="Yes"/>
    <n v="6.3191153238546599E-2"/>
    <n v="0"/>
    <n v="0"/>
    <n v="0"/>
    <s v="Yes"/>
    <s v="KBC-MYT"/>
    <x v="0"/>
    <x v="0"/>
    <x v="0"/>
    <n v="25.664000000000001"/>
    <n v="96.34"/>
    <s v="MMR001CMP250"/>
    <x v="1"/>
    <m/>
    <n v="124"/>
    <n v="634"/>
  </r>
  <r>
    <x v="1"/>
    <x v="16"/>
    <x v="7"/>
    <s v="MHF,SIDA"/>
    <x v="0"/>
    <x v="7"/>
    <x v="0"/>
    <x v="47"/>
    <n v="142"/>
    <n v="718"/>
    <d v="2022-05-01T00:00:00"/>
    <d v="2022-10-31T00:00:00"/>
    <m/>
    <n v="1"/>
    <m/>
    <m/>
    <s v="Yes"/>
    <n v="2"/>
    <n v="3"/>
    <n v="1"/>
    <m/>
    <n v="1"/>
    <n v="3"/>
    <n v="0"/>
    <m/>
    <m/>
    <m/>
    <m/>
    <m/>
    <m/>
    <m/>
    <m/>
    <m/>
    <n v="2"/>
    <m/>
    <m/>
    <m/>
    <m/>
    <m/>
    <m/>
    <m/>
    <m/>
    <n v="8"/>
    <m/>
    <m/>
    <m/>
    <m/>
    <m/>
    <m/>
    <n v="8"/>
    <x v="1"/>
    <x v="3"/>
    <m/>
    <m/>
    <m/>
    <m/>
    <m/>
    <m/>
    <n v="3"/>
    <m/>
    <m/>
    <n v="2"/>
    <m/>
    <m/>
    <m/>
    <m/>
    <m/>
    <m/>
    <m/>
    <m/>
    <m/>
    <m/>
    <m/>
    <m/>
    <m/>
    <m/>
    <m/>
    <m/>
    <m/>
    <m/>
    <m/>
    <m/>
    <s v="no test"/>
    <s v="no test"/>
    <s v="No Test"/>
    <n v="1"/>
    <n v="3"/>
    <n v="0"/>
    <n v="0"/>
    <n v="0"/>
    <n v="0"/>
    <n v="0"/>
    <n v="1"/>
    <n v="1"/>
    <n v="1"/>
    <n v="718"/>
    <n v="0"/>
    <n v="0"/>
    <n v="1"/>
    <n v="718"/>
    <n v="1.4359999999999999"/>
    <n v="0"/>
    <n v="0"/>
    <n v="0"/>
    <n v="1"/>
    <n v="8"/>
    <n v="0.22284122562674094"/>
    <n v="160"/>
    <n v="0"/>
    <n v="0"/>
    <n v="0"/>
    <n v="36"/>
    <n v="28"/>
    <n v="0.77715877437325909"/>
    <n v="0"/>
    <n v="0"/>
    <n v="0"/>
    <n v="0"/>
    <n v="0"/>
    <n v="0"/>
    <n v="0"/>
    <n v="1"/>
    <n v="0"/>
    <n v="0"/>
    <n v="0"/>
    <n v="3"/>
    <n v="60"/>
    <n v="0"/>
    <n v="300"/>
    <s v="No"/>
    <s v=""/>
    <n v="0"/>
    <n v="0"/>
    <n v="0"/>
    <s v="Yes"/>
    <s v="KBC-MYT"/>
    <x v="0"/>
    <x v="0"/>
    <x v="0"/>
    <n v="25.362420757575801"/>
    <n v="97.409035000000003"/>
    <s v="MMR001CMP015"/>
    <x v="1"/>
    <m/>
    <n v="144"/>
    <n v="723"/>
  </r>
  <r>
    <x v="1"/>
    <x v="16"/>
    <x v="7"/>
    <s v="MHF,SIDA"/>
    <x v="0"/>
    <x v="7"/>
    <x v="0"/>
    <x v="48"/>
    <n v="136"/>
    <n v="697"/>
    <d v="2022-05-01T00:00:00"/>
    <d v="2022-10-31T00:00:00"/>
    <m/>
    <n v="1"/>
    <m/>
    <m/>
    <s v="Yes"/>
    <n v="2"/>
    <n v="3"/>
    <n v="3"/>
    <m/>
    <m/>
    <n v="3"/>
    <m/>
    <m/>
    <m/>
    <m/>
    <m/>
    <m/>
    <m/>
    <m/>
    <m/>
    <m/>
    <n v="2"/>
    <m/>
    <m/>
    <m/>
    <m/>
    <m/>
    <m/>
    <m/>
    <m/>
    <n v="32"/>
    <m/>
    <m/>
    <m/>
    <m/>
    <m/>
    <m/>
    <n v="32"/>
    <x v="1"/>
    <x v="1"/>
    <m/>
    <m/>
    <m/>
    <m/>
    <m/>
    <m/>
    <n v="3"/>
    <m/>
    <m/>
    <n v="2"/>
    <m/>
    <m/>
    <m/>
    <m/>
    <m/>
    <m/>
    <m/>
    <m/>
    <m/>
    <m/>
    <m/>
    <m/>
    <m/>
    <m/>
    <m/>
    <m/>
    <m/>
    <m/>
    <m/>
    <m/>
    <s v="no test"/>
    <s v="no test"/>
    <s v="No Test"/>
    <n v="3"/>
    <n v="3"/>
    <n v="0"/>
    <n v="0"/>
    <n v="0"/>
    <n v="0"/>
    <n v="0"/>
    <n v="1"/>
    <n v="1"/>
    <n v="1"/>
    <n v="697"/>
    <n v="0"/>
    <n v="0"/>
    <n v="1"/>
    <n v="697"/>
    <n v="1.3939999999999999"/>
    <n v="0"/>
    <n v="0"/>
    <n v="0"/>
    <n v="1"/>
    <n v="32"/>
    <n v="0.9182209469153515"/>
    <n v="640"/>
    <n v="0"/>
    <n v="0"/>
    <n v="0"/>
    <n v="35"/>
    <n v="3"/>
    <n v="8.1779053084648501E-2"/>
    <n v="0"/>
    <n v="0"/>
    <n v="0"/>
    <n v="0"/>
    <n v="0"/>
    <n v="0"/>
    <n v="0"/>
    <n v="1"/>
    <n v="0"/>
    <n v="0"/>
    <n v="0"/>
    <n v="3"/>
    <n v="60"/>
    <n v="0"/>
    <n v="300"/>
    <s v="No"/>
    <s v=""/>
    <n v="0"/>
    <n v="0"/>
    <n v="0"/>
    <s v="Yes"/>
    <s v="KBC-MYT"/>
    <x v="0"/>
    <x v="0"/>
    <x v="0"/>
    <n v="25.3510167948718"/>
    <n v="97.403402307692303"/>
    <s v="MMR001CMP014"/>
    <x v="1"/>
    <m/>
    <n v="136"/>
    <n v="697"/>
  </r>
  <r>
    <x v="1"/>
    <x v="2"/>
    <x v="2"/>
    <s v="MHF"/>
    <x v="0"/>
    <x v="6"/>
    <x v="0"/>
    <x v="49"/>
    <n v="201"/>
    <n v="884"/>
    <d v="2022-01-01T00:00:00"/>
    <d v="2022-12-31T00:00:00"/>
    <n v="410"/>
    <n v="1"/>
    <m/>
    <m/>
    <s v="Yes"/>
    <n v="4"/>
    <n v="2"/>
    <n v="1"/>
    <m/>
    <m/>
    <m/>
    <m/>
    <m/>
    <m/>
    <n v="3"/>
    <m/>
    <n v="2"/>
    <m/>
    <m/>
    <m/>
    <n v="10"/>
    <m/>
    <m/>
    <m/>
    <m/>
    <m/>
    <n v="3"/>
    <n v="3"/>
    <m/>
    <m/>
    <n v="50"/>
    <n v="8"/>
    <s v="MRC"/>
    <n v="6"/>
    <n v="1"/>
    <n v="5"/>
    <n v="37.854120000000002"/>
    <n v="50"/>
    <x v="1"/>
    <x v="1"/>
    <m/>
    <m/>
    <n v="4"/>
    <m/>
    <m/>
    <m/>
    <n v="8"/>
    <n v="2"/>
    <m/>
    <n v="3"/>
    <m/>
    <n v="1"/>
    <n v="1"/>
    <n v="50"/>
    <n v="295"/>
    <m/>
    <n v="5"/>
    <n v="0.5"/>
    <m/>
    <n v="0.8"/>
    <n v="0.8"/>
    <n v="20"/>
    <n v="0.6"/>
    <m/>
    <m/>
    <m/>
    <m/>
    <m/>
    <m/>
    <m/>
    <s v="no test"/>
    <s v="no test"/>
    <s v="No Test"/>
    <n v="1"/>
    <n v="0"/>
    <n v="3"/>
    <n v="0"/>
    <n v="0"/>
    <n v="884"/>
    <n v="0"/>
    <n v="0.67873303167420818"/>
    <n v="0.50904977375565608"/>
    <n v="0.67873303167420818"/>
    <n v="600"/>
    <n v="0"/>
    <n v="0"/>
    <n v="0.67873303167420818"/>
    <n v="600"/>
    <n v="1.2"/>
    <n v="0.32126696832579182"/>
    <n v="284"/>
    <n v="0.8"/>
    <n v="2"/>
    <n v="52"/>
    <n v="1"/>
    <n v="884"/>
    <n v="100"/>
    <n v="200"/>
    <n v="0"/>
    <n v="44"/>
    <n v="0"/>
    <n v="0"/>
    <n v="0.10344827586206896"/>
    <n v="884"/>
    <n v="250"/>
    <n v="295"/>
    <n v="295"/>
    <n v="884"/>
    <n v="1"/>
    <n v="0"/>
    <n v="1"/>
    <n v="0.99502487562189057"/>
    <n v="1"/>
    <n v="6"/>
    <n v="120"/>
    <n v="0"/>
    <n v="600"/>
    <s v="Yes"/>
    <n v="2.2624434389140271E-2"/>
    <n v="0"/>
    <n v="884"/>
    <n v="0"/>
    <s v="Yes"/>
    <s v="Shalom"/>
    <x v="0"/>
    <x v="0"/>
    <x v="0"/>
    <n v="25.887339999999998"/>
    <n v="98.129990000000006"/>
    <s v="MMR001CMP195"/>
    <x v="1"/>
    <m/>
    <n v="195"/>
    <n v="854"/>
  </r>
  <r>
    <x v="1"/>
    <x v="0"/>
    <x v="0"/>
    <m/>
    <x v="0"/>
    <x v="3"/>
    <x v="0"/>
    <x v="50"/>
    <n v="45"/>
    <n v="247"/>
    <m/>
    <m/>
    <m/>
    <m/>
    <m/>
    <m/>
    <m/>
    <m/>
    <m/>
    <m/>
    <m/>
    <m/>
    <m/>
    <m/>
    <m/>
    <m/>
    <m/>
    <m/>
    <m/>
    <m/>
    <m/>
    <m/>
    <m/>
    <m/>
    <m/>
    <m/>
    <m/>
    <m/>
    <m/>
    <m/>
    <m/>
    <m/>
    <m/>
    <m/>
    <m/>
    <m/>
    <m/>
    <m/>
    <m/>
    <m/>
    <x v="0"/>
    <x v="0"/>
    <m/>
    <m/>
    <m/>
    <m/>
    <m/>
    <m/>
    <n v="3"/>
    <m/>
    <m/>
    <n v="2"/>
    <m/>
    <m/>
    <m/>
    <m/>
    <m/>
    <m/>
    <m/>
    <m/>
    <m/>
    <m/>
    <m/>
    <m/>
    <m/>
    <m/>
    <m/>
    <m/>
    <m/>
    <m/>
    <m/>
    <m/>
    <s v="no test"/>
    <s v="no test"/>
    <s v="No Test"/>
    <n v="0"/>
    <n v="0"/>
    <n v="0"/>
    <n v="0"/>
    <n v="0"/>
    <n v="0"/>
    <n v="0"/>
    <n v="0"/>
    <n v="0"/>
    <n v="0"/>
    <n v="0"/>
    <n v="0"/>
    <n v="0"/>
    <n v="0"/>
    <n v="0"/>
    <n v="0"/>
    <n v="1"/>
    <n v="247"/>
    <n v="1"/>
    <n v="1"/>
    <n v="0"/>
    <n v="0"/>
    <n v="0"/>
    <n v="0"/>
    <n v="0"/>
    <n v="0"/>
    <n v="12"/>
    <n v="12"/>
    <n v="1"/>
    <n v="0"/>
    <n v="0"/>
    <n v="0"/>
    <n v="0"/>
    <n v="0"/>
    <n v="0"/>
    <n v="0"/>
    <n v="1"/>
    <n v="0"/>
    <n v="0"/>
    <n v="0"/>
    <n v="3"/>
    <n v="45"/>
    <n v="0"/>
    <n v="247"/>
    <s v="No"/>
    <s v=""/>
    <n v="0"/>
    <n v="0"/>
    <n v="0"/>
    <n v="0"/>
    <s v="Uncovered  "/>
    <x v="0"/>
    <x v="3"/>
    <x v="0"/>
    <n v="0"/>
    <n v="0"/>
    <s v="MMR001CMP292"/>
    <x v="0"/>
    <m/>
    <n v="87"/>
    <n v="478"/>
  </r>
  <r>
    <x v="1"/>
    <x v="2"/>
    <x v="2"/>
    <s v="MHF"/>
    <x v="0"/>
    <x v="1"/>
    <x v="0"/>
    <x v="51"/>
    <n v="19"/>
    <n v="103"/>
    <d v="2022-01-01T00:00:00"/>
    <d v="2022-12-31T00:00:00"/>
    <n v="49"/>
    <n v="1"/>
    <m/>
    <m/>
    <s v="Yes"/>
    <n v="4"/>
    <n v="3"/>
    <m/>
    <m/>
    <m/>
    <m/>
    <m/>
    <m/>
    <m/>
    <m/>
    <m/>
    <m/>
    <m/>
    <m/>
    <m/>
    <m/>
    <m/>
    <m/>
    <m/>
    <m/>
    <m/>
    <m/>
    <m/>
    <m/>
    <s v="ရေပိုက်လိုအပ်သည်"/>
    <n v="8"/>
    <m/>
    <m/>
    <m/>
    <m/>
    <n v="1"/>
    <m/>
    <m/>
    <x v="1"/>
    <x v="1"/>
    <m/>
    <m/>
    <m/>
    <m/>
    <m/>
    <m/>
    <n v="2"/>
    <m/>
    <m/>
    <n v="4"/>
    <m/>
    <m/>
    <m/>
    <n v="19"/>
    <m/>
    <m/>
    <n v="5"/>
    <n v="0.99"/>
    <s v="Hygiene Kits"/>
    <n v="1"/>
    <n v="0.99"/>
    <m/>
    <n v="0.8"/>
    <m/>
    <m/>
    <m/>
    <m/>
    <m/>
    <m/>
    <m/>
    <s v="no test"/>
    <s v="no test"/>
    <s v="No Test"/>
    <n v="0"/>
    <n v="0"/>
    <n v="0"/>
    <n v="0"/>
    <n v="0"/>
    <n v="0"/>
    <n v="0"/>
    <n v="0"/>
    <n v="0"/>
    <n v="0"/>
    <n v="0"/>
    <n v="0"/>
    <n v="0"/>
    <n v="0"/>
    <n v="0"/>
    <n v="0"/>
    <n v="1"/>
    <n v="103"/>
    <n v="1"/>
    <n v="1"/>
    <n v="8"/>
    <n v="1"/>
    <n v="103"/>
    <n v="20"/>
    <n v="0"/>
    <n v="0"/>
    <n v="5"/>
    <n v="0"/>
    <n v="0"/>
    <n v="0"/>
    <n v="0"/>
    <n v="103"/>
    <n v="0"/>
    <n v="103"/>
    <n v="103"/>
    <n v="1"/>
    <n v="0"/>
    <n v="0"/>
    <n v="1"/>
    <n v="0"/>
    <n v="2"/>
    <n v="19"/>
    <n v="0"/>
    <n v="103"/>
    <s v="Yes"/>
    <s v=""/>
    <n v="0"/>
    <n v="0"/>
    <n v="0"/>
    <s v="Yes"/>
    <s v="Shalom"/>
    <x v="0"/>
    <x v="0"/>
    <x v="0"/>
    <n v="25.566510000000001"/>
    <n v="96.269199999999998"/>
    <s v="MMR001CMP181"/>
    <x v="1"/>
    <m/>
    <n v="19"/>
    <n v="100"/>
  </r>
  <r>
    <x v="1"/>
    <x v="2"/>
    <x v="2"/>
    <s v="MHF"/>
    <x v="0"/>
    <x v="1"/>
    <x v="0"/>
    <x v="52"/>
    <n v="10"/>
    <n v="54"/>
    <d v="2022-01-01T00:00:00"/>
    <d v="2022-12-31T00:00:00"/>
    <m/>
    <n v="1"/>
    <m/>
    <m/>
    <s v="Yes"/>
    <n v="3"/>
    <n v="4"/>
    <n v="1"/>
    <m/>
    <m/>
    <n v="1"/>
    <m/>
    <m/>
    <m/>
    <m/>
    <m/>
    <m/>
    <m/>
    <n v="1"/>
    <n v="1000"/>
    <n v="1"/>
    <m/>
    <m/>
    <m/>
    <m/>
    <m/>
    <m/>
    <m/>
    <m/>
    <s v="ရေအရည်သွေးစစ်ဆေးမူပြုလုပ်စေချင်။ "/>
    <n v="2"/>
    <n v="2"/>
    <m/>
    <m/>
    <m/>
    <m/>
    <m/>
    <m/>
    <x v="1"/>
    <x v="1"/>
    <m/>
    <m/>
    <m/>
    <m/>
    <m/>
    <m/>
    <n v="3"/>
    <m/>
    <m/>
    <n v="2"/>
    <n v="2"/>
    <m/>
    <n v="1"/>
    <n v="10"/>
    <n v="14"/>
    <m/>
    <m/>
    <n v="0.2"/>
    <s v="soap "/>
    <n v="0.99"/>
    <n v="0.99"/>
    <m/>
    <n v="0.3"/>
    <m/>
    <m/>
    <m/>
    <m/>
    <m/>
    <m/>
    <m/>
    <s v="no test"/>
    <s v="no test"/>
    <s v="No Test"/>
    <n v="1"/>
    <n v="1"/>
    <n v="0"/>
    <n v="0"/>
    <n v="0.7407407407407407"/>
    <n v="0"/>
    <n v="0"/>
    <n v="1"/>
    <n v="1"/>
    <n v="1"/>
    <n v="54"/>
    <n v="1"/>
    <n v="54"/>
    <n v="1"/>
    <n v="54"/>
    <n v="0.108"/>
    <n v="0"/>
    <n v="0"/>
    <n v="0.89200000000000002"/>
    <n v="1"/>
    <n v="4"/>
    <n v="1"/>
    <n v="54"/>
    <n v="0"/>
    <n v="0"/>
    <n v="0"/>
    <n v="3"/>
    <n v="0"/>
    <n v="0"/>
    <n v="0"/>
    <n v="54"/>
    <n v="54"/>
    <n v="14"/>
    <n v="54"/>
    <n v="54"/>
    <n v="1"/>
    <n v="0"/>
    <n v="1"/>
    <n v="1"/>
    <n v="1"/>
    <n v="3"/>
    <n v="10"/>
    <n v="0"/>
    <n v="54"/>
    <s v="No"/>
    <s v=""/>
    <n v="0"/>
    <n v="0"/>
    <n v="0"/>
    <s v="Yes"/>
    <s v="Shalom"/>
    <x v="0"/>
    <x v="0"/>
    <x v="0"/>
    <n v="25.61842"/>
    <n v="96.316400000000002"/>
    <s v="MMR001CMP167"/>
    <x v="1"/>
    <m/>
    <n v="10"/>
    <n v="54"/>
  </r>
  <r>
    <x v="1"/>
    <x v="1"/>
    <x v="1"/>
    <s v="ECHO 2739"/>
    <x v="0"/>
    <x v="0"/>
    <x v="0"/>
    <x v="53"/>
    <n v="122"/>
    <n v="689"/>
    <d v="2022-04-01T00:00:00"/>
    <d v="2022-11-30T00:00:00"/>
    <m/>
    <m/>
    <m/>
    <m/>
    <s v="Yes"/>
    <n v="1"/>
    <n v="4"/>
    <n v="3"/>
    <m/>
    <m/>
    <n v="2"/>
    <m/>
    <m/>
    <m/>
    <m/>
    <m/>
    <m/>
    <m/>
    <m/>
    <m/>
    <m/>
    <m/>
    <n v="5"/>
    <n v="5"/>
    <m/>
    <m/>
    <m/>
    <m/>
    <m/>
    <m/>
    <n v="23"/>
    <m/>
    <m/>
    <m/>
    <m/>
    <n v="23"/>
    <n v="45"/>
    <m/>
    <x v="1"/>
    <x v="1"/>
    <m/>
    <m/>
    <m/>
    <m/>
    <m/>
    <m/>
    <n v="6"/>
    <m/>
    <m/>
    <n v="7"/>
    <m/>
    <m/>
    <m/>
    <m/>
    <m/>
    <m/>
    <m/>
    <m/>
    <m/>
    <m/>
    <m/>
    <m/>
    <n v="0"/>
    <m/>
    <n v="23"/>
    <n v="7"/>
    <m/>
    <m/>
    <m/>
    <m/>
    <n v="1"/>
    <s v="no test"/>
    <s v="Tested"/>
    <n v="3"/>
    <n v="2"/>
    <n v="0"/>
    <n v="0"/>
    <n v="0"/>
    <n v="0"/>
    <n v="0"/>
    <n v="1"/>
    <n v="1"/>
    <n v="1"/>
    <n v="689"/>
    <n v="0"/>
    <n v="0"/>
    <n v="1"/>
    <n v="689"/>
    <n v="1.3779999999999999"/>
    <n v="0"/>
    <n v="0"/>
    <n v="0"/>
    <n v="1"/>
    <n v="23"/>
    <n v="0.66763425253991293"/>
    <n v="460"/>
    <n v="460"/>
    <n v="0"/>
    <n v="0"/>
    <n v="34"/>
    <n v="11"/>
    <n v="0.33236574746008707"/>
    <n v="0"/>
    <n v="0"/>
    <n v="0"/>
    <n v="0"/>
    <n v="0"/>
    <n v="0"/>
    <n v="0"/>
    <n v="1"/>
    <n v="0"/>
    <n v="0"/>
    <n v="0"/>
    <n v="6"/>
    <n v="120"/>
    <n v="0"/>
    <n v="600"/>
    <s v="No"/>
    <s v=""/>
    <n v="30"/>
    <n v="0"/>
    <n v="0"/>
    <s v="Yes"/>
    <s v="Shalom"/>
    <x v="0"/>
    <x v="0"/>
    <x v="0"/>
    <n v="24.2631743589744"/>
    <n v="97.240183461538507"/>
    <s v="MMR001CMP049"/>
    <x v="1"/>
    <m/>
    <n v="134"/>
    <n v="767"/>
  </r>
  <r>
    <x v="1"/>
    <x v="0"/>
    <x v="0"/>
    <m/>
    <x v="0"/>
    <x v="3"/>
    <x v="0"/>
    <x v="54"/>
    <n v="40"/>
    <n v="220"/>
    <m/>
    <m/>
    <m/>
    <m/>
    <m/>
    <m/>
    <m/>
    <m/>
    <m/>
    <m/>
    <m/>
    <m/>
    <m/>
    <m/>
    <m/>
    <m/>
    <m/>
    <m/>
    <m/>
    <m/>
    <m/>
    <m/>
    <m/>
    <m/>
    <m/>
    <m/>
    <m/>
    <m/>
    <m/>
    <m/>
    <m/>
    <m/>
    <m/>
    <m/>
    <m/>
    <m/>
    <m/>
    <m/>
    <m/>
    <m/>
    <x v="0"/>
    <x v="0"/>
    <m/>
    <m/>
    <m/>
    <m/>
    <m/>
    <m/>
    <n v="3"/>
    <m/>
    <m/>
    <n v="2"/>
    <m/>
    <m/>
    <m/>
    <m/>
    <m/>
    <m/>
    <m/>
    <m/>
    <m/>
    <m/>
    <m/>
    <m/>
    <m/>
    <m/>
    <m/>
    <m/>
    <m/>
    <m/>
    <m/>
    <m/>
    <s v="no test"/>
    <s v="no test"/>
    <s v="No Test"/>
    <n v="0"/>
    <n v="0"/>
    <n v="0"/>
    <n v="0"/>
    <n v="0"/>
    <n v="0"/>
    <n v="0"/>
    <n v="0"/>
    <n v="0"/>
    <n v="0"/>
    <n v="0"/>
    <n v="0"/>
    <n v="0"/>
    <n v="0"/>
    <n v="0"/>
    <n v="0"/>
    <n v="1"/>
    <n v="220"/>
    <n v="1"/>
    <n v="1"/>
    <n v="0"/>
    <n v="0"/>
    <n v="0"/>
    <n v="0"/>
    <n v="0"/>
    <n v="0"/>
    <n v="11"/>
    <n v="11"/>
    <n v="1"/>
    <n v="0"/>
    <n v="0"/>
    <n v="0"/>
    <n v="0"/>
    <n v="0"/>
    <n v="0"/>
    <n v="0"/>
    <n v="1"/>
    <n v="0"/>
    <n v="0"/>
    <n v="0"/>
    <n v="3"/>
    <n v="40"/>
    <n v="0"/>
    <n v="220"/>
    <s v="No"/>
    <s v=""/>
    <n v="0"/>
    <n v="0"/>
    <n v="0"/>
    <n v="0"/>
    <s v="Uncovered  "/>
    <x v="0"/>
    <x v="3"/>
    <x v="0"/>
    <n v="25.210599999999999"/>
    <n v="97.264700000000005"/>
    <s v="MMR001CMP289"/>
    <x v="0"/>
    <m/>
    <n v="40"/>
    <n v="220"/>
  </r>
  <r>
    <x v="1"/>
    <x v="1"/>
    <x v="1"/>
    <s v="ECHO 2739"/>
    <x v="0"/>
    <x v="2"/>
    <x v="0"/>
    <x v="55"/>
    <n v="39"/>
    <n v="239"/>
    <d v="2022-04-01T00:00:00"/>
    <d v="2022-11-30T00:00:00"/>
    <m/>
    <m/>
    <m/>
    <m/>
    <s v="Yes"/>
    <n v="3"/>
    <n v="6"/>
    <n v="1"/>
    <m/>
    <m/>
    <m/>
    <m/>
    <m/>
    <m/>
    <n v="1"/>
    <m/>
    <m/>
    <m/>
    <m/>
    <m/>
    <m/>
    <m/>
    <n v="1"/>
    <n v="1"/>
    <n v="6"/>
    <n v="6"/>
    <m/>
    <m/>
    <m/>
    <m/>
    <n v="9"/>
    <m/>
    <m/>
    <m/>
    <m/>
    <n v="10"/>
    <n v="21"/>
    <m/>
    <x v="1"/>
    <x v="1"/>
    <m/>
    <m/>
    <m/>
    <m/>
    <n v="2"/>
    <m/>
    <n v="7"/>
    <m/>
    <m/>
    <n v="1"/>
    <m/>
    <m/>
    <n v="1"/>
    <n v="35"/>
    <m/>
    <m/>
    <m/>
    <m/>
    <m/>
    <n v="1"/>
    <n v="1"/>
    <n v="7"/>
    <n v="0"/>
    <m/>
    <n v="9"/>
    <n v="1"/>
    <m/>
    <m/>
    <m/>
    <m/>
    <n v="1"/>
    <n v="1"/>
    <s v="Tested"/>
    <n v="1"/>
    <n v="0"/>
    <n v="1"/>
    <n v="0"/>
    <n v="0"/>
    <n v="0"/>
    <n v="0"/>
    <n v="1"/>
    <n v="1"/>
    <n v="1"/>
    <n v="239"/>
    <n v="0"/>
    <n v="0"/>
    <n v="1"/>
    <n v="239"/>
    <n v="0.47799999999999998"/>
    <n v="0"/>
    <n v="0"/>
    <n v="0.52200000000000002"/>
    <n v="1"/>
    <n v="9"/>
    <n v="0.7615062761506276"/>
    <n v="182"/>
    <n v="200"/>
    <n v="0"/>
    <n v="0"/>
    <n v="12"/>
    <n v="3"/>
    <n v="0.2384937238493724"/>
    <n v="0"/>
    <n v="239"/>
    <n v="175"/>
    <n v="0"/>
    <n v="175"/>
    <n v="239"/>
    <n v="1"/>
    <n v="0"/>
    <n v="1"/>
    <n v="1"/>
    <n v="0"/>
    <n v="7"/>
    <n v="39"/>
    <n v="0"/>
    <n v="239"/>
    <s v="No"/>
    <n v="2.9288702928870293E-2"/>
    <n v="10"/>
    <n v="0"/>
    <n v="0"/>
    <s v="Yes"/>
    <s v="KBC-BMO"/>
    <x v="0"/>
    <x v="0"/>
    <x v="0"/>
    <n v="24.200972"/>
    <n v="97.718582999999995"/>
    <s v="MMR001CMP071"/>
    <x v="1"/>
    <m/>
    <n v="40"/>
    <n v="247"/>
  </r>
  <r>
    <x v="1"/>
    <x v="1"/>
    <x v="1"/>
    <s v="ECHO 2739"/>
    <x v="0"/>
    <x v="2"/>
    <x v="0"/>
    <x v="56"/>
    <n v="68"/>
    <n v="426"/>
    <d v="2022-04-01T00:00:00"/>
    <d v="2022-11-30T00:00:00"/>
    <m/>
    <m/>
    <m/>
    <m/>
    <s v="Yes"/>
    <n v="5"/>
    <n v="6"/>
    <m/>
    <m/>
    <m/>
    <n v="1"/>
    <m/>
    <m/>
    <m/>
    <n v="1"/>
    <m/>
    <m/>
    <m/>
    <m/>
    <m/>
    <m/>
    <m/>
    <n v="1"/>
    <n v="1"/>
    <n v="6"/>
    <n v="6"/>
    <m/>
    <m/>
    <m/>
    <m/>
    <n v="6"/>
    <m/>
    <m/>
    <m/>
    <m/>
    <n v="14"/>
    <n v="22"/>
    <m/>
    <x v="1"/>
    <x v="1"/>
    <m/>
    <m/>
    <m/>
    <m/>
    <n v="6"/>
    <m/>
    <n v="3"/>
    <m/>
    <m/>
    <n v="2"/>
    <m/>
    <m/>
    <n v="1"/>
    <n v="62"/>
    <m/>
    <m/>
    <m/>
    <m/>
    <m/>
    <n v="1"/>
    <n v="1"/>
    <n v="10"/>
    <n v="0"/>
    <m/>
    <n v="6"/>
    <n v="2"/>
    <m/>
    <m/>
    <m/>
    <m/>
    <n v="1"/>
    <n v="1"/>
    <s v="Tested"/>
    <n v="0"/>
    <n v="1"/>
    <n v="1"/>
    <n v="0"/>
    <n v="0"/>
    <n v="0"/>
    <n v="0"/>
    <n v="1"/>
    <n v="0.74334898278560257"/>
    <n v="1"/>
    <n v="426"/>
    <n v="0"/>
    <n v="0"/>
    <n v="1"/>
    <n v="426"/>
    <n v="0.85199999999999998"/>
    <n v="0"/>
    <n v="0"/>
    <n v="0.14800000000000002"/>
    <n v="1"/>
    <n v="6"/>
    <n v="0.29577464788732394"/>
    <n v="126"/>
    <n v="280"/>
    <n v="0"/>
    <n v="0"/>
    <n v="21"/>
    <n v="15"/>
    <n v="0.70422535211267601"/>
    <n v="0"/>
    <n v="426"/>
    <n v="310"/>
    <n v="0"/>
    <n v="310"/>
    <n v="426"/>
    <n v="1"/>
    <n v="0"/>
    <n v="1"/>
    <n v="1"/>
    <n v="0"/>
    <n v="3"/>
    <n v="60"/>
    <n v="0"/>
    <n v="300"/>
    <s v="No"/>
    <n v="2.3474178403755867E-2"/>
    <n v="8"/>
    <n v="0"/>
    <n v="0"/>
    <s v="Yes"/>
    <s v="KMSS-BMO"/>
    <x v="0"/>
    <x v="0"/>
    <x v="0"/>
    <n v="24.205417000000001"/>
    <n v="97.724566999999993"/>
    <s v="MMR001CMP069"/>
    <x v="1"/>
    <m/>
    <n v="79"/>
    <n v="448"/>
  </r>
  <r>
    <x v="1"/>
    <x v="1"/>
    <x v="1"/>
    <s v="ECHO 2739"/>
    <x v="0"/>
    <x v="2"/>
    <x v="0"/>
    <x v="57"/>
    <n v="232"/>
    <n v="1322"/>
    <d v="2022-04-01T00:00:00"/>
    <d v="2022-11-30T00:00:00"/>
    <m/>
    <m/>
    <m/>
    <m/>
    <s v="Yes"/>
    <n v="11"/>
    <n v="13"/>
    <n v="5"/>
    <m/>
    <m/>
    <n v="3"/>
    <m/>
    <m/>
    <m/>
    <n v="4"/>
    <m/>
    <m/>
    <m/>
    <m/>
    <m/>
    <m/>
    <m/>
    <n v="7"/>
    <n v="7"/>
    <n v="36"/>
    <n v="36"/>
    <m/>
    <m/>
    <m/>
    <m/>
    <n v="47"/>
    <m/>
    <m/>
    <m/>
    <m/>
    <n v="45"/>
    <n v="97"/>
    <m/>
    <x v="1"/>
    <x v="1"/>
    <m/>
    <m/>
    <m/>
    <m/>
    <n v="3"/>
    <m/>
    <n v="3"/>
    <m/>
    <m/>
    <n v="6"/>
    <m/>
    <m/>
    <n v="4"/>
    <n v="240"/>
    <m/>
    <m/>
    <m/>
    <m/>
    <m/>
    <n v="1"/>
    <n v="1"/>
    <n v="41"/>
    <n v="1"/>
    <m/>
    <n v="47"/>
    <n v="5"/>
    <m/>
    <m/>
    <m/>
    <m/>
    <n v="1"/>
    <n v="1"/>
    <s v="Tested"/>
    <n v="5"/>
    <n v="3"/>
    <n v="4"/>
    <n v="0"/>
    <n v="0"/>
    <n v="0"/>
    <n v="0"/>
    <n v="1"/>
    <n v="1"/>
    <n v="1"/>
    <n v="1322"/>
    <n v="0"/>
    <n v="0"/>
    <n v="1"/>
    <n v="1322"/>
    <n v="2.6440000000000001"/>
    <n v="0"/>
    <n v="0"/>
    <n v="0.35599999999999987"/>
    <n v="3"/>
    <n v="47"/>
    <n v="0.71331316187594551"/>
    <n v="943"/>
    <n v="900"/>
    <n v="0"/>
    <n v="0"/>
    <n v="66"/>
    <n v="19"/>
    <n v="0.28668683812405449"/>
    <n v="0"/>
    <n v="1322"/>
    <n v="1200"/>
    <n v="0"/>
    <n v="1200"/>
    <n v="1322"/>
    <n v="1"/>
    <n v="0"/>
    <n v="1"/>
    <n v="1"/>
    <n v="0"/>
    <n v="3"/>
    <n v="60"/>
    <n v="0"/>
    <n v="300"/>
    <s v="No"/>
    <n v="3.1013615733736764E-2"/>
    <n v="52"/>
    <n v="0"/>
    <n v="0"/>
    <s v="Yes"/>
    <s v="KBC-BMO"/>
    <x v="0"/>
    <x v="0"/>
    <x v="0"/>
    <n v="24.200433"/>
    <n v="97.717133000000004"/>
    <s v="MMR001CMP070"/>
    <x v="1"/>
    <m/>
    <n v="240"/>
    <n v="1395"/>
  </r>
  <r>
    <x v="1"/>
    <x v="4"/>
    <x v="4"/>
    <s v="UNICEF"/>
    <x v="0"/>
    <x v="1"/>
    <x v="1"/>
    <x v="58"/>
    <n v="94"/>
    <n v="467"/>
    <d v="2021-08-06T00:00:00"/>
    <d v="2022-08-05T00:00:00"/>
    <m/>
    <n v="5"/>
    <m/>
    <m/>
    <s v="Yes"/>
    <n v="2"/>
    <n v="5"/>
    <n v="1"/>
    <n v="1"/>
    <n v="1"/>
    <m/>
    <m/>
    <m/>
    <m/>
    <m/>
    <m/>
    <m/>
    <m/>
    <m/>
    <m/>
    <m/>
    <n v="7"/>
    <n v="10"/>
    <n v="1"/>
    <m/>
    <m/>
    <m/>
    <m/>
    <m/>
    <m/>
    <n v="12"/>
    <m/>
    <m/>
    <m/>
    <m/>
    <m/>
    <m/>
    <m/>
    <x v="1"/>
    <x v="1"/>
    <n v="3"/>
    <m/>
    <m/>
    <m/>
    <m/>
    <m/>
    <n v="1"/>
    <m/>
    <m/>
    <n v="2"/>
    <n v="1"/>
    <m/>
    <n v="1"/>
    <n v="94"/>
    <n v="100.17150000000001"/>
    <s v="Yes"/>
    <n v="100"/>
    <n v="0.3"/>
    <s v="Every woman requested Sanitary pads"/>
    <m/>
    <m/>
    <m/>
    <n v="0.01"/>
    <m/>
    <m/>
    <m/>
    <m/>
    <m/>
    <m/>
    <m/>
    <n v="0.1"/>
    <s v="no test"/>
    <s v="Tested"/>
    <n v="0"/>
    <n v="0"/>
    <n v="0"/>
    <n v="0"/>
    <n v="0"/>
    <n v="0"/>
    <n v="0"/>
    <n v="0"/>
    <n v="0"/>
    <n v="0"/>
    <n v="0"/>
    <n v="0"/>
    <n v="0"/>
    <n v="0"/>
    <n v="0"/>
    <n v="0"/>
    <n v="1"/>
    <n v="467"/>
    <n v="1"/>
    <n v="1"/>
    <n v="12"/>
    <n v="0.64239828693790146"/>
    <n v="300"/>
    <n v="0"/>
    <n v="0"/>
    <n v="0"/>
    <n v="23"/>
    <n v="11"/>
    <n v="0.35760171306209854"/>
    <n v="0"/>
    <n v="467"/>
    <n v="467"/>
    <n v="100.17150000000001"/>
    <n v="467"/>
    <n v="467"/>
    <n v="1"/>
    <n v="0"/>
    <n v="1"/>
    <n v="1"/>
    <n v="1"/>
    <n v="1"/>
    <n v="20"/>
    <n v="0"/>
    <n v="100"/>
    <s v="No"/>
    <s v=""/>
    <n v="0"/>
    <n v="0"/>
    <n v="0"/>
    <n v="0"/>
    <n v="0"/>
    <x v="0"/>
    <x v="3"/>
    <x v="0"/>
    <n v="0"/>
    <n v="0"/>
    <n v="0"/>
    <x v="1"/>
    <m/>
    <n v="0"/>
    <n v="0"/>
  </r>
  <r>
    <x v="1"/>
    <x v="1"/>
    <x v="1"/>
    <s v="ECHO 2739"/>
    <x v="0"/>
    <x v="2"/>
    <x v="1"/>
    <x v="60"/>
    <m/>
    <m/>
    <d v="2020-01-03T00:00:00"/>
    <d v="2022-02-28T00:00:00"/>
    <m/>
    <m/>
    <m/>
    <m/>
    <s v="Yes"/>
    <m/>
    <m/>
    <n v="2"/>
    <m/>
    <m/>
    <n v="1"/>
    <m/>
    <m/>
    <m/>
    <m/>
    <m/>
    <m/>
    <m/>
    <m/>
    <m/>
    <m/>
    <m/>
    <m/>
    <m/>
    <m/>
    <m/>
    <m/>
    <m/>
    <m/>
    <m/>
    <n v="7"/>
    <m/>
    <m/>
    <m/>
    <m/>
    <m/>
    <m/>
    <m/>
    <x v="1"/>
    <x v="0"/>
    <m/>
    <m/>
    <m/>
    <m/>
    <n v="5"/>
    <m/>
    <n v="1"/>
    <m/>
    <m/>
    <n v="3"/>
    <m/>
    <m/>
    <m/>
    <m/>
    <m/>
    <m/>
    <m/>
    <m/>
    <m/>
    <m/>
    <m/>
    <m/>
    <m/>
    <m/>
    <m/>
    <m/>
    <m/>
    <m/>
    <m/>
    <m/>
    <s v="no test"/>
    <s v="no test"/>
    <s v="No Test"/>
    <n v="2"/>
    <n v="1"/>
    <n v="0"/>
    <n v="0"/>
    <n v="0"/>
    <n v="0"/>
    <n v="0"/>
    <s v=""/>
    <s v=""/>
    <s v=""/>
    <m/>
    <m/>
    <n v="0"/>
    <m/>
    <n v="0"/>
    <n v="0"/>
    <n v="1"/>
    <n v="0"/>
    <n v="1"/>
    <n v="1"/>
    <n v="7"/>
    <m/>
    <n v="0"/>
    <n v="0"/>
    <n v="0"/>
    <n v="0"/>
    <n v="0"/>
    <n v="0"/>
    <m/>
    <n v="0"/>
    <n v="0"/>
    <n v="0"/>
    <n v="0"/>
    <n v="0"/>
    <n v="0"/>
    <m/>
    <m/>
    <m/>
    <m/>
    <m/>
    <n v="1"/>
    <n v="0"/>
    <n v="0"/>
    <n v="0"/>
    <s v="No"/>
    <s v=""/>
    <n v="0"/>
    <n v="0"/>
    <n v="0"/>
    <n v="0"/>
    <n v="0"/>
    <x v="0"/>
    <x v="1"/>
    <x v="0"/>
    <n v="0"/>
    <n v="0"/>
    <n v="0"/>
    <x v="1"/>
    <m/>
    <n v="0"/>
    <n v="0"/>
  </r>
  <r>
    <x v="1"/>
    <x v="18"/>
    <x v="7"/>
    <s v="SIDA"/>
    <x v="0"/>
    <x v="8"/>
    <x v="0"/>
    <x v="61"/>
    <n v="15"/>
    <n v="73"/>
    <d v="2022-05-01T00:00:00"/>
    <d v="2022-10-31T00:00:00"/>
    <m/>
    <m/>
    <m/>
    <m/>
    <s v="Yes"/>
    <n v="2"/>
    <n v="3"/>
    <n v="1"/>
    <m/>
    <m/>
    <n v="1"/>
    <m/>
    <m/>
    <m/>
    <m/>
    <m/>
    <m/>
    <m/>
    <m/>
    <m/>
    <m/>
    <n v="2"/>
    <m/>
    <m/>
    <m/>
    <m/>
    <m/>
    <m/>
    <m/>
    <m/>
    <n v="3"/>
    <m/>
    <m/>
    <m/>
    <m/>
    <m/>
    <m/>
    <n v="2"/>
    <x v="1"/>
    <x v="1"/>
    <m/>
    <m/>
    <m/>
    <m/>
    <m/>
    <m/>
    <n v="2"/>
    <m/>
    <m/>
    <n v="2"/>
    <m/>
    <m/>
    <m/>
    <m/>
    <m/>
    <m/>
    <m/>
    <m/>
    <m/>
    <m/>
    <m/>
    <m/>
    <m/>
    <m/>
    <m/>
    <m/>
    <m/>
    <m/>
    <m/>
    <m/>
    <s v="no test"/>
    <s v="no test"/>
    <s v="No Test"/>
    <n v="1"/>
    <n v="1"/>
    <n v="0"/>
    <n v="0"/>
    <n v="0"/>
    <n v="0"/>
    <n v="0"/>
    <n v="1"/>
    <n v="1"/>
    <n v="1"/>
    <n v="73"/>
    <n v="0"/>
    <n v="0"/>
    <n v="1"/>
    <n v="73"/>
    <n v="0.14599999999999999"/>
    <n v="0"/>
    <n v="0"/>
    <n v="0.85399999999999998"/>
    <n v="1"/>
    <n v="3"/>
    <n v="0.82191780821917804"/>
    <n v="60"/>
    <n v="0"/>
    <n v="0"/>
    <n v="0"/>
    <n v="4"/>
    <n v="1"/>
    <n v="0.17808219178082196"/>
    <n v="0"/>
    <n v="0"/>
    <n v="0"/>
    <n v="0"/>
    <n v="0"/>
    <n v="0"/>
    <n v="0"/>
    <n v="1"/>
    <n v="0"/>
    <n v="0"/>
    <n v="0"/>
    <n v="2"/>
    <n v="15"/>
    <n v="0"/>
    <n v="73"/>
    <s v="No"/>
    <s v=""/>
    <n v="0"/>
    <n v="0"/>
    <n v="0"/>
    <s v="Yes"/>
    <s v="KBC-MYT"/>
    <x v="0"/>
    <x v="0"/>
    <x v="0"/>
    <n v="25.296579999999999"/>
    <n v="96.942279999999997"/>
    <s v="MMR001CMP077"/>
    <x v="1"/>
    <m/>
    <n v="16"/>
    <n v="75"/>
  </r>
  <r>
    <x v="1"/>
    <x v="16"/>
    <x v="7"/>
    <s v="MHF,SIDA"/>
    <x v="0"/>
    <x v="3"/>
    <x v="0"/>
    <x v="62"/>
    <n v="39"/>
    <n v="238"/>
    <d v="2022-05-01T00:00:00"/>
    <d v="2022-10-31T00:00:00"/>
    <m/>
    <n v="1"/>
    <m/>
    <m/>
    <s v="Yes"/>
    <n v="3"/>
    <n v="4"/>
    <n v="2"/>
    <m/>
    <m/>
    <n v="1"/>
    <m/>
    <m/>
    <m/>
    <m/>
    <m/>
    <m/>
    <m/>
    <m/>
    <m/>
    <m/>
    <n v="3"/>
    <m/>
    <m/>
    <m/>
    <m/>
    <m/>
    <m/>
    <m/>
    <m/>
    <n v="6"/>
    <m/>
    <m/>
    <m/>
    <m/>
    <m/>
    <m/>
    <n v="6"/>
    <x v="1"/>
    <x v="1"/>
    <m/>
    <m/>
    <m/>
    <m/>
    <m/>
    <m/>
    <n v="8"/>
    <m/>
    <m/>
    <n v="3"/>
    <m/>
    <m/>
    <n v="1"/>
    <m/>
    <m/>
    <m/>
    <m/>
    <m/>
    <m/>
    <m/>
    <m/>
    <m/>
    <m/>
    <m/>
    <m/>
    <m/>
    <m/>
    <m/>
    <m/>
    <m/>
    <s v="no test"/>
    <s v="no test"/>
    <s v="No Test"/>
    <n v="2"/>
    <n v="1"/>
    <n v="0"/>
    <n v="0"/>
    <n v="0"/>
    <n v="0"/>
    <n v="0"/>
    <n v="1"/>
    <n v="1"/>
    <n v="1"/>
    <n v="238"/>
    <n v="0"/>
    <n v="0"/>
    <n v="1"/>
    <n v="238"/>
    <n v="0.47599999999999998"/>
    <n v="0"/>
    <n v="0"/>
    <n v="0.52400000000000002"/>
    <n v="1"/>
    <n v="6"/>
    <n v="0.50420168067226889"/>
    <n v="120"/>
    <n v="0"/>
    <n v="0"/>
    <n v="0"/>
    <n v="12"/>
    <n v="6"/>
    <n v="0.49579831932773111"/>
    <n v="0"/>
    <n v="238"/>
    <n v="0"/>
    <n v="0"/>
    <n v="0"/>
    <n v="238"/>
    <n v="1"/>
    <n v="0"/>
    <n v="1"/>
    <n v="0"/>
    <n v="0"/>
    <n v="8"/>
    <n v="39"/>
    <n v="0"/>
    <n v="238"/>
    <s v="No"/>
    <s v=""/>
    <n v="0"/>
    <n v="0"/>
    <n v="0"/>
    <s v="Yes"/>
    <s v="KBC-MYT"/>
    <x v="0"/>
    <x v="0"/>
    <x v="0"/>
    <n v="25.356632000000001"/>
    <n v="97.451965000000001"/>
    <s v="MMR001CMP027"/>
    <x v="1"/>
    <m/>
    <n v="39"/>
    <n v="238"/>
  </r>
  <r>
    <x v="1"/>
    <x v="11"/>
    <x v="7"/>
    <s v="MHF"/>
    <x v="0"/>
    <x v="3"/>
    <x v="0"/>
    <x v="63"/>
    <n v="417"/>
    <n v="1469"/>
    <d v="2022-05-01T00:00:00"/>
    <d v="2022-10-31T00:00:00"/>
    <m/>
    <n v="1"/>
    <m/>
    <m/>
    <s v="Yes"/>
    <n v="3"/>
    <n v="2"/>
    <n v="1"/>
    <m/>
    <n v="23"/>
    <m/>
    <m/>
    <m/>
    <m/>
    <m/>
    <m/>
    <m/>
    <m/>
    <m/>
    <m/>
    <m/>
    <m/>
    <m/>
    <m/>
    <m/>
    <m/>
    <m/>
    <m/>
    <m/>
    <m/>
    <n v="407"/>
    <m/>
    <m/>
    <m/>
    <m/>
    <m/>
    <m/>
    <m/>
    <x v="1"/>
    <x v="1"/>
    <n v="3"/>
    <m/>
    <m/>
    <m/>
    <m/>
    <m/>
    <n v="177"/>
    <m/>
    <n v="12"/>
    <n v="6"/>
    <m/>
    <n v="1"/>
    <n v="5"/>
    <m/>
    <m/>
    <m/>
    <m/>
    <m/>
    <m/>
    <m/>
    <m/>
    <m/>
    <m/>
    <m/>
    <m/>
    <m/>
    <m/>
    <m/>
    <m/>
    <m/>
    <s v="no test"/>
    <s v="no test"/>
    <s v="No Test"/>
    <n v="1"/>
    <n v="0"/>
    <n v="0"/>
    <n v="0"/>
    <n v="0"/>
    <n v="0"/>
    <n v="0"/>
    <n v="0.27229407760381213"/>
    <n v="0.17018379850238258"/>
    <n v="0.27229407760381213"/>
    <n v="400"/>
    <n v="0"/>
    <n v="0"/>
    <n v="0.27229407760381213"/>
    <n v="400"/>
    <n v="0.8"/>
    <n v="0.72770592239618792"/>
    <n v="1069"/>
    <n v="2.2000000000000002"/>
    <n v="3"/>
    <n v="407"/>
    <n v="1"/>
    <n v="1469"/>
    <n v="0"/>
    <n v="0"/>
    <n v="0"/>
    <n v="245"/>
    <n v="0"/>
    <n v="0"/>
    <n v="0"/>
    <n v="1469"/>
    <n v="0"/>
    <n v="0"/>
    <n v="0"/>
    <n v="1469"/>
    <n v="1"/>
    <n v="0"/>
    <n v="1"/>
    <n v="0"/>
    <n v="0"/>
    <n v="177"/>
    <n v="417"/>
    <n v="0"/>
    <n v="1469"/>
    <s v="No"/>
    <s v=""/>
    <n v="0"/>
    <n v="0"/>
    <n v="0"/>
    <s v="Yes"/>
    <s v="KMSS-MYT"/>
    <x v="1"/>
    <x v="0"/>
    <x v="1"/>
    <n v="24.980250000000002"/>
    <n v="97.715230000000005"/>
    <s v="MMR001CMP119"/>
    <x v="1"/>
    <m/>
    <n v="417"/>
    <n v="1608"/>
  </r>
  <r>
    <x v="1"/>
    <x v="2"/>
    <x v="2"/>
    <s v="MHF"/>
    <x v="0"/>
    <x v="3"/>
    <x v="0"/>
    <x v="64"/>
    <n v="353"/>
    <n v="2166"/>
    <d v="2022-01-01T00:00:00"/>
    <d v="2022-12-31T00:00:00"/>
    <n v="60"/>
    <n v="1"/>
    <m/>
    <m/>
    <s v="Yes"/>
    <n v="1"/>
    <n v="6"/>
    <n v="3"/>
    <m/>
    <m/>
    <n v="2"/>
    <n v="1"/>
    <n v="3"/>
    <m/>
    <m/>
    <m/>
    <m/>
    <m/>
    <m/>
    <m/>
    <m/>
    <m/>
    <m/>
    <m/>
    <m/>
    <m/>
    <n v="2"/>
    <m/>
    <m/>
    <m/>
    <n v="20"/>
    <n v="4"/>
    <s v="worldvision/KBC"/>
    <m/>
    <m/>
    <m/>
    <m/>
    <m/>
    <x v="1"/>
    <x v="1"/>
    <m/>
    <n v="10"/>
    <n v="4"/>
    <n v="18"/>
    <m/>
    <s v="Camp 2 တွင်လူဦးရေနှင့် အိမ်သာမမြ"/>
    <n v="14"/>
    <n v="1"/>
    <m/>
    <n v="4"/>
    <n v="1"/>
    <n v="1"/>
    <n v="1"/>
    <n v="356"/>
    <m/>
    <s v="Yes"/>
    <m/>
    <n v="0.6"/>
    <m/>
    <n v="0.9"/>
    <n v="1"/>
    <m/>
    <n v="1"/>
    <m/>
    <m/>
    <m/>
    <m/>
    <m/>
    <m/>
    <m/>
    <s v="no test"/>
    <s v="no test"/>
    <s v="No Test"/>
    <n v="3"/>
    <n v="0"/>
    <n v="0"/>
    <n v="0"/>
    <n v="0"/>
    <n v="0"/>
    <n v="0"/>
    <n v="0.554016620498615"/>
    <n v="0.34626038781163437"/>
    <n v="0.554016620498615"/>
    <n v="1200"/>
    <n v="0"/>
    <n v="0"/>
    <n v="0.554016620498615"/>
    <n v="1200"/>
    <n v="2.4"/>
    <n v="0.445983379501385"/>
    <n v="965.99999999999989"/>
    <n v="1.6"/>
    <n v="4"/>
    <n v="24"/>
    <n v="0.22160664819944598"/>
    <n v="480"/>
    <n v="0"/>
    <n v="60"/>
    <n v="900"/>
    <n v="108"/>
    <n v="84"/>
    <n v="0.77839335180055402"/>
    <n v="0"/>
    <n v="1000"/>
    <n v="1780"/>
    <n v="0"/>
    <n v="1780"/>
    <n v="1780"/>
    <n v="0.82179132040627889"/>
    <n v="0.17820867959372111"/>
    <n v="0.46168051708217911"/>
    <n v="1"/>
    <n v="0"/>
    <n v="13"/>
    <n v="260"/>
    <n v="2"/>
    <n v="1300"/>
    <s v="Yes"/>
    <s v=""/>
    <n v="0"/>
    <n v="60"/>
    <n v="900"/>
    <s v="Yes"/>
    <s v="Shalom"/>
    <x v="0"/>
    <x v="0"/>
    <x v="0"/>
    <n v="25.424529444444399"/>
    <n v="97.433419259259296"/>
    <s v="MMR001CMP031"/>
    <x v="1"/>
    <m/>
    <n v="353"/>
    <n v="2166"/>
  </r>
  <r>
    <x v="1"/>
    <x v="4"/>
    <x v="4"/>
    <s v="UNICEF"/>
    <x v="0"/>
    <x v="3"/>
    <x v="0"/>
    <x v="65"/>
    <n v="276"/>
    <n v="1494"/>
    <d v="2021-08-06T00:00:00"/>
    <d v="2022-08-05T00:00:00"/>
    <m/>
    <n v="5"/>
    <m/>
    <m/>
    <s v="Yes"/>
    <n v="4"/>
    <n v="3"/>
    <n v="11"/>
    <n v="1"/>
    <n v="1"/>
    <m/>
    <m/>
    <m/>
    <m/>
    <m/>
    <m/>
    <m/>
    <m/>
    <m/>
    <m/>
    <m/>
    <m/>
    <n v="10"/>
    <n v="9"/>
    <m/>
    <m/>
    <n v="5"/>
    <m/>
    <m/>
    <m/>
    <n v="97"/>
    <m/>
    <m/>
    <m/>
    <m/>
    <m/>
    <m/>
    <m/>
    <x v="1"/>
    <x v="1"/>
    <m/>
    <m/>
    <m/>
    <m/>
    <m/>
    <m/>
    <n v="1"/>
    <m/>
    <m/>
    <n v="4"/>
    <m/>
    <m/>
    <n v="2"/>
    <n v="276"/>
    <n v="320.46300000000002"/>
    <s v="Yes"/>
    <n v="100"/>
    <n v="0.6"/>
    <s v="Requested Sanitary pads "/>
    <m/>
    <m/>
    <m/>
    <n v="0.01"/>
    <m/>
    <m/>
    <m/>
    <m/>
    <m/>
    <m/>
    <m/>
    <n v="0.9"/>
    <s v="no test"/>
    <s v="Tested"/>
    <n v="10"/>
    <n v="0"/>
    <n v="0"/>
    <n v="0"/>
    <n v="0"/>
    <n v="0"/>
    <n v="0"/>
    <n v="1"/>
    <n v="1"/>
    <n v="1"/>
    <n v="1494"/>
    <n v="0"/>
    <n v="0"/>
    <n v="1"/>
    <n v="1494"/>
    <n v="2.988"/>
    <n v="0"/>
    <n v="0"/>
    <n v="1.2000000000000011E-2"/>
    <n v="3"/>
    <n v="97"/>
    <n v="1"/>
    <n v="1494"/>
    <n v="0"/>
    <n v="0"/>
    <n v="0"/>
    <n v="75"/>
    <n v="0"/>
    <n v="0"/>
    <n v="0"/>
    <n v="1000"/>
    <n v="1494"/>
    <n v="320.46300000000002"/>
    <n v="1494"/>
    <n v="1494"/>
    <n v="1"/>
    <n v="0"/>
    <n v="0.66934404283801874"/>
    <n v="1"/>
    <n v="1"/>
    <n v="1"/>
    <n v="20"/>
    <n v="5"/>
    <n v="100"/>
    <s v="No"/>
    <s v=""/>
    <n v="0"/>
    <n v="0"/>
    <n v="0"/>
    <s v="Yes"/>
    <s v="KMSS-MYT"/>
    <x v="0"/>
    <x v="0"/>
    <x v="0"/>
    <n v="25.415667500000001"/>
    <n v="97.437782499999997"/>
    <s v="MMR001CMP029"/>
    <x v="1"/>
    <m/>
    <n v="276"/>
    <n v="1492"/>
  </r>
  <r>
    <x v="1"/>
    <x v="16"/>
    <x v="7"/>
    <s v="MHF,SIDA"/>
    <x v="0"/>
    <x v="3"/>
    <x v="0"/>
    <x v="66"/>
    <n v="531"/>
    <n v="2920"/>
    <d v="2022-05-01T00:00:00"/>
    <d v="2022-10-31T00:00:00"/>
    <m/>
    <n v="1"/>
    <m/>
    <m/>
    <s v="Yes"/>
    <n v="3"/>
    <n v="4"/>
    <n v="13"/>
    <m/>
    <m/>
    <n v="2"/>
    <m/>
    <m/>
    <m/>
    <m/>
    <m/>
    <m/>
    <m/>
    <m/>
    <m/>
    <m/>
    <n v="9"/>
    <m/>
    <m/>
    <m/>
    <m/>
    <m/>
    <m/>
    <m/>
    <m/>
    <n v="130"/>
    <m/>
    <m/>
    <m/>
    <m/>
    <m/>
    <m/>
    <n v="130"/>
    <x v="1"/>
    <x v="1"/>
    <m/>
    <m/>
    <m/>
    <m/>
    <m/>
    <m/>
    <n v="7"/>
    <m/>
    <m/>
    <n v="7"/>
    <m/>
    <n v="2"/>
    <n v="4"/>
    <m/>
    <m/>
    <m/>
    <m/>
    <m/>
    <m/>
    <m/>
    <m/>
    <m/>
    <m/>
    <m/>
    <m/>
    <m/>
    <m/>
    <m/>
    <m/>
    <m/>
    <s v="no test"/>
    <s v="no test"/>
    <s v="No Test"/>
    <n v="13"/>
    <n v="2"/>
    <n v="0"/>
    <n v="0"/>
    <n v="0"/>
    <n v="0"/>
    <n v="0"/>
    <n v="1"/>
    <n v="1"/>
    <n v="1"/>
    <n v="2920"/>
    <n v="0"/>
    <n v="0"/>
    <n v="1"/>
    <n v="2920"/>
    <n v="5.84"/>
    <n v="0"/>
    <n v="0"/>
    <n v="0.16000000000000014"/>
    <n v="6"/>
    <n v="130"/>
    <n v="0.8904109589041096"/>
    <n v="2600"/>
    <n v="0"/>
    <n v="0"/>
    <n v="0"/>
    <n v="146"/>
    <n v="16"/>
    <n v="0.1095890410958904"/>
    <n v="0"/>
    <n v="2920"/>
    <n v="0"/>
    <n v="0"/>
    <n v="0"/>
    <n v="2920"/>
    <n v="1"/>
    <n v="0"/>
    <n v="1"/>
    <n v="0"/>
    <n v="0"/>
    <n v="7"/>
    <n v="140"/>
    <n v="0"/>
    <n v="700"/>
    <s v="No"/>
    <s v=""/>
    <n v="0"/>
    <n v="0"/>
    <n v="0"/>
    <s v="Yes"/>
    <s v="KBC-MYT"/>
    <x v="0"/>
    <x v="0"/>
    <x v="0"/>
    <n v="25.4118005797101"/>
    <n v="97.434855869565197"/>
    <s v="MMR001CMP040"/>
    <x v="1"/>
    <m/>
    <n v="531"/>
    <n v="2920"/>
  </r>
  <r>
    <x v="1"/>
    <x v="16"/>
    <x v="7"/>
    <s v="MHF,SIDA"/>
    <x v="0"/>
    <x v="3"/>
    <x v="0"/>
    <x v="67"/>
    <n v="55"/>
    <n v="283"/>
    <d v="2022-05-01T00:00:00"/>
    <d v="2022-10-31T00:00:00"/>
    <m/>
    <n v="1"/>
    <m/>
    <m/>
    <s v="Yes"/>
    <n v="1"/>
    <n v="3"/>
    <n v="1"/>
    <m/>
    <m/>
    <m/>
    <m/>
    <m/>
    <m/>
    <m/>
    <m/>
    <m/>
    <m/>
    <m/>
    <m/>
    <m/>
    <n v="2"/>
    <m/>
    <m/>
    <m/>
    <m/>
    <m/>
    <m/>
    <m/>
    <m/>
    <n v="10"/>
    <m/>
    <m/>
    <m/>
    <m/>
    <m/>
    <m/>
    <n v="10"/>
    <x v="1"/>
    <x v="1"/>
    <m/>
    <m/>
    <m/>
    <m/>
    <m/>
    <m/>
    <n v="7"/>
    <m/>
    <m/>
    <n v="4"/>
    <m/>
    <n v="1"/>
    <m/>
    <m/>
    <m/>
    <m/>
    <m/>
    <m/>
    <m/>
    <m/>
    <m/>
    <m/>
    <m/>
    <m/>
    <m/>
    <m/>
    <m/>
    <m/>
    <m/>
    <m/>
    <s v="no test"/>
    <s v="no test"/>
    <s v="No Test"/>
    <n v="1"/>
    <n v="0"/>
    <n v="0"/>
    <n v="0"/>
    <n v="0"/>
    <n v="0"/>
    <n v="0"/>
    <n v="1"/>
    <n v="0.88339222614840984"/>
    <n v="1"/>
    <n v="283"/>
    <n v="0"/>
    <n v="0"/>
    <n v="1"/>
    <n v="283"/>
    <n v="0.56599999999999995"/>
    <n v="0"/>
    <n v="0"/>
    <n v="0.43400000000000005"/>
    <n v="1"/>
    <n v="10"/>
    <n v="0.70671378091872794"/>
    <n v="200"/>
    <n v="0"/>
    <n v="0"/>
    <n v="0"/>
    <n v="14"/>
    <n v="4"/>
    <n v="0.29328621908127206"/>
    <n v="0"/>
    <n v="283"/>
    <n v="0"/>
    <n v="0"/>
    <n v="0"/>
    <n v="283"/>
    <n v="1"/>
    <n v="0"/>
    <n v="1"/>
    <n v="0"/>
    <n v="0"/>
    <n v="7"/>
    <n v="55"/>
    <n v="0"/>
    <n v="283"/>
    <s v="No"/>
    <s v=""/>
    <n v="0"/>
    <n v="0"/>
    <n v="0"/>
    <s v="Yes"/>
    <s v="KBC-MYT"/>
    <x v="0"/>
    <x v="0"/>
    <x v="0"/>
    <n v="25.409612685185198"/>
    <n v="97.426536944444507"/>
    <s v="MMR001CMP039"/>
    <x v="1"/>
    <m/>
    <n v="55"/>
    <n v="283"/>
  </r>
  <r>
    <x v="1"/>
    <x v="2"/>
    <x v="2"/>
    <s v="MHF"/>
    <x v="0"/>
    <x v="3"/>
    <x v="0"/>
    <x v="68"/>
    <n v="40"/>
    <n v="221"/>
    <d v="2022-01-01T00:00:00"/>
    <d v="2022-12-31T00:00:00"/>
    <m/>
    <n v="1"/>
    <m/>
    <m/>
    <s v="Yes"/>
    <n v="1"/>
    <n v="4"/>
    <n v="1"/>
    <m/>
    <m/>
    <m/>
    <m/>
    <m/>
    <m/>
    <m/>
    <m/>
    <m/>
    <m/>
    <m/>
    <m/>
    <m/>
    <m/>
    <m/>
    <m/>
    <m/>
    <m/>
    <m/>
    <m/>
    <m/>
    <s v="နွေရာသီတွင် ရေရှားပါးမှုဖြစ်"/>
    <n v="8"/>
    <m/>
    <m/>
    <m/>
    <m/>
    <m/>
    <m/>
    <m/>
    <x v="1"/>
    <x v="1"/>
    <m/>
    <m/>
    <m/>
    <m/>
    <m/>
    <m/>
    <n v="10"/>
    <n v="5"/>
    <m/>
    <n v="4"/>
    <m/>
    <m/>
    <m/>
    <n v="40"/>
    <m/>
    <s v="Yes"/>
    <m/>
    <n v="0.5"/>
    <m/>
    <n v="0.98"/>
    <n v="0.9"/>
    <n v="4"/>
    <n v="0.99"/>
    <m/>
    <m/>
    <m/>
    <m/>
    <m/>
    <m/>
    <m/>
    <s v="no test"/>
    <s v="no test"/>
    <s v="No Test"/>
    <n v="1"/>
    <n v="0"/>
    <n v="0"/>
    <n v="0"/>
    <n v="0"/>
    <n v="0"/>
    <n v="0"/>
    <n v="1"/>
    <n v="1"/>
    <n v="1"/>
    <n v="221"/>
    <n v="0"/>
    <n v="0"/>
    <n v="1"/>
    <n v="221"/>
    <n v="0.442"/>
    <n v="0"/>
    <n v="0"/>
    <n v="0.55800000000000005"/>
    <n v="1"/>
    <n v="8"/>
    <n v="0.72398190045248867"/>
    <n v="160"/>
    <n v="0"/>
    <n v="0"/>
    <n v="0"/>
    <n v="11"/>
    <n v="3"/>
    <n v="0.27601809954751133"/>
    <n v="0"/>
    <n v="0"/>
    <n v="221"/>
    <n v="0"/>
    <n v="221"/>
    <n v="221"/>
    <n v="1"/>
    <n v="0"/>
    <n v="0"/>
    <n v="1"/>
    <n v="0"/>
    <n v="5"/>
    <n v="40"/>
    <n v="0"/>
    <n v="221"/>
    <s v="No"/>
    <n v="1.8099547511312219E-2"/>
    <n v="0"/>
    <n v="0"/>
    <n v="0"/>
    <s v="Yes"/>
    <s v="Shalom"/>
    <x v="0"/>
    <x v="0"/>
    <x v="0"/>
    <n v="25.345918166666699"/>
    <n v="97.437472666666693"/>
    <s v="MMR001CMP030"/>
    <x v="1"/>
    <m/>
    <n v="40"/>
    <n v="221"/>
  </r>
  <r>
    <x v="1"/>
    <x v="8"/>
    <x v="7"/>
    <s v="UNICEF, MHF"/>
    <x v="0"/>
    <x v="5"/>
    <x v="0"/>
    <x v="69"/>
    <n v="364"/>
    <n v="1759"/>
    <d v="2022-04-01T00:00:00"/>
    <d v="2022-10-31T00:00:00"/>
    <n v="489"/>
    <m/>
    <m/>
    <m/>
    <s v="Yes"/>
    <n v="5"/>
    <n v="5"/>
    <n v="1"/>
    <m/>
    <m/>
    <n v="1"/>
    <m/>
    <n v="1"/>
    <n v="1"/>
    <m/>
    <m/>
    <m/>
    <m/>
    <m/>
    <m/>
    <m/>
    <m/>
    <n v="4"/>
    <n v="4"/>
    <n v="29"/>
    <n v="24"/>
    <n v="3"/>
    <n v="3"/>
    <m/>
    <m/>
    <n v="119"/>
    <m/>
    <m/>
    <m/>
    <m/>
    <m/>
    <m/>
    <m/>
    <x v="1"/>
    <x v="1"/>
    <m/>
    <m/>
    <m/>
    <m/>
    <m/>
    <m/>
    <n v="40"/>
    <n v="20"/>
    <m/>
    <n v="3"/>
    <n v="2"/>
    <n v="5"/>
    <n v="5"/>
    <n v="364"/>
    <n v="616"/>
    <s v="Yes"/>
    <n v="1"/>
    <n v="0.6"/>
    <s v="No Comment"/>
    <n v="0.6"/>
    <n v="0.8"/>
    <n v="20"/>
    <n v="0.8"/>
    <m/>
    <m/>
    <m/>
    <m/>
    <m/>
    <m/>
    <m/>
    <n v="1"/>
    <n v="0.82758620689655171"/>
    <s v="Tested"/>
    <n v="1"/>
    <n v="0"/>
    <n v="0"/>
    <n v="0"/>
    <n v="0"/>
    <n v="1500"/>
    <n v="0"/>
    <n v="0.22740193291642979"/>
    <n v="0.14212620807276863"/>
    <n v="0.22740193291642979"/>
    <n v="400"/>
    <n v="0"/>
    <n v="0"/>
    <n v="0.22740193291642979"/>
    <n v="400"/>
    <n v="0.8"/>
    <n v="0.77259806708357015"/>
    <n v="1359"/>
    <n v="3.2"/>
    <n v="4"/>
    <n v="119"/>
    <n v="1"/>
    <n v="1759"/>
    <n v="0"/>
    <n v="0"/>
    <n v="0"/>
    <n v="88"/>
    <n v="0"/>
    <n v="0"/>
    <n v="0"/>
    <n v="1759"/>
    <n v="1759"/>
    <n v="616"/>
    <n v="1759"/>
    <n v="1759"/>
    <n v="1"/>
    <n v="0"/>
    <n v="1"/>
    <n v="1"/>
    <n v="1"/>
    <n v="20"/>
    <n v="364"/>
    <n v="3"/>
    <n v="1759"/>
    <s v="Yes"/>
    <n v="1.137009664582149E-2"/>
    <n v="0"/>
    <n v="1500"/>
    <n v="0"/>
    <s v="Yes"/>
    <s v="KBC-BMO"/>
    <x v="0"/>
    <x v="0"/>
    <x v="0"/>
    <n v="23.972453000000002"/>
    <n v="97.225881000000001"/>
    <s v="MMR001CMP218"/>
    <x v="1"/>
    <m/>
    <n v="363"/>
    <n v="1757"/>
  </r>
  <r>
    <x v="1"/>
    <x v="4"/>
    <x v="4"/>
    <s v="UNICEF"/>
    <x v="0"/>
    <x v="5"/>
    <x v="0"/>
    <x v="70"/>
    <n v="154"/>
    <n v="694"/>
    <d v="2021-08-06T00:00:00"/>
    <d v="2022-08-05T00:00:00"/>
    <m/>
    <n v="5"/>
    <m/>
    <m/>
    <s v="Yes"/>
    <n v="3"/>
    <n v="4"/>
    <n v="1"/>
    <m/>
    <m/>
    <n v="3"/>
    <n v="2"/>
    <m/>
    <m/>
    <m/>
    <m/>
    <m/>
    <m/>
    <m/>
    <m/>
    <m/>
    <m/>
    <m/>
    <m/>
    <m/>
    <m/>
    <m/>
    <m/>
    <m/>
    <m/>
    <n v="61"/>
    <m/>
    <m/>
    <m/>
    <m/>
    <m/>
    <m/>
    <m/>
    <x v="1"/>
    <x v="1"/>
    <m/>
    <m/>
    <m/>
    <m/>
    <m/>
    <m/>
    <n v="10"/>
    <m/>
    <n v="0"/>
    <n v="7"/>
    <m/>
    <m/>
    <n v="2"/>
    <n v="154"/>
    <n v="148.86300000000003"/>
    <s v="Yes"/>
    <n v="100"/>
    <m/>
    <s v="Every woman requested Sanitary pads"/>
    <m/>
    <m/>
    <m/>
    <n v="0.01"/>
    <m/>
    <m/>
    <m/>
    <m/>
    <m/>
    <m/>
    <m/>
    <s v="no test"/>
    <s v="no test"/>
    <s v="No Test"/>
    <n v="1"/>
    <n v="5"/>
    <n v="0"/>
    <n v="0"/>
    <n v="0"/>
    <n v="0"/>
    <n v="0"/>
    <n v="1"/>
    <n v="1"/>
    <n v="1"/>
    <n v="694"/>
    <n v="0"/>
    <n v="0"/>
    <n v="1"/>
    <n v="694"/>
    <n v="1.3879999999999999"/>
    <n v="0"/>
    <n v="0"/>
    <n v="0"/>
    <n v="1"/>
    <n v="61"/>
    <n v="1"/>
    <n v="694"/>
    <n v="0"/>
    <n v="0"/>
    <n v="0"/>
    <n v="35"/>
    <n v="0"/>
    <n v="0"/>
    <n v="0"/>
    <n v="694"/>
    <n v="694"/>
    <n v="148.86300000000003"/>
    <n v="694"/>
    <n v="694"/>
    <n v="1"/>
    <n v="0"/>
    <n v="1"/>
    <n v="1"/>
    <n v="0.96664285714285736"/>
    <n v="10"/>
    <n v="154"/>
    <n v="0"/>
    <n v="694"/>
    <s v="No"/>
    <s v=""/>
    <n v="0"/>
    <n v="0"/>
    <n v="0"/>
    <s v="Yes"/>
    <s v="KMSS-BMO"/>
    <x v="0"/>
    <x v="0"/>
    <x v="0"/>
    <n v="23.976571"/>
    <n v="97.227057000000002"/>
    <s v="MMR001CMP223"/>
    <x v="1"/>
    <m/>
    <n v="151"/>
    <n v="732"/>
  </r>
  <r>
    <x v="1"/>
    <x v="16"/>
    <x v="7"/>
    <s v="MHF,SIDA"/>
    <x v="0"/>
    <x v="7"/>
    <x v="0"/>
    <x v="71"/>
    <n v="59"/>
    <n v="327"/>
    <d v="2022-05-01T00:00:00"/>
    <d v="2022-10-31T00:00:00"/>
    <m/>
    <n v="1"/>
    <m/>
    <m/>
    <s v="Yes"/>
    <n v="1"/>
    <n v="2"/>
    <n v="3"/>
    <m/>
    <m/>
    <m/>
    <m/>
    <m/>
    <m/>
    <m/>
    <m/>
    <m/>
    <m/>
    <m/>
    <m/>
    <m/>
    <n v="2"/>
    <m/>
    <m/>
    <m/>
    <m/>
    <m/>
    <m/>
    <m/>
    <m/>
    <n v="7"/>
    <m/>
    <m/>
    <m/>
    <m/>
    <m/>
    <m/>
    <n v="7"/>
    <x v="1"/>
    <x v="3"/>
    <m/>
    <m/>
    <m/>
    <m/>
    <m/>
    <m/>
    <n v="3"/>
    <m/>
    <m/>
    <n v="2"/>
    <m/>
    <m/>
    <m/>
    <m/>
    <m/>
    <m/>
    <m/>
    <m/>
    <m/>
    <m/>
    <m/>
    <m/>
    <m/>
    <m/>
    <m/>
    <m/>
    <m/>
    <m/>
    <m/>
    <m/>
    <s v="no test"/>
    <s v="no test"/>
    <s v="No Test"/>
    <n v="3"/>
    <n v="0"/>
    <n v="0"/>
    <n v="0"/>
    <n v="0"/>
    <n v="0"/>
    <n v="0"/>
    <n v="1"/>
    <n v="1"/>
    <n v="1"/>
    <n v="327"/>
    <n v="0"/>
    <n v="0"/>
    <n v="1"/>
    <n v="327"/>
    <n v="0.65400000000000003"/>
    <n v="0"/>
    <n v="0"/>
    <n v="0.34599999999999997"/>
    <n v="1"/>
    <n v="7"/>
    <n v="0.42813455657492355"/>
    <n v="140"/>
    <n v="0"/>
    <n v="0"/>
    <n v="0"/>
    <n v="16"/>
    <n v="9"/>
    <n v="0.5718654434250765"/>
    <n v="0"/>
    <n v="0"/>
    <n v="0"/>
    <n v="0"/>
    <n v="0"/>
    <n v="0"/>
    <n v="0"/>
    <n v="1"/>
    <n v="0"/>
    <n v="0"/>
    <n v="0"/>
    <n v="3"/>
    <n v="59"/>
    <n v="0"/>
    <n v="300"/>
    <s v="No"/>
    <s v=""/>
    <n v="0"/>
    <n v="0"/>
    <n v="0"/>
    <s v="Yes"/>
    <s v="KBC-MYT"/>
    <x v="0"/>
    <x v="0"/>
    <x v="0"/>
    <n v="25.360463124999999"/>
    <n v="97.4113064583333"/>
    <s v="MMR001CMP016"/>
    <x v="1"/>
    <m/>
    <n v="59"/>
    <n v="327"/>
  </r>
  <r>
    <x v="1"/>
    <x v="1"/>
    <x v="1"/>
    <s v="ECHO 2739"/>
    <x v="0"/>
    <x v="2"/>
    <x v="0"/>
    <x v="72"/>
    <n v="127"/>
    <n v="741"/>
    <d v="2022-04-01T00:00:00"/>
    <d v="2022-11-30T00:00:00"/>
    <m/>
    <m/>
    <m/>
    <m/>
    <s v="Yes"/>
    <n v="3"/>
    <n v="3"/>
    <m/>
    <m/>
    <m/>
    <n v="3"/>
    <m/>
    <m/>
    <m/>
    <m/>
    <m/>
    <m/>
    <m/>
    <m/>
    <m/>
    <m/>
    <m/>
    <m/>
    <m/>
    <m/>
    <m/>
    <m/>
    <m/>
    <m/>
    <m/>
    <n v="50"/>
    <m/>
    <m/>
    <m/>
    <m/>
    <n v="50"/>
    <n v="9"/>
    <m/>
    <x v="1"/>
    <x v="1"/>
    <m/>
    <m/>
    <m/>
    <m/>
    <m/>
    <m/>
    <n v="8"/>
    <m/>
    <m/>
    <n v="7"/>
    <m/>
    <m/>
    <m/>
    <m/>
    <m/>
    <m/>
    <m/>
    <m/>
    <m/>
    <m/>
    <m/>
    <m/>
    <n v="0"/>
    <m/>
    <n v="50"/>
    <n v="7"/>
    <m/>
    <m/>
    <m/>
    <m/>
    <s v="no test"/>
    <s v="no test"/>
    <s v="No Test"/>
    <n v="0"/>
    <n v="3"/>
    <n v="0"/>
    <n v="0"/>
    <n v="0"/>
    <n v="0"/>
    <n v="0"/>
    <n v="1"/>
    <n v="1"/>
    <n v="1"/>
    <n v="741"/>
    <n v="0"/>
    <n v="0"/>
    <n v="1"/>
    <n v="741"/>
    <n v="1.482"/>
    <n v="0"/>
    <n v="0"/>
    <n v="0"/>
    <n v="1"/>
    <n v="50"/>
    <n v="1"/>
    <n v="741"/>
    <n v="741"/>
    <n v="0"/>
    <n v="0"/>
    <n v="37"/>
    <n v="0"/>
    <n v="0"/>
    <n v="0"/>
    <n v="0"/>
    <n v="0"/>
    <n v="0"/>
    <n v="0"/>
    <n v="0"/>
    <n v="0"/>
    <n v="1"/>
    <n v="0"/>
    <n v="0"/>
    <n v="0"/>
    <n v="8"/>
    <n v="127"/>
    <n v="0"/>
    <n v="741"/>
    <s v="No"/>
    <s v=""/>
    <n v="57"/>
    <n v="0"/>
    <n v="0"/>
    <s v="Yes"/>
    <s v="KMSS-BMO"/>
    <x v="0"/>
    <x v="0"/>
    <x v="0"/>
    <n v="24.245100000000001"/>
    <n v="97.325019999999995"/>
    <s v="MMR001CMP062"/>
    <x v="1"/>
    <m/>
    <n v="122"/>
    <n v="571"/>
  </r>
  <r>
    <x v="1"/>
    <x v="1"/>
    <x v="1"/>
    <s v="ECHO 2739"/>
    <x v="0"/>
    <x v="2"/>
    <x v="1"/>
    <x v="73"/>
    <n v="114"/>
    <n v="586"/>
    <d v="2022-04-01T00:00:00"/>
    <d v="2022-11-30T00:00:00"/>
    <m/>
    <m/>
    <m/>
    <m/>
    <s v="Yes"/>
    <n v="4"/>
    <n v="3"/>
    <n v="1"/>
    <m/>
    <m/>
    <n v="1"/>
    <m/>
    <m/>
    <m/>
    <m/>
    <m/>
    <m/>
    <m/>
    <m/>
    <m/>
    <m/>
    <m/>
    <n v="2"/>
    <n v="2"/>
    <n v="15"/>
    <n v="15"/>
    <m/>
    <m/>
    <m/>
    <m/>
    <n v="28"/>
    <m/>
    <m/>
    <m/>
    <m/>
    <n v="38"/>
    <n v="50"/>
    <m/>
    <x v="1"/>
    <x v="1"/>
    <m/>
    <n v="1"/>
    <m/>
    <m/>
    <n v="3"/>
    <m/>
    <n v="8"/>
    <m/>
    <m/>
    <n v="4"/>
    <m/>
    <n v="0"/>
    <n v="2"/>
    <n v="114"/>
    <n v="206"/>
    <m/>
    <m/>
    <m/>
    <m/>
    <n v="1"/>
    <n v="1"/>
    <n v="12"/>
    <n v="0"/>
    <m/>
    <n v="28"/>
    <n v="4"/>
    <m/>
    <m/>
    <m/>
    <m/>
    <n v="1"/>
    <n v="1"/>
    <s v="Tested"/>
    <n v="1"/>
    <n v="1"/>
    <n v="0"/>
    <n v="0"/>
    <n v="0"/>
    <n v="0"/>
    <n v="0"/>
    <n v="1"/>
    <n v="0.85324232081911267"/>
    <n v="1"/>
    <n v="586"/>
    <n v="0"/>
    <n v="0"/>
    <n v="1"/>
    <n v="586"/>
    <n v="1.1719999999999999"/>
    <n v="0"/>
    <n v="0"/>
    <n v="0"/>
    <n v="1"/>
    <n v="28"/>
    <n v="0.96075085324232079"/>
    <n v="563"/>
    <n v="586"/>
    <n v="0"/>
    <n v="0"/>
    <n v="29"/>
    <n v="1"/>
    <n v="3.924914675767921E-2"/>
    <n v="0"/>
    <n v="586"/>
    <n v="586"/>
    <n v="206"/>
    <n v="586"/>
    <n v="586"/>
    <n v="1"/>
    <n v="0"/>
    <n v="1"/>
    <n v="1"/>
    <n v="1"/>
    <n v="8"/>
    <n v="114"/>
    <n v="0"/>
    <n v="586"/>
    <s v="No"/>
    <n v="2.0477815699658702E-2"/>
    <n v="32"/>
    <n v="0"/>
    <n v="0"/>
    <n v="0"/>
    <n v="0"/>
    <x v="0"/>
    <x v="0"/>
    <x v="0"/>
    <n v="0"/>
    <n v="0"/>
    <n v="0"/>
    <x v="1"/>
    <m/>
    <n v="0"/>
    <n v="0"/>
  </r>
  <r>
    <x v="1"/>
    <x v="16"/>
    <x v="7"/>
    <s v="MHF,SIDA"/>
    <x v="0"/>
    <x v="7"/>
    <x v="0"/>
    <x v="74"/>
    <n v="108"/>
    <n v="622"/>
    <d v="2022-05-01T00:00:00"/>
    <d v="2022-10-31T00:00:00"/>
    <m/>
    <n v="1"/>
    <m/>
    <m/>
    <s v="Yes"/>
    <n v="2"/>
    <n v="3"/>
    <n v="2"/>
    <n v="1"/>
    <m/>
    <n v="3"/>
    <m/>
    <m/>
    <m/>
    <m/>
    <m/>
    <m/>
    <m/>
    <m/>
    <m/>
    <m/>
    <n v="3"/>
    <m/>
    <m/>
    <m/>
    <m/>
    <m/>
    <m/>
    <m/>
    <m/>
    <n v="34"/>
    <m/>
    <m/>
    <m/>
    <m/>
    <m/>
    <m/>
    <n v="34"/>
    <x v="1"/>
    <x v="3"/>
    <m/>
    <m/>
    <m/>
    <m/>
    <m/>
    <m/>
    <n v="3"/>
    <m/>
    <m/>
    <n v="2"/>
    <m/>
    <m/>
    <m/>
    <m/>
    <m/>
    <m/>
    <m/>
    <m/>
    <m/>
    <m/>
    <m/>
    <m/>
    <m/>
    <m/>
    <m/>
    <m/>
    <m/>
    <m/>
    <m/>
    <m/>
    <s v="no test"/>
    <s v="no test"/>
    <s v="No Test"/>
    <n v="1"/>
    <n v="3"/>
    <n v="0"/>
    <n v="0"/>
    <n v="0"/>
    <n v="0"/>
    <n v="0"/>
    <n v="1"/>
    <n v="1"/>
    <n v="1"/>
    <n v="622"/>
    <n v="0"/>
    <n v="0"/>
    <n v="1"/>
    <n v="622"/>
    <n v="1.244"/>
    <n v="0"/>
    <n v="0"/>
    <n v="0"/>
    <n v="1"/>
    <n v="34"/>
    <n v="1"/>
    <n v="622"/>
    <n v="0"/>
    <n v="0"/>
    <n v="0"/>
    <n v="31"/>
    <n v="0"/>
    <n v="0"/>
    <n v="0"/>
    <n v="0"/>
    <n v="0"/>
    <n v="0"/>
    <n v="0"/>
    <n v="0"/>
    <n v="0"/>
    <n v="1"/>
    <n v="0"/>
    <n v="0"/>
    <n v="0"/>
    <n v="3"/>
    <n v="60"/>
    <n v="0"/>
    <n v="300"/>
    <s v="No"/>
    <s v=""/>
    <n v="0"/>
    <n v="0"/>
    <n v="0"/>
    <s v="Yes"/>
    <s v="KBC-MYT"/>
    <x v="0"/>
    <x v="0"/>
    <x v="0"/>
    <n v="25.428910999999999"/>
    <n v="97.418694000000002"/>
    <s v="MMR001CMP008"/>
    <x v="1"/>
    <m/>
    <n v="108"/>
    <n v="622"/>
  </r>
  <r>
    <x v="1"/>
    <x v="10"/>
    <x v="9"/>
    <s v="UNICEF,(UNICEF, USAID)"/>
    <x v="0"/>
    <x v="5"/>
    <x v="0"/>
    <x v="75"/>
    <n v="155"/>
    <n v="655"/>
    <s v="8/6/2021, 07-01-2020"/>
    <s v="8/5/2022, 12-31-2021"/>
    <m/>
    <n v="2"/>
    <m/>
    <m/>
    <s v="Yes"/>
    <n v="4"/>
    <n v="3"/>
    <n v="2"/>
    <n v="1"/>
    <n v="1"/>
    <m/>
    <n v="1"/>
    <m/>
    <m/>
    <n v="1"/>
    <m/>
    <n v="1"/>
    <m/>
    <m/>
    <m/>
    <m/>
    <m/>
    <m/>
    <m/>
    <m/>
    <m/>
    <m/>
    <m/>
    <m/>
    <m/>
    <n v="18"/>
    <m/>
    <m/>
    <m/>
    <m/>
    <m/>
    <m/>
    <m/>
    <x v="0"/>
    <x v="0"/>
    <m/>
    <m/>
    <m/>
    <m/>
    <m/>
    <m/>
    <n v="3"/>
    <m/>
    <m/>
    <n v="2"/>
    <m/>
    <m/>
    <n v="2"/>
    <n v="155"/>
    <n v="140.4975"/>
    <s v="Yes"/>
    <n v="100"/>
    <m/>
    <s v="Every woman requested Sanitary pads"/>
    <m/>
    <m/>
    <m/>
    <n v="0.01"/>
    <m/>
    <m/>
    <m/>
    <m/>
    <m/>
    <m/>
    <m/>
    <s v="no test"/>
    <s v="no test"/>
    <s v="No Test"/>
    <n v="1"/>
    <n v="1"/>
    <n v="1"/>
    <n v="0"/>
    <n v="0"/>
    <n v="0"/>
    <n v="0"/>
    <n v="1"/>
    <n v="0.86513994910941472"/>
    <n v="1"/>
    <n v="655"/>
    <n v="0"/>
    <n v="0"/>
    <n v="1"/>
    <n v="655"/>
    <n v="1.31"/>
    <n v="0"/>
    <n v="0"/>
    <n v="0"/>
    <n v="1"/>
    <n v="18"/>
    <n v="0.54961832061068705"/>
    <n v="360"/>
    <n v="0"/>
    <n v="0"/>
    <n v="0"/>
    <n v="33"/>
    <n v="15"/>
    <n v="0.45038167938931295"/>
    <n v="0"/>
    <n v="655"/>
    <n v="655"/>
    <n v="140.4975"/>
    <n v="655"/>
    <n v="655"/>
    <n v="1"/>
    <n v="0"/>
    <n v="1"/>
    <n v="1"/>
    <n v="0.90643548387096773"/>
    <n v="3"/>
    <n v="60"/>
    <n v="0"/>
    <n v="300"/>
    <s v="No"/>
    <s v=""/>
    <n v="0"/>
    <n v="0"/>
    <n v="0"/>
    <s v="Yes"/>
    <s v="KBC-NSS"/>
    <x v="0"/>
    <x v="0"/>
    <x v="0"/>
    <n v="23.83013"/>
    <n v="97.589979999999997"/>
    <s v="MMR001CMP133"/>
    <x v="1"/>
    <m/>
    <n v="132"/>
    <n v="630"/>
  </r>
  <r>
    <x v="1"/>
    <x v="10"/>
    <x v="9"/>
    <s v="UNICEF,(UNICEF, USAID)"/>
    <x v="0"/>
    <x v="5"/>
    <x v="0"/>
    <x v="76"/>
    <n v="119"/>
    <n v="538"/>
    <s v="8/6/2021, 07-01-2020"/>
    <s v="8/5/2022, 12-31-2021"/>
    <m/>
    <n v="2"/>
    <m/>
    <m/>
    <s v="Yes"/>
    <n v="3"/>
    <n v="4"/>
    <n v="3"/>
    <n v="1"/>
    <n v="1"/>
    <m/>
    <n v="2"/>
    <m/>
    <m/>
    <n v="1"/>
    <m/>
    <n v="1"/>
    <m/>
    <m/>
    <m/>
    <m/>
    <m/>
    <m/>
    <m/>
    <m/>
    <m/>
    <m/>
    <m/>
    <m/>
    <m/>
    <n v="29"/>
    <m/>
    <m/>
    <n v="2"/>
    <m/>
    <m/>
    <m/>
    <m/>
    <x v="0"/>
    <x v="0"/>
    <m/>
    <m/>
    <m/>
    <m/>
    <m/>
    <m/>
    <n v="3"/>
    <m/>
    <m/>
    <n v="2"/>
    <m/>
    <m/>
    <n v="2"/>
    <n v="119"/>
    <n v="115.401"/>
    <s v="Yes"/>
    <n v="100"/>
    <m/>
    <s v="Every woman requested Sanitary pads"/>
    <m/>
    <m/>
    <m/>
    <n v="0.01"/>
    <m/>
    <m/>
    <m/>
    <m/>
    <m/>
    <m/>
    <m/>
    <s v="no test"/>
    <s v="no test"/>
    <s v="No Test"/>
    <n v="2"/>
    <n v="2"/>
    <n v="1"/>
    <n v="0"/>
    <n v="0"/>
    <n v="0"/>
    <n v="0"/>
    <n v="1"/>
    <n v="1"/>
    <n v="1"/>
    <n v="538"/>
    <n v="0"/>
    <n v="0"/>
    <n v="1"/>
    <n v="538"/>
    <n v="1.0760000000000001"/>
    <n v="0"/>
    <n v="0"/>
    <n v="0"/>
    <n v="1"/>
    <n v="27"/>
    <n v="1"/>
    <n v="538"/>
    <n v="0"/>
    <n v="0"/>
    <n v="0"/>
    <n v="27"/>
    <n v="0"/>
    <n v="0"/>
    <n v="6.8965517241379309E-2"/>
    <n v="538"/>
    <n v="538"/>
    <n v="115.401"/>
    <n v="538"/>
    <n v="538"/>
    <n v="1"/>
    <n v="0"/>
    <n v="1"/>
    <n v="1"/>
    <n v="0.96975630252100842"/>
    <n v="3"/>
    <n v="60"/>
    <n v="0"/>
    <n v="300"/>
    <s v="No"/>
    <s v=""/>
    <n v="0"/>
    <n v="0"/>
    <n v="0"/>
    <s v="Yes"/>
    <s v="KBC-NSS"/>
    <x v="0"/>
    <x v="0"/>
    <x v="0"/>
    <n v="23.829599000000002"/>
    <n v="97.590767"/>
    <s v="MMR001CMP230"/>
    <x v="1"/>
    <m/>
    <n v="155"/>
    <n v="677"/>
  </r>
  <r>
    <x v="1"/>
    <x v="10"/>
    <x v="9"/>
    <s v="UNICEF,(UNICEF, USAID)"/>
    <x v="0"/>
    <x v="5"/>
    <x v="0"/>
    <x v="77"/>
    <n v="454"/>
    <n v="2354"/>
    <d v="2021-08-01T00:00:00"/>
    <d v="2022-08-01T00:00:00"/>
    <m/>
    <n v="3"/>
    <m/>
    <m/>
    <s v="Yes"/>
    <n v="4"/>
    <n v="3"/>
    <n v="2"/>
    <n v="1"/>
    <n v="1"/>
    <m/>
    <n v="1"/>
    <m/>
    <m/>
    <n v="1"/>
    <m/>
    <n v="1"/>
    <m/>
    <m/>
    <m/>
    <m/>
    <m/>
    <m/>
    <m/>
    <m/>
    <m/>
    <m/>
    <m/>
    <m/>
    <m/>
    <n v="40"/>
    <m/>
    <m/>
    <n v="3"/>
    <m/>
    <m/>
    <m/>
    <m/>
    <x v="0"/>
    <x v="0"/>
    <m/>
    <m/>
    <m/>
    <m/>
    <m/>
    <m/>
    <n v="1"/>
    <m/>
    <m/>
    <n v="3"/>
    <m/>
    <m/>
    <n v="2"/>
    <n v="454"/>
    <n v="504.93300000000005"/>
    <s v="Yes"/>
    <n v="100"/>
    <m/>
    <s v="Every woman requested Sanitary pads"/>
    <m/>
    <m/>
    <m/>
    <n v="0.01"/>
    <m/>
    <m/>
    <m/>
    <m/>
    <m/>
    <m/>
    <m/>
    <s v="no test"/>
    <s v="no test"/>
    <s v="No Test"/>
    <n v="1"/>
    <n v="1"/>
    <n v="1"/>
    <n v="0"/>
    <n v="0"/>
    <n v="0"/>
    <n v="0"/>
    <n v="0.41064854148966295"/>
    <n v="0.24072500708014724"/>
    <n v="0.41064854148966295"/>
    <n v="966.66666666666663"/>
    <n v="0"/>
    <n v="0"/>
    <n v="0.41064854148966295"/>
    <n v="966.66666666666663"/>
    <n v="1.9333333333333333"/>
    <n v="0.58935145851033699"/>
    <n v="1387.3333333333333"/>
    <n v="3.0666666666666664"/>
    <n v="5"/>
    <n v="37"/>
    <n v="0.3143585386576041"/>
    <n v="740"/>
    <n v="0"/>
    <n v="0"/>
    <n v="0"/>
    <n v="118"/>
    <n v="78"/>
    <n v="0.6856414613423959"/>
    <n v="7.4999999999999997E-2"/>
    <n v="1000"/>
    <n v="2354"/>
    <n v="504.93300000000005"/>
    <n v="2354"/>
    <n v="2354"/>
    <n v="1"/>
    <n v="0"/>
    <n v="0.42480883602378927"/>
    <n v="1"/>
    <n v="1"/>
    <n v="1"/>
    <n v="20"/>
    <n v="0"/>
    <n v="100"/>
    <s v="No"/>
    <s v=""/>
    <n v="0"/>
    <n v="0"/>
    <n v="0"/>
    <s v="Yes"/>
    <s v="KMSS-BMO"/>
    <x v="0"/>
    <x v="0"/>
    <x v="0"/>
    <n v="23.835319999999999"/>
    <n v="97.578490000000002"/>
    <s v="MMR001CMP132"/>
    <x v="1"/>
    <m/>
    <n v="622"/>
    <n v="3302"/>
  </r>
  <r>
    <x v="1"/>
    <x v="10"/>
    <x v="9"/>
    <s v="UNICEF,(UNICEF, USAID)"/>
    <x v="0"/>
    <x v="5"/>
    <x v="0"/>
    <x v="78"/>
    <n v="142"/>
    <n v="737"/>
    <d v="2021-08-01T00:00:00"/>
    <d v="2022-08-01T00:00:00"/>
    <m/>
    <n v="3"/>
    <m/>
    <m/>
    <s v="Yes"/>
    <n v="3"/>
    <n v="4"/>
    <n v="1"/>
    <n v="1"/>
    <n v="1"/>
    <m/>
    <n v="1"/>
    <m/>
    <m/>
    <n v="1"/>
    <m/>
    <n v="1"/>
    <m/>
    <m/>
    <m/>
    <m/>
    <m/>
    <m/>
    <m/>
    <m/>
    <m/>
    <m/>
    <m/>
    <m/>
    <m/>
    <n v="48"/>
    <m/>
    <m/>
    <n v="4"/>
    <m/>
    <m/>
    <m/>
    <m/>
    <x v="0"/>
    <x v="0"/>
    <m/>
    <m/>
    <m/>
    <m/>
    <m/>
    <m/>
    <n v="1"/>
    <m/>
    <m/>
    <n v="1"/>
    <m/>
    <m/>
    <n v="2"/>
    <n v="142"/>
    <n v="158.0865"/>
    <s v="Yes"/>
    <n v="100"/>
    <m/>
    <s v="Every woman requested Sanitary pads"/>
    <m/>
    <m/>
    <m/>
    <n v="0.01"/>
    <m/>
    <m/>
    <m/>
    <m/>
    <m/>
    <m/>
    <m/>
    <s v="no test"/>
    <s v="no test"/>
    <s v="No Test"/>
    <n v="0"/>
    <n v="1"/>
    <n v="1"/>
    <n v="0"/>
    <n v="0"/>
    <n v="0"/>
    <n v="0"/>
    <n v="0.76888285843509718"/>
    <n v="0.42966983265490732"/>
    <n v="0.76888285843509718"/>
    <n v="566.66666666666663"/>
    <n v="0"/>
    <n v="0"/>
    <n v="0.76888285843509718"/>
    <n v="566.66666666666663"/>
    <n v="1.1333333333333333"/>
    <n v="0.23111714156490282"/>
    <n v="170.33333333333337"/>
    <n v="0"/>
    <n v="1"/>
    <n v="44"/>
    <n v="1"/>
    <n v="737"/>
    <n v="0"/>
    <n v="0"/>
    <n v="0"/>
    <n v="37"/>
    <n v="0"/>
    <n v="0"/>
    <n v="8.3333333333333329E-2"/>
    <n v="737"/>
    <n v="737"/>
    <n v="158.0865"/>
    <n v="737"/>
    <n v="737"/>
    <n v="1"/>
    <n v="0"/>
    <n v="1"/>
    <n v="1"/>
    <n v="1"/>
    <n v="1"/>
    <n v="20"/>
    <n v="0"/>
    <n v="100"/>
    <s v="No"/>
    <s v=""/>
    <n v="0"/>
    <n v="0"/>
    <n v="0"/>
    <s v="Yes"/>
    <s v="KMSS-BMO"/>
    <x v="0"/>
    <x v="0"/>
    <x v="0"/>
    <n v="23.833477999999999"/>
    <n v="97.578367"/>
    <s v="MMR001CMP228"/>
    <x v="1"/>
    <m/>
    <n v="142"/>
    <n v="830"/>
  </r>
  <r>
    <x v="1"/>
    <x v="3"/>
    <x v="3"/>
    <s v="UNICEF, USAID"/>
    <x v="0"/>
    <x v="5"/>
    <x v="0"/>
    <x v="79"/>
    <n v="97"/>
    <n v="544"/>
    <s v="2-01-2019, 07-01-2020"/>
    <s v="30-09-2021, 28-2-2022"/>
    <m/>
    <m/>
    <m/>
    <m/>
    <m/>
    <m/>
    <m/>
    <n v="3"/>
    <m/>
    <m/>
    <m/>
    <m/>
    <m/>
    <m/>
    <m/>
    <m/>
    <m/>
    <m/>
    <m/>
    <m/>
    <m/>
    <m/>
    <m/>
    <m/>
    <m/>
    <m/>
    <m/>
    <m/>
    <m/>
    <m/>
    <m/>
    <m/>
    <m/>
    <m/>
    <m/>
    <m/>
    <m/>
    <m/>
    <x v="0"/>
    <x v="0"/>
    <m/>
    <m/>
    <m/>
    <m/>
    <m/>
    <m/>
    <n v="7"/>
    <m/>
    <m/>
    <n v="7"/>
    <m/>
    <m/>
    <m/>
    <m/>
    <m/>
    <m/>
    <m/>
    <m/>
    <m/>
    <m/>
    <m/>
    <m/>
    <m/>
    <m/>
    <m/>
    <m/>
    <m/>
    <m/>
    <m/>
    <m/>
    <s v="no test"/>
    <s v="no test"/>
    <s v="No Test"/>
    <n v="3"/>
    <n v="0"/>
    <n v="0"/>
    <n v="0"/>
    <n v="0"/>
    <n v="0"/>
    <n v="0"/>
    <n v="1"/>
    <n v="1"/>
    <n v="1"/>
    <n v="544"/>
    <n v="0"/>
    <n v="0"/>
    <n v="1"/>
    <n v="544"/>
    <n v="1.0880000000000001"/>
    <n v="0"/>
    <n v="0"/>
    <n v="0"/>
    <n v="1"/>
    <n v="0"/>
    <n v="0"/>
    <n v="0"/>
    <n v="0"/>
    <n v="0"/>
    <n v="0"/>
    <n v="27"/>
    <n v="27"/>
    <n v="1"/>
    <n v="0"/>
    <n v="0"/>
    <n v="0"/>
    <n v="0"/>
    <n v="0"/>
    <n v="0"/>
    <n v="0"/>
    <n v="1"/>
    <n v="0"/>
    <n v="0"/>
    <n v="0"/>
    <n v="7"/>
    <n v="97"/>
    <n v="0"/>
    <n v="544"/>
    <s v="No"/>
    <s v=""/>
    <n v="0"/>
    <n v="0"/>
    <n v="0"/>
    <n v="0"/>
    <s v="uncovered"/>
    <x v="0"/>
    <x v="2"/>
    <x v="0"/>
    <n v="23.827870999999998"/>
    <n v="97.588291999999996"/>
    <s v="MMR001CMP134"/>
    <x v="1"/>
    <m/>
    <n v="120"/>
    <n v="664"/>
  </r>
  <r>
    <x v="1"/>
    <x v="1"/>
    <x v="1"/>
    <s v="ECHO 2739"/>
    <x v="0"/>
    <x v="5"/>
    <x v="0"/>
    <x v="80"/>
    <n v="172"/>
    <n v="789"/>
    <d v="2022-04-01T00:00:00"/>
    <d v="2022-11-30T00:00:00"/>
    <m/>
    <m/>
    <m/>
    <m/>
    <s v="Yes"/>
    <m/>
    <n v="7"/>
    <n v="4"/>
    <m/>
    <m/>
    <n v="4"/>
    <m/>
    <m/>
    <m/>
    <m/>
    <m/>
    <m/>
    <m/>
    <m/>
    <m/>
    <m/>
    <m/>
    <m/>
    <m/>
    <m/>
    <m/>
    <m/>
    <m/>
    <m/>
    <m/>
    <n v="44"/>
    <m/>
    <m/>
    <m/>
    <m/>
    <n v="44"/>
    <n v="39"/>
    <m/>
    <x v="1"/>
    <x v="1"/>
    <m/>
    <n v="1"/>
    <m/>
    <m/>
    <n v="1"/>
    <m/>
    <n v="4"/>
    <m/>
    <m/>
    <n v="5"/>
    <m/>
    <m/>
    <m/>
    <m/>
    <m/>
    <m/>
    <m/>
    <m/>
    <m/>
    <m/>
    <m/>
    <m/>
    <m/>
    <m/>
    <n v="44"/>
    <n v="5"/>
    <m/>
    <m/>
    <m/>
    <m/>
    <s v="no test"/>
    <s v="no test"/>
    <s v="No Test"/>
    <n v="4"/>
    <n v="4"/>
    <n v="0"/>
    <n v="0"/>
    <n v="0"/>
    <n v="0"/>
    <n v="0"/>
    <n v="1"/>
    <n v="1"/>
    <n v="1"/>
    <n v="789"/>
    <n v="0"/>
    <n v="0"/>
    <n v="1"/>
    <n v="789"/>
    <n v="1.5780000000000001"/>
    <n v="0"/>
    <n v="0"/>
    <n v="0.42199999999999993"/>
    <n v="2"/>
    <n v="44"/>
    <n v="1"/>
    <n v="789"/>
    <n v="789"/>
    <n v="0"/>
    <n v="0"/>
    <n v="39"/>
    <n v="0"/>
    <n v="0"/>
    <n v="0"/>
    <n v="0"/>
    <n v="0"/>
    <n v="0"/>
    <n v="0"/>
    <n v="0"/>
    <n v="0"/>
    <n v="1"/>
    <n v="0"/>
    <n v="0"/>
    <n v="0"/>
    <n v="4"/>
    <n v="80"/>
    <n v="0"/>
    <n v="400"/>
    <s v="No"/>
    <s v=""/>
    <n v="49"/>
    <n v="0"/>
    <n v="0"/>
    <s v="Yes"/>
    <s v="KBC-BMO"/>
    <x v="0"/>
    <x v="0"/>
    <x v="0"/>
    <n v="24.129059999999999"/>
    <n v="97.291820000000001"/>
    <s v="MMR001CMP066"/>
    <x v="1"/>
    <m/>
    <n v="181"/>
    <n v="815"/>
  </r>
  <r>
    <x v="1"/>
    <x v="0"/>
    <x v="0"/>
    <m/>
    <x v="0"/>
    <x v="5"/>
    <x v="0"/>
    <x v="81"/>
    <n v="67"/>
    <n v="308"/>
    <s v="13-8-2021, 6-1-2020"/>
    <s v="12-20-2022, 30-7-2021"/>
    <m/>
    <m/>
    <m/>
    <m/>
    <m/>
    <m/>
    <n v="4"/>
    <m/>
    <m/>
    <m/>
    <m/>
    <m/>
    <m/>
    <m/>
    <m/>
    <m/>
    <m/>
    <m/>
    <m/>
    <m/>
    <m/>
    <m/>
    <m/>
    <m/>
    <m/>
    <m/>
    <m/>
    <m/>
    <m/>
    <m/>
    <m/>
    <m/>
    <m/>
    <m/>
    <m/>
    <m/>
    <m/>
    <m/>
    <x v="0"/>
    <x v="0"/>
    <m/>
    <m/>
    <m/>
    <m/>
    <m/>
    <m/>
    <n v="7"/>
    <m/>
    <m/>
    <n v="7"/>
    <m/>
    <m/>
    <m/>
    <m/>
    <m/>
    <m/>
    <m/>
    <m/>
    <m/>
    <m/>
    <m/>
    <m/>
    <m/>
    <m/>
    <m/>
    <m/>
    <m/>
    <m/>
    <m/>
    <m/>
    <s v="no test"/>
    <s v="no test"/>
    <s v="No Test"/>
    <n v="0"/>
    <n v="0"/>
    <n v="0"/>
    <n v="0"/>
    <n v="0"/>
    <n v="0"/>
    <n v="0"/>
    <n v="0"/>
    <n v="0"/>
    <n v="0"/>
    <n v="0"/>
    <n v="0"/>
    <n v="0"/>
    <n v="0"/>
    <n v="0"/>
    <n v="0"/>
    <n v="1"/>
    <n v="308"/>
    <n v="1"/>
    <n v="1"/>
    <n v="0"/>
    <n v="0"/>
    <n v="0"/>
    <n v="0"/>
    <n v="0"/>
    <n v="0"/>
    <n v="15"/>
    <n v="15"/>
    <n v="1"/>
    <n v="0"/>
    <n v="0"/>
    <n v="0"/>
    <n v="0"/>
    <n v="0"/>
    <n v="0"/>
    <n v="0"/>
    <n v="1"/>
    <n v="0"/>
    <n v="0"/>
    <n v="0"/>
    <n v="7"/>
    <n v="67"/>
    <n v="0"/>
    <n v="308"/>
    <s v="No"/>
    <s v=""/>
    <n v="0"/>
    <n v="0"/>
    <n v="0"/>
    <n v="0"/>
    <s v="uncovered"/>
    <x v="0"/>
    <x v="2"/>
    <x v="0"/>
    <n v="24.118618999999999"/>
    <n v="97.298055000000005"/>
    <s v="MMR001CMP196"/>
    <x v="0"/>
    <m/>
    <n v="70"/>
    <n v="344"/>
  </r>
  <r>
    <x v="1"/>
    <x v="2"/>
    <x v="2"/>
    <s v="MHF"/>
    <x v="0"/>
    <x v="7"/>
    <x v="0"/>
    <x v="82"/>
    <n v="19"/>
    <n v="84"/>
    <d v="2022-01-01T00:00:00"/>
    <d v="2022-12-31T00:00:00"/>
    <m/>
    <n v="1"/>
    <m/>
    <m/>
    <s v="Yes"/>
    <n v="2"/>
    <n v="3"/>
    <n v="1"/>
    <m/>
    <m/>
    <m/>
    <n v="1"/>
    <m/>
    <m/>
    <m/>
    <m/>
    <m/>
    <m/>
    <m/>
    <m/>
    <m/>
    <m/>
    <m/>
    <m/>
    <m/>
    <m/>
    <m/>
    <m/>
    <m/>
    <m/>
    <n v="5"/>
    <m/>
    <m/>
    <m/>
    <m/>
    <n v="3"/>
    <m/>
    <m/>
    <x v="1"/>
    <x v="1"/>
    <m/>
    <m/>
    <m/>
    <m/>
    <m/>
    <m/>
    <n v="4"/>
    <m/>
    <m/>
    <n v="3"/>
    <m/>
    <m/>
    <m/>
    <n v="19"/>
    <m/>
    <s v="No"/>
    <m/>
    <n v="0.5"/>
    <m/>
    <n v="0.5"/>
    <n v="0.8"/>
    <n v="20"/>
    <n v="0.8"/>
    <m/>
    <m/>
    <m/>
    <m/>
    <m/>
    <m/>
    <m/>
    <s v="no test"/>
    <s v="no test"/>
    <s v="No Test"/>
    <n v="1"/>
    <n v="1"/>
    <n v="0"/>
    <n v="0"/>
    <n v="0"/>
    <n v="0"/>
    <n v="0"/>
    <n v="1"/>
    <n v="1"/>
    <n v="1"/>
    <n v="84"/>
    <n v="0"/>
    <n v="0"/>
    <n v="1"/>
    <n v="84"/>
    <n v="0.16800000000000001"/>
    <n v="0"/>
    <n v="0"/>
    <n v="0.83199999999999996"/>
    <n v="1"/>
    <n v="5"/>
    <n v="1"/>
    <n v="84"/>
    <n v="60"/>
    <n v="0"/>
    <n v="0"/>
    <n v="4"/>
    <n v="0"/>
    <n v="0"/>
    <n v="0"/>
    <n v="0"/>
    <n v="84"/>
    <n v="0"/>
    <n v="84"/>
    <n v="84"/>
    <n v="1"/>
    <n v="0"/>
    <n v="0"/>
    <n v="1"/>
    <n v="0"/>
    <n v="4"/>
    <n v="19"/>
    <n v="0"/>
    <n v="84"/>
    <s v="No"/>
    <n v="0.23809523809523808"/>
    <n v="0"/>
    <n v="0"/>
    <n v="0"/>
    <s v="Yes"/>
    <s v="Shalom"/>
    <x v="0"/>
    <x v="0"/>
    <x v="0"/>
    <n v="25.374343974359"/>
    <n v="97.2843958974359"/>
    <s v="MMR001CMP020"/>
    <x v="1"/>
    <m/>
    <n v="22"/>
    <n v="90"/>
  </r>
  <r>
    <x v="1"/>
    <x v="2"/>
    <x v="2"/>
    <s v="MHF"/>
    <x v="0"/>
    <x v="7"/>
    <x v="0"/>
    <x v="83"/>
    <n v="29"/>
    <n v="174"/>
    <d v="2022-01-01T00:00:00"/>
    <d v="2022-12-31T00:00:00"/>
    <m/>
    <n v="1"/>
    <n v="1"/>
    <m/>
    <s v="Yes"/>
    <n v="3"/>
    <n v="5"/>
    <n v="2"/>
    <m/>
    <m/>
    <n v="1"/>
    <n v="1"/>
    <m/>
    <m/>
    <m/>
    <m/>
    <m/>
    <m/>
    <n v="2"/>
    <m/>
    <m/>
    <m/>
    <m/>
    <m/>
    <m/>
    <m/>
    <m/>
    <m/>
    <m/>
    <m/>
    <n v="6"/>
    <m/>
    <m/>
    <m/>
    <m/>
    <n v="6"/>
    <m/>
    <m/>
    <x v="2"/>
    <x v="1"/>
    <m/>
    <m/>
    <m/>
    <m/>
    <m/>
    <m/>
    <n v="4"/>
    <m/>
    <m/>
    <n v="2"/>
    <m/>
    <m/>
    <n v="2"/>
    <n v="29"/>
    <m/>
    <s v="Yes"/>
    <n v="4"/>
    <n v="0.4"/>
    <m/>
    <n v="1"/>
    <n v="1"/>
    <n v="40"/>
    <n v="0.7"/>
    <m/>
    <m/>
    <m/>
    <m/>
    <m/>
    <m/>
    <m/>
    <s v="no test"/>
    <s v="no test"/>
    <s v="No Test"/>
    <n v="2"/>
    <n v="2"/>
    <n v="0"/>
    <n v="0"/>
    <n v="0"/>
    <n v="0"/>
    <n v="0"/>
    <n v="1"/>
    <n v="1"/>
    <n v="1"/>
    <n v="174"/>
    <n v="1"/>
    <n v="174"/>
    <n v="1"/>
    <n v="174"/>
    <n v="0.34799999999999998"/>
    <n v="0"/>
    <n v="0"/>
    <n v="0.65200000000000002"/>
    <n v="1"/>
    <n v="6"/>
    <n v="0.68965517241379315"/>
    <n v="120"/>
    <n v="120"/>
    <n v="0"/>
    <n v="0"/>
    <n v="9"/>
    <n v="3"/>
    <n v="0.31034482758620685"/>
    <n v="0"/>
    <n v="174"/>
    <n v="174"/>
    <n v="0"/>
    <n v="174"/>
    <n v="174"/>
    <n v="1"/>
    <n v="0"/>
    <n v="1"/>
    <n v="1"/>
    <n v="0"/>
    <n v="4"/>
    <n v="29"/>
    <n v="0"/>
    <n v="174"/>
    <s v="No"/>
    <n v="0.22988505747126436"/>
    <n v="0"/>
    <n v="0"/>
    <n v="0"/>
    <s v="Yes"/>
    <s v="Shalom"/>
    <x v="0"/>
    <x v="0"/>
    <x v="0"/>
    <n v="25.371049444444399"/>
    <n v="97.290952037037002"/>
    <s v="MMR001CMP021"/>
    <x v="1"/>
    <m/>
    <n v="30"/>
    <n v="177"/>
  </r>
  <r>
    <x v="1"/>
    <x v="0"/>
    <x v="0"/>
    <m/>
    <x v="0"/>
    <x v="1"/>
    <x v="0"/>
    <x v="84"/>
    <n v="3"/>
    <n v="15"/>
    <s v="13-8-2021, 6-1-2020"/>
    <s v="12-20-2022, 30-7-2021"/>
    <m/>
    <n v="0"/>
    <m/>
    <m/>
    <s v="Yes"/>
    <m/>
    <n v="5"/>
    <n v="1"/>
    <m/>
    <m/>
    <n v="1"/>
    <m/>
    <m/>
    <m/>
    <m/>
    <m/>
    <m/>
    <m/>
    <m/>
    <m/>
    <m/>
    <n v="1"/>
    <m/>
    <m/>
    <m/>
    <m/>
    <m/>
    <m/>
    <m/>
    <m/>
    <n v="0"/>
    <m/>
    <m/>
    <m/>
    <m/>
    <m/>
    <m/>
    <n v="0"/>
    <x v="1"/>
    <x v="3"/>
    <m/>
    <m/>
    <m/>
    <m/>
    <m/>
    <m/>
    <n v="7"/>
    <m/>
    <n v="0"/>
    <n v="4"/>
    <m/>
    <m/>
    <m/>
    <m/>
    <m/>
    <m/>
    <m/>
    <m/>
    <m/>
    <m/>
    <m/>
    <m/>
    <m/>
    <m/>
    <m/>
    <m/>
    <m/>
    <m/>
    <m/>
    <m/>
    <s v="no test"/>
    <s v="no test"/>
    <s v="No Test"/>
    <n v="1"/>
    <n v="1"/>
    <n v="0"/>
    <n v="0"/>
    <n v="0"/>
    <n v="0"/>
    <n v="0"/>
    <n v="1"/>
    <n v="1"/>
    <n v="1"/>
    <n v="15"/>
    <n v="0"/>
    <n v="0"/>
    <n v="1"/>
    <n v="15"/>
    <n v="0.03"/>
    <n v="0"/>
    <n v="0"/>
    <n v="0.97"/>
    <n v="1"/>
    <n v="0"/>
    <n v="0"/>
    <n v="0"/>
    <n v="0"/>
    <n v="0"/>
    <n v="0"/>
    <n v="1"/>
    <n v="1"/>
    <n v="1"/>
    <n v="0"/>
    <n v="0"/>
    <n v="0"/>
    <n v="0"/>
    <n v="0"/>
    <n v="0"/>
    <n v="0"/>
    <n v="1"/>
    <n v="0"/>
    <n v="0"/>
    <n v="0"/>
    <n v="7"/>
    <n v="3"/>
    <n v="0"/>
    <n v="15"/>
    <s v="No"/>
    <s v=""/>
    <n v="0"/>
    <n v="0"/>
    <n v="0"/>
    <s v="Yes"/>
    <s v="Shalom"/>
    <x v="0"/>
    <x v="3"/>
    <x v="0"/>
    <n v="25.6145"/>
    <n v="96.319829999999996"/>
    <s v="MMR001CMP091"/>
    <x v="0"/>
    <m/>
    <n v="3"/>
    <n v="14"/>
  </r>
  <r>
    <x v="1"/>
    <x v="0"/>
    <x v="0"/>
    <m/>
    <x v="0"/>
    <x v="10"/>
    <x v="0"/>
    <x v="85"/>
    <n v="15"/>
    <n v="71"/>
    <s v="13-8-2021, 6-1-2020"/>
    <s v="12-20-2022, 30-7-2021"/>
    <m/>
    <m/>
    <m/>
    <m/>
    <m/>
    <m/>
    <n v="4"/>
    <m/>
    <m/>
    <m/>
    <m/>
    <m/>
    <m/>
    <m/>
    <m/>
    <m/>
    <m/>
    <m/>
    <m/>
    <m/>
    <m/>
    <m/>
    <m/>
    <m/>
    <m/>
    <m/>
    <m/>
    <m/>
    <m/>
    <m/>
    <m/>
    <m/>
    <m/>
    <m/>
    <m/>
    <m/>
    <m/>
    <m/>
    <x v="0"/>
    <x v="0"/>
    <m/>
    <m/>
    <m/>
    <m/>
    <m/>
    <m/>
    <n v="3"/>
    <m/>
    <m/>
    <n v="2"/>
    <m/>
    <m/>
    <m/>
    <m/>
    <m/>
    <m/>
    <m/>
    <m/>
    <m/>
    <m/>
    <m/>
    <m/>
    <m/>
    <m/>
    <m/>
    <m/>
    <m/>
    <m/>
    <m/>
    <m/>
    <s v="no test"/>
    <s v="no test"/>
    <s v="No Test"/>
    <n v="0"/>
    <n v="0"/>
    <n v="0"/>
    <n v="0"/>
    <n v="0"/>
    <n v="0"/>
    <n v="0"/>
    <n v="0"/>
    <n v="0"/>
    <n v="0"/>
    <n v="0"/>
    <n v="0"/>
    <n v="0"/>
    <n v="0"/>
    <n v="0"/>
    <n v="0"/>
    <n v="1"/>
    <n v="71"/>
    <n v="1"/>
    <n v="1"/>
    <n v="0"/>
    <n v="0"/>
    <n v="0"/>
    <n v="0"/>
    <n v="0"/>
    <n v="0"/>
    <n v="4"/>
    <n v="4"/>
    <n v="1"/>
    <n v="0"/>
    <n v="0"/>
    <n v="0"/>
    <n v="0"/>
    <n v="0"/>
    <n v="0"/>
    <n v="0"/>
    <n v="1"/>
    <n v="0"/>
    <n v="0"/>
    <n v="0"/>
    <n v="3"/>
    <n v="15"/>
    <n v="0"/>
    <n v="71"/>
    <s v="No"/>
    <s v=""/>
    <n v="0"/>
    <n v="0"/>
    <n v="0"/>
    <n v="0"/>
    <s v="uncovered"/>
    <x v="0"/>
    <x v="2"/>
    <x v="0"/>
    <n v="24.764959999999999"/>
    <n v="96.366919999999993"/>
    <s v="MMR001CMP233"/>
    <x v="0"/>
    <m/>
    <n v="7"/>
    <n v="35"/>
  </r>
  <r>
    <x v="1"/>
    <x v="1"/>
    <x v="1"/>
    <s v="ECHO 2739"/>
    <x v="0"/>
    <x v="2"/>
    <x v="0"/>
    <x v="86"/>
    <n v="86"/>
    <n v="424"/>
    <d v="2022-04-01T00:00:00"/>
    <d v="2022-11-30T00:00:00"/>
    <m/>
    <m/>
    <m/>
    <m/>
    <s v="Yes"/>
    <n v="2"/>
    <n v="5"/>
    <n v="2"/>
    <m/>
    <m/>
    <m/>
    <m/>
    <m/>
    <m/>
    <m/>
    <m/>
    <m/>
    <m/>
    <m/>
    <m/>
    <m/>
    <m/>
    <n v="2"/>
    <n v="1"/>
    <m/>
    <m/>
    <m/>
    <m/>
    <m/>
    <m/>
    <n v="6"/>
    <m/>
    <m/>
    <m/>
    <m/>
    <n v="6"/>
    <n v="5"/>
    <m/>
    <x v="1"/>
    <x v="1"/>
    <m/>
    <m/>
    <m/>
    <m/>
    <m/>
    <m/>
    <m/>
    <m/>
    <m/>
    <n v="1"/>
    <m/>
    <m/>
    <m/>
    <m/>
    <m/>
    <m/>
    <m/>
    <m/>
    <m/>
    <m/>
    <m/>
    <m/>
    <n v="0"/>
    <m/>
    <n v="6"/>
    <n v="1"/>
    <m/>
    <m/>
    <m/>
    <m/>
    <n v="0.5"/>
    <s v="no test"/>
    <s v="Tested"/>
    <n v="2"/>
    <n v="0"/>
    <n v="0"/>
    <n v="0"/>
    <n v="0"/>
    <n v="0"/>
    <n v="0"/>
    <n v="1"/>
    <n v="1"/>
    <n v="1"/>
    <n v="424"/>
    <n v="0"/>
    <n v="0"/>
    <n v="1"/>
    <n v="424"/>
    <n v="0.84799999999999998"/>
    <n v="0"/>
    <n v="0"/>
    <n v="0.15200000000000002"/>
    <n v="1"/>
    <n v="6"/>
    <n v="0.28301886792452829"/>
    <n v="120"/>
    <n v="120"/>
    <n v="0"/>
    <n v="0"/>
    <n v="21"/>
    <n v="15"/>
    <n v="0.71698113207547176"/>
    <n v="0"/>
    <n v="0"/>
    <n v="0"/>
    <n v="0"/>
    <n v="0"/>
    <n v="0"/>
    <n v="0"/>
    <n v="1"/>
    <n v="0"/>
    <n v="0"/>
    <n v="0"/>
    <n v="0"/>
    <n v="0"/>
    <n v="0"/>
    <n v="0"/>
    <s v="No"/>
    <s v=""/>
    <n v="7"/>
    <n v="0"/>
    <n v="0"/>
    <s v="Yes"/>
    <s v="KBC-BMO"/>
    <x v="0"/>
    <x v="0"/>
    <x v="0"/>
    <n v="24.250689999999999"/>
    <n v="97.344359999999995"/>
    <s v="MMR001CMP056"/>
    <x v="1"/>
    <m/>
    <n v="646"/>
    <n v="2978"/>
  </r>
  <r>
    <x v="1"/>
    <x v="7"/>
    <x v="7"/>
    <s v="MHF"/>
    <x v="0"/>
    <x v="0"/>
    <x v="1"/>
    <x v="87"/>
    <n v="49"/>
    <n v="203"/>
    <d v="2022-04-01T00:00:00"/>
    <d v="2022-10-31T00:00:00"/>
    <n v="53"/>
    <m/>
    <m/>
    <m/>
    <s v="Yes"/>
    <n v="1"/>
    <n v="1"/>
    <n v="4"/>
    <m/>
    <m/>
    <m/>
    <m/>
    <m/>
    <m/>
    <m/>
    <m/>
    <m/>
    <m/>
    <m/>
    <m/>
    <m/>
    <m/>
    <n v="1"/>
    <n v="1"/>
    <n v="3"/>
    <n v="3"/>
    <n v="1"/>
    <m/>
    <m/>
    <s v="Inadequate dirinking water in every summer. Water contamination (iron) is quite high and KBC constructed slow sand filter in attached 2 shallow tube well. "/>
    <n v="7"/>
    <m/>
    <m/>
    <m/>
    <m/>
    <n v="4"/>
    <n v="2"/>
    <m/>
    <x v="1"/>
    <x v="1"/>
    <m/>
    <m/>
    <m/>
    <m/>
    <n v="4"/>
    <s v="There have no child latrine facitity in TLS and CFS"/>
    <n v="2"/>
    <m/>
    <m/>
    <n v="2"/>
    <m/>
    <n v="1"/>
    <m/>
    <m/>
    <m/>
    <s v="Yes"/>
    <n v="1"/>
    <n v="0.5"/>
    <s v="Hygiene item distribution "/>
    <m/>
    <n v="0.8"/>
    <n v="10"/>
    <n v="0.75"/>
    <m/>
    <m/>
    <m/>
    <m/>
    <m/>
    <m/>
    <m/>
    <n v="1"/>
    <n v="1"/>
    <s v="Tested"/>
    <n v="4"/>
    <n v="0"/>
    <n v="0"/>
    <n v="0"/>
    <n v="0"/>
    <n v="0"/>
    <n v="0"/>
    <n v="1"/>
    <n v="1"/>
    <n v="1"/>
    <n v="203"/>
    <n v="0"/>
    <n v="0"/>
    <n v="1"/>
    <n v="203"/>
    <n v="0.40600000000000003"/>
    <n v="0"/>
    <n v="0"/>
    <n v="0.59399999999999997"/>
    <n v="1"/>
    <n v="7"/>
    <n v="0.70935960591133007"/>
    <n v="144"/>
    <n v="80"/>
    <n v="0"/>
    <n v="0"/>
    <n v="10"/>
    <n v="3"/>
    <n v="0.29064039408866993"/>
    <n v="0"/>
    <n v="203"/>
    <n v="0"/>
    <n v="0"/>
    <n v="0"/>
    <n v="203"/>
    <n v="1"/>
    <n v="0"/>
    <n v="1"/>
    <n v="0"/>
    <n v="0"/>
    <n v="2"/>
    <n v="40"/>
    <n v="1"/>
    <n v="200"/>
    <s v="Yes"/>
    <n v="4.9261083743842367E-2"/>
    <n v="0"/>
    <n v="0"/>
    <n v="0"/>
    <n v="0"/>
    <n v="0"/>
    <x v="0"/>
    <x v="3"/>
    <x v="0"/>
    <n v="0"/>
    <n v="0"/>
    <n v="0"/>
    <x v="1"/>
    <m/>
    <n v="0"/>
    <n v="0"/>
  </r>
  <r>
    <x v="1"/>
    <x v="11"/>
    <x v="7"/>
    <s v="MHF"/>
    <x v="0"/>
    <x v="2"/>
    <x v="1"/>
    <x v="88"/>
    <n v="311"/>
    <n v="1340"/>
    <d v="2021-11-01T00:00:00"/>
    <d v="2022-10-31T00:00:00"/>
    <n v="153"/>
    <n v="4"/>
    <m/>
    <m/>
    <s v="No"/>
    <n v="3"/>
    <n v="5"/>
    <n v="3"/>
    <m/>
    <m/>
    <m/>
    <m/>
    <m/>
    <m/>
    <m/>
    <m/>
    <m/>
    <m/>
    <m/>
    <m/>
    <m/>
    <m/>
    <n v="5"/>
    <n v="5"/>
    <n v="9"/>
    <n v="9"/>
    <m/>
    <m/>
    <m/>
    <m/>
    <n v="19"/>
    <m/>
    <m/>
    <m/>
    <m/>
    <m/>
    <m/>
    <n v="0"/>
    <x v="1"/>
    <x v="1"/>
    <m/>
    <m/>
    <m/>
    <m/>
    <m/>
    <m/>
    <n v="14"/>
    <m/>
    <m/>
    <n v="2"/>
    <m/>
    <n v="3"/>
    <n v="5"/>
    <n v="311"/>
    <n v="468.99999999999994"/>
    <s v="Yes"/>
    <n v="1"/>
    <n v="0.3"/>
    <m/>
    <n v="0.8"/>
    <n v="0.8"/>
    <n v="20"/>
    <n v="0.8"/>
    <m/>
    <m/>
    <m/>
    <m/>
    <m/>
    <m/>
    <m/>
    <n v="1"/>
    <n v="1"/>
    <s v="Tested"/>
    <n v="3"/>
    <n v="0"/>
    <n v="0"/>
    <n v="0"/>
    <n v="0"/>
    <n v="0"/>
    <n v="0"/>
    <n v="0.89552238805970152"/>
    <n v="0.55970149253731338"/>
    <n v="0.89552238805970152"/>
    <n v="1200"/>
    <n v="0"/>
    <n v="0"/>
    <n v="0.89552238805970152"/>
    <n v="1200"/>
    <n v="2.4"/>
    <n v="0.10447761194029848"/>
    <n v="139.99999999999997"/>
    <n v="0.60000000000000009"/>
    <n v="3"/>
    <n v="19"/>
    <n v="0.28358208955223879"/>
    <n v="380"/>
    <n v="0"/>
    <n v="0"/>
    <n v="0"/>
    <n v="67"/>
    <n v="48"/>
    <n v="0.71641791044776126"/>
    <n v="0"/>
    <n v="1340"/>
    <n v="1340"/>
    <n v="468.99999999999994"/>
    <n v="1340"/>
    <n v="1340"/>
    <n v="1"/>
    <n v="0"/>
    <n v="1"/>
    <n v="1"/>
    <n v="1"/>
    <n v="14"/>
    <n v="280"/>
    <n v="0"/>
    <n v="1340"/>
    <s v="Yes"/>
    <n v="1.4925373134328358E-2"/>
    <n v="0"/>
    <n v="0"/>
    <n v="0"/>
    <n v="0"/>
    <n v="0"/>
    <x v="0"/>
    <x v="0"/>
    <x v="0"/>
    <n v="0"/>
    <n v="0"/>
    <n v="0"/>
    <x v="1"/>
    <m/>
    <n v="0"/>
    <n v="0"/>
  </r>
  <r>
    <x v="1"/>
    <x v="0"/>
    <x v="0"/>
    <m/>
    <x v="0"/>
    <x v="2"/>
    <x v="0"/>
    <x v="89"/>
    <n v="223"/>
    <n v="1067"/>
    <s v="13-8-2021, 6-1-2020"/>
    <s v="12-20-2022, 30-7-2021"/>
    <m/>
    <m/>
    <m/>
    <m/>
    <m/>
    <m/>
    <n v="4"/>
    <m/>
    <m/>
    <m/>
    <m/>
    <m/>
    <m/>
    <m/>
    <m/>
    <m/>
    <m/>
    <m/>
    <m/>
    <m/>
    <m/>
    <m/>
    <m/>
    <m/>
    <m/>
    <m/>
    <m/>
    <m/>
    <m/>
    <m/>
    <m/>
    <m/>
    <m/>
    <m/>
    <m/>
    <m/>
    <m/>
    <m/>
    <x v="0"/>
    <x v="0"/>
    <m/>
    <m/>
    <m/>
    <m/>
    <m/>
    <m/>
    <n v="3"/>
    <m/>
    <m/>
    <n v="2"/>
    <m/>
    <m/>
    <m/>
    <m/>
    <m/>
    <m/>
    <m/>
    <m/>
    <m/>
    <m/>
    <m/>
    <m/>
    <m/>
    <m/>
    <m/>
    <m/>
    <m/>
    <m/>
    <m/>
    <m/>
    <s v="no test"/>
    <s v="no test"/>
    <s v="No Test"/>
    <n v="0"/>
    <n v="0"/>
    <n v="0"/>
    <n v="0"/>
    <n v="0"/>
    <n v="0"/>
    <n v="0"/>
    <n v="0"/>
    <n v="0"/>
    <n v="0"/>
    <n v="0"/>
    <n v="0"/>
    <n v="0"/>
    <n v="0"/>
    <n v="0"/>
    <n v="0"/>
    <n v="1"/>
    <n v="1067"/>
    <n v="2"/>
    <n v="2"/>
    <n v="0"/>
    <n v="0"/>
    <n v="0"/>
    <n v="0"/>
    <n v="0"/>
    <n v="0"/>
    <n v="53"/>
    <n v="53"/>
    <n v="1"/>
    <n v="0"/>
    <n v="0"/>
    <n v="0"/>
    <n v="0"/>
    <n v="0"/>
    <n v="0"/>
    <n v="0"/>
    <n v="1"/>
    <n v="0"/>
    <n v="0"/>
    <n v="0"/>
    <n v="3"/>
    <n v="60"/>
    <n v="0"/>
    <n v="300"/>
    <s v="No"/>
    <s v=""/>
    <n v="0"/>
    <n v="0"/>
    <n v="0"/>
    <n v="0"/>
    <s v="uncovered"/>
    <x v="0"/>
    <x v="2"/>
    <x v="0"/>
    <n v="24.251232000000002"/>
    <n v="97.348405"/>
    <s v="MMR001CMP197"/>
    <x v="0"/>
    <m/>
    <n v="171"/>
    <n v="882"/>
  </r>
  <r>
    <x v="1"/>
    <x v="16"/>
    <x v="7"/>
    <s v="MHF,IRC"/>
    <x v="0"/>
    <x v="1"/>
    <x v="0"/>
    <x v="90"/>
    <n v="10"/>
    <n v="18"/>
    <d v="2020-10-01T00:00:00"/>
    <d v="2022-04-30T00:00:00"/>
    <m/>
    <n v="1"/>
    <m/>
    <m/>
    <m/>
    <n v="2"/>
    <n v="2"/>
    <n v="1"/>
    <m/>
    <m/>
    <n v="1"/>
    <m/>
    <m/>
    <m/>
    <m/>
    <m/>
    <m/>
    <m/>
    <m/>
    <m/>
    <m/>
    <m/>
    <m/>
    <m/>
    <m/>
    <m/>
    <m/>
    <m/>
    <m/>
    <m/>
    <m/>
    <m/>
    <m/>
    <m/>
    <m/>
    <m/>
    <m/>
    <m/>
    <x v="0"/>
    <x v="0"/>
    <m/>
    <m/>
    <m/>
    <m/>
    <m/>
    <m/>
    <n v="5"/>
    <m/>
    <m/>
    <n v="3"/>
    <m/>
    <m/>
    <m/>
    <m/>
    <m/>
    <m/>
    <m/>
    <m/>
    <m/>
    <m/>
    <m/>
    <m/>
    <m/>
    <m/>
    <m/>
    <m/>
    <m/>
    <m/>
    <m/>
    <m/>
    <s v="no test"/>
    <s v="no test"/>
    <s v="No Test"/>
    <n v="1"/>
    <n v="1"/>
    <n v="0"/>
    <n v="0"/>
    <n v="0"/>
    <n v="0"/>
    <n v="0"/>
    <n v="1"/>
    <n v="1"/>
    <n v="1"/>
    <n v="18"/>
    <n v="0"/>
    <n v="0"/>
    <n v="1"/>
    <n v="18"/>
    <n v="3.5999999999999997E-2"/>
    <n v="0"/>
    <n v="0"/>
    <n v="0.96399999999999997"/>
    <n v="1"/>
    <n v="0"/>
    <n v="0"/>
    <n v="0"/>
    <n v="0"/>
    <n v="0"/>
    <n v="0"/>
    <n v="1"/>
    <n v="1"/>
    <n v="1"/>
    <n v="0"/>
    <n v="0"/>
    <n v="0"/>
    <n v="0"/>
    <n v="0"/>
    <n v="0"/>
    <n v="0"/>
    <n v="1"/>
    <n v="0"/>
    <n v="0"/>
    <n v="0"/>
    <n v="5"/>
    <n v="10"/>
    <n v="0"/>
    <n v="18"/>
    <s v="No"/>
    <s v=""/>
    <n v="0"/>
    <n v="0"/>
    <n v="0"/>
    <s v="Yes"/>
    <s v="KMSS-MYT"/>
    <x v="0"/>
    <x v="0"/>
    <x v="0"/>
    <n v="25.920006000000001"/>
    <n v="96.662092000000001"/>
    <s v="MMR001CMP247"/>
    <x v="1"/>
    <m/>
    <n v="24"/>
    <n v="101"/>
  </r>
  <r>
    <x v="1"/>
    <x v="0"/>
    <x v="0"/>
    <m/>
    <x v="0"/>
    <x v="2"/>
    <x v="0"/>
    <x v="91"/>
    <n v="15"/>
    <n v="101"/>
    <s v="13-8-2021, 6-1-2020"/>
    <s v="12-20-2022, 30-7-2021"/>
    <m/>
    <m/>
    <m/>
    <m/>
    <m/>
    <m/>
    <n v="1"/>
    <m/>
    <m/>
    <m/>
    <m/>
    <m/>
    <m/>
    <m/>
    <m/>
    <m/>
    <m/>
    <m/>
    <m/>
    <m/>
    <m/>
    <m/>
    <m/>
    <m/>
    <m/>
    <m/>
    <m/>
    <m/>
    <m/>
    <m/>
    <m/>
    <m/>
    <m/>
    <m/>
    <m/>
    <m/>
    <m/>
    <m/>
    <x v="0"/>
    <x v="0"/>
    <m/>
    <m/>
    <m/>
    <m/>
    <m/>
    <m/>
    <n v="1"/>
    <m/>
    <m/>
    <n v="3"/>
    <m/>
    <m/>
    <m/>
    <m/>
    <m/>
    <m/>
    <m/>
    <m/>
    <m/>
    <m/>
    <m/>
    <m/>
    <m/>
    <m/>
    <m/>
    <m/>
    <m/>
    <m/>
    <m/>
    <m/>
    <s v="no test"/>
    <s v="no test"/>
    <s v="No Test"/>
    <n v="0"/>
    <n v="0"/>
    <n v="0"/>
    <n v="0"/>
    <n v="0"/>
    <n v="0"/>
    <n v="0"/>
    <n v="0"/>
    <n v="0"/>
    <n v="0"/>
    <n v="0"/>
    <n v="0"/>
    <n v="0"/>
    <n v="0"/>
    <n v="0"/>
    <n v="0"/>
    <n v="1"/>
    <n v="101"/>
    <n v="1"/>
    <n v="1"/>
    <n v="0"/>
    <n v="0"/>
    <n v="0"/>
    <n v="0"/>
    <n v="0"/>
    <n v="0"/>
    <n v="5"/>
    <n v="5"/>
    <n v="1"/>
    <n v="0"/>
    <n v="0"/>
    <n v="0"/>
    <n v="0"/>
    <n v="0"/>
    <n v="0"/>
    <n v="0"/>
    <n v="1"/>
    <n v="0"/>
    <n v="0"/>
    <n v="0"/>
    <n v="1"/>
    <n v="15"/>
    <n v="0"/>
    <n v="100"/>
    <s v="No"/>
    <s v=""/>
    <n v="0"/>
    <n v="0"/>
    <n v="0"/>
    <n v="0"/>
    <s v="uncovered"/>
    <x v="0"/>
    <x v="2"/>
    <x v="0"/>
    <n v="24.404876999999999"/>
    <n v="97.407787999999996"/>
    <s v="MMR001CMP061"/>
    <x v="0"/>
    <m/>
    <n v="15"/>
    <n v="101"/>
  </r>
  <r>
    <x v="1"/>
    <x v="4"/>
    <x v="4"/>
    <s v="UNICEF"/>
    <x v="0"/>
    <x v="3"/>
    <x v="0"/>
    <x v="92"/>
    <n v="57"/>
    <n v="344"/>
    <d v="2021-08-06T00:00:00"/>
    <d v="2022-08-05T00:00:00"/>
    <m/>
    <n v="3"/>
    <m/>
    <m/>
    <s v="Yes"/>
    <n v="3"/>
    <n v="4"/>
    <n v="2"/>
    <n v="1"/>
    <n v="1"/>
    <n v="1"/>
    <m/>
    <m/>
    <m/>
    <n v="1"/>
    <m/>
    <m/>
    <m/>
    <m/>
    <m/>
    <m/>
    <m/>
    <m/>
    <m/>
    <m/>
    <m/>
    <n v="4"/>
    <m/>
    <m/>
    <m/>
    <n v="98"/>
    <m/>
    <m/>
    <m/>
    <m/>
    <m/>
    <m/>
    <m/>
    <x v="1"/>
    <x v="1"/>
    <n v="3"/>
    <m/>
    <m/>
    <m/>
    <m/>
    <m/>
    <n v="1"/>
    <m/>
    <m/>
    <n v="4"/>
    <n v="1"/>
    <m/>
    <n v="1"/>
    <n v="57"/>
    <n v="73.787999999999997"/>
    <s v="Yes"/>
    <n v="100"/>
    <m/>
    <s v="Requested Sanitary pads "/>
    <m/>
    <m/>
    <m/>
    <n v="0.01"/>
    <m/>
    <m/>
    <m/>
    <m/>
    <m/>
    <m/>
    <m/>
    <s v="no test"/>
    <s v="no test"/>
    <s v="No Test"/>
    <n v="1"/>
    <n v="1"/>
    <n v="1"/>
    <n v="0"/>
    <n v="0"/>
    <n v="0"/>
    <n v="0"/>
    <n v="1"/>
    <n v="1"/>
    <n v="1"/>
    <n v="344"/>
    <n v="0"/>
    <n v="0"/>
    <n v="1"/>
    <n v="344"/>
    <n v="0.68799999999999994"/>
    <n v="0"/>
    <n v="0"/>
    <n v="0.31200000000000006"/>
    <n v="1"/>
    <n v="98"/>
    <n v="1"/>
    <n v="344"/>
    <n v="0"/>
    <n v="0"/>
    <n v="0"/>
    <n v="17"/>
    <n v="0"/>
    <n v="0"/>
    <n v="0"/>
    <n v="344"/>
    <n v="344"/>
    <n v="73.787999999999997"/>
    <n v="344"/>
    <n v="344"/>
    <n v="1"/>
    <n v="0"/>
    <n v="1"/>
    <n v="1"/>
    <n v="1"/>
    <n v="1"/>
    <n v="20"/>
    <n v="4"/>
    <n v="100"/>
    <s v="No"/>
    <s v=""/>
    <n v="0"/>
    <n v="0"/>
    <n v="0"/>
    <n v="0"/>
    <n v="0"/>
    <x v="0"/>
    <x v="0"/>
    <x v="0"/>
    <n v="25.428995"/>
    <n v="97.957487999999998"/>
    <s v="MMR001CMP279"/>
    <x v="1"/>
    <m/>
    <n v="55"/>
    <n v="320"/>
  </r>
  <r>
    <x v="1"/>
    <x v="1"/>
    <x v="1"/>
    <s v="ECHO 2739"/>
    <x v="0"/>
    <x v="0"/>
    <x v="0"/>
    <x v="93"/>
    <n v="40"/>
    <n v="168"/>
    <d v="2022-04-01T00:00:00"/>
    <d v="2022-11-30T00:00:00"/>
    <m/>
    <m/>
    <m/>
    <m/>
    <s v="Yes"/>
    <n v="4"/>
    <n v="4"/>
    <n v="1"/>
    <m/>
    <m/>
    <n v="1"/>
    <m/>
    <m/>
    <m/>
    <m/>
    <m/>
    <m/>
    <m/>
    <m/>
    <m/>
    <m/>
    <m/>
    <n v="2"/>
    <n v="2"/>
    <n v="3"/>
    <n v="1"/>
    <m/>
    <m/>
    <m/>
    <s v=" SI conducted HH Visits and Hygiene promotion when we found the fecal coliform "/>
    <n v="7"/>
    <m/>
    <m/>
    <m/>
    <m/>
    <n v="3"/>
    <n v="4"/>
    <m/>
    <x v="1"/>
    <x v="1"/>
    <m/>
    <m/>
    <m/>
    <m/>
    <n v="7"/>
    <m/>
    <n v="9"/>
    <m/>
    <m/>
    <n v="2"/>
    <m/>
    <m/>
    <m/>
    <n v="40"/>
    <n v="64"/>
    <m/>
    <m/>
    <m/>
    <m/>
    <m/>
    <m/>
    <m/>
    <n v="0"/>
    <m/>
    <n v="9"/>
    <n v="2"/>
    <m/>
    <m/>
    <m/>
    <m/>
    <n v="1"/>
    <n v="0.33333333333333331"/>
    <s v="Tested"/>
    <n v="1"/>
    <n v="1"/>
    <n v="0"/>
    <n v="0"/>
    <n v="0"/>
    <n v="0"/>
    <n v="0"/>
    <n v="1"/>
    <n v="1"/>
    <n v="1"/>
    <n v="168"/>
    <n v="0"/>
    <n v="0"/>
    <n v="1"/>
    <n v="168"/>
    <n v="0.33600000000000002"/>
    <n v="0"/>
    <n v="0"/>
    <n v="0.66399999999999992"/>
    <n v="1"/>
    <n v="7"/>
    <n v="0.875"/>
    <n v="147"/>
    <n v="60"/>
    <n v="0"/>
    <n v="0"/>
    <n v="8"/>
    <n v="1"/>
    <n v="0.125"/>
    <n v="0"/>
    <n v="0"/>
    <n v="168"/>
    <n v="64"/>
    <n v="168"/>
    <n v="168"/>
    <n v="1"/>
    <n v="0"/>
    <n v="0"/>
    <n v="1"/>
    <n v="1"/>
    <n v="9"/>
    <n v="40"/>
    <n v="0"/>
    <n v="168"/>
    <s v="No"/>
    <s v=""/>
    <n v="11"/>
    <n v="0"/>
    <n v="0"/>
    <n v="0"/>
    <n v="0"/>
    <x v="0"/>
    <x v="0"/>
    <x v="0"/>
    <n v="24.314934000000001"/>
    <n v="97.305190999999994"/>
    <s v="MMR001CMP285"/>
    <x v="1"/>
    <m/>
    <n v="40"/>
    <n v="190"/>
  </r>
  <r>
    <x v="1"/>
    <x v="2"/>
    <x v="2"/>
    <s v="MHF"/>
    <x v="0"/>
    <x v="1"/>
    <x v="0"/>
    <x v="94"/>
    <n v="7"/>
    <n v="24"/>
    <d v="2022-01-01T00:00:00"/>
    <d v="2022-12-31T00:00:00"/>
    <m/>
    <n v="1"/>
    <m/>
    <m/>
    <s v="Yes"/>
    <n v="2"/>
    <n v="2"/>
    <n v="1"/>
    <m/>
    <m/>
    <m/>
    <m/>
    <m/>
    <m/>
    <n v="1"/>
    <m/>
    <m/>
    <m/>
    <n v="2"/>
    <n v="1000"/>
    <m/>
    <m/>
    <m/>
    <m/>
    <m/>
    <m/>
    <m/>
    <m/>
    <m/>
    <m/>
    <n v="3"/>
    <m/>
    <m/>
    <m/>
    <m/>
    <m/>
    <m/>
    <m/>
    <x v="1"/>
    <x v="2"/>
    <m/>
    <m/>
    <m/>
    <m/>
    <m/>
    <m/>
    <n v="2"/>
    <m/>
    <m/>
    <n v="2"/>
    <m/>
    <n v="1"/>
    <m/>
    <n v="7"/>
    <m/>
    <m/>
    <m/>
    <m/>
    <s v="Hygiene Kits"/>
    <n v="0.5"/>
    <n v="0.5"/>
    <n v="5"/>
    <n v="0.6"/>
    <m/>
    <m/>
    <m/>
    <m/>
    <m/>
    <m/>
    <m/>
    <s v="no test"/>
    <s v="no test"/>
    <s v="No Test"/>
    <n v="1"/>
    <n v="0"/>
    <n v="1"/>
    <n v="0"/>
    <n v="0.7407407407407407"/>
    <n v="0"/>
    <n v="0"/>
    <n v="1"/>
    <n v="1"/>
    <n v="1"/>
    <n v="24"/>
    <n v="1"/>
    <n v="24"/>
    <n v="1"/>
    <n v="24"/>
    <n v="4.8000000000000001E-2"/>
    <n v="0"/>
    <n v="0"/>
    <n v="0.95199999999999996"/>
    <n v="1"/>
    <n v="3"/>
    <n v="1"/>
    <n v="24"/>
    <n v="0"/>
    <n v="0"/>
    <n v="0"/>
    <n v="1"/>
    <n v="0"/>
    <n v="0"/>
    <n v="0"/>
    <n v="24"/>
    <n v="24"/>
    <n v="0"/>
    <n v="24"/>
    <n v="24"/>
    <n v="1"/>
    <n v="0"/>
    <n v="1"/>
    <n v="1"/>
    <n v="0"/>
    <n v="2"/>
    <n v="7"/>
    <n v="0"/>
    <n v="24"/>
    <s v="No"/>
    <n v="0.20833333333333334"/>
    <n v="0"/>
    <n v="0"/>
    <n v="0"/>
    <s v="Yes"/>
    <s v="Shalom"/>
    <x v="0"/>
    <x v="3"/>
    <x v="0"/>
    <n v="25.617998"/>
    <n v="96.339590000000001"/>
    <s v="MMR001CMP192"/>
    <x v="1"/>
    <m/>
    <n v="7"/>
    <n v="24"/>
  </r>
  <r>
    <x v="1"/>
    <x v="18"/>
    <x v="7"/>
    <s v="SIDA"/>
    <x v="0"/>
    <x v="8"/>
    <x v="1"/>
    <x v="95"/>
    <n v="5"/>
    <n v="28"/>
    <d v="2022-05-01T00:00:00"/>
    <d v="2022-10-31T00:00:00"/>
    <m/>
    <m/>
    <m/>
    <m/>
    <s v="Yes"/>
    <n v="3"/>
    <m/>
    <n v="1"/>
    <m/>
    <m/>
    <n v="1"/>
    <m/>
    <m/>
    <m/>
    <m/>
    <m/>
    <m/>
    <m/>
    <m/>
    <m/>
    <m/>
    <n v="3"/>
    <m/>
    <m/>
    <m/>
    <m/>
    <m/>
    <m/>
    <m/>
    <m/>
    <n v="2"/>
    <m/>
    <m/>
    <m/>
    <m/>
    <m/>
    <m/>
    <n v="2"/>
    <x v="1"/>
    <x v="1"/>
    <m/>
    <m/>
    <m/>
    <m/>
    <m/>
    <m/>
    <n v="1"/>
    <n v="1"/>
    <m/>
    <n v="2"/>
    <m/>
    <m/>
    <m/>
    <m/>
    <m/>
    <m/>
    <m/>
    <m/>
    <m/>
    <m/>
    <m/>
    <m/>
    <m/>
    <m/>
    <m/>
    <m/>
    <m/>
    <m/>
    <m/>
    <m/>
    <s v="no test"/>
    <s v="no test"/>
    <s v="No Test"/>
    <n v="1"/>
    <n v="1"/>
    <n v="0"/>
    <n v="0"/>
    <n v="0"/>
    <n v="0"/>
    <n v="0"/>
    <n v="1"/>
    <n v="1"/>
    <n v="1"/>
    <n v="28"/>
    <n v="0"/>
    <n v="0"/>
    <n v="1"/>
    <n v="28"/>
    <n v="5.6000000000000001E-2"/>
    <n v="0"/>
    <n v="0"/>
    <n v="0.94399999999999995"/>
    <n v="1"/>
    <n v="2"/>
    <n v="1"/>
    <n v="28"/>
    <n v="0"/>
    <n v="0"/>
    <n v="0"/>
    <n v="1"/>
    <n v="0"/>
    <n v="0"/>
    <n v="0"/>
    <n v="0"/>
    <n v="0"/>
    <n v="0"/>
    <n v="0"/>
    <n v="0"/>
    <n v="0"/>
    <n v="1"/>
    <n v="0"/>
    <n v="0"/>
    <n v="0"/>
    <n v="0"/>
    <n v="0"/>
    <n v="0"/>
    <n v="0"/>
    <s v="No"/>
    <s v=""/>
    <n v="0"/>
    <n v="0"/>
    <n v="0"/>
    <n v="0"/>
    <n v="0"/>
    <x v="0"/>
    <x v="3"/>
    <x v="0"/>
    <n v="0"/>
    <n v="0"/>
    <n v="0"/>
    <x v="1"/>
    <m/>
    <n v="0"/>
    <n v="0"/>
  </r>
  <r>
    <x v="1"/>
    <x v="19"/>
    <x v="7"/>
    <s v="SIDA, LIFT"/>
    <x v="0"/>
    <x v="8"/>
    <x v="0"/>
    <x v="96"/>
    <n v="110"/>
    <n v="611"/>
    <s v="5/31/2022,1/1/2020"/>
    <s v="10/31/2022,12/31/2022"/>
    <m/>
    <m/>
    <m/>
    <m/>
    <s v="Yes"/>
    <n v="1"/>
    <n v="2"/>
    <n v="5"/>
    <m/>
    <m/>
    <n v="3"/>
    <m/>
    <m/>
    <m/>
    <m/>
    <m/>
    <m/>
    <m/>
    <m/>
    <m/>
    <m/>
    <n v="2"/>
    <m/>
    <m/>
    <m/>
    <m/>
    <m/>
    <m/>
    <m/>
    <m/>
    <n v="20"/>
    <m/>
    <m/>
    <n v="2"/>
    <m/>
    <m/>
    <m/>
    <n v="12"/>
    <x v="1"/>
    <x v="1"/>
    <m/>
    <m/>
    <m/>
    <m/>
    <m/>
    <m/>
    <n v="4"/>
    <m/>
    <m/>
    <n v="5"/>
    <m/>
    <n v="2"/>
    <n v="1"/>
    <n v="37"/>
    <n v="39"/>
    <m/>
    <m/>
    <m/>
    <s v="Provide hygiene 4 clean message to mother group session and adolescent sessions (Under managed by Nutrition Programme) "/>
    <m/>
    <m/>
    <m/>
    <m/>
    <m/>
    <m/>
    <m/>
    <m/>
    <m/>
    <m/>
    <m/>
    <s v="no test"/>
    <s v="no test"/>
    <s v="No Test"/>
    <n v="5"/>
    <n v="3"/>
    <n v="0"/>
    <n v="0"/>
    <n v="0"/>
    <n v="0"/>
    <n v="0"/>
    <n v="1"/>
    <n v="1"/>
    <n v="1"/>
    <n v="611"/>
    <n v="0"/>
    <n v="0"/>
    <n v="1"/>
    <n v="611"/>
    <n v="1.222"/>
    <n v="0"/>
    <n v="0"/>
    <n v="0"/>
    <n v="1"/>
    <n v="18"/>
    <n v="0.58919803600654663"/>
    <n v="360"/>
    <n v="0"/>
    <n v="0"/>
    <n v="0"/>
    <n v="31"/>
    <n v="11"/>
    <n v="0.41080196399345337"/>
    <n v="0.1"/>
    <n v="611"/>
    <n v="185"/>
    <n v="39"/>
    <n v="185"/>
    <n v="611"/>
    <n v="1"/>
    <n v="0"/>
    <n v="1"/>
    <n v="1"/>
    <n v="0.35454545454545455"/>
    <n v="4"/>
    <n v="80"/>
    <n v="0"/>
    <n v="400"/>
    <s v="No"/>
    <s v=""/>
    <n v="0"/>
    <n v="0"/>
    <n v="0"/>
    <n v="0"/>
    <s v="KBC-MYT"/>
    <x v="0"/>
    <x v="0"/>
    <x v="0"/>
    <n v="25.2226"/>
    <n v="97.012299999999996"/>
    <s v="MMR001CMP261"/>
    <x v="1"/>
    <m/>
    <n v="111"/>
    <n v="599"/>
  </r>
  <r>
    <x v="1"/>
    <x v="4"/>
    <x v="4"/>
    <s v="UNICEF"/>
    <x v="0"/>
    <x v="7"/>
    <x v="0"/>
    <x v="98"/>
    <n v="62"/>
    <n v="291"/>
    <d v="2021-08-06T00:00:00"/>
    <d v="2022-08-05T00:00:00"/>
    <m/>
    <n v="2"/>
    <m/>
    <m/>
    <s v="Yes"/>
    <n v="2"/>
    <n v="9"/>
    <m/>
    <m/>
    <m/>
    <n v="4"/>
    <m/>
    <m/>
    <m/>
    <m/>
    <m/>
    <m/>
    <m/>
    <m/>
    <m/>
    <m/>
    <m/>
    <n v="6"/>
    <n v="4"/>
    <m/>
    <m/>
    <n v="4"/>
    <m/>
    <m/>
    <m/>
    <n v="20"/>
    <m/>
    <m/>
    <n v="1"/>
    <m/>
    <m/>
    <m/>
    <m/>
    <x v="1"/>
    <x v="1"/>
    <n v="1"/>
    <m/>
    <m/>
    <m/>
    <m/>
    <m/>
    <n v="7"/>
    <m/>
    <m/>
    <n v="2"/>
    <m/>
    <m/>
    <n v="1"/>
    <n v="62"/>
    <n v="62.419500000000006"/>
    <s v="Yes"/>
    <n v="100"/>
    <m/>
    <s v="Requested Sanitary pads "/>
    <m/>
    <m/>
    <m/>
    <n v="0.01"/>
    <m/>
    <m/>
    <m/>
    <m/>
    <m/>
    <m/>
    <m/>
    <n v="0.66666666666666663"/>
    <s v="no test"/>
    <s v="Tested"/>
    <n v="0"/>
    <n v="4"/>
    <n v="0"/>
    <n v="0"/>
    <n v="0"/>
    <n v="0"/>
    <n v="0"/>
    <n v="1"/>
    <n v="1"/>
    <n v="1"/>
    <n v="291"/>
    <n v="0"/>
    <n v="0"/>
    <n v="1"/>
    <n v="291"/>
    <n v="0.58199999999999996"/>
    <n v="0"/>
    <n v="0"/>
    <n v="0.41800000000000004"/>
    <n v="1"/>
    <n v="19"/>
    <n v="1"/>
    <n v="291"/>
    <n v="0"/>
    <n v="0"/>
    <n v="0"/>
    <n v="15"/>
    <n v="0"/>
    <n v="0"/>
    <n v="0.05"/>
    <n v="291"/>
    <n v="291"/>
    <n v="62.419500000000006"/>
    <n v="291"/>
    <n v="291"/>
    <n v="1"/>
    <n v="0"/>
    <n v="1"/>
    <n v="1"/>
    <n v="1"/>
    <n v="7"/>
    <n v="62"/>
    <n v="4"/>
    <n v="291"/>
    <s v="No"/>
    <s v=""/>
    <n v="0"/>
    <n v="0"/>
    <n v="0"/>
    <s v="Yes"/>
    <s v="KMSS-MYT"/>
    <x v="0"/>
    <x v="0"/>
    <x v="0"/>
    <n v="25.410569299999999"/>
    <n v="97.359320179999997"/>
    <s v="MMR001CMP024"/>
    <x v="1"/>
    <m/>
    <n v="61"/>
    <n v="290"/>
  </r>
  <r>
    <x v="1"/>
    <x v="4"/>
    <x v="4"/>
    <s v="UNICEF"/>
    <x v="0"/>
    <x v="1"/>
    <x v="0"/>
    <x v="99"/>
    <n v="50"/>
    <n v="218"/>
    <d v="2021-08-06T00:00:00"/>
    <d v="2022-08-05T00:00:00"/>
    <m/>
    <n v="2"/>
    <m/>
    <m/>
    <s v="Yes"/>
    <n v="3"/>
    <n v="3"/>
    <n v="1"/>
    <m/>
    <m/>
    <m/>
    <m/>
    <m/>
    <m/>
    <m/>
    <m/>
    <m/>
    <m/>
    <m/>
    <m/>
    <m/>
    <n v="5"/>
    <m/>
    <n v="1"/>
    <m/>
    <m/>
    <n v="4"/>
    <m/>
    <m/>
    <m/>
    <n v="16"/>
    <m/>
    <m/>
    <m/>
    <m/>
    <m/>
    <m/>
    <m/>
    <x v="1"/>
    <x v="1"/>
    <m/>
    <m/>
    <m/>
    <m/>
    <m/>
    <m/>
    <n v="7"/>
    <m/>
    <m/>
    <n v="2"/>
    <m/>
    <m/>
    <n v="1"/>
    <n v="50"/>
    <n v="46.76100000000001"/>
    <s v="Yes"/>
    <n v="100"/>
    <m/>
    <s v="Every woman requested Sanitary pads"/>
    <m/>
    <m/>
    <m/>
    <n v="0.01"/>
    <m/>
    <m/>
    <m/>
    <m/>
    <m/>
    <m/>
    <m/>
    <s v="no test"/>
    <s v="no test"/>
    <s v="No Test"/>
    <n v="1"/>
    <n v="0"/>
    <n v="0"/>
    <n v="0"/>
    <n v="0"/>
    <n v="0"/>
    <n v="0"/>
    <n v="1"/>
    <n v="1"/>
    <n v="1"/>
    <n v="218"/>
    <n v="0"/>
    <n v="0"/>
    <n v="1"/>
    <n v="218"/>
    <n v="0.436"/>
    <n v="0"/>
    <n v="0"/>
    <n v="0.56400000000000006"/>
    <n v="1"/>
    <n v="16"/>
    <n v="1"/>
    <n v="218"/>
    <n v="0"/>
    <n v="0"/>
    <n v="0"/>
    <n v="11"/>
    <n v="0"/>
    <n v="0"/>
    <n v="0"/>
    <n v="218"/>
    <n v="218"/>
    <n v="46.76100000000001"/>
    <n v="218"/>
    <n v="218"/>
    <n v="1"/>
    <n v="0"/>
    <n v="1"/>
    <n v="1"/>
    <n v="0.93522000000000016"/>
    <n v="7"/>
    <n v="50"/>
    <n v="4"/>
    <n v="218"/>
    <s v="No"/>
    <s v=""/>
    <n v="0"/>
    <n v="0"/>
    <n v="0"/>
    <s v="Yes"/>
    <s v="KMSS-MYT"/>
    <x v="0"/>
    <x v="0"/>
    <x v="0"/>
    <n v="25.613894999999999"/>
    <n v="96.341352999999998"/>
    <s v="MMR001CMP103"/>
    <x v="1"/>
    <m/>
    <n v="47"/>
    <n v="226"/>
  </r>
  <r>
    <x v="1"/>
    <x v="18"/>
    <x v="7"/>
    <s v="SIDA"/>
    <x v="0"/>
    <x v="8"/>
    <x v="0"/>
    <x v="100"/>
    <n v="10"/>
    <n v="48"/>
    <d v="2022-05-01T00:00:00"/>
    <d v="2022-10-31T00:00:00"/>
    <m/>
    <m/>
    <m/>
    <m/>
    <s v="Yes"/>
    <n v="2"/>
    <n v="1"/>
    <n v="2"/>
    <m/>
    <n v="1"/>
    <n v="2"/>
    <m/>
    <m/>
    <m/>
    <m/>
    <m/>
    <m/>
    <m/>
    <m/>
    <m/>
    <m/>
    <n v="3"/>
    <m/>
    <m/>
    <m/>
    <m/>
    <m/>
    <m/>
    <m/>
    <m/>
    <n v="4"/>
    <m/>
    <m/>
    <n v="1"/>
    <n v="2"/>
    <m/>
    <m/>
    <n v="3"/>
    <x v="1"/>
    <x v="1"/>
    <m/>
    <m/>
    <m/>
    <m/>
    <m/>
    <m/>
    <n v="3"/>
    <n v="1"/>
    <m/>
    <n v="2"/>
    <m/>
    <m/>
    <m/>
    <m/>
    <m/>
    <m/>
    <m/>
    <m/>
    <m/>
    <m/>
    <m/>
    <m/>
    <m/>
    <m/>
    <m/>
    <m/>
    <m/>
    <m/>
    <m/>
    <m/>
    <s v="no test"/>
    <s v="no test"/>
    <s v="No Test"/>
    <n v="2"/>
    <n v="2"/>
    <n v="0"/>
    <n v="0"/>
    <n v="0"/>
    <n v="0"/>
    <n v="0"/>
    <n v="1"/>
    <n v="1"/>
    <n v="1"/>
    <n v="48"/>
    <n v="0"/>
    <n v="0"/>
    <n v="1"/>
    <n v="48"/>
    <n v="9.6000000000000002E-2"/>
    <n v="0"/>
    <n v="0"/>
    <n v="0.90400000000000003"/>
    <n v="1"/>
    <n v="3"/>
    <n v="1"/>
    <n v="48"/>
    <n v="0"/>
    <n v="0"/>
    <n v="0"/>
    <n v="2"/>
    <n v="0"/>
    <n v="0"/>
    <n v="0.25"/>
    <n v="0"/>
    <n v="0"/>
    <n v="0"/>
    <n v="0"/>
    <n v="0"/>
    <n v="0"/>
    <n v="1"/>
    <n v="0"/>
    <n v="0"/>
    <n v="0"/>
    <n v="2"/>
    <n v="10"/>
    <n v="0"/>
    <n v="48"/>
    <s v="No"/>
    <s v=""/>
    <n v="0"/>
    <n v="0"/>
    <n v="0"/>
    <s v="Yes"/>
    <s v="KBC-MYT"/>
    <x v="0"/>
    <x v="0"/>
    <x v="0"/>
    <n v="25.30442"/>
    <n v="96.948740000000001"/>
    <s v="MMR001CMP079"/>
    <x v="1"/>
    <m/>
    <n v="10"/>
    <n v="48"/>
  </r>
  <r>
    <x v="1"/>
    <x v="0"/>
    <x v="0"/>
    <m/>
    <x v="0"/>
    <x v="3"/>
    <x v="0"/>
    <x v="101"/>
    <n v="12"/>
    <n v="59"/>
    <m/>
    <m/>
    <m/>
    <m/>
    <m/>
    <m/>
    <m/>
    <m/>
    <m/>
    <m/>
    <m/>
    <m/>
    <m/>
    <m/>
    <m/>
    <m/>
    <m/>
    <m/>
    <m/>
    <m/>
    <m/>
    <m/>
    <m/>
    <m/>
    <m/>
    <m/>
    <m/>
    <m/>
    <m/>
    <m/>
    <m/>
    <m/>
    <m/>
    <m/>
    <m/>
    <m/>
    <m/>
    <m/>
    <m/>
    <m/>
    <x v="0"/>
    <x v="0"/>
    <m/>
    <m/>
    <m/>
    <m/>
    <m/>
    <m/>
    <n v="7"/>
    <m/>
    <m/>
    <n v="7"/>
    <m/>
    <m/>
    <m/>
    <m/>
    <m/>
    <m/>
    <m/>
    <m/>
    <m/>
    <m/>
    <m/>
    <m/>
    <m/>
    <m/>
    <m/>
    <m/>
    <m/>
    <m/>
    <m/>
    <m/>
    <s v="no test"/>
    <s v="no test"/>
    <s v="No Test"/>
    <n v="0"/>
    <n v="0"/>
    <n v="0"/>
    <n v="0"/>
    <n v="0"/>
    <n v="0"/>
    <n v="0"/>
    <n v="0"/>
    <n v="0"/>
    <n v="0"/>
    <n v="0"/>
    <n v="0"/>
    <n v="0"/>
    <n v="0"/>
    <n v="0"/>
    <n v="0"/>
    <n v="1"/>
    <n v="59"/>
    <n v="1"/>
    <n v="1"/>
    <n v="0"/>
    <n v="0"/>
    <n v="0"/>
    <n v="0"/>
    <n v="0"/>
    <n v="0"/>
    <n v="3"/>
    <n v="3"/>
    <n v="1"/>
    <n v="0"/>
    <n v="0"/>
    <n v="0"/>
    <n v="0"/>
    <n v="0"/>
    <n v="0"/>
    <n v="0"/>
    <n v="1"/>
    <n v="0"/>
    <n v="0"/>
    <n v="0"/>
    <n v="7"/>
    <n v="12"/>
    <n v="0"/>
    <n v="59"/>
    <s v="No"/>
    <s v=""/>
    <n v="0"/>
    <n v="0"/>
    <n v="0"/>
    <n v="0"/>
    <s v="Uncovered  "/>
    <x v="0"/>
    <x v="3"/>
    <x v="0"/>
    <n v="0"/>
    <n v="0"/>
    <s v="MMR001CMP295"/>
    <x v="0"/>
    <m/>
    <n v="12"/>
    <n v="59"/>
  </r>
  <r>
    <x v="1"/>
    <x v="0"/>
    <x v="0"/>
    <m/>
    <x v="0"/>
    <x v="3"/>
    <x v="0"/>
    <x v="102"/>
    <n v="12"/>
    <n v="80"/>
    <m/>
    <m/>
    <m/>
    <m/>
    <m/>
    <m/>
    <m/>
    <m/>
    <m/>
    <m/>
    <m/>
    <m/>
    <m/>
    <m/>
    <m/>
    <m/>
    <m/>
    <m/>
    <m/>
    <m/>
    <m/>
    <m/>
    <m/>
    <m/>
    <m/>
    <m/>
    <m/>
    <m/>
    <m/>
    <m/>
    <m/>
    <m/>
    <m/>
    <m/>
    <m/>
    <m/>
    <m/>
    <m/>
    <m/>
    <m/>
    <x v="0"/>
    <x v="0"/>
    <m/>
    <m/>
    <m/>
    <m/>
    <m/>
    <m/>
    <n v="7"/>
    <m/>
    <m/>
    <n v="4"/>
    <m/>
    <m/>
    <m/>
    <m/>
    <m/>
    <m/>
    <m/>
    <m/>
    <m/>
    <m/>
    <m/>
    <m/>
    <m/>
    <m/>
    <m/>
    <m/>
    <m/>
    <m/>
    <m/>
    <m/>
    <s v="no test"/>
    <s v="no test"/>
    <s v="No Test"/>
    <n v="0"/>
    <n v="0"/>
    <n v="0"/>
    <n v="0"/>
    <n v="0"/>
    <n v="0"/>
    <n v="0"/>
    <n v="0"/>
    <n v="0"/>
    <n v="0"/>
    <n v="0"/>
    <n v="0"/>
    <n v="0"/>
    <n v="0"/>
    <n v="0"/>
    <n v="0"/>
    <n v="1"/>
    <n v="80"/>
    <n v="1"/>
    <n v="1"/>
    <n v="0"/>
    <n v="0"/>
    <n v="0"/>
    <n v="0"/>
    <n v="0"/>
    <n v="0"/>
    <n v="4"/>
    <n v="4"/>
    <n v="1"/>
    <n v="0"/>
    <n v="0"/>
    <n v="0"/>
    <n v="0"/>
    <n v="0"/>
    <n v="0"/>
    <n v="0"/>
    <n v="1"/>
    <n v="0"/>
    <n v="0"/>
    <n v="0"/>
    <n v="7"/>
    <n v="12"/>
    <n v="0"/>
    <n v="80"/>
    <s v="No"/>
    <s v=""/>
    <n v="0"/>
    <n v="0"/>
    <n v="0"/>
    <s v="Yes"/>
    <s v="Shalom"/>
    <x v="0"/>
    <x v="3"/>
    <x v="0"/>
    <n v="25.221299999999999"/>
    <n v="97.255300000000005"/>
    <s v="MMR001CMP286"/>
    <x v="0"/>
    <m/>
    <n v="12"/>
    <n v="80"/>
  </r>
  <r>
    <x v="1"/>
    <x v="2"/>
    <x v="2"/>
    <s v="MHF"/>
    <x v="0"/>
    <x v="3"/>
    <x v="0"/>
    <x v="103"/>
    <n v="19"/>
    <n v="85"/>
    <d v="2022-01-01T00:00:00"/>
    <d v="2022-12-31T00:00:00"/>
    <m/>
    <n v="1"/>
    <m/>
    <m/>
    <s v="Yes"/>
    <m/>
    <n v="5"/>
    <n v="1"/>
    <m/>
    <m/>
    <n v="1"/>
    <n v="1"/>
    <m/>
    <m/>
    <m/>
    <m/>
    <m/>
    <m/>
    <m/>
    <m/>
    <m/>
    <m/>
    <m/>
    <m/>
    <m/>
    <m/>
    <n v="2"/>
    <m/>
    <m/>
    <s v="နွေရာသီတွင် ရေအခက်အခဲအနည်းငယ် ဖြစ်"/>
    <n v="4"/>
    <m/>
    <m/>
    <m/>
    <m/>
    <m/>
    <m/>
    <m/>
    <x v="1"/>
    <x v="1"/>
    <m/>
    <m/>
    <m/>
    <m/>
    <m/>
    <m/>
    <n v="2"/>
    <m/>
    <m/>
    <n v="2"/>
    <m/>
    <m/>
    <m/>
    <n v="19"/>
    <m/>
    <s v="Yes"/>
    <m/>
    <n v="0.7"/>
    <m/>
    <n v="0.8"/>
    <n v="0.7"/>
    <n v="4"/>
    <n v="0.9"/>
    <m/>
    <m/>
    <m/>
    <m/>
    <m/>
    <m/>
    <m/>
    <s v="no test"/>
    <s v="no test"/>
    <s v="No Test"/>
    <n v="1"/>
    <n v="2"/>
    <n v="0"/>
    <n v="0"/>
    <n v="0"/>
    <n v="0"/>
    <n v="0"/>
    <n v="1"/>
    <n v="1"/>
    <n v="1"/>
    <n v="85"/>
    <n v="0"/>
    <n v="0"/>
    <n v="1"/>
    <n v="85"/>
    <n v="0.17"/>
    <n v="0"/>
    <n v="0"/>
    <n v="0.83"/>
    <n v="1"/>
    <n v="4"/>
    <n v="0.94117647058823528"/>
    <n v="80"/>
    <n v="0"/>
    <n v="0"/>
    <n v="0"/>
    <n v="4"/>
    <n v="0"/>
    <n v="5.8823529411764719E-2"/>
    <n v="0"/>
    <n v="0"/>
    <n v="85"/>
    <n v="0"/>
    <n v="85"/>
    <n v="85"/>
    <n v="1"/>
    <n v="0"/>
    <n v="0"/>
    <n v="1"/>
    <n v="0"/>
    <n v="2"/>
    <n v="19"/>
    <n v="2"/>
    <n v="85"/>
    <s v="No"/>
    <n v="4.7058823529411764E-2"/>
    <n v="0"/>
    <n v="0"/>
    <n v="0"/>
    <s v="Yes"/>
    <s v="Shalom"/>
    <x v="0"/>
    <x v="0"/>
    <x v="0"/>
    <n v="25.351965"/>
    <n v="97.345039"/>
    <s v="MMR001CMP033"/>
    <x v="1"/>
    <m/>
    <n v="19"/>
    <n v="85"/>
  </r>
  <r>
    <x v="1"/>
    <x v="18"/>
    <x v="7"/>
    <s v="SIDA"/>
    <x v="0"/>
    <x v="10"/>
    <x v="0"/>
    <x v="104"/>
    <n v="27"/>
    <n v="130"/>
    <d v="2022-05-01T00:00:00"/>
    <d v="2022-10-31T00:00:00"/>
    <m/>
    <m/>
    <m/>
    <m/>
    <s v="Yes"/>
    <n v="2"/>
    <n v="2"/>
    <n v="2"/>
    <m/>
    <m/>
    <n v="1"/>
    <m/>
    <m/>
    <m/>
    <m/>
    <m/>
    <m/>
    <m/>
    <m/>
    <m/>
    <m/>
    <m/>
    <m/>
    <m/>
    <m/>
    <m/>
    <m/>
    <m/>
    <m/>
    <m/>
    <n v="5"/>
    <m/>
    <m/>
    <n v="5"/>
    <m/>
    <m/>
    <m/>
    <m/>
    <x v="1"/>
    <x v="3"/>
    <m/>
    <m/>
    <m/>
    <m/>
    <m/>
    <m/>
    <n v="4"/>
    <m/>
    <m/>
    <n v="2"/>
    <n v="1"/>
    <m/>
    <m/>
    <m/>
    <m/>
    <m/>
    <m/>
    <m/>
    <m/>
    <m/>
    <m/>
    <m/>
    <m/>
    <m/>
    <m/>
    <m/>
    <m/>
    <m/>
    <m/>
    <m/>
    <s v="no test"/>
    <s v="no test"/>
    <s v="No Test"/>
    <n v="2"/>
    <n v="1"/>
    <n v="0"/>
    <n v="0"/>
    <n v="0"/>
    <n v="0"/>
    <n v="0"/>
    <n v="1"/>
    <n v="1"/>
    <n v="1"/>
    <n v="130"/>
    <n v="0"/>
    <n v="0"/>
    <n v="1"/>
    <n v="130"/>
    <n v="0.26"/>
    <n v="0"/>
    <n v="0"/>
    <n v="0.74"/>
    <n v="1"/>
    <n v="0"/>
    <n v="0"/>
    <n v="0"/>
    <n v="0"/>
    <n v="0"/>
    <n v="0"/>
    <n v="7"/>
    <n v="2"/>
    <n v="1"/>
    <n v="1"/>
    <n v="0"/>
    <n v="0"/>
    <n v="0"/>
    <n v="0"/>
    <n v="0"/>
    <n v="0"/>
    <n v="1"/>
    <n v="0"/>
    <n v="0"/>
    <n v="0"/>
    <n v="4"/>
    <n v="27"/>
    <n v="0"/>
    <n v="130"/>
    <s v="No"/>
    <s v=""/>
    <n v="0"/>
    <n v="0"/>
    <n v="0"/>
    <s v="Yes"/>
    <s v="KBC-MYT"/>
    <x v="0"/>
    <x v="0"/>
    <x v="0"/>
    <n v="24.998349999999999"/>
    <n v="96.364949999999993"/>
    <s v="MMR001CMP152"/>
    <x v="1"/>
    <m/>
    <n v="26"/>
    <n v="127"/>
  </r>
  <r>
    <x v="1"/>
    <x v="11"/>
    <x v="7"/>
    <s v="MHF"/>
    <x v="0"/>
    <x v="9"/>
    <x v="0"/>
    <x v="105"/>
    <n v="72"/>
    <n v="323"/>
    <d v="2022-05-01T00:00:00"/>
    <d v="2022-10-31T00:00:00"/>
    <m/>
    <n v="1"/>
    <m/>
    <m/>
    <s v="Yes"/>
    <n v="3"/>
    <n v="1"/>
    <n v="27"/>
    <n v="15"/>
    <m/>
    <n v="0"/>
    <m/>
    <m/>
    <m/>
    <m/>
    <m/>
    <m/>
    <m/>
    <m/>
    <m/>
    <m/>
    <m/>
    <m/>
    <m/>
    <m/>
    <m/>
    <m/>
    <m/>
    <m/>
    <m/>
    <n v="65"/>
    <n v="15"/>
    <m/>
    <m/>
    <m/>
    <m/>
    <m/>
    <m/>
    <x v="1"/>
    <x v="1"/>
    <m/>
    <n v="2"/>
    <m/>
    <m/>
    <m/>
    <m/>
    <n v="3"/>
    <m/>
    <m/>
    <n v="2"/>
    <m/>
    <n v="1"/>
    <m/>
    <m/>
    <m/>
    <m/>
    <m/>
    <m/>
    <m/>
    <m/>
    <m/>
    <m/>
    <m/>
    <m/>
    <m/>
    <m/>
    <m/>
    <m/>
    <m/>
    <m/>
    <s v="no test"/>
    <s v="no test"/>
    <s v="No Test"/>
    <n v="12"/>
    <n v="0"/>
    <n v="0"/>
    <n v="0"/>
    <n v="0"/>
    <n v="0"/>
    <n v="0"/>
    <n v="1"/>
    <n v="1"/>
    <n v="1"/>
    <n v="323"/>
    <n v="0"/>
    <n v="0"/>
    <n v="1"/>
    <n v="323"/>
    <n v="0.64600000000000002"/>
    <n v="0"/>
    <n v="0"/>
    <n v="0.35399999999999998"/>
    <n v="1"/>
    <n v="80"/>
    <n v="1"/>
    <n v="323"/>
    <n v="0"/>
    <n v="0"/>
    <n v="0"/>
    <n v="16"/>
    <n v="0"/>
    <n v="0"/>
    <n v="0"/>
    <n v="323"/>
    <n v="0"/>
    <n v="0"/>
    <n v="0"/>
    <n v="323"/>
    <n v="1"/>
    <n v="0"/>
    <n v="1"/>
    <n v="0"/>
    <n v="0"/>
    <n v="3"/>
    <n v="60"/>
    <n v="0"/>
    <n v="300"/>
    <s v="No"/>
    <s v=""/>
    <n v="0"/>
    <n v="0"/>
    <n v="0"/>
    <s v="Yes"/>
    <s v="KBC-MYT"/>
    <x v="0"/>
    <x v="0"/>
    <x v="1"/>
    <n v="26.569633"/>
    <n v="97.745480999999998"/>
    <s v="MMR001CMP238"/>
    <x v="1"/>
    <m/>
    <n v="123"/>
    <n v="646"/>
  </r>
  <r>
    <x v="1"/>
    <x v="6"/>
    <x v="6"/>
    <s v="SI (ECHO)"/>
    <x v="0"/>
    <x v="2"/>
    <x v="0"/>
    <x v="106"/>
    <n v="349"/>
    <n v="1570"/>
    <d v="2022-04-01T00:00:00"/>
    <d v="2022-12-31T00:00:00"/>
    <m/>
    <m/>
    <m/>
    <m/>
    <s v="Yes"/>
    <m/>
    <m/>
    <m/>
    <m/>
    <m/>
    <m/>
    <m/>
    <m/>
    <m/>
    <m/>
    <m/>
    <m/>
    <m/>
    <n v="6"/>
    <m/>
    <m/>
    <n v="6"/>
    <m/>
    <m/>
    <m/>
    <m/>
    <n v="4"/>
    <n v="2"/>
    <m/>
    <m/>
    <n v="181"/>
    <m/>
    <m/>
    <m/>
    <m/>
    <m/>
    <m/>
    <n v="71"/>
    <x v="2"/>
    <x v="1"/>
    <n v="2"/>
    <m/>
    <n v="16"/>
    <n v="2"/>
    <m/>
    <m/>
    <n v="8"/>
    <m/>
    <n v="30"/>
    <n v="3"/>
    <m/>
    <m/>
    <n v="6"/>
    <m/>
    <m/>
    <m/>
    <m/>
    <m/>
    <m/>
    <m/>
    <m/>
    <m/>
    <m/>
    <m/>
    <m/>
    <m/>
    <m/>
    <m/>
    <m/>
    <m/>
    <s v="no test"/>
    <s v="no test"/>
    <s v="No Test"/>
    <n v="0"/>
    <n v="0"/>
    <n v="0"/>
    <n v="0"/>
    <n v="0"/>
    <n v="1000"/>
    <n v="0"/>
    <n v="0"/>
    <n v="0"/>
    <n v="0"/>
    <n v="0"/>
    <n v="0.95541401273885351"/>
    <n v="1500"/>
    <n v="0.95541401273885351"/>
    <n v="1500"/>
    <n v="3"/>
    <n v="4.4585987261146487E-2"/>
    <n v="69.999999999999986"/>
    <n v="0"/>
    <n v="3"/>
    <n v="181"/>
    <n v="1"/>
    <n v="1570"/>
    <n v="0"/>
    <n v="0"/>
    <n v="100"/>
    <n v="79"/>
    <n v="0"/>
    <n v="0"/>
    <n v="0"/>
    <n v="1570"/>
    <n v="0"/>
    <n v="0"/>
    <n v="0"/>
    <n v="1570"/>
    <n v="1"/>
    <n v="0"/>
    <n v="1"/>
    <n v="0"/>
    <n v="0"/>
    <n v="8"/>
    <n v="160"/>
    <n v="0"/>
    <n v="800"/>
    <s v="No"/>
    <s v=""/>
    <n v="0"/>
    <n v="1000"/>
    <n v="100"/>
    <s v="Yes"/>
    <s v="KMSS-BMO"/>
    <x v="0"/>
    <x v="0"/>
    <x v="1"/>
    <n v="24.378167000000001"/>
    <n v="97.669366999999994"/>
    <s v="MMR001CMP131"/>
    <x v="1"/>
    <m/>
    <n v="349"/>
    <n v="1570"/>
  </r>
  <r>
    <x v="1"/>
    <x v="16"/>
    <x v="7"/>
    <s v="MHF,SIDA"/>
    <x v="0"/>
    <x v="7"/>
    <x v="0"/>
    <x v="107"/>
    <n v="72"/>
    <n v="323"/>
    <d v="2022-05-01T00:00:00"/>
    <d v="2022-10-31T00:00:00"/>
    <m/>
    <n v="1"/>
    <m/>
    <m/>
    <s v="Yes"/>
    <n v="2"/>
    <n v="2"/>
    <n v="2"/>
    <m/>
    <m/>
    <n v="2"/>
    <m/>
    <m/>
    <m/>
    <m/>
    <m/>
    <m/>
    <m/>
    <m/>
    <m/>
    <m/>
    <n v="3"/>
    <m/>
    <m/>
    <m/>
    <m/>
    <m/>
    <m/>
    <m/>
    <m/>
    <n v="15"/>
    <m/>
    <m/>
    <m/>
    <m/>
    <m/>
    <m/>
    <n v="15"/>
    <x v="1"/>
    <x v="1"/>
    <m/>
    <m/>
    <m/>
    <m/>
    <m/>
    <m/>
    <n v="1"/>
    <m/>
    <m/>
    <n v="1"/>
    <m/>
    <m/>
    <m/>
    <m/>
    <m/>
    <m/>
    <m/>
    <m/>
    <m/>
    <m/>
    <m/>
    <m/>
    <m/>
    <m/>
    <m/>
    <m/>
    <m/>
    <m/>
    <m/>
    <m/>
    <s v="no test"/>
    <s v="no test"/>
    <s v="No Test"/>
    <n v="2"/>
    <n v="2"/>
    <n v="0"/>
    <n v="0"/>
    <n v="0"/>
    <n v="0"/>
    <n v="0"/>
    <n v="1"/>
    <n v="1"/>
    <n v="1"/>
    <n v="323"/>
    <n v="0"/>
    <n v="0"/>
    <n v="1"/>
    <n v="323"/>
    <n v="0.64600000000000002"/>
    <n v="0"/>
    <n v="0"/>
    <n v="0.35399999999999998"/>
    <n v="1"/>
    <n v="15"/>
    <n v="0.92879256965944268"/>
    <n v="300"/>
    <n v="0"/>
    <n v="0"/>
    <n v="0"/>
    <n v="16"/>
    <n v="1"/>
    <n v="7.1207430340557321E-2"/>
    <n v="0"/>
    <n v="0"/>
    <n v="0"/>
    <n v="0"/>
    <n v="0"/>
    <n v="0"/>
    <n v="0"/>
    <n v="1"/>
    <n v="0"/>
    <n v="0"/>
    <n v="0"/>
    <n v="1"/>
    <n v="20"/>
    <n v="0"/>
    <n v="100"/>
    <s v="No"/>
    <s v=""/>
    <n v="0"/>
    <n v="0"/>
    <n v="0"/>
    <s v="Yes"/>
    <s v="KBC-MYT"/>
    <x v="0"/>
    <x v="0"/>
    <x v="0"/>
    <n v="25.422194000000001"/>
    <n v="97.394547000000003"/>
    <s v="MMR001CMP002"/>
    <x v="1"/>
    <m/>
    <n v="72"/>
    <n v="323"/>
  </r>
  <r>
    <x v="1"/>
    <x v="1"/>
    <x v="1"/>
    <s v="ECHO 2739"/>
    <x v="0"/>
    <x v="2"/>
    <x v="0"/>
    <x v="108"/>
    <n v="47"/>
    <n v="299"/>
    <d v="2022-04-01T00:00:00"/>
    <d v="2022-11-30T00:00:00"/>
    <m/>
    <m/>
    <m/>
    <m/>
    <s v="Yes"/>
    <n v="3"/>
    <n v="9"/>
    <n v="3"/>
    <m/>
    <m/>
    <n v="1"/>
    <m/>
    <m/>
    <m/>
    <m/>
    <m/>
    <m/>
    <m/>
    <m/>
    <m/>
    <m/>
    <m/>
    <m/>
    <m/>
    <m/>
    <m/>
    <m/>
    <m/>
    <m/>
    <m/>
    <n v="13"/>
    <m/>
    <m/>
    <m/>
    <m/>
    <n v="15"/>
    <n v="26"/>
    <m/>
    <x v="1"/>
    <x v="1"/>
    <m/>
    <m/>
    <m/>
    <m/>
    <n v="3"/>
    <m/>
    <n v="8"/>
    <m/>
    <m/>
    <n v="3"/>
    <m/>
    <m/>
    <n v="1"/>
    <n v="46"/>
    <m/>
    <m/>
    <m/>
    <m/>
    <m/>
    <n v="1"/>
    <n v="1"/>
    <n v="9"/>
    <n v="1"/>
    <m/>
    <m/>
    <m/>
    <m/>
    <m/>
    <m/>
    <m/>
    <s v="no test"/>
    <s v="no test"/>
    <s v="No Test"/>
    <n v="3"/>
    <n v="1"/>
    <n v="0"/>
    <n v="0"/>
    <n v="0"/>
    <n v="0"/>
    <n v="0"/>
    <n v="1"/>
    <n v="1"/>
    <n v="1"/>
    <n v="299"/>
    <n v="0"/>
    <n v="0"/>
    <n v="1"/>
    <n v="299"/>
    <n v="0.59799999999999998"/>
    <n v="0"/>
    <n v="0"/>
    <n v="0.40200000000000002"/>
    <n v="1"/>
    <n v="13"/>
    <n v="0.87959866220735783"/>
    <n v="263"/>
    <n v="299"/>
    <n v="0"/>
    <n v="0"/>
    <n v="15"/>
    <n v="2"/>
    <n v="0.12040133779264217"/>
    <n v="0"/>
    <n v="299"/>
    <n v="230"/>
    <n v="0"/>
    <n v="230"/>
    <n v="299"/>
    <n v="1"/>
    <n v="0"/>
    <n v="1"/>
    <n v="1"/>
    <n v="0"/>
    <n v="8"/>
    <n v="47"/>
    <n v="0"/>
    <n v="299"/>
    <s v="No"/>
    <n v="3.0100334448160536E-2"/>
    <n v="0"/>
    <n v="0"/>
    <n v="0"/>
    <s v="Yes"/>
    <s v="KBC-BMO"/>
    <x v="0"/>
    <x v="0"/>
    <x v="0"/>
    <n v="24.205417000000001"/>
    <n v="97.724483000000006"/>
    <s v="MMR001CMP072"/>
    <x v="1"/>
    <m/>
    <n v="47"/>
    <n v="291"/>
  </r>
  <r>
    <x v="1"/>
    <x v="4"/>
    <x v="4"/>
    <s v="UNICEF"/>
    <x v="0"/>
    <x v="7"/>
    <x v="0"/>
    <x v="109"/>
    <n v="148"/>
    <n v="924"/>
    <d v="2021-08-06T00:00:00"/>
    <d v="2022-08-05T00:00:00"/>
    <m/>
    <n v="4"/>
    <m/>
    <m/>
    <s v="Yes"/>
    <n v="1"/>
    <n v="4"/>
    <n v="4"/>
    <n v="1"/>
    <n v="1"/>
    <n v="2"/>
    <m/>
    <m/>
    <m/>
    <n v="1"/>
    <n v="1"/>
    <n v="1"/>
    <m/>
    <m/>
    <m/>
    <m/>
    <m/>
    <n v="7"/>
    <n v="5"/>
    <m/>
    <m/>
    <n v="12"/>
    <m/>
    <m/>
    <m/>
    <n v="33"/>
    <m/>
    <m/>
    <m/>
    <m/>
    <n v="8"/>
    <m/>
    <n v="8"/>
    <x v="1"/>
    <x v="1"/>
    <n v="1"/>
    <m/>
    <m/>
    <m/>
    <m/>
    <m/>
    <n v="8"/>
    <m/>
    <m/>
    <n v="5"/>
    <m/>
    <m/>
    <n v="2"/>
    <n v="148"/>
    <n v="198.19800000000001"/>
    <s v="Yes"/>
    <n v="100"/>
    <m/>
    <s v="Requested Sanitary pads "/>
    <m/>
    <m/>
    <m/>
    <n v="0.01"/>
    <m/>
    <m/>
    <m/>
    <m/>
    <m/>
    <m/>
    <m/>
    <n v="0.7142857142857143"/>
    <s v="no test"/>
    <s v="Tested"/>
    <n v="3"/>
    <n v="2"/>
    <n v="0"/>
    <n v="0"/>
    <n v="0"/>
    <n v="0"/>
    <n v="0"/>
    <n v="1"/>
    <n v="1"/>
    <n v="1"/>
    <n v="924"/>
    <n v="0"/>
    <n v="0"/>
    <n v="1"/>
    <n v="924"/>
    <n v="1.8480000000000001"/>
    <n v="0"/>
    <n v="0"/>
    <n v="0.15199999999999991"/>
    <n v="2"/>
    <n v="33"/>
    <n v="0.73593073593073588"/>
    <n v="680"/>
    <n v="160"/>
    <n v="0"/>
    <n v="0"/>
    <n v="46"/>
    <n v="13"/>
    <n v="0.26406926406926412"/>
    <n v="0"/>
    <n v="924"/>
    <n v="924"/>
    <n v="198.19800000000001"/>
    <n v="924"/>
    <n v="924"/>
    <n v="1"/>
    <n v="0"/>
    <n v="1"/>
    <n v="1"/>
    <n v="1"/>
    <n v="8"/>
    <n v="148"/>
    <n v="12"/>
    <n v="800"/>
    <s v="No"/>
    <s v=""/>
    <n v="0"/>
    <n v="0"/>
    <n v="0"/>
    <s v="Yes"/>
    <s v="KMSS-MYT"/>
    <x v="0"/>
    <x v="0"/>
    <x v="0"/>
    <n v="25.493819999999999"/>
    <n v="97.4345"/>
    <s v="MMR001CMP162"/>
    <x v="1"/>
    <m/>
    <n v="152"/>
    <n v="941"/>
  </r>
  <r>
    <x v="1"/>
    <x v="4"/>
    <x v="4"/>
    <s v="UNICEF"/>
    <x v="0"/>
    <x v="7"/>
    <x v="0"/>
    <x v="110"/>
    <n v="214"/>
    <n v="1187"/>
    <d v="2021-08-06T00:00:00"/>
    <d v="2022-08-05T00:00:00"/>
    <m/>
    <n v="2"/>
    <m/>
    <m/>
    <s v="Yes"/>
    <n v="2"/>
    <n v="4"/>
    <n v="4"/>
    <n v="1"/>
    <n v="1"/>
    <m/>
    <m/>
    <m/>
    <m/>
    <m/>
    <m/>
    <m/>
    <m/>
    <m/>
    <m/>
    <m/>
    <m/>
    <n v="6"/>
    <n v="3"/>
    <m/>
    <m/>
    <m/>
    <m/>
    <m/>
    <m/>
    <n v="66"/>
    <m/>
    <m/>
    <m/>
    <m/>
    <n v="4"/>
    <m/>
    <m/>
    <x v="1"/>
    <x v="1"/>
    <n v="1"/>
    <m/>
    <m/>
    <m/>
    <m/>
    <m/>
    <n v="4"/>
    <m/>
    <n v="7"/>
    <n v="11"/>
    <m/>
    <m/>
    <n v="1"/>
    <n v="214"/>
    <n v="254.61150000000004"/>
    <s v="Yes"/>
    <n v="100"/>
    <m/>
    <s v="Requested Sanitary pads "/>
    <m/>
    <m/>
    <m/>
    <n v="0.01"/>
    <m/>
    <m/>
    <m/>
    <m/>
    <m/>
    <m/>
    <m/>
    <n v="0.5"/>
    <s v="no test"/>
    <s v="Tested"/>
    <n v="3"/>
    <n v="0"/>
    <n v="0"/>
    <n v="0"/>
    <n v="0"/>
    <n v="0"/>
    <n v="0"/>
    <n v="1"/>
    <n v="0.63184498736310024"/>
    <n v="1"/>
    <n v="1187"/>
    <n v="0"/>
    <n v="0"/>
    <n v="1"/>
    <n v="1187"/>
    <n v="2.3740000000000001"/>
    <n v="0"/>
    <n v="0"/>
    <n v="0"/>
    <n v="2"/>
    <n v="66"/>
    <n v="1"/>
    <n v="1187"/>
    <n v="80"/>
    <n v="0"/>
    <n v="0"/>
    <n v="59"/>
    <n v="0"/>
    <n v="0"/>
    <n v="0"/>
    <n v="500"/>
    <n v="1187"/>
    <n v="254.61150000000004"/>
    <n v="1187"/>
    <n v="1187"/>
    <n v="1"/>
    <n v="0"/>
    <n v="0.42122999157540014"/>
    <n v="1"/>
    <n v="1"/>
    <n v="4"/>
    <n v="80"/>
    <n v="0"/>
    <n v="400"/>
    <s v="No"/>
    <s v=""/>
    <n v="0"/>
    <n v="0"/>
    <n v="0"/>
    <s v="Yes"/>
    <s v="KMSS-MYT"/>
    <x v="0"/>
    <x v="0"/>
    <x v="0"/>
    <n v="25.493819999999999"/>
    <n v="97.4345"/>
    <s v="MMR001CMP271"/>
    <x v="1"/>
    <m/>
    <n v="215"/>
    <n v="1188"/>
  </r>
  <r>
    <x v="1"/>
    <x v="6"/>
    <x v="6"/>
    <s v="SI (ECHO)"/>
    <x v="0"/>
    <x v="2"/>
    <x v="0"/>
    <x v="111"/>
    <n v="616"/>
    <n v="3682"/>
    <d v="2022-04-01T00:00:00"/>
    <d v="2022-12-31T00:00:00"/>
    <m/>
    <m/>
    <m/>
    <m/>
    <s v="Yes"/>
    <m/>
    <m/>
    <m/>
    <m/>
    <m/>
    <m/>
    <m/>
    <m/>
    <m/>
    <m/>
    <m/>
    <m/>
    <m/>
    <n v="1"/>
    <m/>
    <m/>
    <n v="1"/>
    <m/>
    <m/>
    <m/>
    <m/>
    <n v="21"/>
    <n v="6"/>
    <m/>
    <m/>
    <n v="152"/>
    <m/>
    <m/>
    <m/>
    <m/>
    <m/>
    <m/>
    <m/>
    <x v="2"/>
    <x v="1"/>
    <n v="4"/>
    <m/>
    <n v="16"/>
    <n v="2"/>
    <m/>
    <m/>
    <n v="7"/>
    <m/>
    <m/>
    <n v="7"/>
    <m/>
    <m/>
    <n v="6"/>
    <m/>
    <m/>
    <m/>
    <m/>
    <m/>
    <m/>
    <m/>
    <m/>
    <m/>
    <m/>
    <m/>
    <m/>
    <m/>
    <m/>
    <m/>
    <m/>
    <m/>
    <s v="no test"/>
    <s v="no test"/>
    <s v="No Test"/>
    <n v="0"/>
    <n v="0"/>
    <n v="0"/>
    <n v="0"/>
    <n v="0"/>
    <n v="3000"/>
    <n v="0"/>
    <n v="0"/>
    <n v="0"/>
    <n v="0"/>
    <n v="0"/>
    <n v="6.7897881586094513E-2"/>
    <n v="250"/>
    <n v="6.7897881586094513E-2"/>
    <n v="250"/>
    <n v="0.5"/>
    <n v="0.93210211841390544"/>
    <n v="3432"/>
    <n v="6.5"/>
    <n v="7"/>
    <n v="152"/>
    <n v="0.84736556219445958"/>
    <n v="3120"/>
    <n v="0"/>
    <n v="0"/>
    <n v="100"/>
    <n v="184"/>
    <n v="32"/>
    <n v="0.15263443780554042"/>
    <n v="0"/>
    <n v="3000"/>
    <n v="0"/>
    <n v="0"/>
    <n v="0"/>
    <n v="3000"/>
    <n v="0.81477457903313422"/>
    <n v="0.18522542096686578"/>
    <n v="0.81477457903313422"/>
    <n v="0"/>
    <n v="0"/>
    <n v="7"/>
    <n v="140"/>
    <n v="0"/>
    <n v="700"/>
    <s v="No"/>
    <s v=""/>
    <n v="0"/>
    <n v="3000"/>
    <n v="100"/>
    <s v="Yes"/>
    <s v="KMSS-BMO"/>
    <x v="0"/>
    <x v="0"/>
    <x v="1"/>
    <n v="24.2744"/>
    <n v="97.752667000000002"/>
    <s v="MMR001CMP126"/>
    <x v="1"/>
    <m/>
    <n v="616"/>
    <n v="3682"/>
  </r>
  <r>
    <x v="1"/>
    <x v="11"/>
    <x v="7"/>
    <s v="MHF"/>
    <x v="0"/>
    <x v="3"/>
    <x v="0"/>
    <x v="112"/>
    <n v="166"/>
    <n v="966"/>
    <d v="2022-05-01T00:00:00"/>
    <d v="2022-10-31T00:00:00"/>
    <m/>
    <n v="1"/>
    <m/>
    <m/>
    <s v="Yes"/>
    <n v="3"/>
    <n v="2"/>
    <n v="3"/>
    <n v="1"/>
    <m/>
    <m/>
    <m/>
    <m/>
    <m/>
    <n v="4"/>
    <n v="2"/>
    <m/>
    <m/>
    <m/>
    <m/>
    <m/>
    <m/>
    <m/>
    <m/>
    <m/>
    <m/>
    <m/>
    <m/>
    <m/>
    <m/>
    <n v="170"/>
    <m/>
    <m/>
    <m/>
    <m/>
    <m/>
    <m/>
    <n v="150"/>
    <x v="1"/>
    <x v="1"/>
    <m/>
    <m/>
    <m/>
    <m/>
    <m/>
    <m/>
    <n v="25"/>
    <n v="5"/>
    <n v="5"/>
    <m/>
    <m/>
    <n v="1"/>
    <n v="2"/>
    <m/>
    <m/>
    <m/>
    <m/>
    <m/>
    <m/>
    <m/>
    <m/>
    <m/>
    <m/>
    <m/>
    <m/>
    <m/>
    <m/>
    <m/>
    <m/>
    <m/>
    <s v="no test"/>
    <s v="no test"/>
    <s v="No Test"/>
    <n v="2"/>
    <n v="0"/>
    <n v="2"/>
    <n v="0"/>
    <n v="0"/>
    <n v="0"/>
    <n v="0"/>
    <n v="0.96618357487922713"/>
    <n v="0.65562456866804697"/>
    <n v="0.96618357487922713"/>
    <n v="933.33333333333337"/>
    <n v="0"/>
    <n v="0"/>
    <n v="0.96618357487922713"/>
    <n v="933.33333333333337"/>
    <n v="1.8666666666666667"/>
    <n v="3.3816425120772875E-2"/>
    <n v="32.6666666666666"/>
    <n v="0.1333333333333333"/>
    <n v="2"/>
    <n v="170"/>
    <n v="0.87991718426501031"/>
    <n v="850"/>
    <n v="0"/>
    <n v="0"/>
    <n v="0"/>
    <n v="161"/>
    <n v="0"/>
    <n v="0.12008281573498969"/>
    <n v="0"/>
    <n v="966"/>
    <n v="0"/>
    <n v="0"/>
    <n v="0"/>
    <n v="966"/>
    <n v="1"/>
    <n v="0"/>
    <n v="1"/>
    <n v="0"/>
    <n v="0"/>
    <n v="20"/>
    <n v="166"/>
    <n v="0"/>
    <n v="966"/>
    <s v="No"/>
    <s v=""/>
    <n v="0"/>
    <n v="0"/>
    <n v="0"/>
    <s v="Yes"/>
    <s v="KBC-MYT"/>
    <x v="1"/>
    <x v="0"/>
    <x v="1"/>
    <n v="24.831944"/>
    <n v="97.751389000000003"/>
    <s v="MMR001CMP120"/>
    <x v="1"/>
    <m/>
    <n v="166"/>
    <n v="966"/>
  </r>
  <r>
    <x v="1"/>
    <x v="4"/>
    <x v="4"/>
    <s v="UNICEF"/>
    <x v="0"/>
    <x v="7"/>
    <x v="1"/>
    <x v="113"/>
    <n v="25"/>
    <n v="134"/>
    <d v="2021-08-06T00:00:00"/>
    <d v="2022-08-05T00:00:00"/>
    <m/>
    <n v="1"/>
    <m/>
    <m/>
    <s v="Yes"/>
    <n v="2"/>
    <n v="2"/>
    <m/>
    <m/>
    <m/>
    <n v="2"/>
    <m/>
    <m/>
    <m/>
    <m/>
    <m/>
    <m/>
    <m/>
    <m/>
    <m/>
    <m/>
    <m/>
    <n v="5"/>
    <n v="1"/>
    <m/>
    <m/>
    <n v="3"/>
    <m/>
    <m/>
    <m/>
    <n v="6"/>
    <m/>
    <m/>
    <n v="1"/>
    <m/>
    <m/>
    <m/>
    <m/>
    <x v="1"/>
    <x v="2"/>
    <m/>
    <m/>
    <m/>
    <m/>
    <m/>
    <m/>
    <n v="3"/>
    <m/>
    <m/>
    <n v="2"/>
    <m/>
    <m/>
    <n v="1"/>
    <n v="25"/>
    <n v="28.743000000000006"/>
    <s v="Yes"/>
    <n v="100"/>
    <m/>
    <s v="Requested Sanitary pads "/>
    <m/>
    <m/>
    <m/>
    <n v="0.01"/>
    <m/>
    <m/>
    <m/>
    <m/>
    <m/>
    <m/>
    <m/>
    <n v="0.2"/>
    <s v="no test"/>
    <s v="Tested"/>
    <n v="0"/>
    <n v="2"/>
    <n v="0"/>
    <n v="0"/>
    <n v="0"/>
    <n v="0"/>
    <n v="0"/>
    <n v="1"/>
    <n v="1"/>
    <n v="1"/>
    <n v="134"/>
    <n v="0"/>
    <n v="0"/>
    <n v="1"/>
    <n v="134"/>
    <n v="0.26800000000000002"/>
    <n v="0"/>
    <n v="0"/>
    <n v="0.73199999999999998"/>
    <n v="1"/>
    <n v="5"/>
    <n v="0.74626865671641796"/>
    <n v="100"/>
    <n v="0"/>
    <n v="0"/>
    <n v="0"/>
    <n v="7"/>
    <n v="1"/>
    <n v="0.25373134328358204"/>
    <n v="0.16666666666666666"/>
    <n v="134"/>
    <n v="134"/>
    <n v="28.743000000000006"/>
    <n v="134"/>
    <n v="134"/>
    <n v="1"/>
    <n v="0"/>
    <n v="1"/>
    <n v="1"/>
    <n v="1"/>
    <n v="3"/>
    <n v="25"/>
    <n v="3"/>
    <n v="134"/>
    <s v="No"/>
    <s v=""/>
    <n v="0"/>
    <n v="0"/>
    <n v="0"/>
    <n v="0"/>
    <n v="0"/>
    <x v="0"/>
    <x v="0"/>
    <x v="0"/>
    <n v="0"/>
    <n v="0"/>
    <n v="0"/>
    <x v="1"/>
    <m/>
    <n v="0"/>
    <n v="0"/>
  </r>
  <r>
    <x v="1"/>
    <x v="12"/>
    <x v="7"/>
    <s v="MHF"/>
    <x v="0"/>
    <x v="12"/>
    <x v="0"/>
    <x v="114"/>
    <n v="386"/>
    <n v="1397"/>
    <d v="2021-11-01T00:00:00"/>
    <d v="2022-10-31T00:00:00"/>
    <m/>
    <m/>
    <m/>
    <m/>
    <m/>
    <n v="19"/>
    <n v="55"/>
    <n v="13"/>
    <m/>
    <m/>
    <n v="1"/>
    <m/>
    <m/>
    <m/>
    <m/>
    <m/>
    <m/>
    <m/>
    <m/>
    <m/>
    <n v="7"/>
    <m/>
    <m/>
    <m/>
    <m/>
    <m/>
    <m/>
    <m/>
    <m/>
    <m/>
    <n v="5"/>
    <m/>
    <m/>
    <m/>
    <m/>
    <m/>
    <m/>
    <m/>
    <x v="1"/>
    <x v="0"/>
    <m/>
    <m/>
    <n v="50"/>
    <m/>
    <m/>
    <m/>
    <n v="1"/>
    <m/>
    <m/>
    <n v="3"/>
    <m/>
    <m/>
    <m/>
    <m/>
    <m/>
    <m/>
    <m/>
    <m/>
    <m/>
    <m/>
    <m/>
    <m/>
    <m/>
    <m/>
    <m/>
    <m/>
    <m/>
    <m/>
    <m/>
    <m/>
    <s v="no test"/>
    <s v="no test"/>
    <s v="No Test"/>
    <n v="13"/>
    <n v="1"/>
    <n v="0"/>
    <n v="0"/>
    <n v="0"/>
    <n v="0"/>
    <n v="0"/>
    <n v="1"/>
    <n v="1"/>
    <n v="1"/>
    <n v="1397"/>
    <n v="0"/>
    <n v="0"/>
    <n v="1"/>
    <n v="1397"/>
    <n v="2.794"/>
    <n v="0"/>
    <n v="0"/>
    <n v="0.20599999999999996"/>
    <n v="3"/>
    <n v="5"/>
    <n v="7.158196134574088E-2"/>
    <n v="100"/>
    <n v="0"/>
    <n v="0"/>
    <n v="0"/>
    <n v="70"/>
    <n v="65"/>
    <n v="0.92841803865425909"/>
    <n v="0"/>
    <n v="0"/>
    <n v="0"/>
    <n v="0"/>
    <n v="0"/>
    <n v="0"/>
    <n v="0"/>
    <n v="1"/>
    <n v="0"/>
    <n v="0"/>
    <n v="0"/>
    <n v="1"/>
    <n v="20"/>
    <n v="0"/>
    <n v="100"/>
    <s v="No"/>
    <s v=""/>
    <n v="0"/>
    <n v="0"/>
    <n v="0"/>
    <n v="0"/>
    <s v="uncovered"/>
    <x v="0"/>
    <x v="3"/>
    <x v="1"/>
    <n v="24.590350000000001"/>
    <n v="96.95626"/>
    <s v="MMR001CMP273"/>
    <x v="1"/>
    <m/>
    <n v="318"/>
    <n v="1329"/>
  </r>
  <r>
    <x v="1"/>
    <x v="1"/>
    <x v="1"/>
    <s v="ECHO 2739"/>
    <x v="0"/>
    <x v="0"/>
    <x v="0"/>
    <x v="115"/>
    <n v="65"/>
    <n v="334"/>
    <d v="2022-04-01T00:00:00"/>
    <d v="2022-11-30T00:00:00"/>
    <m/>
    <m/>
    <m/>
    <m/>
    <s v="Yes"/>
    <n v="2"/>
    <n v="4"/>
    <n v="1"/>
    <m/>
    <m/>
    <n v="2"/>
    <m/>
    <m/>
    <m/>
    <m/>
    <m/>
    <m/>
    <m/>
    <m/>
    <m/>
    <m/>
    <m/>
    <n v="3"/>
    <n v="3"/>
    <m/>
    <m/>
    <m/>
    <m/>
    <m/>
    <m/>
    <n v="33"/>
    <m/>
    <m/>
    <m/>
    <m/>
    <n v="33"/>
    <n v="28"/>
    <m/>
    <x v="1"/>
    <x v="1"/>
    <m/>
    <m/>
    <m/>
    <m/>
    <m/>
    <m/>
    <n v="19"/>
    <m/>
    <m/>
    <n v="7"/>
    <m/>
    <m/>
    <m/>
    <m/>
    <m/>
    <m/>
    <m/>
    <m/>
    <m/>
    <m/>
    <m/>
    <m/>
    <n v="0"/>
    <m/>
    <n v="33"/>
    <n v="7"/>
    <m/>
    <m/>
    <m/>
    <m/>
    <n v="1"/>
    <s v="no test"/>
    <s v="Tested"/>
    <n v="1"/>
    <n v="2"/>
    <n v="0"/>
    <n v="0"/>
    <n v="0"/>
    <n v="0"/>
    <n v="0"/>
    <n v="1"/>
    <n v="1"/>
    <n v="1"/>
    <n v="334"/>
    <n v="0"/>
    <n v="0"/>
    <n v="1"/>
    <n v="334"/>
    <n v="0.66800000000000004"/>
    <n v="0"/>
    <n v="0"/>
    <n v="0.33199999999999996"/>
    <n v="1"/>
    <n v="33"/>
    <n v="1"/>
    <n v="334"/>
    <n v="334"/>
    <n v="0"/>
    <n v="0"/>
    <n v="17"/>
    <n v="0"/>
    <n v="0"/>
    <n v="0"/>
    <n v="0"/>
    <n v="0"/>
    <n v="0"/>
    <n v="0"/>
    <n v="0"/>
    <n v="0"/>
    <n v="1"/>
    <n v="0"/>
    <n v="0"/>
    <n v="0"/>
    <n v="19"/>
    <n v="65"/>
    <n v="0"/>
    <n v="334"/>
    <s v="No"/>
    <s v=""/>
    <n v="40"/>
    <n v="0"/>
    <n v="0"/>
    <s v="Yes"/>
    <s v="KBC-BMO"/>
    <x v="0"/>
    <x v="0"/>
    <x v="0"/>
    <n v="24.222349999999999"/>
    <n v="97.252650000000003"/>
    <s v="MMR001CMP193"/>
    <x v="1"/>
    <m/>
    <n v="64"/>
    <n v="339"/>
  </r>
  <r>
    <x v="1"/>
    <x v="2"/>
    <x v="2"/>
    <s v="MHF"/>
    <x v="0"/>
    <x v="3"/>
    <x v="0"/>
    <x v="117"/>
    <n v="109"/>
    <n v="463"/>
    <d v="2022-01-01T00:00:00"/>
    <d v="2022-12-31T00:00:00"/>
    <m/>
    <n v="2"/>
    <m/>
    <m/>
    <s v="Yes"/>
    <n v="4"/>
    <n v="9"/>
    <n v="3"/>
    <n v="1"/>
    <m/>
    <n v="2"/>
    <m/>
    <m/>
    <m/>
    <m/>
    <m/>
    <m/>
    <m/>
    <n v="2"/>
    <m/>
    <m/>
    <n v="2"/>
    <m/>
    <m/>
    <m/>
    <m/>
    <n v="3"/>
    <m/>
    <m/>
    <s v="နွေရာသီတွင် ရေခမ်း၍ ရေအနည်များခြင်း"/>
    <n v="15"/>
    <m/>
    <m/>
    <m/>
    <m/>
    <m/>
    <m/>
    <m/>
    <x v="1"/>
    <x v="1"/>
    <m/>
    <m/>
    <m/>
    <n v="5"/>
    <m/>
    <s v="မိလ္လာစုပ်ထုတ်ရန် အခက်အခဲဖြစ်"/>
    <n v="9"/>
    <n v="4"/>
    <m/>
    <n v="4"/>
    <m/>
    <m/>
    <m/>
    <n v="80"/>
    <m/>
    <s v="Yes"/>
    <m/>
    <n v="0.56000000000000005"/>
    <m/>
    <n v="0.95"/>
    <n v="0.9"/>
    <m/>
    <n v="0.95"/>
    <m/>
    <m/>
    <m/>
    <m/>
    <m/>
    <m/>
    <m/>
    <s v="no test"/>
    <s v="no test"/>
    <s v="No Test"/>
    <n v="2"/>
    <n v="2"/>
    <n v="0"/>
    <n v="0"/>
    <n v="0"/>
    <n v="0"/>
    <n v="0"/>
    <n v="1"/>
    <n v="1"/>
    <n v="1"/>
    <n v="463"/>
    <n v="1"/>
    <n v="463"/>
    <n v="1"/>
    <n v="463"/>
    <n v="0.92600000000000005"/>
    <n v="0"/>
    <n v="0"/>
    <n v="7.3999999999999955E-2"/>
    <n v="1"/>
    <n v="15"/>
    <n v="0.64794816414686829"/>
    <n v="300"/>
    <n v="0"/>
    <n v="0"/>
    <n v="250"/>
    <n v="23"/>
    <n v="8"/>
    <n v="0.35205183585313171"/>
    <n v="0"/>
    <n v="0"/>
    <n v="400"/>
    <n v="0"/>
    <n v="400"/>
    <n v="400"/>
    <n v="0.86393088552915764"/>
    <n v="0.13606911447084236"/>
    <n v="0"/>
    <n v="1"/>
    <n v="0"/>
    <n v="5"/>
    <n v="100"/>
    <n v="3"/>
    <n v="463"/>
    <s v="No"/>
    <s v=""/>
    <n v="0"/>
    <n v="0"/>
    <n v="250"/>
    <s v="Yes"/>
    <s v="Shalom"/>
    <x v="0"/>
    <x v="0"/>
    <x v="0"/>
    <n v="25.3540362037037"/>
    <n v="97.441166388888902"/>
    <s v="MMR001CMP032"/>
    <x v="1"/>
    <m/>
    <n v="111"/>
    <n v="505"/>
  </r>
  <r>
    <x v="1"/>
    <x v="17"/>
    <x v="7"/>
    <s v="MHF,SIDA,LIFT"/>
    <x v="0"/>
    <x v="3"/>
    <x v="0"/>
    <x v="118"/>
    <n v="81"/>
    <n v="396"/>
    <s v="5/1/2022,1/1/2020"/>
    <s v="10/31/2022,12/31/2022"/>
    <m/>
    <n v="2"/>
    <m/>
    <m/>
    <s v="Yes"/>
    <n v="3"/>
    <n v="3"/>
    <n v="2"/>
    <m/>
    <m/>
    <m/>
    <m/>
    <m/>
    <m/>
    <m/>
    <m/>
    <m/>
    <m/>
    <m/>
    <m/>
    <m/>
    <n v="1"/>
    <m/>
    <m/>
    <m/>
    <m/>
    <m/>
    <m/>
    <m/>
    <m/>
    <n v="14"/>
    <m/>
    <m/>
    <m/>
    <m/>
    <m/>
    <m/>
    <n v="10"/>
    <x v="1"/>
    <x v="1"/>
    <m/>
    <m/>
    <m/>
    <m/>
    <m/>
    <m/>
    <n v="1"/>
    <m/>
    <m/>
    <n v="3"/>
    <m/>
    <n v="1"/>
    <n v="1"/>
    <n v="19"/>
    <n v="20"/>
    <m/>
    <m/>
    <m/>
    <s v="Provide hygiene 4 clean message to mother group session and adolescent sessions (Under managed by Nutrition Programme) "/>
    <m/>
    <m/>
    <m/>
    <m/>
    <m/>
    <m/>
    <m/>
    <m/>
    <m/>
    <m/>
    <m/>
    <s v="no test"/>
    <s v="no test"/>
    <s v="No Test"/>
    <n v="2"/>
    <n v="0"/>
    <n v="0"/>
    <n v="0"/>
    <n v="0"/>
    <n v="0"/>
    <n v="0"/>
    <n v="1"/>
    <n v="1"/>
    <n v="1"/>
    <n v="396"/>
    <n v="0"/>
    <n v="0"/>
    <n v="1"/>
    <n v="396"/>
    <n v="0.79200000000000004"/>
    <n v="0"/>
    <n v="0"/>
    <n v="0.20799999999999996"/>
    <n v="1"/>
    <n v="14"/>
    <n v="0.70707070707070707"/>
    <n v="280"/>
    <n v="0"/>
    <n v="0"/>
    <n v="0"/>
    <n v="20"/>
    <n v="6"/>
    <n v="0.29292929292929293"/>
    <n v="0"/>
    <n v="396"/>
    <n v="95"/>
    <n v="20"/>
    <n v="95"/>
    <n v="396"/>
    <n v="1"/>
    <n v="0"/>
    <n v="1"/>
    <n v="0.93827160493827155"/>
    <n v="0.24691358024691357"/>
    <n v="1"/>
    <n v="20"/>
    <n v="0"/>
    <n v="100"/>
    <s v="No"/>
    <s v=""/>
    <n v="0"/>
    <n v="0"/>
    <n v="0"/>
    <s v="Yes"/>
    <s v="KBC-MYT"/>
    <x v="0"/>
    <x v="0"/>
    <x v="0"/>
    <n v="25.351724999999998"/>
    <n v="97.438432380952406"/>
    <s v="MMR001CMP025"/>
    <x v="1"/>
    <m/>
    <n v="72"/>
    <n v="360"/>
  </r>
  <r>
    <x v="1"/>
    <x v="2"/>
    <x v="2"/>
    <s v="MHF"/>
    <x v="0"/>
    <x v="1"/>
    <x v="0"/>
    <x v="119"/>
    <n v="16"/>
    <n v="70"/>
    <d v="2022-01-01T00:00:00"/>
    <d v="2022-12-31T00:00:00"/>
    <m/>
    <m/>
    <m/>
    <m/>
    <s v="Yes"/>
    <n v="4"/>
    <n v="3"/>
    <n v="1"/>
    <m/>
    <m/>
    <n v="1"/>
    <m/>
    <m/>
    <m/>
    <n v="1"/>
    <m/>
    <n v="1"/>
    <m/>
    <n v="2"/>
    <m/>
    <n v="1"/>
    <m/>
    <m/>
    <m/>
    <m/>
    <m/>
    <m/>
    <m/>
    <m/>
    <m/>
    <n v="2"/>
    <m/>
    <m/>
    <m/>
    <m/>
    <m/>
    <m/>
    <m/>
    <x v="1"/>
    <x v="1"/>
    <m/>
    <m/>
    <m/>
    <m/>
    <m/>
    <m/>
    <n v="3"/>
    <m/>
    <m/>
    <n v="2"/>
    <m/>
    <n v="1"/>
    <m/>
    <n v="16"/>
    <n v="17"/>
    <m/>
    <m/>
    <m/>
    <m/>
    <n v="1"/>
    <n v="1"/>
    <m/>
    <n v="1"/>
    <m/>
    <m/>
    <m/>
    <m/>
    <m/>
    <m/>
    <m/>
    <s v="no test"/>
    <s v="no test"/>
    <s v="No Test"/>
    <n v="1"/>
    <n v="1"/>
    <n v="1"/>
    <n v="0"/>
    <n v="0"/>
    <n v="0"/>
    <n v="0"/>
    <n v="1"/>
    <n v="1"/>
    <n v="1"/>
    <n v="70"/>
    <n v="1"/>
    <n v="70"/>
    <n v="1"/>
    <n v="70"/>
    <n v="0.14000000000000001"/>
    <n v="0"/>
    <n v="0"/>
    <n v="0.86"/>
    <n v="1"/>
    <n v="2"/>
    <n v="0.5714285714285714"/>
    <n v="40"/>
    <n v="0"/>
    <n v="0"/>
    <n v="0"/>
    <n v="4"/>
    <n v="2"/>
    <n v="0.4285714285714286"/>
    <n v="0"/>
    <n v="70"/>
    <n v="70"/>
    <n v="17"/>
    <n v="70"/>
    <n v="70"/>
    <n v="1"/>
    <n v="0"/>
    <n v="1"/>
    <n v="1"/>
    <n v="1"/>
    <n v="3"/>
    <n v="16"/>
    <n v="0"/>
    <n v="70"/>
    <s v="No"/>
    <s v=""/>
    <n v="0"/>
    <n v="0"/>
    <n v="0"/>
    <s v="Yes"/>
    <s v="Shalom"/>
    <x v="0"/>
    <x v="3"/>
    <x v="0"/>
    <n v="25.56551"/>
    <n v="96.279200000000003"/>
    <s v="MMR001CMP182"/>
    <x v="1"/>
    <m/>
    <n v="16"/>
    <n v="70"/>
  </r>
  <r>
    <x v="1"/>
    <x v="1"/>
    <x v="1"/>
    <s v="ECHO 2739"/>
    <x v="0"/>
    <x v="0"/>
    <x v="0"/>
    <x v="120"/>
    <n v="610"/>
    <n v="3860"/>
    <d v="2022-04-01T00:00:00"/>
    <d v="2022-11-30T00:00:00"/>
    <m/>
    <m/>
    <m/>
    <m/>
    <s v="Yes"/>
    <n v="20"/>
    <n v="14"/>
    <n v="1"/>
    <m/>
    <m/>
    <n v="23"/>
    <m/>
    <m/>
    <m/>
    <m/>
    <m/>
    <m/>
    <m/>
    <m/>
    <m/>
    <m/>
    <m/>
    <n v="15"/>
    <n v="15"/>
    <n v="27"/>
    <n v="27"/>
    <m/>
    <m/>
    <m/>
    <m/>
    <n v="148"/>
    <m/>
    <m/>
    <m/>
    <m/>
    <n v="141"/>
    <n v="173"/>
    <m/>
    <x v="1"/>
    <x v="1"/>
    <m/>
    <n v="10"/>
    <m/>
    <m/>
    <n v="23"/>
    <m/>
    <n v="32"/>
    <m/>
    <m/>
    <n v="15"/>
    <m/>
    <n v="1"/>
    <n v="5"/>
    <n v="606"/>
    <n v="1336"/>
    <m/>
    <m/>
    <m/>
    <m/>
    <n v="0.98"/>
    <n v="0.97"/>
    <n v="58"/>
    <n v="1"/>
    <m/>
    <n v="148"/>
    <n v="15"/>
    <m/>
    <m/>
    <m/>
    <m/>
    <n v="1"/>
    <n v="1"/>
    <s v="Tested"/>
    <n v="1"/>
    <n v="23"/>
    <n v="0"/>
    <n v="0"/>
    <n v="0"/>
    <n v="0"/>
    <n v="0"/>
    <n v="1"/>
    <n v="1"/>
    <n v="1"/>
    <n v="3860"/>
    <n v="0"/>
    <n v="0"/>
    <n v="1"/>
    <n v="3860"/>
    <n v="7.72"/>
    <n v="0"/>
    <n v="0"/>
    <n v="0.28000000000000025"/>
    <n v="8"/>
    <n v="148"/>
    <n v="0.77279792746113984"/>
    <n v="2983"/>
    <n v="2820"/>
    <n v="0"/>
    <n v="0"/>
    <n v="193"/>
    <n v="45"/>
    <n v="0.22720207253886016"/>
    <n v="0"/>
    <n v="3000"/>
    <n v="3030"/>
    <n v="1336"/>
    <n v="3030"/>
    <n v="3030"/>
    <n v="0.78497409326424872"/>
    <n v="0.21502590673575128"/>
    <n v="0.77720207253886009"/>
    <n v="1"/>
    <n v="1"/>
    <n v="32"/>
    <n v="610"/>
    <n v="0"/>
    <n v="3200"/>
    <s v="No"/>
    <n v="1.5025906735751295E-2"/>
    <n v="163"/>
    <n v="0"/>
    <n v="0"/>
    <s v="Yes"/>
    <s v="KBC-BMO"/>
    <x v="0"/>
    <x v="0"/>
    <x v="0"/>
    <n v="24.268292826086999"/>
    <n v="97.229116811594196"/>
    <s v="MMR001CMP047"/>
    <x v="1"/>
    <m/>
    <n v="597"/>
    <n v="3765"/>
  </r>
  <r>
    <x v="1"/>
    <x v="1"/>
    <x v="1"/>
    <s v="ECHO 2739"/>
    <x v="0"/>
    <x v="0"/>
    <x v="1"/>
    <x v="121"/>
    <m/>
    <m/>
    <d v="2020-01-03T00:00:00"/>
    <d v="2022-02-28T00:00:00"/>
    <m/>
    <m/>
    <m/>
    <m/>
    <s v="Yes"/>
    <m/>
    <m/>
    <m/>
    <m/>
    <m/>
    <n v="5"/>
    <m/>
    <m/>
    <m/>
    <m/>
    <m/>
    <m/>
    <m/>
    <m/>
    <m/>
    <m/>
    <m/>
    <m/>
    <m/>
    <m/>
    <m/>
    <m/>
    <m/>
    <m/>
    <m/>
    <n v="18"/>
    <m/>
    <m/>
    <m/>
    <m/>
    <m/>
    <m/>
    <m/>
    <x v="1"/>
    <x v="0"/>
    <m/>
    <m/>
    <m/>
    <m/>
    <m/>
    <m/>
    <n v="7"/>
    <m/>
    <m/>
    <n v="4"/>
    <m/>
    <m/>
    <m/>
    <m/>
    <m/>
    <m/>
    <m/>
    <m/>
    <m/>
    <m/>
    <m/>
    <m/>
    <m/>
    <m/>
    <m/>
    <m/>
    <m/>
    <m/>
    <m/>
    <m/>
    <s v="no test"/>
    <s v="no test"/>
    <s v="No Test"/>
    <n v="0"/>
    <n v="5"/>
    <n v="0"/>
    <n v="0"/>
    <n v="0"/>
    <n v="0"/>
    <n v="0"/>
    <s v=""/>
    <s v=""/>
    <s v=""/>
    <m/>
    <m/>
    <n v="0"/>
    <m/>
    <n v="0"/>
    <n v="0"/>
    <n v="1"/>
    <n v="0"/>
    <n v="1"/>
    <n v="1"/>
    <n v="18"/>
    <m/>
    <n v="0"/>
    <n v="0"/>
    <n v="0"/>
    <n v="0"/>
    <n v="0"/>
    <n v="0"/>
    <m/>
    <n v="0"/>
    <n v="0"/>
    <n v="0"/>
    <n v="0"/>
    <n v="0"/>
    <n v="0"/>
    <m/>
    <m/>
    <m/>
    <m/>
    <m/>
    <n v="7"/>
    <n v="0"/>
    <n v="0"/>
    <n v="0"/>
    <s v="No"/>
    <s v=""/>
    <n v="0"/>
    <n v="0"/>
    <n v="0"/>
    <s v="No"/>
    <n v="0"/>
    <x v="0"/>
    <x v="0"/>
    <x v="0"/>
    <n v="0"/>
    <n v="0"/>
    <n v="0"/>
    <x v="1"/>
    <m/>
    <n v="0"/>
    <n v="0"/>
  </r>
  <r>
    <x v="1"/>
    <x v="0"/>
    <x v="0"/>
    <m/>
    <x v="0"/>
    <x v="3"/>
    <x v="0"/>
    <x v="122"/>
    <n v="45"/>
    <n v="247"/>
    <s v="13-8-2021, 6-1-2020"/>
    <s v="12-20-2022, 30-7-2021"/>
    <m/>
    <m/>
    <m/>
    <m/>
    <m/>
    <m/>
    <n v="2"/>
    <m/>
    <m/>
    <m/>
    <m/>
    <m/>
    <m/>
    <m/>
    <m/>
    <m/>
    <m/>
    <m/>
    <m/>
    <m/>
    <m/>
    <m/>
    <m/>
    <m/>
    <m/>
    <m/>
    <m/>
    <m/>
    <m/>
    <m/>
    <m/>
    <m/>
    <m/>
    <m/>
    <m/>
    <m/>
    <m/>
    <m/>
    <x v="0"/>
    <x v="0"/>
    <m/>
    <m/>
    <m/>
    <m/>
    <m/>
    <m/>
    <n v="1"/>
    <m/>
    <m/>
    <n v="3"/>
    <m/>
    <m/>
    <m/>
    <m/>
    <m/>
    <m/>
    <m/>
    <m/>
    <m/>
    <m/>
    <m/>
    <m/>
    <m/>
    <m/>
    <m/>
    <m/>
    <m/>
    <m/>
    <m/>
    <m/>
    <s v="no test"/>
    <s v="no test"/>
    <s v="No Test"/>
    <n v="0"/>
    <n v="0"/>
    <n v="0"/>
    <n v="0"/>
    <n v="0"/>
    <n v="0"/>
    <n v="0"/>
    <n v="0"/>
    <n v="0"/>
    <n v="0"/>
    <n v="0"/>
    <n v="0"/>
    <n v="0"/>
    <n v="0"/>
    <n v="0"/>
    <n v="0"/>
    <n v="1"/>
    <n v="247"/>
    <n v="1"/>
    <n v="1"/>
    <n v="0"/>
    <n v="0"/>
    <n v="0"/>
    <n v="0"/>
    <n v="0"/>
    <n v="0"/>
    <n v="12"/>
    <n v="12"/>
    <n v="1"/>
    <n v="0"/>
    <n v="0"/>
    <n v="0"/>
    <n v="0"/>
    <n v="0"/>
    <n v="0"/>
    <n v="0"/>
    <n v="1"/>
    <n v="0"/>
    <n v="0"/>
    <n v="0"/>
    <n v="1"/>
    <n v="20"/>
    <n v="0"/>
    <n v="100"/>
    <s v="No"/>
    <s v=""/>
    <n v="0"/>
    <n v="0"/>
    <n v="0"/>
    <n v="0"/>
    <s v="uncovered"/>
    <x v="0"/>
    <x v="3"/>
    <x v="0"/>
    <n v="25.391428000000001"/>
    <n v="97.898184999999998"/>
    <s v="MMR001CMP258"/>
    <x v="0"/>
    <m/>
    <n v="45"/>
    <n v="247"/>
  </r>
  <r>
    <x v="1"/>
    <x v="2"/>
    <x v="2"/>
    <s v="MHF"/>
    <x v="0"/>
    <x v="7"/>
    <x v="0"/>
    <x v="123"/>
    <n v="16"/>
    <n v="85"/>
    <d v="2021-01-01T00:00:00"/>
    <d v="2022-03-31T00:00:00"/>
    <n v="20"/>
    <n v="1"/>
    <n v="1"/>
    <m/>
    <s v="Yes"/>
    <n v="2"/>
    <n v="2"/>
    <n v="3"/>
    <n v="1"/>
    <m/>
    <n v="3"/>
    <n v="3"/>
    <n v="2"/>
    <n v="2"/>
    <m/>
    <m/>
    <m/>
    <m/>
    <n v="2"/>
    <m/>
    <m/>
    <m/>
    <m/>
    <m/>
    <m/>
    <m/>
    <n v="2"/>
    <n v="2"/>
    <m/>
    <m/>
    <n v="7"/>
    <n v="5"/>
    <s v="Chruch"/>
    <m/>
    <m/>
    <m/>
    <m/>
    <n v="7"/>
    <x v="1"/>
    <x v="1"/>
    <m/>
    <m/>
    <n v="2"/>
    <m/>
    <m/>
    <m/>
    <n v="3"/>
    <m/>
    <m/>
    <n v="2"/>
    <m/>
    <m/>
    <n v="1"/>
    <n v="16"/>
    <m/>
    <s v="Yes"/>
    <n v="2"/>
    <n v="0.7"/>
    <m/>
    <n v="1"/>
    <n v="1"/>
    <m/>
    <m/>
    <m/>
    <m/>
    <m/>
    <m/>
    <m/>
    <m/>
    <m/>
    <s v="no test"/>
    <s v="no test"/>
    <s v="No Test"/>
    <n v="2"/>
    <n v="4"/>
    <n v="0"/>
    <n v="0"/>
    <n v="0"/>
    <n v="85"/>
    <n v="0"/>
    <n v="1"/>
    <n v="1"/>
    <n v="1"/>
    <n v="85"/>
    <n v="1"/>
    <n v="85"/>
    <n v="1"/>
    <n v="85"/>
    <n v="0.17"/>
    <n v="0"/>
    <n v="0"/>
    <n v="0.83"/>
    <n v="1"/>
    <n v="12"/>
    <n v="1"/>
    <n v="85"/>
    <n v="0"/>
    <n v="20"/>
    <n v="0"/>
    <n v="4"/>
    <n v="0"/>
    <n v="0"/>
    <n v="0"/>
    <n v="85"/>
    <n v="85"/>
    <n v="0"/>
    <n v="85"/>
    <n v="85"/>
    <n v="1"/>
    <n v="0"/>
    <n v="1"/>
    <n v="1"/>
    <n v="0"/>
    <n v="3"/>
    <n v="16"/>
    <n v="2"/>
    <n v="85"/>
    <s v="Yes"/>
    <s v=""/>
    <n v="0"/>
    <n v="85"/>
    <n v="0"/>
    <s v="Yes"/>
    <s v="Shalom"/>
    <x v="0"/>
    <x v="0"/>
    <x v="0"/>
    <n v="25.417733999999999"/>
    <n v="97.389778000000007"/>
    <s v="MMR001CMP004"/>
    <x v="1"/>
    <m/>
    <n v="16"/>
    <n v="83"/>
  </r>
  <r>
    <x v="1"/>
    <x v="11"/>
    <x v="7"/>
    <s v="MHF"/>
    <x v="0"/>
    <x v="9"/>
    <x v="0"/>
    <x v="124"/>
    <n v="68"/>
    <n v="353"/>
    <d v="2022-05-01T00:00:00"/>
    <d v="2022-10-31T00:00:00"/>
    <m/>
    <n v="1"/>
    <m/>
    <m/>
    <s v="Yes"/>
    <n v="3"/>
    <n v="2"/>
    <n v="16"/>
    <n v="5"/>
    <m/>
    <n v="0"/>
    <m/>
    <m/>
    <m/>
    <m/>
    <m/>
    <m/>
    <m/>
    <m/>
    <m/>
    <m/>
    <m/>
    <m/>
    <m/>
    <m/>
    <m/>
    <m/>
    <m/>
    <m/>
    <m/>
    <n v="73"/>
    <n v="23"/>
    <m/>
    <m/>
    <m/>
    <m/>
    <m/>
    <m/>
    <x v="1"/>
    <x v="1"/>
    <m/>
    <n v="24"/>
    <n v="5"/>
    <n v="5"/>
    <m/>
    <m/>
    <n v="1"/>
    <m/>
    <m/>
    <n v="1"/>
    <m/>
    <m/>
    <m/>
    <m/>
    <m/>
    <m/>
    <m/>
    <m/>
    <m/>
    <m/>
    <m/>
    <m/>
    <m/>
    <m/>
    <m/>
    <m/>
    <m/>
    <m/>
    <m/>
    <m/>
    <s v="no test"/>
    <s v="no test"/>
    <s v="No Test"/>
    <n v="11"/>
    <n v="0"/>
    <n v="0"/>
    <n v="0"/>
    <n v="0"/>
    <n v="0"/>
    <n v="0"/>
    <n v="1"/>
    <n v="1"/>
    <n v="1"/>
    <n v="353"/>
    <n v="0"/>
    <n v="0"/>
    <n v="1"/>
    <n v="353"/>
    <n v="0.70599999999999996"/>
    <n v="0"/>
    <n v="0"/>
    <n v="0.29400000000000004"/>
    <n v="1"/>
    <n v="96"/>
    <n v="1"/>
    <n v="353"/>
    <n v="0"/>
    <n v="0"/>
    <n v="250"/>
    <n v="18"/>
    <n v="0"/>
    <n v="0"/>
    <n v="0"/>
    <n v="0"/>
    <n v="0"/>
    <n v="0"/>
    <n v="0"/>
    <n v="0"/>
    <n v="0"/>
    <n v="1"/>
    <n v="0"/>
    <n v="0"/>
    <n v="0"/>
    <n v="1"/>
    <n v="20"/>
    <n v="0"/>
    <n v="100"/>
    <s v="No"/>
    <s v=""/>
    <n v="0"/>
    <n v="0"/>
    <n v="250"/>
    <s v="Yes"/>
    <s v="KBC-MYT"/>
    <x v="0"/>
    <x v="0"/>
    <x v="1"/>
    <n v="26.548506"/>
    <n v="97.75609"/>
    <s v="MMR001CMP239"/>
    <x v="1"/>
    <m/>
    <n v="68"/>
    <n v="353"/>
  </r>
  <r>
    <x v="1"/>
    <x v="18"/>
    <x v="7"/>
    <s v="SIDA"/>
    <x v="0"/>
    <x v="8"/>
    <x v="0"/>
    <x v="125"/>
    <n v="27"/>
    <n v="136"/>
    <d v="2022-05-01T00:00:00"/>
    <d v="2022-10-31T00:00:00"/>
    <m/>
    <m/>
    <m/>
    <m/>
    <s v="Yes"/>
    <n v="2"/>
    <n v="2"/>
    <m/>
    <m/>
    <m/>
    <n v="1"/>
    <m/>
    <m/>
    <m/>
    <m/>
    <m/>
    <m/>
    <m/>
    <m/>
    <m/>
    <m/>
    <n v="3"/>
    <m/>
    <m/>
    <m/>
    <m/>
    <m/>
    <m/>
    <m/>
    <m/>
    <n v="12"/>
    <m/>
    <m/>
    <m/>
    <m/>
    <m/>
    <m/>
    <n v="12"/>
    <x v="1"/>
    <x v="3"/>
    <m/>
    <m/>
    <m/>
    <m/>
    <m/>
    <m/>
    <n v="8"/>
    <m/>
    <m/>
    <n v="3"/>
    <m/>
    <m/>
    <m/>
    <m/>
    <m/>
    <m/>
    <m/>
    <m/>
    <m/>
    <m/>
    <m/>
    <m/>
    <m/>
    <m/>
    <m/>
    <m/>
    <m/>
    <m/>
    <m/>
    <m/>
    <s v="no test"/>
    <s v="no test"/>
    <s v="No Test"/>
    <n v="0"/>
    <n v="1"/>
    <n v="0"/>
    <n v="0"/>
    <n v="0"/>
    <n v="0"/>
    <n v="0"/>
    <n v="1"/>
    <n v="1"/>
    <n v="1"/>
    <n v="136"/>
    <n v="0"/>
    <n v="0"/>
    <n v="1"/>
    <n v="136"/>
    <n v="0.27200000000000002"/>
    <n v="0"/>
    <n v="0"/>
    <n v="0.72799999999999998"/>
    <n v="1"/>
    <n v="12"/>
    <n v="1"/>
    <n v="136"/>
    <n v="0"/>
    <n v="0"/>
    <n v="0"/>
    <n v="7"/>
    <n v="0"/>
    <n v="0"/>
    <n v="0"/>
    <n v="0"/>
    <n v="0"/>
    <n v="0"/>
    <n v="0"/>
    <n v="0"/>
    <n v="0"/>
    <n v="1"/>
    <n v="0"/>
    <n v="0"/>
    <n v="0"/>
    <n v="8"/>
    <n v="27"/>
    <n v="0"/>
    <n v="136"/>
    <s v="No"/>
    <s v=""/>
    <n v="0"/>
    <n v="0"/>
    <n v="0"/>
    <s v="Yes"/>
    <s v="KBC-MYT"/>
    <x v="0"/>
    <x v="0"/>
    <x v="0"/>
    <n v="25.225000000000001"/>
    <n v="96.793999999999997"/>
    <s v="MMR001CMP236"/>
    <x v="1"/>
    <m/>
    <n v="27"/>
    <n v="137"/>
  </r>
  <r>
    <x v="1"/>
    <x v="0"/>
    <x v="0"/>
    <m/>
    <x v="0"/>
    <x v="7"/>
    <x v="0"/>
    <x v="126"/>
    <n v="26"/>
    <n v="147"/>
    <s v="13-8-2021, 6-1-2020"/>
    <s v="12-20-2022, 30-7-2021"/>
    <m/>
    <m/>
    <m/>
    <m/>
    <m/>
    <m/>
    <n v="4"/>
    <m/>
    <m/>
    <m/>
    <m/>
    <m/>
    <m/>
    <m/>
    <m/>
    <m/>
    <m/>
    <m/>
    <m/>
    <m/>
    <m/>
    <m/>
    <m/>
    <m/>
    <m/>
    <m/>
    <m/>
    <m/>
    <m/>
    <m/>
    <m/>
    <m/>
    <m/>
    <m/>
    <m/>
    <m/>
    <m/>
    <m/>
    <x v="0"/>
    <x v="0"/>
    <m/>
    <m/>
    <m/>
    <m/>
    <m/>
    <m/>
    <n v="1"/>
    <m/>
    <m/>
    <n v="1"/>
    <m/>
    <m/>
    <m/>
    <m/>
    <m/>
    <m/>
    <m/>
    <m/>
    <m/>
    <m/>
    <m/>
    <m/>
    <m/>
    <m/>
    <m/>
    <m/>
    <m/>
    <m/>
    <m/>
    <m/>
    <s v="no test"/>
    <s v="no test"/>
    <s v="No Test"/>
    <n v="0"/>
    <n v="0"/>
    <n v="0"/>
    <n v="0"/>
    <n v="0"/>
    <n v="0"/>
    <n v="0"/>
    <n v="0"/>
    <n v="0"/>
    <n v="0"/>
    <n v="0"/>
    <n v="0"/>
    <n v="0"/>
    <n v="0"/>
    <n v="0"/>
    <n v="0"/>
    <n v="1"/>
    <n v="147"/>
    <n v="1"/>
    <n v="1"/>
    <n v="0"/>
    <n v="0"/>
    <n v="0"/>
    <n v="0"/>
    <n v="0"/>
    <n v="0"/>
    <n v="7"/>
    <n v="7"/>
    <n v="1"/>
    <n v="0"/>
    <n v="0"/>
    <n v="0"/>
    <n v="0"/>
    <n v="0"/>
    <n v="0"/>
    <n v="0"/>
    <n v="1"/>
    <n v="0"/>
    <n v="0"/>
    <n v="0"/>
    <n v="1"/>
    <n v="20"/>
    <n v="0"/>
    <n v="100"/>
    <s v="No"/>
    <s v=""/>
    <n v="0"/>
    <n v="0"/>
    <n v="0"/>
    <n v="0"/>
    <s v="uncovered"/>
    <x v="0"/>
    <x v="0"/>
    <x v="0"/>
    <n v="25.387892000000001"/>
    <n v="97.325181999999998"/>
    <s v="MMR001CMP276"/>
    <x v="0"/>
    <m/>
    <n v="26"/>
    <n v="138"/>
  </r>
  <r>
    <x v="1"/>
    <x v="1"/>
    <x v="1"/>
    <s v="ECHO 2739"/>
    <x v="0"/>
    <x v="2"/>
    <x v="0"/>
    <x v="127"/>
    <n v="40"/>
    <n v="255"/>
    <d v="2022-04-01T00:00:00"/>
    <d v="2022-11-30T00:00:00"/>
    <m/>
    <m/>
    <m/>
    <m/>
    <s v="Yes"/>
    <n v="3"/>
    <n v="10"/>
    <n v="2"/>
    <m/>
    <m/>
    <n v="1"/>
    <m/>
    <m/>
    <m/>
    <n v="1"/>
    <m/>
    <m/>
    <m/>
    <m/>
    <m/>
    <m/>
    <m/>
    <n v="3"/>
    <n v="3"/>
    <n v="6"/>
    <n v="6"/>
    <m/>
    <m/>
    <m/>
    <m/>
    <n v="16"/>
    <m/>
    <m/>
    <m/>
    <m/>
    <n v="13"/>
    <n v="23"/>
    <m/>
    <x v="1"/>
    <x v="1"/>
    <m/>
    <m/>
    <m/>
    <m/>
    <m/>
    <m/>
    <n v="3"/>
    <m/>
    <m/>
    <n v="2"/>
    <m/>
    <n v="1"/>
    <n v="1"/>
    <n v="41"/>
    <m/>
    <m/>
    <m/>
    <m/>
    <m/>
    <n v="0.78"/>
    <n v="1"/>
    <n v="9"/>
    <n v="0"/>
    <m/>
    <n v="16"/>
    <n v="2"/>
    <m/>
    <m/>
    <m/>
    <m/>
    <n v="1"/>
    <n v="1"/>
    <s v="Tested"/>
    <n v="2"/>
    <n v="1"/>
    <n v="1"/>
    <n v="0"/>
    <n v="0"/>
    <n v="0"/>
    <n v="0"/>
    <n v="1"/>
    <n v="1"/>
    <n v="1"/>
    <n v="255"/>
    <n v="0"/>
    <n v="0"/>
    <n v="1"/>
    <n v="255"/>
    <n v="0.51"/>
    <n v="0"/>
    <n v="0"/>
    <n v="0.49"/>
    <n v="1"/>
    <n v="16"/>
    <n v="1"/>
    <n v="255"/>
    <n v="255"/>
    <n v="0"/>
    <n v="0"/>
    <n v="13"/>
    <n v="0"/>
    <n v="0"/>
    <n v="0"/>
    <n v="255"/>
    <n v="205"/>
    <n v="0"/>
    <n v="205"/>
    <n v="255"/>
    <n v="1"/>
    <n v="0"/>
    <n v="1"/>
    <n v="1"/>
    <n v="0"/>
    <n v="3"/>
    <n v="40"/>
    <n v="0"/>
    <n v="255"/>
    <s v="No"/>
    <n v="3.5294117647058823E-2"/>
    <n v="18"/>
    <n v="0"/>
    <n v="0"/>
    <s v="Yes"/>
    <s v="KBC-BMO"/>
    <x v="0"/>
    <x v="0"/>
    <x v="0"/>
    <n v="24.207332999999998"/>
    <n v="97.710864000000001"/>
    <s v="MMR001CMP073"/>
    <x v="1"/>
    <m/>
    <n v="47"/>
    <n v="279"/>
  </r>
  <r>
    <x v="1"/>
    <x v="11"/>
    <x v="7"/>
    <s v="MHF"/>
    <x v="0"/>
    <x v="3"/>
    <x v="0"/>
    <x v="128"/>
    <n v="380"/>
    <n v="1881"/>
    <d v="2022-05-01T00:00:00"/>
    <d v="2022-10-31T00:00:00"/>
    <m/>
    <n v="1"/>
    <m/>
    <m/>
    <s v="Yes"/>
    <n v="9"/>
    <n v="6"/>
    <m/>
    <m/>
    <n v="15"/>
    <n v="5"/>
    <m/>
    <m/>
    <m/>
    <m/>
    <m/>
    <m/>
    <m/>
    <m/>
    <m/>
    <m/>
    <m/>
    <m/>
    <m/>
    <m/>
    <m/>
    <m/>
    <m/>
    <m/>
    <m/>
    <n v="413"/>
    <m/>
    <m/>
    <m/>
    <m/>
    <m/>
    <m/>
    <n v="413"/>
    <x v="1"/>
    <x v="1"/>
    <m/>
    <m/>
    <m/>
    <m/>
    <m/>
    <m/>
    <n v="315"/>
    <n v="315"/>
    <n v="5"/>
    <n v="1"/>
    <m/>
    <n v="1"/>
    <n v="3"/>
    <m/>
    <m/>
    <m/>
    <m/>
    <m/>
    <m/>
    <m/>
    <m/>
    <m/>
    <m/>
    <m/>
    <m/>
    <m/>
    <m/>
    <m/>
    <m/>
    <m/>
    <s v="no test"/>
    <s v="no test"/>
    <s v="No Test"/>
    <n v="0"/>
    <n v="5"/>
    <n v="0"/>
    <n v="0"/>
    <n v="0"/>
    <n v="0"/>
    <n v="0"/>
    <n v="1"/>
    <n v="0.66454013822434876"/>
    <n v="1"/>
    <n v="1881"/>
    <n v="0"/>
    <n v="0"/>
    <n v="1"/>
    <n v="1881"/>
    <n v="3.762"/>
    <n v="0"/>
    <n v="0"/>
    <n v="0.23799999999999999"/>
    <n v="4"/>
    <n v="413"/>
    <n v="1"/>
    <n v="1881"/>
    <n v="0"/>
    <n v="0"/>
    <n v="0"/>
    <n v="94"/>
    <n v="0"/>
    <n v="0"/>
    <n v="0"/>
    <n v="1881"/>
    <n v="0"/>
    <n v="0"/>
    <n v="0"/>
    <n v="1881"/>
    <n v="1"/>
    <n v="0"/>
    <n v="1"/>
    <n v="0"/>
    <n v="0"/>
    <n v="0"/>
    <n v="0"/>
    <n v="0"/>
    <n v="0"/>
    <s v="No"/>
    <s v=""/>
    <n v="0"/>
    <n v="0"/>
    <n v="0"/>
    <s v="Yes"/>
    <s v="KBC-MYT"/>
    <x v="0"/>
    <x v="0"/>
    <x v="1"/>
    <n v="25.418084"/>
    <n v="98.025662999999994"/>
    <s v="MMR001CMP249"/>
    <x v="1"/>
    <m/>
    <n v="380"/>
    <n v="1877"/>
  </r>
  <r>
    <x v="1"/>
    <x v="16"/>
    <x v="7"/>
    <s v="MHF, IRC"/>
    <x v="0"/>
    <x v="1"/>
    <x v="0"/>
    <x v="129"/>
    <n v="28"/>
    <n v="103"/>
    <d v="2020-10-01T00:00:00"/>
    <d v="2022-04-30T00:00:00"/>
    <m/>
    <n v="1"/>
    <m/>
    <m/>
    <s v="Yes"/>
    <n v="2"/>
    <n v="2"/>
    <n v="1"/>
    <m/>
    <m/>
    <n v="2"/>
    <m/>
    <m/>
    <m/>
    <m/>
    <m/>
    <m/>
    <m/>
    <m/>
    <m/>
    <m/>
    <m/>
    <m/>
    <m/>
    <m/>
    <m/>
    <m/>
    <m/>
    <m/>
    <m/>
    <n v="5"/>
    <m/>
    <m/>
    <m/>
    <m/>
    <m/>
    <m/>
    <n v="5"/>
    <x v="1"/>
    <x v="3"/>
    <m/>
    <m/>
    <m/>
    <m/>
    <m/>
    <m/>
    <n v="2"/>
    <m/>
    <m/>
    <n v="2"/>
    <m/>
    <m/>
    <m/>
    <m/>
    <m/>
    <m/>
    <m/>
    <m/>
    <m/>
    <m/>
    <m/>
    <m/>
    <m/>
    <m/>
    <m/>
    <m/>
    <m/>
    <m/>
    <m/>
    <m/>
    <s v="no test"/>
    <s v="no test"/>
    <s v="No Test"/>
    <n v="1"/>
    <n v="2"/>
    <n v="0"/>
    <n v="0"/>
    <n v="0"/>
    <n v="0"/>
    <n v="0"/>
    <n v="1"/>
    <n v="1"/>
    <n v="1"/>
    <n v="103"/>
    <n v="0"/>
    <n v="0"/>
    <n v="1"/>
    <n v="103"/>
    <n v="0.20599999999999999"/>
    <n v="0"/>
    <n v="0"/>
    <n v="0.79400000000000004"/>
    <n v="1"/>
    <n v="5"/>
    <n v="0.970873786407767"/>
    <n v="100"/>
    <n v="0"/>
    <n v="0"/>
    <n v="0"/>
    <n v="5"/>
    <n v="0"/>
    <n v="2.9126213592232997E-2"/>
    <n v="0"/>
    <n v="0"/>
    <n v="0"/>
    <n v="0"/>
    <n v="0"/>
    <n v="0"/>
    <n v="0"/>
    <n v="1"/>
    <n v="0"/>
    <n v="0"/>
    <n v="0"/>
    <n v="2"/>
    <n v="28"/>
    <n v="0"/>
    <n v="103"/>
    <s v="No"/>
    <s v=""/>
    <n v="0"/>
    <n v="0"/>
    <n v="0"/>
    <s v="Yes"/>
    <s v="KBC-MYT"/>
    <x v="0"/>
    <x v="0"/>
    <x v="0"/>
    <n v="25.920006000000001"/>
    <n v="96.662092000000001"/>
    <s v="MMR001CMP244"/>
    <x v="1"/>
    <m/>
    <n v="24"/>
    <n v="110"/>
  </r>
  <r>
    <x v="1"/>
    <x v="16"/>
    <x v="7"/>
    <s v="MHF,SIDA"/>
    <x v="0"/>
    <x v="7"/>
    <x v="0"/>
    <x v="130"/>
    <n v="110"/>
    <n v="563"/>
    <d v="2022-05-01T00:00:00"/>
    <d v="2022-10-31T00:00:00"/>
    <m/>
    <n v="1"/>
    <m/>
    <m/>
    <s v="Yes"/>
    <n v="2"/>
    <n v="2"/>
    <n v="2"/>
    <n v="1"/>
    <m/>
    <n v="3"/>
    <m/>
    <m/>
    <m/>
    <m/>
    <m/>
    <m/>
    <m/>
    <m/>
    <m/>
    <m/>
    <n v="2"/>
    <m/>
    <m/>
    <m/>
    <m/>
    <m/>
    <m/>
    <m/>
    <m/>
    <n v="13"/>
    <m/>
    <m/>
    <m/>
    <m/>
    <m/>
    <m/>
    <n v="13"/>
    <x v="1"/>
    <x v="1"/>
    <m/>
    <m/>
    <m/>
    <m/>
    <m/>
    <m/>
    <n v="7"/>
    <m/>
    <m/>
    <n v="4"/>
    <m/>
    <n v="1"/>
    <m/>
    <m/>
    <m/>
    <m/>
    <m/>
    <m/>
    <m/>
    <m/>
    <m/>
    <m/>
    <m/>
    <m/>
    <m/>
    <m/>
    <m/>
    <m/>
    <m/>
    <m/>
    <s v="no test"/>
    <s v="no test"/>
    <s v="No Test"/>
    <n v="1"/>
    <n v="3"/>
    <n v="0"/>
    <n v="0"/>
    <n v="0"/>
    <n v="0"/>
    <n v="0"/>
    <n v="1"/>
    <n v="1"/>
    <n v="1"/>
    <n v="563"/>
    <n v="0"/>
    <n v="0"/>
    <n v="1"/>
    <n v="563"/>
    <n v="1.1259999999999999"/>
    <n v="0"/>
    <n v="0"/>
    <n v="0"/>
    <n v="1"/>
    <n v="13"/>
    <n v="0.46181172291296624"/>
    <n v="260"/>
    <n v="0"/>
    <n v="0"/>
    <n v="0"/>
    <n v="28"/>
    <n v="15"/>
    <n v="0.53818827708703376"/>
    <n v="0"/>
    <n v="500"/>
    <n v="0"/>
    <n v="0"/>
    <n v="0"/>
    <n v="500"/>
    <n v="0.88809946714031973"/>
    <n v="0.11190053285968027"/>
    <n v="0.88809946714031973"/>
    <n v="0"/>
    <n v="0"/>
    <n v="7"/>
    <n v="110"/>
    <n v="0"/>
    <n v="563"/>
    <s v="No"/>
    <s v=""/>
    <n v="0"/>
    <n v="0"/>
    <n v="0"/>
    <s v="Yes"/>
    <s v="KBC-MYT"/>
    <x v="0"/>
    <x v="0"/>
    <x v="0"/>
    <n v="25.412313000000001"/>
    <n v="97.399628000000007"/>
    <s v="MMR001CMP006"/>
    <x v="1"/>
    <m/>
    <n v="110"/>
    <n v="562"/>
  </r>
  <r>
    <x v="1"/>
    <x v="2"/>
    <x v="2"/>
    <s v="MHF"/>
    <x v="0"/>
    <x v="7"/>
    <x v="0"/>
    <x v="131"/>
    <n v="26"/>
    <n v="120"/>
    <d v="2021-01-01T00:00:00"/>
    <d v="2022-03-31T00:00:00"/>
    <m/>
    <n v="1"/>
    <m/>
    <m/>
    <s v="Yes"/>
    <n v="1"/>
    <n v="4"/>
    <n v="1"/>
    <m/>
    <m/>
    <m/>
    <m/>
    <m/>
    <m/>
    <m/>
    <m/>
    <m/>
    <m/>
    <m/>
    <m/>
    <m/>
    <m/>
    <m/>
    <m/>
    <m/>
    <m/>
    <n v="4"/>
    <n v="1"/>
    <m/>
    <m/>
    <n v="2"/>
    <n v="5"/>
    <m/>
    <m/>
    <m/>
    <m/>
    <m/>
    <m/>
    <x v="1"/>
    <x v="1"/>
    <m/>
    <m/>
    <m/>
    <m/>
    <m/>
    <m/>
    <n v="6"/>
    <m/>
    <m/>
    <n v="5"/>
    <m/>
    <m/>
    <m/>
    <m/>
    <m/>
    <m/>
    <m/>
    <m/>
    <m/>
    <n v="1"/>
    <m/>
    <m/>
    <m/>
    <m/>
    <m/>
    <m/>
    <m/>
    <m/>
    <m/>
    <m/>
    <s v="no test"/>
    <s v="no test"/>
    <s v="No Test"/>
    <n v="1"/>
    <n v="0"/>
    <n v="0"/>
    <n v="0"/>
    <n v="0"/>
    <n v="120"/>
    <n v="0"/>
    <n v="1"/>
    <n v="1"/>
    <n v="1"/>
    <n v="120"/>
    <n v="0"/>
    <n v="0"/>
    <n v="1"/>
    <n v="120"/>
    <n v="0.24"/>
    <n v="0"/>
    <n v="0"/>
    <n v="0.76"/>
    <n v="1"/>
    <n v="7"/>
    <n v="1"/>
    <n v="120"/>
    <n v="0"/>
    <n v="0"/>
    <n v="0"/>
    <n v="6"/>
    <n v="0"/>
    <n v="0"/>
    <n v="0"/>
    <n v="0"/>
    <n v="0"/>
    <n v="0"/>
    <n v="0"/>
    <n v="0"/>
    <n v="0"/>
    <n v="1"/>
    <n v="0"/>
    <n v="0"/>
    <n v="0"/>
    <n v="6"/>
    <n v="26"/>
    <n v="0"/>
    <n v="120"/>
    <s v="No"/>
    <s v=""/>
    <n v="0"/>
    <n v="120"/>
    <n v="0"/>
    <s v="Yes"/>
    <s v="Shalom"/>
    <x v="0"/>
    <x v="0"/>
    <x v="0"/>
    <n v="25.423817"/>
    <n v="97.418004999999994"/>
    <s v="MMR001CMP007"/>
    <x v="1"/>
    <m/>
    <n v="26"/>
    <n v="119"/>
  </r>
  <r>
    <x v="1"/>
    <x v="11"/>
    <x v="7"/>
    <s v="MHF,SIDA"/>
    <x v="0"/>
    <x v="3"/>
    <x v="0"/>
    <x v="132"/>
    <n v="214"/>
    <n v="1176"/>
    <d v="2022-05-01T00:00:00"/>
    <d v="2022-10-31T00:00:00"/>
    <m/>
    <n v="1"/>
    <m/>
    <m/>
    <s v="Yes"/>
    <n v="2"/>
    <n v="3"/>
    <m/>
    <m/>
    <m/>
    <m/>
    <m/>
    <m/>
    <m/>
    <m/>
    <m/>
    <m/>
    <m/>
    <m/>
    <m/>
    <m/>
    <m/>
    <m/>
    <m/>
    <m/>
    <m/>
    <m/>
    <m/>
    <m/>
    <m/>
    <n v="158"/>
    <m/>
    <m/>
    <m/>
    <m/>
    <m/>
    <m/>
    <n v="158"/>
    <x v="1"/>
    <x v="1"/>
    <m/>
    <m/>
    <m/>
    <m/>
    <m/>
    <m/>
    <n v="7"/>
    <m/>
    <m/>
    <n v="4"/>
    <m/>
    <n v="2"/>
    <n v="1"/>
    <m/>
    <m/>
    <m/>
    <m/>
    <m/>
    <m/>
    <m/>
    <m/>
    <m/>
    <m/>
    <m/>
    <m/>
    <m/>
    <m/>
    <m/>
    <m/>
    <m/>
    <s v="no test"/>
    <s v="no test"/>
    <s v="No Test"/>
    <n v="0"/>
    <n v="0"/>
    <n v="0"/>
    <n v="0"/>
    <n v="0"/>
    <n v="0"/>
    <n v="0"/>
    <n v="0"/>
    <n v="0"/>
    <n v="0"/>
    <n v="0"/>
    <n v="0"/>
    <n v="0"/>
    <n v="0"/>
    <n v="0"/>
    <n v="0"/>
    <n v="1"/>
    <n v="1176"/>
    <n v="2"/>
    <n v="2"/>
    <n v="158"/>
    <n v="1"/>
    <n v="1176"/>
    <n v="0"/>
    <n v="0"/>
    <n v="0"/>
    <n v="59"/>
    <n v="0"/>
    <n v="0"/>
    <n v="0"/>
    <n v="1176"/>
    <n v="0"/>
    <n v="0"/>
    <n v="0"/>
    <n v="1176"/>
    <n v="1"/>
    <n v="0"/>
    <n v="1"/>
    <n v="0"/>
    <n v="0"/>
    <n v="7"/>
    <n v="140"/>
    <n v="0"/>
    <n v="700"/>
    <s v="No"/>
    <s v=""/>
    <n v="0"/>
    <n v="0"/>
    <n v="0"/>
    <s v="Yes"/>
    <s v="KBC-MYT"/>
    <x v="0"/>
    <x v="0"/>
    <x v="0"/>
    <n v="25.418084"/>
    <n v="98.025662999999994"/>
    <s v="MMR001CMP041"/>
    <x v="1"/>
    <m/>
    <n v="213"/>
    <n v="1172"/>
  </r>
  <r>
    <x v="1"/>
    <x v="20"/>
    <x v="13"/>
    <s v="MHF, ECHO 2739"/>
    <x v="0"/>
    <x v="12"/>
    <x v="0"/>
    <x v="133"/>
    <n v="49"/>
    <n v="300"/>
    <s v="11/1/2021, 4/1/2022"/>
    <s v="10/31/2022, 11/30/2022"/>
    <n v="95"/>
    <n v="4"/>
    <m/>
    <m/>
    <s v="Yes"/>
    <n v="2"/>
    <n v="4"/>
    <m/>
    <m/>
    <m/>
    <m/>
    <n v="2"/>
    <m/>
    <n v="1"/>
    <m/>
    <m/>
    <m/>
    <m/>
    <m/>
    <m/>
    <m/>
    <m/>
    <n v="1"/>
    <n v="1"/>
    <n v="9"/>
    <n v="7"/>
    <n v="2"/>
    <n v="0"/>
    <m/>
    <s v="Community requested that to construct new water storage tank "/>
    <n v="10"/>
    <m/>
    <n v="4"/>
    <m/>
    <m/>
    <m/>
    <m/>
    <m/>
    <x v="1"/>
    <x v="1"/>
    <n v="2"/>
    <m/>
    <n v="4"/>
    <m/>
    <n v="4"/>
    <m/>
    <n v="3"/>
    <n v="1"/>
    <m/>
    <n v="4"/>
    <n v="1"/>
    <n v="2"/>
    <n v="2"/>
    <n v="46"/>
    <n v="92"/>
    <s v="Yes"/>
    <n v="1"/>
    <n v="0.5"/>
    <m/>
    <n v="0.7"/>
    <n v="0.8"/>
    <n v="10"/>
    <n v="0.8"/>
    <m/>
    <m/>
    <m/>
    <m/>
    <m/>
    <m/>
    <m/>
    <n v="1"/>
    <n v="0.77777777777777779"/>
    <s v="Tested"/>
    <n v="0"/>
    <n v="2"/>
    <n v="0"/>
    <n v="0"/>
    <n v="0"/>
    <n v="0"/>
    <n v="0"/>
    <n v="1"/>
    <n v="1"/>
    <n v="1"/>
    <n v="300"/>
    <n v="0"/>
    <n v="0"/>
    <n v="1"/>
    <n v="300"/>
    <n v="0.6"/>
    <n v="0"/>
    <n v="0"/>
    <n v="0.4"/>
    <n v="1"/>
    <n v="10"/>
    <n v="0.81333333333333335"/>
    <n v="244"/>
    <n v="0"/>
    <n v="95"/>
    <n v="0"/>
    <n v="15"/>
    <n v="5"/>
    <n v="0.18666666666666665"/>
    <n v="0"/>
    <n v="300"/>
    <n v="230"/>
    <n v="92"/>
    <n v="230"/>
    <n v="300"/>
    <n v="1"/>
    <n v="0"/>
    <n v="1"/>
    <n v="1"/>
    <n v="1"/>
    <n v="2"/>
    <n v="40"/>
    <n v="2"/>
    <n v="200"/>
    <s v="Yes"/>
    <n v="3.3333333333333333E-2"/>
    <n v="0"/>
    <n v="95"/>
    <n v="0"/>
    <s v="Yes"/>
    <s v="KBC-BMO"/>
    <x v="0"/>
    <x v="0"/>
    <x v="0"/>
    <n v="24.200361000000001"/>
    <n v="96.807353000000006"/>
    <s v="MMR001CMP067"/>
    <x v="1"/>
    <m/>
    <n v="46"/>
    <n v="263"/>
  </r>
  <r>
    <x v="1"/>
    <x v="1"/>
    <x v="1"/>
    <s v="ECHO 2739"/>
    <x v="0"/>
    <x v="12"/>
    <x v="0"/>
    <x v="134"/>
    <n v="43"/>
    <n v="182"/>
    <d v="2022-04-01T00:00:00"/>
    <d v="2022-11-30T00:00:00"/>
    <m/>
    <m/>
    <m/>
    <m/>
    <s v="Yes"/>
    <n v="1"/>
    <n v="3"/>
    <m/>
    <m/>
    <m/>
    <n v="2"/>
    <m/>
    <m/>
    <m/>
    <m/>
    <m/>
    <m/>
    <m/>
    <m/>
    <m/>
    <m/>
    <m/>
    <n v="1"/>
    <n v="1"/>
    <m/>
    <m/>
    <m/>
    <m/>
    <m/>
    <m/>
    <n v="9"/>
    <m/>
    <m/>
    <m/>
    <m/>
    <m/>
    <m/>
    <m/>
    <x v="1"/>
    <x v="1"/>
    <m/>
    <m/>
    <m/>
    <m/>
    <m/>
    <m/>
    <n v="3"/>
    <m/>
    <m/>
    <n v="2"/>
    <m/>
    <m/>
    <m/>
    <m/>
    <m/>
    <m/>
    <m/>
    <m/>
    <m/>
    <m/>
    <m/>
    <m/>
    <m/>
    <m/>
    <n v="9"/>
    <n v="2"/>
    <m/>
    <m/>
    <m/>
    <m/>
    <n v="1"/>
    <s v="no test"/>
    <s v="Tested"/>
    <n v="0"/>
    <n v="2"/>
    <n v="0"/>
    <n v="0"/>
    <n v="0"/>
    <n v="0"/>
    <n v="0"/>
    <n v="1"/>
    <n v="1"/>
    <n v="1"/>
    <n v="182"/>
    <n v="0"/>
    <n v="0"/>
    <n v="1"/>
    <n v="182"/>
    <n v="0.36399999999999999"/>
    <n v="0"/>
    <n v="0"/>
    <n v="0.63600000000000001"/>
    <n v="1"/>
    <n v="9"/>
    <n v="0.98901098901098905"/>
    <n v="180"/>
    <n v="0"/>
    <n v="0"/>
    <n v="0"/>
    <n v="9"/>
    <n v="0"/>
    <n v="1.098901098901095E-2"/>
    <n v="0"/>
    <n v="0"/>
    <n v="0"/>
    <n v="0"/>
    <n v="0"/>
    <n v="0"/>
    <n v="0"/>
    <n v="1"/>
    <n v="0"/>
    <n v="0"/>
    <n v="0"/>
    <n v="3"/>
    <n v="43"/>
    <n v="0"/>
    <n v="182"/>
    <s v="No"/>
    <s v=""/>
    <n v="11"/>
    <n v="0"/>
    <n v="0"/>
    <s v="Yes"/>
    <s v="KMSS-BMO"/>
    <x v="0"/>
    <x v="0"/>
    <x v="0"/>
    <n v="24.200367"/>
    <n v="96.807353000000006"/>
    <s v="MMR001CMP068"/>
    <x v="1"/>
    <m/>
    <n v="35"/>
    <n v="170"/>
  </r>
  <r>
    <x v="1"/>
    <x v="16"/>
    <x v="7"/>
    <s v="MHF,SIDA"/>
    <x v="0"/>
    <x v="7"/>
    <x v="0"/>
    <x v="135"/>
    <n v="103"/>
    <n v="629"/>
    <d v="2022-05-01T00:00:00"/>
    <d v="2022-10-31T00:00:00"/>
    <m/>
    <n v="1"/>
    <m/>
    <m/>
    <s v="Yes"/>
    <n v="2"/>
    <n v="2"/>
    <n v="3"/>
    <m/>
    <m/>
    <n v="2"/>
    <m/>
    <m/>
    <m/>
    <m/>
    <m/>
    <m/>
    <m/>
    <m/>
    <m/>
    <m/>
    <n v="2"/>
    <m/>
    <m/>
    <m/>
    <m/>
    <m/>
    <m/>
    <m/>
    <m/>
    <n v="17"/>
    <m/>
    <m/>
    <m/>
    <m/>
    <m/>
    <m/>
    <n v="17"/>
    <x v="1"/>
    <x v="1"/>
    <m/>
    <m/>
    <m/>
    <m/>
    <m/>
    <m/>
    <n v="3"/>
    <m/>
    <m/>
    <n v="2"/>
    <m/>
    <m/>
    <m/>
    <m/>
    <m/>
    <m/>
    <m/>
    <m/>
    <m/>
    <m/>
    <m/>
    <m/>
    <m/>
    <m/>
    <m/>
    <m/>
    <m/>
    <m/>
    <m/>
    <m/>
    <s v="no test"/>
    <s v="no test"/>
    <s v="No Test"/>
    <n v="3"/>
    <n v="2"/>
    <n v="0"/>
    <n v="0"/>
    <n v="0"/>
    <n v="0"/>
    <n v="0"/>
    <n v="1"/>
    <n v="1"/>
    <n v="1"/>
    <n v="629"/>
    <n v="0"/>
    <n v="0"/>
    <n v="1"/>
    <n v="629"/>
    <n v="1.258"/>
    <n v="0"/>
    <n v="0"/>
    <n v="0"/>
    <n v="1"/>
    <n v="17"/>
    <n v="0.54054054054054057"/>
    <n v="340"/>
    <n v="0"/>
    <n v="0"/>
    <n v="0"/>
    <n v="31"/>
    <n v="14"/>
    <n v="0.45945945945945943"/>
    <n v="0"/>
    <n v="0"/>
    <n v="0"/>
    <n v="0"/>
    <n v="0"/>
    <n v="0"/>
    <n v="0"/>
    <n v="1"/>
    <n v="0"/>
    <n v="0"/>
    <n v="0"/>
    <n v="3"/>
    <n v="60"/>
    <n v="0"/>
    <n v="300"/>
    <s v="No"/>
    <s v=""/>
    <n v="0"/>
    <n v="0"/>
    <n v="0"/>
    <s v="Yes"/>
    <s v="KBC-MYT"/>
    <x v="0"/>
    <x v="0"/>
    <x v="0"/>
    <n v="25.440928"/>
    <n v="97.419403000000003"/>
    <s v="MMR001CMP009"/>
    <x v="1"/>
    <m/>
    <n v="104"/>
    <n v="633"/>
  </r>
  <r>
    <x v="1"/>
    <x v="4"/>
    <x v="4"/>
    <s v="UNICEF"/>
    <x v="0"/>
    <x v="13"/>
    <x v="0"/>
    <x v="136"/>
    <n v="133"/>
    <n v="624"/>
    <d v="2021-08-06T00:00:00"/>
    <d v="2022-08-05T00:00:00"/>
    <m/>
    <n v="3"/>
    <m/>
    <m/>
    <s v="Yes"/>
    <n v="4"/>
    <n v="2"/>
    <n v="1"/>
    <n v="1"/>
    <n v="1"/>
    <n v="1"/>
    <m/>
    <m/>
    <m/>
    <m/>
    <m/>
    <m/>
    <m/>
    <m/>
    <m/>
    <m/>
    <m/>
    <m/>
    <m/>
    <m/>
    <m/>
    <n v="5"/>
    <m/>
    <m/>
    <m/>
    <n v="1"/>
    <m/>
    <m/>
    <n v="1"/>
    <m/>
    <m/>
    <m/>
    <m/>
    <x v="1"/>
    <x v="1"/>
    <m/>
    <m/>
    <m/>
    <m/>
    <m/>
    <m/>
    <n v="5"/>
    <m/>
    <m/>
    <n v="7"/>
    <m/>
    <m/>
    <n v="1"/>
    <n v="133"/>
    <n v="133.84800000000001"/>
    <s v="Yes"/>
    <n v="100"/>
    <n v="0.25"/>
    <s v="Requested Sanitary pads "/>
    <m/>
    <m/>
    <m/>
    <n v="0.01"/>
    <m/>
    <m/>
    <m/>
    <m/>
    <m/>
    <m/>
    <m/>
    <s v="no test"/>
    <s v="no test"/>
    <s v="No Test"/>
    <n v="0"/>
    <n v="1"/>
    <n v="0"/>
    <n v="0"/>
    <n v="0"/>
    <n v="0"/>
    <n v="0"/>
    <n v="0.80128205128205132"/>
    <n v="0.40064102564102566"/>
    <n v="0.80128205128205132"/>
    <n v="500"/>
    <n v="0"/>
    <n v="0"/>
    <n v="0.80128205128205132"/>
    <n v="500"/>
    <n v="1"/>
    <n v="0.19871794871794868"/>
    <n v="123.99999999999997"/>
    <n v="0"/>
    <n v="1"/>
    <n v="0"/>
    <n v="0"/>
    <n v="0"/>
    <n v="0"/>
    <n v="0"/>
    <n v="0"/>
    <n v="31"/>
    <n v="30"/>
    <n v="1"/>
    <n v="1"/>
    <n v="500"/>
    <n v="624"/>
    <n v="133.84800000000001"/>
    <n v="624"/>
    <n v="624"/>
    <n v="1"/>
    <n v="0"/>
    <n v="0.80128205128205132"/>
    <n v="1"/>
    <n v="1"/>
    <n v="5"/>
    <n v="100"/>
    <n v="5"/>
    <n v="500"/>
    <s v="No"/>
    <s v=""/>
    <n v="0"/>
    <n v="0"/>
    <n v="0"/>
    <s v="Yes"/>
    <s v="KMSS-MYT"/>
    <x v="0"/>
    <x v="0"/>
    <x v="0"/>
    <n v="26.350176000000001"/>
    <n v="96.711387999999999"/>
    <s v="MMR001CMP251"/>
    <x v="1"/>
    <m/>
    <n v="133"/>
    <n v="622"/>
  </r>
  <r>
    <x v="1"/>
    <x v="4"/>
    <x v="4"/>
    <s v="UNICEF"/>
    <x v="0"/>
    <x v="10"/>
    <x v="0"/>
    <x v="137"/>
    <n v="11"/>
    <n v="68"/>
    <d v="2021-08-06T00:00:00"/>
    <d v="2022-08-05T00:00:00"/>
    <m/>
    <n v="1"/>
    <m/>
    <m/>
    <s v="Yes"/>
    <n v="3"/>
    <n v="8"/>
    <n v="1"/>
    <m/>
    <m/>
    <m/>
    <m/>
    <m/>
    <m/>
    <m/>
    <m/>
    <m/>
    <m/>
    <m/>
    <m/>
    <m/>
    <m/>
    <n v="9"/>
    <n v="6"/>
    <m/>
    <m/>
    <n v="4"/>
    <m/>
    <m/>
    <m/>
    <n v="7"/>
    <m/>
    <m/>
    <m/>
    <m/>
    <m/>
    <m/>
    <m/>
    <x v="1"/>
    <x v="1"/>
    <n v="1"/>
    <m/>
    <m/>
    <m/>
    <m/>
    <m/>
    <n v="0"/>
    <m/>
    <m/>
    <n v="2"/>
    <m/>
    <m/>
    <n v="1"/>
    <n v="11"/>
    <n v="14.586000000000002"/>
    <s v="Yes"/>
    <n v="100"/>
    <m/>
    <s v="Every woman requested Sanitary pads"/>
    <m/>
    <m/>
    <m/>
    <n v="0.01"/>
    <m/>
    <m/>
    <m/>
    <m/>
    <m/>
    <m/>
    <m/>
    <n v="0.66666666666666663"/>
    <s v="no test"/>
    <s v="Tested"/>
    <n v="1"/>
    <n v="0"/>
    <n v="0"/>
    <n v="0"/>
    <n v="0"/>
    <n v="0"/>
    <n v="0"/>
    <n v="1"/>
    <n v="1"/>
    <n v="1"/>
    <n v="68"/>
    <n v="0"/>
    <n v="0"/>
    <n v="1"/>
    <n v="68"/>
    <n v="0.13600000000000001"/>
    <n v="0"/>
    <n v="0"/>
    <n v="0.86399999999999999"/>
    <n v="1"/>
    <n v="7"/>
    <n v="1"/>
    <n v="68"/>
    <n v="0"/>
    <n v="0"/>
    <n v="0"/>
    <n v="3"/>
    <n v="0"/>
    <n v="0"/>
    <n v="0"/>
    <n v="68"/>
    <n v="68"/>
    <n v="14.586000000000002"/>
    <n v="68"/>
    <n v="68"/>
    <n v="1"/>
    <n v="0"/>
    <n v="1"/>
    <n v="1"/>
    <n v="1"/>
    <n v="0"/>
    <n v="0"/>
    <n v="4"/>
    <n v="0"/>
    <s v="No"/>
    <s v=""/>
    <n v="0"/>
    <n v="0"/>
    <n v="0"/>
    <s v="Yes"/>
    <s v="KMSS-MYT"/>
    <x v="0"/>
    <x v="5"/>
    <x v="0"/>
    <n v="24.764800000000001"/>
    <n v="96.367059999999995"/>
    <s v="MMR001CMP080"/>
    <x v="1"/>
    <m/>
    <n v="11"/>
    <n v="68"/>
  </r>
  <r>
    <x v="1"/>
    <x v="0"/>
    <x v="0"/>
    <m/>
    <x v="0"/>
    <x v="1"/>
    <x v="0"/>
    <x v="138"/>
    <n v="95"/>
    <n v="472"/>
    <m/>
    <m/>
    <m/>
    <m/>
    <m/>
    <m/>
    <m/>
    <m/>
    <m/>
    <m/>
    <m/>
    <m/>
    <m/>
    <m/>
    <m/>
    <m/>
    <m/>
    <m/>
    <m/>
    <m/>
    <m/>
    <m/>
    <m/>
    <m/>
    <m/>
    <m/>
    <m/>
    <m/>
    <m/>
    <m/>
    <m/>
    <m/>
    <m/>
    <m/>
    <m/>
    <m/>
    <m/>
    <m/>
    <m/>
    <m/>
    <x v="0"/>
    <x v="0"/>
    <m/>
    <m/>
    <m/>
    <m/>
    <m/>
    <m/>
    <n v="8"/>
    <m/>
    <m/>
    <n v="3"/>
    <m/>
    <m/>
    <m/>
    <m/>
    <m/>
    <m/>
    <m/>
    <m/>
    <m/>
    <m/>
    <m/>
    <m/>
    <m/>
    <m/>
    <m/>
    <m/>
    <m/>
    <m/>
    <m/>
    <m/>
    <s v="no test"/>
    <s v="no test"/>
    <s v="No Test"/>
    <n v="0"/>
    <n v="0"/>
    <n v="0"/>
    <n v="0"/>
    <n v="0"/>
    <n v="0"/>
    <n v="0"/>
    <n v="0"/>
    <n v="0"/>
    <n v="0"/>
    <n v="0"/>
    <n v="0"/>
    <n v="0"/>
    <n v="0"/>
    <n v="0"/>
    <n v="0"/>
    <n v="1"/>
    <n v="472"/>
    <n v="1"/>
    <n v="1"/>
    <n v="0"/>
    <n v="0"/>
    <n v="0"/>
    <n v="0"/>
    <n v="0"/>
    <n v="0"/>
    <n v="24"/>
    <n v="24"/>
    <n v="1"/>
    <n v="0"/>
    <n v="0"/>
    <n v="0"/>
    <n v="0"/>
    <n v="0"/>
    <n v="0"/>
    <n v="0"/>
    <n v="1"/>
    <n v="0"/>
    <n v="0"/>
    <n v="0"/>
    <n v="8"/>
    <n v="95"/>
    <n v="0"/>
    <n v="472"/>
    <s v="No"/>
    <s v=""/>
    <n v="0"/>
    <n v="0"/>
    <n v="0"/>
    <s v="Yes"/>
    <s v="KMSS-MYT"/>
    <x v="0"/>
    <x v="0"/>
    <x v="0"/>
    <n v="25.656009999999998"/>
    <n v="96.361609999999999"/>
    <s v="MMR001CMP168"/>
    <x v="0"/>
    <m/>
    <n v="90"/>
    <n v="456"/>
  </r>
  <r>
    <x v="1"/>
    <x v="4"/>
    <x v="4"/>
    <s v="UNICEF"/>
    <x v="0"/>
    <x v="8"/>
    <x v="0"/>
    <x v="139"/>
    <n v="48"/>
    <n v="270"/>
    <d v="2021-08-06T00:00:00"/>
    <d v="2022-08-05T00:00:00"/>
    <m/>
    <n v="3"/>
    <m/>
    <m/>
    <s v="Yes"/>
    <n v="3"/>
    <n v="1"/>
    <n v="2"/>
    <m/>
    <m/>
    <m/>
    <m/>
    <m/>
    <m/>
    <m/>
    <m/>
    <m/>
    <m/>
    <m/>
    <m/>
    <m/>
    <m/>
    <n v="5"/>
    <n v="1"/>
    <m/>
    <m/>
    <n v="5"/>
    <m/>
    <m/>
    <m/>
    <n v="18"/>
    <m/>
    <m/>
    <n v="2"/>
    <m/>
    <m/>
    <m/>
    <m/>
    <x v="1"/>
    <x v="3"/>
    <m/>
    <m/>
    <m/>
    <m/>
    <m/>
    <m/>
    <n v="5"/>
    <m/>
    <n v="2"/>
    <n v="2"/>
    <m/>
    <m/>
    <n v="1"/>
    <n v="48"/>
    <n v="57.915000000000006"/>
    <s v="Yes"/>
    <n v="100"/>
    <m/>
    <s v="Every woman requested Sanitary pads"/>
    <m/>
    <n v="0.5"/>
    <m/>
    <n v="0.01"/>
    <m/>
    <m/>
    <m/>
    <m/>
    <m/>
    <m/>
    <m/>
    <n v="0.2"/>
    <s v="no test"/>
    <s v="Tested"/>
    <n v="2"/>
    <n v="0"/>
    <n v="0"/>
    <n v="0"/>
    <n v="0"/>
    <n v="0"/>
    <n v="0"/>
    <n v="1"/>
    <n v="1"/>
    <n v="1"/>
    <n v="270"/>
    <n v="0"/>
    <n v="0"/>
    <n v="1"/>
    <n v="270"/>
    <n v="0.54"/>
    <n v="0"/>
    <n v="0"/>
    <n v="0.45999999999999996"/>
    <n v="1"/>
    <n v="16"/>
    <n v="1"/>
    <n v="270"/>
    <n v="0"/>
    <n v="0"/>
    <n v="0"/>
    <n v="14"/>
    <n v="0"/>
    <n v="0"/>
    <n v="0.1111111111111111"/>
    <n v="270"/>
    <n v="270"/>
    <n v="57.915000000000006"/>
    <n v="270"/>
    <n v="270"/>
    <n v="1"/>
    <n v="0"/>
    <n v="1"/>
    <n v="1"/>
    <n v="1"/>
    <n v="5"/>
    <n v="48"/>
    <n v="5"/>
    <n v="270"/>
    <s v="No"/>
    <s v=""/>
    <n v="0"/>
    <n v="0"/>
    <n v="0"/>
    <n v="0"/>
    <s v="KMSS-MYT"/>
    <x v="0"/>
    <x v="0"/>
    <x v="0"/>
    <n v="25.383058999999999"/>
    <n v="97.014313000000001"/>
    <s v="MMR001CMP259"/>
    <x v="1"/>
    <m/>
    <n v="48"/>
    <n v="268"/>
  </r>
  <r>
    <x v="1"/>
    <x v="4"/>
    <x v="4"/>
    <s v="UNICEF"/>
    <x v="0"/>
    <x v="8"/>
    <x v="0"/>
    <x v="140"/>
    <n v="83"/>
    <n v="424"/>
    <d v="2021-08-06T00:00:00"/>
    <d v="2022-08-05T00:00:00"/>
    <m/>
    <n v="2"/>
    <m/>
    <m/>
    <s v="Yes"/>
    <n v="2"/>
    <n v="3"/>
    <n v="3"/>
    <m/>
    <m/>
    <m/>
    <m/>
    <m/>
    <m/>
    <m/>
    <m/>
    <m/>
    <m/>
    <m/>
    <m/>
    <m/>
    <m/>
    <n v="4"/>
    <n v="1"/>
    <m/>
    <m/>
    <n v="10"/>
    <m/>
    <m/>
    <m/>
    <n v="14"/>
    <m/>
    <m/>
    <n v="2"/>
    <m/>
    <m/>
    <m/>
    <m/>
    <x v="1"/>
    <x v="2"/>
    <n v="1"/>
    <m/>
    <m/>
    <m/>
    <m/>
    <m/>
    <n v="10"/>
    <m/>
    <n v="2"/>
    <n v="2"/>
    <m/>
    <m/>
    <n v="1"/>
    <n v="83"/>
    <n v="90.948000000000008"/>
    <s v="Yes"/>
    <n v="100"/>
    <n v="0.5"/>
    <s v="Every woman requested Sanitary pads"/>
    <m/>
    <m/>
    <m/>
    <n v="0.01"/>
    <m/>
    <m/>
    <m/>
    <m/>
    <m/>
    <m/>
    <m/>
    <n v="0.25"/>
    <s v="no test"/>
    <s v="Tested"/>
    <n v="3"/>
    <n v="0"/>
    <n v="0"/>
    <n v="0"/>
    <n v="0"/>
    <n v="0"/>
    <n v="0"/>
    <n v="1"/>
    <n v="1"/>
    <n v="1"/>
    <n v="424"/>
    <n v="0"/>
    <n v="0"/>
    <n v="1"/>
    <n v="424"/>
    <n v="0.84799999999999998"/>
    <n v="0"/>
    <n v="0"/>
    <n v="0.15200000000000002"/>
    <n v="1"/>
    <n v="12"/>
    <n v="0.6132075471698113"/>
    <n v="260"/>
    <n v="0"/>
    <n v="0"/>
    <n v="0"/>
    <n v="21"/>
    <n v="7"/>
    <n v="0.3867924528301887"/>
    <n v="0.14285714285714285"/>
    <n v="424"/>
    <n v="424"/>
    <n v="90.948000000000008"/>
    <n v="424"/>
    <n v="424"/>
    <n v="1"/>
    <n v="0"/>
    <n v="1"/>
    <n v="1"/>
    <n v="1"/>
    <n v="10"/>
    <n v="83"/>
    <n v="10"/>
    <n v="424"/>
    <s v="No"/>
    <s v=""/>
    <n v="0"/>
    <n v="0"/>
    <n v="0"/>
    <n v="0"/>
    <s v="KMSS-MYT"/>
    <x v="0"/>
    <x v="0"/>
    <x v="0"/>
    <n v="25.383058999999999"/>
    <n v="97.014313000000001"/>
    <s v="MMR001CMP260"/>
    <x v="1"/>
    <m/>
    <n v="83"/>
    <n v="422"/>
  </r>
  <r>
    <x v="1"/>
    <x v="4"/>
    <x v="4"/>
    <s v="UNICEF"/>
    <x v="0"/>
    <x v="13"/>
    <x v="0"/>
    <x v="141"/>
    <n v="36"/>
    <n v="169"/>
    <d v="2021-08-06T00:00:00"/>
    <d v="2022-08-05T00:00:00"/>
    <m/>
    <n v="1"/>
    <m/>
    <m/>
    <s v="Yes"/>
    <n v="4"/>
    <n v="1"/>
    <m/>
    <m/>
    <m/>
    <n v="2"/>
    <m/>
    <m/>
    <m/>
    <m/>
    <m/>
    <m/>
    <m/>
    <m/>
    <m/>
    <m/>
    <m/>
    <m/>
    <m/>
    <m/>
    <m/>
    <n v="5"/>
    <m/>
    <m/>
    <m/>
    <n v="2"/>
    <m/>
    <m/>
    <n v="2"/>
    <m/>
    <m/>
    <m/>
    <m/>
    <x v="1"/>
    <x v="2"/>
    <m/>
    <m/>
    <m/>
    <m/>
    <m/>
    <m/>
    <n v="7"/>
    <m/>
    <n v="2"/>
    <n v="2"/>
    <m/>
    <m/>
    <n v="1"/>
    <n v="36"/>
    <n v="36.250500000000002"/>
    <s v="Yes"/>
    <n v="100"/>
    <n v="0.25"/>
    <s v="Requested Sanitary pads "/>
    <m/>
    <m/>
    <m/>
    <n v="0.01"/>
    <m/>
    <m/>
    <m/>
    <m/>
    <m/>
    <m/>
    <m/>
    <s v="no test"/>
    <s v="no test"/>
    <s v="No Test"/>
    <n v="0"/>
    <n v="2"/>
    <n v="0"/>
    <n v="0"/>
    <n v="0"/>
    <n v="0"/>
    <n v="0"/>
    <n v="1"/>
    <n v="1"/>
    <n v="1"/>
    <n v="169"/>
    <n v="0"/>
    <n v="0"/>
    <n v="1"/>
    <n v="169"/>
    <n v="0.33800000000000002"/>
    <n v="0"/>
    <n v="0"/>
    <n v="0.66199999999999992"/>
    <n v="1"/>
    <n v="0"/>
    <n v="0"/>
    <n v="0"/>
    <n v="0"/>
    <n v="0"/>
    <n v="0"/>
    <n v="8"/>
    <n v="6"/>
    <n v="1"/>
    <n v="1"/>
    <n v="169"/>
    <n v="169"/>
    <n v="36.250500000000002"/>
    <n v="169"/>
    <n v="169"/>
    <n v="1"/>
    <n v="0"/>
    <n v="1"/>
    <n v="1"/>
    <n v="1"/>
    <n v="7"/>
    <n v="36"/>
    <n v="5"/>
    <n v="169"/>
    <s v="No"/>
    <s v=""/>
    <n v="0"/>
    <n v="0"/>
    <n v="0"/>
    <s v="Yes"/>
    <s v="KMSS-MYT"/>
    <x v="0"/>
    <x v="0"/>
    <x v="0"/>
    <n v="26.351690999999999"/>
    <n v="96.690871999999999"/>
    <s v="MMR001CMP254"/>
    <x v="1"/>
    <m/>
    <n v="35"/>
    <n v="161"/>
  </r>
  <r>
    <x v="1"/>
    <x v="11"/>
    <x v="7"/>
    <s v="MHF"/>
    <x v="0"/>
    <x v="13"/>
    <x v="0"/>
    <x v="142"/>
    <n v="109"/>
    <n v="483"/>
    <d v="2021-11-01T00:00:00"/>
    <d v="2022-10-31T00:00:00"/>
    <m/>
    <n v="2"/>
    <m/>
    <m/>
    <s v="No"/>
    <n v="2"/>
    <n v="2"/>
    <n v="4"/>
    <n v="1"/>
    <n v="1"/>
    <n v="3"/>
    <m/>
    <m/>
    <n v="1"/>
    <m/>
    <m/>
    <m/>
    <m/>
    <m/>
    <m/>
    <m/>
    <m/>
    <m/>
    <m/>
    <m/>
    <m/>
    <m/>
    <m/>
    <m/>
    <m/>
    <n v="30"/>
    <n v="30"/>
    <m/>
    <m/>
    <n v="7"/>
    <m/>
    <m/>
    <m/>
    <x v="0"/>
    <x v="0"/>
    <m/>
    <m/>
    <m/>
    <m/>
    <m/>
    <m/>
    <n v="3"/>
    <n v="2"/>
    <n v="5"/>
    <n v="3"/>
    <m/>
    <m/>
    <m/>
    <m/>
    <m/>
    <m/>
    <m/>
    <m/>
    <m/>
    <m/>
    <m/>
    <m/>
    <m/>
    <m/>
    <m/>
    <m/>
    <m/>
    <m/>
    <m/>
    <m/>
    <s v="no test"/>
    <s v="no test"/>
    <s v="No Test"/>
    <n v="3"/>
    <n v="3"/>
    <n v="0"/>
    <n v="0"/>
    <n v="0"/>
    <n v="0"/>
    <n v="0"/>
    <n v="1"/>
    <n v="1"/>
    <n v="1"/>
    <n v="483"/>
    <n v="0"/>
    <n v="0"/>
    <n v="1"/>
    <n v="483"/>
    <n v="0.96599999999999997"/>
    <n v="0"/>
    <n v="0"/>
    <n v="3.400000000000003E-2"/>
    <n v="1"/>
    <n v="60"/>
    <n v="1"/>
    <n v="483"/>
    <n v="0"/>
    <n v="0"/>
    <n v="0"/>
    <n v="24"/>
    <n v="0"/>
    <n v="0"/>
    <n v="0"/>
    <n v="0"/>
    <n v="0"/>
    <n v="0"/>
    <n v="0"/>
    <n v="0"/>
    <n v="0"/>
    <n v="1"/>
    <n v="0"/>
    <n v="0"/>
    <n v="0"/>
    <n v="1"/>
    <n v="20"/>
    <n v="0"/>
    <n v="100"/>
    <s v="No"/>
    <s v=""/>
    <n v="0"/>
    <n v="0"/>
    <n v="0"/>
    <s v="Yes"/>
    <s v="KBC-MYT"/>
    <x v="0"/>
    <x v="0"/>
    <x v="0"/>
    <n v="26.356223"/>
    <n v="96.721439000000004"/>
    <s v="MMR001CMP253"/>
    <x v="1"/>
    <m/>
    <n v="110"/>
    <n v="486"/>
  </r>
  <r>
    <x v="1"/>
    <x v="16"/>
    <x v="7"/>
    <s v="MHF,SIDA"/>
    <x v="0"/>
    <x v="7"/>
    <x v="0"/>
    <x v="143"/>
    <n v="96"/>
    <n v="531"/>
    <d v="2022-05-01T00:00:00"/>
    <d v="2022-10-31T00:00:00"/>
    <m/>
    <n v="1"/>
    <m/>
    <m/>
    <s v="Yes"/>
    <n v="2"/>
    <n v="2"/>
    <n v="2"/>
    <m/>
    <m/>
    <n v="3"/>
    <m/>
    <m/>
    <m/>
    <m/>
    <m/>
    <m/>
    <m/>
    <m/>
    <m/>
    <m/>
    <n v="2"/>
    <m/>
    <m/>
    <m/>
    <m/>
    <m/>
    <m/>
    <m/>
    <m/>
    <n v="11"/>
    <m/>
    <m/>
    <m/>
    <m/>
    <m/>
    <m/>
    <n v="11"/>
    <x v="1"/>
    <x v="1"/>
    <m/>
    <m/>
    <m/>
    <m/>
    <m/>
    <m/>
    <n v="3"/>
    <m/>
    <m/>
    <n v="2"/>
    <m/>
    <n v="1"/>
    <m/>
    <m/>
    <m/>
    <m/>
    <m/>
    <m/>
    <m/>
    <m/>
    <m/>
    <m/>
    <m/>
    <m/>
    <m/>
    <m/>
    <m/>
    <m/>
    <m/>
    <m/>
    <s v="no test"/>
    <s v="no test"/>
    <s v="No Test"/>
    <n v="2"/>
    <n v="3"/>
    <n v="0"/>
    <n v="0"/>
    <n v="0"/>
    <n v="0"/>
    <n v="0"/>
    <n v="1"/>
    <n v="1"/>
    <n v="1"/>
    <n v="531"/>
    <n v="0"/>
    <n v="0"/>
    <n v="1"/>
    <n v="531"/>
    <n v="1.0620000000000001"/>
    <n v="0"/>
    <n v="0"/>
    <n v="0"/>
    <n v="1"/>
    <n v="11"/>
    <n v="0.4143126177024482"/>
    <n v="220"/>
    <n v="0"/>
    <n v="0"/>
    <n v="0"/>
    <n v="27"/>
    <n v="16"/>
    <n v="0.5856873822975518"/>
    <n v="0"/>
    <n v="500"/>
    <n v="0"/>
    <n v="0"/>
    <n v="0"/>
    <n v="500"/>
    <n v="0.94161958568738224"/>
    <n v="5.8380414312617757E-2"/>
    <n v="0.94161958568738224"/>
    <n v="0"/>
    <n v="0"/>
    <n v="3"/>
    <n v="60"/>
    <n v="0"/>
    <n v="300"/>
    <s v="No"/>
    <s v=""/>
    <n v="0"/>
    <n v="0"/>
    <n v="0"/>
    <s v="Yes"/>
    <s v="KBC-MYT"/>
    <x v="0"/>
    <x v="0"/>
    <x v="0"/>
    <n v="25.415482000000001"/>
    <n v="97.386718999999999"/>
    <s v="MMR001CMP001"/>
    <x v="1"/>
    <m/>
    <n v="98"/>
    <n v="540"/>
  </r>
  <r>
    <x v="1"/>
    <x v="2"/>
    <x v="2"/>
    <s v="MHF"/>
    <x v="0"/>
    <x v="7"/>
    <x v="0"/>
    <x v="144"/>
    <n v="56"/>
    <n v="262"/>
    <d v="2022-01-01T00:00:00"/>
    <d v="2022-12-31T00:00:00"/>
    <m/>
    <n v="1"/>
    <n v="1"/>
    <m/>
    <s v="Yes"/>
    <n v="2"/>
    <n v="5"/>
    <n v="1"/>
    <m/>
    <n v="1"/>
    <n v="4"/>
    <m/>
    <m/>
    <m/>
    <m/>
    <m/>
    <m/>
    <m/>
    <n v="5"/>
    <m/>
    <m/>
    <m/>
    <m/>
    <m/>
    <m/>
    <m/>
    <n v="2"/>
    <n v="2"/>
    <m/>
    <m/>
    <n v="18"/>
    <m/>
    <m/>
    <m/>
    <m/>
    <n v="6"/>
    <m/>
    <m/>
    <x v="1"/>
    <x v="1"/>
    <m/>
    <n v="1"/>
    <m/>
    <m/>
    <m/>
    <m/>
    <n v="4"/>
    <n v="1"/>
    <m/>
    <n v="4"/>
    <m/>
    <m/>
    <m/>
    <m/>
    <m/>
    <m/>
    <m/>
    <m/>
    <m/>
    <n v="0.8"/>
    <n v="0.8"/>
    <m/>
    <m/>
    <m/>
    <m/>
    <m/>
    <m/>
    <m/>
    <m/>
    <m/>
    <s v="no test"/>
    <s v="no test"/>
    <s v="No Test"/>
    <n v="1"/>
    <n v="4"/>
    <n v="0"/>
    <n v="0"/>
    <n v="0"/>
    <n v="262"/>
    <n v="0"/>
    <n v="1"/>
    <n v="1"/>
    <n v="1"/>
    <n v="262"/>
    <n v="1"/>
    <n v="262"/>
    <n v="1"/>
    <n v="262"/>
    <n v="0.52400000000000002"/>
    <n v="0"/>
    <n v="0"/>
    <n v="0.47599999999999998"/>
    <n v="1"/>
    <n v="18"/>
    <n v="1"/>
    <n v="262"/>
    <n v="120"/>
    <n v="0"/>
    <n v="0"/>
    <n v="13"/>
    <n v="0"/>
    <n v="0"/>
    <n v="0"/>
    <n v="0"/>
    <n v="0"/>
    <n v="0"/>
    <n v="0"/>
    <n v="0"/>
    <n v="0"/>
    <n v="1"/>
    <n v="0"/>
    <n v="0"/>
    <n v="0"/>
    <n v="3"/>
    <n v="56"/>
    <n v="0"/>
    <n v="262"/>
    <s v="No"/>
    <s v=""/>
    <n v="0"/>
    <n v="262"/>
    <n v="0"/>
    <s v="Yes"/>
    <s v="Shalom"/>
    <x v="0"/>
    <x v="0"/>
    <x v="0"/>
    <n v="25.423209"/>
    <n v="97.379987"/>
    <s v="MMR001CMP023"/>
    <x v="1"/>
    <m/>
    <n v="56"/>
    <n v="266"/>
  </r>
  <r>
    <x v="1"/>
    <x v="16"/>
    <x v="7"/>
    <s v="MHF,SIDA"/>
    <x v="0"/>
    <x v="7"/>
    <x v="0"/>
    <x v="145"/>
    <n v="35"/>
    <n v="197"/>
    <d v="2022-05-01T00:00:00"/>
    <d v="2022-10-31T00:00:00"/>
    <m/>
    <n v="1"/>
    <m/>
    <m/>
    <s v="Yes"/>
    <n v="2"/>
    <n v="2"/>
    <n v="3"/>
    <m/>
    <m/>
    <n v="4"/>
    <m/>
    <m/>
    <m/>
    <m/>
    <m/>
    <m/>
    <m/>
    <m/>
    <m/>
    <m/>
    <n v="3"/>
    <m/>
    <m/>
    <m/>
    <m/>
    <m/>
    <m/>
    <m/>
    <m/>
    <n v="5"/>
    <m/>
    <m/>
    <m/>
    <m/>
    <m/>
    <m/>
    <n v="5"/>
    <x v="1"/>
    <x v="1"/>
    <m/>
    <m/>
    <m/>
    <m/>
    <m/>
    <m/>
    <n v="1"/>
    <m/>
    <m/>
    <n v="3"/>
    <m/>
    <m/>
    <m/>
    <m/>
    <m/>
    <m/>
    <m/>
    <m/>
    <m/>
    <m/>
    <m/>
    <m/>
    <m/>
    <m/>
    <m/>
    <m/>
    <m/>
    <m/>
    <m/>
    <m/>
    <s v="no test"/>
    <s v="no test"/>
    <s v="No Test"/>
    <n v="3"/>
    <n v="4"/>
    <n v="0"/>
    <n v="0"/>
    <n v="0"/>
    <n v="0"/>
    <n v="0"/>
    <n v="1"/>
    <n v="1"/>
    <n v="1"/>
    <n v="197"/>
    <n v="0"/>
    <n v="0"/>
    <n v="1"/>
    <n v="197"/>
    <n v="0.39400000000000002"/>
    <n v="0"/>
    <n v="0"/>
    <n v="0.60599999999999998"/>
    <n v="1"/>
    <n v="5"/>
    <n v="0.50761421319796951"/>
    <n v="100"/>
    <n v="0"/>
    <n v="0"/>
    <n v="0"/>
    <n v="10"/>
    <n v="5"/>
    <n v="0.49238578680203049"/>
    <n v="0"/>
    <n v="0"/>
    <n v="0"/>
    <n v="0"/>
    <n v="0"/>
    <n v="0"/>
    <n v="0"/>
    <n v="1"/>
    <n v="0"/>
    <n v="0"/>
    <n v="0"/>
    <n v="1"/>
    <n v="20"/>
    <n v="0"/>
    <n v="100"/>
    <s v="No"/>
    <s v=""/>
    <n v="0"/>
    <n v="0"/>
    <n v="0"/>
    <s v="Yes"/>
    <s v="KBC-MYT"/>
    <x v="0"/>
    <x v="0"/>
    <x v="0"/>
    <n v="25.404752999999999"/>
    <n v="97.377662999999998"/>
    <s v="MMR001CMP003"/>
    <x v="1"/>
    <m/>
    <n v="35"/>
    <n v="189"/>
  </r>
  <r>
    <x v="1"/>
    <x v="16"/>
    <x v="7"/>
    <s v="MHF,SIDA"/>
    <x v="0"/>
    <x v="7"/>
    <x v="0"/>
    <x v="146"/>
    <n v="47"/>
    <n v="239"/>
    <d v="2022-05-01T00:00:00"/>
    <d v="2022-10-31T00:00:00"/>
    <m/>
    <n v="1"/>
    <m/>
    <m/>
    <s v="Yes"/>
    <n v="2"/>
    <n v="3"/>
    <n v="2"/>
    <m/>
    <m/>
    <n v="1"/>
    <m/>
    <m/>
    <m/>
    <m/>
    <m/>
    <m/>
    <m/>
    <m/>
    <m/>
    <m/>
    <n v="3"/>
    <m/>
    <m/>
    <m/>
    <m/>
    <m/>
    <m/>
    <m/>
    <m/>
    <n v="13"/>
    <m/>
    <m/>
    <m/>
    <m/>
    <m/>
    <m/>
    <n v="13"/>
    <x v="1"/>
    <x v="1"/>
    <m/>
    <m/>
    <m/>
    <m/>
    <m/>
    <m/>
    <n v="1"/>
    <m/>
    <m/>
    <n v="1"/>
    <m/>
    <m/>
    <m/>
    <m/>
    <m/>
    <m/>
    <m/>
    <m/>
    <m/>
    <m/>
    <m/>
    <m/>
    <m/>
    <m/>
    <m/>
    <m/>
    <m/>
    <m/>
    <m/>
    <m/>
    <s v="no test"/>
    <s v="no test"/>
    <s v="No Test"/>
    <n v="2"/>
    <n v="1"/>
    <n v="0"/>
    <n v="0"/>
    <n v="0"/>
    <n v="0"/>
    <n v="0"/>
    <n v="1"/>
    <n v="1"/>
    <n v="1"/>
    <n v="239"/>
    <n v="0"/>
    <n v="0"/>
    <n v="1"/>
    <n v="239"/>
    <n v="0.47799999999999998"/>
    <n v="0"/>
    <n v="0"/>
    <n v="0.52200000000000002"/>
    <n v="1"/>
    <n v="13"/>
    <n v="1"/>
    <n v="239"/>
    <n v="0"/>
    <n v="0"/>
    <n v="0"/>
    <n v="12"/>
    <n v="0"/>
    <n v="0"/>
    <n v="0"/>
    <n v="0"/>
    <n v="0"/>
    <n v="0"/>
    <n v="0"/>
    <n v="0"/>
    <n v="0"/>
    <n v="1"/>
    <n v="0"/>
    <n v="0"/>
    <n v="0"/>
    <n v="1"/>
    <n v="20"/>
    <n v="0"/>
    <n v="100"/>
    <s v="No"/>
    <s v=""/>
    <n v="0"/>
    <n v="0"/>
    <n v="0"/>
    <s v="Yes"/>
    <s v="KBC-MYT"/>
    <x v="0"/>
    <x v="0"/>
    <x v="0"/>
    <n v="25.437125999999999"/>
    <n v="97.387276"/>
    <s v="MMR001CMP005"/>
    <x v="1"/>
    <m/>
    <n v="47"/>
    <n v="239"/>
  </r>
  <r>
    <x v="1"/>
    <x v="2"/>
    <x v="2"/>
    <s v="MHF"/>
    <x v="0"/>
    <x v="3"/>
    <x v="0"/>
    <x v="147"/>
    <n v="46"/>
    <n v="192"/>
    <d v="2022-01-01T00:00:00"/>
    <d v="2022-12-31T00:00:00"/>
    <m/>
    <n v="1"/>
    <m/>
    <m/>
    <s v="Yes"/>
    <n v="1"/>
    <n v="4"/>
    <n v="1"/>
    <m/>
    <m/>
    <m/>
    <m/>
    <m/>
    <m/>
    <m/>
    <m/>
    <m/>
    <m/>
    <m/>
    <m/>
    <m/>
    <m/>
    <m/>
    <m/>
    <m/>
    <m/>
    <m/>
    <m/>
    <m/>
    <s v="နွေရာသီတွင် ရေခမ်း၍ ရေအနည်များခြင်း"/>
    <n v="6"/>
    <m/>
    <m/>
    <m/>
    <m/>
    <m/>
    <m/>
    <m/>
    <x v="1"/>
    <x v="1"/>
    <m/>
    <m/>
    <m/>
    <m/>
    <m/>
    <m/>
    <n v="4"/>
    <m/>
    <m/>
    <n v="2"/>
    <m/>
    <m/>
    <m/>
    <n v="46"/>
    <m/>
    <s v="Yes"/>
    <m/>
    <n v="0.4"/>
    <m/>
    <n v="0.95"/>
    <n v="0.9"/>
    <n v="3"/>
    <n v="0.99"/>
    <m/>
    <m/>
    <m/>
    <m/>
    <m/>
    <m/>
    <m/>
    <s v="no test"/>
    <s v="no test"/>
    <s v="No Test"/>
    <n v="1"/>
    <n v="0"/>
    <n v="0"/>
    <n v="0"/>
    <n v="0"/>
    <n v="0"/>
    <n v="0"/>
    <n v="1"/>
    <n v="1"/>
    <n v="1"/>
    <n v="192"/>
    <n v="0"/>
    <n v="0"/>
    <n v="1"/>
    <n v="192"/>
    <n v="0.38400000000000001"/>
    <n v="0"/>
    <n v="0"/>
    <n v="0.61599999999999999"/>
    <n v="1"/>
    <n v="6"/>
    <n v="0.625"/>
    <n v="120"/>
    <n v="0"/>
    <n v="0"/>
    <n v="0"/>
    <n v="10"/>
    <n v="4"/>
    <n v="0.375"/>
    <n v="0"/>
    <n v="0"/>
    <n v="192"/>
    <n v="0"/>
    <n v="192"/>
    <n v="192"/>
    <n v="1"/>
    <n v="0"/>
    <n v="0"/>
    <n v="1"/>
    <n v="0"/>
    <n v="4"/>
    <n v="46"/>
    <n v="0"/>
    <n v="192"/>
    <s v="No"/>
    <n v="1.5625E-2"/>
    <n v="0"/>
    <n v="0"/>
    <n v="0"/>
    <s v="Yes"/>
    <s v="Shalom"/>
    <x v="0"/>
    <x v="0"/>
    <x v="0"/>
    <n v="25.333683333333301"/>
    <n v="97.428251153846105"/>
    <s v="MMR001CMP037"/>
    <x v="1"/>
    <m/>
    <n v="46"/>
    <n v="192"/>
  </r>
  <r>
    <x v="1"/>
    <x v="17"/>
    <x v="7"/>
    <s v="MHF,SIDA,LIFT"/>
    <x v="0"/>
    <x v="7"/>
    <x v="0"/>
    <x v="148"/>
    <n v="197"/>
    <n v="975"/>
    <s v="5/1/2022,1/1/2020"/>
    <s v="10/31/2022,12/31/2022"/>
    <m/>
    <n v="3"/>
    <m/>
    <m/>
    <s v="Yes"/>
    <n v="2"/>
    <n v="3"/>
    <n v="2"/>
    <m/>
    <m/>
    <n v="3"/>
    <m/>
    <m/>
    <m/>
    <m/>
    <m/>
    <m/>
    <m/>
    <m/>
    <m/>
    <m/>
    <n v="4"/>
    <m/>
    <m/>
    <m/>
    <m/>
    <m/>
    <m/>
    <m/>
    <m/>
    <n v="28"/>
    <m/>
    <m/>
    <m/>
    <m/>
    <m/>
    <m/>
    <n v="10"/>
    <x v="1"/>
    <x v="1"/>
    <m/>
    <m/>
    <m/>
    <m/>
    <m/>
    <m/>
    <n v="3"/>
    <m/>
    <m/>
    <n v="2"/>
    <m/>
    <n v="1"/>
    <m/>
    <n v="46"/>
    <n v="60"/>
    <m/>
    <m/>
    <m/>
    <s v="Provide hygiene 4 clean message to mother group session and adolescent sessions (Under managed by Nutrition Programme) "/>
    <m/>
    <m/>
    <m/>
    <m/>
    <m/>
    <m/>
    <m/>
    <m/>
    <m/>
    <m/>
    <m/>
    <s v="no test"/>
    <s v="no test"/>
    <s v="No Test"/>
    <n v="2"/>
    <n v="3"/>
    <n v="0"/>
    <n v="0"/>
    <n v="0"/>
    <n v="0"/>
    <n v="0"/>
    <n v="1"/>
    <n v="1"/>
    <n v="1"/>
    <n v="975"/>
    <n v="0"/>
    <n v="0"/>
    <n v="1"/>
    <n v="975"/>
    <n v="1.95"/>
    <n v="0"/>
    <n v="0"/>
    <n v="5.0000000000000044E-2"/>
    <n v="2"/>
    <n v="28"/>
    <n v="0.57435897435897432"/>
    <n v="560"/>
    <n v="0"/>
    <n v="0"/>
    <n v="0"/>
    <n v="49"/>
    <n v="21"/>
    <n v="0.42564102564102568"/>
    <n v="0"/>
    <n v="500"/>
    <n v="230"/>
    <n v="60"/>
    <n v="230"/>
    <n v="500"/>
    <n v="0.51282051282051277"/>
    <n v="0.48717948717948723"/>
    <n v="0.51282051282051277"/>
    <n v="0.93401015228426398"/>
    <n v="0.30456852791878175"/>
    <n v="3"/>
    <n v="60"/>
    <n v="0"/>
    <n v="300"/>
    <s v="No"/>
    <s v=""/>
    <n v="0"/>
    <n v="0"/>
    <n v="0"/>
    <s v="Yes"/>
    <s v="KBC-MYT"/>
    <x v="0"/>
    <x v="0"/>
    <x v="0"/>
    <n v="25.480989999999998"/>
    <n v="97.431079999999994"/>
    <s v="MMR001CMP263"/>
    <x v="1"/>
    <m/>
    <n v="197"/>
    <n v="981"/>
  </r>
  <r>
    <x v="1"/>
    <x v="16"/>
    <x v="7"/>
    <s v="MHF"/>
    <x v="0"/>
    <x v="3"/>
    <x v="0"/>
    <x v="149"/>
    <n v="81"/>
    <n v="387"/>
    <d v="2022-05-01T00:00:00"/>
    <d v="2022-10-31T00:00:00"/>
    <m/>
    <n v="1"/>
    <m/>
    <m/>
    <s v="Yes"/>
    <n v="2"/>
    <n v="2"/>
    <n v="2"/>
    <n v="2"/>
    <n v="1"/>
    <n v="1"/>
    <m/>
    <m/>
    <m/>
    <m/>
    <m/>
    <m/>
    <m/>
    <m/>
    <m/>
    <m/>
    <n v="3"/>
    <m/>
    <m/>
    <m/>
    <m/>
    <m/>
    <m/>
    <m/>
    <m/>
    <n v="8"/>
    <m/>
    <m/>
    <m/>
    <m/>
    <m/>
    <m/>
    <n v="6"/>
    <x v="1"/>
    <x v="1"/>
    <m/>
    <m/>
    <m/>
    <m/>
    <m/>
    <m/>
    <n v="3"/>
    <m/>
    <m/>
    <n v="2"/>
    <m/>
    <n v="1"/>
    <n v="1"/>
    <m/>
    <m/>
    <m/>
    <m/>
    <m/>
    <m/>
    <m/>
    <m/>
    <m/>
    <m/>
    <m/>
    <m/>
    <m/>
    <m/>
    <m/>
    <m/>
    <m/>
    <s v="no test"/>
    <s v="no test"/>
    <s v="No Test"/>
    <n v="0"/>
    <n v="1"/>
    <n v="0"/>
    <n v="0"/>
    <n v="0"/>
    <n v="0"/>
    <n v="0"/>
    <n v="1"/>
    <n v="0.64599483204134367"/>
    <n v="1"/>
    <n v="387"/>
    <n v="0"/>
    <n v="0"/>
    <n v="1"/>
    <n v="387"/>
    <n v="0.77400000000000002"/>
    <n v="0"/>
    <n v="0"/>
    <n v="0.22599999999999998"/>
    <n v="1"/>
    <n v="8"/>
    <n v="0.41343669250645992"/>
    <n v="160"/>
    <n v="0"/>
    <n v="0"/>
    <n v="0"/>
    <n v="19"/>
    <n v="11"/>
    <n v="0.58656330749354013"/>
    <n v="0"/>
    <n v="387"/>
    <n v="0"/>
    <n v="0"/>
    <n v="0"/>
    <n v="387"/>
    <n v="1"/>
    <n v="0"/>
    <n v="1"/>
    <n v="0"/>
    <n v="0"/>
    <n v="3"/>
    <n v="60"/>
    <n v="0"/>
    <n v="300"/>
    <s v="No"/>
    <s v=""/>
    <n v="0"/>
    <n v="0"/>
    <n v="0"/>
    <s v="Yes"/>
    <s v="KBC-MYT"/>
    <x v="0"/>
    <x v="0"/>
    <x v="0"/>
    <n v="25.350989999999999"/>
    <n v="97.442809999999994"/>
    <s v="MMR001CMP269"/>
    <x v="1"/>
    <m/>
    <n v="81"/>
    <n v="387"/>
  </r>
  <r>
    <x v="1"/>
    <x v="2"/>
    <x v="2"/>
    <s v="MHF"/>
    <x v="0"/>
    <x v="3"/>
    <x v="0"/>
    <x v="150"/>
    <n v="68"/>
    <n v="193"/>
    <d v="2022-01-01T00:00:00"/>
    <d v="2022-12-31T00:00:00"/>
    <m/>
    <n v="1"/>
    <n v="1"/>
    <m/>
    <s v="Yes"/>
    <n v="3"/>
    <n v="3"/>
    <n v="2"/>
    <m/>
    <m/>
    <m/>
    <m/>
    <m/>
    <m/>
    <m/>
    <m/>
    <m/>
    <m/>
    <m/>
    <m/>
    <n v="1"/>
    <m/>
    <m/>
    <m/>
    <m/>
    <m/>
    <n v="1"/>
    <m/>
    <m/>
    <s v="နွေရာသီတွင် ရေခမ်း၍ ရေအနည်များခြင်း/မသန့်ခြင်း"/>
    <n v="9"/>
    <m/>
    <m/>
    <m/>
    <m/>
    <m/>
    <m/>
    <m/>
    <x v="1"/>
    <x v="1"/>
    <m/>
    <m/>
    <m/>
    <m/>
    <m/>
    <m/>
    <m/>
    <m/>
    <m/>
    <n v="2"/>
    <m/>
    <m/>
    <n v="1"/>
    <n v="68"/>
    <m/>
    <s v="Yes"/>
    <m/>
    <n v="0.5"/>
    <m/>
    <n v="0.96"/>
    <n v="0.9"/>
    <n v="4"/>
    <n v="0.99"/>
    <m/>
    <m/>
    <m/>
    <m/>
    <m/>
    <m/>
    <m/>
    <s v="no test"/>
    <s v="no test"/>
    <s v="No Test"/>
    <n v="2"/>
    <n v="0"/>
    <n v="0"/>
    <n v="0"/>
    <n v="0"/>
    <n v="0"/>
    <n v="0"/>
    <n v="1"/>
    <n v="1"/>
    <n v="1"/>
    <n v="193"/>
    <n v="0"/>
    <n v="0"/>
    <n v="1"/>
    <n v="193"/>
    <n v="0.38600000000000001"/>
    <n v="0"/>
    <n v="0"/>
    <n v="0.61399999999999999"/>
    <n v="1"/>
    <n v="9"/>
    <n v="0.93264248704663211"/>
    <n v="180"/>
    <n v="0"/>
    <n v="0"/>
    <n v="0"/>
    <n v="10"/>
    <n v="1"/>
    <n v="6.7357512953367893E-2"/>
    <n v="0"/>
    <n v="193"/>
    <n v="193"/>
    <n v="0"/>
    <n v="193"/>
    <n v="193"/>
    <n v="1"/>
    <n v="0"/>
    <n v="1"/>
    <n v="1"/>
    <n v="0"/>
    <n v="0"/>
    <n v="0"/>
    <n v="1"/>
    <n v="0"/>
    <s v="No"/>
    <n v="2.072538860103627E-2"/>
    <n v="0"/>
    <n v="0"/>
    <n v="0"/>
    <s v="Yes"/>
    <s v="Shalom"/>
    <x v="0"/>
    <x v="0"/>
    <x v="0"/>
    <n v="25.351250396825399"/>
    <n v="97.444283730158702"/>
    <s v="MMR001CMP038"/>
    <x v="1"/>
    <m/>
    <n v="71"/>
    <n v="307"/>
  </r>
  <r>
    <x v="1"/>
    <x v="0"/>
    <x v="0"/>
    <m/>
    <x v="0"/>
    <x v="3"/>
    <x v="0"/>
    <x v="152"/>
    <n v="27"/>
    <n v="139"/>
    <m/>
    <m/>
    <m/>
    <m/>
    <m/>
    <m/>
    <m/>
    <m/>
    <m/>
    <m/>
    <m/>
    <m/>
    <m/>
    <m/>
    <m/>
    <m/>
    <m/>
    <m/>
    <m/>
    <m/>
    <m/>
    <m/>
    <m/>
    <m/>
    <m/>
    <m/>
    <m/>
    <m/>
    <m/>
    <m/>
    <m/>
    <m/>
    <m/>
    <m/>
    <m/>
    <m/>
    <m/>
    <m/>
    <m/>
    <m/>
    <x v="0"/>
    <x v="0"/>
    <m/>
    <m/>
    <m/>
    <m/>
    <m/>
    <m/>
    <n v="7"/>
    <m/>
    <m/>
    <n v="7"/>
    <m/>
    <m/>
    <m/>
    <m/>
    <m/>
    <m/>
    <m/>
    <m/>
    <m/>
    <m/>
    <m/>
    <m/>
    <m/>
    <m/>
    <m/>
    <m/>
    <m/>
    <m/>
    <m/>
    <m/>
    <s v="no test"/>
    <s v="no test"/>
    <s v="No Test"/>
    <n v="0"/>
    <n v="0"/>
    <n v="0"/>
    <n v="0"/>
    <n v="0"/>
    <n v="0"/>
    <n v="0"/>
    <n v="0"/>
    <n v="0"/>
    <n v="0"/>
    <n v="0"/>
    <n v="0"/>
    <n v="0"/>
    <n v="0"/>
    <n v="0"/>
    <n v="0"/>
    <n v="1"/>
    <n v="139"/>
    <n v="1"/>
    <n v="1"/>
    <n v="0"/>
    <n v="0"/>
    <n v="0"/>
    <n v="0"/>
    <n v="0"/>
    <n v="0"/>
    <n v="7"/>
    <n v="7"/>
    <n v="1"/>
    <n v="0"/>
    <n v="0"/>
    <n v="0"/>
    <n v="0"/>
    <n v="0"/>
    <n v="0"/>
    <n v="0"/>
    <n v="1"/>
    <n v="0"/>
    <n v="0"/>
    <n v="0"/>
    <n v="7"/>
    <n v="27"/>
    <n v="0"/>
    <n v="139"/>
    <s v="No"/>
    <s v=""/>
    <n v="0"/>
    <n v="0"/>
    <n v="0"/>
    <n v="0"/>
    <s v="Uncovered  "/>
    <x v="0"/>
    <x v="3"/>
    <x v="0"/>
    <n v="25.211500000000001"/>
    <n v="97.261799999999994"/>
    <s v="MMR001CMP287"/>
    <x v="0"/>
    <m/>
    <n v="27"/>
    <n v="139"/>
  </r>
  <r>
    <x v="1"/>
    <x v="2"/>
    <x v="2"/>
    <s v="MHF"/>
    <x v="0"/>
    <x v="1"/>
    <x v="0"/>
    <x v="153"/>
    <n v="25"/>
    <n v="133"/>
    <d v="2022-01-01T00:00:00"/>
    <d v="2022-12-31T00:00:00"/>
    <m/>
    <m/>
    <m/>
    <m/>
    <s v="Yes"/>
    <n v="2"/>
    <n v="2"/>
    <n v="1"/>
    <m/>
    <m/>
    <m/>
    <n v="1"/>
    <m/>
    <m/>
    <n v="1"/>
    <m/>
    <m/>
    <m/>
    <n v="3"/>
    <m/>
    <m/>
    <m/>
    <m/>
    <m/>
    <m/>
    <m/>
    <m/>
    <m/>
    <m/>
    <m/>
    <n v="8"/>
    <n v="4"/>
    <s v="Chruch"/>
    <m/>
    <n v="3"/>
    <m/>
    <m/>
    <m/>
    <x v="1"/>
    <x v="1"/>
    <m/>
    <n v="2"/>
    <m/>
    <m/>
    <n v="1"/>
    <m/>
    <n v="5"/>
    <m/>
    <m/>
    <n v="2"/>
    <m/>
    <n v="1"/>
    <n v="25"/>
    <n v="47"/>
    <m/>
    <m/>
    <m/>
    <m/>
    <s v="Hygiene Kits"/>
    <n v="0.7"/>
    <m/>
    <n v="7"/>
    <n v="0.8"/>
    <m/>
    <m/>
    <m/>
    <m/>
    <m/>
    <m/>
    <m/>
    <s v="no test"/>
    <s v="no test"/>
    <s v="No Test"/>
    <n v="1"/>
    <n v="1"/>
    <n v="1"/>
    <n v="0"/>
    <n v="0"/>
    <n v="0"/>
    <n v="0"/>
    <n v="1"/>
    <n v="1"/>
    <n v="1"/>
    <n v="133"/>
    <n v="1"/>
    <n v="133"/>
    <n v="1"/>
    <n v="133"/>
    <n v="0.26600000000000001"/>
    <n v="0"/>
    <n v="0"/>
    <n v="0.73399999999999999"/>
    <n v="1"/>
    <n v="12"/>
    <n v="1"/>
    <n v="133"/>
    <n v="0"/>
    <n v="0"/>
    <n v="0"/>
    <n v="7"/>
    <n v="0"/>
    <n v="0"/>
    <n v="0"/>
    <n v="133"/>
    <n v="133"/>
    <n v="0"/>
    <n v="133"/>
    <n v="133"/>
    <n v="1"/>
    <n v="0"/>
    <n v="1"/>
    <n v="1"/>
    <n v="0"/>
    <n v="5"/>
    <n v="25"/>
    <n v="0"/>
    <n v="133"/>
    <s v="No"/>
    <n v="5.2631578947368418E-2"/>
    <n v="0"/>
    <n v="0"/>
    <n v="0"/>
    <s v="Yes"/>
    <s v="KBC-MYT"/>
    <x v="0"/>
    <x v="0"/>
    <x v="0"/>
    <n v="25.577559999999998"/>
    <n v="96.286680000000004"/>
    <s v="MMR001CMP184"/>
    <x v="1"/>
    <m/>
    <n v="25"/>
    <n v="133"/>
  </r>
  <r>
    <x v="1"/>
    <x v="3"/>
    <x v="3"/>
    <s v="USAID/HOPE-94"/>
    <x v="0"/>
    <x v="3"/>
    <x v="0"/>
    <x v="154"/>
    <n v="1294"/>
    <n v="6861"/>
    <s v="13-8-2021, 6-1-2020, 1-7-2021"/>
    <s v="12-2-2022, 30-11-2021, 30.4.2021"/>
    <m/>
    <m/>
    <n v="3"/>
    <m/>
    <s v="Yes"/>
    <n v="3"/>
    <n v="3"/>
    <m/>
    <m/>
    <m/>
    <m/>
    <m/>
    <m/>
    <m/>
    <n v="1"/>
    <m/>
    <m/>
    <m/>
    <m/>
    <m/>
    <m/>
    <m/>
    <m/>
    <m/>
    <m/>
    <m/>
    <n v="12"/>
    <n v="3"/>
    <m/>
    <m/>
    <n v="242"/>
    <m/>
    <m/>
    <m/>
    <m/>
    <m/>
    <m/>
    <m/>
    <x v="1"/>
    <x v="1"/>
    <n v="4"/>
    <n v="2"/>
    <m/>
    <m/>
    <m/>
    <m/>
    <n v="1"/>
    <m/>
    <m/>
    <n v="1"/>
    <m/>
    <m/>
    <n v="3"/>
    <m/>
    <m/>
    <m/>
    <m/>
    <m/>
    <m/>
    <m/>
    <m/>
    <m/>
    <m/>
    <m/>
    <m/>
    <m/>
    <m/>
    <m/>
    <m/>
    <m/>
    <s v="no test"/>
    <s v="no test"/>
    <s v="No Test"/>
    <n v="0"/>
    <n v="0"/>
    <n v="1"/>
    <n v="0"/>
    <n v="0"/>
    <n v="1500"/>
    <n v="0"/>
    <n v="9.7167565466647239E-3"/>
    <n v="9.7167565466647239E-3"/>
    <n v="9.7167565466647239E-3"/>
    <n v="66.666666666666671"/>
    <n v="0"/>
    <n v="0"/>
    <n v="9.7167565466647239E-3"/>
    <n v="66.666666666666671"/>
    <n v="0.13333333333333333"/>
    <n v="0.99028324345333529"/>
    <n v="6794.333333333333"/>
    <n v="13.866666666666667"/>
    <n v="14"/>
    <n v="242"/>
    <n v="0.71709663314385663"/>
    <n v="4920"/>
    <n v="0"/>
    <n v="0"/>
    <n v="0"/>
    <n v="343"/>
    <n v="101"/>
    <n v="0.28290336685614337"/>
    <n v="0"/>
    <n v="1500"/>
    <n v="0"/>
    <n v="0"/>
    <n v="0"/>
    <n v="1500"/>
    <n v="0.21862702229995629"/>
    <n v="0.78137297770004377"/>
    <n v="0.21862702229995629"/>
    <n v="0"/>
    <n v="0"/>
    <n v="1"/>
    <n v="20"/>
    <n v="0"/>
    <n v="100"/>
    <s v="No"/>
    <s v=""/>
    <n v="0"/>
    <n v="1500"/>
    <n v="0"/>
    <s v="Yes"/>
    <s v="KMSS-MYT"/>
    <x v="0"/>
    <x v="0"/>
    <x v="1"/>
    <n v="24.755253"/>
    <n v="97.546893999999995"/>
    <s v="MMR001CMP116"/>
    <x v="1"/>
    <m/>
    <n v="1333"/>
    <n v="7163"/>
  </r>
  <r>
    <x v="1"/>
    <x v="3"/>
    <x v="3"/>
    <s v="USAID/HOPE-94"/>
    <x v="0"/>
    <x v="3"/>
    <x v="1"/>
    <x v="155"/>
    <n v="134"/>
    <n v="709"/>
    <s v="13-8-2021, 6-1-2020, 1-7-2021"/>
    <s v="12-2-2022, 30-11-2021, 30.4.2021"/>
    <m/>
    <m/>
    <m/>
    <m/>
    <s v="No"/>
    <m/>
    <m/>
    <m/>
    <m/>
    <m/>
    <m/>
    <m/>
    <m/>
    <m/>
    <m/>
    <m/>
    <m/>
    <m/>
    <m/>
    <m/>
    <m/>
    <m/>
    <m/>
    <m/>
    <m/>
    <m/>
    <m/>
    <m/>
    <m/>
    <m/>
    <m/>
    <m/>
    <m/>
    <m/>
    <m/>
    <m/>
    <m/>
    <m/>
    <x v="1"/>
    <x v="3"/>
    <m/>
    <m/>
    <m/>
    <m/>
    <m/>
    <m/>
    <n v="8"/>
    <m/>
    <m/>
    <n v="3"/>
    <m/>
    <m/>
    <m/>
    <m/>
    <m/>
    <m/>
    <m/>
    <m/>
    <m/>
    <m/>
    <m/>
    <m/>
    <m/>
    <m/>
    <m/>
    <m/>
    <m/>
    <m/>
    <m/>
    <m/>
    <s v="no test"/>
    <s v="no test"/>
    <s v="No Test"/>
    <n v="0"/>
    <n v="0"/>
    <n v="0"/>
    <n v="0"/>
    <n v="0"/>
    <n v="0"/>
    <n v="0"/>
    <n v="0"/>
    <n v="0"/>
    <n v="0"/>
    <n v="0"/>
    <n v="0"/>
    <n v="0"/>
    <n v="0"/>
    <n v="0"/>
    <n v="0"/>
    <n v="1"/>
    <n v="709"/>
    <n v="1"/>
    <n v="1"/>
    <n v="0"/>
    <n v="0"/>
    <n v="0"/>
    <n v="0"/>
    <n v="0"/>
    <n v="0"/>
    <n v="35"/>
    <n v="35"/>
    <n v="1"/>
    <n v="0"/>
    <n v="0"/>
    <n v="0"/>
    <n v="0"/>
    <n v="0"/>
    <n v="0"/>
    <n v="0"/>
    <n v="1"/>
    <n v="0"/>
    <n v="0"/>
    <n v="0"/>
    <n v="8"/>
    <n v="134"/>
    <n v="0"/>
    <n v="709"/>
    <s v="No"/>
    <s v=""/>
    <n v="0"/>
    <n v="0"/>
    <n v="0"/>
    <n v="0"/>
    <n v="0"/>
    <x v="0"/>
    <x v="0"/>
    <x v="1"/>
    <n v="0"/>
    <n v="0"/>
    <n v="0"/>
    <x v="1"/>
    <m/>
    <n v="0"/>
    <n v="0"/>
  </r>
  <r>
    <x v="1"/>
    <x v="3"/>
    <x v="3"/>
    <s v="USAID/HOPE-94"/>
    <x v="0"/>
    <x v="3"/>
    <x v="1"/>
    <x v="156"/>
    <n v="546"/>
    <n v="2550"/>
    <s v="13-8-2021, 6-1-2020, 1-7-2021"/>
    <s v="12-2-2022, 30-11-2021, 30.4.2021"/>
    <m/>
    <m/>
    <m/>
    <m/>
    <s v="No"/>
    <m/>
    <m/>
    <m/>
    <m/>
    <m/>
    <m/>
    <m/>
    <m/>
    <m/>
    <m/>
    <m/>
    <m/>
    <m/>
    <m/>
    <m/>
    <m/>
    <m/>
    <m/>
    <m/>
    <m/>
    <m/>
    <m/>
    <m/>
    <m/>
    <m/>
    <m/>
    <m/>
    <m/>
    <m/>
    <m/>
    <m/>
    <m/>
    <m/>
    <x v="2"/>
    <x v="2"/>
    <m/>
    <m/>
    <m/>
    <m/>
    <m/>
    <m/>
    <n v="7"/>
    <m/>
    <m/>
    <n v="7"/>
    <m/>
    <m/>
    <m/>
    <m/>
    <m/>
    <m/>
    <m/>
    <m/>
    <m/>
    <m/>
    <m/>
    <m/>
    <m/>
    <m/>
    <m/>
    <m/>
    <m/>
    <m/>
    <m/>
    <m/>
    <s v="no test"/>
    <s v="no test"/>
    <s v="No Test"/>
    <n v="0"/>
    <n v="0"/>
    <n v="0"/>
    <n v="0"/>
    <n v="0"/>
    <n v="0"/>
    <n v="0"/>
    <n v="0"/>
    <n v="0"/>
    <n v="0"/>
    <n v="0"/>
    <n v="0"/>
    <n v="0"/>
    <n v="0"/>
    <n v="0"/>
    <n v="0"/>
    <n v="1"/>
    <n v="2550"/>
    <n v="5"/>
    <n v="5"/>
    <n v="0"/>
    <n v="0"/>
    <n v="0"/>
    <n v="0"/>
    <n v="0"/>
    <n v="0"/>
    <n v="128"/>
    <n v="128"/>
    <n v="1"/>
    <n v="0"/>
    <n v="0"/>
    <n v="0"/>
    <n v="0"/>
    <n v="0"/>
    <n v="0"/>
    <n v="0"/>
    <n v="1"/>
    <n v="0"/>
    <n v="0"/>
    <n v="0"/>
    <n v="7"/>
    <n v="140"/>
    <n v="0"/>
    <n v="700"/>
    <s v="No"/>
    <s v=""/>
    <n v="0"/>
    <n v="0"/>
    <n v="0"/>
    <n v="0"/>
    <n v="0"/>
    <x v="0"/>
    <x v="7"/>
    <x v="1"/>
    <n v="0"/>
    <n v="0"/>
    <n v="0"/>
    <x v="1"/>
    <m/>
    <n v="0"/>
    <n v="0"/>
  </r>
  <r>
    <x v="1"/>
    <x v="2"/>
    <x v="2"/>
    <s v="MHF"/>
    <x v="0"/>
    <x v="1"/>
    <x v="0"/>
    <x v="157"/>
    <n v="16"/>
    <n v="66"/>
    <d v="2022-01-01T00:00:00"/>
    <d v="2022-12-31T00:00:00"/>
    <n v="30"/>
    <n v="1"/>
    <m/>
    <m/>
    <s v="Yes"/>
    <n v="2"/>
    <n v="4"/>
    <m/>
    <m/>
    <m/>
    <m/>
    <m/>
    <m/>
    <m/>
    <n v="1"/>
    <m/>
    <m/>
    <m/>
    <m/>
    <m/>
    <m/>
    <m/>
    <m/>
    <m/>
    <m/>
    <m/>
    <n v="2"/>
    <m/>
    <m/>
    <s v="ထုံးဓာတ်များခြင်း"/>
    <n v="5"/>
    <m/>
    <m/>
    <m/>
    <m/>
    <m/>
    <m/>
    <m/>
    <x v="1"/>
    <x v="1"/>
    <m/>
    <m/>
    <n v="5"/>
    <m/>
    <m/>
    <m/>
    <n v="2"/>
    <n v="1"/>
    <m/>
    <n v="2"/>
    <m/>
    <n v="1"/>
    <n v="1"/>
    <n v="16"/>
    <m/>
    <m/>
    <n v="1"/>
    <m/>
    <m/>
    <n v="0.75"/>
    <m/>
    <m/>
    <m/>
    <m/>
    <m/>
    <m/>
    <m/>
    <m/>
    <m/>
    <m/>
    <s v="no test"/>
    <s v="no test"/>
    <s v="No Test"/>
    <n v="0"/>
    <n v="0"/>
    <n v="1"/>
    <n v="0"/>
    <n v="0"/>
    <n v="0"/>
    <n v="0"/>
    <n v="1"/>
    <n v="1"/>
    <n v="1"/>
    <n v="66"/>
    <n v="0"/>
    <n v="0"/>
    <n v="1"/>
    <n v="66"/>
    <n v="0.13200000000000001"/>
    <n v="0"/>
    <n v="0"/>
    <n v="0.86799999999999999"/>
    <n v="1"/>
    <n v="5"/>
    <n v="1"/>
    <n v="66"/>
    <n v="0"/>
    <n v="30"/>
    <n v="0"/>
    <n v="3"/>
    <n v="0"/>
    <n v="0"/>
    <n v="0"/>
    <n v="66"/>
    <n v="66"/>
    <n v="0"/>
    <n v="66"/>
    <n v="66"/>
    <n v="1"/>
    <n v="0"/>
    <n v="1"/>
    <n v="1"/>
    <n v="0"/>
    <n v="1"/>
    <n v="16"/>
    <n v="0"/>
    <n v="66"/>
    <s v="Yes"/>
    <s v=""/>
    <n v="0"/>
    <n v="30"/>
    <n v="0"/>
    <s v="Yes"/>
    <s v="KBC-MYT"/>
    <x v="0"/>
    <x v="0"/>
    <x v="0"/>
    <n v="25.599250000000001"/>
    <n v="96.306910999999999"/>
    <s v="MMR001CMP105"/>
    <x v="1"/>
    <m/>
    <n v="16"/>
    <n v="64"/>
  </r>
  <r>
    <x v="1"/>
    <x v="3"/>
    <x v="3"/>
    <s v="UNICEF"/>
    <x v="1"/>
    <x v="14"/>
    <x v="0"/>
    <x v="159"/>
    <n v="27"/>
    <n v="162"/>
    <d v="2021-11-11T00:00:00"/>
    <d v="2022-10-11T00:00:00"/>
    <m/>
    <m/>
    <m/>
    <m/>
    <m/>
    <m/>
    <m/>
    <m/>
    <m/>
    <m/>
    <m/>
    <m/>
    <m/>
    <m/>
    <m/>
    <m/>
    <m/>
    <m/>
    <m/>
    <m/>
    <m/>
    <m/>
    <m/>
    <m/>
    <m/>
    <m/>
    <m/>
    <m/>
    <m/>
    <m/>
    <m/>
    <m/>
    <m/>
    <m/>
    <m/>
    <m/>
    <m/>
    <m/>
    <x v="0"/>
    <x v="0"/>
    <m/>
    <m/>
    <m/>
    <m/>
    <m/>
    <m/>
    <n v="7"/>
    <m/>
    <m/>
    <n v="4"/>
    <m/>
    <m/>
    <m/>
    <m/>
    <m/>
    <s v="Yes"/>
    <m/>
    <m/>
    <m/>
    <m/>
    <m/>
    <m/>
    <m/>
    <m/>
    <m/>
    <m/>
    <m/>
    <m/>
    <m/>
    <m/>
    <s v="no test"/>
    <s v="no test"/>
    <s v="No Test"/>
    <n v="0"/>
    <n v="0"/>
    <n v="0"/>
    <n v="0"/>
    <n v="0"/>
    <n v="0"/>
    <n v="0"/>
    <n v="0"/>
    <n v="0"/>
    <n v="0"/>
    <n v="0"/>
    <n v="0"/>
    <n v="0"/>
    <n v="0"/>
    <n v="0"/>
    <n v="0"/>
    <n v="1"/>
    <n v="162"/>
    <n v="1"/>
    <n v="1"/>
    <n v="0"/>
    <n v="0"/>
    <n v="0"/>
    <n v="0"/>
    <n v="0"/>
    <n v="0"/>
    <n v="8"/>
    <n v="8"/>
    <n v="1"/>
    <n v="0"/>
    <n v="0"/>
    <n v="0"/>
    <n v="0"/>
    <n v="0"/>
    <n v="0"/>
    <n v="0"/>
    <n v="1"/>
    <n v="0"/>
    <n v="0"/>
    <n v="0"/>
    <n v="7"/>
    <n v="27"/>
    <n v="0"/>
    <n v="162"/>
    <s v="No"/>
    <s v=""/>
    <n v="0"/>
    <n v="0"/>
    <n v="0"/>
    <n v="0"/>
    <n v="0"/>
    <x v="0"/>
    <x v="2"/>
    <x v="0"/>
    <n v="23.400155999999999"/>
    <n v="98.220614999999995"/>
    <s v="MMR015CMP071"/>
    <x v="1"/>
    <m/>
    <n v="27"/>
    <n v="162"/>
  </r>
  <r>
    <x v="1"/>
    <x v="3"/>
    <x v="3"/>
    <s v="UNICEF, MHF"/>
    <x v="1"/>
    <x v="15"/>
    <x v="1"/>
    <x v="160"/>
    <n v="23"/>
    <n v="103"/>
    <s v="11-11-2021, 07-01-2020"/>
    <s v="10-11-2022, 28-2-2022"/>
    <m/>
    <m/>
    <m/>
    <m/>
    <s v="Yes"/>
    <n v="5"/>
    <n v="1"/>
    <n v="1"/>
    <m/>
    <m/>
    <m/>
    <n v="1"/>
    <m/>
    <m/>
    <m/>
    <m/>
    <m/>
    <m/>
    <m/>
    <m/>
    <m/>
    <m/>
    <m/>
    <m/>
    <m/>
    <m/>
    <m/>
    <m/>
    <m/>
    <m/>
    <n v="23"/>
    <m/>
    <m/>
    <m/>
    <m/>
    <m/>
    <m/>
    <m/>
    <x v="0"/>
    <x v="0"/>
    <m/>
    <m/>
    <m/>
    <m/>
    <m/>
    <m/>
    <n v="3"/>
    <m/>
    <m/>
    <n v="2"/>
    <m/>
    <m/>
    <m/>
    <m/>
    <m/>
    <s v="Yes"/>
    <m/>
    <m/>
    <m/>
    <m/>
    <m/>
    <m/>
    <m/>
    <m/>
    <m/>
    <m/>
    <m/>
    <m/>
    <m/>
    <m/>
    <s v="no test"/>
    <s v="no test"/>
    <s v="No Test"/>
    <n v="1"/>
    <n v="1"/>
    <n v="0"/>
    <n v="0"/>
    <n v="0"/>
    <n v="0"/>
    <n v="0"/>
    <n v="1"/>
    <n v="1"/>
    <n v="1"/>
    <n v="103"/>
    <n v="0"/>
    <n v="0"/>
    <n v="1"/>
    <n v="103"/>
    <n v="0.20599999999999999"/>
    <n v="0"/>
    <n v="0"/>
    <n v="0.79400000000000004"/>
    <n v="1"/>
    <n v="23"/>
    <n v="1"/>
    <n v="103"/>
    <n v="0"/>
    <n v="0"/>
    <n v="0"/>
    <n v="5"/>
    <n v="0"/>
    <n v="0"/>
    <n v="0"/>
    <n v="0"/>
    <n v="0"/>
    <n v="0"/>
    <n v="0"/>
    <n v="0"/>
    <n v="0"/>
    <n v="1"/>
    <n v="0"/>
    <n v="0"/>
    <n v="0"/>
    <n v="3"/>
    <n v="23"/>
    <n v="0"/>
    <n v="103"/>
    <s v="No"/>
    <s v=""/>
    <n v="0"/>
    <n v="0"/>
    <n v="0"/>
    <n v="0"/>
    <n v="0"/>
    <x v="0"/>
    <x v="3"/>
    <x v="0"/>
    <n v="0"/>
    <n v="0"/>
    <n v="0"/>
    <x v="1"/>
    <m/>
    <n v="0"/>
    <n v="0"/>
  </r>
  <r>
    <x v="1"/>
    <x v="3"/>
    <x v="3"/>
    <s v="UNICEF, USAID"/>
    <x v="1"/>
    <x v="14"/>
    <x v="0"/>
    <x v="161"/>
    <n v="74"/>
    <n v="439"/>
    <s v="11-11-2021, 07-01-2020"/>
    <s v="10-11-2022, 28-2-2022"/>
    <m/>
    <n v="1"/>
    <m/>
    <m/>
    <s v="Yes"/>
    <n v="5"/>
    <n v="1"/>
    <m/>
    <m/>
    <m/>
    <m/>
    <m/>
    <m/>
    <m/>
    <n v="14"/>
    <m/>
    <m/>
    <m/>
    <m/>
    <m/>
    <m/>
    <m/>
    <m/>
    <m/>
    <m/>
    <m/>
    <m/>
    <m/>
    <m/>
    <m/>
    <n v="40"/>
    <m/>
    <m/>
    <m/>
    <m/>
    <m/>
    <m/>
    <m/>
    <x v="0"/>
    <x v="0"/>
    <m/>
    <m/>
    <m/>
    <m/>
    <m/>
    <m/>
    <n v="3"/>
    <m/>
    <m/>
    <n v="2"/>
    <m/>
    <m/>
    <n v="1"/>
    <m/>
    <m/>
    <s v="Yes"/>
    <m/>
    <n v="1"/>
    <m/>
    <m/>
    <m/>
    <m/>
    <m/>
    <m/>
    <m/>
    <m/>
    <m/>
    <m/>
    <m/>
    <m/>
    <s v="no test"/>
    <s v="no test"/>
    <s v="No Test"/>
    <n v="0"/>
    <n v="0"/>
    <n v="14"/>
    <n v="0"/>
    <n v="0"/>
    <n v="0"/>
    <n v="0"/>
    <n v="1"/>
    <n v="1"/>
    <n v="1"/>
    <n v="439"/>
    <n v="0"/>
    <n v="0"/>
    <n v="1"/>
    <n v="439"/>
    <n v="0.878"/>
    <n v="0"/>
    <n v="0"/>
    <n v="0.122"/>
    <n v="1"/>
    <n v="40"/>
    <n v="1"/>
    <n v="439"/>
    <n v="0"/>
    <n v="0"/>
    <n v="0"/>
    <n v="22"/>
    <n v="0"/>
    <n v="0"/>
    <n v="0"/>
    <n v="439"/>
    <n v="0"/>
    <n v="0"/>
    <n v="0"/>
    <n v="439"/>
    <n v="1"/>
    <n v="0"/>
    <n v="1"/>
    <n v="0"/>
    <n v="0"/>
    <n v="3"/>
    <n v="60"/>
    <n v="0"/>
    <n v="300"/>
    <s v="No"/>
    <s v=""/>
    <n v="0"/>
    <n v="0"/>
    <n v="0"/>
    <n v="0"/>
    <s v="uncovered"/>
    <x v="0"/>
    <x v="3"/>
    <x v="0"/>
    <n v="23.234137"/>
    <n v="97.505339000000006"/>
    <s v="MMR015CMP030"/>
    <x v="1"/>
    <m/>
    <n v="86"/>
    <n v="525"/>
  </r>
  <r>
    <x v="1"/>
    <x v="3"/>
    <x v="3"/>
    <s v="UNICEF, USAID"/>
    <x v="1"/>
    <x v="14"/>
    <x v="0"/>
    <x v="162"/>
    <n v="26"/>
    <n v="132"/>
    <s v="11-11-2021, 07-01-2020"/>
    <s v="10-11-2022, 28-2-2022"/>
    <m/>
    <m/>
    <m/>
    <m/>
    <m/>
    <n v="3"/>
    <n v="2"/>
    <m/>
    <m/>
    <m/>
    <m/>
    <m/>
    <m/>
    <m/>
    <n v="8"/>
    <m/>
    <m/>
    <m/>
    <m/>
    <m/>
    <m/>
    <m/>
    <m/>
    <m/>
    <m/>
    <m/>
    <m/>
    <m/>
    <m/>
    <m/>
    <n v="27"/>
    <m/>
    <m/>
    <m/>
    <m/>
    <m/>
    <m/>
    <n v="2"/>
    <x v="1"/>
    <x v="2"/>
    <m/>
    <m/>
    <m/>
    <m/>
    <m/>
    <m/>
    <n v="7"/>
    <m/>
    <m/>
    <n v="7"/>
    <m/>
    <m/>
    <n v="1"/>
    <m/>
    <m/>
    <m/>
    <m/>
    <m/>
    <m/>
    <m/>
    <m/>
    <m/>
    <m/>
    <m/>
    <m/>
    <m/>
    <m/>
    <m/>
    <m/>
    <m/>
    <s v="no test"/>
    <s v="no test"/>
    <s v="No Test"/>
    <n v="0"/>
    <n v="0"/>
    <n v="8"/>
    <n v="0"/>
    <n v="0"/>
    <n v="0"/>
    <n v="0"/>
    <n v="1"/>
    <n v="1"/>
    <n v="1"/>
    <n v="132"/>
    <n v="0"/>
    <n v="0"/>
    <n v="1"/>
    <n v="132"/>
    <n v="0.26400000000000001"/>
    <n v="0"/>
    <n v="0"/>
    <n v="0.73599999999999999"/>
    <n v="1"/>
    <n v="27"/>
    <n v="1"/>
    <n v="132"/>
    <n v="0"/>
    <n v="0"/>
    <n v="0"/>
    <n v="7"/>
    <n v="0"/>
    <n v="0"/>
    <n v="0"/>
    <n v="132"/>
    <n v="0"/>
    <n v="0"/>
    <n v="0"/>
    <n v="132"/>
    <n v="1"/>
    <n v="0"/>
    <n v="1"/>
    <n v="0"/>
    <n v="0"/>
    <n v="7"/>
    <n v="26"/>
    <n v="0"/>
    <n v="132"/>
    <s v="No"/>
    <s v=""/>
    <n v="0"/>
    <n v="0"/>
    <n v="0"/>
    <s v="Yes"/>
    <s v="KMSS-LSO"/>
    <x v="0"/>
    <x v="0"/>
    <x v="0"/>
    <n v="23.38503"/>
    <n v="97.837040000000002"/>
    <s v="MMR015CMP017"/>
    <x v="1"/>
    <m/>
    <n v="26"/>
    <n v="133"/>
  </r>
  <r>
    <x v="1"/>
    <x v="13"/>
    <x v="10"/>
    <s v="UNICEF"/>
    <x v="1"/>
    <x v="17"/>
    <x v="0"/>
    <x v="164"/>
    <n v="340"/>
    <n v="1674"/>
    <d v="2021-10-19T00:00:00"/>
    <d v="2022-10-18T00:00:00"/>
    <m/>
    <m/>
    <m/>
    <m/>
    <s v="Yes"/>
    <n v="2"/>
    <n v="2"/>
    <m/>
    <m/>
    <m/>
    <m/>
    <m/>
    <m/>
    <m/>
    <n v="24"/>
    <m/>
    <n v="14"/>
    <m/>
    <m/>
    <m/>
    <m/>
    <n v="1"/>
    <m/>
    <m/>
    <m/>
    <m/>
    <m/>
    <n v="1"/>
    <m/>
    <m/>
    <n v="30"/>
    <m/>
    <m/>
    <n v="16"/>
    <m/>
    <m/>
    <m/>
    <m/>
    <x v="2"/>
    <x v="2"/>
    <m/>
    <m/>
    <m/>
    <m/>
    <m/>
    <m/>
    <n v="3"/>
    <n v="2"/>
    <m/>
    <m/>
    <m/>
    <m/>
    <m/>
    <m/>
    <m/>
    <m/>
    <m/>
    <m/>
    <m/>
    <m/>
    <m/>
    <m/>
    <m/>
    <m/>
    <m/>
    <m/>
    <m/>
    <m/>
    <m/>
    <m/>
    <s v="no test"/>
    <s v="no test"/>
    <s v="No Test"/>
    <n v="0"/>
    <n v="0"/>
    <n v="24"/>
    <n v="0"/>
    <n v="0"/>
    <n v="500"/>
    <n v="0"/>
    <n v="0.95579450418160095"/>
    <n v="0.95579450418160095"/>
    <n v="0.95579450418160095"/>
    <n v="1600"/>
    <n v="0"/>
    <n v="0"/>
    <n v="0.95579450418160095"/>
    <n v="1600"/>
    <n v="3.2"/>
    <n v="4.4205495818399054E-2"/>
    <n v="74.000000000000014"/>
    <n v="0"/>
    <n v="3"/>
    <n v="14"/>
    <n v="0.16726403823178015"/>
    <n v="280"/>
    <n v="0"/>
    <n v="0"/>
    <n v="0"/>
    <n v="84"/>
    <n v="54"/>
    <n v="0.83273596176821985"/>
    <n v="0.53333333333333333"/>
    <n v="0"/>
    <n v="0"/>
    <n v="0"/>
    <n v="0"/>
    <n v="0"/>
    <n v="0"/>
    <n v="1"/>
    <n v="0"/>
    <n v="0"/>
    <n v="0"/>
    <n v="1"/>
    <n v="20"/>
    <n v="0"/>
    <n v="100"/>
    <s v="No"/>
    <s v=""/>
    <n v="0"/>
    <n v="500"/>
    <n v="0"/>
    <n v="0"/>
    <n v="0"/>
    <x v="0"/>
    <x v="3"/>
    <x v="0"/>
    <n v="23.420603"/>
    <n v="98.451791999999998"/>
    <s v="MMR015CMP069"/>
    <x v="1"/>
    <m/>
    <n v="166"/>
    <n v="830"/>
  </r>
  <r>
    <x v="1"/>
    <x v="3"/>
    <x v="3"/>
    <s v="UNICEF, USAID"/>
    <x v="1"/>
    <x v="18"/>
    <x v="0"/>
    <x v="165"/>
    <n v="210"/>
    <n v="806"/>
    <s v="11-11-2021, 07-01-2020"/>
    <s v="10-11-2022, 28-2-2022"/>
    <m/>
    <m/>
    <m/>
    <m/>
    <m/>
    <m/>
    <m/>
    <m/>
    <m/>
    <m/>
    <m/>
    <m/>
    <m/>
    <m/>
    <n v="18"/>
    <m/>
    <m/>
    <m/>
    <m/>
    <m/>
    <m/>
    <n v="1"/>
    <m/>
    <m/>
    <m/>
    <m/>
    <m/>
    <m/>
    <m/>
    <m/>
    <n v="6"/>
    <m/>
    <m/>
    <m/>
    <m/>
    <m/>
    <m/>
    <m/>
    <x v="2"/>
    <x v="3"/>
    <m/>
    <m/>
    <m/>
    <m/>
    <m/>
    <m/>
    <n v="1"/>
    <m/>
    <m/>
    <n v="3"/>
    <m/>
    <m/>
    <n v="2"/>
    <n v="210"/>
    <m/>
    <s v="Yes"/>
    <m/>
    <m/>
    <m/>
    <m/>
    <m/>
    <m/>
    <m/>
    <m/>
    <m/>
    <m/>
    <m/>
    <m/>
    <m/>
    <m/>
    <s v="no test"/>
    <s v="no test"/>
    <s v="No Test"/>
    <n v="0"/>
    <n v="0"/>
    <n v="18"/>
    <n v="0"/>
    <n v="0"/>
    <n v="0"/>
    <n v="0"/>
    <n v="1"/>
    <n v="1"/>
    <n v="1"/>
    <n v="806"/>
    <n v="0"/>
    <n v="0"/>
    <n v="1"/>
    <n v="806"/>
    <n v="1.6120000000000001"/>
    <n v="0"/>
    <n v="0"/>
    <n v="0.3879999999999999"/>
    <n v="2"/>
    <n v="6"/>
    <n v="0.14888337468982629"/>
    <n v="120"/>
    <n v="0"/>
    <n v="0"/>
    <n v="0"/>
    <n v="40"/>
    <n v="34"/>
    <n v="0.85111662531017374"/>
    <n v="0"/>
    <n v="806"/>
    <n v="806"/>
    <n v="0"/>
    <n v="806"/>
    <n v="806"/>
    <n v="1"/>
    <n v="0"/>
    <n v="1"/>
    <n v="1"/>
    <n v="0"/>
    <n v="1"/>
    <n v="20"/>
    <n v="0"/>
    <n v="100"/>
    <s v="No"/>
    <s v=""/>
    <n v="0"/>
    <n v="0"/>
    <n v="0"/>
    <s v="Yes"/>
    <s v="KBC-NSS"/>
    <x v="0"/>
    <x v="0"/>
    <x v="0"/>
    <n v="24.08738"/>
    <n v="98.115809999999996"/>
    <s v="MMR015CMP065"/>
    <x v="1"/>
    <m/>
    <n v="306"/>
    <n v="1573"/>
  </r>
  <r>
    <x v="1"/>
    <x v="3"/>
    <x v="3"/>
    <s v="UNICEF"/>
    <x v="1"/>
    <x v="19"/>
    <x v="2"/>
    <x v="166"/>
    <n v="19"/>
    <n v="77"/>
    <d v="2021-11-11T00:00:00"/>
    <d v="2022-10-11T00:00:00"/>
    <m/>
    <m/>
    <m/>
    <m/>
    <m/>
    <m/>
    <m/>
    <m/>
    <m/>
    <m/>
    <n v="1"/>
    <m/>
    <m/>
    <m/>
    <m/>
    <m/>
    <m/>
    <m/>
    <m/>
    <m/>
    <m/>
    <m/>
    <m/>
    <m/>
    <m/>
    <m/>
    <m/>
    <m/>
    <m/>
    <m/>
    <m/>
    <n v="4"/>
    <m/>
    <m/>
    <m/>
    <m/>
    <m/>
    <m/>
    <x v="0"/>
    <x v="0"/>
    <m/>
    <m/>
    <m/>
    <m/>
    <m/>
    <m/>
    <n v="8"/>
    <m/>
    <m/>
    <m/>
    <m/>
    <m/>
    <m/>
    <m/>
    <m/>
    <s v="Yes"/>
    <m/>
    <n v="1"/>
    <m/>
    <m/>
    <m/>
    <m/>
    <m/>
    <m/>
    <m/>
    <m/>
    <m/>
    <m/>
    <m/>
    <m/>
    <s v="no test"/>
    <s v="no test"/>
    <s v="No Test"/>
    <n v="0"/>
    <n v="1"/>
    <n v="0"/>
    <n v="0"/>
    <n v="0"/>
    <n v="0"/>
    <n v="0"/>
    <n v="1"/>
    <n v="1"/>
    <n v="1"/>
    <n v="77"/>
    <n v="0"/>
    <n v="0"/>
    <n v="1"/>
    <n v="77"/>
    <n v="0.154"/>
    <n v="0"/>
    <n v="0"/>
    <n v="0.84599999999999997"/>
    <n v="1"/>
    <n v="4"/>
    <n v="0.25974025974025972"/>
    <n v="20"/>
    <n v="0"/>
    <n v="0"/>
    <n v="0"/>
    <n v="13"/>
    <n v="9"/>
    <n v="0.74025974025974028"/>
    <n v="0"/>
    <n v="0"/>
    <n v="0"/>
    <n v="0"/>
    <n v="0"/>
    <n v="0"/>
    <n v="0"/>
    <n v="1"/>
    <n v="0"/>
    <n v="0"/>
    <n v="0"/>
    <n v="8"/>
    <n v="19"/>
    <n v="0"/>
    <n v="77"/>
    <s v="No"/>
    <s v=""/>
    <n v="0"/>
    <n v="0"/>
    <n v="0"/>
    <n v="0"/>
    <n v="0"/>
    <x v="2"/>
    <x v="8"/>
    <x v="0"/>
    <n v="23.078210830688501"/>
    <n v="97.411773681640597"/>
    <s v="MMR015CMP074"/>
    <x v="1"/>
    <m/>
    <n v="19"/>
    <n v="77"/>
  </r>
  <r>
    <x v="1"/>
    <x v="3"/>
    <x v="3"/>
    <s v="UNICEF, USAID"/>
    <x v="1"/>
    <x v="14"/>
    <x v="0"/>
    <x v="167"/>
    <n v="29"/>
    <n v="130"/>
    <s v="11-11-2021, 07-01-2020"/>
    <s v="10-11-2022, 28-2-2022"/>
    <m/>
    <n v="1"/>
    <m/>
    <m/>
    <s v="Yes"/>
    <n v="4"/>
    <n v="5"/>
    <m/>
    <m/>
    <m/>
    <m/>
    <m/>
    <m/>
    <m/>
    <n v="13"/>
    <m/>
    <m/>
    <m/>
    <m/>
    <m/>
    <m/>
    <m/>
    <m/>
    <m/>
    <m/>
    <m/>
    <m/>
    <m/>
    <m/>
    <m/>
    <n v="30"/>
    <m/>
    <m/>
    <m/>
    <m/>
    <m/>
    <m/>
    <m/>
    <x v="1"/>
    <x v="1"/>
    <m/>
    <m/>
    <m/>
    <m/>
    <m/>
    <m/>
    <n v="7"/>
    <m/>
    <m/>
    <n v="1"/>
    <m/>
    <m/>
    <n v="1"/>
    <m/>
    <m/>
    <s v="Yes"/>
    <m/>
    <n v="1"/>
    <m/>
    <m/>
    <m/>
    <m/>
    <m/>
    <m/>
    <m/>
    <m/>
    <m/>
    <m/>
    <m/>
    <m/>
    <s v="no test"/>
    <s v="no test"/>
    <s v="No Test"/>
    <n v="0"/>
    <n v="0"/>
    <n v="13"/>
    <n v="0"/>
    <n v="0"/>
    <n v="0"/>
    <n v="0"/>
    <n v="1"/>
    <n v="1"/>
    <n v="1"/>
    <n v="130"/>
    <n v="0"/>
    <n v="0"/>
    <n v="1"/>
    <n v="130"/>
    <n v="0.26"/>
    <n v="0"/>
    <n v="0"/>
    <n v="0.74"/>
    <n v="1"/>
    <n v="30"/>
    <n v="1"/>
    <n v="130"/>
    <n v="0"/>
    <n v="0"/>
    <n v="0"/>
    <n v="7"/>
    <n v="0"/>
    <n v="0"/>
    <n v="0"/>
    <n v="130"/>
    <n v="0"/>
    <n v="0"/>
    <n v="0"/>
    <n v="130"/>
    <n v="1"/>
    <n v="0"/>
    <n v="1"/>
    <n v="0"/>
    <n v="0"/>
    <n v="7"/>
    <n v="29"/>
    <n v="0"/>
    <n v="130"/>
    <s v="No"/>
    <s v=""/>
    <n v="0"/>
    <n v="0"/>
    <n v="0"/>
    <s v="Yes"/>
    <s v="KMSS-LSO"/>
    <x v="0"/>
    <x v="0"/>
    <x v="0"/>
    <n v="23.638999999999999"/>
    <n v="97.861999999999995"/>
    <s v="MMR015CMP068"/>
    <x v="1"/>
    <m/>
    <n v="31"/>
    <n v="133"/>
  </r>
  <r>
    <x v="1"/>
    <x v="3"/>
    <x v="3"/>
    <s v="UNICEF, USAID"/>
    <x v="1"/>
    <x v="14"/>
    <x v="0"/>
    <x v="168"/>
    <n v="40"/>
    <n v="244"/>
    <s v="11-11-2021, 07-01-2020"/>
    <s v="10-11-2022, 28-2-2022"/>
    <m/>
    <n v="1"/>
    <m/>
    <m/>
    <s v="Yes"/>
    <n v="3"/>
    <n v="3"/>
    <n v="1"/>
    <m/>
    <m/>
    <n v="1"/>
    <n v="2"/>
    <m/>
    <n v="1"/>
    <m/>
    <m/>
    <m/>
    <m/>
    <m/>
    <m/>
    <m/>
    <m/>
    <m/>
    <m/>
    <m/>
    <m/>
    <m/>
    <m/>
    <m/>
    <m/>
    <n v="12"/>
    <m/>
    <m/>
    <m/>
    <m/>
    <m/>
    <m/>
    <m/>
    <x v="1"/>
    <x v="2"/>
    <m/>
    <m/>
    <n v="1"/>
    <m/>
    <m/>
    <m/>
    <n v="7"/>
    <m/>
    <m/>
    <n v="1"/>
    <m/>
    <m/>
    <n v="1"/>
    <m/>
    <m/>
    <s v="Yes"/>
    <m/>
    <n v="1"/>
    <m/>
    <m/>
    <m/>
    <m/>
    <m/>
    <m/>
    <m/>
    <m/>
    <m/>
    <m/>
    <m/>
    <m/>
    <s v="no test"/>
    <s v="no test"/>
    <s v="No Test"/>
    <n v="1"/>
    <n v="3"/>
    <n v="0"/>
    <n v="0"/>
    <n v="0"/>
    <n v="0"/>
    <n v="0"/>
    <n v="1"/>
    <n v="1"/>
    <n v="1"/>
    <n v="244"/>
    <n v="0"/>
    <n v="0"/>
    <n v="1"/>
    <n v="244"/>
    <n v="0.48799999999999999"/>
    <n v="0"/>
    <n v="0"/>
    <n v="0.51200000000000001"/>
    <n v="1"/>
    <n v="12"/>
    <n v="0.98360655737704916"/>
    <n v="240"/>
    <n v="0"/>
    <n v="0"/>
    <n v="0"/>
    <n v="12"/>
    <n v="0"/>
    <n v="1.6393442622950838E-2"/>
    <n v="0"/>
    <n v="244"/>
    <n v="0"/>
    <n v="0"/>
    <n v="0"/>
    <n v="244"/>
    <n v="1"/>
    <n v="0"/>
    <n v="1"/>
    <n v="0"/>
    <n v="0"/>
    <n v="7"/>
    <n v="40"/>
    <n v="0"/>
    <n v="244"/>
    <s v="No"/>
    <s v=""/>
    <n v="0"/>
    <n v="0"/>
    <n v="0"/>
    <s v="Yes"/>
    <s v="KBC-NSS"/>
    <x v="0"/>
    <x v="0"/>
    <x v="0"/>
    <n v="23.450914000000001"/>
    <n v="97.926813999999993"/>
    <s v="MMR015CMP016"/>
    <x v="1"/>
    <m/>
    <n v="40"/>
    <n v="251"/>
  </r>
  <r>
    <x v="1"/>
    <x v="3"/>
    <x v="3"/>
    <s v="UNICEF, USAID"/>
    <x v="1"/>
    <x v="14"/>
    <x v="0"/>
    <x v="169"/>
    <n v="38"/>
    <n v="180"/>
    <s v="11-11-2021, 07-01-2020"/>
    <s v="10-11-2022, 28-2-2022"/>
    <m/>
    <m/>
    <m/>
    <m/>
    <m/>
    <n v="4"/>
    <n v="5"/>
    <n v="1"/>
    <m/>
    <m/>
    <n v="1"/>
    <m/>
    <m/>
    <m/>
    <m/>
    <m/>
    <m/>
    <m/>
    <m/>
    <m/>
    <m/>
    <m/>
    <m/>
    <m/>
    <m/>
    <m/>
    <m/>
    <m/>
    <m/>
    <m/>
    <n v="9"/>
    <m/>
    <m/>
    <m/>
    <m/>
    <m/>
    <m/>
    <m/>
    <x v="1"/>
    <x v="1"/>
    <m/>
    <m/>
    <m/>
    <m/>
    <m/>
    <m/>
    <n v="4"/>
    <m/>
    <m/>
    <n v="2"/>
    <m/>
    <m/>
    <n v="1"/>
    <m/>
    <m/>
    <s v="Yes"/>
    <m/>
    <n v="1"/>
    <m/>
    <m/>
    <m/>
    <m/>
    <m/>
    <m/>
    <m/>
    <m/>
    <m/>
    <m/>
    <m/>
    <m/>
    <s v="no test"/>
    <s v="no test"/>
    <s v="No Test"/>
    <n v="1"/>
    <n v="1"/>
    <n v="0"/>
    <n v="0"/>
    <n v="0"/>
    <n v="0"/>
    <n v="0"/>
    <n v="1"/>
    <n v="1"/>
    <n v="1"/>
    <n v="180"/>
    <n v="0"/>
    <n v="0"/>
    <n v="1"/>
    <n v="180"/>
    <n v="0.36"/>
    <n v="0"/>
    <n v="0"/>
    <n v="0.64"/>
    <n v="1"/>
    <n v="9"/>
    <n v="1"/>
    <n v="180"/>
    <n v="0"/>
    <n v="0"/>
    <n v="0"/>
    <n v="9"/>
    <n v="0"/>
    <n v="0"/>
    <n v="0"/>
    <n v="180"/>
    <n v="0"/>
    <n v="0"/>
    <n v="0"/>
    <n v="180"/>
    <n v="1"/>
    <n v="0"/>
    <n v="1"/>
    <n v="0"/>
    <n v="0"/>
    <n v="4"/>
    <n v="38"/>
    <n v="0"/>
    <n v="180"/>
    <s v="No"/>
    <s v=""/>
    <n v="0"/>
    <n v="0"/>
    <n v="0"/>
    <s v="Yes"/>
    <s v="KBC-NSS"/>
    <x v="0"/>
    <x v="0"/>
    <x v="0"/>
    <n v="23.460349999999998"/>
    <n v="97.947360000000003"/>
    <s v="MMR015CMP063"/>
    <x v="1"/>
    <m/>
    <n v="36"/>
    <n v="158"/>
  </r>
  <r>
    <x v="1"/>
    <x v="0"/>
    <x v="0"/>
    <m/>
    <x v="1"/>
    <x v="20"/>
    <x v="0"/>
    <x v="170"/>
    <n v="142"/>
    <n v="504"/>
    <m/>
    <m/>
    <m/>
    <m/>
    <m/>
    <m/>
    <m/>
    <m/>
    <m/>
    <m/>
    <m/>
    <m/>
    <m/>
    <m/>
    <m/>
    <m/>
    <m/>
    <m/>
    <m/>
    <m/>
    <m/>
    <m/>
    <m/>
    <m/>
    <m/>
    <m/>
    <m/>
    <m/>
    <m/>
    <m/>
    <m/>
    <m/>
    <m/>
    <m/>
    <m/>
    <m/>
    <m/>
    <m/>
    <m/>
    <m/>
    <x v="0"/>
    <x v="0"/>
    <m/>
    <m/>
    <m/>
    <m/>
    <m/>
    <m/>
    <m/>
    <m/>
    <m/>
    <m/>
    <m/>
    <m/>
    <m/>
    <m/>
    <m/>
    <m/>
    <m/>
    <m/>
    <m/>
    <m/>
    <m/>
    <m/>
    <m/>
    <m/>
    <m/>
    <m/>
    <m/>
    <m/>
    <m/>
    <m/>
    <s v="no test"/>
    <s v="no test"/>
    <s v="No Test"/>
    <n v="0"/>
    <n v="0"/>
    <n v="0"/>
    <n v="0"/>
    <n v="0"/>
    <n v="0"/>
    <n v="0"/>
    <n v="0"/>
    <n v="0"/>
    <n v="0"/>
    <n v="0"/>
    <n v="0"/>
    <n v="0"/>
    <n v="0"/>
    <n v="0"/>
    <n v="0"/>
    <n v="1"/>
    <n v="504"/>
    <n v="1"/>
    <n v="1"/>
    <n v="0"/>
    <n v="0"/>
    <n v="0"/>
    <n v="0"/>
    <n v="0"/>
    <n v="0"/>
    <n v="25"/>
    <n v="25"/>
    <n v="1"/>
    <n v="0"/>
    <n v="0"/>
    <n v="0"/>
    <n v="0"/>
    <n v="0"/>
    <n v="0"/>
    <n v="0"/>
    <n v="1"/>
    <n v="0"/>
    <n v="0"/>
    <n v="0"/>
    <n v="0"/>
    <n v="0"/>
    <n v="0"/>
    <n v="0"/>
    <s v="No"/>
    <s v=""/>
    <n v="0"/>
    <n v="0"/>
    <n v="0"/>
    <n v="0"/>
    <s v="uncovered"/>
    <x v="0"/>
    <x v="2"/>
    <x v="0"/>
    <n v="22.325900000000001"/>
    <n v="97.021000000000001"/>
    <s v="MMR015CMP075"/>
    <x v="0"/>
    <m/>
    <n v="1036"/>
    <n v="3986"/>
  </r>
  <r>
    <x v="1"/>
    <x v="3"/>
    <x v="3"/>
    <s v="UNICEF, USAID"/>
    <x v="1"/>
    <x v="19"/>
    <x v="0"/>
    <x v="171"/>
    <n v="60"/>
    <n v="270"/>
    <s v="11-11-2021, 07-01-2020"/>
    <s v="10-11-2022, 28-2-2022"/>
    <m/>
    <m/>
    <n v="1"/>
    <m/>
    <s v="Yes"/>
    <n v="4"/>
    <n v="3"/>
    <n v="1"/>
    <m/>
    <m/>
    <n v="1"/>
    <n v="1"/>
    <m/>
    <n v="1"/>
    <m/>
    <m/>
    <m/>
    <m/>
    <m/>
    <m/>
    <m/>
    <m/>
    <m/>
    <m/>
    <m/>
    <m/>
    <n v="2"/>
    <m/>
    <m/>
    <m/>
    <n v="16"/>
    <m/>
    <m/>
    <m/>
    <m/>
    <m/>
    <m/>
    <m/>
    <x v="1"/>
    <x v="1"/>
    <m/>
    <m/>
    <m/>
    <m/>
    <m/>
    <m/>
    <n v="11"/>
    <m/>
    <m/>
    <n v="2"/>
    <m/>
    <m/>
    <n v="1"/>
    <m/>
    <m/>
    <s v="Yes"/>
    <m/>
    <n v="1"/>
    <m/>
    <m/>
    <m/>
    <m/>
    <m/>
    <m/>
    <m/>
    <m/>
    <m/>
    <m/>
    <m/>
    <m/>
    <s v="no test"/>
    <s v="no test"/>
    <s v="No Test"/>
    <n v="1"/>
    <n v="2"/>
    <n v="0"/>
    <n v="0"/>
    <n v="0"/>
    <n v="0"/>
    <n v="0"/>
    <n v="1"/>
    <n v="1"/>
    <n v="1"/>
    <n v="270"/>
    <n v="0"/>
    <n v="0"/>
    <n v="1"/>
    <n v="270"/>
    <n v="0.54"/>
    <n v="0"/>
    <n v="0"/>
    <n v="0.45999999999999996"/>
    <n v="1"/>
    <n v="16"/>
    <n v="1"/>
    <n v="270"/>
    <n v="0"/>
    <n v="0"/>
    <n v="0"/>
    <n v="14"/>
    <n v="0"/>
    <n v="0"/>
    <n v="0"/>
    <n v="270"/>
    <n v="0"/>
    <n v="0"/>
    <n v="0"/>
    <n v="270"/>
    <n v="1"/>
    <n v="0"/>
    <n v="1"/>
    <n v="0"/>
    <n v="0"/>
    <n v="11"/>
    <n v="60"/>
    <n v="2"/>
    <n v="270"/>
    <s v="No"/>
    <s v=""/>
    <n v="0"/>
    <n v="0"/>
    <n v="0"/>
    <s v="Yes"/>
    <s v="KMSS-LSO"/>
    <x v="0"/>
    <x v="0"/>
    <x v="0"/>
    <n v="23.099304"/>
    <n v="97.400671000000003"/>
    <s v="MMR015CMP066"/>
    <x v="1"/>
    <m/>
    <n v="60"/>
    <n v="272"/>
  </r>
  <r>
    <x v="1"/>
    <x v="0"/>
    <x v="0"/>
    <m/>
    <x v="1"/>
    <x v="17"/>
    <x v="2"/>
    <x v="196"/>
    <n v="219"/>
    <n v="653"/>
    <m/>
    <m/>
    <m/>
    <m/>
    <m/>
    <m/>
    <m/>
    <m/>
    <m/>
    <m/>
    <m/>
    <m/>
    <m/>
    <m/>
    <m/>
    <m/>
    <m/>
    <m/>
    <m/>
    <m/>
    <m/>
    <m/>
    <m/>
    <m/>
    <m/>
    <m/>
    <m/>
    <m/>
    <m/>
    <m/>
    <m/>
    <m/>
    <m/>
    <m/>
    <m/>
    <m/>
    <m/>
    <m/>
    <m/>
    <m/>
    <x v="0"/>
    <x v="0"/>
    <m/>
    <m/>
    <m/>
    <m/>
    <m/>
    <m/>
    <m/>
    <m/>
    <m/>
    <m/>
    <m/>
    <m/>
    <m/>
    <m/>
    <m/>
    <m/>
    <m/>
    <m/>
    <m/>
    <m/>
    <m/>
    <m/>
    <m/>
    <m/>
    <m/>
    <m/>
    <m/>
    <m/>
    <m/>
    <m/>
    <s v="no test"/>
    <s v="no test"/>
    <s v="No Test"/>
    <n v="0"/>
    <n v="0"/>
    <n v="0"/>
    <n v="0"/>
    <n v="0"/>
    <n v="0"/>
    <n v="0"/>
    <n v="0"/>
    <n v="0"/>
    <n v="0"/>
    <n v="0"/>
    <n v="0"/>
    <n v="0"/>
    <n v="0"/>
    <n v="0"/>
    <n v="0"/>
    <n v="1"/>
    <n v="653"/>
    <n v="1"/>
    <n v="1"/>
    <n v="0"/>
    <n v="0"/>
    <n v="0"/>
    <n v="0"/>
    <n v="0"/>
    <n v="0"/>
    <n v="109"/>
    <n v="109"/>
    <n v="1"/>
    <n v="0"/>
    <n v="0"/>
    <n v="0"/>
    <n v="0"/>
    <n v="0"/>
    <n v="0"/>
    <n v="0"/>
    <n v="1"/>
    <n v="0"/>
    <n v="0"/>
    <n v="0"/>
    <n v="0"/>
    <n v="0"/>
    <n v="0"/>
    <n v="0"/>
    <s v="No"/>
    <s v=""/>
    <n v="0"/>
    <n v="0"/>
    <n v="0"/>
    <n v="0"/>
    <n v="0"/>
    <x v="2"/>
    <x v="9"/>
    <x v="0"/>
    <n v="23.415991000000002"/>
    <n v="98.471779999999995"/>
    <s v="MMR015CMP073"/>
    <x v="0"/>
    <m/>
    <n v="219"/>
    <n v="653"/>
  </r>
  <r>
    <x v="1"/>
    <x v="3"/>
    <x v="3"/>
    <s v="UNICEF, USAID"/>
    <x v="1"/>
    <x v="19"/>
    <x v="0"/>
    <x v="172"/>
    <n v="30"/>
    <n v="127"/>
    <s v="11-11-2021, 07-01-2020"/>
    <s v="10-11-2022, 28-2-2022"/>
    <m/>
    <m/>
    <n v="1"/>
    <m/>
    <s v="Yes"/>
    <n v="3"/>
    <n v="3"/>
    <m/>
    <m/>
    <m/>
    <n v="2"/>
    <n v="1"/>
    <m/>
    <n v="1"/>
    <m/>
    <m/>
    <m/>
    <m/>
    <m/>
    <m/>
    <m/>
    <m/>
    <m/>
    <m/>
    <m/>
    <m/>
    <m/>
    <m/>
    <m/>
    <m/>
    <n v="10"/>
    <n v="2"/>
    <m/>
    <m/>
    <m/>
    <m/>
    <m/>
    <n v="2"/>
    <x v="1"/>
    <x v="1"/>
    <m/>
    <m/>
    <m/>
    <m/>
    <m/>
    <m/>
    <n v="11"/>
    <m/>
    <m/>
    <n v="3"/>
    <m/>
    <m/>
    <n v="1"/>
    <m/>
    <m/>
    <s v="Yes"/>
    <m/>
    <n v="1"/>
    <m/>
    <m/>
    <m/>
    <m/>
    <m/>
    <m/>
    <m/>
    <m/>
    <m/>
    <m/>
    <m/>
    <m/>
    <s v="no test"/>
    <s v="no test"/>
    <s v="No Test"/>
    <n v="0"/>
    <n v="3"/>
    <n v="0"/>
    <n v="0"/>
    <n v="0"/>
    <n v="0"/>
    <n v="0"/>
    <n v="1"/>
    <n v="1"/>
    <n v="1"/>
    <n v="127"/>
    <n v="0"/>
    <n v="0"/>
    <n v="1"/>
    <n v="127"/>
    <n v="0.254"/>
    <n v="0"/>
    <n v="0"/>
    <n v="0.746"/>
    <n v="1"/>
    <n v="12"/>
    <n v="1"/>
    <n v="127"/>
    <n v="0"/>
    <n v="0"/>
    <n v="0"/>
    <n v="6"/>
    <n v="0"/>
    <n v="0"/>
    <n v="0"/>
    <n v="127"/>
    <n v="0"/>
    <n v="0"/>
    <n v="0"/>
    <n v="127"/>
    <n v="1"/>
    <n v="0"/>
    <n v="1"/>
    <n v="0"/>
    <n v="0"/>
    <n v="11"/>
    <n v="30"/>
    <n v="0"/>
    <n v="127"/>
    <s v="No"/>
    <s v=""/>
    <n v="0"/>
    <n v="0"/>
    <n v="0"/>
    <s v="Yes"/>
    <s v="KMSS-LSO"/>
    <x v="0"/>
    <x v="0"/>
    <x v="0"/>
    <n v="23.088011000000002"/>
    <n v="97.398698999999993"/>
    <s v="MMR015CMP050"/>
    <x v="1"/>
    <m/>
    <n v="30"/>
    <n v="129"/>
  </r>
  <r>
    <x v="1"/>
    <x v="3"/>
    <x v="3"/>
    <s v="UNICEF, USAID"/>
    <x v="1"/>
    <x v="14"/>
    <x v="0"/>
    <x v="173"/>
    <n v="74"/>
    <n v="502"/>
    <s v="11-11-2021, 07-01-2020"/>
    <s v="10-11-2022, 28-2-2022"/>
    <m/>
    <m/>
    <m/>
    <m/>
    <m/>
    <n v="6"/>
    <n v="3"/>
    <m/>
    <m/>
    <m/>
    <m/>
    <m/>
    <m/>
    <m/>
    <n v="8"/>
    <m/>
    <m/>
    <m/>
    <m/>
    <m/>
    <m/>
    <m/>
    <m/>
    <m/>
    <m/>
    <m/>
    <n v="1"/>
    <n v="2"/>
    <m/>
    <m/>
    <n v="85"/>
    <m/>
    <m/>
    <m/>
    <m/>
    <m/>
    <m/>
    <n v="5"/>
    <x v="1"/>
    <x v="3"/>
    <m/>
    <m/>
    <m/>
    <m/>
    <m/>
    <m/>
    <n v="2"/>
    <m/>
    <m/>
    <n v="1"/>
    <m/>
    <n v="1"/>
    <m/>
    <m/>
    <m/>
    <s v="Yes"/>
    <m/>
    <n v="1"/>
    <m/>
    <m/>
    <m/>
    <m/>
    <m/>
    <m/>
    <m/>
    <m/>
    <m/>
    <m/>
    <m/>
    <m/>
    <s v="no test"/>
    <s v="no test"/>
    <s v="No Test"/>
    <n v="0"/>
    <n v="0"/>
    <n v="8"/>
    <n v="0"/>
    <n v="0"/>
    <n v="502"/>
    <n v="0"/>
    <n v="1"/>
    <n v="1"/>
    <n v="1"/>
    <n v="502"/>
    <n v="0"/>
    <n v="0"/>
    <n v="1"/>
    <n v="502"/>
    <n v="1.004"/>
    <n v="0"/>
    <n v="0"/>
    <n v="0"/>
    <n v="1"/>
    <n v="85"/>
    <n v="1"/>
    <n v="502"/>
    <n v="0"/>
    <n v="0"/>
    <n v="0"/>
    <n v="25"/>
    <n v="0"/>
    <n v="0"/>
    <n v="0"/>
    <n v="500"/>
    <n v="0"/>
    <n v="0"/>
    <n v="0"/>
    <n v="500"/>
    <n v="0.99601593625498008"/>
    <n v="3.9840637450199168E-3"/>
    <n v="0.99601593625498008"/>
    <n v="0"/>
    <n v="0"/>
    <n v="2"/>
    <n v="40"/>
    <n v="1"/>
    <n v="200"/>
    <s v="No"/>
    <s v=""/>
    <n v="0"/>
    <n v="502"/>
    <n v="0"/>
    <s v="Yes"/>
    <s v="KMSS-LSO"/>
    <x v="0"/>
    <x v="0"/>
    <x v="0"/>
    <n v="23.591999999999999"/>
    <n v="97.796999999999997"/>
    <s v="MMR015CMP038"/>
    <x v="1"/>
    <m/>
    <n v="75"/>
    <n v="395"/>
  </r>
  <r>
    <x v="1"/>
    <x v="0"/>
    <x v="0"/>
    <m/>
    <x v="1"/>
    <x v="16"/>
    <x v="0"/>
    <x v="174"/>
    <n v="37"/>
    <n v="120"/>
    <m/>
    <m/>
    <m/>
    <m/>
    <m/>
    <m/>
    <m/>
    <m/>
    <m/>
    <m/>
    <m/>
    <m/>
    <m/>
    <m/>
    <m/>
    <m/>
    <m/>
    <m/>
    <m/>
    <m/>
    <m/>
    <m/>
    <m/>
    <m/>
    <m/>
    <m/>
    <m/>
    <m/>
    <m/>
    <m/>
    <m/>
    <m/>
    <m/>
    <m/>
    <m/>
    <m/>
    <m/>
    <m/>
    <m/>
    <m/>
    <x v="0"/>
    <x v="0"/>
    <m/>
    <m/>
    <m/>
    <m/>
    <m/>
    <m/>
    <n v="1"/>
    <m/>
    <m/>
    <n v="1"/>
    <m/>
    <m/>
    <m/>
    <m/>
    <m/>
    <m/>
    <m/>
    <m/>
    <m/>
    <m/>
    <m/>
    <m/>
    <m/>
    <m/>
    <m/>
    <m/>
    <m/>
    <m/>
    <m/>
    <m/>
    <s v="no test"/>
    <s v="no test"/>
    <s v="No Test"/>
    <n v="0"/>
    <n v="0"/>
    <n v="0"/>
    <n v="0"/>
    <n v="0"/>
    <n v="0"/>
    <n v="0"/>
    <n v="0"/>
    <n v="0"/>
    <n v="0"/>
    <n v="0"/>
    <n v="0"/>
    <n v="0"/>
    <n v="0"/>
    <n v="0"/>
    <n v="0"/>
    <n v="1"/>
    <n v="120"/>
    <n v="1"/>
    <n v="1"/>
    <n v="0"/>
    <n v="0"/>
    <n v="0"/>
    <n v="0"/>
    <n v="0"/>
    <n v="0"/>
    <n v="6"/>
    <n v="6"/>
    <n v="1"/>
    <n v="0"/>
    <n v="0"/>
    <n v="0"/>
    <n v="0"/>
    <n v="0"/>
    <n v="0"/>
    <n v="0"/>
    <n v="1"/>
    <n v="0"/>
    <n v="0"/>
    <n v="0"/>
    <n v="1"/>
    <n v="20"/>
    <n v="0"/>
    <n v="100"/>
    <s v="No"/>
    <s v=""/>
    <n v="0"/>
    <n v="0"/>
    <n v="0"/>
    <n v="0"/>
    <s v="uncovered"/>
    <x v="0"/>
    <x v="3"/>
    <x v="0"/>
    <n v="22.677008000000001"/>
    <n v="97.314762999999999"/>
    <s v="MMR015CMP062"/>
    <x v="0"/>
    <m/>
    <n v="37"/>
    <n v="120"/>
  </r>
  <r>
    <x v="1"/>
    <x v="3"/>
    <x v="3"/>
    <s v="UNICEF, USAID"/>
    <x v="1"/>
    <x v="14"/>
    <x v="0"/>
    <x v="175"/>
    <n v="26"/>
    <n v="104"/>
    <s v="11-11-2021, 07-01-2020"/>
    <s v="10-11-2022, 28-2-2022"/>
    <m/>
    <m/>
    <m/>
    <m/>
    <m/>
    <m/>
    <m/>
    <m/>
    <m/>
    <m/>
    <m/>
    <n v="1"/>
    <m/>
    <m/>
    <m/>
    <m/>
    <m/>
    <m/>
    <m/>
    <m/>
    <m/>
    <m/>
    <m/>
    <m/>
    <m/>
    <m/>
    <m/>
    <m/>
    <m/>
    <m/>
    <n v="4"/>
    <m/>
    <m/>
    <m/>
    <m/>
    <m/>
    <m/>
    <m/>
    <x v="0"/>
    <x v="0"/>
    <m/>
    <m/>
    <m/>
    <m/>
    <m/>
    <m/>
    <n v="8"/>
    <m/>
    <m/>
    <n v="3"/>
    <m/>
    <m/>
    <m/>
    <m/>
    <m/>
    <s v="Yes"/>
    <m/>
    <m/>
    <m/>
    <m/>
    <m/>
    <m/>
    <m/>
    <m/>
    <m/>
    <m/>
    <m/>
    <m/>
    <m/>
    <m/>
    <s v="no test"/>
    <s v="no test"/>
    <s v="No Test"/>
    <n v="0"/>
    <n v="1"/>
    <n v="0"/>
    <n v="0"/>
    <n v="0"/>
    <n v="0"/>
    <n v="0"/>
    <n v="1"/>
    <n v="1"/>
    <n v="1"/>
    <n v="104"/>
    <n v="0"/>
    <n v="0"/>
    <n v="1"/>
    <n v="104"/>
    <n v="0.20799999999999999"/>
    <n v="0"/>
    <n v="0"/>
    <n v="0.79200000000000004"/>
    <n v="1"/>
    <n v="4"/>
    <n v="0.76923076923076927"/>
    <n v="80"/>
    <n v="0"/>
    <n v="0"/>
    <n v="0"/>
    <n v="5"/>
    <n v="1"/>
    <n v="0.23076923076923073"/>
    <n v="0"/>
    <n v="0"/>
    <n v="0"/>
    <n v="0"/>
    <n v="0"/>
    <n v="0"/>
    <n v="0"/>
    <n v="1"/>
    <n v="0"/>
    <n v="0"/>
    <n v="0"/>
    <n v="8"/>
    <n v="26"/>
    <n v="0"/>
    <n v="104"/>
    <s v="No"/>
    <s v=""/>
    <n v="0"/>
    <n v="0"/>
    <n v="0"/>
    <n v="0"/>
    <s v="uncovered"/>
    <x v="0"/>
    <x v="3"/>
    <x v="0"/>
    <n v="23.621317999999999"/>
    <n v="97.795981999999995"/>
    <s v="MMR015CMP064"/>
    <x v="1"/>
    <m/>
    <n v="24"/>
    <n v="84"/>
  </r>
  <r>
    <x v="1"/>
    <x v="3"/>
    <x v="3"/>
    <s v="UNICEF"/>
    <x v="1"/>
    <x v="20"/>
    <x v="0"/>
    <x v="197"/>
    <n v="11"/>
    <n v="40"/>
    <d v="2021-11-11T00:00:00"/>
    <d v="2022-11-10T00:00:00"/>
    <m/>
    <m/>
    <m/>
    <m/>
    <m/>
    <m/>
    <m/>
    <m/>
    <m/>
    <m/>
    <m/>
    <m/>
    <m/>
    <m/>
    <m/>
    <m/>
    <m/>
    <m/>
    <m/>
    <m/>
    <m/>
    <m/>
    <m/>
    <m/>
    <m/>
    <m/>
    <m/>
    <m/>
    <m/>
    <m/>
    <m/>
    <n v="3"/>
    <m/>
    <m/>
    <m/>
    <m/>
    <m/>
    <m/>
    <x v="0"/>
    <x v="0"/>
    <m/>
    <m/>
    <m/>
    <m/>
    <m/>
    <m/>
    <m/>
    <m/>
    <m/>
    <m/>
    <m/>
    <m/>
    <m/>
    <m/>
    <m/>
    <s v="Yes"/>
    <m/>
    <m/>
    <m/>
    <m/>
    <m/>
    <m/>
    <m/>
    <m/>
    <m/>
    <m/>
    <m/>
    <m/>
    <m/>
    <m/>
    <s v="no test"/>
    <s v="no test"/>
    <s v="No Test"/>
    <n v="0"/>
    <n v="0"/>
    <n v="0"/>
    <n v="0"/>
    <n v="0"/>
    <n v="0"/>
    <n v="0"/>
    <n v="0"/>
    <n v="0"/>
    <n v="0"/>
    <n v="0"/>
    <n v="0"/>
    <n v="0"/>
    <n v="0"/>
    <n v="0"/>
    <n v="0"/>
    <n v="1"/>
    <n v="40"/>
    <n v="1"/>
    <n v="1"/>
    <n v="3"/>
    <n v="1"/>
    <n v="40"/>
    <n v="0"/>
    <n v="0"/>
    <n v="0"/>
    <n v="2"/>
    <n v="0"/>
    <n v="0"/>
    <n v="0"/>
    <n v="0"/>
    <n v="0"/>
    <n v="0"/>
    <n v="0"/>
    <n v="0"/>
    <n v="0"/>
    <n v="1"/>
    <n v="0"/>
    <n v="0"/>
    <n v="0"/>
    <n v="0"/>
    <n v="0"/>
    <n v="0"/>
    <n v="0"/>
    <s v="No"/>
    <s v=""/>
    <n v="0"/>
    <n v="0"/>
    <n v="0"/>
    <n v="0"/>
    <n v="0"/>
    <x v="0"/>
    <x v="3"/>
    <x v="0"/>
    <n v="0"/>
    <n v="0"/>
    <s v="MMR015CMP077"/>
    <x v="1"/>
    <m/>
    <n v="11"/>
    <n v="40"/>
  </r>
  <r>
    <x v="1"/>
    <x v="3"/>
    <x v="3"/>
    <s v="UNICEF, USAID"/>
    <x v="1"/>
    <x v="21"/>
    <x v="0"/>
    <x v="176"/>
    <n v="28"/>
    <n v="125"/>
    <s v="11-11-2021, 07-01-2020"/>
    <s v="10-11-2022, 28-2-2022"/>
    <m/>
    <m/>
    <n v="1"/>
    <m/>
    <s v="Yes"/>
    <m/>
    <m/>
    <m/>
    <m/>
    <m/>
    <n v="1"/>
    <n v="1"/>
    <m/>
    <m/>
    <m/>
    <m/>
    <m/>
    <m/>
    <m/>
    <m/>
    <m/>
    <m/>
    <m/>
    <m/>
    <m/>
    <m/>
    <m/>
    <m/>
    <m/>
    <m/>
    <n v="18"/>
    <m/>
    <m/>
    <m/>
    <m/>
    <m/>
    <m/>
    <m/>
    <x v="1"/>
    <x v="1"/>
    <m/>
    <m/>
    <m/>
    <m/>
    <m/>
    <m/>
    <n v="7"/>
    <m/>
    <m/>
    <n v="5"/>
    <m/>
    <m/>
    <n v="1"/>
    <m/>
    <m/>
    <s v="Yes"/>
    <m/>
    <m/>
    <m/>
    <m/>
    <m/>
    <m/>
    <m/>
    <m/>
    <m/>
    <m/>
    <m/>
    <m/>
    <m/>
    <m/>
    <s v="no test"/>
    <s v="no test"/>
    <s v="No Test"/>
    <n v="0"/>
    <n v="2"/>
    <n v="0"/>
    <n v="0"/>
    <n v="0"/>
    <n v="0"/>
    <n v="0"/>
    <n v="1"/>
    <n v="1"/>
    <n v="1"/>
    <n v="125"/>
    <n v="0"/>
    <n v="0"/>
    <n v="1"/>
    <n v="125"/>
    <n v="0.25"/>
    <n v="0"/>
    <n v="0"/>
    <n v="0.75"/>
    <n v="1"/>
    <n v="18"/>
    <n v="1"/>
    <n v="125"/>
    <n v="0"/>
    <n v="0"/>
    <n v="0"/>
    <n v="6"/>
    <n v="0"/>
    <n v="0"/>
    <n v="0"/>
    <n v="125"/>
    <n v="0"/>
    <n v="0"/>
    <n v="0"/>
    <n v="125"/>
    <n v="1"/>
    <n v="0"/>
    <n v="1"/>
    <n v="0"/>
    <n v="0"/>
    <n v="7"/>
    <n v="28"/>
    <n v="0"/>
    <n v="125"/>
    <s v="No"/>
    <s v=""/>
    <n v="0"/>
    <n v="0"/>
    <n v="0"/>
    <s v="Yes"/>
    <s v="KBC-NSS"/>
    <x v="0"/>
    <x v="5"/>
    <x v="0"/>
    <n v="23.250678000000001"/>
    <n v="97.124403000000001"/>
    <s v="MMR015CMP009"/>
    <x v="1"/>
    <m/>
    <n v="28"/>
    <n v="147"/>
  </r>
  <r>
    <x v="1"/>
    <x v="15"/>
    <x v="12"/>
    <s v="UNICEF, USAID"/>
    <x v="1"/>
    <x v="21"/>
    <x v="0"/>
    <x v="177"/>
    <n v="30"/>
    <n v="157"/>
    <s v="11-11-2021, 07-01-2020"/>
    <s v="10-11-2022, 28-2-2022"/>
    <m/>
    <n v="2"/>
    <m/>
    <m/>
    <s v="Yes"/>
    <n v="2"/>
    <n v="8"/>
    <n v="1"/>
    <m/>
    <m/>
    <n v="2"/>
    <m/>
    <m/>
    <m/>
    <m/>
    <m/>
    <m/>
    <m/>
    <n v="2"/>
    <m/>
    <m/>
    <n v="1"/>
    <m/>
    <m/>
    <m/>
    <m/>
    <n v="4"/>
    <m/>
    <m/>
    <m/>
    <n v="38"/>
    <m/>
    <m/>
    <m/>
    <m/>
    <m/>
    <m/>
    <n v="38"/>
    <x v="1"/>
    <x v="1"/>
    <m/>
    <m/>
    <m/>
    <m/>
    <m/>
    <m/>
    <n v="4"/>
    <m/>
    <m/>
    <n v="2"/>
    <m/>
    <m/>
    <n v="2"/>
    <m/>
    <m/>
    <s v="Yes"/>
    <m/>
    <n v="1"/>
    <m/>
    <m/>
    <m/>
    <m/>
    <m/>
    <m/>
    <m/>
    <m/>
    <m/>
    <m/>
    <m/>
    <m/>
    <s v="no test"/>
    <s v="no test"/>
    <s v="No Test"/>
    <n v="1"/>
    <n v="2"/>
    <n v="0"/>
    <n v="0"/>
    <n v="0"/>
    <n v="0"/>
    <n v="0"/>
    <n v="1"/>
    <n v="1"/>
    <n v="1"/>
    <n v="157"/>
    <n v="1"/>
    <n v="157"/>
    <n v="1"/>
    <n v="157"/>
    <n v="0.314"/>
    <n v="0"/>
    <n v="0"/>
    <n v="0.68599999999999994"/>
    <n v="1"/>
    <n v="38"/>
    <n v="1"/>
    <n v="157"/>
    <n v="0"/>
    <n v="0"/>
    <n v="0"/>
    <n v="8"/>
    <n v="0"/>
    <n v="0"/>
    <n v="0"/>
    <n v="157"/>
    <n v="0"/>
    <n v="0"/>
    <n v="0"/>
    <n v="157"/>
    <n v="1"/>
    <n v="0"/>
    <n v="1"/>
    <n v="0"/>
    <n v="0"/>
    <n v="4"/>
    <n v="30"/>
    <n v="4"/>
    <n v="157"/>
    <s v="No"/>
    <s v=""/>
    <n v="0"/>
    <n v="0"/>
    <n v="0"/>
    <s v="Yes"/>
    <s v="KMSS-LSO"/>
    <x v="0"/>
    <x v="0"/>
    <x v="0"/>
    <n v="23.24661"/>
    <n v="97.116680000000002"/>
    <s v="MMR015CMP027"/>
    <x v="1"/>
    <m/>
    <n v="30"/>
    <n v="159"/>
  </r>
  <r>
    <x v="1"/>
    <x v="3"/>
    <x v="3"/>
    <s v="UNICEF"/>
    <x v="1"/>
    <x v="18"/>
    <x v="0"/>
    <x v="178"/>
    <n v="19"/>
    <n v="60"/>
    <d v="2021-11-11T00:00:00"/>
    <d v="2022-11-10T00:00:00"/>
    <m/>
    <m/>
    <m/>
    <m/>
    <m/>
    <m/>
    <m/>
    <m/>
    <m/>
    <m/>
    <m/>
    <m/>
    <m/>
    <m/>
    <m/>
    <m/>
    <m/>
    <m/>
    <m/>
    <m/>
    <m/>
    <m/>
    <m/>
    <m/>
    <m/>
    <m/>
    <m/>
    <m/>
    <m/>
    <m/>
    <m/>
    <m/>
    <m/>
    <m/>
    <m/>
    <m/>
    <m/>
    <m/>
    <x v="0"/>
    <x v="0"/>
    <m/>
    <m/>
    <m/>
    <m/>
    <m/>
    <m/>
    <n v="8"/>
    <m/>
    <m/>
    <n v="3"/>
    <m/>
    <m/>
    <m/>
    <m/>
    <m/>
    <s v="Yes"/>
    <m/>
    <m/>
    <m/>
    <m/>
    <m/>
    <m/>
    <m/>
    <m/>
    <m/>
    <m/>
    <m/>
    <m/>
    <m/>
    <m/>
    <s v="no test"/>
    <s v="no test"/>
    <s v="No Test"/>
    <n v="0"/>
    <n v="0"/>
    <n v="0"/>
    <n v="0"/>
    <n v="0"/>
    <n v="0"/>
    <n v="0"/>
    <n v="0"/>
    <n v="0"/>
    <n v="0"/>
    <n v="0"/>
    <n v="0"/>
    <n v="0"/>
    <n v="0"/>
    <n v="0"/>
    <n v="0"/>
    <n v="1"/>
    <n v="60"/>
    <n v="1"/>
    <n v="1"/>
    <n v="0"/>
    <n v="0"/>
    <n v="0"/>
    <n v="0"/>
    <n v="0"/>
    <n v="0"/>
    <n v="3"/>
    <n v="3"/>
    <n v="1"/>
    <n v="0"/>
    <n v="0"/>
    <n v="0"/>
    <n v="0"/>
    <n v="0"/>
    <n v="0"/>
    <n v="0"/>
    <n v="1"/>
    <n v="0"/>
    <n v="0"/>
    <n v="0"/>
    <n v="8"/>
    <n v="19"/>
    <n v="0"/>
    <n v="60"/>
    <s v="No"/>
    <s v=""/>
    <n v="0"/>
    <n v="0"/>
    <n v="0"/>
    <n v="0"/>
    <n v="0"/>
    <x v="0"/>
    <x v="2"/>
    <x v="0"/>
    <n v="23.963060379028299"/>
    <n v="98.127189636230497"/>
    <s v="MMR015CMP076"/>
    <x v="1"/>
    <m/>
    <n v="19"/>
    <n v="60"/>
  </r>
  <r>
    <x v="1"/>
    <x v="3"/>
    <x v="3"/>
    <s v="UNICEF, USAID"/>
    <x v="1"/>
    <x v="14"/>
    <x v="0"/>
    <x v="179"/>
    <n v="64"/>
    <n v="251"/>
    <s v="11-11-2021, 07-01-2020"/>
    <s v="10-11-2022, 28-2-2022"/>
    <m/>
    <n v="1"/>
    <m/>
    <m/>
    <s v="Yes"/>
    <n v="4"/>
    <n v="5"/>
    <m/>
    <m/>
    <m/>
    <m/>
    <m/>
    <m/>
    <m/>
    <n v="14"/>
    <m/>
    <m/>
    <m/>
    <m/>
    <m/>
    <m/>
    <n v="1"/>
    <m/>
    <m/>
    <m/>
    <m/>
    <n v="3"/>
    <m/>
    <m/>
    <m/>
    <n v="71"/>
    <m/>
    <m/>
    <m/>
    <m/>
    <m/>
    <m/>
    <m/>
    <x v="2"/>
    <x v="3"/>
    <m/>
    <m/>
    <n v="4"/>
    <m/>
    <m/>
    <m/>
    <n v="5"/>
    <m/>
    <m/>
    <n v="3"/>
    <m/>
    <n v="1"/>
    <m/>
    <m/>
    <m/>
    <s v="Yes"/>
    <m/>
    <n v="1"/>
    <m/>
    <m/>
    <m/>
    <m/>
    <m/>
    <m/>
    <m/>
    <m/>
    <m/>
    <m/>
    <m/>
    <m/>
    <s v="no test"/>
    <s v="no test"/>
    <s v="No Test"/>
    <n v="0"/>
    <n v="0"/>
    <n v="14"/>
    <n v="0"/>
    <n v="0"/>
    <n v="0"/>
    <n v="0"/>
    <n v="1"/>
    <n v="1"/>
    <n v="1"/>
    <n v="251"/>
    <n v="0"/>
    <n v="0"/>
    <n v="1"/>
    <n v="251"/>
    <n v="0.502"/>
    <n v="0"/>
    <n v="0"/>
    <n v="0.498"/>
    <n v="1"/>
    <n v="71"/>
    <n v="1"/>
    <n v="251"/>
    <n v="0"/>
    <n v="0"/>
    <n v="0"/>
    <n v="42"/>
    <n v="0"/>
    <n v="0"/>
    <n v="0"/>
    <n v="251"/>
    <n v="0"/>
    <n v="0"/>
    <n v="0"/>
    <n v="251"/>
    <n v="1"/>
    <n v="0"/>
    <n v="1"/>
    <n v="0"/>
    <n v="0"/>
    <n v="5"/>
    <n v="64"/>
    <n v="3"/>
    <n v="251"/>
    <s v="No"/>
    <s v=""/>
    <n v="0"/>
    <n v="0"/>
    <n v="0"/>
    <s v="Yes"/>
    <s v="KMSS-LSO"/>
    <x v="1"/>
    <x v="0"/>
    <x v="0"/>
    <n v="23.588920000000002"/>
    <n v="97.793019999999999"/>
    <s v="MMR015CMP018"/>
    <x v="1"/>
    <m/>
    <n v="66"/>
    <n v="248"/>
  </r>
  <r>
    <x v="1"/>
    <x v="3"/>
    <x v="3"/>
    <s v="UNICEF"/>
    <x v="1"/>
    <x v="20"/>
    <x v="0"/>
    <x v="198"/>
    <n v="9"/>
    <n v="28"/>
    <d v="2021-11-11T00:00:00"/>
    <d v="2022-11-10T00:00:00"/>
    <m/>
    <m/>
    <m/>
    <m/>
    <m/>
    <m/>
    <m/>
    <m/>
    <m/>
    <m/>
    <m/>
    <m/>
    <m/>
    <m/>
    <m/>
    <m/>
    <m/>
    <m/>
    <m/>
    <m/>
    <m/>
    <m/>
    <m/>
    <m/>
    <m/>
    <m/>
    <m/>
    <m/>
    <m/>
    <m/>
    <m/>
    <n v="6"/>
    <m/>
    <m/>
    <m/>
    <m/>
    <m/>
    <m/>
    <x v="0"/>
    <x v="0"/>
    <m/>
    <m/>
    <m/>
    <m/>
    <m/>
    <m/>
    <m/>
    <m/>
    <m/>
    <m/>
    <m/>
    <m/>
    <m/>
    <m/>
    <m/>
    <s v="Yes"/>
    <m/>
    <m/>
    <m/>
    <m/>
    <m/>
    <m/>
    <m/>
    <m/>
    <m/>
    <m/>
    <m/>
    <m/>
    <m/>
    <m/>
    <s v="no test"/>
    <s v="no test"/>
    <s v="No Test"/>
    <n v="0"/>
    <n v="0"/>
    <n v="0"/>
    <n v="0"/>
    <n v="0"/>
    <n v="0"/>
    <n v="0"/>
    <n v="0"/>
    <n v="0"/>
    <n v="0"/>
    <n v="0"/>
    <n v="0"/>
    <n v="0"/>
    <n v="0"/>
    <n v="0"/>
    <n v="0"/>
    <n v="1"/>
    <n v="28"/>
    <n v="1"/>
    <n v="1"/>
    <n v="6"/>
    <n v="1"/>
    <n v="28"/>
    <n v="0"/>
    <n v="0"/>
    <n v="0"/>
    <n v="1"/>
    <n v="0"/>
    <n v="0"/>
    <n v="0"/>
    <n v="0"/>
    <n v="0"/>
    <n v="0"/>
    <n v="0"/>
    <n v="0"/>
    <n v="0"/>
    <n v="1"/>
    <n v="0"/>
    <n v="0"/>
    <n v="0"/>
    <n v="0"/>
    <n v="0"/>
    <n v="0"/>
    <n v="0"/>
    <s v="No"/>
    <s v=""/>
    <n v="0"/>
    <n v="0"/>
    <n v="0"/>
    <n v="0"/>
    <n v="0"/>
    <x v="0"/>
    <x v="3"/>
    <x v="0"/>
    <n v="0"/>
    <n v="0"/>
    <s v="MMR015CMP078"/>
    <x v="1"/>
    <m/>
    <n v="9"/>
    <n v="28"/>
  </r>
  <r>
    <x v="1"/>
    <x v="3"/>
    <x v="3"/>
    <s v="UNICEF, USAID"/>
    <x v="1"/>
    <x v="22"/>
    <x v="2"/>
    <x v="180"/>
    <n v="64"/>
    <n v="292"/>
    <d v="2021-11-11T00:00:00"/>
    <d v="2022-11-10T00:00:00"/>
    <m/>
    <m/>
    <m/>
    <m/>
    <m/>
    <n v="4"/>
    <n v="5"/>
    <m/>
    <m/>
    <m/>
    <m/>
    <m/>
    <m/>
    <m/>
    <n v="8"/>
    <m/>
    <m/>
    <m/>
    <m/>
    <m/>
    <m/>
    <m/>
    <m/>
    <m/>
    <m/>
    <m/>
    <m/>
    <m/>
    <m/>
    <m/>
    <n v="55"/>
    <m/>
    <m/>
    <m/>
    <m/>
    <m/>
    <m/>
    <n v="25"/>
    <x v="1"/>
    <x v="1"/>
    <m/>
    <m/>
    <m/>
    <m/>
    <m/>
    <m/>
    <n v="2"/>
    <m/>
    <m/>
    <n v="2"/>
    <m/>
    <m/>
    <n v="1"/>
    <m/>
    <m/>
    <m/>
    <m/>
    <m/>
    <m/>
    <m/>
    <m/>
    <m/>
    <m/>
    <m/>
    <m/>
    <m/>
    <m/>
    <m/>
    <m/>
    <m/>
    <s v="no test"/>
    <s v="no test"/>
    <s v="No Test"/>
    <n v="0"/>
    <n v="0"/>
    <n v="8"/>
    <n v="0"/>
    <n v="0"/>
    <n v="0"/>
    <n v="0"/>
    <n v="1"/>
    <n v="1"/>
    <n v="1"/>
    <n v="292"/>
    <n v="0"/>
    <n v="0"/>
    <n v="1"/>
    <n v="292"/>
    <n v="0.58399999999999996"/>
    <n v="0"/>
    <n v="0"/>
    <n v="0.41600000000000004"/>
    <n v="1"/>
    <n v="55"/>
    <n v="0.94178082191780821"/>
    <n v="275"/>
    <n v="0"/>
    <n v="0"/>
    <n v="0"/>
    <n v="49"/>
    <n v="0"/>
    <n v="5.8219178082191791E-2"/>
    <n v="0"/>
    <n v="292"/>
    <n v="0"/>
    <n v="0"/>
    <n v="0"/>
    <n v="292"/>
    <n v="1"/>
    <n v="0"/>
    <n v="1"/>
    <n v="0"/>
    <n v="0"/>
    <n v="2"/>
    <n v="40"/>
    <n v="0"/>
    <n v="200"/>
    <s v="No"/>
    <s v=""/>
    <n v="0"/>
    <n v="0"/>
    <n v="0"/>
    <n v="0"/>
    <s v="uncovered"/>
    <x v="2"/>
    <x v="5"/>
    <x v="0"/>
    <n v="23.611999999999998"/>
    <n v="97.506"/>
    <s v="MMR015CMP042"/>
    <x v="1"/>
    <m/>
    <n v="67"/>
    <n v="307"/>
  </r>
  <r>
    <x v="1"/>
    <x v="3"/>
    <x v="3"/>
    <s v="UNICEF, USAID"/>
    <x v="1"/>
    <x v="14"/>
    <x v="0"/>
    <x v="181"/>
    <n v="31"/>
    <n v="176"/>
    <s v="11-11-2021, 07-01-2020"/>
    <s v="10-11-2022, 28-2-2022"/>
    <m/>
    <m/>
    <m/>
    <m/>
    <m/>
    <n v="5"/>
    <n v="4"/>
    <m/>
    <m/>
    <m/>
    <m/>
    <m/>
    <m/>
    <m/>
    <n v="14"/>
    <m/>
    <m/>
    <m/>
    <m/>
    <m/>
    <m/>
    <m/>
    <m/>
    <m/>
    <m/>
    <m/>
    <m/>
    <m/>
    <m/>
    <m/>
    <n v="34"/>
    <m/>
    <m/>
    <m/>
    <m/>
    <m/>
    <m/>
    <m/>
    <x v="1"/>
    <x v="1"/>
    <m/>
    <m/>
    <n v="2"/>
    <m/>
    <m/>
    <m/>
    <n v="2"/>
    <m/>
    <m/>
    <n v="2"/>
    <m/>
    <m/>
    <n v="1"/>
    <m/>
    <m/>
    <s v="Yes"/>
    <m/>
    <m/>
    <m/>
    <m/>
    <m/>
    <m/>
    <m/>
    <m/>
    <m/>
    <m/>
    <m/>
    <m/>
    <m/>
    <m/>
    <s v="no test"/>
    <s v="no test"/>
    <s v="No Test"/>
    <n v="0"/>
    <n v="0"/>
    <n v="14"/>
    <n v="0"/>
    <n v="0"/>
    <n v="0"/>
    <n v="0"/>
    <n v="1"/>
    <n v="1"/>
    <n v="1"/>
    <n v="176"/>
    <n v="0"/>
    <n v="0"/>
    <n v="1"/>
    <n v="176"/>
    <n v="0.35199999999999998"/>
    <n v="0"/>
    <n v="0"/>
    <n v="0.64800000000000002"/>
    <n v="1"/>
    <n v="34"/>
    <n v="1"/>
    <n v="176"/>
    <n v="0"/>
    <n v="0"/>
    <n v="0"/>
    <n v="9"/>
    <n v="0"/>
    <n v="0"/>
    <n v="0"/>
    <n v="176"/>
    <n v="0"/>
    <n v="0"/>
    <n v="0"/>
    <n v="176"/>
    <n v="1"/>
    <n v="0"/>
    <n v="1"/>
    <n v="0"/>
    <n v="0"/>
    <n v="2"/>
    <n v="31"/>
    <n v="0"/>
    <n v="176"/>
    <s v="No"/>
    <s v=""/>
    <n v="0"/>
    <n v="0"/>
    <n v="0"/>
    <n v="0"/>
    <s v="uncovered"/>
    <x v="0"/>
    <x v="3"/>
    <x v="0"/>
    <n v="23.850999999999999"/>
    <n v="98.337999999999994"/>
    <s v="MMR015CMP045"/>
    <x v="1"/>
    <m/>
    <n v="30"/>
    <n v="170"/>
  </r>
  <r>
    <x v="1"/>
    <x v="15"/>
    <x v="12"/>
    <s v="UNICEF, USAID"/>
    <x v="1"/>
    <x v="22"/>
    <x v="0"/>
    <x v="182"/>
    <n v="85"/>
    <n v="396"/>
    <s v="11-11-2021, 07-01-2020"/>
    <s v="10-11-2022, 28-2-2022"/>
    <m/>
    <n v="2"/>
    <m/>
    <m/>
    <s v="Yes"/>
    <n v="7"/>
    <n v="9"/>
    <m/>
    <m/>
    <m/>
    <m/>
    <n v="1"/>
    <m/>
    <m/>
    <n v="1"/>
    <m/>
    <m/>
    <m/>
    <m/>
    <m/>
    <m/>
    <n v="2"/>
    <m/>
    <m/>
    <m/>
    <m/>
    <n v="8"/>
    <m/>
    <m/>
    <m/>
    <n v="14"/>
    <n v="6"/>
    <m/>
    <m/>
    <m/>
    <m/>
    <m/>
    <n v="14"/>
    <x v="1"/>
    <x v="1"/>
    <m/>
    <m/>
    <m/>
    <m/>
    <m/>
    <m/>
    <n v="8"/>
    <m/>
    <m/>
    <n v="2"/>
    <m/>
    <n v="1"/>
    <n v="1"/>
    <m/>
    <m/>
    <m/>
    <m/>
    <m/>
    <m/>
    <m/>
    <m/>
    <m/>
    <m/>
    <m/>
    <m/>
    <m/>
    <m/>
    <m/>
    <m/>
    <m/>
    <s v="no test"/>
    <s v="no test"/>
    <s v="No Test"/>
    <n v="0"/>
    <n v="1"/>
    <n v="1"/>
    <n v="0"/>
    <n v="0"/>
    <n v="0"/>
    <n v="0"/>
    <n v="1"/>
    <n v="0.79966329966329974"/>
    <n v="1"/>
    <n v="396"/>
    <n v="0"/>
    <n v="0"/>
    <n v="1"/>
    <n v="396"/>
    <n v="0.79200000000000004"/>
    <n v="0"/>
    <n v="0"/>
    <n v="0.20799999999999996"/>
    <n v="1"/>
    <n v="20"/>
    <n v="1"/>
    <n v="396"/>
    <n v="0"/>
    <n v="0"/>
    <n v="0"/>
    <n v="20"/>
    <n v="0"/>
    <n v="0"/>
    <n v="0"/>
    <n v="396"/>
    <n v="0"/>
    <n v="0"/>
    <n v="0"/>
    <n v="396"/>
    <n v="1"/>
    <n v="0"/>
    <n v="1"/>
    <n v="0"/>
    <n v="0"/>
    <n v="8"/>
    <n v="85"/>
    <n v="0"/>
    <n v="396"/>
    <s v="No"/>
    <s v=""/>
    <n v="0"/>
    <n v="0"/>
    <n v="0"/>
    <s v="Yes"/>
    <s v="KBC-NSS"/>
    <x v="0"/>
    <x v="0"/>
    <x v="0"/>
    <n v="23.821380000000001"/>
    <n v="97.681970000000007"/>
    <s v="MMR015CMP004"/>
    <x v="1"/>
    <m/>
    <n v="89"/>
    <n v="401"/>
  </r>
  <r>
    <x v="1"/>
    <x v="3"/>
    <x v="3"/>
    <s v="UNICEF, USAID"/>
    <x v="1"/>
    <x v="22"/>
    <x v="0"/>
    <x v="183"/>
    <n v="64"/>
    <n v="323"/>
    <s v="11-11-2021, 07-01-2020"/>
    <s v="10-11-2022, 28-2-2022"/>
    <m/>
    <n v="1"/>
    <n v="1"/>
    <m/>
    <s v="Yes"/>
    <m/>
    <m/>
    <m/>
    <m/>
    <m/>
    <m/>
    <n v="1"/>
    <m/>
    <m/>
    <m/>
    <m/>
    <m/>
    <m/>
    <m/>
    <m/>
    <m/>
    <m/>
    <m/>
    <m/>
    <m/>
    <m/>
    <m/>
    <m/>
    <m/>
    <m/>
    <n v="10"/>
    <m/>
    <m/>
    <m/>
    <m/>
    <n v="20"/>
    <m/>
    <m/>
    <x v="0"/>
    <x v="0"/>
    <m/>
    <m/>
    <m/>
    <m/>
    <m/>
    <m/>
    <n v="7"/>
    <m/>
    <m/>
    <n v="7"/>
    <m/>
    <m/>
    <m/>
    <m/>
    <m/>
    <m/>
    <m/>
    <m/>
    <m/>
    <m/>
    <m/>
    <m/>
    <m/>
    <m/>
    <m/>
    <m/>
    <m/>
    <m/>
    <m/>
    <m/>
    <s v="no test"/>
    <s v="no test"/>
    <s v="No Test"/>
    <n v="0"/>
    <n v="1"/>
    <n v="0"/>
    <n v="0"/>
    <n v="0"/>
    <n v="0"/>
    <n v="0"/>
    <n v="1"/>
    <n v="0.77399380804953566"/>
    <n v="1"/>
    <n v="323"/>
    <n v="0"/>
    <n v="0"/>
    <n v="1"/>
    <n v="323"/>
    <n v="0.64600000000000002"/>
    <n v="0"/>
    <n v="0"/>
    <n v="0.35399999999999998"/>
    <n v="1"/>
    <n v="10"/>
    <n v="0.61919504643962853"/>
    <n v="200"/>
    <n v="323"/>
    <n v="0"/>
    <n v="0"/>
    <n v="16"/>
    <n v="6"/>
    <n v="0.38080495356037147"/>
    <n v="0"/>
    <n v="0"/>
    <n v="0"/>
    <n v="0"/>
    <n v="0"/>
    <n v="0"/>
    <n v="0"/>
    <n v="1"/>
    <n v="0"/>
    <n v="0"/>
    <n v="0"/>
    <n v="7"/>
    <n v="64"/>
    <n v="0"/>
    <n v="323"/>
    <s v="No"/>
    <s v=""/>
    <n v="0"/>
    <n v="0"/>
    <n v="0"/>
    <s v="Yes"/>
    <s v="KBC-NSS"/>
    <x v="0"/>
    <x v="0"/>
    <x v="0"/>
    <n v="23.828520000000001"/>
    <n v="97.669557999999995"/>
    <s v="MMR015CMP001"/>
    <x v="1"/>
    <m/>
    <n v="66"/>
    <n v="333"/>
  </r>
  <r>
    <x v="1"/>
    <x v="3"/>
    <x v="3"/>
    <s v="UNICEF, USAID"/>
    <x v="1"/>
    <x v="22"/>
    <x v="0"/>
    <x v="184"/>
    <n v="6"/>
    <n v="31"/>
    <s v="11-11-2021, 07-01-2020"/>
    <s v="10-11-2022, 28-2-2022"/>
    <m/>
    <m/>
    <n v="1"/>
    <m/>
    <m/>
    <m/>
    <m/>
    <m/>
    <m/>
    <m/>
    <m/>
    <n v="1"/>
    <m/>
    <m/>
    <m/>
    <m/>
    <m/>
    <m/>
    <m/>
    <m/>
    <m/>
    <m/>
    <m/>
    <m/>
    <m/>
    <m/>
    <m/>
    <m/>
    <m/>
    <m/>
    <m/>
    <n v="10"/>
    <m/>
    <m/>
    <m/>
    <m/>
    <m/>
    <m/>
    <x v="0"/>
    <x v="0"/>
    <m/>
    <m/>
    <m/>
    <m/>
    <m/>
    <m/>
    <n v="7"/>
    <m/>
    <m/>
    <n v="4"/>
    <m/>
    <m/>
    <n v="1"/>
    <m/>
    <m/>
    <m/>
    <m/>
    <m/>
    <m/>
    <m/>
    <m/>
    <m/>
    <m/>
    <m/>
    <m/>
    <m/>
    <m/>
    <m/>
    <m/>
    <m/>
    <s v="no test"/>
    <s v="no test"/>
    <s v="No Test"/>
    <n v="0"/>
    <n v="1"/>
    <n v="0"/>
    <n v="0"/>
    <n v="0"/>
    <n v="0"/>
    <n v="0"/>
    <n v="1"/>
    <n v="1"/>
    <n v="1"/>
    <n v="31"/>
    <n v="0"/>
    <n v="0"/>
    <n v="1"/>
    <n v="31"/>
    <n v="6.2E-2"/>
    <n v="0"/>
    <n v="0"/>
    <n v="0.93799999999999994"/>
    <n v="1"/>
    <n v="10"/>
    <n v="1"/>
    <n v="31"/>
    <n v="0"/>
    <n v="0"/>
    <n v="0"/>
    <n v="2"/>
    <n v="0"/>
    <n v="0"/>
    <n v="0"/>
    <n v="31"/>
    <n v="0"/>
    <n v="0"/>
    <n v="0"/>
    <n v="31"/>
    <n v="1"/>
    <n v="0"/>
    <n v="1"/>
    <n v="0"/>
    <n v="0"/>
    <n v="7"/>
    <n v="6"/>
    <n v="0"/>
    <n v="31"/>
    <s v="No"/>
    <s v=""/>
    <n v="0"/>
    <n v="0"/>
    <n v="0"/>
    <s v="Yes"/>
    <s v="KBC-NSS"/>
    <x v="0"/>
    <x v="5"/>
    <x v="0"/>
    <n v="23.841646999999998"/>
    <n v="97.700940000000003"/>
    <s v="MMR015CMP214"/>
    <x v="1"/>
    <m/>
    <n v="7"/>
    <n v="32"/>
  </r>
  <r>
    <x v="1"/>
    <x v="15"/>
    <x v="12"/>
    <s v="UNICEF, USAID"/>
    <x v="1"/>
    <x v="22"/>
    <x v="0"/>
    <x v="185"/>
    <n v="44"/>
    <n v="213"/>
    <s v="11-11-2021, 07-01-2020"/>
    <s v="10-11-2022, 28-2-2022"/>
    <m/>
    <n v="2"/>
    <m/>
    <m/>
    <s v="Yes"/>
    <n v="3"/>
    <n v="9"/>
    <n v="1"/>
    <m/>
    <m/>
    <m/>
    <n v="2"/>
    <m/>
    <m/>
    <m/>
    <m/>
    <m/>
    <m/>
    <n v="1"/>
    <m/>
    <m/>
    <n v="2"/>
    <m/>
    <m/>
    <m/>
    <m/>
    <n v="3"/>
    <m/>
    <m/>
    <m/>
    <n v="14"/>
    <m/>
    <m/>
    <m/>
    <m/>
    <m/>
    <m/>
    <n v="14"/>
    <x v="1"/>
    <x v="1"/>
    <m/>
    <m/>
    <m/>
    <m/>
    <m/>
    <m/>
    <n v="3"/>
    <m/>
    <m/>
    <n v="2"/>
    <m/>
    <n v="1"/>
    <n v="1"/>
    <m/>
    <m/>
    <m/>
    <m/>
    <m/>
    <m/>
    <m/>
    <m/>
    <m/>
    <m/>
    <m/>
    <m/>
    <m/>
    <m/>
    <m/>
    <m/>
    <m/>
    <s v="no test"/>
    <s v="no test"/>
    <s v="No Test"/>
    <n v="1"/>
    <n v="2"/>
    <n v="0"/>
    <n v="0"/>
    <n v="0"/>
    <n v="0"/>
    <n v="0"/>
    <n v="1"/>
    <n v="1"/>
    <n v="1"/>
    <n v="213"/>
    <n v="1"/>
    <n v="213"/>
    <n v="1"/>
    <n v="213"/>
    <n v="0.42599999999999999"/>
    <n v="0"/>
    <n v="0"/>
    <n v="0.57400000000000007"/>
    <n v="1"/>
    <n v="14"/>
    <n v="1"/>
    <n v="213"/>
    <n v="0"/>
    <n v="0"/>
    <n v="0"/>
    <n v="11"/>
    <n v="0"/>
    <n v="0"/>
    <n v="0"/>
    <n v="213"/>
    <n v="0"/>
    <n v="0"/>
    <n v="0"/>
    <n v="213"/>
    <n v="1"/>
    <n v="0"/>
    <n v="1"/>
    <n v="0"/>
    <n v="0"/>
    <n v="3"/>
    <n v="44"/>
    <n v="0"/>
    <n v="213"/>
    <s v="No"/>
    <s v=""/>
    <n v="0"/>
    <n v="0"/>
    <n v="0"/>
    <s v="Yes"/>
    <s v="KMSS-LSO"/>
    <x v="0"/>
    <x v="0"/>
    <x v="0"/>
    <n v="23.828150000000001"/>
    <n v="97.670360000000002"/>
    <s v="MMR015CMP003"/>
    <x v="1"/>
    <m/>
    <n v="44"/>
    <n v="217"/>
  </r>
  <r>
    <x v="1"/>
    <x v="3"/>
    <x v="3"/>
    <s v="UNICEF, USAID"/>
    <x v="1"/>
    <x v="14"/>
    <x v="0"/>
    <x v="186"/>
    <n v="54"/>
    <n v="250"/>
    <s v="11-11-2021, 07-01-2020"/>
    <s v="10-11-2022, 28-2-2022"/>
    <m/>
    <n v="1"/>
    <m/>
    <m/>
    <s v="Yes"/>
    <n v="5"/>
    <n v="4"/>
    <m/>
    <m/>
    <m/>
    <m/>
    <m/>
    <m/>
    <m/>
    <n v="12"/>
    <m/>
    <m/>
    <m/>
    <m/>
    <m/>
    <m/>
    <n v="1"/>
    <m/>
    <m/>
    <m/>
    <m/>
    <m/>
    <m/>
    <m/>
    <m/>
    <n v="18"/>
    <m/>
    <m/>
    <m/>
    <m/>
    <m/>
    <m/>
    <m/>
    <x v="1"/>
    <x v="1"/>
    <m/>
    <m/>
    <m/>
    <m/>
    <m/>
    <m/>
    <n v="6"/>
    <m/>
    <m/>
    <n v="1"/>
    <m/>
    <m/>
    <n v="2"/>
    <m/>
    <m/>
    <s v="Yes"/>
    <m/>
    <n v="1"/>
    <m/>
    <m/>
    <m/>
    <m/>
    <m/>
    <m/>
    <m/>
    <m/>
    <m/>
    <m/>
    <m/>
    <m/>
    <s v="no test"/>
    <s v="no test"/>
    <s v="No Test"/>
    <n v="0"/>
    <n v="0"/>
    <n v="12"/>
    <n v="0"/>
    <n v="0"/>
    <n v="0"/>
    <n v="0"/>
    <n v="1"/>
    <n v="1"/>
    <n v="1"/>
    <n v="250"/>
    <n v="0"/>
    <n v="0"/>
    <n v="1"/>
    <n v="250"/>
    <n v="0.5"/>
    <n v="0"/>
    <n v="0"/>
    <n v="0.5"/>
    <n v="1"/>
    <n v="18"/>
    <n v="1"/>
    <n v="250"/>
    <n v="0"/>
    <n v="0"/>
    <n v="0"/>
    <n v="13"/>
    <n v="0"/>
    <n v="0"/>
    <n v="0"/>
    <n v="250"/>
    <n v="0"/>
    <n v="0"/>
    <n v="0"/>
    <n v="250"/>
    <n v="1"/>
    <n v="0"/>
    <n v="1"/>
    <n v="0"/>
    <n v="0"/>
    <n v="6"/>
    <n v="54"/>
    <n v="0"/>
    <n v="250"/>
    <s v="No"/>
    <s v=""/>
    <n v="0"/>
    <n v="0"/>
    <n v="0"/>
    <s v="Yes"/>
    <s v="KBC-NSS"/>
    <x v="0"/>
    <x v="0"/>
    <x v="0"/>
    <n v="23.694130000000001"/>
    <n v="97.818979999999996"/>
    <s v="MMR015CMP007"/>
    <x v="1"/>
    <m/>
    <n v="54"/>
    <n v="279"/>
  </r>
  <r>
    <x v="1"/>
    <x v="3"/>
    <x v="3"/>
    <s v="UNICEF, USAID"/>
    <x v="1"/>
    <x v="14"/>
    <x v="0"/>
    <x v="187"/>
    <n v="35"/>
    <n v="158"/>
    <s v="11-11-2021, 07-01-2020"/>
    <s v="10-11-2022, 28-2-2022"/>
    <m/>
    <n v="1"/>
    <m/>
    <m/>
    <s v="Yes"/>
    <n v="5"/>
    <n v="4"/>
    <m/>
    <m/>
    <m/>
    <n v="2"/>
    <m/>
    <m/>
    <m/>
    <m/>
    <m/>
    <m/>
    <m/>
    <m/>
    <m/>
    <m/>
    <n v="1"/>
    <m/>
    <m/>
    <m/>
    <m/>
    <m/>
    <m/>
    <m/>
    <m/>
    <n v="8"/>
    <m/>
    <m/>
    <m/>
    <m/>
    <m/>
    <m/>
    <m/>
    <x v="1"/>
    <x v="2"/>
    <m/>
    <m/>
    <m/>
    <m/>
    <m/>
    <m/>
    <n v="4"/>
    <m/>
    <m/>
    <n v="1"/>
    <m/>
    <m/>
    <n v="2"/>
    <m/>
    <m/>
    <s v="Yes"/>
    <m/>
    <n v="1"/>
    <m/>
    <m/>
    <m/>
    <m/>
    <m/>
    <m/>
    <m/>
    <m/>
    <m/>
    <m/>
    <m/>
    <m/>
    <s v="no test"/>
    <s v="no test"/>
    <s v="No Test"/>
    <n v="0"/>
    <n v="2"/>
    <n v="0"/>
    <n v="0"/>
    <n v="0"/>
    <n v="0"/>
    <n v="0"/>
    <n v="1"/>
    <n v="1"/>
    <n v="1"/>
    <n v="158"/>
    <n v="0"/>
    <n v="0"/>
    <n v="1"/>
    <n v="158"/>
    <n v="0.316"/>
    <n v="0"/>
    <n v="0"/>
    <n v="0.68399999999999994"/>
    <n v="1"/>
    <n v="8"/>
    <n v="1"/>
    <n v="158"/>
    <n v="0"/>
    <n v="0"/>
    <n v="0"/>
    <n v="8"/>
    <n v="0"/>
    <n v="0"/>
    <n v="0"/>
    <n v="158"/>
    <n v="0"/>
    <n v="0"/>
    <n v="0"/>
    <n v="158"/>
    <n v="1"/>
    <n v="0"/>
    <n v="1"/>
    <n v="0"/>
    <n v="0"/>
    <n v="4"/>
    <n v="35"/>
    <n v="0"/>
    <n v="158"/>
    <s v="No"/>
    <s v=""/>
    <n v="0"/>
    <n v="0"/>
    <n v="0"/>
    <s v="Yes"/>
    <s v="KMSS-LSO"/>
    <x v="0"/>
    <x v="0"/>
    <x v="0"/>
    <n v="23.682887999999998"/>
    <n v="97.810101000000003"/>
    <s v="MMR015CMP043"/>
    <x v="1"/>
    <m/>
    <n v="34"/>
    <n v="144"/>
  </r>
  <r>
    <x v="1"/>
    <x v="3"/>
    <x v="3"/>
    <s v="UNICEF, USAID"/>
    <x v="1"/>
    <x v="18"/>
    <x v="0"/>
    <x v="188"/>
    <n v="40"/>
    <n v="206"/>
    <d v="2021-11-11T00:00:00"/>
    <d v="2022-11-10T00:00:00"/>
    <m/>
    <m/>
    <n v="1"/>
    <m/>
    <s v="Yes"/>
    <m/>
    <n v="5"/>
    <n v="4"/>
    <m/>
    <m/>
    <n v="1"/>
    <m/>
    <m/>
    <m/>
    <m/>
    <m/>
    <m/>
    <m/>
    <m/>
    <m/>
    <m/>
    <m/>
    <m/>
    <m/>
    <m/>
    <m/>
    <m/>
    <m/>
    <m/>
    <m/>
    <n v="6"/>
    <n v="10"/>
    <m/>
    <m/>
    <m/>
    <m/>
    <m/>
    <m/>
    <x v="1"/>
    <x v="1"/>
    <m/>
    <m/>
    <m/>
    <m/>
    <m/>
    <m/>
    <m/>
    <m/>
    <m/>
    <n v="2"/>
    <m/>
    <m/>
    <n v="1"/>
    <m/>
    <m/>
    <s v="Yes"/>
    <m/>
    <n v="1"/>
    <m/>
    <m/>
    <m/>
    <m/>
    <m/>
    <m/>
    <m/>
    <m/>
    <m/>
    <m/>
    <m/>
    <m/>
    <s v="no test"/>
    <s v="no test"/>
    <s v="No Test"/>
    <n v="4"/>
    <n v="1"/>
    <n v="0"/>
    <n v="0"/>
    <n v="0"/>
    <n v="0"/>
    <n v="0"/>
    <n v="1"/>
    <n v="1"/>
    <n v="1"/>
    <n v="206"/>
    <n v="0"/>
    <n v="0"/>
    <n v="1"/>
    <n v="206"/>
    <n v="0.41199999999999998"/>
    <n v="0"/>
    <n v="0"/>
    <n v="0.58800000000000008"/>
    <n v="1"/>
    <n v="16"/>
    <n v="1"/>
    <n v="206"/>
    <n v="0"/>
    <n v="0"/>
    <n v="0"/>
    <n v="10"/>
    <n v="0"/>
    <n v="0"/>
    <n v="0"/>
    <n v="206"/>
    <n v="0"/>
    <n v="0"/>
    <n v="0"/>
    <n v="206"/>
    <n v="1"/>
    <n v="0"/>
    <n v="1"/>
    <n v="0"/>
    <n v="0"/>
    <n v="0"/>
    <n v="0"/>
    <n v="0"/>
    <n v="0"/>
    <s v="No"/>
    <s v=""/>
    <n v="0"/>
    <n v="0"/>
    <n v="0"/>
    <s v="Yes"/>
    <s v="KBC-NSS"/>
    <x v="0"/>
    <x v="0"/>
    <x v="0"/>
    <n v="23.354268999999999"/>
    <n v="98.218626999999998"/>
    <s v="MMR015CMP036"/>
    <x v="1"/>
    <m/>
    <n v="36"/>
    <n v="180"/>
  </r>
  <r>
    <x v="1"/>
    <x v="3"/>
    <x v="3"/>
    <s v="UNICEF, USAID"/>
    <x v="1"/>
    <x v="19"/>
    <x v="0"/>
    <x v="189"/>
    <n v="32"/>
    <n v="141"/>
    <s v="11-11-2021, 07-01-2020"/>
    <s v="10-11-2022, 28-2-2022"/>
    <m/>
    <m/>
    <n v="1"/>
    <m/>
    <s v="Yes"/>
    <n v="3"/>
    <n v="3"/>
    <m/>
    <m/>
    <m/>
    <n v="1"/>
    <m/>
    <m/>
    <m/>
    <n v="1"/>
    <m/>
    <m/>
    <m/>
    <m/>
    <m/>
    <m/>
    <m/>
    <m/>
    <m/>
    <m/>
    <m/>
    <m/>
    <m/>
    <m/>
    <m/>
    <n v="8"/>
    <m/>
    <m/>
    <m/>
    <m/>
    <m/>
    <m/>
    <m/>
    <x v="1"/>
    <x v="1"/>
    <m/>
    <m/>
    <m/>
    <m/>
    <m/>
    <m/>
    <n v="5"/>
    <m/>
    <m/>
    <n v="2"/>
    <m/>
    <m/>
    <n v="1"/>
    <m/>
    <m/>
    <s v="Yes"/>
    <m/>
    <n v="1"/>
    <m/>
    <m/>
    <m/>
    <m/>
    <m/>
    <m/>
    <m/>
    <m/>
    <m/>
    <m/>
    <m/>
    <m/>
    <s v="no test"/>
    <s v="no test"/>
    <s v="No Test"/>
    <n v="0"/>
    <n v="1"/>
    <n v="1"/>
    <n v="0"/>
    <n v="0"/>
    <n v="0"/>
    <n v="0"/>
    <n v="1"/>
    <n v="1"/>
    <n v="1"/>
    <n v="141"/>
    <n v="0"/>
    <n v="0"/>
    <n v="1"/>
    <n v="141"/>
    <n v="0.28199999999999997"/>
    <n v="0"/>
    <n v="0"/>
    <n v="0.71799999999999997"/>
    <n v="1"/>
    <n v="8"/>
    <n v="1"/>
    <n v="141"/>
    <n v="0"/>
    <n v="0"/>
    <n v="0"/>
    <n v="7"/>
    <n v="0"/>
    <n v="0"/>
    <n v="0"/>
    <n v="141"/>
    <n v="0"/>
    <n v="0"/>
    <n v="0"/>
    <n v="141"/>
    <n v="1"/>
    <n v="0"/>
    <n v="1"/>
    <n v="0"/>
    <n v="0"/>
    <n v="5"/>
    <n v="32"/>
    <n v="0"/>
    <n v="141"/>
    <s v="No"/>
    <s v=""/>
    <n v="0"/>
    <n v="0"/>
    <n v="0"/>
    <s v="Yes"/>
    <s v="KBC-NSS"/>
    <x v="0"/>
    <x v="0"/>
    <x v="0"/>
    <n v="23.094290000000001"/>
    <n v="97.404089999999997"/>
    <s v="MMR015CMP014"/>
    <x v="1"/>
    <m/>
    <n v="30"/>
    <n v="126"/>
  </r>
  <r>
    <x v="1"/>
    <x v="3"/>
    <x v="3"/>
    <s v="UNICEF"/>
    <x v="1"/>
    <x v="20"/>
    <x v="0"/>
    <x v="199"/>
    <n v="14"/>
    <n v="31"/>
    <d v="2021-11-11T00:00:00"/>
    <d v="2022-11-10T00:00:00"/>
    <m/>
    <m/>
    <m/>
    <m/>
    <m/>
    <m/>
    <m/>
    <m/>
    <m/>
    <m/>
    <m/>
    <m/>
    <m/>
    <m/>
    <m/>
    <m/>
    <m/>
    <m/>
    <m/>
    <m/>
    <m/>
    <m/>
    <m/>
    <m/>
    <m/>
    <m/>
    <m/>
    <m/>
    <m/>
    <m/>
    <m/>
    <n v="4"/>
    <m/>
    <m/>
    <m/>
    <m/>
    <m/>
    <m/>
    <x v="0"/>
    <x v="0"/>
    <m/>
    <m/>
    <m/>
    <m/>
    <m/>
    <m/>
    <m/>
    <m/>
    <m/>
    <m/>
    <m/>
    <m/>
    <m/>
    <m/>
    <m/>
    <s v="Yes"/>
    <m/>
    <m/>
    <m/>
    <m/>
    <m/>
    <m/>
    <m/>
    <m/>
    <m/>
    <m/>
    <m/>
    <m/>
    <m/>
    <m/>
    <s v="no test"/>
    <s v="no test"/>
    <s v="No Test"/>
    <n v="0"/>
    <n v="0"/>
    <n v="0"/>
    <n v="0"/>
    <n v="0"/>
    <n v="0"/>
    <n v="0"/>
    <n v="0"/>
    <n v="0"/>
    <n v="0"/>
    <n v="0"/>
    <n v="0"/>
    <n v="0"/>
    <n v="0"/>
    <n v="0"/>
    <n v="0"/>
    <n v="1"/>
    <n v="31"/>
    <n v="1"/>
    <n v="1"/>
    <n v="4"/>
    <n v="1"/>
    <n v="31"/>
    <n v="0"/>
    <n v="0"/>
    <n v="0"/>
    <n v="2"/>
    <n v="0"/>
    <n v="0"/>
    <n v="0"/>
    <n v="0"/>
    <n v="0"/>
    <n v="0"/>
    <n v="0"/>
    <n v="0"/>
    <n v="0"/>
    <n v="1"/>
    <n v="0"/>
    <n v="0"/>
    <n v="0"/>
    <n v="0"/>
    <n v="0"/>
    <n v="0"/>
    <n v="0"/>
    <s v="No"/>
    <s v=""/>
    <n v="0"/>
    <n v="0"/>
    <n v="0"/>
    <n v="0"/>
    <n v="0"/>
    <x v="0"/>
    <x v="3"/>
    <x v="0"/>
    <n v="0"/>
    <n v="0"/>
    <s v="MMR015CMP079"/>
    <x v="1"/>
    <m/>
    <n v="14"/>
    <n v="31"/>
  </r>
  <r>
    <x v="1"/>
    <x v="3"/>
    <x v="3"/>
    <s v="UNICEF, USAID"/>
    <x v="1"/>
    <x v="14"/>
    <x v="0"/>
    <x v="190"/>
    <n v="121"/>
    <n v="664"/>
    <s v="11-11-2021, 07-01-2020"/>
    <s v="10-11-2022, 28-2-2022"/>
    <m/>
    <n v="1"/>
    <m/>
    <m/>
    <s v="Yes"/>
    <n v="4"/>
    <n v="5"/>
    <m/>
    <m/>
    <m/>
    <m/>
    <m/>
    <m/>
    <m/>
    <n v="8"/>
    <m/>
    <m/>
    <m/>
    <m/>
    <m/>
    <m/>
    <m/>
    <m/>
    <m/>
    <m/>
    <m/>
    <n v="1"/>
    <m/>
    <m/>
    <m/>
    <n v="105"/>
    <m/>
    <m/>
    <m/>
    <m/>
    <m/>
    <m/>
    <m/>
    <x v="1"/>
    <x v="1"/>
    <m/>
    <m/>
    <m/>
    <m/>
    <m/>
    <m/>
    <n v="8"/>
    <m/>
    <m/>
    <n v="3"/>
    <m/>
    <m/>
    <n v="1"/>
    <m/>
    <m/>
    <s v="Yes"/>
    <m/>
    <n v="1"/>
    <m/>
    <m/>
    <m/>
    <m/>
    <m/>
    <m/>
    <m/>
    <m/>
    <m/>
    <m/>
    <m/>
    <m/>
    <s v="no test"/>
    <s v="no test"/>
    <s v="No Test"/>
    <n v="0"/>
    <n v="0"/>
    <n v="8"/>
    <n v="0"/>
    <n v="0"/>
    <n v="0"/>
    <n v="0"/>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0"/>
    <n v="0"/>
    <n v="0"/>
    <n v="500"/>
    <n v="0.75301204819277112"/>
    <n v="0.24698795180722888"/>
    <n v="0.75301204819277112"/>
    <n v="0"/>
    <n v="0"/>
    <n v="8"/>
    <n v="121"/>
    <n v="1"/>
    <n v="664"/>
    <s v="No"/>
    <s v=""/>
    <n v="0"/>
    <n v="0"/>
    <n v="0"/>
    <s v="Yes"/>
    <s v="KMSS-LSO"/>
    <x v="1"/>
    <x v="0"/>
    <x v="0"/>
    <n v="23.447111"/>
    <n v="97.868876999999998"/>
    <s v="MMR015CMP037"/>
    <x v="1"/>
    <m/>
    <n v="123"/>
    <n v="706"/>
  </r>
  <r>
    <x v="1"/>
    <x v="3"/>
    <x v="3"/>
    <s v="UNICEF, USAID"/>
    <x v="1"/>
    <x v="14"/>
    <x v="0"/>
    <x v="191"/>
    <n v="45"/>
    <n v="221"/>
    <s v="11-11-2021, 07-01-2020"/>
    <s v="10-11-2022, 28-2-2022"/>
    <m/>
    <m/>
    <m/>
    <m/>
    <m/>
    <n v="5"/>
    <n v="4"/>
    <m/>
    <m/>
    <m/>
    <m/>
    <m/>
    <m/>
    <m/>
    <n v="8"/>
    <m/>
    <m/>
    <m/>
    <m/>
    <m/>
    <m/>
    <n v="1"/>
    <m/>
    <m/>
    <m/>
    <m/>
    <n v="2"/>
    <n v="1"/>
    <m/>
    <m/>
    <n v="37"/>
    <m/>
    <m/>
    <m/>
    <m/>
    <m/>
    <m/>
    <n v="3"/>
    <x v="2"/>
    <x v="3"/>
    <m/>
    <m/>
    <n v="2"/>
    <m/>
    <m/>
    <m/>
    <n v="7"/>
    <m/>
    <m/>
    <m/>
    <m/>
    <m/>
    <n v="1"/>
    <m/>
    <m/>
    <s v="Yes"/>
    <m/>
    <n v="1"/>
    <m/>
    <m/>
    <m/>
    <m/>
    <m/>
    <m/>
    <m/>
    <m/>
    <m/>
    <m/>
    <m/>
    <m/>
    <s v="no test"/>
    <s v="no test"/>
    <s v="No Test"/>
    <n v="0"/>
    <n v="0"/>
    <n v="8"/>
    <n v="0"/>
    <n v="0"/>
    <n v="221"/>
    <n v="0"/>
    <n v="1"/>
    <n v="1"/>
    <n v="1"/>
    <n v="221"/>
    <n v="0"/>
    <n v="0"/>
    <n v="1"/>
    <n v="221"/>
    <n v="0.442"/>
    <n v="0"/>
    <n v="0"/>
    <n v="0.55800000000000005"/>
    <n v="1"/>
    <n v="37"/>
    <n v="1"/>
    <n v="221"/>
    <n v="0"/>
    <n v="0"/>
    <n v="0"/>
    <n v="11"/>
    <n v="0"/>
    <n v="0"/>
    <n v="0"/>
    <n v="221"/>
    <n v="0"/>
    <n v="0"/>
    <n v="0"/>
    <n v="221"/>
    <n v="1"/>
    <n v="0"/>
    <n v="1"/>
    <n v="0"/>
    <n v="0"/>
    <n v="7"/>
    <n v="45"/>
    <n v="2"/>
    <n v="221"/>
    <s v="No"/>
    <s v=""/>
    <n v="0"/>
    <n v="221"/>
    <n v="0"/>
    <s v="Yes"/>
    <s v="KMSS-LSO"/>
    <x v="0"/>
    <x v="0"/>
    <x v="0"/>
    <n v="23.59"/>
    <n v="97.805999999999997"/>
    <s v="MMR015CMP067"/>
    <x v="1"/>
    <m/>
    <n v="47"/>
    <n v="230"/>
  </r>
  <r>
    <x v="1"/>
    <x v="0"/>
    <x v="0"/>
    <m/>
    <x v="1"/>
    <x v="17"/>
    <x v="2"/>
    <x v="200"/>
    <n v="657"/>
    <n v="2786"/>
    <m/>
    <m/>
    <m/>
    <m/>
    <m/>
    <m/>
    <m/>
    <m/>
    <m/>
    <m/>
    <m/>
    <m/>
    <m/>
    <m/>
    <m/>
    <m/>
    <m/>
    <m/>
    <m/>
    <m/>
    <m/>
    <m/>
    <m/>
    <m/>
    <m/>
    <m/>
    <m/>
    <m/>
    <m/>
    <m/>
    <m/>
    <m/>
    <m/>
    <m/>
    <m/>
    <m/>
    <m/>
    <m/>
    <m/>
    <m/>
    <x v="0"/>
    <x v="0"/>
    <m/>
    <m/>
    <m/>
    <m/>
    <m/>
    <m/>
    <m/>
    <m/>
    <m/>
    <m/>
    <m/>
    <m/>
    <m/>
    <m/>
    <m/>
    <m/>
    <m/>
    <m/>
    <m/>
    <m/>
    <m/>
    <m/>
    <m/>
    <m/>
    <m/>
    <m/>
    <m/>
    <m/>
    <m/>
    <m/>
    <s v="no test"/>
    <s v="no test"/>
    <s v="No Test"/>
    <n v="0"/>
    <n v="0"/>
    <n v="0"/>
    <n v="0"/>
    <n v="0"/>
    <n v="0"/>
    <n v="0"/>
    <n v="0"/>
    <n v="0"/>
    <n v="0"/>
    <n v="0"/>
    <n v="0"/>
    <n v="0"/>
    <n v="0"/>
    <n v="0"/>
    <n v="0"/>
    <n v="1"/>
    <n v="2786"/>
    <n v="6"/>
    <n v="6"/>
    <n v="0"/>
    <n v="0"/>
    <n v="0"/>
    <n v="0"/>
    <n v="0"/>
    <n v="0"/>
    <n v="464"/>
    <n v="464"/>
    <n v="1"/>
    <n v="0"/>
    <n v="0"/>
    <n v="0"/>
    <n v="0"/>
    <n v="0"/>
    <n v="0"/>
    <n v="0"/>
    <n v="1"/>
    <n v="0"/>
    <n v="0"/>
    <n v="0"/>
    <n v="0"/>
    <n v="0"/>
    <n v="0"/>
    <n v="0"/>
    <s v="No"/>
    <s v=""/>
    <n v="0"/>
    <n v="0"/>
    <n v="0"/>
    <n v="0"/>
    <n v="0"/>
    <x v="2"/>
    <x v="9"/>
    <x v="0"/>
    <n v="23.363275999999999"/>
    <n v="98.472977999999998"/>
    <s v="MMR015CMP072"/>
    <x v="0"/>
    <m/>
    <n v="657"/>
    <n v="2786"/>
  </r>
  <r>
    <x v="1"/>
    <x v="0"/>
    <x v="0"/>
    <m/>
    <x v="1"/>
    <x v="17"/>
    <x v="0"/>
    <x v="193"/>
    <n v="34"/>
    <n v="170"/>
    <m/>
    <m/>
    <m/>
    <m/>
    <m/>
    <m/>
    <m/>
    <m/>
    <m/>
    <m/>
    <m/>
    <m/>
    <m/>
    <m/>
    <m/>
    <m/>
    <m/>
    <m/>
    <m/>
    <m/>
    <m/>
    <m/>
    <m/>
    <m/>
    <m/>
    <m/>
    <m/>
    <m/>
    <m/>
    <m/>
    <m/>
    <m/>
    <m/>
    <m/>
    <m/>
    <m/>
    <m/>
    <m/>
    <m/>
    <m/>
    <x v="0"/>
    <x v="0"/>
    <m/>
    <m/>
    <m/>
    <m/>
    <m/>
    <m/>
    <m/>
    <m/>
    <m/>
    <m/>
    <m/>
    <m/>
    <m/>
    <m/>
    <m/>
    <m/>
    <m/>
    <m/>
    <m/>
    <m/>
    <m/>
    <m/>
    <m/>
    <m/>
    <m/>
    <m/>
    <m/>
    <m/>
    <m/>
    <m/>
    <s v="no test"/>
    <s v="no test"/>
    <s v="No Test"/>
    <n v="0"/>
    <n v="0"/>
    <n v="0"/>
    <n v="0"/>
    <n v="0"/>
    <n v="0"/>
    <n v="0"/>
    <n v="0"/>
    <n v="0"/>
    <n v="0"/>
    <n v="0"/>
    <n v="0"/>
    <n v="0"/>
    <n v="0"/>
    <n v="0"/>
    <n v="0"/>
    <n v="1"/>
    <n v="170"/>
    <n v="1"/>
    <n v="1"/>
    <n v="0"/>
    <n v="0"/>
    <n v="0"/>
    <n v="0"/>
    <n v="0"/>
    <n v="0"/>
    <n v="9"/>
    <n v="9"/>
    <n v="1"/>
    <n v="0"/>
    <n v="0"/>
    <n v="0"/>
    <n v="0"/>
    <n v="0"/>
    <n v="0"/>
    <n v="0"/>
    <n v="1"/>
    <n v="0"/>
    <n v="0"/>
    <n v="0"/>
    <n v="0"/>
    <n v="0"/>
    <n v="0"/>
    <n v="0"/>
    <s v="No"/>
    <s v=""/>
    <n v="0"/>
    <n v="0"/>
    <n v="0"/>
    <n v="0"/>
    <n v="0"/>
    <x v="0"/>
    <x v="3"/>
    <x v="0"/>
    <n v="23.729893000000001"/>
    <n v="98.779853500000002"/>
    <s v="MMR015CMP070"/>
    <x v="0"/>
    <m/>
    <n v="34"/>
    <n v="170"/>
  </r>
  <r>
    <x v="1"/>
    <x v="3"/>
    <x v="3"/>
    <s v="UNICEF"/>
    <x v="1"/>
    <x v="20"/>
    <x v="0"/>
    <x v="201"/>
    <n v="54"/>
    <n v="179"/>
    <d v="2021-11-11T00:00:00"/>
    <d v="2022-11-10T00:00:00"/>
    <m/>
    <m/>
    <m/>
    <m/>
    <m/>
    <m/>
    <m/>
    <m/>
    <m/>
    <m/>
    <m/>
    <n v="2"/>
    <m/>
    <m/>
    <m/>
    <m/>
    <m/>
    <m/>
    <m/>
    <m/>
    <m/>
    <m/>
    <m/>
    <m/>
    <m/>
    <m/>
    <m/>
    <m/>
    <m/>
    <m/>
    <n v="24"/>
    <n v="6"/>
    <m/>
    <m/>
    <m/>
    <m/>
    <m/>
    <m/>
    <x v="0"/>
    <x v="0"/>
    <m/>
    <m/>
    <m/>
    <m/>
    <m/>
    <m/>
    <n v="20"/>
    <m/>
    <n v="2"/>
    <m/>
    <m/>
    <m/>
    <m/>
    <m/>
    <m/>
    <s v="Yes"/>
    <m/>
    <m/>
    <m/>
    <m/>
    <m/>
    <m/>
    <m/>
    <m/>
    <m/>
    <m/>
    <m/>
    <m/>
    <m/>
    <m/>
    <s v="no test"/>
    <s v="no test"/>
    <s v="No Test"/>
    <n v="0"/>
    <n v="2"/>
    <n v="0"/>
    <n v="0"/>
    <n v="0"/>
    <n v="0"/>
    <n v="0"/>
    <n v="1"/>
    <n v="1"/>
    <n v="1"/>
    <n v="179"/>
    <n v="0"/>
    <n v="0"/>
    <n v="1"/>
    <n v="179"/>
    <n v="0.35799999999999998"/>
    <n v="0"/>
    <n v="0"/>
    <n v="0.64200000000000002"/>
    <n v="1"/>
    <n v="30"/>
    <n v="1"/>
    <n v="179"/>
    <n v="0"/>
    <n v="0"/>
    <n v="0"/>
    <n v="9"/>
    <n v="0"/>
    <n v="0"/>
    <n v="0"/>
    <n v="0"/>
    <n v="0"/>
    <n v="0"/>
    <n v="0"/>
    <n v="0"/>
    <n v="0"/>
    <n v="1"/>
    <n v="0"/>
    <n v="0"/>
    <n v="0"/>
    <n v="20"/>
    <n v="54"/>
    <n v="0"/>
    <n v="179"/>
    <s v="No"/>
    <s v=""/>
    <n v="0"/>
    <n v="0"/>
    <n v="0"/>
    <n v="0"/>
    <n v="0"/>
    <x v="0"/>
    <x v="3"/>
    <x v="0"/>
    <n v="0"/>
    <n v="0"/>
    <s v="MMR015CMP080"/>
    <x v="1"/>
    <m/>
    <n v="54"/>
    <n v="179"/>
  </r>
  <r>
    <x v="1"/>
    <x v="3"/>
    <x v="3"/>
    <s v="UNICEF"/>
    <x v="1"/>
    <x v="20"/>
    <x v="0"/>
    <x v="202"/>
    <n v="12"/>
    <n v="26"/>
    <d v="2021-11-11T00:00:00"/>
    <d v="2022-11-10T00:00:00"/>
    <m/>
    <m/>
    <m/>
    <m/>
    <m/>
    <m/>
    <m/>
    <m/>
    <m/>
    <m/>
    <m/>
    <n v="1"/>
    <m/>
    <m/>
    <m/>
    <m/>
    <m/>
    <m/>
    <m/>
    <m/>
    <m/>
    <m/>
    <m/>
    <m/>
    <m/>
    <m/>
    <m/>
    <m/>
    <m/>
    <m/>
    <n v="2"/>
    <m/>
    <m/>
    <m/>
    <m/>
    <m/>
    <m/>
    <m/>
    <x v="0"/>
    <x v="0"/>
    <m/>
    <m/>
    <m/>
    <m/>
    <m/>
    <m/>
    <n v="4"/>
    <m/>
    <m/>
    <m/>
    <m/>
    <m/>
    <m/>
    <m/>
    <m/>
    <s v="Yes"/>
    <m/>
    <m/>
    <m/>
    <m/>
    <m/>
    <m/>
    <m/>
    <m/>
    <m/>
    <m/>
    <m/>
    <m/>
    <m/>
    <m/>
    <s v="no test"/>
    <s v="no test"/>
    <s v="No Test"/>
    <n v="0"/>
    <n v="1"/>
    <n v="0"/>
    <n v="0"/>
    <n v="0"/>
    <n v="0"/>
    <n v="0"/>
    <n v="1"/>
    <n v="1"/>
    <n v="1"/>
    <n v="26"/>
    <n v="0"/>
    <n v="0"/>
    <n v="1"/>
    <n v="26"/>
    <n v="5.1999999999999998E-2"/>
    <n v="0"/>
    <n v="0"/>
    <n v="0.94799999999999995"/>
    <n v="1"/>
    <n v="2"/>
    <n v="1"/>
    <n v="26"/>
    <n v="0"/>
    <n v="0"/>
    <n v="0"/>
    <n v="1"/>
    <n v="0"/>
    <n v="0"/>
    <n v="0"/>
    <n v="0"/>
    <n v="0"/>
    <n v="0"/>
    <n v="0"/>
    <n v="0"/>
    <n v="0"/>
    <n v="1"/>
    <n v="0"/>
    <n v="0"/>
    <n v="0"/>
    <n v="4"/>
    <n v="12"/>
    <n v="0"/>
    <n v="26"/>
    <s v="No"/>
    <s v=""/>
    <n v="0"/>
    <n v="0"/>
    <n v="0"/>
    <n v="0"/>
    <n v="0"/>
    <x v="0"/>
    <x v="3"/>
    <x v="0"/>
    <n v="0"/>
    <n v="0"/>
    <s v="MMR015CMP081"/>
    <x v="1"/>
    <m/>
    <n v="12"/>
    <n v="47"/>
  </r>
  <r>
    <x v="1"/>
    <x v="3"/>
    <x v="3"/>
    <s v="UNICEF"/>
    <x v="1"/>
    <x v="18"/>
    <x v="0"/>
    <x v="203"/>
    <n v="31"/>
    <n v="155"/>
    <d v="2021-11-11T00:00:00"/>
    <d v="2022-11-10T00:00:00"/>
    <m/>
    <m/>
    <m/>
    <m/>
    <m/>
    <m/>
    <m/>
    <m/>
    <m/>
    <m/>
    <m/>
    <m/>
    <m/>
    <m/>
    <m/>
    <m/>
    <m/>
    <m/>
    <m/>
    <m/>
    <m/>
    <m/>
    <m/>
    <m/>
    <m/>
    <m/>
    <m/>
    <m/>
    <m/>
    <m/>
    <m/>
    <m/>
    <m/>
    <m/>
    <m/>
    <m/>
    <m/>
    <m/>
    <x v="0"/>
    <x v="0"/>
    <m/>
    <m/>
    <m/>
    <m/>
    <m/>
    <m/>
    <m/>
    <m/>
    <m/>
    <m/>
    <m/>
    <m/>
    <m/>
    <m/>
    <m/>
    <s v="Yes"/>
    <m/>
    <m/>
    <m/>
    <m/>
    <m/>
    <m/>
    <m/>
    <m/>
    <m/>
    <m/>
    <m/>
    <m/>
    <m/>
    <m/>
    <s v="no test"/>
    <s v="no test"/>
    <s v="No Test"/>
    <n v="0"/>
    <n v="0"/>
    <n v="0"/>
    <n v="0"/>
    <n v="0"/>
    <n v="0"/>
    <n v="0"/>
    <n v="0"/>
    <n v="0"/>
    <n v="0"/>
    <n v="0"/>
    <n v="0"/>
    <n v="0"/>
    <n v="0"/>
    <n v="0"/>
    <n v="0"/>
    <n v="1"/>
    <n v="155"/>
    <n v="1"/>
    <n v="1"/>
    <n v="0"/>
    <n v="0"/>
    <n v="0"/>
    <n v="0"/>
    <n v="0"/>
    <n v="0"/>
    <n v="8"/>
    <n v="8"/>
    <n v="1"/>
    <n v="0"/>
    <n v="0"/>
    <n v="0"/>
    <n v="0"/>
    <n v="0"/>
    <n v="0"/>
    <n v="0"/>
    <n v="1"/>
    <n v="0"/>
    <n v="0"/>
    <n v="0"/>
    <n v="0"/>
    <n v="0"/>
    <n v="0"/>
    <n v="0"/>
    <s v="No"/>
    <s v=""/>
    <n v="0"/>
    <n v="0"/>
    <n v="0"/>
    <n v="0"/>
    <n v="0"/>
    <x v="0"/>
    <x v="3"/>
    <x v="0"/>
    <n v="0"/>
    <n v="0"/>
    <s v="MMR015CMP083"/>
    <x v="1"/>
    <m/>
    <n v="31"/>
    <n v="155"/>
  </r>
  <r>
    <x v="1"/>
    <x v="3"/>
    <x v="3"/>
    <s v="UNICEF, USAID"/>
    <x v="1"/>
    <x v="23"/>
    <x v="0"/>
    <x v="194"/>
    <n v="42"/>
    <n v="195"/>
    <d v="2021-11-11T00:00:00"/>
    <d v="2022-10-11T00:00:00"/>
    <m/>
    <m/>
    <m/>
    <m/>
    <m/>
    <n v="4"/>
    <n v="4"/>
    <m/>
    <m/>
    <m/>
    <n v="1"/>
    <m/>
    <m/>
    <m/>
    <n v="1"/>
    <m/>
    <m/>
    <m/>
    <m/>
    <m/>
    <m/>
    <n v="1"/>
    <m/>
    <m/>
    <m/>
    <m/>
    <n v="1"/>
    <m/>
    <m/>
    <m/>
    <n v="38"/>
    <m/>
    <m/>
    <m/>
    <m/>
    <m/>
    <m/>
    <m/>
    <x v="2"/>
    <x v="2"/>
    <m/>
    <m/>
    <m/>
    <m/>
    <m/>
    <m/>
    <m/>
    <m/>
    <m/>
    <m/>
    <m/>
    <m/>
    <n v="1"/>
    <m/>
    <m/>
    <s v="Yes"/>
    <m/>
    <n v="1"/>
    <m/>
    <m/>
    <m/>
    <m/>
    <m/>
    <m/>
    <m/>
    <m/>
    <m/>
    <m/>
    <m/>
    <m/>
    <s v="no test"/>
    <s v="no test"/>
    <s v="No Test"/>
    <n v="0"/>
    <n v="1"/>
    <n v="1"/>
    <n v="0"/>
    <n v="0"/>
    <n v="0"/>
    <n v="0"/>
    <n v="1"/>
    <n v="1"/>
    <n v="1"/>
    <n v="195"/>
    <n v="0"/>
    <n v="0"/>
    <n v="1"/>
    <n v="195"/>
    <n v="0.39"/>
    <n v="0"/>
    <n v="0"/>
    <n v="0.61"/>
    <n v="1"/>
    <n v="38"/>
    <n v="1"/>
    <n v="195"/>
    <n v="0"/>
    <n v="0"/>
    <n v="0"/>
    <n v="10"/>
    <n v="0"/>
    <n v="0"/>
    <n v="0"/>
    <n v="195"/>
    <n v="0"/>
    <n v="0"/>
    <n v="0"/>
    <n v="195"/>
    <n v="1"/>
    <n v="0"/>
    <n v="1"/>
    <n v="0"/>
    <n v="0"/>
    <n v="0"/>
    <n v="0"/>
    <n v="1"/>
    <n v="0"/>
    <s v="No"/>
    <s v=""/>
    <n v="0"/>
    <n v="0"/>
    <n v="0"/>
    <n v="0"/>
    <n v="0"/>
    <x v="0"/>
    <x v="5"/>
    <x v="0"/>
    <n v="23.353999999999999"/>
    <n v="98.221000000000004"/>
    <s v="MMR015CMP226"/>
    <x v="1"/>
    <m/>
    <n v="0"/>
    <n v="0"/>
  </r>
  <r>
    <x v="1"/>
    <x v="3"/>
    <x v="3"/>
    <s v="UNICEF, USAID"/>
    <x v="1"/>
    <x v="14"/>
    <x v="0"/>
    <x v="195"/>
    <n v="209"/>
    <n v="1101"/>
    <s v="11-11-2021, 07-01-2020"/>
    <s v="10-11-2022, 28-2-2022"/>
    <m/>
    <n v="2"/>
    <m/>
    <m/>
    <s v="Yes"/>
    <n v="5"/>
    <n v="4"/>
    <n v="2"/>
    <m/>
    <m/>
    <n v="1"/>
    <m/>
    <m/>
    <m/>
    <n v="48"/>
    <m/>
    <m/>
    <m/>
    <m/>
    <m/>
    <m/>
    <n v="1"/>
    <m/>
    <m/>
    <m/>
    <m/>
    <m/>
    <n v="2"/>
    <m/>
    <m/>
    <n v="200"/>
    <n v="5"/>
    <m/>
    <m/>
    <m/>
    <m/>
    <m/>
    <n v="18"/>
    <x v="2"/>
    <x v="2"/>
    <m/>
    <m/>
    <n v="2"/>
    <m/>
    <m/>
    <m/>
    <n v="2"/>
    <m/>
    <m/>
    <n v="5"/>
    <m/>
    <m/>
    <n v="1"/>
    <m/>
    <m/>
    <s v="Yes"/>
    <m/>
    <n v="1"/>
    <m/>
    <m/>
    <m/>
    <m/>
    <m/>
    <m/>
    <m/>
    <m/>
    <m/>
    <m/>
    <m/>
    <m/>
    <s v="no test"/>
    <s v="no test"/>
    <s v="No Test"/>
    <n v="2"/>
    <n v="1"/>
    <n v="48"/>
    <n v="0"/>
    <n v="0"/>
    <n v="1000"/>
    <n v="0"/>
    <n v="1"/>
    <n v="1"/>
    <n v="1"/>
    <n v="1101"/>
    <n v="0"/>
    <n v="0"/>
    <n v="1"/>
    <n v="1101"/>
    <n v="2.202"/>
    <n v="0"/>
    <n v="0"/>
    <n v="0"/>
    <n v="2"/>
    <n v="205"/>
    <n v="0.93097184377838327"/>
    <n v="1025"/>
    <n v="0"/>
    <n v="0"/>
    <n v="0"/>
    <n v="184"/>
    <n v="0"/>
    <n v="6.9028156221616732E-2"/>
    <n v="0"/>
    <n v="500"/>
    <n v="0"/>
    <n v="0"/>
    <n v="0"/>
    <n v="500"/>
    <n v="0.45413260672116257"/>
    <n v="0.54586739327883738"/>
    <n v="0.45413260672116257"/>
    <n v="0"/>
    <n v="0"/>
    <n v="2"/>
    <n v="40"/>
    <n v="0"/>
    <n v="200"/>
    <s v="No"/>
    <s v=""/>
    <n v="0"/>
    <n v="1000"/>
    <n v="0"/>
    <s v="Yes"/>
    <s v="KBC-NSS"/>
    <x v="1"/>
    <x v="0"/>
    <x v="0"/>
    <n v="23.38503"/>
    <n v="97.837040000000002"/>
    <s v="MMR015CMP020"/>
    <x v="1"/>
    <m/>
    <n v="209"/>
    <n v="1084"/>
  </r>
  <r>
    <x v="2"/>
    <x v="0"/>
    <x v="0"/>
    <m/>
    <x v="0"/>
    <x v="0"/>
    <x v="0"/>
    <x v="0"/>
    <n v="12"/>
    <n v="60"/>
    <m/>
    <m/>
    <m/>
    <m/>
    <m/>
    <m/>
    <m/>
    <m/>
    <m/>
    <m/>
    <m/>
    <m/>
    <m/>
    <m/>
    <m/>
    <m/>
    <m/>
    <m/>
    <m/>
    <m/>
    <m/>
    <m/>
    <m/>
    <m/>
    <m/>
    <m/>
    <m/>
    <m/>
    <m/>
    <m/>
    <m/>
    <m/>
    <m/>
    <m/>
    <m/>
    <m/>
    <m/>
    <m/>
    <m/>
    <m/>
    <x v="0"/>
    <x v="0"/>
    <m/>
    <m/>
    <m/>
    <m/>
    <m/>
    <m/>
    <n v="1"/>
    <m/>
    <m/>
    <n v="1"/>
    <m/>
    <m/>
    <m/>
    <m/>
    <m/>
    <m/>
    <m/>
    <m/>
    <m/>
    <m/>
    <m/>
    <m/>
    <m/>
    <m/>
    <m/>
    <m/>
    <m/>
    <m/>
    <m/>
    <m/>
    <s v="no test"/>
    <s v="no test"/>
    <s v="No Test"/>
    <n v="0"/>
    <n v="0"/>
    <n v="0"/>
    <n v="0"/>
    <n v="0"/>
    <n v="0"/>
    <n v="0"/>
    <n v="0"/>
    <n v="0"/>
    <n v="0"/>
    <n v="0"/>
    <n v="0"/>
    <n v="0"/>
    <n v="0"/>
    <n v="0"/>
    <n v="0"/>
    <n v="1"/>
    <n v="60"/>
    <n v="1"/>
    <n v="1"/>
    <n v="0"/>
    <n v="0"/>
    <n v="0"/>
    <n v="0"/>
    <n v="0"/>
    <n v="0"/>
    <n v="3"/>
    <n v="3"/>
    <n v="1"/>
    <n v="0"/>
    <n v="0"/>
    <n v="0"/>
    <n v="0"/>
    <n v="0"/>
    <n v="0"/>
    <n v="0"/>
    <n v="1"/>
    <n v="0"/>
    <n v="0"/>
    <n v="0"/>
    <n v="1"/>
    <n v="12"/>
    <n v="0"/>
    <n v="60"/>
    <s v="No"/>
    <s v=""/>
    <n v="0"/>
    <n v="0"/>
    <n v="0"/>
    <s v="Yes"/>
    <s v="Shalom"/>
    <x v="0"/>
    <x v="0"/>
    <x v="0"/>
    <n v="24.154199999999999"/>
    <n v="97.160600000000002"/>
    <s v="MMR001CMP281"/>
    <x v="0"/>
    <m/>
    <n v="97"/>
    <n v="480"/>
  </r>
  <r>
    <x v="2"/>
    <x v="1"/>
    <x v="1"/>
    <s v="ECHO 2739"/>
    <x v="0"/>
    <x v="0"/>
    <x v="0"/>
    <x v="3"/>
    <n v="252"/>
    <n v="1224"/>
    <d v="2022-04-01T00:00:00"/>
    <d v="2022-11-30T00:00:00"/>
    <m/>
    <m/>
    <n v="3"/>
    <m/>
    <s v="Yes"/>
    <n v="7"/>
    <n v="5"/>
    <n v="2"/>
    <m/>
    <m/>
    <n v="8"/>
    <m/>
    <m/>
    <m/>
    <m/>
    <m/>
    <m/>
    <m/>
    <m/>
    <m/>
    <n v="1"/>
    <m/>
    <n v="5"/>
    <n v="5"/>
    <n v="21"/>
    <n v="21"/>
    <m/>
    <m/>
    <m/>
    <m/>
    <n v="52"/>
    <m/>
    <m/>
    <n v="2"/>
    <n v="12"/>
    <n v="21"/>
    <n v="79.55"/>
    <m/>
    <x v="1"/>
    <x v="1"/>
    <m/>
    <n v="2"/>
    <m/>
    <m/>
    <n v="9"/>
    <m/>
    <n v="12"/>
    <m/>
    <n v="1"/>
    <n v="5"/>
    <m/>
    <m/>
    <n v="3"/>
    <n v="252"/>
    <n v="167"/>
    <m/>
    <m/>
    <m/>
    <m/>
    <m/>
    <m/>
    <m/>
    <m/>
    <m/>
    <m/>
    <m/>
    <m/>
    <m/>
    <m/>
    <m/>
    <n v="1"/>
    <n v="1"/>
    <s v="Tested"/>
    <n v="2"/>
    <n v="8"/>
    <n v="0"/>
    <n v="0"/>
    <n v="0"/>
    <n v="0"/>
    <n v="0"/>
    <n v="1"/>
    <n v="1"/>
    <n v="1"/>
    <n v="1224"/>
    <n v="0"/>
    <n v="0"/>
    <n v="1"/>
    <n v="1224"/>
    <n v="2.448"/>
    <n v="0"/>
    <n v="0"/>
    <n v="0"/>
    <n v="2"/>
    <n v="50"/>
    <n v="0.82434640522875813"/>
    <n v="1009"/>
    <n v="420"/>
    <n v="0"/>
    <n v="0"/>
    <n v="61"/>
    <n v="9"/>
    <n v="0.17565359477124187"/>
    <n v="3.8461538461538464E-2"/>
    <n v="1224"/>
    <n v="1224"/>
    <n v="167"/>
    <n v="1224"/>
    <n v="1224"/>
    <n v="1"/>
    <n v="0"/>
    <n v="1"/>
    <n v="1"/>
    <n v="0.66269841269841268"/>
    <n v="12"/>
    <n v="240"/>
    <n v="0"/>
    <n v="1200"/>
    <s v="No"/>
    <s v=""/>
    <n v="0"/>
    <n v="0"/>
    <n v="0"/>
    <s v="Yes"/>
    <s v="KMSS-BMO"/>
    <x v="0"/>
    <x v="0"/>
    <x v="0"/>
    <n v="24.260719999999999"/>
    <n v="97.238829999999993"/>
    <s v="MMR001CMP050"/>
    <x v="1"/>
    <m/>
    <n v="222"/>
    <n v="1055"/>
  </r>
  <r>
    <x v="2"/>
    <x v="2"/>
    <x v="2"/>
    <s v="MHF"/>
    <x v="0"/>
    <x v="1"/>
    <x v="0"/>
    <x v="4"/>
    <n v="95"/>
    <n v="441"/>
    <d v="2022-01-01T00:00:00"/>
    <d v="2022-12-31T00:00:00"/>
    <m/>
    <n v="1"/>
    <n v="6"/>
    <m/>
    <s v="Yes"/>
    <n v="6"/>
    <n v="5"/>
    <n v="2"/>
    <m/>
    <m/>
    <m/>
    <m/>
    <m/>
    <m/>
    <m/>
    <m/>
    <m/>
    <m/>
    <n v="4"/>
    <n v="3000"/>
    <n v="1"/>
    <m/>
    <m/>
    <m/>
    <m/>
    <m/>
    <m/>
    <m/>
    <m/>
    <m/>
    <n v="6"/>
    <n v="5"/>
    <s v="Chruch"/>
    <m/>
    <m/>
    <m/>
    <m/>
    <n v="16"/>
    <x v="1"/>
    <x v="2"/>
    <m/>
    <m/>
    <m/>
    <m/>
    <m/>
    <m/>
    <n v="4"/>
    <m/>
    <m/>
    <n v="2"/>
    <m/>
    <n v="5"/>
    <n v="5"/>
    <m/>
    <m/>
    <m/>
    <n v="12"/>
    <n v="0.1"/>
    <m/>
    <n v="1"/>
    <n v="0.8"/>
    <m/>
    <n v="0.9"/>
    <m/>
    <m/>
    <m/>
    <m/>
    <m/>
    <m/>
    <m/>
    <s v="no test"/>
    <s v="no test"/>
    <s v="No Test"/>
    <n v="2"/>
    <n v="0"/>
    <n v="0"/>
    <n v="0"/>
    <n v="2.2222222222222223"/>
    <n v="0"/>
    <n v="0"/>
    <n v="1"/>
    <n v="1"/>
    <n v="1"/>
    <n v="441"/>
    <n v="1"/>
    <n v="441"/>
    <n v="1"/>
    <n v="441"/>
    <n v="0.88200000000000001"/>
    <n v="0"/>
    <n v="0"/>
    <n v="0.11799999999999999"/>
    <n v="1"/>
    <n v="11"/>
    <n v="0.49886621315192742"/>
    <n v="220"/>
    <n v="0"/>
    <n v="0"/>
    <n v="0"/>
    <n v="22"/>
    <n v="11"/>
    <n v="0.50113378684807253"/>
    <n v="0"/>
    <n v="441"/>
    <n v="0"/>
    <n v="0"/>
    <n v="0"/>
    <n v="441"/>
    <n v="1"/>
    <n v="0"/>
    <n v="1"/>
    <n v="0"/>
    <n v="0"/>
    <n v="4"/>
    <n v="80"/>
    <n v="0"/>
    <n v="400"/>
    <s v="No"/>
    <s v=""/>
    <n v="0"/>
    <n v="0"/>
    <n v="0"/>
    <s v="Yes"/>
    <s v="Shalom"/>
    <x v="0"/>
    <x v="0"/>
    <x v="0"/>
    <n v="25.635300000000001"/>
    <n v="96.345569999999995"/>
    <s v="MMR001CMP176"/>
    <x v="1"/>
    <m/>
    <n v="94"/>
    <n v="438"/>
  </r>
  <r>
    <x v="2"/>
    <x v="2"/>
    <x v="2"/>
    <s v="MHF"/>
    <x v="0"/>
    <x v="1"/>
    <x v="0"/>
    <x v="5"/>
    <n v="13"/>
    <n v="70"/>
    <d v="2022-01-01T00:00:00"/>
    <d v="2022-12-31T00:00:00"/>
    <m/>
    <m/>
    <m/>
    <m/>
    <s v="Yes"/>
    <n v="2"/>
    <n v="3"/>
    <n v="1"/>
    <m/>
    <m/>
    <m/>
    <m/>
    <m/>
    <m/>
    <m/>
    <m/>
    <m/>
    <m/>
    <m/>
    <n v="1000"/>
    <n v="2"/>
    <m/>
    <m/>
    <m/>
    <m/>
    <m/>
    <n v="1"/>
    <m/>
    <m/>
    <s v="Need to repair the water tank tower"/>
    <n v="5"/>
    <m/>
    <m/>
    <m/>
    <m/>
    <m/>
    <m/>
    <m/>
    <x v="1"/>
    <x v="1"/>
    <m/>
    <m/>
    <m/>
    <m/>
    <m/>
    <s v="Can't desludging because can't arrive car"/>
    <n v="3"/>
    <m/>
    <m/>
    <n v="1"/>
    <m/>
    <n v="2"/>
    <n v="2"/>
    <m/>
    <m/>
    <m/>
    <m/>
    <n v="0.4"/>
    <m/>
    <n v="0.5"/>
    <n v="1"/>
    <n v="50"/>
    <n v="0.5"/>
    <m/>
    <m/>
    <m/>
    <m/>
    <m/>
    <m/>
    <m/>
    <s v="no test"/>
    <s v="no test"/>
    <s v="No Test"/>
    <n v="1"/>
    <n v="0"/>
    <n v="0"/>
    <n v="0"/>
    <n v="0.7407407407407407"/>
    <n v="0"/>
    <n v="0"/>
    <n v="1"/>
    <n v="1"/>
    <n v="1"/>
    <n v="70"/>
    <n v="0"/>
    <n v="0"/>
    <n v="1"/>
    <n v="70"/>
    <n v="0.14000000000000001"/>
    <n v="0"/>
    <n v="0"/>
    <n v="0.86"/>
    <n v="1"/>
    <n v="5"/>
    <n v="1"/>
    <n v="70"/>
    <n v="0"/>
    <n v="0"/>
    <n v="0"/>
    <n v="4"/>
    <n v="0"/>
    <n v="0"/>
    <n v="0"/>
    <n v="70"/>
    <n v="0"/>
    <n v="0"/>
    <n v="0"/>
    <n v="70"/>
    <n v="1"/>
    <n v="0"/>
    <n v="1"/>
    <n v="0"/>
    <n v="0"/>
    <n v="3"/>
    <n v="13"/>
    <n v="0"/>
    <n v="70"/>
    <s v="No"/>
    <n v="0.7142857142857143"/>
    <n v="0"/>
    <n v="0"/>
    <n v="0"/>
    <s v="Yes"/>
    <s v="Shalom"/>
    <x v="0"/>
    <x v="0"/>
    <x v="0"/>
    <n v="25.616509000000001"/>
    <n v="96.317350000000005"/>
    <s v="MMR001CMP190"/>
    <x v="1"/>
    <m/>
    <n v="14"/>
    <n v="72"/>
  </r>
  <r>
    <x v="2"/>
    <x v="1"/>
    <x v="14"/>
    <s v="ECHO 2739"/>
    <x v="0"/>
    <x v="2"/>
    <x v="1"/>
    <x v="6"/>
    <n v="110"/>
    <n v="502"/>
    <d v="2022-06-01T00:00:00"/>
    <d v="2022-11-30T00:00:00"/>
    <m/>
    <m/>
    <m/>
    <m/>
    <s v="Yes"/>
    <n v="2"/>
    <n v="3"/>
    <n v="3"/>
    <m/>
    <m/>
    <n v="2"/>
    <m/>
    <m/>
    <m/>
    <m/>
    <m/>
    <m/>
    <m/>
    <m/>
    <m/>
    <n v="1"/>
    <m/>
    <n v="1"/>
    <n v="1"/>
    <n v="9"/>
    <n v="8"/>
    <m/>
    <m/>
    <m/>
    <m/>
    <n v="31"/>
    <m/>
    <m/>
    <m/>
    <m/>
    <n v="16"/>
    <n v="19"/>
    <m/>
    <x v="1"/>
    <x v="1"/>
    <m/>
    <m/>
    <n v="3"/>
    <m/>
    <m/>
    <m/>
    <n v="11"/>
    <m/>
    <m/>
    <n v="3"/>
    <m/>
    <m/>
    <m/>
    <m/>
    <m/>
    <m/>
    <m/>
    <m/>
    <m/>
    <m/>
    <m/>
    <m/>
    <m/>
    <m/>
    <m/>
    <m/>
    <m/>
    <m/>
    <m/>
    <m/>
    <n v="1"/>
    <n v="0.88888888888888884"/>
    <s v="Tested"/>
    <n v="3"/>
    <n v="2"/>
    <n v="0"/>
    <n v="0"/>
    <n v="0"/>
    <n v="0"/>
    <n v="0"/>
    <n v="1"/>
    <n v="1"/>
    <n v="1"/>
    <n v="502"/>
    <n v="0"/>
    <n v="0"/>
    <n v="1"/>
    <n v="502"/>
    <n v="1.004"/>
    <n v="0"/>
    <n v="0"/>
    <n v="0"/>
    <n v="1"/>
    <n v="31"/>
    <n v="1"/>
    <n v="502"/>
    <n v="320"/>
    <n v="0"/>
    <n v="0"/>
    <n v="25"/>
    <n v="0"/>
    <n v="0"/>
    <n v="0"/>
    <n v="0"/>
    <n v="0"/>
    <n v="0"/>
    <n v="0"/>
    <n v="0"/>
    <n v="0"/>
    <n v="1"/>
    <n v="0"/>
    <n v="0"/>
    <n v="0"/>
    <n v="11"/>
    <n v="110"/>
    <n v="0"/>
    <n v="502"/>
    <s v="No"/>
    <s v=""/>
    <n v="0"/>
    <n v="0"/>
    <n v="0"/>
    <n v="0"/>
    <n v="0"/>
    <x v="0"/>
    <x v="0"/>
    <x v="0"/>
    <n v="0"/>
    <n v="0"/>
    <n v="0"/>
    <x v="1"/>
    <m/>
    <n v="0"/>
    <n v="0"/>
  </r>
  <r>
    <x v="2"/>
    <x v="1"/>
    <x v="1"/>
    <s v="ECHO 2739"/>
    <x v="0"/>
    <x v="0"/>
    <x v="0"/>
    <x v="7"/>
    <n v="36"/>
    <n v="222"/>
    <d v="2022-06-01T00:00:00"/>
    <d v="2022-11-30T00:00:00"/>
    <m/>
    <m/>
    <m/>
    <m/>
    <s v="Yes"/>
    <n v="1"/>
    <n v="1"/>
    <n v="1"/>
    <m/>
    <m/>
    <n v="1"/>
    <m/>
    <m/>
    <n v="1"/>
    <m/>
    <m/>
    <m/>
    <m/>
    <m/>
    <m/>
    <n v="1"/>
    <m/>
    <n v="1"/>
    <n v="1"/>
    <n v="3"/>
    <n v="3"/>
    <m/>
    <m/>
    <m/>
    <m/>
    <n v="2"/>
    <m/>
    <m/>
    <m/>
    <m/>
    <m/>
    <m/>
    <m/>
    <x v="1"/>
    <x v="1"/>
    <m/>
    <m/>
    <m/>
    <m/>
    <m/>
    <m/>
    <m/>
    <m/>
    <n v="3"/>
    <m/>
    <m/>
    <m/>
    <m/>
    <n v="4"/>
    <m/>
    <m/>
    <m/>
    <m/>
    <m/>
    <m/>
    <m/>
    <m/>
    <m/>
    <m/>
    <m/>
    <m/>
    <m/>
    <m/>
    <m/>
    <m/>
    <n v="1"/>
    <n v="1"/>
    <s v="Tested"/>
    <n v="1"/>
    <n v="1"/>
    <n v="0"/>
    <n v="0"/>
    <n v="0"/>
    <n v="0"/>
    <n v="0"/>
    <n v="1"/>
    <n v="1"/>
    <n v="1"/>
    <n v="222"/>
    <n v="0"/>
    <n v="0"/>
    <n v="1"/>
    <n v="222"/>
    <n v="0.44400000000000001"/>
    <n v="0"/>
    <n v="0"/>
    <n v="0.55600000000000005"/>
    <n v="1"/>
    <n v="2"/>
    <n v="0.18018018018018017"/>
    <n v="40"/>
    <n v="0"/>
    <n v="0"/>
    <n v="0"/>
    <n v="11"/>
    <n v="9"/>
    <n v="0.81981981981981988"/>
    <n v="0"/>
    <n v="0"/>
    <n v="20"/>
    <n v="0"/>
    <n v="20"/>
    <n v="20"/>
    <n v="9.0090090090090086E-2"/>
    <n v="0.90990990990990994"/>
    <n v="0"/>
    <n v="0.44444444444444442"/>
    <n v="0"/>
    <n v="0"/>
    <n v="0"/>
    <n v="0"/>
    <n v="0"/>
    <s v="No"/>
    <s v=""/>
    <n v="0"/>
    <n v="0"/>
    <n v="0"/>
    <s v="Yes"/>
    <s v="KBC-BMO"/>
    <x v="0"/>
    <x v="0"/>
    <x v="0"/>
    <n v="24.260466999999998"/>
    <n v="97.252650000000003"/>
    <s v="MMR001CMP194"/>
    <x v="1"/>
    <m/>
    <n v="9"/>
    <n v="37"/>
  </r>
  <r>
    <x v="2"/>
    <x v="2"/>
    <x v="2"/>
    <s v="MHF"/>
    <x v="0"/>
    <x v="1"/>
    <x v="0"/>
    <x v="8"/>
    <n v="41"/>
    <n v="250"/>
    <d v="2022-01-01T00:00:00"/>
    <d v="2022-12-31T00:00:00"/>
    <n v="53"/>
    <m/>
    <m/>
    <m/>
    <s v="Yes"/>
    <n v="1"/>
    <n v="5"/>
    <n v="2"/>
    <m/>
    <m/>
    <m/>
    <m/>
    <m/>
    <m/>
    <m/>
    <m/>
    <m/>
    <m/>
    <m/>
    <n v="10000"/>
    <n v="1"/>
    <m/>
    <m/>
    <m/>
    <m/>
    <m/>
    <m/>
    <m/>
    <m/>
    <m/>
    <n v="10"/>
    <m/>
    <m/>
    <n v="10"/>
    <m/>
    <m/>
    <m/>
    <m/>
    <x v="1"/>
    <x v="1"/>
    <m/>
    <m/>
    <m/>
    <m/>
    <m/>
    <m/>
    <n v="2"/>
    <m/>
    <m/>
    <n v="3"/>
    <m/>
    <m/>
    <n v="1"/>
    <n v="41"/>
    <m/>
    <s v="Yes"/>
    <m/>
    <n v="0.6"/>
    <s v="Hygiene promotion training and 1 hand washing station"/>
    <n v="0.7"/>
    <n v="0.7"/>
    <n v="10"/>
    <n v="0.7"/>
    <m/>
    <m/>
    <m/>
    <m/>
    <m/>
    <m/>
    <m/>
    <s v="no test"/>
    <s v="no test"/>
    <s v="No Test"/>
    <n v="2"/>
    <n v="0"/>
    <n v="0"/>
    <n v="0"/>
    <n v="7.4074074074074074"/>
    <n v="0"/>
    <n v="0"/>
    <n v="1"/>
    <n v="1"/>
    <n v="1"/>
    <n v="250"/>
    <n v="0"/>
    <n v="0"/>
    <n v="1"/>
    <n v="250"/>
    <n v="0.5"/>
    <n v="0"/>
    <n v="0"/>
    <n v="0.5"/>
    <n v="1"/>
    <n v="0"/>
    <n v="0"/>
    <n v="0"/>
    <n v="0"/>
    <n v="0"/>
    <n v="0"/>
    <n v="13"/>
    <n v="3"/>
    <n v="1"/>
    <n v="1"/>
    <n v="250"/>
    <n v="250"/>
    <n v="0"/>
    <n v="250"/>
    <n v="250"/>
    <n v="1"/>
    <n v="0"/>
    <n v="1"/>
    <n v="1"/>
    <n v="0"/>
    <n v="2"/>
    <n v="40"/>
    <n v="0"/>
    <n v="200"/>
    <s v="Yes"/>
    <n v="0.04"/>
    <n v="0"/>
    <n v="0"/>
    <n v="0"/>
    <s v="Yes"/>
    <s v="KBC-MYT"/>
    <x v="0"/>
    <x v="0"/>
    <x v="0"/>
    <n v="25.647649999999999"/>
    <n v="96.346469999999997"/>
    <s v="MMR001CMP169"/>
    <x v="1"/>
    <m/>
    <n v="41"/>
    <n v="249"/>
  </r>
  <r>
    <x v="2"/>
    <x v="0"/>
    <x v="0"/>
    <m/>
    <x v="0"/>
    <x v="0"/>
    <x v="0"/>
    <x v="9"/>
    <n v="181"/>
    <n v="906"/>
    <s v="13-8-2021, 6-1-2020"/>
    <s v="12-20-2022, 30-7-2021"/>
    <m/>
    <m/>
    <m/>
    <m/>
    <m/>
    <m/>
    <n v="4"/>
    <m/>
    <m/>
    <m/>
    <m/>
    <m/>
    <m/>
    <m/>
    <m/>
    <m/>
    <m/>
    <m/>
    <m/>
    <m/>
    <m/>
    <m/>
    <m/>
    <m/>
    <m/>
    <m/>
    <m/>
    <m/>
    <m/>
    <m/>
    <m/>
    <m/>
    <m/>
    <m/>
    <m/>
    <m/>
    <m/>
    <m/>
    <x v="0"/>
    <x v="0"/>
    <m/>
    <m/>
    <m/>
    <m/>
    <m/>
    <m/>
    <n v="7"/>
    <m/>
    <m/>
    <n v="7"/>
    <m/>
    <m/>
    <m/>
    <m/>
    <m/>
    <m/>
    <m/>
    <m/>
    <m/>
    <m/>
    <m/>
    <m/>
    <m/>
    <m/>
    <m/>
    <m/>
    <m/>
    <m/>
    <m/>
    <m/>
    <s v="no test"/>
    <s v="no test"/>
    <s v="No Test"/>
    <n v="0"/>
    <n v="0"/>
    <n v="0"/>
    <n v="0"/>
    <n v="0"/>
    <n v="0"/>
    <n v="0"/>
    <n v="0"/>
    <n v="0"/>
    <n v="0"/>
    <n v="0"/>
    <n v="0"/>
    <n v="0"/>
    <n v="0"/>
    <n v="0"/>
    <n v="0"/>
    <n v="1"/>
    <n v="906"/>
    <n v="2"/>
    <n v="2"/>
    <n v="0"/>
    <n v="0"/>
    <n v="0"/>
    <n v="0"/>
    <n v="0"/>
    <n v="0"/>
    <n v="45"/>
    <n v="45"/>
    <n v="1"/>
    <n v="0"/>
    <n v="0"/>
    <n v="0"/>
    <n v="0"/>
    <n v="0"/>
    <n v="0"/>
    <n v="0"/>
    <n v="1"/>
    <n v="0"/>
    <n v="0"/>
    <n v="0"/>
    <n v="7"/>
    <n v="140"/>
    <n v="0"/>
    <n v="700"/>
    <s v="No"/>
    <s v=""/>
    <n v="0"/>
    <n v="0"/>
    <n v="0"/>
    <n v="0"/>
    <s v="uncovered"/>
    <x v="0"/>
    <x v="2"/>
    <x v="0"/>
    <n v="24.263786"/>
    <n v="97.228835000000004"/>
    <s v="MMR001CMP163"/>
    <x v="0"/>
    <m/>
    <n v="65"/>
    <n v="337"/>
  </r>
  <r>
    <x v="2"/>
    <x v="4"/>
    <x v="4"/>
    <s v="UNICEF"/>
    <x v="0"/>
    <x v="3"/>
    <x v="0"/>
    <x v="10"/>
    <n v="115"/>
    <n v="405"/>
    <d v="2021-08-06T00:00:00"/>
    <d v="2022-08-05T00:00:00"/>
    <m/>
    <n v="3"/>
    <m/>
    <m/>
    <s v="Yes"/>
    <n v="4"/>
    <n v="3"/>
    <n v="3"/>
    <m/>
    <m/>
    <n v="2"/>
    <m/>
    <m/>
    <m/>
    <n v="1"/>
    <m/>
    <m/>
    <m/>
    <m/>
    <m/>
    <m/>
    <m/>
    <m/>
    <m/>
    <m/>
    <m/>
    <n v="4"/>
    <m/>
    <m/>
    <m/>
    <n v="90"/>
    <m/>
    <m/>
    <m/>
    <m/>
    <m/>
    <m/>
    <m/>
    <x v="1"/>
    <x v="1"/>
    <m/>
    <m/>
    <m/>
    <m/>
    <m/>
    <m/>
    <n v="2"/>
    <m/>
    <m/>
    <n v="3"/>
    <m/>
    <m/>
    <n v="2"/>
    <m/>
    <m/>
    <s v="Yes"/>
    <m/>
    <m/>
    <m/>
    <m/>
    <m/>
    <m/>
    <m/>
    <m/>
    <m/>
    <m/>
    <m/>
    <m/>
    <m/>
    <m/>
    <s v="no test"/>
    <s v="no test"/>
    <s v="No Test"/>
    <n v="3"/>
    <n v="2"/>
    <n v="1"/>
    <n v="0"/>
    <n v="0"/>
    <n v="0"/>
    <n v="0"/>
    <n v="1"/>
    <n v="1"/>
    <n v="1"/>
    <n v="405"/>
    <n v="0"/>
    <n v="0"/>
    <n v="1"/>
    <n v="405"/>
    <n v="0.81"/>
    <n v="0"/>
    <n v="0"/>
    <n v="0.18999999999999995"/>
    <n v="1"/>
    <n v="90"/>
    <n v="1"/>
    <n v="405"/>
    <n v="0"/>
    <n v="0"/>
    <n v="0"/>
    <n v="20"/>
    <n v="0"/>
    <n v="0"/>
    <n v="0"/>
    <n v="405"/>
    <n v="0"/>
    <n v="0"/>
    <n v="0"/>
    <n v="405"/>
    <n v="1"/>
    <n v="0"/>
    <n v="1"/>
    <n v="0"/>
    <n v="0"/>
    <n v="2"/>
    <n v="40"/>
    <n v="4"/>
    <n v="200"/>
    <s v="No"/>
    <s v=""/>
    <n v="0"/>
    <n v="0"/>
    <n v="0"/>
    <s v="Yes"/>
    <s v="KMSS-MYT"/>
    <x v="0"/>
    <x v="0"/>
    <x v="1"/>
    <n v="25.220278"/>
    <n v="97.915833000000006"/>
    <s v="MMR001CMP113"/>
    <x v="1"/>
    <m/>
    <n v="118"/>
    <n v="419"/>
  </r>
  <r>
    <x v="2"/>
    <x v="5"/>
    <x v="5"/>
    <s v="Trocaire/Irish"/>
    <x v="0"/>
    <x v="4"/>
    <x v="0"/>
    <x v="11"/>
    <n v="126"/>
    <n v="591"/>
    <d v="2022-01-01T00:00:00"/>
    <d v="2022-12-31T00:00:00"/>
    <m/>
    <m/>
    <m/>
    <m/>
    <s v="Yes"/>
    <n v="4"/>
    <n v="3"/>
    <n v="1"/>
    <m/>
    <m/>
    <n v="2"/>
    <m/>
    <m/>
    <m/>
    <m/>
    <n v="1"/>
    <m/>
    <m/>
    <m/>
    <m/>
    <m/>
    <m/>
    <n v="2"/>
    <n v="1"/>
    <n v="38"/>
    <n v="23"/>
    <m/>
    <m/>
    <m/>
    <s v=" Starting GFS Construction."/>
    <n v="48"/>
    <n v="12"/>
    <m/>
    <m/>
    <m/>
    <m/>
    <m/>
    <m/>
    <x v="1"/>
    <x v="1"/>
    <m/>
    <m/>
    <m/>
    <m/>
    <m/>
    <m/>
    <n v="60"/>
    <m/>
    <n v="108"/>
    <n v="1"/>
    <m/>
    <n v="1"/>
    <n v="1"/>
    <m/>
    <m/>
    <s v="No"/>
    <m/>
    <m/>
    <m/>
    <m/>
    <m/>
    <m/>
    <m/>
    <m/>
    <m/>
    <m/>
    <m/>
    <m/>
    <m/>
    <m/>
    <n v="0.5"/>
    <n v="0.60526315789473684"/>
    <s v="Tested"/>
    <n v="1"/>
    <n v="2"/>
    <n v="-1"/>
    <n v="0"/>
    <n v="0"/>
    <n v="0"/>
    <n v="0"/>
    <n v="1"/>
    <n v="1"/>
    <n v="1"/>
    <n v="591"/>
    <n v="0"/>
    <n v="0"/>
    <n v="1"/>
    <n v="591"/>
    <n v="1.1819999999999999"/>
    <n v="0"/>
    <n v="0"/>
    <n v="0"/>
    <n v="1"/>
    <n v="60"/>
    <n v="1"/>
    <n v="591"/>
    <n v="0"/>
    <n v="0"/>
    <n v="0"/>
    <n v="30"/>
    <n v="0"/>
    <n v="0"/>
    <n v="0"/>
    <n v="591"/>
    <n v="0"/>
    <n v="0"/>
    <n v="0"/>
    <n v="591"/>
    <n v="1"/>
    <n v="0"/>
    <n v="1"/>
    <n v="0"/>
    <n v="0"/>
    <n v="60"/>
    <n v="126"/>
    <n v="0"/>
    <n v="591"/>
    <s v="No"/>
    <s v=""/>
    <n v="0"/>
    <n v="0"/>
    <n v="0"/>
    <s v="Yes"/>
    <s v="STW/KMSS-MYT"/>
    <x v="0"/>
    <x v="0"/>
    <x v="1"/>
    <n v="26.007408000000002"/>
    <n v="97.823777000000007"/>
    <s v="MMR001CMP280"/>
    <x v="1"/>
    <m/>
    <n v="140"/>
    <n v="659"/>
  </r>
  <r>
    <x v="2"/>
    <x v="6"/>
    <x v="6"/>
    <s v="SI (ECHO)"/>
    <x v="0"/>
    <x v="5"/>
    <x v="0"/>
    <x v="12"/>
    <n v="388"/>
    <n v="1900"/>
    <d v="2022-04-01T00:00:00"/>
    <d v="2022-12-31T00:00:00"/>
    <m/>
    <m/>
    <m/>
    <m/>
    <s v="Yes"/>
    <n v="5"/>
    <n v="6"/>
    <n v="4"/>
    <m/>
    <m/>
    <n v="1"/>
    <m/>
    <m/>
    <m/>
    <n v="1"/>
    <m/>
    <m/>
    <m/>
    <n v="5"/>
    <m/>
    <m/>
    <n v="5"/>
    <m/>
    <m/>
    <m/>
    <m/>
    <m/>
    <n v="5"/>
    <m/>
    <m/>
    <n v="185"/>
    <m/>
    <m/>
    <m/>
    <m/>
    <m/>
    <m/>
    <n v="73"/>
    <x v="2"/>
    <x v="1"/>
    <n v="4"/>
    <n v="60"/>
    <n v="15"/>
    <n v="2"/>
    <n v="6"/>
    <m/>
    <n v="3"/>
    <m/>
    <n v="60"/>
    <n v="2"/>
    <m/>
    <m/>
    <n v="6"/>
    <m/>
    <m/>
    <m/>
    <m/>
    <m/>
    <m/>
    <m/>
    <m/>
    <m/>
    <m/>
    <m/>
    <m/>
    <m/>
    <m/>
    <m/>
    <m/>
    <m/>
    <s v="no test"/>
    <s v="no test"/>
    <s v="No Test"/>
    <n v="4"/>
    <n v="1"/>
    <n v="1"/>
    <n v="0"/>
    <n v="0"/>
    <n v="1900"/>
    <n v="0"/>
    <n v="1"/>
    <n v="0.69298245614035092"/>
    <n v="1"/>
    <n v="1900"/>
    <n v="0.65789473684210531"/>
    <n v="1250"/>
    <n v="1"/>
    <n v="1900"/>
    <n v="3.8"/>
    <n v="0"/>
    <n v="0"/>
    <n v="0.20000000000000018"/>
    <n v="4"/>
    <n v="185"/>
    <n v="1"/>
    <n v="1900"/>
    <n v="0"/>
    <n v="0"/>
    <n v="100"/>
    <n v="95"/>
    <n v="0"/>
    <n v="0"/>
    <n v="0"/>
    <n v="1900"/>
    <n v="0"/>
    <n v="0"/>
    <n v="0"/>
    <n v="1900"/>
    <n v="1"/>
    <n v="0"/>
    <n v="1"/>
    <n v="0"/>
    <n v="0"/>
    <n v="3"/>
    <n v="60"/>
    <n v="0"/>
    <n v="300"/>
    <s v="No"/>
    <s v=""/>
    <n v="0"/>
    <n v="1900"/>
    <n v="100"/>
    <s v="Yes"/>
    <s v="KMSS-BMO"/>
    <x v="0"/>
    <x v="0"/>
    <x v="1"/>
    <n v="24.002433"/>
    <n v="97.609832999999995"/>
    <s v="MMR001CMP129"/>
    <x v="1"/>
    <m/>
    <n v="388"/>
    <n v="1900"/>
  </r>
  <r>
    <x v="2"/>
    <x v="2"/>
    <x v="2"/>
    <s v="MHF"/>
    <x v="0"/>
    <x v="1"/>
    <x v="0"/>
    <x v="13"/>
    <n v="5"/>
    <n v="24"/>
    <d v="2022-01-01T00:00:00"/>
    <d v="2022-12-31T00:00:00"/>
    <m/>
    <n v="1"/>
    <m/>
    <m/>
    <s v="Yes"/>
    <n v="2"/>
    <n v="2"/>
    <m/>
    <m/>
    <m/>
    <m/>
    <m/>
    <m/>
    <m/>
    <m/>
    <m/>
    <m/>
    <m/>
    <m/>
    <m/>
    <n v="1"/>
    <m/>
    <m/>
    <m/>
    <m/>
    <m/>
    <m/>
    <m/>
    <m/>
    <m/>
    <n v="2"/>
    <m/>
    <m/>
    <m/>
    <m/>
    <m/>
    <m/>
    <m/>
    <x v="1"/>
    <x v="1"/>
    <m/>
    <m/>
    <m/>
    <m/>
    <m/>
    <m/>
    <n v="1"/>
    <n v="1"/>
    <m/>
    <n v="1"/>
    <m/>
    <m/>
    <n v="1"/>
    <n v="5"/>
    <n v="6"/>
    <m/>
    <m/>
    <n v="0.8"/>
    <m/>
    <n v="0.8"/>
    <n v="0.5"/>
    <n v="5"/>
    <n v="0.7"/>
    <m/>
    <m/>
    <m/>
    <m/>
    <m/>
    <m/>
    <m/>
    <s v="no test"/>
    <s v="no test"/>
    <s v="No Test"/>
    <n v="0"/>
    <n v="0"/>
    <n v="0"/>
    <n v="0"/>
    <n v="0"/>
    <n v="0"/>
    <n v="0"/>
    <n v="0"/>
    <n v="0"/>
    <n v="0"/>
    <n v="0"/>
    <n v="0"/>
    <n v="0"/>
    <n v="0"/>
    <n v="0"/>
    <n v="0"/>
    <n v="1"/>
    <n v="24"/>
    <n v="1"/>
    <n v="1"/>
    <n v="2"/>
    <n v="1"/>
    <n v="24"/>
    <n v="0"/>
    <n v="0"/>
    <n v="0"/>
    <n v="1"/>
    <n v="0"/>
    <n v="0"/>
    <n v="0"/>
    <n v="24"/>
    <n v="24"/>
    <n v="6"/>
    <n v="24"/>
    <n v="24"/>
    <n v="1"/>
    <n v="0"/>
    <n v="1"/>
    <n v="1"/>
    <n v="1"/>
    <n v="0"/>
    <n v="0"/>
    <n v="0"/>
    <n v="0"/>
    <s v="No"/>
    <n v="0.20833333333333334"/>
    <n v="0"/>
    <n v="0"/>
    <n v="0"/>
    <s v="Yes"/>
    <s v="Shalom"/>
    <x v="0"/>
    <x v="3"/>
    <x v="0"/>
    <n v="25.582065"/>
    <n v="96.283377000000002"/>
    <s v="MMR001CMP109"/>
    <x v="1"/>
    <m/>
    <n v="5"/>
    <n v="24"/>
  </r>
  <r>
    <x v="2"/>
    <x v="2"/>
    <x v="2"/>
    <s v="MHF"/>
    <x v="0"/>
    <x v="6"/>
    <x v="0"/>
    <x v="14"/>
    <n v="136"/>
    <n v="704"/>
    <d v="2022-01-01T00:00:00"/>
    <d v="2022-12-31T00:00:00"/>
    <m/>
    <n v="1"/>
    <n v="16"/>
    <m/>
    <s v="Yes"/>
    <n v="2"/>
    <n v="6"/>
    <m/>
    <m/>
    <m/>
    <m/>
    <m/>
    <m/>
    <m/>
    <n v="12"/>
    <m/>
    <n v="1"/>
    <m/>
    <n v="3"/>
    <m/>
    <n v="1"/>
    <m/>
    <m/>
    <m/>
    <m/>
    <m/>
    <m/>
    <m/>
    <m/>
    <m/>
    <n v="15"/>
    <m/>
    <m/>
    <n v="1"/>
    <m/>
    <n v="6"/>
    <n v="6"/>
    <m/>
    <x v="1"/>
    <x v="1"/>
    <m/>
    <m/>
    <m/>
    <n v="1"/>
    <m/>
    <m/>
    <n v="2"/>
    <m/>
    <m/>
    <n v="2"/>
    <m/>
    <m/>
    <n v="1"/>
    <n v="50"/>
    <m/>
    <s v="No"/>
    <n v="4"/>
    <n v="0.7"/>
    <m/>
    <n v="0.8"/>
    <n v="0.8"/>
    <n v="30"/>
    <n v="0.9"/>
    <m/>
    <m/>
    <m/>
    <m/>
    <m/>
    <m/>
    <m/>
    <s v="no test"/>
    <s v="no test"/>
    <s v="No Test"/>
    <n v="0"/>
    <n v="0"/>
    <n v="12"/>
    <n v="0"/>
    <n v="0"/>
    <n v="0"/>
    <n v="0"/>
    <n v="1"/>
    <n v="1"/>
    <n v="1"/>
    <n v="704"/>
    <n v="1"/>
    <n v="704"/>
    <n v="1"/>
    <n v="704"/>
    <n v="1.4079999999999999"/>
    <n v="0"/>
    <n v="0"/>
    <n v="0"/>
    <n v="1"/>
    <n v="14"/>
    <n v="0.39772727272727271"/>
    <n v="280"/>
    <n v="120"/>
    <n v="0"/>
    <n v="50"/>
    <n v="35"/>
    <n v="20"/>
    <n v="0.60227272727272729"/>
    <n v="6.6666666666666666E-2"/>
    <n v="500"/>
    <n v="250"/>
    <n v="0"/>
    <n v="250"/>
    <n v="500"/>
    <n v="0.71022727272727271"/>
    <n v="0.28977272727272729"/>
    <n v="0.71022727272727271"/>
    <n v="1"/>
    <n v="0"/>
    <n v="2"/>
    <n v="40"/>
    <n v="0"/>
    <n v="200"/>
    <s v="No"/>
    <n v="4.261363636363636E-2"/>
    <n v="0"/>
    <n v="0"/>
    <n v="50"/>
    <s v="Yes"/>
    <s v="Shalom"/>
    <x v="0"/>
    <x v="0"/>
    <x v="0"/>
    <n v="25.889410000000002"/>
    <n v="98.131550000000004"/>
    <s v="MMR001CMP042"/>
    <x v="1"/>
    <m/>
    <n v="138"/>
    <n v="706"/>
  </r>
  <r>
    <x v="2"/>
    <x v="0"/>
    <x v="0"/>
    <m/>
    <x v="0"/>
    <x v="6"/>
    <x v="0"/>
    <x v="15"/>
    <n v="57"/>
    <n v="264"/>
    <m/>
    <m/>
    <m/>
    <m/>
    <m/>
    <m/>
    <s v="Yes"/>
    <m/>
    <m/>
    <m/>
    <m/>
    <m/>
    <m/>
    <m/>
    <m/>
    <m/>
    <m/>
    <m/>
    <m/>
    <m/>
    <m/>
    <m/>
    <m/>
    <m/>
    <m/>
    <m/>
    <m/>
    <m/>
    <m/>
    <m/>
    <m/>
    <m/>
    <n v="28"/>
    <m/>
    <m/>
    <m/>
    <m/>
    <m/>
    <m/>
    <m/>
    <x v="1"/>
    <x v="1"/>
    <n v="2"/>
    <m/>
    <m/>
    <m/>
    <m/>
    <m/>
    <n v="3"/>
    <m/>
    <m/>
    <n v="2"/>
    <m/>
    <m/>
    <m/>
    <m/>
    <m/>
    <m/>
    <m/>
    <m/>
    <m/>
    <m/>
    <m/>
    <m/>
    <m/>
    <m/>
    <m/>
    <m/>
    <m/>
    <m/>
    <m/>
    <m/>
    <s v="no test"/>
    <s v="no test"/>
    <s v="No Test"/>
    <n v="0"/>
    <n v="0"/>
    <n v="0"/>
    <n v="0"/>
    <n v="0"/>
    <n v="0"/>
    <n v="0"/>
    <n v="0"/>
    <n v="0"/>
    <n v="0"/>
    <n v="0"/>
    <n v="0"/>
    <n v="0"/>
    <n v="0"/>
    <n v="0"/>
    <n v="0"/>
    <n v="1"/>
    <n v="264"/>
    <n v="1"/>
    <n v="1"/>
    <n v="28"/>
    <n v="1"/>
    <n v="264"/>
    <n v="0"/>
    <n v="0"/>
    <n v="0"/>
    <n v="13"/>
    <n v="0"/>
    <n v="0"/>
    <n v="0"/>
    <n v="0"/>
    <n v="0"/>
    <n v="0"/>
    <n v="0"/>
    <n v="0"/>
    <n v="0"/>
    <n v="1"/>
    <n v="0"/>
    <n v="0"/>
    <n v="0"/>
    <n v="3"/>
    <n v="57"/>
    <n v="0"/>
    <n v="264"/>
    <s v="No"/>
    <s v=""/>
    <n v="0"/>
    <n v="0"/>
    <n v="0"/>
    <s v="Yes"/>
    <s v="KMSS-MYT"/>
    <x v="0"/>
    <x v="2"/>
    <x v="0"/>
    <n v="25.60867"/>
    <n v="98.377780000000001"/>
    <s v="MMR001CMP210"/>
    <x v="0"/>
    <m/>
    <n v="4"/>
    <n v="20"/>
  </r>
  <r>
    <x v="2"/>
    <x v="2"/>
    <x v="2"/>
    <s v="MHF"/>
    <x v="0"/>
    <x v="1"/>
    <x v="0"/>
    <x v="16"/>
    <n v="91"/>
    <n v="445"/>
    <d v="2022-01-01T00:00:00"/>
    <d v="2022-12-31T00:00:00"/>
    <n v="199"/>
    <n v="1"/>
    <m/>
    <m/>
    <s v="Yes"/>
    <n v="3"/>
    <n v="6"/>
    <n v="1"/>
    <n v="1"/>
    <m/>
    <n v="1"/>
    <m/>
    <m/>
    <m/>
    <m/>
    <m/>
    <m/>
    <m/>
    <m/>
    <m/>
    <n v="2"/>
    <m/>
    <m/>
    <m/>
    <m/>
    <m/>
    <n v="2"/>
    <n v="2"/>
    <m/>
    <s v="သောက်သုံးရေ ခက်ခဲ"/>
    <n v="23"/>
    <m/>
    <m/>
    <m/>
    <m/>
    <m/>
    <m/>
    <m/>
    <x v="1"/>
    <x v="1"/>
    <m/>
    <n v="1"/>
    <m/>
    <m/>
    <n v="9"/>
    <m/>
    <n v="8"/>
    <n v="3"/>
    <m/>
    <n v="3"/>
    <m/>
    <m/>
    <n v="1"/>
    <n v="91"/>
    <m/>
    <s v="Yes"/>
    <m/>
    <n v="0.3"/>
    <s v="soap "/>
    <n v="0.7"/>
    <n v="0.3"/>
    <m/>
    <n v="0.5"/>
    <m/>
    <m/>
    <m/>
    <m/>
    <m/>
    <m/>
    <m/>
    <s v="no test"/>
    <s v="no test"/>
    <s v="No Test"/>
    <n v="0"/>
    <n v="1"/>
    <n v="0"/>
    <n v="0"/>
    <n v="0"/>
    <n v="445"/>
    <n v="0"/>
    <n v="1"/>
    <n v="0.5617977528089888"/>
    <n v="1"/>
    <n v="445"/>
    <n v="0"/>
    <n v="0"/>
    <n v="1"/>
    <n v="445"/>
    <n v="0.89"/>
    <n v="0"/>
    <n v="0"/>
    <n v="0.10999999999999999"/>
    <n v="1"/>
    <n v="23"/>
    <n v="1"/>
    <n v="445"/>
    <n v="0"/>
    <n v="0"/>
    <n v="0"/>
    <n v="22"/>
    <n v="0"/>
    <n v="0"/>
    <n v="0"/>
    <n v="445"/>
    <n v="445"/>
    <n v="0"/>
    <n v="445"/>
    <n v="445"/>
    <n v="1"/>
    <n v="0"/>
    <n v="1"/>
    <n v="1"/>
    <n v="0"/>
    <n v="5"/>
    <n v="91"/>
    <n v="2"/>
    <n v="445"/>
    <s v="Yes"/>
    <s v=""/>
    <n v="0"/>
    <n v="445"/>
    <n v="0"/>
    <s v="Yes"/>
    <s v="Shalom"/>
    <x v="0"/>
    <x v="0"/>
    <x v="0"/>
    <n v="25.637309999999999"/>
    <n v="96.35257"/>
    <s v="MMR001CMP174"/>
    <x v="1"/>
    <m/>
    <n v="91"/>
    <n v="442"/>
  </r>
  <r>
    <x v="2"/>
    <x v="0"/>
    <x v="0"/>
    <m/>
    <x v="0"/>
    <x v="3"/>
    <x v="0"/>
    <x v="17"/>
    <n v="48"/>
    <n v="240"/>
    <m/>
    <m/>
    <m/>
    <m/>
    <m/>
    <m/>
    <m/>
    <m/>
    <m/>
    <m/>
    <m/>
    <m/>
    <m/>
    <m/>
    <m/>
    <m/>
    <m/>
    <m/>
    <m/>
    <m/>
    <m/>
    <m/>
    <m/>
    <m/>
    <m/>
    <m/>
    <m/>
    <m/>
    <m/>
    <m/>
    <m/>
    <m/>
    <m/>
    <m/>
    <m/>
    <m/>
    <m/>
    <m/>
    <m/>
    <m/>
    <x v="0"/>
    <x v="0"/>
    <m/>
    <m/>
    <m/>
    <m/>
    <m/>
    <m/>
    <n v="7"/>
    <m/>
    <m/>
    <n v="4"/>
    <m/>
    <m/>
    <m/>
    <m/>
    <m/>
    <m/>
    <m/>
    <m/>
    <m/>
    <m/>
    <m/>
    <m/>
    <m/>
    <m/>
    <m/>
    <m/>
    <m/>
    <m/>
    <m/>
    <m/>
    <s v="no test"/>
    <s v="no test"/>
    <s v="No Test"/>
    <n v="0"/>
    <n v="0"/>
    <n v="0"/>
    <n v="0"/>
    <n v="0"/>
    <n v="0"/>
    <n v="0"/>
    <n v="0"/>
    <n v="0"/>
    <n v="0"/>
    <n v="0"/>
    <n v="0"/>
    <n v="0"/>
    <n v="0"/>
    <n v="0"/>
    <n v="0"/>
    <n v="1"/>
    <n v="240"/>
    <n v="1"/>
    <n v="1"/>
    <n v="0"/>
    <n v="0"/>
    <n v="0"/>
    <n v="0"/>
    <n v="0"/>
    <n v="0"/>
    <n v="12"/>
    <n v="12"/>
    <n v="1"/>
    <n v="0"/>
    <n v="0"/>
    <n v="0"/>
    <n v="0"/>
    <n v="0"/>
    <n v="0"/>
    <n v="0"/>
    <n v="1"/>
    <n v="0"/>
    <n v="0"/>
    <n v="0"/>
    <n v="7"/>
    <n v="48"/>
    <n v="0"/>
    <n v="240"/>
    <s v="No"/>
    <s v=""/>
    <n v="0"/>
    <n v="0"/>
    <n v="0"/>
    <n v="0"/>
    <s v="Uncovered  "/>
    <x v="0"/>
    <x v="3"/>
    <x v="0"/>
    <n v="0"/>
    <n v="0"/>
    <s v="MMR001CMP293"/>
    <x v="0"/>
    <m/>
    <n v="48"/>
    <n v="240"/>
  </r>
  <r>
    <x v="2"/>
    <x v="0"/>
    <x v="0"/>
    <m/>
    <x v="0"/>
    <x v="3"/>
    <x v="0"/>
    <x v="18"/>
    <n v="34"/>
    <n v="189"/>
    <m/>
    <m/>
    <m/>
    <m/>
    <m/>
    <m/>
    <m/>
    <m/>
    <m/>
    <m/>
    <m/>
    <m/>
    <m/>
    <m/>
    <m/>
    <m/>
    <m/>
    <m/>
    <m/>
    <m/>
    <m/>
    <m/>
    <m/>
    <m/>
    <m/>
    <m/>
    <m/>
    <m/>
    <m/>
    <m/>
    <m/>
    <m/>
    <m/>
    <m/>
    <m/>
    <m/>
    <m/>
    <m/>
    <m/>
    <m/>
    <x v="0"/>
    <x v="0"/>
    <m/>
    <m/>
    <m/>
    <m/>
    <m/>
    <m/>
    <n v="3"/>
    <m/>
    <m/>
    <n v="2"/>
    <m/>
    <m/>
    <m/>
    <m/>
    <m/>
    <m/>
    <m/>
    <m/>
    <m/>
    <m/>
    <m/>
    <m/>
    <m/>
    <m/>
    <m/>
    <m/>
    <m/>
    <m/>
    <m/>
    <m/>
    <s v="no test"/>
    <s v="no test"/>
    <s v="No Test"/>
    <n v="0"/>
    <n v="0"/>
    <n v="0"/>
    <n v="0"/>
    <n v="0"/>
    <n v="0"/>
    <n v="0"/>
    <n v="0"/>
    <n v="0"/>
    <n v="0"/>
    <n v="0"/>
    <n v="0"/>
    <n v="0"/>
    <n v="0"/>
    <n v="0"/>
    <n v="0"/>
    <n v="1"/>
    <n v="189"/>
    <n v="1"/>
    <n v="1"/>
    <n v="0"/>
    <n v="0"/>
    <n v="0"/>
    <n v="0"/>
    <n v="0"/>
    <n v="0"/>
    <n v="9"/>
    <n v="9"/>
    <n v="1"/>
    <n v="0"/>
    <n v="0"/>
    <n v="0"/>
    <n v="0"/>
    <n v="0"/>
    <n v="0"/>
    <n v="0"/>
    <n v="1"/>
    <n v="0"/>
    <n v="0"/>
    <n v="0"/>
    <n v="3"/>
    <n v="34"/>
    <n v="0"/>
    <n v="189"/>
    <s v="No"/>
    <s v=""/>
    <n v="0"/>
    <n v="0"/>
    <n v="0"/>
    <n v="0"/>
    <s v="Uncovered  "/>
    <x v="0"/>
    <x v="3"/>
    <x v="0"/>
    <n v="0"/>
    <n v="0"/>
    <s v="MMR001CMP294"/>
    <x v="0"/>
    <m/>
    <n v="34"/>
    <n v="189"/>
  </r>
  <r>
    <x v="2"/>
    <x v="16"/>
    <x v="7"/>
    <s v="MHF,SIDA,UNICEF"/>
    <x v="0"/>
    <x v="7"/>
    <x v="0"/>
    <x v="19"/>
    <n v="43"/>
    <n v="193"/>
    <d v="2022-05-01T00:00:00"/>
    <d v="2023-08-31T00:00:00"/>
    <m/>
    <n v="1"/>
    <m/>
    <m/>
    <s v="Yes"/>
    <n v="2"/>
    <n v="2"/>
    <n v="3"/>
    <m/>
    <m/>
    <n v="3"/>
    <m/>
    <m/>
    <m/>
    <m/>
    <m/>
    <m/>
    <m/>
    <n v="3"/>
    <m/>
    <m/>
    <n v="3"/>
    <m/>
    <m/>
    <m/>
    <m/>
    <m/>
    <m/>
    <m/>
    <m/>
    <n v="6"/>
    <m/>
    <m/>
    <m/>
    <m/>
    <m/>
    <m/>
    <n v="6"/>
    <x v="1"/>
    <x v="1"/>
    <m/>
    <m/>
    <m/>
    <m/>
    <m/>
    <m/>
    <n v="5"/>
    <m/>
    <m/>
    <n v="3"/>
    <m/>
    <n v="1"/>
    <m/>
    <m/>
    <m/>
    <m/>
    <m/>
    <m/>
    <m/>
    <m/>
    <m/>
    <m/>
    <m/>
    <m/>
    <m/>
    <m/>
    <m/>
    <m/>
    <m/>
    <m/>
    <s v="no test"/>
    <s v="no test"/>
    <s v="No Test"/>
    <n v="3"/>
    <n v="3"/>
    <n v="0"/>
    <n v="0"/>
    <n v="0"/>
    <n v="0"/>
    <n v="0"/>
    <n v="1"/>
    <n v="1"/>
    <n v="1"/>
    <n v="193"/>
    <n v="1"/>
    <n v="193"/>
    <n v="1"/>
    <n v="193"/>
    <n v="0.38600000000000001"/>
    <n v="0"/>
    <n v="0"/>
    <n v="0.61399999999999999"/>
    <n v="1"/>
    <n v="6"/>
    <n v="0.62176165803108807"/>
    <n v="120"/>
    <n v="0"/>
    <n v="0"/>
    <n v="0"/>
    <n v="10"/>
    <n v="4"/>
    <n v="0.37823834196891193"/>
    <n v="0"/>
    <n v="193"/>
    <n v="0"/>
    <n v="0"/>
    <n v="0"/>
    <n v="193"/>
    <n v="1"/>
    <n v="0"/>
    <n v="1"/>
    <n v="0"/>
    <n v="0"/>
    <n v="5"/>
    <n v="43"/>
    <n v="0"/>
    <n v="193"/>
    <s v="No"/>
    <s v=""/>
    <n v="0"/>
    <n v="0"/>
    <n v="0"/>
    <s v="Yes"/>
    <s v="KBC-MYT"/>
    <x v="0"/>
    <x v="0"/>
    <x v="0"/>
    <n v="25.3959740909091"/>
    <n v="97.382997575757599"/>
    <s v="MMR001CMP010"/>
    <x v="1"/>
    <m/>
    <n v="44"/>
    <n v="196"/>
  </r>
  <r>
    <x v="2"/>
    <x v="4"/>
    <x v="4"/>
    <s v="UNICEF"/>
    <x v="0"/>
    <x v="2"/>
    <x v="0"/>
    <x v="20"/>
    <n v="72"/>
    <n v="411"/>
    <d v="2021-08-06T00:00:00"/>
    <d v="2022-08-05T00:00:00"/>
    <m/>
    <n v="2"/>
    <m/>
    <m/>
    <s v="Yes"/>
    <n v="3"/>
    <n v="3"/>
    <n v="3"/>
    <m/>
    <m/>
    <n v="1"/>
    <m/>
    <m/>
    <m/>
    <n v="1"/>
    <m/>
    <m/>
    <m/>
    <m/>
    <m/>
    <m/>
    <m/>
    <m/>
    <m/>
    <m/>
    <m/>
    <n v="4"/>
    <m/>
    <m/>
    <m/>
    <n v="20"/>
    <m/>
    <m/>
    <m/>
    <m/>
    <m/>
    <m/>
    <m/>
    <x v="1"/>
    <x v="1"/>
    <n v="1"/>
    <m/>
    <m/>
    <m/>
    <m/>
    <m/>
    <m/>
    <m/>
    <m/>
    <n v="3"/>
    <m/>
    <m/>
    <n v="2"/>
    <m/>
    <m/>
    <s v="Yes"/>
    <m/>
    <m/>
    <m/>
    <m/>
    <m/>
    <m/>
    <m/>
    <m/>
    <m/>
    <m/>
    <m/>
    <m/>
    <m/>
    <m/>
    <s v="no test"/>
    <s v="no test"/>
    <s v="No Test"/>
    <n v="3"/>
    <n v="1"/>
    <n v="1"/>
    <n v="0"/>
    <n v="0"/>
    <n v="0"/>
    <n v="0"/>
    <n v="1"/>
    <n v="1"/>
    <n v="1"/>
    <n v="411"/>
    <n v="0"/>
    <n v="0"/>
    <n v="1"/>
    <n v="411"/>
    <n v="0.82199999999999995"/>
    <n v="0"/>
    <n v="0"/>
    <n v="0.17800000000000005"/>
    <n v="1"/>
    <n v="20"/>
    <n v="1"/>
    <n v="411"/>
    <n v="0"/>
    <n v="0"/>
    <n v="0"/>
    <n v="21"/>
    <n v="1"/>
    <n v="0"/>
    <n v="0"/>
    <n v="411"/>
    <n v="0"/>
    <n v="0"/>
    <n v="0"/>
    <n v="411"/>
    <n v="1"/>
    <n v="0"/>
    <n v="1"/>
    <n v="0"/>
    <n v="0"/>
    <n v="0"/>
    <n v="0"/>
    <n v="4"/>
    <n v="0"/>
    <s v="No"/>
    <s v=""/>
    <n v="0"/>
    <n v="0"/>
    <n v="0"/>
    <s v="Yes"/>
    <s v="KMSS-MYT"/>
    <x v="0"/>
    <x v="0"/>
    <x v="1"/>
    <n v="24.461033"/>
    <n v="97.537099999999995"/>
    <s v="MMR001CMP123"/>
    <x v="1"/>
    <m/>
    <n v="72"/>
    <n v="404"/>
  </r>
  <r>
    <x v="2"/>
    <x v="0"/>
    <x v="0"/>
    <m/>
    <x v="0"/>
    <x v="8"/>
    <x v="0"/>
    <x v="21"/>
    <n v="6"/>
    <n v="32"/>
    <s v="13-8-2021, 6-1-2020"/>
    <s v="12-20-2022, 30-7-2021"/>
    <m/>
    <m/>
    <m/>
    <m/>
    <m/>
    <m/>
    <m/>
    <m/>
    <m/>
    <m/>
    <m/>
    <m/>
    <m/>
    <m/>
    <m/>
    <m/>
    <m/>
    <m/>
    <m/>
    <m/>
    <m/>
    <m/>
    <m/>
    <m/>
    <m/>
    <m/>
    <m/>
    <m/>
    <m/>
    <m/>
    <m/>
    <m/>
    <m/>
    <m/>
    <m/>
    <m/>
    <m/>
    <m/>
    <x v="0"/>
    <x v="0"/>
    <m/>
    <m/>
    <m/>
    <m/>
    <m/>
    <m/>
    <n v="3"/>
    <m/>
    <m/>
    <n v="2"/>
    <m/>
    <m/>
    <m/>
    <m/>
    <m/>
    <m/>
    <m/>
    <m/>
    <m/>
    <m/>
    <m/>
    <m/>
    <m/>
    <m/>
    <m/>
    <m/>
    <m/>
    <m/>
    <m/>
    <m/>
    <s v="no test"/>
    <s v="no test"/>
    <s v="No Test"/>
    <n v="0"/>
    <n v="0"/>
    <n v="0"/>
    <n v="0"/>
    <n v="0"/>
    <n v="0"/>
    <n v="0"/>
    <n v="0"/>
    <n v="0"/>
    <n v="0"/>
    <n v="0"/>
    <n v="0"/>
    <n v="0"/>
    <n v="0"/>
    <n v="0"/>
    <n v="0"/>
    <n v="1"/>
    <n v="32"/>
    <n v="1"/>
    <n v="1"/>
    <n v="0"/>
    <n v="0"/>
    <n v="0"/>
    <n v="0"/>
    <n v="0"/>
    <n v="0"/>
    <n v="2"/>
    <n v="2"/>
    <n v="1"/>
    <n v="0"/>
    <n v="0"/>
    <n v="0"/>
    <n v="0"/>
    <n v="0"/>
    <n v="0"/>
    <n v="0"/>
    <n v="1"/>
    <n v="0"/>
    <n v="0"/>
    <n v="0"/>
    <n v="3"/>
    <n v="6"/>
    <n v="0"/>
    <n v="32"/>
    <s v="No"/>
    <s v=""/>
    <n v="0"/>
    <n v="0"/>
    <n v="0"/>
    <n v="0"/>
    <s v="uncovered"/>
    <x v="0"/>
    <x v="3"/>
    <x v="0"/>
    <n v="25.30274"/>
    <n v="96.940380000000005"/>
    <s v="MMR001CMP262"/>
    <x v="0"/>
    <m/>
    <n v="5"/>
    <n v="32"/>
  </r>
  <r>
    <x v="2"/>
    <x v="0"/>
    <x v="0"/>
    <m/>
    <x v="0"/>
    <x v="9"/>
    <x v="0"/>
    <x v="22"/>
    <n v="31"/>
    <n v="171"/>
    <s v="13-8-2021, 6-1-2020"/>
    <s v="12-20-2022, 30-7-2021"/>
    <m/>
    <m/>
    <m/>
    <m/>
    <m/>
    <m/>
    <n v="4"/>
    <m/>
    <m/>
    <m/>
    <m/>
    <m/>
    <m/>
    <m/>
    <m/>
    <m/>
    <m/>
    <m/>
    <m/>
    <m/>
    <m/>
    <m/>
    <m/>
    <m/>
    <m/>
    <m/>
    <m/>
    <m/>
    <m/>
    <m/>
    <m/>
    <m/>
    <m/>
    <m/>
    <m/>
    <m/>
    <m/>
    <m/>
    <x v="0"/>
    <x v="0"/>
    <m/>
    <m/>
    <m/>
    <m/>
    <m/>
    <m/>
    <n v="1"/>
    <m/>
    <m/>
    <n v="1"/>
    <m/>
    <m/>
    <m/>
    <m/>
    <m/>
    <m/>
    <m/>
    <m/>
    <m/>
    <m/>
    <m/>
    <m/>
    <m/>
    <m/>
    <m/>
    <m/>
    <m/>
    <m/>
    <m/>
    <m/>
    <s v="no test"/>
    <s v="no test"/>
    <s v="No Test"/>
    <n v="0"/>
    <n v="0"/>
    <n v="0"/>
    <n v="0"/>
    <n v="0"/>
    <n v="0"/>
    <n v="0"/>
    <n v="0"/>
    <n v="0"/>
    <n v="0"/>
    <n v="0"/>
    <n v="0"/>
    <n v="0"/>
    <n v="0"/>
    <n v="0"/>
    <n v="0"/>
    <n v="1"/>
    <n v="171"/>
    <n v="1"/>
    <n v="1"/>
    <n v="0"/>
    <n v="0"/>
    <n v="0"/>
    <n v="0"/>
    <n v="0"/>
    <n v="0"/>
    <n v="9"/>
    <n v="9"/>
    <n v="1"/>
    <n v="0"/>
    <n v="0"/>
    <n v="0"/>
    <n v="0"/>
    <n v="0"/>
    <n v="0"/>
    <n v="0"/>
    <n v="1"/>
    <n v="0"/>
    <n v="0"/>
    <n v="0"/>
    <n v="1"/>
    <n v="20"/>
    <n v="0"/>
    <n v="100"/>
    <s v="No"/>
    <s v=""/>
    <n v="0"/>
    <n v="0"/>
    <n v="0"/>
    <n v="0"/>
    <s v="uncovered"/>
    <x v="0"/>
    <x v="3"/>
    <x v="0"/>
    <n v="26.299828999999999"/>
    <n v="97.487258999999995"/>
    <s v="MMR001CMP272"/>
    <x v="0"/>
    <m/>
    <n v="31"/>
    <n v="171"/>
  </r>
  <r>
    <x v="2"/>
    <x v="5"/>
    <x v="5"/>
    <s v="Trocaire/MHF"/>
    <x v="0"/>
    <x v="3"/>
    <x v="0"/>
    <x v="23"/>
    <n v="64"/>
    <n v="381"/>
    <d v="2022-01-01T00:00:00"/>
    <d v="2022-12-31T00:00:00"/>
    <m/>
    <m/>
    <m/>
    <m/>
    <s v="Yes"/>
    <n v="3"/>
    <n v="8"/>
    <n v="2"/>
    <m/>
    <m/>
    <n v="1"/>
    <m/>
    <m/>
    <m/>
    <n v="1"/>
    <m/>
    <m/>
    <m/>
    <m/>
    <m/>
    <m/>
    <n v="10"/>
    <m/>
    <m/>
    <m/>
    <m/>
    <m/>
    <m/>
    <m/>
    <m/>
    <n v="8"/>
    <m/>
    <m/>
    <m/>
    <n v="2"/>
    <n v="5"/>
    <m/>
    <m/>
    <x v="1"/>
    <x v="1"/>
    <m/>
    <n v="2"/>
    <m/>
    <m/>
    <m/>
    <m/>
    <n v="3"/>
    <m/>
    <m/>
    <n v="2"/>
    <m/>
    <m/>
    <n v="1"/>
    <m/>
    <m/>
    <s v="No"/>
    <m/>
    <m/>
    <m/>
    <m/>
    <m/>
    <m/>
    <m/>
    <m/>
    <m/>
    <m/>
    <m/>
    <m/>
    <m/>
    <m/>
    <s v="no test"/>
    <s v="no test"/>
    <s v="No Test"/>
    <n v="2"/>
    <n v="1"/>
    <n v="1"/>
    <n v="0"/>
    <n v="0"/>
    <n v="0"/>
    <n v="0"/>
    <n v="1"/>
    <n v="1"/>
    <n v="1"/>
    <n v="381"/>
    <n v="0"/>
    <n v="0"/>
    <n v="1"/>
    <n v="381"/>
    <n v="0.76200000000000001"/>
    <n v="0"/>
    <n v="0"/>
    <n v="0.23799999999999999"/>
    <n v="1"/>
    <n v="8"/>
    <n v="0.41994750656167978"/>
    <n v="160"/>
    <n v="100"/>
    <n v="0"/>
    <n v="0"/>
    <n v="19"/>
    <n v="11"/>
    <n v="0.58005249343832022"/>
    <n v="0"/>
    <n v="381"/>
    <n v="0"/>
    <n v="0"/>
    <n v="0"/>
    <n v="381"/>
    <n v="1"/>
    <n v="0"/>
    <n v="1"/>
    <n v="0"/>
    <n v="0"/>
    <n v="3"/>
    <n v="60"/>
    <n v="0"/>
    <n v="300"/>
    <s v="No"/>
    <s v=""/>
    <n v="0"/>
    <n v="0"/>
    <n v="0"/>
    <n v="0"/>
    <s v="uncovered"/>
    <x v="0"/>
    <x v="3"/>
    <x v="0"/>
    <n v="25.305008999999998"/>
    <n v="97.430321000000006"/>
    <s v="MMR001CMP248"/>
    <x v="1"/>
    <m/>
    <n v="60"/>
    <n v="371"/>
  </r>
  <r>
    <x v="2"/>
    <x v="2"/>
    <x v="2"/>
    <s v="MHF"/>
    <x v="0"/>
    <x v="3"/>
    <x v="0"/>
    <x v="24"/>
    <n v="59"/>
    <n v="295"/>
    <d v="2022-01-01T00:00:00"/>
    <d v="2022-12-31T00:00:00"/>
    <m/>
    <n v="1"/>
    <n v="9"/>
    <m/>
    <s v="Yes"/>
    <n v="3"/>
    <n v="6"/>
    <n v="1"/>
    <n v="1"/>
    <m/>
    <n v="1"/>
    <n v="1"/>
    <m/>
    <m/>
    <m/>
    <m/>
    <m/>
    <m/>
    <n v="1"/>
    <m/>
    <n v="2"/>
    <s v="Yes"/>
    <m/>
    <m/>
    <m/>
    <m/>
    <n v="2"/>
    <m/>
    <n v="2"/>
    <m/>
    <n v="6"/>
    <n v="2"/>
    <s v="World vision"/>
    <n v="26"/>
    <m/>
    <m/>
    <m/>
    <m/>
    <x v="1"/>
    <x v="1"/>
    <m/>
    <m/>
    <m/>
    <m/>
    <m/>
    <m/>
    <n v="4"/>
    <m/>
    <m/>
    <m/>
    <m/>
    <m/>
    <m/>
    <n v="59"/>
    <m/>
    <s v="Yes"/>
    <m/>
    <n v="0.9"/>
    <m/>
    <n v="1"/>
    <n v="0.9"/>
    <m/>
    <n v="1"/>
    <m/>
    <m/>
    <m/>
    <m/>
    <m/>
    <m/>
    <m/>
    <s v="no test"/>
    <s v="no test"/>
    <s v="No Test"/>
    <n v="0"/>
    <n v="2"/>
    <n v="0"/>
    <n v="0"/>
    <n v="0"/>
    <n v="0"/>
    <n v="295"/>
    <n v="1"/>
    <n v="1"/>
    <n v="1"/>
    <n v="295"/>
    <n v="0.84745762711864403"/>
    <n v="250"/>
    <n v="1"/>
    <n v="295"/>
    <n v="0.59"/>
    <n v="0"/>
    <n v="0"/>
    <n v="0.41000000000000003"/>
    <n v="1"/>
    <n v="-18"/>
    <n v="-1.2203389830508475"/>
    <n v="-360"/>
    <n v="0"/>
    <n v="0"/>
    <n v="0"/>
    <n v="15"/>
    <n v="7"/>
    <n v="2.2203389830508478"/>
    <n v="3.25"/>
    <n v="0"/>
    <n v="295"/>
    <n v="0"/>
    <n v="295"/>
    <n v="295"/>
    <n v="1"/>
    <n v="0"/>
    <n v="0"/>
    <n v="1"/>
    <n v="0"/>
    <n v="4"/>
    <n v="59"/>
    <n v="2"/>
    <n v="295"/>
    <s v="No"/>
    <s v=""/>
    <n v="0"/>
    <n v="0"/>
    <n v="295"/>
    <s v="Yes"/>
    <s v="Shalom"/>
    <x v="0"/>
    <x v="0"/>
    <x v="0"/>
    <n v="25.321710740740698"/>
    <n v="97.404195925926004"/>
    <s v="MMR001CMP028"/>
    <x v="1"/>
    <m/>
    <n v="59"/>
    <n v="291"/>
  </r>
  <r>
    <x v="2"/>
    <x v="11"/>
    <x v="7"/>
    <s v="MHF,UNICEF"/>
    <x v="0"/>
    <x v="3"/>
    <x v="0"/>
    <x v="25"/>
    <n v="138"/>
    <n v="966"/>
    <d v="2022-05-01T00:00:00"/>
    <d v="2023-08-31T00:00:00"/>
    <n v="90"/>
    <n v="2"/>
    <m/>
    <m/>
    <s v="Yes"/>
    <n v="2"/>
    <n v="3"/>
    <n v="2"/>
    <m/>
    <m/>
    <m/>
    <m/>
    <m/>
    <m/>
    <n v="2"/>
    <m/>
    <m/>
    <m/>
    <m/>
    <m/>
    <m/>
    <m/>
    <m/>
    <m/>
    <m/>
    <m/>
    <m/>
    <m/>
    <m/>
    <m/>
    <n v="50"/>
    <n v="62"/>
    <m/>
    <m/>
    <m/>
    <m/>
    <m/>
    <n v="50"/>
    <x v="1"/>
    <x v="1"/>
    <m/>
    <m/>
    <m/>
    <m/>
    <m/>
    <m/>
    <n v="8"/>
    <m/>
    <m/>
    <n v="2"/>
    <m/>
    <m/>
    <n v="2"/>
    <m/>
    <m/>
    <m/>
    <m/>
    <m/>
    <m/>
    <m/>
    <m/>
    <m/>
    <m/>
    <m/>
    <m/>
    <m/>
    <m/>
    <m/>
    <m/>
    <m/>
    <s v="no test"/>
    <s v="no test"/>
    <s v="No Test"/>
    <n v="2"/>
    <n v="0"/>
    <n v="2"/>
    <n v="0"/>
    <n v="0"/>
    <n v="0"/>
    <n v="0"/>
    <n v="0.96618357487922713"/>
    <n v="0.65562456866804697"/>
    <n v="0.96618357487922713"/>
    <n v="933.33333333333337"/>
    <n v="0"/>
    <n v="0"/>
    <n v="0.96618357487922713"/>
    <n v="933.33333333333337"/>
    <n v="1.8666666666666667"/>
    <n v="3.3816425120772875E-2"/>
    <n v="32.6666666666666"/>
    <n v="0.1333333333333333"/>
    <n v="2"/>
    <n v="112"/>
    <n v="1"/>
    <n v="966"/>
    <n v="0"/>
    <n v="0"/>
    <n v="0"/>
    <n v="48"/>
    <n v="0"/>
    <n v="0"/>
    <n v="0"/>
    <n v="966"/>
    <n v="0"/>
    <n v="0"/>
    <n v="0"/>
    <n v="966"/>
    <n v="1"/>
    <n v="0"/>
    <n v="1"/>
    <n v="0"/>
    <n v="0"/>
    <n v="8"/>
    <n v="138"/>
    <n v="0"/>
    <n v="800"/>
    <s v="Yes"/>
    <s v=""/>
    <n v="0"/>
    <n v="0"/>
    <n v="0"/>
    <s v="Yes"/>
    <s v="KBC-MYT"/>
    <x v="0"/>
    <x v="0"/>
    <x v="1"/>
    <n v="25.200333000000001"/>
    <n v="97.807182999999995"/>
    <s v="MMR001CMP115"/>
    <x v="1"/>
    <m/>
    <n v="138"/>
    <n v="966"/>
  </r>
  <r>
    <x v="2"/>
    <x v="16"/>
    <x v="7"/>
    <s v="MHF,IRC, UNICEF"/>
    <x v="0"/>
    <x v="1"/>
    <x v="0"/>
    <x v="26"/>
    <n v="26"/>
    <n v="133"/>
    <d v="2022-05-01T00:00:00"/>
    <d v="2023-08-31T00:00:00"/>
    <m/>
    <n v="1"/>
    <m/>
    <m/>
    <s v="Yes"/>
    <n v="3"/>
    <n v="3"/>
    <m/>
    <m/>
    <m/>
    <n v="1"/>
    <m/>
    <m/>
    <m/>
    <m/>
    <m/>
    <m/>
    <m/>
    <m/>
    <m/>
    <m/>
    <m/>
    <m/>
    <m/>
    <m/>
    <m/>
    <m/>
    <m/>
    <m/>
    <m/>
    <n v="4"/>
    <m/>
    <m/>
    <m/>
    <m/>
    <m/>
    <m/>
    <n v="4"/>
    <x v="1"/>
    <x v="1"/>
    <m/>
    <m/>
    <m/>
    <m/>
    <m/>
    <m/>
    <n v="1"/>
    <m/>
    <m/>
    <n v="1"/>
    <m/>
    <m/>
    <m/>
    <m/>
    <m/>
    <m/>
    <m/>
    <m/>
    <m/>
    <m/>
    <m/>
    <m/>
    <m/>
    <m/>
    <m/>
    <m/>
    <m/>
    <m/>
    <m/>
    <m/>
    <s v="no test"/>
    <s v="no test"/>
    <s v="No Test"/>
    <n v="0"/>
    <n v="1"/>
    <n v="0"/>
    <n v="0"/>
    <n v="0"/>
    <n v="0"/>
    <n v="0"/>
    <n v="1"/>
    <n v="1"/>
    <n v="1"/>
    <n v="133"/>
    <n v="0"/>
    <n v="0"/>
    <n v="1"/>
    <n v="133"/>
    <n v="0.26600000000000001"/>
    <n v="0"/>
    <n v="0"/>
    <n v="0.73399999999999999"/>
    <n v="1"/>
    <n v="4"/>
    <n v="0.60150375939849621"/>
    <n v="80"/>
    <n v="0"/>
    <n v="0"/>
    <n v="0"/>
    <n v="7"/>
    <n v="3"/>
    <n v="0.39849624060150379"/>
    <n v="0"/>
    <n v="0"/>
    <n v="0"/>
    <n v="0"/>
    <n v="0"/>
    <n v="0"/>
    <n v="0"/>
    <n v="1"/>
    <n v="0"/>
    <n v="0"/>
    <n v="0"/>
    <n v="1"/>
    <n v="20"/>
    <n v="0"/>
    <n v="100"/>
    <s v="No"/>
    <s v=""/>
    <n v="0"/>
    <n v="0"/>
    <n v="0"/>
    <s v="Yes"/>
    <s v="KBC-MYT"/>
    <x v="0"/>
    <x v="0"/>
    <x v="0"/>
    <n v="25.51352"/>
    <n v="96.705960000000005"/>
    <s v="MMR001CMP148"/>
    <x v="1"/>
    <m/>
    <n v="26"/>
    <n v="133"/>
  </r>
  <r>
    <x v="2"/>
    <x v="0"/>
    <x v="0"/>
    <m/>
    <x v="0"/>
    <x v="10"/>
    <x v="0"/>
    <x v="27"/>
    <n v="27"/>
    <n v="126"/>
    <s v="13-8-2021, 6-1-2020"/>
    <s v="12-20-2022, 30-7-2021"/>
    <m/>
    <m/>
    <m/>
    <m/>
    <m/>
    <m/>
    <m/>
    <m/>
    <m/>
    <m/>
    <m/>
    <m/>
    <m/>
    <m/>
    <m/>
    <m/>
    <m/>
    <m/>
    <m/>
    <m/>
    <m/>
    <m/>
    <m/>
    <m/>
    <m/>
    <m/>
    <m/>
    <m/>
    <m/>
    <m/>
    <m/>
    <m/>
    <m/>
    <m/>
    <m/>
    <m/>
    <m/>
    <m/>
    <x v="0"/>
    <x v="0"/>
    <m/>
    <m/>
    <m/>
    <m/>
    <m/>
    <m/>
    <n v="8"/>
    <m/>
    <m/>
    <n v="3"/>
    <m/>
    <m/>
    <m/>
    <m/>
    <m/>
    <m/>
    <m/>
    <m/>
    <m/>
    <m/>
    <m/>
    <m/>
    <m/>
    <m/>
    <m/>
    <m/>
    <m/>
    <m/>
    <m/>
    <m/>
    <s v="no test"/>
    <s v="no test"/>
    <s v="No Test"/>
    <n v="0"/>
    <n v="0"/>
    <n v="0"/>
    <n v="0"/>
    <n v="0"/>
    <n v="0"/>
    <n v="0"/>
    <n v="0"/>
    <n v="0"/>
    <n v="0"/>
    <n v="0"/>
    <n v="0"/>
    <n v="0"/>
    <n v="0"/>
    <n v="0"/>
    <n v="0"/>
    <n v="1"/>
    <n v="126"/>
    <n v="1"/>
    <n v="1"/>
    <n v="0"/>
    <n v="0"/>
    <n v="0"/>
    <n v="0"/>
    <n v="0"/>
    <n v="0"/>
    <n v="6"/>
    <n v="6"/>
    <n v="1"/>
    <n v="0"/>
    <n v="0"/>
    <n v="0"/>
    <n v="0"/>
    <n v="0"/>
    <n v="0"/>
    <n v="0"/>
    <n v="1"/>
    <n v="0"/>
    <n v="0"/>
    <n v="0"/>
    <n v="8"/>
    <n v="27"/>
    <n v="0"/>
    <n v="126"/>
    <s v="No"/>
    <s v=""/>
    <n v="0"/>
    <n v="0"/>
    <n v="0"/>
    <n v="0"/>
    <s v="uncovered"/>
    <x v="0"/>
    <x v="2"/>
    <x v="0"/>
    <n v="24.996279999999999"/>
    <n v="96.52534"/>
    <s v="MMR001CMP232"/>
    <x v="0"/>
    <m/>
    <n v="26"/>
    <n v="125"/>
  </r>
  <r>
    <x v="2"/>
    <x v="2"/>
    <x v="2"/>
    <s v="MHF"/>
    <x v="0"/>
    <x v="1"/>
    <x v="0"/>
    <x v="28"/>
    <n v="100"/>
    <n v="504"/>
    <d v="2022-01-01T00:00:00"/>
    <d v="2022-12-31T00:00:00"/>
    <m/>
    <m/>
    <m/>
    <m/>
    <s v="Yes"/>
    <n v="7"/>
    <n v="2"/>
    <m/>
    <m/>
    <m/>
    <m/>
    <m/>
    <m/>
    <m/>
    <n v="3"/>
    <m/>
    <m/>
    <m/>
    <n v="1"/>
    <n v="67500"/>
    <n v="5"/>
    <m/>
    <m/>
    <m/>
    <m/>
    <m/>
    <m/>
    <m/>
    <m/>
    <m/>
    <n v="14"/>
    <m/>
    <m/>
    <n v="14"/>
    <m/>
    <n v="2"/>
    <n v="300"/>
    <m/>
    <x v="1"/>
    <x v="1"/>
    <m/>
    <m/>
    <m/>
    <m/>
    <m/>
    <m/>
    <n v="4"/>
    <m/>
    <m/>
    <n v="2"/>
    <m/>
    <n v="5"/>
    <n v="10"/>
    <m/>
    <m/>
    <s v="No"/>
    <n v="3"/>
    <n v="0.5"/>
    <m/>
    <n v="1"/>
    <n v="1"/>
    <n v="10"/>
    <n v="1"/>
    <m/>
    <m/>
    <m/>
    <m/>
    <m/>
    <m/>
    <m/>
    <s v="no test"/>
    <s v="no test"/>
    <s v="No Test"/>
    <n v="0"/>
    <n v="0"/>
    <n v="3"/>
    <n v="0"/>
    <n v="50"/>
    <n v="0"/>
    <n v="0"/>
    <n v="0.49603174603174605"/>
    <n v="0.49603174603174605"/>
    <n v="0.49603174603174605"/>
    <n v="250"/>
    <n v="0.49603174603174605"/>
    <n v="250"/>
    <n v="0.99206349206349209"/>
    <n v="500"/>
    <n v="1"/>
    <n v="7.9365079365079083E-3"/>
    <n v="3.9999999999999858"/>
    <n v="0"/>
    <n v="1"/>
    <n v="0"/>
    <n v="0"/>
    <n v="0"/>
    <n v="40"/>
    <n v="0"/>
    <n v="0"/>
    <n v="25"/>
    <n v="11"/>
    <n v="1"/>
    <n v="1"/>
    <n v="504"/>
    <n v="0"/>
    <n v="0"/>
    <n v="0"/>
    <n v="504"/>
    <n v="1"/>
    <n v="0"/>
    <n v="1"/>
    <n v="0"/>
    <n v="0"/>
    <n v="4"/>
    <n v="80"/>
    <n v="0"/>
    <n v="400"/>
    <s v="No"/>
    <n v="1.984126984126984E-2"/>
    <n v="0"/>
    <n v="0"/>
    <n v="0"/>
    <s v="Yes"/>
    <s v="KBC-MYT"/>
    <x v="0"/>
    <x v="0"/>
    <x v="0"/>
    <n v="25.611160000000002"/>
    <n v="96.312790000000007"/>
    <s v="MMR001CMP229"/>
    <x v="1"/>
    <m/>
    <n v="97"/>
    <n v="484"/>
  </r>
  <r>
    <x v="2"/>
    <x v="11"/>
    <x v="7"/>
    <s v="MHF,UNICEF"/>
    <x v="0"/>
    <x v="6"/>
    <x v="0"/>
    <x v="29"/>
    <n v="167"/>
    <n v="936"/>
    <d v="2022-05-01T00:00:00"/>
    <d v="2023-08-31T00:00:00"/>
    <n v="65"/>
    <n v="2"/>
    <m/>
    <m/>
    <s v="Yes"/>
    <n v="3"/>
    <n v="1"/>
    <m/>
    <m/>
    <m/>
    <m/>
    <m/>
    <m/>
    <m/>
    <m/>
    <m/>
    <m/>
    <m/>
    <m/>
    <m/>
    <m/>
    <m/>
    <m/>
    <m/>
    <m/>
    <m/>
    <m/>
    <m/>
    <m/>
    <m/>
    <n v="32"/>
    <m/>
    <m/>
    <m/>
    <m/>
    <m/>
    <m/>
    <n v="32"/>
    <x v="1"/>
    <x v="1"/>
    <m/>
    <m/>
    <n v="5"/>
    <m/>
    <m/>
    <m/>
    <n v="8"/>
    <m/>
    <m/>
    <n v="3"/>
    <m/>
    <n v="2"/>
    <m/>
    <m/>
    <m/>
    <m/>
    <m/>
    <m/>
    <m/>
    <m/>
    <m/>
    <m/>
    <m/>
    <m/>
    <m/>
    <m/>
    <m/>
    <m/>
    <m/>
    <m/>
    <s v="no test"/>
    <s v="no test"/>
    <s v="No Test"/>
    <n v="0"/>
    <n v="0"/>
    <n v="0"/>
    <n v="0"/>
    <n v="0"/>
    <n v="0"/>
    <n v="0"/>
    <n v="0"/>
    <n v="0"/>
    <n v="0"/>
    <n v="0"/>
    <n v="0"/>
    <n v="0"/>
    <n v="0"/>
    <n v="0"/>
    <n v="0"/>
    <n v="1"/>
    <n v="936"/>
    <n v="2"/>
    <n v="2"/>
    <n v="32"/>
    <n v="0.68376068376068377"/>
    <n v="640"/>
    <n v="0"/>
    <n v="65"/>
    <n v="0"/>
    <n v="47"/>
    <n v="15"/>
    <n v="0.31623931623931623"/>
    <n v="0"/>
    <n v="936"/>
    <n v="0"/>
    <n v="0"/>
    <n v="0"/>
    <n v="936"/>
    <n v="1"/>
    <n v="0"/>
    <n v="1"/>
    <n v="0"/>
    <n v="0"/>
    <n v="8"/>
    <n v="160"/>
    <n v="0"/>
    <n v="800"/>
    <s v="Yes"/>
    <s v=""/>
    <n v="0"/>
    <n v="65"/>
    <n v="0"/>
    <s v="Yes"/>
    <s v="KBC-MYT"/>
    <x v="0"/>
    <x v="0"/>
    <x v="1"/>
    <n v="25.754110000000001"/>
    <n v="98.475719999999995"/>
    <s v="MMR001CMP043"/>
    <x v="1"/>
    <m/>
    <n v="167"/>
    <n v="936"/>
  </r>
  <r>
    <x v="2"/>
    <x v="3"/>
    <x v="3"/>
    <s v="USAID/HOPE-94"/>
    <x v="0"/>
    <x v="2"/>
    <x v="0"/>
    <x v="30"/>
    <n v="715"/>
    <n v="3789"/>
    <s v="13-8-2021/1-7-2021"/>
    <s v="12-2-2022/30-4-2021"/>
    <m/>
    <m/>
    <n v="3"/>
    <m/>
    <s v="Yes"/>
    <n v="4"/>
    <n v="3"/>
    <n v="3"/>
    <m/>
    <m/>
    <m/>
    <m/>
    <m/>
    <m/>
    <n v="1"/>
    <m/>
    <m/>
    <m/>
    <m/>
    <m/>
    <m/>
    <m/>
    <m/>
    <m/>
    <m/>
    <m/>
    <n v="4"/>
    <n v="3"/>
    <m/>
    <m/>
    <n v="306"/>
    <m/>
    <m/>
    <m/>
    <m/>
    <m/>
    <m/>
    <m/>
    <x v="1"/>
    <x v="1"/>
    <n v="13"/>
    <m/>
    <n v="46"/>
    <n v="4"/>
    <m/>
    <m/>
    <n v="1"/>
    <m/>
    <m/>
    <n v="1"/>
    <m/>
    <m/>
    <n v="1"/>
    <m/>
    <m/>
    <m/>
    <m/>
    <m/>
    <m/>
    <m/>
    <m/>
    <m/>
    <m/>
    <m/>
    <m/>
    <m/>
    <m/>
    <m/>
    <m/>
    <m/>
    <s v="no test"/>
    <s v="no test"/>
    <s v="No Test"/>
    <n v="3"/>
    <n v="0"/>
    <n v="1"/>
    <n v="0"/>
    <n v="0"/>
    <n v="1500"/>
    <n v="0"/>
    <n v="0.33430104689012052"/>
    <n v="0.2155362012844198"/>
    <n v="0.33430104689012052"/>
    <n v="1266.6666666666667"/>
    <n v="0"/>
    <n v="0"/>
    <n v="0.33430104689012052"/>
    <n v="1266.6666666666667"/>
    <n v="2.5333333333333337"/>
    <n v="0.66569895310987948"/>
    <n v="2522.3333333333335"/>
    <n v="5.4666666666666668"/>
    <n v="8"/>
    <n v="306"/>
    <n v="1"/>
    <n v="3789"/>
    <n v="0"/>
    <n v="0"/>
    <n v="200"/>
    <n v="189"/>
    <n v="0"/>
    <n v="0"/>
    <n v="0"/>
    <n v="500"/>
    <n v="0"/>
    <n v="0"/>
    <n v="0"/>
    <n v="500"/>
    <n v="0.13196093956188967"/>
    <n v="0.8680390604381103"/>
    <n v="0.13196093956188967"/>
    <n v="0"/>
    <n v="0"/>
    <n v="1"/>
    <n v="20"/>
    <n v="0"/>
    <n v="100"/>
    <s v="No"/>
    <s v=""/>
    <n v="0"/>
    <n v="1500"/>
    <n v="200"/>
    <s v="Yes"/>
    <s v="KMSS-MYT"/>
    <x v="0"/>
    <x v="0"/>
    <x v="1"/>
    <n v="24.661905999999998"/>
    <n v="97.573126000000002"/>
    <s v="MMR001CMP122"/>
    <x v="1"/>
    <m/>
    <n v="664"/>
    <n v="3491"/>
  </r>
  <r>
    <x v="2"/>
    <x v="1"/>
    <x v="1"/>
    <s v="ECHO 2739"/>
    <x v="0"/>
    <x v="2"/>
    <x v="1"/>
    <x v="31"/>
    <n v="11"/>
    <n v="32"/>
    <d v="2022-04-01T00:00:00"/>
    <d v="2022-11-30T00:00:00"/>
    <m/>
    <m/>
    <n v="1"/>
    <m/>
    <s v="Yes"/>
    <n v="3"/>
    <n v="8"/>
    <m/>
    <m/>
    <m/>
    <n v="1"/>
    <m/>
    <m/>
    <m/>
    <n v="1"/>
    <m/>
    <m/>
    <m/>
    <m/>
    <m/>
    <n v="1"/>
    <m/>
    <m/>
    <m/>
    <n v="2"/>
    <n v="2"/>
    <m/>
    <m/>
    <m/>
    <m/>
    <n v="12"/>
    <m/>
    <m/>
    <m/>
    <m/>
    <n v="3"/>
    <n v="4"/>
    <m/>
    <x v="1"/>
    <x v="1"/>
    <m/>
    <m/>
    <m/>
    <m/>
    <m/>
    <m/>
    <n v="7"/>
    <m/>
    <m/>
    <n v="7"/>
    <m/>
    <m/>
    <n v="1"/>
    <n v="11"/>
    <m/>
    <m/>
    <m/>
    <m/>
    <m/>
    <m/>
    <m/>
    <m/>
    <m/>
    <m/>
    <m/>
    <m/>
    <m/>
    <m/>
    <m/>
    <m/>
    <s v="no test"/>
    <n v="1"/>
    <s v="Tested"/>
    <n v="0"/>
    <n v="1"/>
    <n v="1"/>
    <n v="0"/>
    <n v="0"/>
    <n v="0"/>
    <n v="0"/>
    <n v="1"/>
    <n v="1"/>
    <n v="1"/>
    <n v="32"/>
    <n v="0"/>
    <n v="0"/>
    <n v="1"/>
    <n v="32"/>
    <n v="6.4000000000000001E-2"/>
    <n v="0"/>
    <n v="0"/>
    <n v="0.93599999999999994"/>
    <n v="1"/>
    <n v="12"/>
    <n v="1"/>
    <n v="32"/>
    <n v="32"/>
    <n v="0"/>
    <n v="0"/>
    <n v="2"/>
    <n v="0"/>
    <n v="0"/>
    <n v="0"/>
    <n v="32"/>
    <n v="32"/>
    <n v="0"/>
    <n v="32"/>
    <n v="32"/>
    <n v="1"/>
    <n v="0"/>
    <n v="1"/>
    <n v="1"/>
    <n v="0"/>
    <n v="7"/>
    <n v="11"/>
    <n v="0"/>
    <n v="32"/>
    <s v="No"/>
    <s v=""/>
    <n v="0"/>
    <n v="0"/>
    <n v="0"/>
    <n v="0"/>
    <n v="0"/>
    <x v="0"/>
    <x v="0"/>
    <x v="0"/>
    <n v="0"/>
    <n v="0"/>
    <n v="0"/>
    <x v="1"/>
    <m/>
    <n v="0"/>
    <n v="0"/>
  </r>
  <r>
    <x v="2"/>
    <x v="1"/>
    <x v="1"/>
    <s v="ECHO 2739"/>
    <x v="0"/>
    <x v="0"/>
    <x v="0"/>
    <x v="32"/>
    <n v="38"/>
    <n v="226"/>
    <d v="2022-06-01T00:00:00"/>
    <d v="2022-11-30T00:00:00"/>
    <m/>
    <m/>
    <m/>
    <m/>
    <s v="Yes"/>
    <m/>
    <n v="5"/>
    <m/>
    <m/>
    <m/>
    <n v="2"/>
    <m/>
    <m/>
    <n v="1"/>
    <m/>
    <m/>
    <m/>
    <m/>
    <m/>
    <m/>
    <n v="1"/>
    <m/>
    <n v="2"/>
    <n v="2"/>
    <n v="6"/>
    <n v="6"/>
    <m/>
    <m/>
    <m/>
    <m/>
    <n v="11"/>
    <m/>
    <m/>
    <m/>
    <n v="3"/>
    <n v="3"/>
    <n v="22.18"/>
    <m/>
    <x v="1"/>
    <x v="1"/>
    <m/>
    <m/>
    <m/>
    <m/>
    <m/>
    <m/>
    <m/>
    <m/>
    <m/>
    <n v="2"/>
    <m/>
    <m/>
    <m/>
    <m/>
    <n v="75"/>
    <m/>
    <m/>
    <m/>
    <m/>
    <m/>
    <m/>
    <m/>
    <m/>
    <m/>
    <m/>
    <m/>
    <m/>
    <m/>
    <m/>
    <m/>
    <n v="1"/>
    <n v="1"/>
    <s v="Tested"/>
    <n v="0"/>
    <n v="2"/>
    <n v="0"/>
    <n v="0"/>
    <n v="0"/>
    <n v="0"/>
    <n v="0"/>
    <n v="1"/>
    <n v="1"/>
    <n v="1"/>
    <n v="226"/>
    <n v="0"/>
    <n v="0"/>
    <n v="1"/>
    <n v="226"/>
    <n v="0.45200000000000001"/>
    <n v="0"/>
    <n v="0"/>
    <n v="0.54800000000000004"/>
    <n v="1"/>
    <n v="11"/>
    <n v="0.97345132743362828"/>
    <n v="220"/>
    <n v="60"/>
    <n v="0"/>
    <n v="0"/>
    <n v="11"/>
    <n v="0"/>
    <n v="2.6548672566371723E-2"/>
    <n v="0"/>
    <n v="0"/>
    <n v="0"/>
    <n v="75"/>
    <n v="75"/>
    <n v="75"/>
    <n v="0.33185840707964603"/>
    <n v="0.66814159292035402"/>
    <n v="0"/>
    <n v="0"/>
    <n v="1"/>
    <n v="0"/>
    <n v="0"/>
    <n v="0"/>
    <n v="0"/>
    <s v="No"/>
    <s v=""/>
    <n v="0"/>
    <n v="0"/>
    <n v="0"/>
    <s v="Yes"/>
    <s v="KBC-BMO"/>
    <x v="0"/>
    <x v="0"/>
    <x v="0"/>
    <n v="24.24766"/>
    <n v="97.236919999999998"/>
    <s v="MMR001CMP052"/>
    <x v="1"/>
    <m/>
    <n v="37"/>
    <n v="226"/>
  </r>
  <r>
    <x v="2"/>
    <x v="3"/>
    <x v="3"/>
    <s v="USAID/HOPE-94"/>
    <x v="0"/>
    <x v="3"/>
    <x v="0"/>
    <x v="33"/>
    <n v="426.2"/>
    <n v="2131"/>
    <s v="13-8-2021, 6-1-2020, 1-7-2021"/>
    <s v="12-2-2022, 30-11-2021, 30.4.2021"/>
    <m/>
    <m/>
    <m/>
    <m/>
    <s v="Yes"/>
    <n v="3"/>
    <n v="6"/>
    <m/>
    <m/>
    <m/>
    <m/>
    <m/>
    <m/>
    <m/>
    <n v="1"/>
    <m/>
    <m/>
    <m/>
    <m/>
    <m/>
    <m/>
    <m/>
    <m/>
    <m/>
    <m/>
    <m/>
    <n v="14"/>
    <n v="2"/>
    <m/>
    <m/>
    <n v="89"/>
    <m/>
    <m/>
    <m/>
    <m/>
    <m/>
    <m/>
    <m/>
    <x v="1"/>
    <x v="1"/>
    <m/>
    <m/>
    <m/>
    <m/>
    <m/>
    <m/>
    <n v="3"/>
    <m/>
    <m/>
    <n v="2"/>
    <m/>
    <m/>
    <m/>
    <m/>
    <m/>
    <m/>
    <m/>
    <m/>
    <m/>
    <m/>
    <m/>
    <m/>
    <m/>
    <m/>
    <m/>
    <m/>
    <m/>
    <m/>
    <m/>
    <m/>
    <s v="no test"/>
    <s v="no test"/>
    <s v="No Test"/>
    <n v="0"/>
    <n v="0"/>
    <n v="1"/>
    <n v="0"/>
    <n v="0"/>
    <n v="1000"/>
    <n v="0"/>
    <n v="3.1284217112466761E-2"/>
    <n v="3.1284217112466761E-2"/>
    <n v="3.1284217112466761E-2"/>
    <n v="66.666666666666671"/>
    <n v="0"/>
    <n v="0"/>
    <n v="3.1284217112466761E-2"/>
    <n v="66.666666666666671"/>
    <n v="0.13333333333333333"/>
    <n v="0.96871578288753324"/>
    <n v="2064.3333333333335"/>
    <n v="3.8666666666666667"/>
    <n v="4"/>
    <n v="89"/>
    <n v="0.8352885969028625"/>
    <n v="1780"/>
    <n v="0"/>
    <n v="0"/>
    <n v="0"/>
    <n v="107"/>
    <n v="18"/>
    <n v="0.1647114030971375"/>
    <n v="0"/>
    <n v="0"/>
    <n v="0"/>
    <n v="0"/>
    <n v="0"/>
    <n v="0"/>
    <n v="0"/>
    <n v="1"/>
    <n v="0"/>
    <n v="0"/>
    <n v="0"/>
    <n v="3"/>
    <n v="60"/>
    <n v="0"/>
    <n v="300"/>
    <s v="No"/>
    <s v=""/>
    <n v="0"/>
    <n v="1000"/>
    <n v="0"/>
    <n v="0"/>
    <s v="uncovered"/>
    <x v="0"/>
    <x v="4"/>
    <x v="1"/>
    <n v="24.752471"/>
    <n v="97.541793999999996"/>
    <s v="MMR001CMP208"/>
    <x v="1"/>
    <m/>
    <n v="0"/>
    <n v="366"/>
  </r>
  <r>
    <x v="2"/>
    <x v="16"/>
    <x v="7"/>
    <s v="MHF,SIDA,UNICEF"/>
    <x v="0"/>
    <x v="7"/>
    <x v="0"/>
    <x v="34"/>
    <n v="201"/>
    <n v="1184"/>
    <d v="2022-05-01T00:00:00"/>
    <d v="2023-08-31T00:00:00"/>
    <m/>
    <n v="3"/>
    <m/>
    <m/>
    <s v="Yes"/>
    <n v="1"/>
    <n v="4"/>
    <n v="7"/>
    <m/>
    <m/>
    <n v="4"/>
    <m/>
    <m/>
    <m/>
    <m/>
    <m/>
    <m/>
    <m/>
    <m/>
    <m/>
    <m/>
    <n v="5"/>
    <m/>
    <m/>
    <m/>
    <m/>
    <m/>
    <m/>
    <m/>
    <m/>
    <n v="45"/>
    <m/>
    <m/>
    <m/>
    <m/>
    <m/>
    <m/>
    <n v="45"/>
    <x v="1"/>
    <x v="1"/>
    <m/>
    <m/>
    <m/>
    <m/>
    <m/>
    <m/>
    <n v="7"/>
    <m/>
    <m/>
    <n v="7"/>
    <m/>
    <n v="1"/>
    <m/>
    <m/>
    <m/>
    <m/>
    <m/>
    <m/>
    <m/>
    <m/>
    <m/>
    <m/>
    <m/>
    <m/>
    <m/>
    <m/>
    <m/>
    <m/>
    <m/>
    <m/>
    <s v="no test"/>
    <s v="no test"/>
    <s v="No Test"/>
    <n v="7"/>
    <n v="4"/>
    <n v="0"/>
    <n v="0"/>
    <n v="0"/>
    <n v="0"/>
    <n v="0"/>
    <n v="1"/>
    <n v="1"/>
    <n v="1"/>
    <n v="1184"/>
    <n v="0"/>
    <n v="0"/>
    <n v="1"/>
    <n v="1184"/>
    <n v="2.3679999999999999"/>
    <n v="0"/>
    <n v="0"/>
    <n v="0"/>
    <n v="2"/>
    <n v="45"/>
    <n v="0.76013513513513509"/>
    <n v="900"/>
    <n v="0"/>
    <n v="0"/>
    <n v="0"/>
    <n v="59"/>
    <n v="14"/>
    <n v="0.23986486486486491"/>
    <n v="0"/>
    <n v="500"/>
    <n v="0"/>
    <n v="0"/>
    <n v="0"/>
    <n v="500"/>
    <n v="0.42229729729729731"/>
    <n v="0.57770270270270263"/>
    <n v="0.42229729729729731"/>
    <n v="0"/>
    <n v="0"/>
    <n v="7"/>
    <n v="140"/>
    <n v="0"/>
    <n v="700"/>
    <s v="No"/>
    <s v=""/>
    <n v="0"/>
    <n v="0"/>
    <n v="0"/>
    <s v="Yes"/>
    <s v="KBC-MYT"/>
    <x v="0"/>
    <x v="0"/>
    <x v="0"/>
    <n v="25.397850999999999"/>
    <n v="97.370900000000006"/>
    <s v="MMR001CMP018"/>
    <x v="1"/>
    <m/>
    <n v="201"/>
    <n v="1187"/>
  </r>
  <r>
    <x v="2"/>
    <x v="4"/>
    <x v="4"/>
    <s v="UNICEF"/>
    <x v="0"/>
    <x v="7"/>
    <x v="0"/>
    <x v="35"/>
    <n v="62"/>
    <n v="335"/>
    <d v="2021-08-06T00:00:00"/>
    <d v="2022-08-05T00:00:00"/>
    <m/>
    <n v="3"/>
    <m/>
    <m/>
    <s v="Yes"/>
    <n v="2"/>
    <n v="8"/>
    <n v="1"/>
    <m/>
    <m/>
    <m/>
    <m/>
    <m/>
    <m/>
    <m/>
    <m/>
    <m/>
    <m/>
    <m/>
    <m/>
    <m/>
    <m/>
    <m/>
    <m/>
    <m/>
    <m/>
    <n v="5"/>
    <m/>
    <m/>
    <m/>
    <n v="22"/>
    <m/>
    <m/>
    <m/>
    <m/>
    <m/>
    <m/>
    <m/>
    <x v="1"/>
    <x v="1"/>
    <n v="1"/>
    <m/>
    <m/>
    <m/>
    <m/>
    <m/>
    <n v="7"/>
    <m/>
    <m/>
    <n v="3"/>
    <m/>
    <m/>
    <n v="2"/>
    <m/>
    <m/>
    <s v="Yes"/>
    <m/>
    <m/>
    <m/>
    <m/>
    <m/>
    <m/>
    <m/>
    <m/>
    <m/>
    <m/>
    <m/>
    <m/>
    <m/>
    <m/>
    <s v="no test"/>
    <s v="no test"/>
    <s v="No Test"/>
    <n v="1"/>
    <n v="0"/>
    <n v="0"/>
    <n v="0"/>
    <n v="0"/>
    <n v="0"/>
    <n v="0"/>
    <n v="1"/>
    <n v="0.74626865671641796"/>
    <n v="1"/>
    <n v="335"/>
    <n v="0"/>
    <n v="0"/>
    <n v="1"/>
    <n v="335"/>
    <n v="0.67"/>
    <n v="0"/>
    <n v="0"/>
    <n v="0.32999999999999996"/>
    <n v="1"/>
    <n v="22"/>
    <n v="1"/>
    <n v="335"/>
    <n v="0"/>
    <n v="0"/>
    <n v="0"/>
    <n v="17"/>
    <n v="0"/>
    <n v="0"/>
    <n v="0"/>
    <n v="335"/>
    <n v="0"/>
    <n v="0"/>
    <n v="0"/>
    <n v="335"/>
    <n v="1"/>
    <n v="0"/>
    <n v="1"/>
    <n v="0"/>
    <n v="0"/>
    <n v="7"/>
    <n v="62"/>
    <n v="5"/>
    <n v="335"/>
    <s v="No"/>
    <s v=""/>
    <n v="0"/>
    <n v="0"/>
    <n v="0"/>
    <s v="Yes"/>
    <s v="KMSS-MYT"/>
    <x v="0"/>
    <x v="0"/>
    <x v="0"/>
    <n v="25.403476999999999"/>
    <n v="97.373361000000003"/>
    <s v="MMR001CMP019"/>
    <x v="1"/>
    <m/>
    <n v="73"/>
    <n v="387"/>
  </r>
  <r>
    <x v="2"/>
    <x v="17"/>
    <x v="7"/>
    <s v="MHF,SIDA,UNICEF"/>
    <x v="0"/>
    <x v="7"/>
    <x v="0"/>
    <x v="36"/>
    <n v="136"/>
    <n v="658"/>
    <d v="2022-05-01T00:00:00"/>
    <d v="2023-08-31T00:00:00"/>
    <m/>
    <n v="2"/>
    <m/>
    <m/>
    <s v="Yes"/>
    <n v="2"/>
    <n v="4"/>
    <n v="9"/>
    <m/>
    <m/>
    <n v="4"/>
    <m/>
    <m/>
    <m/>
    <m/>
    <m/>
    <m/>
    <m/>
    <m/>
    <m/>
    <m/>
    <n v="6"/>
    <m/>
    <m/>
    <m/>
    <m/>
    <m/>
    <m/>
    <m/>
    <m/>
    <n v="16"/>
    <m/>
    <m/>
    <m/>
    <m/>
    <m/>
    <m/>
    <n v="8"/>
    <x v="1"/>
    <x v="1"/>
    <m/>
    <m/>
    <m/>
    <m/>
    <m/>
    <m/>
    <n v="12"/>
    <m/>
    <m/>
    <n v="8"/>
    <m/>
    <n v="1"/>
    <m/>
    <m/>
    <m/>
    <m/>
    <m/>
    <m/>
    <m/>
    <m/>
    <m/>
    <m/>
    <m/>
    <m/>
    <m/>
    <m/>
    <m/>
    <m/>
    <m/>
    <m/>
    <s v="no test"/>
    <s v="no test"/>
    <s v="No Test"/>
    <n v="9"/>
    <n v="4"/>
    <n v="0"/>
    <n v="0"/>
    <n v="0"/>
    <n v="0"/>
    <n v="0"/>
    <n v="1"/>
    <n v="1"/>
    <n v="1"/>
    <n v="658"/>
    <n v="0"/>
    <n v="0"/>
    <n v="1"/>
    <n v="658"/>
    <n v="1.3160000000000001"/>
    <n v="0"/>
    <n v="0"/>
    <n v="0"/>
    <n v="1"/>
    <n v="16"/>
    <n v="0.48632218844984804"/>
    <n v="320"/>
    <n v="0"/>
    <n v="0"/>
    <n v="0"/>
    <n v="33"/>
    <n v="17"/>
    <n v="0.51367781155015191"/>
    <n v="0"/>
    <n v="500"/>
    <n v="0"/>
    <n v="0"/>
    <n v="0"/>
    <n v="500"/>
    <n v="0.75987841945288759"/>
    <n v="0.24012158054711241"/>
    <n v="0.75987841945288759"/>
    <n v="0"/>
    <n v="0"/>
    <n v="12"/>
    <n v="136"/>
    <n v="0"/>
    <n v="658"/>
    <s v="No"/>
    <s v=""/>
    <n v="0"/>
    <n v="0"/>
    <n v="0"/>
    <n v="0"/>
    <s v="KBC-MYT"/>
    <x v="0"/>
    <x v="0"/>
    <x v="0"/>
    <n v="25.489669799804702"/>
    <n v="97.458778381347699"/>
    <s v="MMR001CMP265"/>
    <x v="1"/>
    <m/>
    <n v="136"/>
    <n v="658"/>
  </r>
  <r>
    <x v="2"/>
    <x v="7"/>
    <x v="7"/>
    <s v="UNICEF"/>
    <x v="0"/>
    <x v="2"/>
    <x v="0"/>
    <x v="37"/>
    <n v="1490"/>
    <n v="8486"/>
    <d v="2022-05-01T00:00:00"/>
    <d v="2022-10-31T00:00:00"/>
    <m/>
    <n v="3"/>
    <m/>
    <m/>
    <s v="Yes"/>
    <n v="12"/>
    <n v="13"/>
    <n v="3"/>
    <m/>
    <m/>
    <m/>
    <m/>
    <m/>
    <m/>
    <n v="3"/>
    <m/>
    <m/>
    <m/>
    <n v="3"/>
    <m/>
    <m/>
    <m/>
    <m/>
    <m/>
    <m/>
    <m/>
    <m/>
    <m/>
    <m/>
    <m/>
    <n v="715"/>
    <m/>
    <m/>
    <m/>
    <m/>
    <m/>
    <m/>
    <m/>
    <x v="1"/>
    <x v="1"/>
    <m/>
    <n v="8"/>
    <m/>
    <m/>
    <m/>
    <m/>
    <n v="145"/>
    <m/>
    <m/>
    <n v="49"/>
    <m/>
    <n v="12"/>
    <n v="13"/>
    <m/>
    <m/>
    <s v="No"/>
    <m/>
    <m/>
    <m/>
    <m/>
    <m/>
    <m/>
    <m/>
    <m/>
    <m/>
    <m/>
    <m/>
    <m/>
    <m/>
    <m/>
    <s v="no test"/>
    <s v="no test"/>
    <s v="No Test"/>
    <n v="3"/>
    <n v="0"/>
    <n v="3"/>
    <n v="0"/>
    <n v="0"/>
    <n v="0"/>
    <n v="0"/>
    <n v="0.16497761018147536"/>
    <n v="0.11194909262314401"/>
    <n v="0.16497761018147536"/>
    <n v="1400"/>
    <n v="8.8380862597218945E-2"/>
    <n v="750"/>
    <n v="0.25335847277869428"/>
    <n v="2150"/>
    <n v="4.3"/>
    <n v="0.74664152722130572"/>
    <n v="6336"/>
    <n v="12.7"/>
    <n v="17"/>
    <n v="715"/>
    <n v="1"/>
    <n v="8486"/>
    <n v="0"/>
    <n v="0"/>
    <n v="0"/>
    <n v="424"/>
    <n v="0"/>
    <n v="0"/>
    <n v="0"/>
    <n v="8486"/>
    <n v="0"/>
    <n v="0"/>
    <n v="0"/>
    <n v="8486"/>
    <n v="1"/>
    <n v="0"/>
    <n v="1"/>
    <n v="0"/>
    <n v="0"/>
    <n v="145"/>
    <n v="1490"/>
    <n v="0"/>
    <n v="8486"/>
    <s v="No"/>
    <s v=""/>
    <n v="0"/>
    <n v="0"/>
    <n v="0"/>
    <s v="Yes"/>
    <s v="KMSS-MYT"/>
    <x v="0"/>
    <x v="0"/>
    <x v="1"/>
    <n v="24.688338999999999"/>
    <n v="97.568331999999998"/>
    <s v="MMR001CMP121"/>
    <x v="1"/>
    <m/>
    <n v="1592"/>
    <n v="8220"/>
  </r>
  <r>
    <x v="2"/>
    <x v="4"/>
    <x v="4"/>
    <s v="UNICEF"/>
    <x v="0"/>
    <x v="7"/>
    <x v="0"/>
    <x v="38"/>
    <n v="18"/>
    <n v="61"/>
    <d v="2021-08-06T00:00:00"/>
    <d v="2022-08-05T00:00:00"/>
    <n v="489"/>
    <n v="2"/>
    <m/>
    <m/>
    <s v="Yes"/>
    <n v="1"/>
    <n v="2"/>
    <n v="1"/>
    <m/>
    <m/>
    <n v="1"/>
    <m/>
    <m/>
    <m/>
    <m/>
    <m/>
    <m/>
    <m/>
    <m/>
    <m/>
    <m/>
    <m/>
    <m/>
    <m/>
    <m/>
    <m/>
    <n v="4"/>
    <m/>
    <m/>
    <m/>
    <n v="4"/>
    <m/>
    <m/>
    <m/>
    <m/>
    <m/>
    <m/>
    <m/>
    <x v="1"/>
    <x v="1"/>
    <m/>
    <m/>
    <m/>
    <m/>
    <m/>
    <m/>
    <n v="2"/>
    <m/>
    <m/>
    <n v="1"/>
    <m/>
    <m/>
    <n v="1"/>
    <m/>
    <m/>
    <s v="Yes"/>
    <m/>
    <m/>
    <m/>
    <m/>
    <m/>
    <m/>
    <m/>
    <m/>
    <m/>
    <m/>
    <m/>
    <m/>
    <m/>
    <m/>
    <s v="no test"/>
    <s v="no test"/>
    <s v="No Test"/>
    <n v="1"/>
    <n v="1"/>
    <n v="0"/>
    <n v="0"/>
    <n v="0"/>
    <n v="0"/>
    <n v="0"/>
    <n v="1"/>
    <n v="1"/>
    <n v="1"/>
    <n v="61"/>
    <n v="0"/>
    <n v="0"/>
    <n v="1"/>
    <n v="61"/>
    <n v="0.122"/>
    <n v="0"/>
    <n v="0"/>
    <n v="0.878"/>
    <n v="1"/>
    <n v="4"/>
    <n v="1"/>
    <n v="61"/>
    <n v="0"/>
    <n v="0"/>
    <n v="0"/>
    <n v="3"/>
    <n v="0"/>
    <n v="0"/>
    <n v="0"/>
    <n v="61"/>
    <n v="0"/>
    <n v="0"/>
    <n v="0"/>
    <n v="61"/>
    <n v="1"/>
    <n v="0"/>
    <n v="1"/>
    <n v="0"/>
    <n v="0"/>
    <n v="2"/>
    <n v="18"/>
    <n v="4"/>
    <n v="61"/>
    <s v="Yes"/>
    <s v=""/>
    <n v="0"/>
    <n v="0"/>
    <n v="0"/>
    <n v="0"/>
    <s v="KMSS-MYT"/>
    <x v="0"/>
    <x v="0"/>
    <x v="0"/>
    <n v="25.244700000000002"/>
    <n v="97.2209"/>
    <s v="MMR001CMP256"/>
    <x v="1"/>
    <m/>
    <n v="18"/>
    <n v="60"/>
  </r>
  <r>
    <x v="2"/>
    <x v="1"/>
    <x v="14"/>
    <s v="ECHO 2739"/>
    <x v="0"/>
    <x v="2"/>
    <x v="1"/>
    <x v="39"/>
    <n v="1597"/>
    <n v="8250"/>
    <d v="2022-06-01T00:00:00"/>
    <d v="2022-11-30T00:00:00"/>
    <m/>
    <m/>
    <m/>
    <m/>
    <s v="Yes"/>
    <n v="1"/>
    <n v="5"/>
    <n v="1"/>
    <m/>
    <m/>
    <m/>
    <m/>
    <m/>
    <m/>
    <m/>
    <m/>
    <m/>
    <m/>
    <m/>
    <m/>
    <n v="1"/>
    <m/>
    <n v="1"/>
    <n v="1"/>
    <n v="3"/>
    <n v="3"/>
    <m/>
    <m/>
    <m/>
    <m/>
    <n v="8"/>
    <m/>
    <m/>
    <m/>
    <m/>
    <n v="4"/>
    <n v="4"/>
    <m/>
    <x v="1"/>
    <x v="1"/>
    <m/>
    <m/>
    <m/>
    <m/>
    <m/>
    <m/>
    <m/>
    <m/>
    <m/>
    <n v="2"/>
    <m/>
    <m/>
    <m/>
    <m/>
    <m/>
    <m/>
    <m/>
    <m/>
    <m/>
    <m/>
    <m/>
    <m/>
    <m/>
    <m/>
    <m/>
    <m/>
    <m/>
    <m/>
    <m/>
    <m/>
    <n v="1"/>
    <n v="1"/>
    <s v="Tested"/>
    <n v="1"/>
    <n v="0"/>
    <n v="0"/>
    <n v="0"/>
    <n v="0"/>
    <n v="0"/>
    <n v="0"/>
    <n v="4.8484848484848485E-2"/>
    <n v="3.0303030303030304E-2"/>
    <n v="4.8484848484848485E-2"/>
    <n v="400"/>
    <n v="0"/>
    <n v="0"/>
    <n v="4.8484848484848485E-2"/>
    <n v="400"/>
    <n v="0.8"/>
    <n v="0.95151515151515154"/>
    <n v="7850"/>
    <n v="16.2"/>
    <n v="17"/>
    <n v="8"/>
    <n v="1.9393939393939394E-2"/>
    <n v="160"/>
    <n v="80"/>
    <n v="0"/>
    <n v="0"/>
    <n v="413"/>
    <n v="405"/>
    <n v="0.98060606060606059"/>
    <n v="0"/>
    <n v="0"/>
    <n v="0"/>
    <n v="0"/>
    <n v="0"/>
    <n v="0"/>
    <n v="0"/>
    <n v="1"/>
    <n v="0"/>
    <n v="0"/>
    <n v="0"/>
    <n v="0"/>
    <n v="0"/>
    <n v="0"/>
    <n v="0"/>
    <s v="No"/>
    <s v=""/>
    <n v="0"/>
    <n v="0"/>
    <n v="0"/>
    <n v="0"/>
    <n v="0"/>
    <x v="0"/>
    <x v="0"/>
    <x v="0"/>
    <n v="0"/>
    <n v="0"/>
    <n v="0"/>
    <x v="1"/>
    <m/>
    <n v="0"/>
    <n v="0"/>
  </r>
  <r>
    <x v="2"/>
    <x v="4"/>
    <x v="4"/>
    <s v="UNICEF"/>
    <x v="0"/>
    <x v="1"/>
    <x v="0"/>
    <x v="40"/>
    <n v="14"/>
    <n v="53"/>
    <d v="2021-08-06T00:00:00"/>
    <d v="2022-08-05T00:00:00"/>
    <n v="155"/>
    <n v="3"/>
    <m/>
    <m/>
    <s v="Yes"/>
    <n v="3"/>
    <n v="2"/>
    <n v="1"/>
    <m/>
    <m/>
    <n v="1"/>
    <m/>
    <m/>
    <m/>
    <n v="1"/>
    <m/>
    <m/>
    <m/>
    <m/>
    <m/>
    <m/>
    <n v="7"/>
    <m/>
    <m/>
    <m/>
    <m/>
    <n v="2"/>
    <n v="1"/>
    <m/>
    <m/>
    <n v="4"/>
    <m/>
    <m/>
    <m/>
    <m/>
    <m/>
    <m/>
    <m/>
    <x v="1"/>
    <x v="2"/>
    <n v="2"/>
    <m/>
    <m/>
    <m/>
    <m/>
    <m/>
    <n v="2"/>
    <m/>
    <m/>
    <n v="2"/>
    <m/>
    <m/>
    <n v="1"/>
    <m/>
    <m/>
    <s v="Yes"/>
    <m/>
    <m/>
    <m/>
    <m/>
    <m/>
    <m/>
    <m/>
    <m/>
    <m/>
    <m/>
    <m/>
    <m/>
    <m/>
    <m/>
    <s v="no test"/>
    <s v="no test"/>
    <s v="No Test"/>
    <n v="1"/>
    <n v="1"/>
    <n v="1"/>
    <n v="0"/>
    <n v="0"/>
    <n v="53"/>
    <n v="0"/>
    <n v="1"/>
    <n v="1"/>
    <n v="1"/>
    <n v="53"/>
    <n v="0"/>
    <n v="0"/>
    <n v="1"/>
    <n v="53"/>
    <n v="0.106"/>
    <n v="0"/>
    <n v="0"/>
    <n v="0.89400000000000002"/>
    <n v="1"/>
    <n v="4"/>
    <n v="1"/>
    <n v="53"/>
    <n v="0"/>
    <n v="0"/>
    <n v="0"/>
    <n v="3"/>
    <n v="0"/>
    <n v="0"/>
    <n v="0"/>
    <n v="53"/>
    <n v="0"/>
    <n v="0"/>
    <n v="0"/>
    <n v="53"/>
    <n v="1"/>
    <n v="0"/>
    <n v="1"/>
    <n v="0"/>
    <n v="0"/>
    <n v="2"/>
    <n v="14"/>
    <n v="2"/>
    <n v="53"/>
    <s v="Yes"/>
    <s v=""/>
    <n v="0"/>
    <n v="53"/>
    <n v="0"/>
    <n v="0"/>
    <s v="KMSS-MYT"/>
    <x v="0"/>
    <x v="0"/>
    <x v="0"/>
    <n v="25.522594999999999"/>
    <n v="96.711534"/>
    <s v="MMR001CMP270"/>
    <x v="1"/>
    <m/>
    <n v="14"/>
    <n v="52"/>
  </r>
  <r>
    <x v="2"/>
    <x v="1"/>
    <x v="1"/>
    <s v="ECHO 2739"/>
    <x v="0"/>
    <x v="2"/>
    <x v="1"/>
    <x v="41"/>
    <n v="46"/>
    <n v="263"/>
    <d v="2022-06-01T00:00:00"/>
    <d v="2022-11-30T00:00:00"/>
    <m/>
    <m/>
    <m/>
    <m/>
    <s v="Yes"/>
    <n v="4"/>
    <m/>
    <n v="1"/>
    <m/>
    <m/>
    <n v="2"/>
    <m/>
    <m/>
    <n v="1"/>
    <m/>
    <m/>
    <m/>
    <m/>
    <m/>
    <m/>
    <n v="1"/>
    <m/>
    <n v="1"/>
    <n v="1"/>
    <n v="3"/>
    <n v="3"/>
    <m/>
    <m/>
    <m/>
    <m/>
    <n v="5"/>
    <m/>
    <m/>
    <m/>
    <m/>
    <n v="3"/>
    <n v="4"/>
    <m/>
    <x v="1"/>
    <x v="1"/>
    <m/>
    <m/>
    <m/>
    <m/>
    <m/>
    <m/>
    <n v="2"/>
    <m/>
    <m/>
    <n v="2"/>
    <m/>
    <m/>
    <m/>
    <m/>
    <m/>
    <m/>
    <m/>
    <m/>
    <m/>
    <m/>
    <m/>
    <m/>
    <m/>
    <m/>
    <m/>
    <m/>
    <m/>
    <m/>
    <m/>
    <m/>
    <n v="1"/>
    <n v="1"/>
    <s v="Tested"/>
    <n v="1"/>
    <n v="2"/>
    <n v="0"/>
    <n v="0"/>
    <n v="0"/>
    <n v="0"/>
    <n v="0"/>
    <n v="1"/>
    <n v="1"/>
    <n v="1"/>
    <n v="263"/>
    <n v="0"/>
    <n v="0"/>
    <n v="1"/>
    <n v="263"/>
    <n v="0.52600000000000002"/>
    <n v="0"/>
    <n v="0"/>
    <n v="0.47399999999999998"/>
    <n v="1"/>
    <n v="5"/>
    <n v="0.38022813688212925"/>
    <n v="100"/>
    <n v="60"/>
    <n v="0"/>
    <n v="0"/>
    <n v="13"/>
    <n v="8"/>
    <n v="0.6197718631178708"/>
    <n v="0"/>
    <n v="0"/>
    <n v="0"/>
    <n v="0"/>
    <n v="0"/>
    <n v="0"/>
    <n v="0"/>
    <n v="1"/>
    <n v="0"/>
    <n v="0"/>
    <n v="0"/>
    <n v="2"/>
    <n v="40"/>
    <n v="0"/>
    <n v="200"/>
    <s v="No"/>
    <s v=""/>
    <n v="0"/>
    <n v="0"/>
    <n v="0"/>
    <n v="0"/>
    <n v="0"/>
    <x v="0"/>
    <x v="0"/>
    <x v="0"/>
    <n v="0"/>
    <n v="0"/>
    <n v="0"/>
    <x v="1"/>
    <m/>
    <n v="0"/>
    <n v="0"/>
  </r>
  <r>
    <x v="2"/>
    <x v="18"/>
    <x v="7"/>
    <s v="SIDA, UNICEF"/>
    <x v="0"/>
    <x v="8"/>
    <x v="0"/>
    <x v="42"/>
    <n v="13"/>
    <n v="76"/>
    <d v="2022-05-01T00:00:00"/>
    <d v="2023-08-31T00:00:00"/>
    <m/>
    <n v="1"/>
    <m/>
    <m/>
    <s v="Yes"/>
    <n v="2"/>
    <n v="3"/>
    <n v="1"/>
    <m/>
    <m/>
    <n v="1"/>
    <m/>
    <m/>
    <m/>
    <m/>
    <m/>
    <m/>
    <m/>
    <m/>
    <m/>
    <m/>
    <n v="2"/>
    <m/>
    <m/>
    <m/>
    <m/>
    <m/>
    <m/>
    <m/>
    <m/>
    <n v="6"/>
    <m/>
    <m/>
    <m/>
    <m/>
    <m/>
    <m/>
    <n v="6"/>
    <x v="1"/>
    <x v="3"/>
    <m/>
    <m/>
    <m/>
    <m/>
    <m/>
    <m/>
    <n v="4"/>
    <m/>
    <m/>
    <n v="2"/>
    <m/>
    <m/>
    <m/>
    <m/>
    <m/>
    <m/>
    <m/>
    <m/>
    <m/>
    <m/>
    <m/>
    <m/>
    <m/>
    <m/>
    <m/>
    <m/>
    <m/>
    <m/>
    <m/>
    <m/>
    <s v="no test"/>
    <s v="no test"/>
    <s v="No Test"/>
    <n v="1"/>
    <n v="1"/>
    <n v="0"/>
    <n v="0"/>
    <n v="0"/>
    <n v="0"/>
    <n v="0"/>
    <n v="1"/>
    <n v="1"/>
    <n v="1"/>
    <n v="76"/>
    <n v="0"/>
    <n v="0"/>
    <n v="1"/>
    <n v="76"/>
    <n v="0.152"/>
    <n v="0"/>
    <n v="0"/>
    <n v="0.84799999999999998"/>
    <n v="1"/>
    <n v="6"/>
    <n v="1"/>
    <n v="76"/>
    <n v="0"/>
    <n v="0"/>
    <n v="0"/>
    <n v="4"/>
    <n v="0"/>
    <n v="0"/>
    <n v="0"/>
    <n v="0"/>
    <n v="0"/>
    <n v="0"/>
    <n v="0"/>
    <n v="0"/>
    <n v="0"/>
    <n v="1"/>
    <n v="0"/>
    <n v="0"/>
    <n v="0"/>
    <n v="4"/>
    <n v="13"/>
    <n v="0"/>
    <n v="76"/>
    <s v="No"/>
    <s v=""/>
    <n v="0"/>
    <n v="0"/>
    <n v="0"/>
    <s v="Yes"/>
    <s v="KBC-MYT"/>
    <x v="0"/>
    <x v="0"/>
    <x v="0"/>
    <n v="25.305669999999999"/>
    <n v="96.922619999999995"/>
    <s v="MMR001CMP078"/>
    <x v="1"/>
    <m/>
    <n v="13"/>
    <n v="76"/>
  </r>
  <r>
    <x v="2"/>
    <x v="7"/>
    <x v="7"/>
    <s v="UNICEF"/>
    <x v="0"/>
    <x v="2"/>
    <x v="1"/>
    <x v="43"/>
    <n v="440"/>
    <n v="2199"/>
    <d v="2020-10-01T00:00:00"/>
    <d v="2022-04-30T00:00:00"/>
    <m/>
    <m/>
    <m/>
    <m/>
    <s v="Yes"/>
    <m/>
    <m/>
    <m/>
    <m/>
    <m/>
    <n v="1"/>
    <m/>
    <m/>
    <m/>
    <m/>
    <m/>
    <m/>
    <m/>
    <m/>
    <m/>
    <m/>
    <m/>
    <m/>
    <m/>
    <m/>
    <m/>
    <n v="20"/>
    <m/>
    <m/>
    <m/>
    <m/>
    <m/>
    <m/>
    <m/>
    <m/>
    <m/>
    <m/>
    <m/>
    <x v="0"/>
    <x v="0"/>
    <m/>
    <m/>
    <n v="51"/>
    <m/>
    <m/>
    <m/>
    <n v="3"/>
    <m/>
    <m/>
    <n v="2"/>
    <m/>
    <m/>
    <m/>
    <m/>
    <m/>
    <m/>
    <m/>
    <m/>
    <m/>
    <m/>
    <m/>
    <m/>
    <m/>
    <m/>
    <m/>
    <m/>
    <m/>
    <m/>
    <m/>
    <m/>
    <s v="no test"/>
    <s v="no test"/>
    <s v="No Test"/>
    <n v="0"/>
    <n v="1"/>
    <n v="0"/>
    <n v="0"/>
    <n v="0"/>
    <n v="0"/>
    <n v="0"/>
    <n v="0.22737608003638018"/>
    <n v="0.11368804001819009"/>
    <n v="0.22737608003638018"/>
    <n v="500"/>
    <n v="0"/>
    <n v="0"/>
    <n v="0.22737608003638018"/>
    <n v="500"/>
    <n v="1"/>
    <n v="0.77262391996361979"/>
    <n v="1699"/>
    <n v="3"/>
    <n v="4"/>
    <n v="0"/>
    <n v="0"/>
    <n v="0"/>
    <n v="0"/>
    <n v="0"/>
    <n v="0"/>
    <n v="110"/>
    <n v="110"/>
    <n v="1"/>
    <n v="0"/>
    <n v="0"/>
    <n v="0"/>
    <n v="0"/>
    <n v="0"/>
    <n v="0"/>
    <n v="0"/>
    <n v="1"/>
    <n v="0"/>
    <n v="0"/>
    <n v="0"/>
    <n v="3"/>
    <n v="60"/>
    <n v="0"/>
    <n v="300"/>
    <s v="No"/>
    <s v=""/>
    <n v="0"/>
    <n v="0"/>
    <n v="0"/>
    <n v="0"/>
    <n v="0"/>
    <x v="0"/>
    <x v="1"/>
    <x v="1"/>
    <n v="0"/>
    <n v="0"/>
    <n v="0"/>
    <x v="1"/>
    <m/>
    <n v="0"/>
    <n v="0"/>
  </r>
  <r>
    <x v="2"/>
    <x v="6"/>
    <x v="6"/>
    <s v="SI (ECHO)"/>
    <x v="0"/>
    <x v="5"/>
    <x v="0"/>
    <x v="44"/>
    <n v="542"/>
    <n v="2503"/>
    <d v="2022-04-01T00:00:00"/>
    <d v="2022-12-31T00:00:00"/>
    <m/>
    <m/>
    <m/>
    <m/>
    <s v="Yes"/>
    <m/>
    <m/>
    <n v="4"/>
    <m/>
    <m/>
    <m/>
    <m/>
    <m/>
    <m/>
    <m/>
    <m/>
    <m/>
    <m/>
    <n v="1"/>
    <m/>
    <m/>
    <n v="1"/>
    <m/>
    <m/>
    <m/>
    <m/>
    <n v="5"/>
    <n v="2"/>
    <m/>
    <m/>
    <n v="438"/>
    <m/>
    <m/>
    <m/>
    <m/>
    <m/>
    <m/>
    <n v="266"/>
    <x v="2"/>
    <x v="1"/>
    <n v="6"/>
    <n v="274"/>
    <n v="62"/>
    <n v="2"/>
    <m/>
    <m/>
    <n v="7"/>
    <m/>
    <n v="266"/>
    <n v="4"/>
    <m/>
    <m/>
    <n v="7"/>
    <m/>
    <m/>
    <m/>
    <m/>
    <m/>
    <m/>
    <m/>
    <m/>
    <m/>
    <m/>
    <m/>
    <m/>
    <m/>
    <m/>
    <m/>
    <m/>
    <m/>
    <s v="no test"/>
    <s v="no test"/>
    <s v="No Test"/>
    <n v="4"/>
    <n v="0"/>
    <n v="0"/>
    <n v="0"/>
    <n v="0"/>
    <n v="1000"/>
    <n v="0"/>
    <n v="0.63923292049540548"/>
    <n v="0.39952057530962842"/>
    <n v="0.63923292049540548"/>
    <n v="1600"/>
    <n v="9.9880143827407106E-2"/>
    <n v="249.99999999999997"/>
    <n v="0.73911306432281254"/>
    <n v="1850"/>
    <n v="3.7"/>
    <n v="0.26088693567718746"/>
    <n v="653.00000000000023"/>
    <n v="1.2999999999999998"/>
    <n v="5"/>
    <n v="438"/>
    <n v="1"/>
    <n v="2503"/>
    <n v="0"/>
    <n v="0"/>
    <n v="100"/>
    <n v="125"/>
    <n v="0"/>
    <n v="0"/>
    <n v="0"/>
    <n v="2503"/>
    <n v="0"/>
    <n v="0"/>
    <n v="0"/>
    <n v="2503"/>
    <n v="1"/>
    <n v="0"/>
    <n v="1"/>
    <n v="0"/>
    <n v="0"/>
    <n v="7"/>
    <n v="140"/>
    <n v="0"/>
    <n v="700"/>
    <s v="No"/>
    <s v=""/>
    <n v="0"/>
    <n v="1000"/>
    <n v="100"/>
    <s v="Yes"/>
    <s v="KMSS-BMO"/>
    <x v="0"/>
    <x v="0"/>
    <x v="1"/>
    <n v="24.056132999999999"/>
    <n v="97.625617000000005"/>
    <s v="MMR001CMP128"/>
    <x v="1"/>
    <m/>
    <n v="542"/>
    <n v="2503"/>
  </r>
  <r>
    <x v="2"/>
    <x v="2"/>
    <x v="2"/>
    <s v="MHF"/>
    <x v="0"/>
    <x v="1"/>
    <x v="0"/>
    <x v="46"/>
    <n v="124"/>
    <n v="633"/>
    <d v="2022-01-01T00:00:00"/>
    <d v="2022-12-31T00:00:00"/>
    <n v="40"/>
    <m/>
    <m/>
    <m/>
    <s v="Yes"/>
    <n v="30"/>
    <n v="40"/>
    <n v="1"/>
    <n v="1"/>
    <m/>
    <m/>
    <m/>
    <m/>
    <m/>
    <n v="1"/>
    <m/>
    <m/>
    <m/>
    <m/>
    <m/>
    <n v="5"/>
    <m/>
    <m/>
    <m/>
    <m/>
    <m/>
    <m/>
    <m/>
    <m/>
    <m/>
    <n v="29"/>
    <m/>
    <m/>
    <m/>
    <m/>
    <n v="5"/>
    <n v="700"/>
    <m/>
    <x v="1"/>
    <x v="1"/>
    <m/>
    <m/>
    <m/>
    <m/>
    <m/>
    <m/>
    <n v="7"/>
    <n v="7"/>
    <m/>
    <n v="4"/>
    <m/>
    <m/>
    <n v="1"/>
    <m/>
    <m/>
    <m/>
    <m/>
    <n v="0.2"/>
    <s v="Hygiene Kits and capacity building training"/>
    <n v="0.5"/>
    <n v="0.8"/>
    <n v="40"/>
    <n v="0.8"/>
    <m/>
    <m/>
    <m/>
    <m/>
    <m/>
    <m/>
    <m/>
    <s v="no test"/>
    <s v="no test"/>
    <s v="No Test"/>
    <n v="0"/>
    <n v="0"/>
    <n v="1"/>
    <n v="0"/>
    <n v="0"/>
    <n v="0"/>
    <n v="0"/>
    <n v="0.10531858873091102"/>
    <n v="0.10531858873091102"/>
    <n v="0.10531858873091102"/>
    <n v="66.666666666666671"/>
    <n v="0"/>
    <n v="0"/>
    <n v="0.10531858873091102"/>
    <n v="66.666666666666671"/>
    <n v="0.13333333333333333"/>
    <n v="0.89468141126908896"/>
    <n v="566.33333333333326"/>
    <n v="0.8666666666666667"/>
    <n v="1"/>
    <n v="29"/>
    <n v="0.9162717219589257"/>
    <n v="580"/>
    <n v="100"/>
    <n v="0"/>
    <n v="0"/>
    <n v="32"/>
    <n v="3"/>
    <n v="8.37282780410743E-2"/>
    <n v="0"/>
    <n v="500"/>
    <n v="0"/>
    <n v="0"/>
    <n v="0"/>
    <n v="500"/>
    <n v="0.78988941548183256"/>
    <n v="0.21011058451816744"/>
    <n v="0.78988941548183256"/>
    <n v="0"/>
    <n v="0"/>
    <n v="0"/>
    <n v="0"/>
    <n v="0"/>
    <n v="0"/>
    <s v="Yes"/>
    <n v="6.3191153238546599E-2"/>
    <n v="0"/>
    <n v="0"/>
    <n v="0"/>
    <s v="Yes"/>
    <s v="KBC-MYT"/>
    <x v="0"/>
    <x v="0"/>
    <x v="0"/>
    <n v="25.664000000000001"/>
    <n v="96.34"/>
    <s v="MMR001CMP250"/>
    <x v="1"/>
    <m/>
    <n v="124"/>
    <n v="634"/>
  </r>
  <r>
    <x v="2"/>
    <x v="16"/>
    <x v="7"/>
    <s v="MHF,SIDA,UNICEF"/>
    <x v="0"/>
    <x v="7"/>
    <x v="0"/>
    <x v="47"/>
    <n v="142"/>
    <n v="718"/>
    <d v="2022-05-01T00:00:00"/>
    <d v="2023-08-31T00:00:00"/>
    <m/>
    <n v="2"/>
    <m/>
    <m/>
    <s v="Yes"/>
    <n v="2"/>
    <n v="3"/>
    <n v="1"/>
    <m/>
    <m/>
    <n v="3"/>
    <m/>
    <m/>
    <m/>
    <m/>
    <m/>
    <m/>
    <m/>
    <m/>
    <m/>
    <m/>
    <n v="2"/>
    <m/>
    <m/>
    <m/>
    <m/>
    <m/>
    <m/>
    <m/>
    <m/>
    <n v="8"/>
    <m/>
    <m/>
    <m/>
    <m/>
    <m/>
    <m/>
    <n v="8"/>
    <x v="1"/>
    <x v="3"/>
    <m/>
    <m/>
    <m/>
    <m/>
    <m/>
    <m/>
    <n v="3"/>
    <m/>
    <m/>
    <n v="2"/>
    <m/>
    <m/>
    <m/>
    <m/>
    <m/>
    <m/>
    <m/>
    <m/>
    <m/>
    <m/>
    <m/>
    <m/>
    <m/>
    <m/>
    <m/>
    <m/>
    <m/>
    <m/>
    <m/>
    <m/>
    <s v="no test"/>
    <s v="no test"/>
    <s v="No Test"/>
    <n v="1"/>
    <n v="3"/>
    <n v="0"/>
    <n v="0"/>
    <n v="0"/>
    <n v="0"/>
    <n v="0"/>
    <n v="1"/>
    <n v="1"/>
    <n v="1"/>
    <n v="718"/>
    <n v="0"/>
    <n v="0"/>
    <n v="1"/>
    <n v="718"/>
    <n v="1.4359999999999999"/>
    <n v="0"/>
    <n v="0"/>
    <n v="0"/>
    <n v="1"/>
    <n v="8"/>
    <n v="0.22284122562674094"/>
    <n v="160"/>
    <n v="0"/>
    <n v="0"/>
    <n v="0"/>
    <n v="36"/>
    <n v="28"/>
    <n v="0.77715877437325909"/>
    <n v="0"/>
    <n v="0"/>
    <n v="0"/>
    <n v="0"/>
    <n v="0"/>
    <n v="0"/>
    <n v="0"/>
    <n v="1"/>
    <n v="0"/>
    <n v="0"/>
    <n v="0"/>
    <n v="3"/>
    <n v="60"/>
    <n v="0"/>
    <n v="300"/>
    <s v="No"/>
    <s v=""/>
    <n v="0"/>
    <n v="0"/>
    <n v="0"/>
    <s v="Yes"/>
    <s v="KBC-MYT"/>
    <x v="0"/>
    <x v="0"/>
    <x v="0"/>
    <n v="25.362420757575801"/>
    <n v="97.409035000000003"/>
    <s v="MMR001CMP015"/>
    <x v="1"/>
    <m/>
    <n v="144"/>
    <n v="723"/>
  </r>
  <r>
    <x v="2"/>
    <x v="16"/>
    <x v="7"/>
    <s v="MHF,SIDA,UNICEF"/>
    <x v="0"/>
    <x v="7"/>
    <x v="0"/>
    <x v="48"/>
    <n v="136"/>
    <n v="697"/>
    <d v="2022-05-01T00:00:00"/>
    <d v="2023-08-31T00:00:00"/>
    <m/>
    <n v="3"/>
    <m/>
    <m/>
    <s v="Yes"/>
    <n v="2"/>
    <n v="3"/>
    <n v="3"/>
    <m/>
    <m/>
    <n v="3"/>
    <m/>
    <m/>
    <m/>
    <m/>
    <m/>
    <m/>
    <m/>
    <m/>
    <m/>
    <m/>
    <n v="2"/>
    <m/>
    <m/>
    <m/>
    <m/>
    <m/>
    <m/>
    <m/>
    <m/>
    <n v="32"/>
    <m/>
    <m/>
    <m/>
    <m/>
    <m/>
    <m/>
    <n v="32"/>
    <x v="1"/>
    <x v="1"/>
    <m/>
    <m/>
    <m/>
    <m/>
    <m/>
    <m/>
    <n v="3"/>
    <m/>
    <m/>
    <n v="2"/>
    <m/>
    <m/>
    <m/>
    <m/>
    <m/>
    <m/>
    <m/>
    <m/>
    <m/>
    <m/>
    <m/>
    <m/>
    <m/>
    <m/>
    <m/>
    <m/>
    <m/>
    <m/>
    <m/>
    <m/>
    <s v="no test"/>
    <s v="no test"/>
    <s v="No Test"/>
    <n v="3"/>
    <n v="3"/>
    <n v="0"/>
    <n v="0"/>
    <n v="0"/>
    <n v="0"/>
    <n v="0"/>
    <n v="1"/>
    <n v="1"/>
    <n v="1"/>
    <n v="697"/>
    <n v="0"/>
    <n v="0"/>
    <n v="1"/>
    <n v="697"/>
    <n v="1.3939999999999999"/>
    <n v="0"/>
    <n v="0"/>
    <n v="0"/>
    <n v="1"/>
    <n v="32"/>
    <n v="0.9182209469153515"/>
    <n v="640"/>
    <n v="0"/>
    <n v="0"/>
    <n v="0"/>
    <n v="35"/>
    <n v="3"/>
    <n v="8.1779053084648501E-2"/>
    <n v="0"/>
    <n v="0"/>
    <n v="0"/>
    <n v="0"/>
    <n v="0"/>
    <n v="0"/>
    <n v="0"/>
    <n v="1"/>
    <n v="0"/>
    <n v="0"/>
    <n v="0"/>
    <n v="3"/>
    <n v="60"/>
    <n v="0"/>
    <n v="300"/>
    <s v="No"/>
    <s v=""/>
    <n v="0"/>
    <n v="0"/>
    <n v="0"/>
    <s v="Yes"/>
    <s v="KBC-MYT"/>
    <x v="0"/>
    <x v="0"/>
    <x v="0"/>
    <n v="25.3510167948718"/>
    <n v="97.403402307692303"/>
    <s v="MMR001CMP014"/>
    <x v="1"/>
    <m/>
    <n v="136"/>
    <n v="697"/>
  </r>
  <r>
    <x v="2"/>
    <x v="2"/>
    <x v="2"/>
    <s v="MHF"/>
    <x v="0"/>
    <x v="6"/>
    <x v="0"/>
    <x v="49"/>
    <n v="201"/>
    <n v="885"/>
    <d v="2022-01-01T00:00:00"/>
    <d v="2022-12-31T00:00:00"/>
    <n v="400"/>
    <n v="1"/>
    <n v="1"/>
    <m/>
    <s v="Yes"/>
    <n v="4"/>
    <n v="2"/>
    <n v="1"/>
    <m/>
    <m/>
    <m/>
    <m/>
    <m/>
    <m/>
    <n v="3"/>
    <m/>
    <n v="3"/>
    <m/>
    <n v="16"/>
    <m/>
    <n v="10"/>
    <m/>
    <m/>
    <m/>
    <m/>
    <m/>
    <n v="2"/>
    <n v="2"/>
    <m/>
    <m/>
    <n v="50"/>
    <n v="8"/>
    <s v="MRC"/>
    <n v="10"/>
    <n v="3"/>
    <n v="5"/>
    <n v="37.854120000000002"/>
    <n v="50"/>
    <x v="1"/>
    <x v="1"/>
    <m/>
    <m/>
    <m/>
    <m/>
    <m/>
    <m/>
    <n v="1"/>
    <m/>
    <m/>
    <n v="1"/>
    <m/>
    <n v="1"/>
    <n v="1"/>
    <n v="50"/>
    <n v="295"/>
    <m/>
    <n v="5"/>
    <n v="0.5"/>
    <m/>
    <n v="0.8"/>
    <n v="0.8"/>
    <m/>
    <n v="1"/>
    <m/>
    <m/>
    <m/>
    <m/>
    <m/>
    <m/>
    <m/>
    <s v="no test"/>
    <s v="no test"/>
    <s v="No Test"/>
    <n v="1"/>
    <n v="0"/>
    <n v="3"/>
    <n v="0"/>
    <n v="0"/>
    <n v="885"/>
    <n v="0"/>
    <n v="0.67796610169491522"/>
    <n v="0.50847457627118642"/>
    <n v="0.67796610169491522"/>
    <n v="600"/>
    <n v="1"/>
    <n v="885"/>
    <n v="1"/>
    <n v="885"/>
    <n v="1.77"/>
    <n v="0"/>
    <n v="0"/>
    <n v="0.22999999999999998"/>
    <n v="2"/>
    <n v="48"/>
    <n v="1"/>
    <n v="885"/>
    <n v="100"/>
    <n v="0"/>
    <n v="0"/>
    <n v="44"/>
    <n v="0"/>
    <n v="0"/>
    <n v="0.17241379310344829"/>
    <n v="885"/>
    <n v="250"/>
    <n v="295"/>
    <n v="295"/>
    <n v="885"/>
    <n v="1"/>
    <n v="0"/>
    <n v="1"/>
    <n v="0.99502487562189057"/>
    <n v="1"/>
    <n v="1"/>
    <n v="20"/>
    <n v="0"/>
    <n v="100"/>
    <s v="Yes"/>
    <s v=""/>
    <n v="0"/>
    <n v="885"/>
    <n v="0"/>
    <s v="Yes"/>
    <s v="Shalom"/>
    <x v="0"/>
    <x v="0"/>
    <x v="0"/>
    <n v="25.887339999999998"/>
    <n v="98.129990000000006"/>
    <s v="MMR001CMP195"/>
    <x v="1"/>
    <m/>
    <n v="195"/>
    <n v="854"/>
  </r>
  <r>
    <x v="2"/>
    <x v="0"/>
    <x v="0"/>
    <m/>
    <x v="0"/>
    <x v="3"/>
    <x v="0"/>
    <x v="50"/>
    <n v="45"/>
    <n v="247"/>
    <m/>
    <m/>
    <m/>
    <m/>
    <m/>
    <m/>
    <m/>
    <m/>
    <m/>
    <m/>
    <m/>
    <m/>
    <m/>
    <m/>
    <m/>
    <m/>
    <m/>
    <m/>
    <m/>
    <m/>
    <m/>
    <m/>
    <m/>
    <m/>
    <m/>
    <m/>
    <m/>
    <m/>
    <m/>
    <m/>
    <m/>
    <m/>
    <m/>
    <m/>
    <m/>
    <m/>
    <m/>
    <m/>
    <m/>
    <m/>
    <x v="0"/>
    <x v="0"/>
    <m/>
    <m/>
    <m/>
    <m/>
    <m/>
    <m/>
    <n v="3"/>
    <m/>
    <m/>
    <n v="2"/>
    <m/>
    <m/>
    <m/>
    <m/>
    <m/>
    <m/>
    <m/>
    <m/>
    <m/>
    <m/>
    <m/>
    <m/>
    <m/>
    <m/>
    <m/>
    <m/>
    <m/>
    <m/>
    <m/>
    <m/>
    <s v="no test"/>
    <s v="no test"/>
    <s v="No Test"/>
    <n v="0"/>
    <n v="0"/>
    <n v="0"/>
    <n v="0"/>
    <n v="0"/>
    <n v="0"/>
    <n v="0"/>
    <n v="0"/>
    <n v="0"/>
    <n v="0"/>
    <n v="0"/>
    <n v="0"/>
    <n v="0"/>
    <n v="0"/>
    <n v="0"/>
    <n v="0"/>
    <n v="1"/>
    <n v="247"/>
    <n v="1"/>
    <n v="1"/>
    <n v="0"/>
    <n v="0"/>
    <n v="0"/>
    <n v="0"/>
    <n v="0"/>
    <n v="0"/>
    <n v="12"/>
    <n v="12"/>
    <n v="1"/>
    <n v="0"/>
    <n v="0"/>
    <n v="0"/>
    <n v="0"/>
    <n v="0"/>
    <n v="0"/>
    <n v="0"/>
    <n v="1"/>
    <n v="0"/>
    <n v="0"/>
    <n v="0"/>
    <n v="3"/>
    <n v="45"/>
    <n v="0"/>
    <n v="247"/>
    <s v="No"/>
    <s v=""/>
    <n v="0"/>
    <n v="0"/>
    <n v="0"/>
    <n v="0"/>
    <s v="Uncovered  "/>
    <x v="0"/>
    <x v="3"/>
    <x v="0"/>
    <n v="0"/>
    <n v="0"/>
    <s v="MMR001CMP292"/>
    <x v="0"/>
    <m/>
    <n v="87"/>
    <n v="478"/>
  </r>
  <r>
    <x v="2"/>
    <x v="2"/>
    <x v="2"/>
    <s v="MHF"/>
    <x v="0"/>
    <x v="1"/>
    <x v="0"/>
    <x v="51"/>
    <n v="19"/>
    <n v="103"/>
    <d v="2022-01-01T00:00:00"/>
    <d v="2022-12-31T00:00:00"/>
    <n v="15"/>
    <m/>
    <m/>
    <m/>
    <s v="Yes"/>
    <n v="3"/>
    <n v="2"/>
    <m/>
    <m/>
    <m/>
    <m/>
    <m/>
    <m/>
    <m/>
    <n v="2"/>
    <m/>
    <m/>
    <m/>
    <m/>
    <n v="4000"/>
    <m/>
    <m/>
    <m/>
    <m/>
    <m/>
    <n v="19"/>
    <n v="2"/>
    <m/>
    <m/>
    <m/>
    <n v="8"/>
    <m/>
    <m/>
    <m/>
    <m/>
    <n v="1"/>
    <n v="1000"/>
    <m/>
    <x v="1"/>
    <x v="1"/>
    <m/>
    <m/>
    <m/>
    <m/>
    <m/>
    <m/>
    <n v="2"/>
    <n v="3"/>
    <m/>
    <n v="2"/>
    <m/>
    <m/>
    <m/>
    <m/>
    <m/>
    <m/>
    <m/>
    <n v="0.85"/>
    <m/>
    <n v="0.99"/>
    <n v="0.95"/>
    <m/>
    <n v="0.99"/>
    <m/>
    <m/>
    <m/>
    <m/>
    <m/>
    <m/>
    <m/>
    <s v="no test"/>
    <s v="no test"/>
    <s v="No Test"/>
    <n v="0"/>
    <n v="0"/>
    <n v="2"/>
    <n v="0"/>
    <n v="2.9629629629629628"/>
    <n v="0"/>
    <n v="0"/>
    <n v="1"/>
    <n v="1"/>
    <n v="1"/>
    <n v="103"/>
    <n v="0"/>
    <n v="0"/>
    <n v="1"/>
    <n v="103"/>
    <n v="0.20599999999999999"/>
    <n v="0"/>
    <n v="0"/>
    <n v="0.79400000000000004"/>
    <n v="1"/>
    <n v="8"/>
    <n v="1"/>
    <n v="103"/>
    <n v="20"/>
    <n v="0"/>
    <n v="0"/>
    <n v="5"/>
    <n v="0"/>
    <n v="0"/>
    <n v="0"/>
    <n v="0"/>
    <n v="0"/>
    <n v="0"/>
    <n v="0"/>
    <n v="0"/>
    <n v="0"/>
    <n v="1"/>
    <n v="0"/>
    <n v="0"/>
    <n v="0"/>
    <n v="-1"/>
    <n v="-20"/>
    <n v="0"/>
    <n v="-100"/>
    <s v="Yes"/>
    <s v=""/>
    <n v="0"/>
    <n v="0"/>
    <n v="0"/>
    <s v="Yes"/>
    <s v="Shalom"/>
    <x v="0"/>
    <x v="0"/>
    <x v="0"/>
    <n v="25.566510000000001"/>
    <n v="96.269199999999998"/>
    <s v="MMR001CMP181"/>
    <x v="1"/>
    <m/>
    <n v="19"/>
    <n v="100"/>
  </r>
  <r>
    <x v="2"/>
    <x v="2"/>
    <x v="2"/>
    <s v="MHF"/>
    <x v="0"/>
    <x v="1"/>
    <x v="0"/>
    <x v="52"/>
    <n v="10"/>
    <n v="56"/>
    <d v="2022-01-01T00:00:00"/>
    <d v="2022-12-31T00:00:00"/>
    <m/>
    <n v="1"/>
    <m/>
    <m/>
    <s v="Yes"/>
    <n v="4"/>
    <n v="3"/>
    <n v="1"/>
    <m/>
    <m/>
    <n v="1"/>
    <m/>
    <m/>
    <m/>
    <m/>
    <m/>
    <m/>
    <m/>
    <n v="1"/>
    <m/>
    <n v="1"/>
    <n v="1"/>
    <m/>
    <m/>
    <m/>
    <m/>
    <m/>
    <m/>
    <m/>
    <s v="ရေအရည်သွေးစစ်ဆေးမူပြုလုပ်စေချင်။ "/>
    <n v="2"/>
    <n v="2"/>
    <m/>
    <m/>
    <m/>
    <m/>
    <m/>
    <m/>
    <x v="1"/>
    <x v="1"/>
    <m/>
    <m/>
    <m/>
    <m/>
    <m/>
    <m/>
    <n v="3"/>
    <m/>
    <m/>
    <n v="2"/>
    <m/>
    <m/>
    <n v="1"/>
    <n v="10"/>
    <m/>
    <m/>
    <m/>
    <n v="0.1"/>
    <s v="Hygiene promotion training and 1 hand washing station"/>
    <n v="0.75"/>
    <n v="0.99"/>
    <m/>
    <n v="0.6"/>
    <m/>
    <m/>
    <m/>
    <m/>
    <m/>
    <m/>
    <m/>
    <s v="no test"/>
    <s v="no test"/>
    <s v="No Test"/>
    <n v="1"/>
    <n v="1"/>
    <n v="0"/>
    <n v="0"/>
    <n v="0"/>
    <n v="0"/>
    <n v="0"/>
    <n v="1"/>
    <n v="1"/>
    <n v="1"/>
    <n v="56"/>
    <n v="1"/>
    <n v="56"/>
    <n v="1"/>
    <n v="56"/>
    <n v="0.112"/>
    <n v="0"/>
    <n v="0"/>
    <n v="0.88800000000000001"/>
    <n v="1"/>
    <n v="4"/>
    <n v="1"/>
    <n v="56"/>
    <n v="0"/>
    <n v="0"/>
    <n v="0"/>
    <n v="3"/>
    <n v="0"/>
    <n v="0"/>
    <n v="0"/>
    <n v="56"/>
    <n v="56"/>
    <n v="0"/>
    <n v="56"/>
    <n v="56"/>
    <n v="1"/>
    <n v="0"/>
    <n v="1"/>
    <n v="1"/>
    <n v="0"/>
    <n v="3"/>
    <n v="10"/>
    <n v="0"/>
    <n v="56"/>
    <s v="No"/>
    <s v=""/>
    <n v="0"/>
    <n v="0"/>
    <n v="0"/>
    <s v="Yes"/>
    <s v="Shalom"/>
    <x v="0"/>
    <x v="0"/>
    <x v="0"/>
    <n v="25.61842"/>
    <n v="96.316400000000002"/>
    <s v="MMR001CMP167"/>
    <x v="1"/>
    <m/>
    <n v="10"/>
    <n v="54"/>
  </r>
  <r>
    <x v="2"/>
    <x v="1"/>
    <x v="1"/>
    <s v="ECHO 2739"/>
    <x v="0"/>
    <x v="0"/>
    <x v="0"/>
    <x v="53"/>
    <n v="135"/>
    <n v="768"/>
    <d v="2022-06-01T00:00:00"/>
    <d v="2022-11-30T00:00:00"/>
    <m/>
    <m/>
    <m/>
    <m/>
    <s v="Yes"/>
    <n v="1"/>
    <n v="4"/>
    <n v="3"/>
    <m/>
    <n v="1"/>
    <n v="2"/>
    <m/>
    <m/>
    <m/>
    <m/>
    <m/>
    <m/>
    <m/>
    <m/>
    <m/>
    <n v="1"/>
    <m/>
    <n v="1"/>
    <n v="1"/>
    <n v="13"/>
    <n v="13"/>
    <m/>
    <m/>
    <m/>
    <m/>
    <n v="23"/>
    <m/>
    <m/>
    <m/>
    <m/>
    <n v="23"/>
    <n v="37.21"/>
    <m/>
    <x v="1"/>
    <x v="1"/>
    <m/>
    <m/>
    <m/>
    <m/>
    <m/>
    <m/>
    <n v="6"/>
    <m/>
    <m/>
    <n v="7"/>
    <n v="1"/>
    <m/>
    <m/>
    <m/>
    <m/>
    <m/>
    <m/>
    <m/>
    <m/>
    <m/>
    <m/>
    <m/>
    <m/>
    <m/>
    <m/>
    <m/>
    <m/>
    <m/>
    <m/>
    <m/>
    <n v="1"/>
    <n v="1"/>
    <s v="Tested"/>
    <n v="3"/>
    <n v="2"/>
    <n v="0"/>
    <n v="0"/>
    <n v="0"/>
    <n v="0"/>
    <n v="0"/>
    <n v="1"/>
    <n v="1"/>
    <n v="1"/>
    <n v="768"/>
    <n v="0"/>
    <n v="0"/>
    <n v="1"/>
    <n v="768"/>
    <n v="1.536"/>
    <n v="0"/>
    <n v="0"/>
    <n v="0.46399999999999997"/>
    <n v="2"/>
    <n v="23"/>
    <n v="0.59895833333333337"/>
    <n v="460"/>
    <n v="460"/>
    <n v="0"/>
    <n v="0"/>
    <n v="38"/>
    <n v="15"/>
    <n v="0.40104166666666663"/>
    <n v="0"/>
    <n v="0"/>
    <n v="0"/>
    <n v="0"/>
    <n v="0"/>
    <n v="0"/>
    <n v="0"/>
    <n v="1"/>
    <n v="0"/>
    <n v="0"/>
    <n v="0"/>
    <n v="6"/>
    <n v="120"/>
    <n v="0"/>
    <n v="600"/>
    <s v="No"/>
    <s v=""/>
    <n v="0"/>
    <n v="0"/>
    <n v="0"/>
    <s v="Yes"/>
    <s v="Shalom"/>
    <x v="0"/>
    <x v="0"/>
    <x v="0"/>
    <n v="24.2631743589744"/>
    <n v="97.240183461538507"/>
    <s v="MMR001CMP049"/>
    <x v="1"/>
    <m/>
    <n v="134"/>
    <n v="767"/>
  </r>
  <r>
    <x v="2"/>
    <x v="0"/>
    <x v="0"/>
    <m/>
    <x v="0"/>
    <x v="3"/>
    <x v="0"/>
    <x v="54"/>
    <n v="40"/>
    <n v="220"/>
    <m/>
    <m/>
    <m/>
    <m/>
    <m/>
    <m/>
    <m/>
    <m/>
    <m/>
    <m/>
    <m/>
    <m/>
    <m/>
    <m/>
    <m/>
    <m/>
    <m/>
    <m/>
    <m/>
    <m/>
    <m/>
    <m/>
    <m/>
    <m/>
    <m/>
    <m/>
    <m/>
    <m/>
    <m/>
    <m/>
    <m/>
    <m/>
    <m/>
    <m/>
    <m/>
    <m/>
    <m/>
    <m/>
    <m/>
    <m/>
    <x v="0"/>
    <x v="0"/>
    <m/>
    <m/>
    <m/>
    <m/>
    <m/>
    <m/>
    <n v="3"/>
    <m/>
    <m/>
    <n v="2"/>
    <m/>
    <m/>
    <m/>
    <m/>
    <m/>
    <m/>
    <m/>
    <m/>
    <m/>
    <m/>
    <m/>
    <m/>
    <m/>
    <m/>
    <m/>
    <m/>
    <m/>
    <m/>
    <m/>
    <m/>
    <s v="no test"/>
    <s v="no test"/>
    <s v="No Test"/>
    <n v="0"/>
    <n v="0"/>
    <n v="0"/>
    <n v="0"/>
    <n v="0"/>
    <n v="0"/>
    <n v="0"/>
    <n v="0"/>
    <n v="0"/>
    <n v="0"/>
    <n v="0"/>
    <n v="0"/>
    <n v="0"/>
    <n v="0"/>
    <n v="0"/>
    <n v="0"/>
    <n v="1"/>
    <n v="220"/>
    <n v="1"/>
    <n v="1"/>
    <n v="0"/>
    <n v="0"/>
    <n v="0"/>
    <n v="0"/>
    <n v="0"/>
    <n v="0"/>
    <n v="11"/>
    <n v="11"/>
    <n v="1"/>
    <n v="0"/>
    <n v="0"/>
    <n v="0"/>
    <n v="0"/>
    <n v="0"/>
    <n v="0"/>
    <n v="0"/>
    <n v="1"/>
    <n v="0"/>
    <n v="0"/>
    <n v="0"/>
    <n v="3"/>
    <n v="40"/>
    <n v="0"/>
    <n v="220"/>
    <s v="No"/>
    <s v=""/>
    <n v="0"/>
    <n v="0"/>
    <n v="0"/>
    <n v="0"/>
    <s v="Uncovered  "/>
    <x v="0"/>
    <x v="3"/>
    <x v="0"/>
    <n v="25.210599999999999"/>
    <n v="97.264700000000005"/>
    <s v="MMR001CMP289"/>
    <x v="0"/>
    <m/>
    <n v="40"/>
    <n v="220"/>
  </r>
  <r>
    <x v="2"/>
    <x v="1"/>
    <x v="1"/>
    <s v="ECHO 2739"/>
    <x v="0"/>
    <x v="2"/>
    <x v="0"/>
    <x v="55"/>
    <n v="39"/>
    <n v="239"/>
    <d v="2022-04-01T00:00:00"/>
    <d v="2022-11-30T00:00:00"/>
    <m/>
    <m/>
    <n v="1"/>
    <m/>
    <s v="Yes"/>
    <n v="3"/>
    <n v="6"/>
    <n v="1"/>
    <m/>
    <m/>
    <m/>
    <m/>
    <m/>
    <m/>
    <n v="1"/>
    <m/>
    <m/>
    <m/>
    <m/>
    <m/>
    <n v="1"/>
    <m/>
    <m/>
    <m/>
    <n v="4"/>
    <n v="4"/>
    <m/>
    <m/>
    <m/>
    <m/>
    <n v="9"/>
    <m/>
    <m/>
    <m/>
    <n v="1"/>
    <n v="9"/>
    <n v="5"/>
    <m/>
    <x v="1"/>
    <x v="1"/>
    <m/>
    <m/>
    <m/>
    <m/>
    <n v="2"/>
    <m/>
    <n v="7"/>
    <m/>
    <m/>
    <n v="1"/>
    <m/>
    <m/>
    <n v="1"/>
    <n v="39"/>
    <m/>
    <m/>
    <m/>
    <m/>
    <m/>
    <m/>
    <m/>
    <m/>
    <m/>
    <m/>
    <m/>
    <m/>
    <m/>
    <m/>
    <m/>
    <m/>
    <s v="no test"/>
    <n v="1"/>
    <s v="Tested"/>
    <n v="1"/>
    <n v="0"/>
    <n v="1"/>
    <n v="0"/>
    <n v="0"/>
    <n v="0"/>
    <n v="0"/>
    <n v="1"/>
    <n v="1"/>
    <n v="1"/>
    <n v="239"/>
    <n v="0"/>
    <n v="0"/>
    <n v="1"/>
    <n v="239"/>
    <n v="0.47799999999999998"/>
    <n v="0"/>
    <n v="0"/>
    <n v="0.52200000000000002"/>
    <n v="1"/>
    <n v="9"/>
    <n v="0.7615062761506276"/>
    <n v="182"/>
    <n v="180"/>
    <n v="0"/>
    <n v="0"/>
    <n v="12"/>
    <n v="3"/>
    <n v="0.2384937238493724"/>
    <n v="0"/>
    <n v="239"/>
    <n v="239"/>
    <n v="0"/>
    <n v="239"/>
    <n v="239"/>
    <n v="1"/>
    <n v="0"/>
    <n v="1"/>
    <n v="1"/>
    <n v="0"/>
    <n v="7"/>
    <n v="39"/>
    <n v="0"/>
    <n v="239"/>
    <s v="No"/>
    <s v=""/>
    <n v="0"/>
    <n v="0"/>
    <n v="0"/>
    <s v="Yes"/>
    <s v="KBC-BMO"/>
    <x v="0"/>
    <x v="0"/>
    <x v="0"/>
    <n v="24.200972"/>
    <n v="97.718582999999995"/>
    <s v="MMR001CMP071"/>
    <x v="1"/>
    <m/>
    <n v="40"/>
    <n v="247"/>
  </r>
  <r>
    <x v="2"/>
    <x v="1"/>
    <x v="1"/>
    <s v="ECHO 2739"/>
    <x v="0"/>
    <x v="2"/>
    <x v="0"/>
    <x v="56"/>
    <n v="68"/>
    <n v="426"/>
    <d v="2022-04-01T00:00:00"/>
    <d v="2022-11-30T00:00:00"/>
    <m/>
    <m/>
    <n v="1"/>
    <m/>
    <s v="Yes"/>
    <n v="5"/>
    <n v="6"/>
    <m/>
    <m/>
    <m/>
    <n v="1"/>
    <m/>
    <m/>
    <m/>
    <n v="1"/>
    <n v="1"/>
    <m/>
    <m/>
    <m/>
    <m/>
    <n v="1"/>
    <m/>
    <m/>
    <m/>
    <n v="4"/>
    <n v="4"/>
    <m/>
    <m/>
    <m/>
    <m/>
    <n v="6"/>
    <m/>
    <m/>
    <m/>
    <m/>
    <n v="6"/>
    <n v="22"/>
    <m/>
    <x v="1"/>
    <x v="1"/>
    <m/>
    <n v="1"/>
    <m/>
    <m/>
    <n v="6"/>
    <m/>
    <n v="3"/>
    <m/>
    <m/>
    <n v="2"/>
    <m/>
    <m/>
    <n v="1"/>
    <n v="68"/>
    <m/>
    <m/>
    <m/>
    <m/>
    <m/>
    <m/>
    <m/>
    <m/>
    <m/>
    <m/>
    <m/>
    <m/>
    <m/>
    <m/>
    <m/>
    <m/>
    <s v="no test"/>
    <n v="1"/>
    <s v="Tested"/>
    <n v="0"/>
    <n v="1"/>
    <n v="0"/>
    <n v="0"/>
    <n v="0"/>
    <n v="0"/>
    <n v="0"/>
    <n v="1"/>
    <n v="0.58685446009389675"/>
    <n v="1"/>
    <n v="426"/>
    <n v="0"/>
    <n v="0"/>
    <n v="1"/>
    <n v="426"/>
    <n v="0.85199999999999998"/>
    <n v="0"/>
    <n v="0"/>
    <n v="0.14800000000000002"/>
    <n v="1"/>
    <n v="6"/>
    <n v="0.29577464788732394"/>
    <n v="126"/>
    <n v="120"/>
    <n v="0"/>
    <n v="0"/>
    <n v="21"/>
    <n v="15"/>
    <n v="0.70422535211267601"/>
    <n v="0"/>
    <n v="426"/>
    <n v="426"/>
    <n v="0"/>
    <n v="426"/>
    <n v="426"/>
    <n v="1"/>
    <n v="0"/>
    <n v="1"/>
    <n v="1"/>
    <n v="0"/>
    <n v="3"/>
    <n v="60"/>
    <n v="0"/>
    <n v="300"/>
    <s v="No"/>
    <s v=""/>
    <n v="0"/>
    <n v="0"/>
    <n v="0"/>
    <s v="Yes"/>
    <s v="KMSS-BMO"/>
    <x v="0"/>
    <x v="0"/>
    <x v="0"/>
    <n v="24.205417000000001"/>
    <n v="97.724566999999993"/>
    <s v="MMR001CMP069"/>
    <x v="1"/>
    <m/>
    <n v="79"/>
    <n v="448"/>
  </r>
  <r>
    <x v="2"/>
    <x v="1"/>
    <x v="1"/>
    <s v="ECHO 2739"/>
    <x v="0"/>
    <x v="2"/>
    <x v="0"/>
    <x v="57"/>
    <n v="232"/>
    <n v="1322"/>
    <d v="2022-04-01T00:00:00"/>
    <d v="2022-11-30T00:00:00"/>
    <m/>
    <m/>
    <n v="4"/>
    <m/>
    <s v="Yes"/>
    <n v="11"/>
    <n v="13"/>
    <n v="5"/>
    <m/>
    <m/>
    <n v="3"/>
    <m/>
    <n v="1"/>
    <m/>
    <n v="4"/>
    <m/>
    <n v="1"/>
    <m/>
    <m/>
    <m/>
    <n v="1"/>
    <m/>
    <m/>
    <m/>
    <n v="24"/>
    <n v="24"/>
    <m/>
    <m/>
    <m/>
    <m/>
    <n v="40"/>
    <m/>
    <m/>
    <m/>
    <m/>
    <n v="40"/>
    <n v="37"/>
    <m/>
    <x v="1"/>
    <x v="1"/>
    <m/>
    <m/>
    <m/>
    <m/>
    <n v="3"/>
    <m/>
    <n v="3"/>
    <m/>
    <m/>
    <n v="6"/>
    <m/>
    <m/>
    <n v="4"/>
    <n v="232"/>
    <m/>
    <m/>
    <m/>
    <m/>
    <m/>
    <m/>
    <m/>
    <n v="3"/>
    <n v="0.66"/>
    <m/>
    <m/>
    <m/>
    <m/>
    <m/>
    <m/>
    <m/>
    <s v="no test"/>
    <n v="1"/>
    <s v="Tested"/>
    <n v="5"/>
    <n v="2"/>
    <n v="4"/>
    <n v="0"/>
    <n v="0"/>
    <n v="0"/>
    <n v="0"/>
    <n v="1"/>
    <n v="1"/>
    <n v="1"/>
    <n v="1322"/>
    <n v="0"/>
    <n v="0"/>
    <n v="1"/>
    <n v="1322"/>
    <n v="2.6440000000000001"/>
    <n v="0"/>
    <n v="0"/>
    <n v="0.35599999999999987"/>
    <n v="3"/>
    <n v="40"/>
    <n v="0.60741301059001518"/>
    <n v="803"/>
    <n v="800"/>
    <n v="0"/>
    <n v="0"/>
    <n v="66"/>
    <n v="26"/>
    <n v="0.39258698940998482"/>
    <n v="0"/>
    <n v="1322"/>
    <n v="1322"/>
    <n v="0"/>
    <n v="1322"/>
    <n v="1322"/>
    <n v="1"/>
    <n v="0"/>
    <n v="1"/>
    <n v="1"/>
    <n v="0"/>
    <n v="3"/>
    <n v="60"/>
    <n v="0"/>
    <n v="300"/>
    <s v="No"/>
    <n v="2.2692889561270802E-3"/>
    <n v="0"/>
    <n v="0"/>
    <n v="0"/>
    <s v="Yes"/>
    <s v="KBC-BMO"/>
    <x v="0"/>
    <x v="0"/>
    <x v="0"/>
    <n v="24.200433"/>
    <n v="97.717133000000004"/>
    <s v="MMR001CMP070"/>
    <x v="1"/>
    <m/>
    <n v="240"/>
    <n v="1395"/>
  </r>
  <r>
    <x v="2"/>
    <x v="4"/>
    <x v="4"/>
    <s v="UNICEF"/>
    <x v="0"/>
    <x v="1"/>
    <x v="1"/>
    <x v="58"/>
    <n v="90"/>
    <n v="460"/>
    <d v="2021-08-06T00:00:00"/>
    <d v="2022-08-05T00:00:00"/>
    <m/>
    <n v="5"/>
    <m/>
    <m/>
    <s v="Yes"/>
    <n v="2"/>
    <n v="5"/>
    <n v="1"/>
    <m/>
    <m/>
    <m/>
    <m/>
    <m/>
    <m/>
    <m/>
    <m/>
    <m/>
    <m/>
    <m/>
    <m/>
    <m/>
    <n v="7"/>
    <m/>
    <m/>
    <m/>
    <m/>
    <m/>
    <m/>
    <m/>
    <m/>
    <n v="12"/>
    <m/>
    <m/>
    <m/>
    <m/>
    <m/>
    <m/>
    <m/>
    <x v="1"/>
    <x v="1"/>
    <n v="3"/>
    <m/>
    <m/>
    <m/>
    <m/>
    <m/>
    <n v="1"/>
    <m/>
    <m/>
    <n v="2"/>
    <m/>
    <m/>
    <n v="1"/>
    <m/>
    <m/>
    <s v="Yes"/>
    <m/>
    <m/>
    <m/>
    <m/>
    <m/>
    <m/>
    <m/>
    <m/>
    <m/>
    <m/>
    <m/>
    <m/>
    <m/>
    <m/>
    <s v="no test"/>
    <s v="no test"/>
    <s v="No Test"/>
    <n v="1"/>
    <n v="0"/>
    <n v="0"/>
    <n v="0"/>
    <n v="0"/>
    <n v="0"/>
    <n v="0"/>
    <n v="0.86956521739130432"/>
    <n v="0.54347826086956519"/>
    <n v="0.86956521739130432"/>
    <n v="400"/>
    <n v="0"/>
    <n v="0"/>
    <n v="0.86956521739130432"/>
    <n v="400"/>
    <n v="0.8"/>
    <n v="0.13043478260869568"/>
    <n v="60.000000000000014"/>
    <n v="0.19999999999999996"/>
    <n v="1"/>
    <n v="12"/>
    <n v="0.65217391304347827"/>
    <n v="300"/>
    <n v="0"/>
    <n v="0"/>
    <n v="0"/>
    <n v="23"/>
    <n v="11"/>
    <n v="0.34782608695652173"/>
    <n v="0"/>
    <n v="460"/>
    <n v="0"/>
    <n v="0"/>
    <n v="0"/>
    <n v="460"/>
    <n v="1"/>
    <n v="0"/>
    <n v="1"/>
    <n v="0"/>
    <n v="0"/>
    <n v="1"/>
    <n v="20"/>
    <n v="0"/>
    <n v="100"/>
    <s v="No"/>
    <s v=""/>
    <n v="0"/>
    <n v="0"/>
    <n v="0"/>
    <n v="0"/>
    <n v="0"/>
    <x v="0"/>
    <x v="3"/>
    <x v="0"/>
    <n v="0"/>
    <n v="0"/>
    <n v="0"/>
    <x v="1"/>
    <m/>
    <n v="0"/>
    <n v="0"/>
  </r>
  <r>
    <x v="2"/>
    <x v="18"/>
    <x v="7"/>
    <s v="SIDA,UNICEF"/>
    <x v="0"/>
    <x v="8"/>
    <x v="0"/>
    <x v="61"/>
    <n v="15"/>
    <n v="73"/>
    <d v="2022-05-01T00:00:00"/>
    <d v="2023-08-31T00:00:00"/>
    <m/>
    <n v="1"/>
    <m/>
    <m/>
    <s v="Yes"/>
    <n v="2"/>
    <n v="3"/>
    <n v="1"/>
    <m/>
    <m/>
    <n v="1"/>
    <m/>
    <m/>
    <m/>
    <m/>
    <m/>
    <m/>
    <m/>
    <m/>
    <m/>
    <m/>
    <n v="2"/>
    <m/>
    <m/>
    <m/>
    <m/>
    <m/>
    <m/>
    <m/>
    <m/>
    <n v="3"/>
    <m/>
    <m/>
    <m/>
    <m/>
    <m/>
    <m/>
    <n v="2"/>
    <x v="1"/>
    <x v="1"/>
    <m/>
    <m/>
    <m/>
    <m/>
    <m/>
    <m/>
    <n v="2"/>
    <m/>
    <m/>
    <n v="2"/>
    <m/>
    <m/>
    <m/>
    <m/>
    <m/>
    <m/>
    <m/>
    <m/>
    <m/>
    <m/>
    <m/>
    <m/>
    <m/>
    <m/>
    <m/>
    <m/>
    <m/>
    <m/>
    <m/>
    <m/>
    <s v="no test"/>
    <s v="no test"/>
    <s v="No Test"/>
    <n v="1"/>
    <n v="1"/>
    <n v="0"/>
    <n v="0"/>
    <n v="0"/>
    <n v="0"/>
    <n v="0"/>
    <n v="1"/>
    <n v="1"/>
    <n v="1"/>
    <n v="73"/>
    <n v="0"/>
    <n v="0"/>
    <n v="1"/>
    <n v="73"/>
    <n v="0.14599999999999999"/>
    <n v="0"/>
    <n v="0"/>
    <n v="0.85399999999999998"/>
    <n v="1"/>
    <n v="3"/>
    <n v="0.82191780821917804"/>
    <n v="60"/>
    <n v="0"/>
    <n v="0"/>
    <n v="0"/>
    <n v="4"/>
    <n v="1"/>
    <n v="0.17808219178082196"/>
    <n v="0"/>
    <n v="0"/>
    <n v="0"/>
    <n v="0"/>
    <n v="0"/>
    <n v="0"/>
    <n v="0"/>
    <n v="1"/>
    <n v="0"/>
    <n v="0"/>
    <n v="0"/>
    <n v="2"/>
    <n v="15"/>
    <n v="0"/>
    <n v="73"/>
    <s v="No"/>
    <s v=""/>
    <n v="0"/>
    <n v="0"/>
    <n v="0"/>
    <s v="Yes"/>
    <s v="KBC-MYT"/>
    <x v="0"/>
    <x v="0"/>
    <x v="0"/>
    <n v="25.296579999999999"/>
    <n v="96.942279999999997"/>
    <s v="MMR001CMP077"/>
    <x v="1"/>
    <m/>
    <n v="16"/>
    <n v="75"/>
  </r>
  <r>
    <x v="2"/>
    <x v="16"/>
    <x v="7"/>
    <s v="MHF,SIDA,UNICEF"/>
    <x v="0"/>
    <x v="3"/>
    <x v="0"/>
    <x v="62"/>
    <n v="39"/>
    <n v="238"/>
    <d v="2022-05-01T00:00:00"/>
    <d v="2023-08-31T00:00:00"/>
    <m/>
    <n v="1"/>
    <m/>
    <m/>
    <s v="Yes"/>
    <n v="3"/>
    <n v="4"/>
    <n v="2"/>
    <m/>
    <m/>
    <n v="1"/>
    <m/>
    <m/>
    <m/>
    <m/>
    <m/>
    <m/>
    <m/>
    <m/>
    <m/>
    <m/>
    <n v="3"/>
    <m/>
    <m/>
    <m/>
    <m/>
    <m/>
    <m/>
    <m/>
    <m/>
    <n v="6"/>
    <m/>
    <m/>
    <m/>
    <m/>
    <m/>
    <m/>
    <n v="6"/>
    <x v="1"/>
    <x v="1"/>
    <m/>
    <m/>
    <m/>
    <m/>
    <m/>
    <m/>
    <n v="8"/>
    <m/>
    <m/>
    <n v="3"/>
    <m/>
    <m/>
    <n v="1"/>
    <m/>
    <m/>
    <m/>
    <m/>
    <m/>
    <m/>
    <m/>
    <m/>
    <m/>
    <m/>
    <m/>
    <m/>
    <m/>
    <m/>
    <m/>
    <m/>
    <m/>
    <s v="no test"/>
    <s v="no test"/>
    <s v="No Test"/>
    <n v="2"/>
    <n v="1"/>
    <n v="0"/>
    <n v="0"/>
    <n v="0"/>
    <n v="0"/>
    <n v="0"/>
    <n v="1"/>
    <n v="1"/>
    <n v="1"/>
    <n v="238"/>
    <n v="0"/>
    <n v="0"/>
    <n v="1"/>
    <n v="238"/>
    <n v="0.47599999999999998"/>
    <n v="0"/>
    <n v="0"/>
    <n v="0.52400000000000002"/>
    <n v="1"/>
    <n v="6"/>
    <n v="0.50420168067226889"/>
    <n v="120"/>
    <n v="0"/>
    <n v="0"/>
    <n v="0"/>
    <n v="12"/>
    <n v="6"/>
    <n v="0.49579831932773111"/>
    <n v="0"/>
    <n v="238"/>
    <n v="0"/>
    <n v="0"/>
    <n v="0"/>
    <n v="238"/>
    <n v="1"/>
    <n v="0"/>
    <n v="1"/>
    <n v="0"/>
    <n v="0"/>
    <n v="8"/>
    <n v="39"/>
    <n v="0"/>
    <n v="238"/>
    <s v="No"/>
    <s v=""/>
    <n v="0"/>
    <n v="0"/>
    <n v="0"/>
    <s v="Yes"/>
    <s v="KBC-MYT"/>
    <x v="0"/>
    <x v="0"/>
    <x v="0"/>
    <n v="25.356632000000001"/>
    <n v="97.451965000000001"/>
    <s v="MMR001CMP027"/>
    <x v="1"/>
    <m/>
    <n v="39"/>
    <n v="238"/>
  </r>
  <r>
    <x v="2"/>
    <x v="11"/>
    <x v="7"/>
    <s v="MHF,UNICEF"/>
    <x v="0"/>
    <x v="3"/>
    <x v="0"/>
    <x v="63"/>
    <n v="417"/>
    <n v="1469"/>
    <d v="2022-05-01T00:00:00"/>
    <d v="2023-08-31T00:00:00"/>
    <n v="78"/>
    <n v="6"/>
    <m/>
    <m/>
    <s v="Yes"/>
    <n v="3"/>
    <n v="2"/>
    <n v="1"/>
    <m/>
    <m/>
    <m/>
    <m/>
    <m/>
    <m/>
    <m/>
    <m/>
    <m/>
    <m/>
    <m/>
    <m/>
    <m/>
    <m/>
    <m/>
    <m/>
    <m/>
    <m/>
    <m/>
    <m/>
    <m/>
    <m/>
    <n v="407"/>
    <m/>
    <m/>
    <m/>
    <m/>
    <m/>
    <m/>
    <m/>
    <x v="1"/>
    <x v="1"/>
    <n v="3"/>
    <m/>
    <m/>
    <m/>
    <m/>
    <m/>
    <n v="177"/>
    <m/>
    <n v="12"/>
    <n v="6"/>
    <m/>
    <n v="1"/>
    <n v="5"/>
    <m/>
    <m/>
    <m/>
    <m/>
    <m/>
    <m/>
    <m/>
    <m/>
    <m/>
    <m/>
    <m/>
    <m/>
    <m/>
    <m/>
    <m/>
    <m/>
    <m/>
    <s v="no test"/>
    <s v="no test"/>
    <s v="No Test"/>
    <n v="1"/>
    <n v="0"/>
    <n v="0"/>
    <n v="0"/>
    <n v="0"/>
    <n v="0"/>
    <n v="0"/>
    <n v="0.27229407760381213"/>
    <n v="0.17018379850238258"/>
    <n v="0.27229407760381213"/>
    <n v="400"/>
    <n v="0"/>
    <n v="0"/>
    <n v="0.27229407760381213"/>
    <n v="400"/>
    <n v="0.8"/>
    <n v="0.72770592239618792"/>
    <n v="1069"/>
    <n v="2.2000000000000002"/>
    <n v="3"/>
    <n v="407"/>
    <n v="1"/>
    <n v="1469"/>
    <n v="0"/>
    <n v="0"/>
    <n v="0"/>
    <n v="245"/>
    <n v="0"/>
    <n v="0"/>
    <n v="0"/>
    <n v="1469"/>
    <n v="0"/>
    <n v="0"/>
    <n v="0"/>
    <n v="1469"/>
    <n v="1"/>
    <n v="0"/>
    <n v="1"/>
    <n v="0"/>
    <n v="0"/>
    <n v="177"/>
    <n v="417"/>
    <n v="0"/>
    <n v="1469"/>
    <s v="Yes"/>
    <s v=""/>
    <n v="0"/>
    <n v="0"/>
    <n v="0"/>
    <s v="Yes"/>
    <s v="KMSS-MYT"/>
    <x v="1"/>
    <x v="0"/>
    <x v="1"/>
    <n v="24.980250000000002"/>
    <n v="97.715230000000005"/>
    <s v="MMR001CMP119"/>
    <x v="1"/>
    <m/>
    <n v="417"/>
    <n v="1608"/>
  </r>
  <r>
    <x v="2"/>
    <x v="2"/>
    <x v="2"/>
    <s v="MHF"/>
    <x v="0"/>
    <x v="3"/>
    <x v="0"/>
    <x v="64"/>
    <n v="191"/>
    <n v="906"/>
    <d v="2022-01-01T00:00:00"/>
    <d v="2022-12-31T00:00:00"/>
    <n v="275"/>
    <n v="1"/>
    <m/>
    <m/>
    <s v="Yes"/>
    <n v="1"/>
    <n v="4"/>
    <n v="3"/>
    <m/>
    <m/>
    <n v="3"/>
    <m/>
    <n v="1"/>
    <n v="1"/>
    <m/>
    <m/>
    <m/>
    <m/>
    <m/>
    <m/>
    <m/>
    <m/>
    <m/>
    <m/>
    <m/>
    <m/>
    <n v="4"/>
    <n v="2"/>
    <m/>
    <m/>
    <n v="28"/>
    <m/>
    <s v="worldvision/KBC"/>
    <m/>
    <m/>
    <m/>
    <m/>
    <m/>
    <x v="1"/>
    <x v="1"/>
    <n v="10"/>
    <n v="10"/>
    <n v="10"/>
    <n v="1"/>
    <m/>
    <m/>
    <n v="13"/>
    <m/>
    <m/>
    <n v="4"/>
    <m/>
    <n v="1"/>
    <n v="7"/>
    <m/>
    <m/>
    <s v="Yes"/>
    <m/>
    <n v="1"/>
    <m/>
    <n v="1"/>
    <n v="1"/>
    <m/>
    <n v="1"/>
    <m/>
    <m/>
    <m/>
    <m/>
    <m/>
    <m/>
    <m/>
    <s v="no test"/>
    <s v="no test"/>
    <s v="No Test"/>
    <n v="3"/>
    <n v="2"/>
    <n v="0"/>
    <n v="0"/>
    <n v="0"/>
    <n v="906"/>
    <n v="0"/>
    <n v="1"/>
    <n v="1"/>
    <n v="1"/>
    <n v="906"/>
    <n v="0"/>
    <n v="0"/>
    <n v="1"/>
    <n v="906"/>
    <n v="1.8120000000000001"/>
    <n v="0"/>
    <n v="0"/>
    <n v="0.18799999999999994"/>
    <n v="2"/>
    <n v="28"/>
    <n v="0.83885209713024278"/>
    <n v="760"/>
    <n v="0"/>
    <n v="275"/>
    <n v="50"/>
    <n v="45"/>
    <n v="17"/>
    <n v="0.16114790286975722"/>
    <n v="0"/>
    <n v="906"/>
    <n v="0"/>
    <n v="0"/>
    <n v="0"/>
    <n v="906"/>
    <n v="1"/>
    <n v="0"/>
    <n v="1"/>
    <n v="0"/>
    <n v="0"/>
    <n v="13"/>
    <n v="191"/>
    <n v="4"/>
    <n v="906"/>
    <s v="Yes"/>
    <s v=""/>
    <n v="0"/>
    <n v="906"/>
    <n v="50"/>
    <s v="Yes"/>
    <s v="Shalom"/>
    <x v="0"/>
    <x v="0"/>
    <x v="0"/>
    <n v="25.424529444444399"/>
    <n v="97.433419259259296"/>
    <s v="MMR001CMP031"/>
    <x v="1"/>
    <m/>
    <n v="353"/>
    <n v="2166"/>
  </r>
  <r>
    <x v="2"/>
    <x v="4"/>
    <x v="4"/>
    <s v="UNICEF"/>
    <x v="0"/>
    <x v="3"/>
    <x v="0"/>
    <x v="65"/>
    <n v="275"/>
    <n v="1492"/>
    <d v="2021-08-06T00:00:00"/>
    <d v="2022-08-05T00:00:00"/>
    <m/>
    <n v="5"/>
    <m/>
    <m/>
    <s v="Yes"/>
    <n v="4"/>
    <n v="3"/>
    <n v="11"/>
    <m/>
    <m/>
    <m/>
    <m/>
    <m/>
    <m/>
    <m/>
    <m/>
    <m/>
    <m/>
    <m/>
    <m/>
    <m/>
    <m/>
    <m/>
    <m/>
    <m/>
    <m/>
    <n v="5"/>
    <m/>
    <m/>
    <m/>
    <n v="97"/>
    <m/>
    <m/>
    <m/>
    <m/>
    <m/>
    <m/>
    <m/>
    <x v="1"/>
    <x v="1"/>
    <m/>
    <m/>
    <m/>
    <m/>
    <m/>
    <m/>
    <n v="1"/>
    <m/>
    <m/>
    <n v="4"/>
    <m/>
    <m/>
    <n v="2"/>
    <m/>
    <m/>
    <s v="Yes"/>
    <m/>
    <m/>
    <m/>
    <m/>
    <m/>
    <m/>
    <m/>
    <m/>
    <m/>
    <m/>
    <m/>
    <m/>
    <m/>
    <m/>
    <s v="no test"/>
    <s v="no test"/>
    <s v="No Test"/>
    <n v="11"/>
    <n v="0"/>
    <n v="0"/>
    <n v="0"/>
    <n v="0"/>
    <n v="0"/>
    <n v="0"/>
    <n v="1"/>
    <n v="1"/>
    <n v="1"/>
    <n v="1492"/>
    <n v="0"/>
    <n v="0"/>
    <n v="1"/>
    <n v="1492"/>
    <n v="2.984"/>
    <n v="0"/>
    <n v="0"/>
    <n v="1.6000000000000014E-2"/>
    <n v="3"/>
    <n v="97"/>
    <n v="1"/>
    <n v="1492"/>
    <n v="0"/>
    <n v="0"/>
    <n v="0"/>
    <n v="75"/>
    <n v="0"/>
    <n v="0"/>
    <n v="0"/>
    <n v="1000"/>
    <n v="0"/>
    <n v="0"/>
    <n v="0"/>
    <n v="1000"/>
    <n v="0.67024128686327078"/>
    <n v="0.32975871313672922"/>
    <n v="0.67024128686327078"/>
    <n v="0"/>
    <n v="0"/>
    <n v="1"/>
    <n v="20"/>
    <n v="5"/>
    <n v="100"/>
    <s v="No"/>
    <s v=""/>
    <n v="0"/>
    <n v="0"/>
    <n v="0"/>
    <s v="Yes"/>
    <s v="KMSS-MYT"/>
    <x v="0"/>
    <x v="0"/>
    <x v="0"/>
    <n v="25.415667500000001"/>
    <n v="97.437782499999997"/>
    <s v="MMR001CMP029"/>
    <x v="1"/>
    <m/>
    <n v="276"/>
    <n v="1492"/>
  </r>
  <r>
    <x v="2"/>
    <x v="16"/>
    <x v="7"/>
    <s v="MHF,SIDA,UNICEF"/>
    <x v="0"/>
    <x v="3"/>
    <x v="0"/>
    <x v="66"/>
    <n v="531"/>
    <n v="2920"/>
    <d v="2022-05-01T00:00:00"/>
    <d v="2023-08-31T00:00:00"/>
    <m/>
    <n v="5"/>
    <m/>
    <m/>
    <s v="Yes"/>
    <n v="3"/>
    <n v="4"/>
    <n v="13"/>
    <m/>
    <m/>
    <n v="2"/>
    <m/>
    <m/>
    <m/>
    <m/>
    <m/>
    <m/>
    <m/>
    <m/>
    <m/>
    <m/>
    <n v="9"/>
    <m/>
    <m/>
    <m/>
    <m/>
    <m/>
    <m/>
    <m/>
    <m/>
    <n v="130"/>
    <m/>
    <m/>
    <m/>
    <m/>
    <m/>
    <m/>
    <n v="130"/>
    <x v="1"/>
    <x v="1"/>
    <m/>
    <m/>
    <m/>
    <m/>
    <m/>
    <m/>
    <n v="7"/>
    <m/>
    <m/>
    <n v="7"/>
    <m/>
    <n v="2"/>
    <n v="4"/>
    <m/>
    <m/>
    <m/>
    <m/>
    <m/>
    <m/>
    <m/>
    <m/>
    <m/>
    <m/>
    <m/>
    <m/>
    <m/>
    <m/>
    <m/>
    <m/>
    <m/>
    <s v="no test"/>
    <s v="no test"/>
    <s v="No Test"/>
    <n v="13"/>
    <n v="2"/>
    <n v="0"/>
    <n v="0"/>
    <n v="0"/>
    <n v="0"/>
    <n v="0"/>
    <n v="1"/>
    <n v="1"/>
    <n v="1"/>
    <n v="2920"/>
    <n v="0"/>
    <n v="0"/>
    <n v="1"/>
    <n v="2920"/>
    <n v="5.84"/>
    <n v="0"/>
    <n v="0"/>
    <n v="0.16000000000000014"/>
    <n v="6"/>
    <n v="130"/>
    <n v="0.8904109589041096"/>
    <n v="2600"/>
    <n v="0"/>
    <n v="0"/>
    <n v="0"/>
    <n v="146"/>
    <n v="16"/>
    <n v="0.1095890410958904"/>
    <n v="0"/>
    <n v="2920"/>
    <n v="0"/>
    <n v="0"/>
    <n v="0"/>
    <n v="2920"/>
    <n v="1"/>
    <n v="0"/>
    <n v="1"/>
    <n v="0"/>
    <n v="0"/>
    <n v="7"/>
    <n v="140"/>
    <n v="0"/>
    <n v="700"/>
    <s v="No"/>
    <s v=""/>
    <n v="0"/>
    <n v="0"/>
    <n v="0"/>
    <s v="Yes"/>
    <s v="KBC-MYT"/>
    <x v="0"/>
    <x v="0"/>
    <x v="0"/>
    <n v="25.4118005797101"/>
    <n v="97.434855869565197"/>
    <s v="MMR001CMP040"/>
    <x v="1"/>
    <m/>
    <n v="531"/>
    <n v="2920"/>
  </r>
  <r>
    <x v="2"/>
    <x v="16"/>
    <x v="7"/>
    <s v="MHF,SIDA,UNICEF"/>
    <x v="0"/>
    <x v="3"/>
    <x v="0"/>
    <x v="67"/>
    <n v="55"/>
    <n v="283"/>
    <d v="2022-05-01T00:00:00"/>
    <d v="2023-08-31T00:00:00"/>
    <m/>
    <n v="1"/>
    <m/>
    <m/>
    <s v="Yes"/>
    <n v="1"/>
    <n v="3"/>
    <n v="1"/>
    <m/>
    <m/>
    <m/>
    <m/>
    <m/>
    <m/>
    <m/>
    <m/>
    <m/>
    <m/>
    <m/>
    <m/>
    <m/>
    <n v="2"/>
    <m/>
    <m/>
    <m/>
    <m/>
    <m/>
    <m/>
    <m/>
    <m/>
    <n v="10"/>
    <m/>
    <m/>
    <m/>
    <m/>
    <m/>
    <m/>
    <n v="10"/>
    <x v="1"/>
    <x v="1"/>
    <m/>
    <m/>
    <m/>
    <m/>
    <m/>
    <m/>
    <n v="7"/>
    <m/>
    <m/>
    <n v="4"/>
    <m/>
    <n v="1"/>
    <m/>
    <m/>
    <m/>
    <m/>
    <m/>
    <m/>
    <m/>
    <m/>
    <m/>
    <m/>
    <m/>
    <m/>
    <m/>
    <m/>
    <m/>
    <m/>
    <m/>
    <m/>
    <s v="no test"/>
    <s v="no test"/>
    <s v="No Test"/>
    <n v="1"/>
    <n v="0"/>
    <n v="0"/>
    <n v="0"/>
    <n v="0"/>
    <n v="0"/>
    <n v="0"/>
    <n v="1"/>
    <n v="0.88339222614840984"/>
    <n v="1"/>
    <n v="283"/>
    <n v="0"/>
    <n v="0"/>
    <n v="1"/>
    <n v="283"/>
    <n v="0.56599999999999995"/>
    <n v="0"/>
    <n v="0"/>
    <n v="0.43400000000000005"/>
    <n v="1"/>
    <n v="10"/>
    <n v="0.70671378091872794"/>
    <n v="200"/>
    <n v="0"/>
    <n v="0"/>
    <n v="0"/>
    <n v="14"/>
    <n v="4"/>
    <n v="0.29328621908127206"/>
    <n v="0"/>
    <n v="283"/>
    <n v="0"/>
    <n v="0"/>
    <n v="0"/>
    <n v="283"/>
    <n v="1"/>
    <n v="0"/>
    <n v="1"/>
    <n v="0"/>
    <n v="0"/>
    <n v="7"/>
    <n v="55"/>
    <n v="0"/>
    <n v="283"/>
    <s v="No"/>
    <s v=""/>
    <n v="0"/>
    <n v="0"/>
    <n v="0"/>
    <s v="Yes"/>
    <s v="KBC-MYT"/>
    <x v="0"/>
    <x v="0"/>
    <x v="0"/>
    <n v="25.409612685185198"/>
    <n v="97.426536944444507"/>
    <s v="MMR001CMP039"/>
    <x v="1"/>
    <m/>
    <n v="55"/>
    <n v="283"/>
  </r>
  <r>
    <x v="2"/>
    <x v="2"/>
    <x v="2"/>
    <s v="MHF"/>
    <x v="0"/>
    <x v="3"/>
    <x v="0"/>
    <x v="68"/>
    <n v="40"/>
    <n v="221"/>
    <d v="2022-01-01T00:00:00"/>
    <d v="2022-12-31T00:00:00"/>
    <m/>
    <n v="1"/>
    <m/>
    <m/>
    <s v="Yes"/>
    <n v="2"/>
    <n v="5"/>
    <n v="1"/>
    <m/>
    <m/>
    <n v="1"/>
    <m/>
    <m/>
    <m/>
    <m/>
    <m/>
    <m/>
    <m/>
    <m/>
    <m/>
    <m/>
    <m/>
    <m/>
    <m/>
    <m/>
    <m/>
    <n v="8"/>
    <n v="2"/>
    <m/>
    <m/>
    <n v="9"/>
    <m/>
    <m/>
    <m/>
    <m/>
    <m/>
    <m/>
    <m/>
    <x v="1"/>
    <x v="1"/>
    <m/>
    <m/>
    <m/>
    <m/>
    <m/>
    <m/>
    <n v="10"/>
    <m/>
    <m/>
    <n v="2"/>
    <m/>
    <m/>
    <m/>
    <m/>
    <m/>
    <s v="Yes"/>
    <n v="5"/>
    <n v="0.85"/>
    <m/>
    <n v="0.8"/>
    <n v="0.75"/>
    <n v="4"/>
    <n v="0.75"/>
    <m/>
    <m/>
    <m/>
    <m/>
    <m/>
    <m/>
    <m/>
    <s v="no test"/>
    <s v="no test"/>
    <s v="No Test"/>
    <n v="1"/>
    <n v="1"/>
    <n v="0"/>
    <n v="0"/>
    <n v="0"/>
    <n v="221"/>
    <n v="0"/>
    <n v="1"/>
    <n v="1"/>
    <n v="1"/>
    <n v="221"/>
    <n v="0"/>
    <n v="0"/>
    <n v="1"/>
    <n v="221"/>
    <n v="0.442"/>
    <n v="0"/>
    <n v="0"/>
    <n v="0.55800000000000005"/>
    <n v="1"/>
    <n v="9"/>
    <n v="0.81447963800904977"/>
    <n v="180"/>
    <n v="0"/>
    <n v="0"/>
    <n v="0"/>
    <n v="11"/>
    <n v="2"/>
    <n v="0.18552036199095023"/>
    <n v="0"/>
    <n v="0"/>
    <n v="0"/>
    <n v="0"/>
    <n v="0"/>
    <n v="0"/>
    <n v="0"/>
    <n v="1"/>
    <n v="0"/>
    <n v="0"/>
    <n v="0"/>
    <n v="10"/>
    <n v="40"/>
    <n v="8"/>
    <n v="221"/>
    <s v="No"/>
    <n v="1.8099547511312219E-2"/>
    <n v="0"/>
    <n v="221"/>
    <n v="0"/>
    <s v="Yes"/>
    <s v="Shalom"/>
    <x v="0"/>
    <x v="0"/>
    <x v="0"/>
    <n v="25.345918166666699"/>
    <n v="97.437472666666693"/>
    <s v="MMR001CMP030"/>
    <x v="1"/>
    <m/>
    <n v="40"/>
    <n v="221"/>
  </r>
  <r>
    <x v="2"/>
    <x v="7"/>
    <x v="7"/>
    <s v="MHF"/>
    <x v="0"/>
    <x v="5"/>
    <x v="0"/>
    <x v="69"/>
    <n v="365"/>
    <n v="1772"/>
    <d v="2022-04-01T00:00:00"/>
    <d v="2022-10-31T00:00:00"/>
    <n v="489"/>
    <m/>
    <m/>
    <m/>
    <s v="Yes"/>
    <n v="5"/>
    <n v="5"/>
    <n v="1"/>
    <m/>
    <m/>
    <n v="1"/>
    <m/>
    <n v="1"/>
    <n v="1"/>
    <m/>
    <m/>
    <m/>
    <m/>
    <m/>
    <m/>
    <m/>
    <m/>
    <n v="8"/>
    <n v="8"/>
    <n v="28"/>
    <n v="27"/>
    <n v="3"/>
    <n v="3"/>
    <m/>
    <s v="No Comment"/>
    <n v="119"/>
    <m/>
    <m/>
    <m/>
    <m/>
    <n v="41"/>
    <n v="74.496904000000001"/>
    <m/>
    <x v="1"/>
    <x v="1"/>
    <m/>
    <m/>
    <m/>
    <m/>
    <m/>
    <s v="NA"/>
    <n v="55"/>
    <m/>
    <m/>
    <n v="3"/>
    <n v="1"/>
    <n v="5"/>
    <n v="5"/>
    <m/>
    <m/>
    <s v="Yes"/>
    <n v="1"/>
    <n v="0.6"/>
    <s v="No Comment"/>
    <n v="0.6"/>
    <n v="0.8"/>
    <n v="20"/>
    <n v="0.8"/>
    <m/>
    <m/>
    <m/>
    <m/>
    <m/>
    <m/>
    <m/>
    <n v="1"/>
    <n v="0.9642857142857143"/>
    <s v="Tested"/>
    <n v="1"/>
    <n v="0"/>
    <n v="0"/>
    <n v="0"/>
    <n v="0"/>
    <n v="1500"/>
    <n v="0"/>
    <n v="0.22573363431151242"/>
    <n v="0.14108352144469527"/>
    <n v="0.22573363431151242"/>
    <n v="400"/>
    <n v="0"/>
    <n v="0"/>
    <n v="0.22573363431151242"/>
    <n v="400"/>
    <n v="0.8"/>
    <n v="0.77426636568848761"/>
    <n v="1372"/>
    <n v="3.2"/>
    <n v="4"/>
    <n v="119"/>
    <n v="1"/>
    <n v="1772"/>
    <n v="820"/>
    <n v="0"/>
    <n v="0"/>
    <n v="89"/>
    <n v="0"/>
    <n v="0"/>
    <n v="0"/>
    <n v="1772"/>
    <n v="0"/>
    <n v="0"/>
    <n v="0"/>
    <n v="1772"/>
    <n v="1"/>
    <n v="0"/>
    <n v="1"/>
    <n v="0"/>
    <n v="0"/>
    <n v="55"/>
    <n v="365"/>
    <n v="3"/>
    <n v="1772"/>
    <s v="Yes"/>
    <n v="1.1286681715575621E-2"/>
    <n v="0"/>
    <n v="1500"/>
    <n v="0"/>
    <s v="Yes"/>
    <s v="KBC-BMO"/>
    <x v="0"/>
    <x v="0"/>
    <x v="0"/>
    <n v="23.972453000000002"/>
    <n v="97.225881000000001"/>
    <s v="MMR001CMP218"/>
    <x v="1"/>
    <m/>
    <n v="363"/>
    <n v="1757"/>
  </r>
  <r>
    <x v="2"/>
    <x v="4"/>
    <x v="4"/>
    <s v="UNICEF"/>
    <x v="0"/>
    <x v="5"/>
    <x v="0"/>
    <x v="70"/>
    <n v="154"/>
    <n v="694"/>
    <d v="2021-08-06T00:00:00"/>
    <d v="2022-08-05T00:00:00"/>
    <m/>
    <n v="5"/>
    <m/>
    <m/>
    <s v="Yes"/>
    <n v="3"/>
    <n v="4"/>
    <n v="1"/>
    <m/>
    <m/>
    <n v="3"/>
    <n v="2"/>
    <m/>
    <m/>
    <m/>
    <m/>
    <m/>
    <m/>
    <m/>
    <m/>
    <m/>
    <m/>
    <m/>
    <m/>
    <m/>
    <m/>
    <m/>
    <m/>
    <m/>
    <m/>
    <n v="61"/>
    <m/>
    <m/>
    <m/>
    <m/>
    <m/>
    <m/>
    <m/>
    <x v="1"/>
    <x v="1"/>
    <m/>
    <m/>
    <m/>
    <m/>
    <m/>
    <m/>
    <n v="10"/>
    <m/>
    <m/>
    <n v="7"/>
    <m/>
    <m/>
    <n v="2"/>
    <m/>
    <m/>
    <s v="Yes"/>
    <m/>
    <m/>
    <m/>
    <m/>
    <m/>
    <m/>
    <m/>
    <m/>
    <m/>
    <m/>
    <m/>
    <m/>
    <m/>
    <m/>
    <s v="no test"/>
    <s v="no test"/>
    <s v="No Test"/>
    <n v="1"/>
    <n v="5"/>
    <n v="0"/>
    <n v="0"/>
    <n v="0"/>
    <n v="0"/>
    <n v="0"/>
    <n v="1"/>
    <n v="1"/>
    <n v="1"/>
    <n v="694"/>
    <n v="0"/>
    <n v="0"/>
    <n v="1"/>
    <n v="694"/>
    <n v="1.3879999999999999"/>
    <n v="0"/>
    <n v="0"/>
    <n v="0"/>
    <n v="1"/>
    <n v="61"/>
    <n v="1"/>
    <n v="694"/>
    <n v="0"/>
    <n v="0"/>
    <n v="0"/>
    <n v="35"/>
    <n v="0"/>
    <n v="0"/>
    <n v="0"/>
    <n v="694"/>
    <n v="0"/>
    <n v="0"/>
    <n v="0"/>
    <n v="694"/>
    <n v="1"/>
    <n v="0"/>
    <n v="1"/>
    <n v="0"/>
    <n v="0"/>
    <n v="10"/>
    <n v="154"/>
    <n v="0"/>
    <n v="694"/>
    <s v="No"/>
    <s v=""/>
    <n v="0"/>
    <n v="0"/>
    <n v="0"/>
    <s v="Yes"/>
    <s v="KMSS-BMO"/>
    <x v="0"/>
    <x v="0"/>
    <x v="0"/>
    <n v="23.976571"/>
    <n v="97.227057000000002"/>
    <s v="MMR001CMP223"/>
    <x v="1"/>
    <m/>
    <n v="151"/>
    <n v="732"/>
  </r>
  <r>
    <x v="2"/>
    <x v="16"/>
    <x v="7"/>
    <s v="MHF,SIDA,UNICEF"/>
    <x v="0"/>
    <x v="7"/>
    <x v="0"/>
    <x v="71"/>
    <n v="59"/>
    <n v="327"/>
    <d v="2022-05-01T00:00:00"/>
    <d v="2023-08-31T00:00:00"/>
    <m/>
    <n v="1"/>
    <m/>
    <m/>
    <s v="Yes"/>
    <n v="1"/>
    <n v="2"/>
    <n v="3"/>
    <m/>
    <m/>
    <m/>
    <m/>
    <m/>
    <m/>
    <m/>
    <m/>
    <m/>
    <m/>
    <m/>
    <m/>
    <m/>
    <n v="2"/>
    <m/>
    <m/>
    <m/>
    <m/>
    <m/>
    <m/>
    <m/>
    <m/>
    <n v="7"/>
    <m/>
    <m/>
    <m/>
    <m/>
    <m/>
    <m/>
    <n v="7"/>
    <x v="1"/>
    <x v="3"/>
    <m/>
    <m/>
    <m/>
    <m/>
    <m/>
    <m/>
    <n v="3"/>
    <m/>
    <m/>
    <n v="2"/>
    <m/>
    <m/>
    <m/>
    <m/>
    <m/>
    <m/>
    <m/>
    <m/>
    <m/>
    <m/>
    <m/>
    <m/>
    <m/>
    <m/>
    <m/>
    <m/>
    <m/>
    <m/>
    <m/>
    <m/>
    <s v="no test"/>
    <s v="no test"/>
    <s v="No Test"/>
    <n v="3"/>
    <n v="0"/>
    <n v="0"/>
    <n v="0"/>
    <n v="0"/>
    <n v="0"/>
    <n v="0"/>
    <n v="1"/>
    <n v="1"/>
    <n v="1"/>
    <n v="327"/>
    <n v="0"/>
    <n v="0"/>
    <n v="1"/>
    <n v="327"/>
    <n v="0.65400000000000003"/>
    <n v="0"/>
    <n v="0"/>
    <n v="0.34599999999999997"/>
    <n v="1"/>
    <n v="7"/>
    <n v="0.42813455657492355"/>
    <n v="140"/>
    <n v="0"/>
    <n v="0"/>
    <n v="0"/>
    <n v="16"/>
    <n v="9"/>
    <n v="0.5718654434250765"/>
    <n v="0"/>
    <n v="0"/>
    <n v="0"/>
    <n v="0"/>
    <n v="0"/>
    <n v="0"/>
    <n v="0"/>
    <n v="1"/>
    <n v="0"/>
    <n v="0"/>
    <n v="0"/>
    <n v="3"/>
    <n v="59"/>
    <n v="0"/>
    <n v="300"/>
    <s v="No"/>
    <s v=""/>
    <n v="0"/>
    <n v="0"/>
    <n v="0"/>
    <s v="Yes"/>
    <s v="KBC-MYT"/>
    <x v="0"/>
    <x v="0"/>
    <x v="0"/>
    <n v="25.360463124999999"/>
    <n v="97.4113064583333"/>
    <s v="MMR001CMP016"/>
    <x v="1"/>
    <m/>
    <n v="59"/>
    <n v="327"/>
  </r>
  <r>
    <x v="2"/>
    <x v="1"/>
    <x v="1"/>
    <s v="ECHO 2739"/>
    <x v="0"/>
    <x v="2"/>
    <x v="0"/>
    <x v="72"/>
    <n v="127"/>
    <n v="741"/>
    <d v="2022-06-01T00:00:00"/>
    <d v="2022-11-30T00:00:00"/>
    <m/>
    <m/>
    <m/>
    <m/>
    <s v="Yes"/>
    <n v="3"/>
    <n v="3"/>
    <m/>
    <m/>
    <m/>
    <n v="3"/>
    <m/>
    <m/>
    <n v="2"/>
    <m/>
    <m/>
    <m/>
    <m/>
    <m/>
    <m/>
    <n v="1"/>
    <m/>
    <n v="2"/>
    <n v="2"/>
    <n v="6"/>
    <n v="6"/>
    <m/>
    <m/>
    <m/>
    <m/>
    <n v="50"/>
    <m/>
    <m/>
    <m/>
    <m/>
    <n v="5"/>
    <n v="3"/>
    <m/>
    <x v="1"/>
    <x v="1"/>
    <m/>
    <m/>
    <m/>
    <m/>
    <m/>
    <m/>
    <n v="8"/>
    <m/>
    <m/>
    <n v="7"/>
    <m/>
    <m/>
    <m/>
    <m/>
    <m/>
    <m/>
    <m/>
    <m/>
    <m/>
    <m/>
    <m/>
    <m/>
    <m/>
    <m/>
    <m/>
    <m/>
    <m/>
    <m/>
    <m/>
    <m/>
    <n v="1"/>
    <n v="1"/>
    <s v="Tested"/>
    <n v="0"/>
    <n v="3"/>
    <n v="0"/>
    <n v="0"/>
    <n v="0"/>
    <n v="0"/>
    <n v="0"/>
    <n v="1"/>
    <n v="1"/>
    <n v="1"/>
    <n v="741"/>
    <n v="0"/>
    <n v="0"/>
    <n v="1"/>
    <n v="741"/>
    <n v="1.482"/>
    <n v="0"/>
    <n v="0"/>
    <n v="0"/>
    <n v="1"/>
    <n v="50"/>
    <n v="1"/>
    <n v="741"/>
    <n v="100"/>
    <n v="0"/>
    <n v="0"/>
    <n v="37"/>
    <n v="0"/>
    <n v="0"/>
    <n v="0"/>
    <n v="0"/>
    <n v="0"/>
    <n v="0"/>
    <n v="0"/>
    <n v="0"/>
    <n v="0"/>
    <n v="1"/>
    <n v="0"/>
    <n v="0"/>
    <n v="0"/>
    <n v="8"/>
    <n v="127"/>
    <n v="0"/>
    <n v="741"/>
    <s v="No"/>
    <s v=""/>
    <n v="0"/>
    <n v="0"/>
    <n v="0"/>
    <s v="Yes"/>
    <s v="KMSS-BMO"/>
    <x v="0"/>
    <x v="0"/>
    <x v="0"/>
    <n v="24.245100000000001"/>
    <n v="97.325019999999995"/>
    <s v="MMR001CMP062"/>
    <x v="1"/>
    <m/>
    <n v="122"/>
    <n v="571"/>
  </r>
  <r>
    <x v="2"/>
    <x v="1"/>
    <x v="1"/>
    <s v="ECHO 2739"/>
    <x v="0"/>
    <x v="2"/>
    <x v="1"/>
    <x v="73"/>
    <n v="114"/>
    <n v="586"/>
    <d v="2022-04-01T00:00:00"/>
    <d v="2022-11-30T00:00:00"/>
    <m/>
    <m/>
    <n v="2"/>
    <m/>
    <s v="Yes"/>
    <n v="4"/>
    <n v="3"/>
    <n v="1"/>
    <m/>
    <m/>
    <n v="1"/>
    <m/>
    <m/>
    <n v="1"/>
    <m/>
    <m/>
    <m/>
    <m/>
    <m/>
    <m/>
    <n v="1"/>
    <m/>
    <n v="2"/>
    <n v="2"/>
    <n v="15"/>
    <n v="12"/>
    <m/>
    <m/>
    <m/>
    <m/>
    <n v="28"/>
    <m/>
    <m/>
    <m/>
    <n v="3"/>
    <n v="28"/>
    <n v="50"/>
    <m/>
    <x v="1"/>
    <x v="1"/>
    <m/>
    <n v="1"/>
    <m/>
    <m/>
    <n v="3"/>
    <m/>
    <n v="8"/>
    <m/>
    <m/>
    <n v="4"/>
    <m/>
    <m/>
    <n v="2"/>
    <m/>
    <n v="151"/>
    <m/>
    <m/>
    <m/>
    <m/>
    <m/>
    <m/>
    <m/>
    <m/>
    <m/>
    <m/>
    <m/>
    <m/>
    <m/>
    <m/>
    <m/>
    <n v="1"/>
    <n v="0.8"/>
    <s v="Tested"/>
    <n v="1"/>
    <n v="1"/>
    <n v="0"/>
    <n v="0"/>
    <n v="0"/>
    <n v="0"/>
    <n v="0"/>
    <n v="1"/>
    <n v="0.85324232081911267"/>
    <n v="1"/>
    <n v="586"/>
    <n v="0"/>
    <n v="0"/>
    <n v="1"/>
    <n v="586"/>
    <n v="1.1719999999999999"/>
    <n v="0"/>
    <n v="0"/>
    <n v="0"/>
    <n v="1"/>
    <n v="28"/>
    <n v="0.96075085324232079"/>
    <n v="563"/>
    <n v="560"/>
    <n v="0"/>
    <n v="0"/>
    <n v="29"/>
    <n v="1"/>
    <n v="3.924914675767921E-2"/>
    <n v="0"/>
    <n v="586"/>
    <n v="0"/>
    <n v="151"/>
    <n v="151"/>
    <n v="586"/>
    <n v="1"/>
    <n v="0"/>
    <n v="1"/>
    <n v="0"/>
    <n v="1"/>
    <n v="8"/>
    <n v="114"/>
    <n v="0"/>
    <n v="586"/>
    <s v="No"/>
    <s v=""/>
    <n v="0"/>
    <n v="0"/>
    <n v="0"/>
    <n v="0"/>
    <n v="0"/>
    <x v="0"/>
    <x v="0"/>
    <x v="0"/>
    <n v="0"/>
    <n v="0"/>
    <n v="0"/>
    <x v="1"/>
    <m/>
    <n v="0"/>
    <n v="0"/>
  </r>
  <r>
    <x v="2"/>
    <x v="16"/>
    <x v="7"/>
    <s v="MHF,SIDA,UNICEF"/>
    <x v="0"/>
    <x v="7"/>
    <x v="0"/>
    <x v="74"/>
    <n v="108"/>
    <n v="622"/>
    <d v="2022-05-01T00:00:00"/>
    <d v="2023-08-31T00:00:00"/>
    <m/>
    <n v="2"/>
    <m/>
    <m/>
    <s v="Yes"/>
    <n v="2"/>
    <n v="3"/>
    <n v="2"/>
    <m/>
    <m/>
    <n v="3"/>
    <m/>
    <m/>
    <m/>
    <m/>
    <m/>
    <m/>
    <m/>
    <m/>
    <m/>
    <m/>
    <n v="3"/>
    <m/>
    <m/>
    <m/>
    <m/>
    <m/>
    <m/>
    <m/>
    <m/>
    <n v="34"/>
    <m/>
    <m/>
    <m/>
    <m/>
    <m/>
    <m/>
    <n v="34"/>
    <x v="1"/>
    <x v="3"/>
    <m/>
    <m/>
    <m/>
    <m/>
    <m/>
    <m/>
    <n v="3"/>
    <m/>
    <m/>
    <n v="2"/>
    <m/>
    <m/>
    <m/>
    <m/>
    <m/>
    <m/>
    <m/>
    <m/>
    <m/>
    <m/>
    <m/>
    <m/>
    <m/>
    <m/>
    <m/>
    <m/>
    <m/>
    <m/>
    <m/>
    <m/>
    <s v="no test"/>
    <s v="no test"/>
    <s v="No Test"/>
    <n v="2"/>
    <n v="3"/>
    <n v="0"/>
    <n v="0"/>
    <n v="0"/>
    <n v="0"/>
    <n v="0"/>
    <n v="1"/>
    <n v="1"/>
    <n v="1"/>
    <n v="622"/>
    <n v="0"/>
    <n v="0"/>
    <n v="1"/>
    <n v="622"/>
    <n v="1.244"/>
    <n v="0"/>
    <n v="0"/>
    <n v="0"/>
    <n v="1"/>
    <n v="34"/>
    <n v="1"/>
    <n v="622"/>
    <n v="0"/>
    <n v="0"/>
    <n v="0"/>
    <n v="31"/>
    <n v="0"/>
    <n v="0"/>
    <n v="0"/>
    <n v="0"/>
    <n v="0"/>
    <n v="0"/>
    <n v="0"/>
    <n v="0"/>
    <n v="0"/>
    <n v="1"/>
    <n v="0"/>
    <n v="0"/>
    <n v="0"/>
    <n v="3"/>
    <n v="60"/>
    <n v="0"/>
    <n v="300"/>
    <s v="No"/>
    <s v=""/>
    <n v="0"/>
    <n v="0"/>
    <n v="0"/>
    <s v="Yes"/>
    <s v="KBC-MYT"/>
    <x v="0"/>
    <x v="0"/>
    <x v="0"/>
    <n v="25.428910999999999"/>
    <n v="97.418694000000002"/>
    <s v="MMR001CMP008"/>
    <x v="1"/>
    <m/>
    <n v="108"/>
    <n v="622"/>
  </r>
  <r>
    <x v="2"/>
    <x v="10"/>
    <x v="9"/>
    <s v="UNICEF,(UNICEF, USAID)"/>
    <x v="0"/>
    <x v="5"/>
    <x v="0"/>
    <x v="75"/>
    <n v="155"/>
    <n v="655"/>
    <s v="8/6/2021,11-11-2021"/>
    <s v="8/5/2022, 11-10-2022"/>
    <m/>
    <n v="2"/>
    <m/>
    <m/>
    <s v="Yes"/>
    <n v="4"/>
    <n v="3"/>
    <n v="2"/>
    <m/>
    <m/>
    <m/>
    <n v="1"/>
    <m/>
    <m/>
    <n v="1"/>
    <m/>
    <m/>
    <m/>
    <m/>
    <m/>
    <m/>
    <m/>
    <m/>
    <m/>
    <m/>
    <m/>
    <m/>
    <m/>
    <m/>
    <m/>
    <n v="18"/>
    <m/>
    <m/>
    <m/>
    <m/>
    <m/>
    <n v="6"/>
    <m/>
    <x v="0"/>
    <x v="0"/>
    <m/>
    <m/>
    <m/>
    <m/>
    <m/>
    <m/>
    <n v="3"/>
    <m/>
    <m/>
    <n v="2"/>
    <m/>
    <m/>
    <n v="2"/>
    <m/>
    <m/>
    <s v="Yes"/>
    <m/>
    <n v="1"/>
    <m/>
    <m/>
    <m/>
    <m/>
    <m/>
    <m/>
    <m/>
    <m/>
    <m/>
    <m/>
    <m/>
    <m/>
    <s v="no test"/>
    <s v="no test"/>
    <s v="No Test"/>
    <n v="2"/>
    <n v="1"/>
    <n v="1"/>
    <n v="0"/>
    <n v="0"/>
    <n v="0"/>
    <n v="0"/>
    <n v="1"/>
    <n v="1"/>
    <n v="1"/>
    <n v="655"/>
    <n v="0"/>
    <n v="0"/>
    <n v="1"/>
    <n v="655"/>
    <n v="1.31"/>
    <n v="0"/>
    <n v="0"/>
    <n v="0"/>
    <n v="1"/>
    <n v="18"/>
    <n v="0.54961832061068705"/>
    <n v="360"/>
    <n v="0"/>
    <n v="0"/>
    <n v="0"/>
    <n v="33"/>
    <n v="15"/>
    <n v="0.45038167938931295"/>
    <n v="0"/>
    <n v="655"/>
    <n v="0"/>
    <n v="0"/>
    <n v="0"/>
    <n v="655"/>
    <n v="1"/>
    <n v="0"/>
    <n v="1"/>
    <n v="0"/>
    <n v="0"/>
    <n v="3"/>
    <n v="60"/>
    <n v="0"/>
    <n v="300"/>
    <s v="No"/>
    <s v=""/>
    <n v="0"/>
    <n v="0"/>
    <n v="0"/>
    <s v="Yes"/>
    <s v="KBC-NSS"/>
    <x v="0"/>
    <x v="0"/>
    <x v="0"/>
    <n v="23.83013"/>
    <n v="97.589979999999997"/>
    <s v="MMR001CMP133"/>
    <x v="1"/>
    <m/>
    <n v="132"/>
    <n v="630"/>
  </r>
  <r>
    <x v="2"/>
    <x v="10"/>
    <x v="9"/>
    <s v="UNICEF,(UNICEF, USAID)"/>
    <x v="0"/>
    <x v="5"/>
    <x v="0"/>
    <x v="76"/>
    <n v="119"/>
    <n v="538"/>
    <s v="8/6/2021,11-11-2021"/>
    <s v="8/5/2022, 11-10-2022"/>
    <m/>
    <n v="2"/>
    <m/>
    <m/>
    <s v="Yes"/>
    <n v="3"/>
    <n v="4"/>
    <n v="3"/>
    <m/>
    <m/>
    <m/>
    <n v="2"/>
    <m/>
    <m/>
    <n v="1"/>
    <m/>
    <m/>
    <m/>
    <m/>
    <m/>
    <m/>
    <m/>
    <m/>
    <m/>
    <m/>
    <m/>
    <m/>
    <m/>
    <m/>
    <m/>
    <n v="29"/>
    <m/>
    <m/>
    <m/>
    <m/>
    <m/>
    <n v="2"/>
    <m/>
    <x v="0"/>
    <x v="0"/>
    <m/>
    <m/>
    <m/>
    <m/>
    <m/>
    <m/>
    <n v="3"/>
    <m/>
    <m/>
    <n v="2"/>
    <m/>
    <m/>
    <n v="2"/>
    <m/>
    <m/>
    <s v="Yes"/>
    <m/>
    <n v="1"/>
    <m/>
    <m/>
    <m/>
    <m/>
    <m/>
    <m/>
    <m/>
    <m/>
    <m/>
    <m/>
    <m/>
    <m/>
    <s v="no test"/>
    <s v="no test"/>
    <s v="No Test"/>
    <n v="3"/>
    <n v="2"/>
    <n v="1"/>
    <n v="0"/>
    <n v="0"/>
    <n v="0"/>
    <n v="0"/>
    <n v="1"/>
    <n v="1"/>
    <n v="1"/>
    <n v="538"/>
    <n v="0"/>
    <n v="0"/>
    <n v="1"/>
    <n v="538"/>
    <n v="1.0760000000000001"/>
    <n v="0"/>
    <n v="0"/>
    <n v="0"/>
    <n v="1"/>
    <n v="29"/>
    <n v="1"/>
    <n v="538"/>
    <n v="0"/>
    <n v="0"/>
    <n v="0"/>
    <n v="27"/>
    <n v="0"/>
    <n v="0"/>
    <n v="0"/>
    <n v="538"/>
    <n v="0"/>
    <n v="0"/>
    <n v="0"/>
    <n v="538"/>
    <n v="1"/>
    <n v="0"/>
    <n v="1"/>
    <n v="0"/>
    <n v="0"/>
    <n v="3"/>
    <n v="60"/>
    <n v="0"/>
    <n v="300"/>
    <s v="No"/>
    <s v=""/>
    <n v="0"/>
    <n v="0"/>
    <n v="0"/>
    <s v="Yes"/>
    <s v="KBC-NSS"/>
    <x v="0"/>
    <x v="0"/>
    <x v="0"/>
    <n v="23.829599000000002"/>
    <n v="97.590767"/>
    <s v="MMR001CMP230"/>
    <x v="1"/>
    <m/>
    <n v="155"/>
    <n v="677"/>
  </r>
  <r>
    <x v="2"/>
    <x v="10"/>
    <x v="9"/>
    <s v="UNICEF,(UNICEF, USAID)"/>
    <x v="0"/>
    <x v="5"/>
    <x v="0"/>
    <x v="77"/>
    <n v="454"/>
    <n v="2354"/>
    <s v="8/1/2021, 11-11-2021"/>
    <d v="2022-08-01T00:00:00"/>
    <m/>
    <n v="3"/>
    <m/>
    <m/>
    <s v="Yes"/>
    <n v="4"/>
    <n v="3"/>
    <n v="2"/>
    <m/>
    <m/>
    <m/>
    <n v="1"/>
    <m/>
    <m/>
    <n v="1"/>
    <m/>
    <m/>
    <m/>
    <m/>
    <m/>
    <m/>
    <m/>
    <m/>
    <m/>
    <m/>
    <m/>
    <m/>
    <m/>
    <m/>
    <m/>
    <n v="147"/>
    <m/>
    <m/>
    <m/>
    <m/>
    <m/>
    <m/>
    <m/>
    <x v="0"/>
    <x v="0"/>
    <m/>
    <m/>
    <m/>
    <m/>
    <m/>
    <m/>
    <n v="1"/>
    <m/>
    <m/>
    <n v="3"/>
    <m/>
    <m/>
    <n v="2"/>
    <m/>
    <m/>
    <s v="Yes"/>
    <m/>
    <n v="1"/>
    <m/>
    <m/>
    <m/>
    <m/>
    <m/>
    <m/>
    <m/>
    <m/>
    <m/>
    <m/>
    <m/>
    <m/>
    <s v="no test"/>
    <s v="no test"/>
    <s v="No Test"/>
    <n v="2"/>
    <n v="1"/>
    <n v="1"/>
    <n v="0"/>
    <n v="0"/>
    <n v="0"/>
    <n v="0"/>
    <n v="0.5805720758991787"/>
    <n v="0.34692721608609456"/>
    <n v="0.5805720758991787"/>
    <n v="1366.6666666666667"/>
    <n v="0"/>
    <n v="0"/>
    <n v="0.5805720758991787"/>
    <n v="1366.6666666666667"/>
    <n v="2.7333333333333334"/>
    <n v="0.4194279241008213"/>
    <n v="987.33333333333337"/>
    <n v="2.2666666666666666"/>
    <n v="5"/>
    <n v="147"/>
    <n v="1"/>
    <n v="2354"/>
    <n v="0"/>
    <n v="0"/>
    <n v="0"/>
    <n v="118"/>
    <n v="0"/>
    <n v="0"/>
    <n v="0"/>
    <n v="1000"/>
    <n v="0"/>
    <n v="0"/>
    <n v="0"/>
    <n v="1000"/>
    <n v="0.42480883602378927"/>
    <n v="0.57519116397621073"/>
    <n v="0.42480883602378927"/>
    <n v="0"/>
    <n v="0"/>
    <n v="1"/>
    <n v="20"/>
    <n v="0"/>
    <n v="100"/>
    <s v="No"/>
    <s v=""/>
    <n v="0"/>
    <n v="0"/>
    <n v="0"/>
    <s v="Yes"/>
    <s v="KMSS-BMO"/>
    <x v="0"/>
    <x v="0"/>
    <x v="0"/>
    <n v="23.835319999999999"/>
    <n v="97.578490000000002"/>
    <s v="MMR001CMP132"/>
    <x v="1"/>
    <m/>
    <n v="622"/>
    <n v="3302"/>
  </r>
  <r>
    <x v="2"/>
    <x v="10"/>
    <x v="9"/>
    <s v="UNICEF,(UNICEF, USAID)"/>
    <x v="0"/>
    <x v="5"/>
    <x v="0"/>
    <x v="78"/>
    <n v="142"/>
    <n v="737"/>
    <d v="2021-11-11T00:00:00"/>
    <d v="2022-11-10T00:00:00"/>
    <m/>
    <n v="3"/>
    <m/>
    <m/>
    <s v="Yes"/>
    <n v="3"/>
    <n v="4"/>
    <n v="1"/>
    <m/>
    <m/>
    <m/>
    <n v="1"/>
    <m/>
    <m/>
    <n v="1"/>
    <m/>
    <m/>
    <m/>
    <m/>
    <m/>
    <m/>
    <m/>
    <m/>
    <m/>
    <m/>
    <m/>
    <m/>
    <m/>
    <m/>
    <m/>
    <n v="48"/>
    <m/>
    <m/>
    <m/>
    <m/>
    <m/>
    <m/>
    <m/>
    <x v="0"/>
    <x v="0"/>
    <m/>
    <m/>
    <m/>
    <m/>
    <m/>
    <m/>
    <n v="1"/>
    <m/>
    <m/>
    <n v="1"/>
    <m/>
    <m/>
    <n v="2"/>
    <m/>
    <m/>
    <s v="Yes"/>
    <m/>
    <n v="1"/>
    <m/>
    <m/>
    <m/>
    <m/>
    <m/>
    <m/>
    <m/>
    <m/>
    <m/>
    <m/>
    <m/>
    <m/>
    <s v="no test"/>
    <s v="no test"/>
    <s v="No Test"/>
    <n v="1"/>
    <n v="1"/>
    <n v="1"/>
    <n v="0"/>
    <n v="0"/>
    <n v="0"/>
    <n v="0"/>
    <n v="1"/>
    <n v="0.76888285843509718"/>
    <n v="1"/>
    <n v="737"/>
    <n v="0"/>
    <n v="0"/>
    <n v="1"/>
    <n v="737"/>
    <n v="1.474"/>
    <n v="0"/>
    <n v="0"/>
    <n v="0"/>
    <n v="1"/>
    <n v="48"/>
    <n v="1"/>
    <n v="737"/>
    <n v="0"/>
    <n v="0"/>
    <n v="0"/>
    <n v="37"/>
    <n v="0"/>
    <n v="0"/>
    <n v="0"/>
    <n v="737"/>
    <n v="0"/>
    <n v="0"/>
    <n v="0"/>
    <n v="737"/>
    <n v="1"/>
    <n v="0"/>
    <n v="1"/>
    <n v="0"/>
    <n v="0"/>
    <n v="1"/>
    <n v="20"/>
    <n v="0"/>
    <n v="100"/>
    <s v="No"/>
    <s v=""/>
    <n v="0"/>
    <n v="0"/>
    <n v="0"/>
    <s v="Yes"/>
    <s v="KMSS-BMO"/>
    <x v="0"/>
    <x v="0"/>
    <x v="0"/>
    <n v="23.833477999999999"/>
    <n v="97.578367"/>
    <s v="MMR001CMP228"/>
    <x v="1"/>
    <m/>
    <n v="142"/>
    <n v="830"/>
  </r>
  <r>
    <x v="2"/>
    <x v="3"/>
    <x v="3"/>
    <s v="UNICEF, USAID"/>
    <x v="0"/>
    <x v="5"/>
    <x v="0"/>
    <x v="79"/>
    <n v="97"/>
    <n v="544"/>
    <d v="2021-11-11T00:00:00"/>
    <d v="2022-11-10T00:00:00"/>
    <m/>
    <m/>
    <m/>
    <m/>
    <m/>
    <m/>
    <m/>
    <n v="3"/>
    <m/>
    <m/>
    <m/>
    <m/>
    <m/>
    <m/>
    <m/>
    <m/>
    <m/>
    <m/>
    <m/>
    <m/>
    <m/>
    <m/>
    <m/>
    <m/>
    <m/>
    <m/>
    <m/>
    <m/>
    <m/>
    <m/>
    <m/>
    <m/>
    <m/>
    <m/>
    <m/>
    <m/>
    <m/>
    <m/>
    <x v="0"/>
    <x v="0"/>
    <m/>
    <m/>
    <m/>
    <m/>
    <m/>
    <m/>
    <n v="7"/>
    <m/>
    <m/>
    <n v="7"/>
    <m/>
    <m/>
    <m/>
    <m/>
    <m/>
    <m/>
    <m/>
    <n v="1"/>
    <m/>
    <m/>
    <m/>
    <m/>
    <m/>
    <m/>
    <m/>
    <m/>
    <m/>
    <m/>
    <m/>
    <m/>
    <s v="no test"/>
    <s v="no test"/>
    <s v="No Test"/>
    <n v="3"/>
    <n v="0"/>
    <n v="0"/>
    <n v="0"/>
    <n v="0"/>
    <n v="0"/>
    <n v="0"/>
    <n v="1"/>
    <n v="1"/>
    <n v="1"/>
    <n v="544"/>
    <n v="0"/>
    <n v="0"/>
    <n v="1"/>
    <n v="544"/>
    <n v="1.0880000000000001"/>
    <n v="0"/>
    <n v="0"/>
    <n v="0"/>
    <n v="1"/>
    <n v="0"/>
    <n v="0"/>
    <n v="0"/>
    <n v="0"/>
    <n v="0"/>
    <n v="0"/>
    <n v="27"/>
    <n v="27"/>
    <n v="1"/>
    <n v="0"/>
    <n v="0"/>
    <n v="0"/>
    <n v="0"/>
    <n v="0"/>
    <n v="0"/>
    <n v="0"/>
    <n v="1"/>
    <n v="0"/>
    <n v="0"/>
    <n v="0"/>
    <n v="7"/>
    <n v="97"/>
    <n v="0"/>
    <n v="544"/>
    <s v="No"/>
    <s v=""/>
    <n v="0"/>
    <n v="0"/>
    <n v="0"/>
    <n v="0"/>
    <s v="uncovered"/>
    <x v="0"/>
    <x v="2"/>
    <x v="0"/>
    <n v="23.827870999999998"/>
    <n v="97.588291999999996"/>
    <s v="MMR001CMP134"/>
    <x v="1"/>
    <m/>
    <n v="120"/>
    <n v="664"/>
  </r>
  <r>
    <x v="2"/>
    <x v="1"/>
    <x v="1"/>
    <s v="ECHO 2739"/>
    <x v="0"/>
    <x v="5"/>
    <x v="0"/>
    <x v="80"/>
    <n v="172"/>
    <n v="789"/>
    <d v="2022-06-01T00:00:00"/>
    <d v="2022-11-30T00:00:00"/>
    <m/>
    <m/>
    <m/>
    <m/>
    <s v="Yes"/>
    <m/>
    <n v="7"/>
    <n v="4"/>
    <m/>
    <n v="4"/>
    <n v="4"/>
    <m/>
    <n v="1"/>
    <n v="2"/>
    <m/>
    <m/>
    <m/>
    <m/>
    <m/>
    <m/>
    <n v="1"/>
    <m/>
    <n v="2"/>
    <n v="2"/>
    <n v="6"/>
    <n v="6"/>
    <m/>
    <m/>
    <m/>
    <m/>
    <n v="44"/>
    <m/>
    <m/>
    <m/>
    <m/>
    <n v="39"/>
    <n v="33"/>
    <m/>
    <x v="1"/>
    <x v="1"/>
    <m/>
    <n v="1"/>
    <m/>
    <m/>
    <n v="1"/>
    <m/>
    <n v="4"/>
    <m/>
    <m/>
    <n v="5"/>
    <m/>
    <m/>
    <m/>
    <m/>
    <m/>
    <m/>
    <m/>
    <m/>
    <m/>
    <m/>
    <m/>
    <m/>
    <m/>
    <m/>
    <m/>
    <m/>
    <m/>
    <m/>
    <m/>
    <m/>
    <n v="1"/>
    <n v="1"/>
    <s v="Tested"/>
    <n v="4"/>
    <n v="3"/>
    <n v="0"/>
    <n v="0"/>
    <n v="0"/>
    <n v="0"/>
    <n v="0"/>
    <n v="1"/>
    <n v="1"/>
    <n v="1"/>
    <n v="789"/>
    <n v="0"/>
    <n v="0"/>
    <n v="1"/>
    <n v="789"/>
    <n v="1.5780000000000001"/>
    <n v="0"/>
    <n v="0"/>
    <n v="0.42199999999999993"/>
    <n v="2"/>
    <n v="44"/>
    <n v="1"/>
    <n v="789"/>
    <n v="780"/>
    <n v="0"/>
    <n v="0"/>
    <n v="39"/>
    <n v="0"/>
    <n v="0"/>
    <n v="0"/>
    <n v="0"/>
    <n v="0"/>
    <n v="0"/>
    <n v="0"/>
    <n v="0"/>
    <n v="0"/>
    <n v="1"/>
    <n v="0"/>
    <n v="0"/>
    <n v="0"/>
    <n v="4"/>
    <n v="80"/>
    <n v="0"/>
    <n v="400"/>
    <s v="No"/>
    <s v=""/>
    <n v="0"/>
    <n v="0"/>
    <n v="0"/>
    <s v="Yes"/>
    <s v="KBC-BMO"/>
    <x v="0"/>
    <x v="0"/>
    <x v="0"/>
    <n v="24.129059999999999"/>
    <n v="97.291820000000001"/>
    <s v="MMR001CMP066"/>
    <x v="1"/>
    <m/>
    <n v="181"/>
    <n v="815"/>
  </r>
  <r>
    <x v="2"/>
    <x v="0"/>
    <x v="0"/>
    <m/>
    <x v="0"/>
    <x v="5"/>
    <x v="0"/>
    <x v="81"/>
    <n v="67"/>
    <n v="308"/>
    <s v="13-8-2021, 6-1-2020"/>
    <s v="12-20-2022, 30-7-2021"/>
    <m/>
    <m/>
    <m/>
    <m/>
    <m/>
    <m/>
    <n v="4"/>
    <m/>
    <m/>
    <m/>
    <m/>
    <m/>
    <m/>
    <m/>
    <m/>
    <m/>
    <m/>
    <m/>
    <m/>
    <m/>
    <m/>
    <m/>
    <m/>
    <m/>
    <m/>
    <m/>
    <m/>
    <m/>
    <m/>
    <m/>
    <m/>
    <m/>
    <m/>
    <m/>
    <m/>
    <m/>
    <m/>
    <m/>
    <x v="0"/>
    <x v="0"/>
    <m/>
    <m/>
    <m/>
    <m/>
    <m/>
    <m/>
    <n v="7"/>
    <m/>
    <m/>
    <n v="7"/>
    <m/>
    <m/>
    <m/>
    <m/>
    <m/>
    <m/>
    <m/>
    <m/>
    <m/>
    <m/>
    <m/>
    <m/>
    <m/>
    <m/>
    <m/>
    <m/>
    <m/>
    <m/>
    <m/>
    <m/>
    <s v="no test"/>
    <s v="no test"/>
    <s v="No Test"/>
    <n v="0"/>
    <n v="0"/>
    <n v="0"/>
    <n v="0"/>
    <n v="0"/>
    <n v="0"/>
    <n v="0"/>
    <n v="0"/>
    <n v="0"/>
    <n v="0"/>
    <n v="0"/>
    <n v="0"/>
    <n v="0"/>
    <n v="0"/>
    <n v="0"/>
    <n v="0"/>
    <n v="1"/>
    <n v="308"/>
    <n v="1"/>
    <n v="1"/>
    <n v="0"/>
    <n v="0"/>
    <n v="0"/>
    <n v="0"/>
    <n v="0"/>
    <n v="0"/>
    <n v="15"/>
    <n v="15"/>
    <n v="1"/>
    <n v="0"/>
    <n v="0"/>
    <n v="0"/>
    <n v="0"/>
    <n v="0"/>
    <n v="0"/>
    <n v="0"/>
    <n v="1"/>
    <n v="0"/>
    <n v="0"/>
    <n v="0"/>
    <n v="7"/>
    <n v="67"/>
    <n v="0"/>
    <n v="308"/>
    <s v="No"/>
    <s v=""/>
    <n v="0"/>
    <n v="0"/>
    <n v="0"/>
    <n v="0"/>
    <s v="uncovered"/>
    <x v="0"/>
    <x v="2"/>
    <x v="0"/>
    <n v="24.118618999999999"/>
    <n v="97.298055000000005"/>
    <s v="MMR001CMP196"/>
    <x v="0"/>
    <m/>
    <n v="70"/>
    <n v="344"/>
  </r>
  <r>
    <x v="2"/>
    <x v="2"/>
    <x v="2"/>
    <s v="MHF"/>
    <x v="0"/>
    <x v="7"/>
    <x v="0"/>
    <x v="82"/>
    <n v="19"/>
    <n v="82"/>
    <d v="2022-01-01T00:00:00"/>
    <d v="2022-12-31T00:00:00"/>
    <m/>
    <n v="1"/>
    <n v="5"/>
    <m/>
    <s v="Yes"/>
    <n v="1"/>
    <n v="4"/>
    <n v="1"/>
    <n v="1"/>
    <m/>
    <n v="1"/>
    <n v="1"/>
    <n v="2"/>
    <n v="2"/>
    <m/>
    <m/>
    <m/>
    <m/>
    <m/>
    <m/>
    <m/>
    <m/>
    <m/>
    <m/>
    <m/>
    <m/>
    <n v="4"/>
    <m/>
    <m/>
    <s v="အဝီစိတွင်းနှင့်မော်တာ"/>
    <n v="5"/>
    <m/>
    <m/>
    <n v="3"/>
    <m/>
    <m/>
    <m/>
    <m/>
    <x v="1"/>
    <x v="1"/>
    <m/>
    <m/>
    <n v="3"/>
    <m/>
    <m/>
    <m/>
    <n v="4"/>
    <m/>
    <n v="2"/>
    <n v="3"/>
    <m/>
    <m/>
    <n v="1"/>
    <m/>
    <m/>
    <s v="No"/>
    <m/>
    <n v="0.9"/>
    <m/>
    <n v="0.9"/>
    <n v="0.9"/>
    <m/>
    <n v="0.99"/>
    <m/>
    <m/>
    <m/>
    <m/>
    <m/>
    <m/>
    <m/>
    <s v="no test"/>
    <s v="no test"/>
    <s v="No Test"/>
    <n v="0"/>
    <n v="0"/>
    <n v="0"/>
    <n v="0"/>
    <n v="0"/>
    <n v="0"/>
    <n v="0"/>
    <n v="0"/>
    <n v="0"/>
    <n v="0"/>
    <n v="0"/>
    <n v="0"/>
    <n v="0"/>
    <n v="0"/>
    <n v="0"/>
    <n v="0"/>
    <n v="1"/>
    <n v="82"/>
    <n v="1"/>
    <n v="1"/>
    <n v="2"/>
    <n v="0.48780487804878048"/>
    <n v="40"/>
    <n v="0"/>
    <n v="0"/>
    <n v="0"/>
    <n v="4"/>
    <n v="0"/>
    <n v="0.51219512195121952"/>
    <n v="0.6"/>
    <n v="82"/>
    <n v="0"/>
    <n v="0"/>
    <n v="0"/>
    <n v="82"/>
    <n v="1"/>
    <n v="0"/>
    <n v="1"/>
    <n v="0"/>
    <n v="0"/>
    <n v="4"/>
    <n v="19"/>
    <n v="0"/>
    <n v="82"/>
    <s v="No"/>
    <s v=""/>
    <n v="0"/>
    <n v="0"/>
    <n v="0"/>
    <s v="Yes"/>
    <s v="Shalom"/>
    <x v="0"/>
    <x v="0"/>
    <x v="0"/>
    <n v="25.374343974359"/>
    <n v="97.2843958974359"/>
    <s v="MMR001CMP020"/>
    <x v="1"/>
    <m/>
    <n v="22"/>
    <n v="90"/>
  </r>
  <r>
    <x v="2"/>
    <x v="2"/>
    <x v="2"/>
    <s v="MHF"/>
    <x v="0"/>
    <x v="7"/>
    <x v="0"/>
    <x v="83"/>
    <n v="29"/>
    <n v="173"/>
    <d v="2022-01-01T00:00:00"/>
    <d v="2022-12-31T00:00:00"/>
    <n v="53"/>
    <n v="1"/>
    <m/>
    <m/>
    <s v="Yes"/>
    <n v="3"/>
    <n v="5"/>
    <n v="2"/>
    <m/>
    <m/>
    <n v="1"/>
    <n v="1"/>
    <m/>
    <m/>
    <m/>
    <m/>
    <m/>
    <m/>
    <m/>
    <m/>
    <m/>
    <m/>
    <m/>
    <m/>
    <m/>
    <m/>
    <n v="4"/>
    <m/>
    <m/>
    <m/>
    <n v="6"/>
    <m/>
    <m/>
    <m/>
    <m/>
    <m/>
    <m/>
    <m/>
    <x v="2"/>
    <x v="1"/>
    <m/>
    <m/>
    <n v="6"/>
    <n v="6"/>
    <m/>
    <m/>
    <n v="4"/>
    <n v="1"/>
    <n v="1"/>
    <n v="2"/>
    <n v="1"/>
    <n v="1"/>
    <n v="1"/>
    <n v="29"/>
    <m/>
    <s v="Yes"/>
    <m/>
    <n v="0.6"/>
    <m/>
    <n v="0.5"/>
    <n v="0.5"/>
    <n v="54"/>
    <n v="0.7"/>
    <m/>
    <m/>
    <m/>
    <m/>
    <m/>
    <m/>
    <m/>
    <s v="no test"/>
    <s v="no test"/>
    <s v="No Test"/>
    <n v="2"/>
    <n v="2"/>
    <n v="0"/>
    <n v="0"/>
    <n v="0"/>
    <n v="0"/>
    <n v="0"/>
    <n v="1"/>
    <n v="1"/>
    <n v="1"/>
    <n v="173"/>
    <n v="0"/>
    <n v="0"/>
    <n v="1"/>
    <n v="173"/>
    <n v="0.34599999999999997"/>
    <n v="0"/>
    <n v="0"/>
    <n v="0.65400000000000003"/>
    <n v="1"/>
    <n v="6"/>
    <n v="0.69364161849710981"/>
    <n v="120"/>
    <n v="0"/>
    <n v="53"/>
    <n v="300"/>
    <n v="9"/>
    <n v="3"/>
    <n v="0.30635838150289019"/>
    <n v="0"/>
    <n v="173"/>
    <n v="173"/>
    <n v="0"/>
    <n v="173"/>
    <n v="173"/>
    <n v="1"/>
    <n v="0"/>
    <n v="1"/>
    <n v="1"/>
    <n v="0"/>
    <n v="3"/>
    <n v="29"/>
    <n v="4"/>
    <n v="173"/>
    <s v="Yes"/>
    <n v="0.31213872832369943"/>
    <n v="0"/>
    <n v="53"/>
    <n v="300"/>
    <s v="Yes"/>
    <s v="Shalom"/>
    <x v="0"/>
    <x v="0"/>
    <x v="0"/>
    <n v="25.371049444444399"/>
    <n v="97.290952037037002"/>
    <s v="MMR001CMP021"/>
    <x v="1"/>
    <m/>
    <n v="30"/>
    <n v="177"/>
  </r>
  <r>
    <x v="2"/>
    <x v="0"/>
    <x v="0"/>
    <m/>
    <x v="0"/>
    <x v="1"/>
    <x v="0"/>
    <x v="84"/>
    <n v="3"/>
    <n v="15"/>
    <s v="13-8-2021, 6-1-2020"/>
    <s v="12-20-2022, 30-7-2021"/>
    <m/>
    <m/>
    <m/>
    <m/>
    <s v="Yes"/>
    <m/>
    <n v="5"/>
    <n v="1"/>
    <m/>
    <m/>
    <n v="1"/>
    <m/>
    <m/>
    <m/>
    <m/>
    <m/>
    <m/>
    <m/>
    <m/>
    <m/>
    <m/>
    <n v="1"/>
    <m/>
    <m/>
    <m/>
    <m/>
    <m/>
    <m/>
    <m/>
    <m/>
    <m/>
    <m/>
    <m/>
    <m/>
    <m/>
    <m/>
    <m/>
    <m/>
    <x v="1"/>
    <x v="3"/>
    <m/>
    <m/>
    <m/>
    <m/>
    <m/>
    <m/>
    <n v="7"/>
    <m/>
    <m/>
    <n v="4"/>
    <m/>
    <m/>
    <m/>
    <m/>
    <m/>
    <m/>
    <m/>
    <m/>
    <m/>
    <m/>
    <m/>
    <m/>
    <m/>
    <m/>
    <m/>
    <m/>
    <m/>
    <m/>
    <m/>
    <m/>
    <s v="no test"/>
    <s v="no test"/>
    <s v="No Test"/>
    <n v="1"/>
    <n v="1"/>
    <n v="0"/>
    <n v="0"/>
    <n v="0"/>
    <n v="0"/>
    <n v="0"/>
    <n v="1"/>
    <n v="1"/>
    <n v="1"/>
    <n v="15"/>
    <n v="0"/>
    <n v="0"/>
    <n v="1"/>
    <n v="15"/>
    <n v="0.03"/>
    <n v="0"/>
    <n v="0"/>
    <n v="0.97"/>
    <n v="1"/>
    <n v="0"/>
    <n v="0"/>
    <n v="0"/>
    <n v="0"/>
    <n v="0"/>
    <n v="0"/>
    <n v="1"/>
    <n v="1"/>
    <n v="1"/>
    <n v="0"/>
    <n v="0"/>
    <n v="0"/>
    <n v="0"/>
    <n v="0"/>
    <n v="0"/>
    <n v="0"/>
    <n v="1"/>
    <n v="0"/>
    <n v="0"/>
    <n v="0"/>
    <n v="7"/>
    <n v="3"/>
    <n v="0"/>
    <n v="15"/>
    <s v="No"/>
    <s v=""/>
    <n v="0"/>
    <n v="0"/>
    <n v="0"/>
    <s v="Yes"/>
    <s v="Shalom"/>
    <x v="0"/>
    <x v="3"/>
    <x v="0"/>
    <n v="25.6145"/>
    <n v="96.319829999999996"/>
    <s v="MMR001CMP091"/>
    <x v="0"/>
    <m/>
    <n v="3"/>
    <n v="14"/>
  </r>
  <r>
    <x v="2"/>
    <x v="0"/>
    <x v="0"/>
    <m/>
    <x v="0"/>
    <x v="10"/>
    <x v="0"/>
    <x v="85"/>
    <n v="15"/>
    <n v="71"/>
    <s v="13-8-2021, 6-1-2020"/>
    <s v="12-20-2022, 30-7-2021"/>
    <m/>
    <m/>
    <m/>
    <m/>
    <m/>
    <m/>
    <n v="4"/>
    <m/>
    <m/>
    <m/>
    <m/>
    <m/>
    <m/>
    <m/>
    <m/>
    <m/>
    <m/>
    <m/>
    <m/>
    <m/>
    <m/>
    <m/>
    <m/>
    <m/>
    <m/>
    <m/>
    <m/>
    <m/>
    <m/>
    <m/>
    <m/>
    <m/>
    <m/>
    <m/>
    <m/>
    <m/>
    <m/>
    <m/>
    <x v="0"/>
    <x v="0"/>
    <m/>
    <m/>
    <m/>
    <m/>
    <m/>
    <m/>
    <n v="3"/>
    <m/>
    <m/>
    <n v="2"/>
    <m/>
    <m/>
    <m/>
    <m/>
    <m/>
    <m/>
    <m/>
    <m/>
    <m/>
    <m/>
    <m/>
    <m/>
    <m/>
    <m/>
    <m/>
    <m/>
    <m/>
    <m/>
    <m/>
    <m/>
    <s v="no test"/>
    <s v="no test"/>
    <s v="No Test"/>
    <n v="0"/>
    <n v="0"/>
    <n v="0"/>
    <n v="0"/>
    <n v="0"/>
    <n v="0"/>
    <n v="0"/>
    <n v="0"/>
    <n v="0"/>
    <n v="0"/>
    <n v="0"/>
    <n v="0"/>
    <n v="0"/>
    <n v="0"/>
    <n v="0"/>
    <n v="0"/>
    <n v="1"/>
    <n v="71"/>
    <n v="1"/>
    <n v="1"/>
    <n v="0"/>
    <n v="0"/>
    <n v="0"/>
    <n v="0"/>
    <n v="0"/>
    <n v="0"/>
    <n v="4"/>
    <n v="4"/>
    <n v="1"/>
    <n v="0"/>
    <n v="0"/>
    <n v="0"/>
    <n v="0"/>
    <n v="0"/>
    <n v="0"/>
    <n v="0"/>
    <n v="1"/>
    <n v="0"/>
    <n v="0"/>
    <n v="0"/>
    <n v="3"/>
    <n v="15"/>
    <n v="0"/>
    <n v="71"/>
    <s v="No"/>
    <s v=""/>
    <n v="0"/>
    <n v="0"/>
    <n v="0"/>
    <n v="0"/>
    <s v="uncovered"/>
    <x v="0"/>
    <x v="2"/>
    <x v="0"/>
    <n v="24.764959999999999"/>
    <n v="96.366919999999993"/>
    <s v="MMR001CMP233"/>
    <x v="0"/>
    <m/>
    <n v="7"/>
    <n v="35"/>
  </r>
  <r>
    <x v="2"/>
    <x v="1"/>
    <x v="1"/>
    <s v="ECHO 2739"/>
    <x v="0"/>
    <x v="2"/>
    <x v="0"/>
    <x v="86"/>
    <n v="86"/>
    <n v="424"/>
    <d v="2022-06-01T00:00:00"/>
    <d v="2022-11-30T00:00:00"/>
    <m/>
    <m/>
    <m/>
    <m/>
    <s v="Yes"/>
    <n v="2"/>
    <n v="5"/>
    <n v="2"/>
    <m/>
    <m/>
    <m/>
    <m/>
    <m/>
    <m/>
    <m/>
    <m/>
    <m/>
    <m/>
    <m/>
    <m/>
    <n v="1"/>
    <m/>
    <n v="1"/>
    <n v="1"/>
    <n v="6"/>
    <n v="5"/>
    <m/>
    <m/>
    <m/>
    <m/>
    <n v="6"/>
    <m/>
    <m/>
    <m/>
    <m/>
    <n v="6"/>
    <n v="5"/>
    <m/>
    <x v="1"/>
    <x v="1"/>
    <m/>
    <m/>
    <m/>
    <m/>
    <m/>
    <m/>
    <m/>
    <m/>
    <m/>
    <n v="1"/>
    <m/>
    <m/>
    <m/>
    <m/>
    <m/>
    <m/>
    <m/>
    <m/>
    <m/>
    <m/>
    <m/>
    <m/>
    <m/>
    <m/>
    <m/>
    <m/>
    <m/>
    <m/>
    <m/>
    <m/>
    <n v="1"/>
    <n v="0.83333333333333337"/>
    <s v="Tested"/>
    <n v="2"/>
    <n v="0"/>
    <n v="0"/>
    <n v="0"/>
    <n v="0"/>
    <n v="0"/>
    <n v="0"/>
    <n v="1"/>
    <n v="1"/>
    <n v="1"/>
    <n v="424"/>
    <n v="0"/>
    <n v="0"/>
    <n v="1"/>
    <n v="424"/>
    <n v="0.84799999999999998"/>
    <n v="0"/>
    <n v="0"/>
    <n v="0.15200000000000002"/>
    <n v="1"/>
    <n v="6"/>
    <n v="0.28301886792452829"/>
    <n v="120"/>
    <n v="120"/>
    <n v="0"/>
    <n v="0"/>
    <n v="21"/>
    <n v="15"/>
    <n v="0.71698113207547176"/>
    <n v="0"/>
    <n v="0"/>
    <n v="0"/>
    <n v="0"/>
    <n v="0"/>
    <n v="0"/>
    <n v="0"/>
    <n v="1"/>
    <n v="0"/>
    <n v="0"/>
    <n v="0"/>
    <n v="0"/>
    <n v="0"/>
    <n v="0"/>
    <n v="0"/>
    <s v="No"/>
    <s v=""/>
    <n v="0"/>
    <n v="0"/>
    <n v="0"/>
    <s v="Yes"/>
    <s v="KBC-BMO"/>
    <x v="0"/>
    <x v="0"/>
    <x v="0"/>
    <n v="24.250689999999999"/>
    <n v="97.344359999999995"/>
    <s v="MMR001CMP056"/>
    <x v="1"/>
    <m/>
    <n v="646"/>
    <n v="2978"/>
  </r>
  <r>
    <x v="2"/>
    <x v="7"/>
    <x v="7"/>
    <s v="MHF"/>
    <x v="0"/>
    <x v="0"/>
    <x v="1"/>
    <x v="87"/>
    <n v="49"/>
    <n v="203"/>
    <d v="2022-04-01T00:00:00"/>
    <d v="2022-10-31T00:00:00"/>
    <n v="53"/>
    <m/>
    <m/>
    <m/>
    <s v="Yes"/>
    <n v="1"/>
    <n v="1"/>
    <n v="4"/>
    <m/>
    <m/>
    <m/>
    <m/>
    <m/>
    <m/>
    <m/>
    <m/>
    <m/>
    <m/>
    <m/>
    <m/>
    <m/>
    <m/>
    <m/>
    <m/>
    <m/>
    <m/>
    <n v="1"/>
    <m/>
    <m/>
    <m/>
    <n v="7"/>
    <m/>
    <m/>
    <m/>
    <m/>
    <m/>
    <m/>
    <m/>
    <x v="1"/>
    <x v="1"/>
    <m/>
    <m/>
    <m/>
    <m/>
    <n v="4"/>
    <m/>
    <n v="2"/>
    <m/>
    <m/>
    <n v="2"/>
    <m/>
    <n v="1"/>
    <m/>
    <m/>
    <m/>
    <s v="Yes"/>
    <m/>
    <m/>
    <m/>
    <m/>
    <m/>
    <m/>
    <m/>
    <m/>
    <m/>
    <m/>
    <m/>
    <m/>
    <m/>
    <m/>
    <s v="no test"/>
    <s v="no test"/>
    <s v="No Test"/>
    <n v="4"/>
    <n v="0"/>
    <n v="0"/>
    <n v="0"/>
    <n v="0"/>
    <n v="0"/>
    <n v="0"/>
    <n v="1"/>
    <n v="1"/>
    <n v="1"/>
    <n v="203"/>
    <n v="0"/>
    <n v="0"/>
    <n v="1"/>
    <n v="203"/>
    <n v="0.40600000000000003"/>
    <n v="0"/>
    <n v="0"/>
    <n v="0.59399999999999997"/>
    <n v="1"/>
    <n v="7"/>
    <n v="0.70935960591133007"/>
    <n v="144"/>
    <n v="0"/>
    <n v="0"/>
    <n v="0"/>
    <n v="10"/>
    <n v="3"/>
    <n v="0.29064039408866993"/>
    <n v="0"/>
    <n v="203"/>
    <n v="0"/>
    <n v="0"/>
    <n v="0"/>
    <n v="203"/>
    <n v="1"/>
    <n v="0"/>
    <n v="1"/>
    <n v="0"/>
    <n v="0"/>
    <n v="2"/>
    <n v="40"/>
    <n v="1"/>
    <n v="200"/>
    <s v="Yes"/>
    <s v=""/>
    <n v="0"/>
    <n v="0"/>
    <n v="0"/>
    <n v="0"/>
    <n v="0"/>
    <x v="0"/>
    <x v="3"/>
    <x v="0"/>
    <n v="0"/>
    <n v="0"/>
    <n v="0"/>
    <x v="1"/>
    <m/>
    <n v="0"/>
    <n v="0"/>
  </r>
  <r>
    <x v="2"/>
    <x v="11"/>
    <x v="7"/>
    <s v="MHF"/>
    <x v="0"/>
    <x v="2"/>
    <x v="1"/>
    <x v="88"/>
    <n v="416"/>
    <n v="1936"/>
    <d v="2022-04-01T00:00:00"/>
    <d v="2022-10-31T00:00:00"/>
    <n v="153"/>
    <m/>
    <m/>
    <m/>
    <s v="Yes"/>
    <n v="2"/>
    <n v="6"/>
    <n v="3"/>
    <m/>
    <m/>
    <m/>
    <m/>
    <m/>
    <m/>
    <m/>
    <m/>
    <m/>
    <m/>
    <m/>
    <m/>
    <m/>
    <m/>
    <n v="6"/>
    <n v="6"/>
    <n v="12"/>
    <n v="11"/>
    <n v="5"/>
    <m/>
    <m/>
    <s v="NA"/>
    <n v="19"/>
    <m/>
    <m/>
    <m/>
    <m/>
    <n v="5"/>
    <n v="6.8137410000000003"/>
    <m/>
    <x v="1"/>
    <x v="1"/>
    <m/>
    <m/>
    <m/>
    <m/>
    <m/>
    <s v="NO COMMENT"/>
    <n v="20"/>
    <m/>
    <m/>
    <n v="2"/>
    <m/>
    <n v="3"/>
    <n v="5"/>
    <m/>
    <m/>
    <s v="Yes"/>
    <n v="1"/>
    <n v="0.3"/>
    <s v="NA"/>
    <n v="0.8"/>
    <n v="0.8"/>
    <n v="20"/>
    <n v="0.8"/>
    <m/>
    <m/>
    <m/>
    <m/>
    <m/>
    <m/>
    <m/>
    <n v="1"/>
    <n v="0.91666666666666663"/>
    <s v="Tested"/>
    <n v="3"/>
    <n v="0"/>
    <n v="0"/>
    <n v="0"/>
    <n v="0"/>
    <n v="0"/>
    <n v="0"/>
    <n v="0.6198347107438017"/>
    <n v="0.38739669421487605"/>
    <n v="0.6198347107438017"/>
    <n v="1200"/>
    <n v="0"/>
    <n v="0"/>
    <n v="0.6198347107438017"/>
    <n v="1200"/>
    <n v="2.4"/>
    <n v="0.3801652892561983"/>
    <n v="735.99999999999989"/>
    <n v="1.6"/>
    <n v="4"/>
    <n v="19"/>
    <n v="0.1962809917355372"/>
    <n v="380"/>
    <n v="100"/>
    <n v="0"/>
    <n v="0"/>
    <n v="97"/>
    <n v="78"/>
    <n v="0.80371900826446274"/>
    <n v="0"/>
    <n v="1936"/>
    <n v="0"/>
    <n v="0"/>
    <n v="0"/>
    <n v="1936"/>
    <n v="1"/>
    <n v="0"/>
    <n v="1"/>
    <n v="0"/>
    <n v="0"/>
    <n v="20"/>
    <n v="400"/>
    <n v="5"/>
    <n v="1936"/>
    <s v="Yes"/>
    <n v="1.0330578512396695E-2"/>
    <n v="0"/>
    <n v="0"/>
    <n v="0"/>
    <n v="0"/>
    <n v="0"/>
    <x v="0"/>
    <x v="0"/>
    <x v="0"/>
    <n v="0"/>
    <n v="0"/>
    <n v="0"/>
    <x v="1"/>
    <m/>
    <n v="0"/>
    <n v="0"/>
  </r>
  <r>
    <x v="2"/>
    <x v="0"/>
    <x v="0"/>
    <m/>
    <x v="0"/>
    <x v="2"/>
    <x v="0"/>
    <x v="89"/>
    <n v="223"/>
    <n v="1067"/>
    <s v="13-8-2021, 6-1-2020"/>
    <s v="12-20-2022, 30-7-2021"/>
    <m/>
    <m/>
    <m/>
    <m/>
    <m/>
    <m/>
    <n v="4"/>
    <m/>
    <m/>
    <m/>
    <m/>
    <m/>
    <m/>
    <m/>
    <m/>
    <m/>
    <m/>
    <m/>
    <m/>
    <m/>
    <m/>
    <m/>
    <m/>
    <m/>
    <m/>
    <m/>
    <m/>
    <m/>
    <m/>
    <m/>
    <m/>
    <m/>
    <m/>
    <m/>
    <m/>
    <m/>
    <m/>
    <m/>
    <x v="0"/>
    <x v="0"/>
    <m/>
    <m/>
    <m/>
    <m/>
    <m/>
    <m/>
    <n v="3"/>
    <m/>
    <m/>
    <n v="2"/>
    <m/>
    <m/>
    <m/>
    <m/>
    <m/>
    <m/>
    <m/>
    <m/>
    <m/>
    <m/>
    <m/>
    <m/>
    <m/>
    <m/>
    <m/>
    <m/>
    <m/>
    <m/>
    <m/>
    <m/>
    <s v="no test"/>
    <s v="no test"/>
    <s v="No Test"/>
    <n v="0"/>
    <n v="0"/>
    <n v="0"/>
    <n v="0"/>
    <n v="0"/>
    <n v="0"/>
    <n v="0"/>
    <n v="0"/>
    <n v="0"/>
    <n v="0"/>
    <n v="0"/>
    <n v="0"/>
    <n v="0"/>
    <n v="0"/>
    <n v="0"/>
    <n v="0"/>
    <n v="1"/>
    <n v="1067"/>
    <n v="2"/>
    <n v="2"/>
    <n v="0"/>
    <n v="0"/>
    <n v="0"/>
    <n v="0"/>
    <n v="0"/>
    <n v="0"/>
    <n v="53"/>
    <n v="53"/>
    <n v="1"/>
    <n v="0"/>
    <n v="0"/>
    <n v="0"/>
    <n v="0"/>
    <n v="0"/>
    <n v="0"/>
    <n v="0"/>
    <n v="1"/>
    <n v="0"/>
    <n v="0"/>
    <n v="0"/>
    <n v="3"/>
    <n v="60"/>
    <n v="0"/>
    <n v="300"/>
    <s v="No"/>
    <s v=""/>
    <n v="0"/>
    <n v="0"/>
    <n v="0"/>
    <n v="0"/>
    <s v="uncovered"/>
    <x v="0"/>
    <x v="2"/>
    <x v="0"/>
    <n v="24.251232000000002"/>
    <n v="97.348405"/>
    <s v="MMR001CMP197"/>
    <x v="0"/>
    <m/>
    <n v="171"/>
    <n v="882"/>
  </r>
  <r>
    <x v="2"/>
    <x v="16"/>
    <x v="7"/>
    <s v="MHF,IRC, UNICEF"/>
    <x v="0"/>
    <x v="1"/>
    <x v="0"/>
    <x v="90"/>
    <n v="10"/>
    <n v="18"/>
    <d v="2022-05-01T00:00:00"/>
    <d v="2023-08-31T00:00:00"/>
    <m/>
    <n v="1"/>
    <m/>
    <m/>
    <m/>
    <n v="2"/>
    <n v="2"/>
    <n v="1"/>
    <m/>
    <m/>
    <n v="1"/>
    <m/>
    <m/>
    <m/>
    <m/>
    <m/>
    <m/>
    <m/>
    <m/>
    <m/>
    <m/>
    <m/>
    <m/>
    <m/>
    <m/>
    <m/>
    <m/>
    <m/>
    <m/>
    <m/>
    <m/>
    <m/>
    <m/>
    <m/>
    <m/>
    <m/>
    <m/>
    <m/>
    <x v="0"/>
    <x v="0"/>
    <m/>
    <m/>
    <m/>
    <m/>
    <m/>
    <m/>
    <n v="5"/>
    <m/>
    <m/>
    <n v="3"/>
    <m/>
    <m/>
    <m/>
    <m/>
    <m/>
    <m/>
    <m/>
    <m/>
    <m/>
    <m/>
    <m/>
    <m/>
    <m/>
    <m/>
    <m/>
    <m/>
    <m/>
    <m/>
    <m/>
    <m/>
    <s v="no test"/>
    <s v="no test"/>
    <s v="No Test"/>
    <n v="1"/>
    <n v="1"/>
    <n v="0"/>
    <n v="0"/>
    <n v="0"/>
    <n v="0"/>
    <n v="0"/>
    <n v="1"/>
    <n v="1"/>
    <n v="1"/>
    <n v="18"/>
    <n v="0"/>
    <n v="0"/>
    <n v="1"/>
    <n v="18"/>
    <n v="3.5999999999999997E-2"/>
    <n v="0"/>
    <n v="0"/>
    <n v="0.96399999999999997"/>
    <n v="1"/>
    <n v="0"/>
    <n v="0"/>
    <n v="0"/>
    <n v="0"/>
    <n v="0"/>
    <n v="0"/>
    <n v="1"/>
    <n v="1"/>
    <n v="1"/>
    <n v="0"/>
    <n v="0"/>
    <n v="0"/>
    <n v="0"/>
    <n v="0"/>
    <n v="0"/>
    <n v="0"/>
    <n v="1"/>
    <n v="0"/>
    <n v="0"/>
    <n v="0"/>
    <n v="5"/>
    <n v="10"/>
    <n v="0"/>
    <n v="18"/>
    <s v="No"/>
    <s v=""/>
    <n v="0"/>
    <n v="0"/>
    <n v="0"/>
    <s v="Yes"/>
    <s v="KMSS-MYT"/>
    <x v="0"/>
    <x v="0"/>
    <x v="0"/>
    <n v="25.920006000000001"/>
    <n v="96.662092000000001"/>
    <s v="MMR001CMP247"/>
    <x v="1"/>
    <m/>
    <n v="24"/>
    <n v="101"/>
  </r>
  <r>
    <x v="2"/>
    <x v="0"/>
    <x v="0"/>
    <m/>
    <x v="0"/>
    <x v="2"/>
    <x v="0"/>
    <x v="91"/>
    <n v="15"/>
    <n v="101"/>
    <s v="13-8-2021, 6-1-2020"/>
    <s v="12-20-2022, 30-7-2021"/>
    <m/>
    <m/>
    <m/>
    <m/>
    <m/>
    <m/>
    <n v="1"/>
    <m/>
    <m/>
    <m/>
    <m/>
    <m/>
    <m/>
    <m/>
    <m/>
    <m/>
    <m/>
    <m/>
    <m/>
    <m/>
    <m/>
    <m/>
    <m/>
    <m/>
    <m/>
    <m/>
    <m/>
    <m/>
    <m/>
    <m/>
    <m/>
    <m/>
    <m/>
    <m/>
    <m/>
    <m/>
    <m/>
    <m/>
    <x v="0"/>
    <x v="0"/>
    <m/>
    <m/>
    <m/>
    <m/>
    <m/>
    <m/>
    <n v="1"/>
    <m/>
    <m/>
    <n v="3"/>
    <m/>
    <m/>
    <m/>
    <m/>
    <m/>
    <m/>
    <m/>
    <m/>
    <m/>
    <m/>
    <m/>
    <m/>
    <m/>
    <m/>
    <m/>
    <m/>
    <m/>
    <m/>
    <m/>
    <m/>
    <s v="no test"/>
    <s v="no test"/>
    <s v="No Test"/>
    <n v="0"/>
    <n v="0"/>
    <n v="0"/>
    <n v="0"/>
    <n v="0"/>
    <n v="0"/>
    <n v="0"/>
    <n v="0"/>
    <n v="0"/>
    <n v="0"/>
    <n v="0"/>
    <n v="0"/>
    <n v="0"/>
    <n v="0"/>
    <n v="0"/>
    <n v="0"/>
    <n v="1"/>
    <n v="101"/>
    <n v="1"/>
    <n v="1"/>
    <n v="0"/>
    <n v="0"/>
    <n v="0"/>
    <n v="0"/>
    <n v="0"/>
    <n v="0"/>
    <n v="5"/>
    <n v="5"/>
    <n v="1"/>
    <n v="0"/>
    <n v="0"/>
    <n v="0"/>
    <n v="0"/>
    <n v="0"/>
    <n v="0"/>
    <n v="0"/>
    <n v="1"/>
    <n v="0"/>
    <n v="0"/>
    <n v="0"/>
    <n v="1"/>
    <n v="15"/>
    <n v="0"/>
    <n v="100"/>
    <s v="No"/>
    <s v=""/>
    <n v="0"/>
    <n v="0"/>
    <n v="0"/>
    <n v="0"/>
    <s v="uncovered"/>
    <x v="0"/>
    <x v="2"/>
    <x v="0"/>
    <n v="24.404876999999999"/>
    <n v="97.407787999999996"/>
    <s v="MMR001CMP061"/>
    <x v="0"/>
    <m/>
    <n v="15"/>
    <n v="101"/>
  </r>
  <r>
    <x v="2"/>
    <x v="4"/>
    <x v="4"/>
    <s v="UNICEF"/>
    <x v="0"/>
    <x v="3"/>
    <x v="0"/>
    <x v="92"/>
    <n v="57"/>
    <n v="344"/>
    <d v="2021-08-06T00:00:00"/>
    <d v="2022-08-05T00:00:00"/>
    <m/>
    <n v="3"/>
    <m/>
    <m/>
    <s v="Yes"/>
    <n v="3"/>
    <n v="4"/>
    <n v="2"/>
    <m/>
    <m/>
    <n v="1"/>
    <m/>
    <m/>
    <m/>
    <n v="1"/>
    <m/>
    <m/>
    <m/>
    <m/>
    <m/>
    <m/>
    <m/>
    <m/>
    <m/>
    <m/>
    <m/>
    <n v="4"/>
    <m/>
    <m/>
    <m/>
    <n v="98"/>
    <m/>
    <m/>
    <m/>
    <m/>
    <m/>
    <m/>
    <m/>
    <x v="1"/>
    <x v="1"/>
    <n v="3"/>
    <m/>
    <m/>
    <m/>
    <m/>
    <m/>
    <n v="1"/>
    <m/>
    <m/>
    <n v="4"/>
    <m/>
    <m/>
    <n v="1"/>
    <m/>
    <m/>
    <s v="Yes"/>
    <m/>
    <m/>
    <m/>
    <m/>
    <m/>
    <m/>
    <m/>
    <m/>
    <m/>
    <m/>
    <m/>
    <m/>
    <m/>
    <m/>
    <s v="no test"/>
    <s v="no test"/>
    <s v="No Test"/>
    <n v="2"/>
    <n v="1"/>
    <n v="1"/>
    <n v="0"/>
    <n v="0"/>
    <n v="0"/>
    <n v="0"/>
    <n v="1"/>
    <n v="1"/>
    <n v="1"/>
    <n v="344"/>
    <n v="0"/>
    <n v="0"/>
    <n v="1"/>
    <n v="344"/>
    <n v="0.68799999999999994"/>
    <n v="0"/>
    <n v="0"/>
    <n v="0.31200000000000006"/>
    <n v="1"/>
    <n v="98"/>
    <n v="1"/>
    <n v="344"/>
    <n v="0"/>
    <n v="0"/>
    <n v="0"/>
    <n v="17"/>
    <n v="0"/>
    <n v="0"/>
    <n v="0"/>
    <n v="344"/>
    <n v="0"/>
    <n v="0"/>
    <n v="0"/>
    <n v="344"/>
    <n v="1"/>
    <n v="0"/>
    <n v="1"/>
    <n v="0"/>
    <n v="0"/>
    <n v="1"/>
    <n v="20"/>
    <n v="4"/>
    <n v="100"/>
    <s v="No"/>
    <s v=""/>
    <n v="0"/>
    <n v="0"/>
    <n v="0"/>
    <n v="0"/>
    <n v="0"/>
    <x v="0"/>
    <x v="0"/>
    <x v="0"/>
    <n v="25.428995"/>
    <n v="97.957487999999998"/>
    <s v="MMR001CMP279"/>
    <x v="1"/>
    <m/>
    <n v="55"/>
    <n v="320"/>
  </r>
  <r>
    <x v="2"/>
    <x v="1"/>
    <x v="1"/>
    <s v="ECHO 2739"/>
    <x v="0"/>
    <x v="0"/>
    <x v="0"/>
    <x v="93"/>
    <n v="40"/>
    <n v="168"/>
    <d v="2022-04-01T00:00:00"/>
    <d v="2022-11-30T00:00:00"/>
    <m/>
    <m/>
    <m/>
    <m/>
    <s v="Yes"/>
    <n v="4"/>
    <n v="4"/>
    <n v="1"/>
    <m/>
    <n v="1"/>
    <n v="1"/>
    <m/>
    <m/>
    <m/>
    <m/>
    <m/>
    <m/>
    <m/>
    <m/>
    <m/>
    <n v="1"/>
    <m/>
    <n v="2"/>
    <n v="1"/>
    <n v="9"/>
    <n v="9"/>
    <m/>
    <m/>
    <m/>
    <m/>
    <n v="9"/>
    <m/>
    <m/>
    <m/>
    <n v="1"/>
    <m/>
    <m/>
    <m/>
    <x v="1"/>
    <x v="1"/>
    <m/>
    <n v="1"/>
    <m/>
    <m/>
    <n v="7"/>
    <m/>
    <n v="9"/>
    <m/>
    <m/>
    <n v="2"/>
    <m/>
    <m/>
    <m/>
    <n v="40"/>
    <n v="46"/>
    <m/>
    <m/>
    <m/>
    <m/>
    <m/>
    <m/>
    <n v="1"/>
    <n v="1"/>
    <m/>
    <m/>
    <m/>
    <m/>
    <m/>
    <m/>
    <m/>
    <n v="0.5"/>
    <n v="1"/>
    <s v="Tested"/>
    <n v="1"/>
    <n v="1"/>
    <n v="0"/>
    <n v="0"/>
    <n v="0"/>
    <n v="0"/>
    <n v="0"/>
    <n v="1"/>
    <n v="1"/>
    <n v="1"/>
    <n v="168"/>
    <n v="0"/>
    <n v="0"/>
    <n v="1"/>
    <n v="168"/>
    <n v="0.33600000000000002"/>
    <n v="0"/>
    <n v="0"/>
    <n v="0.66399999999999992"/>
    <n v="1"/>
    <n v="9"/>
    <n v="1"/>
    <n v="168"/>
    <n v="0"/>
    <n v="0"/>
    <n v="0"/>
    <n v="8"/>
    <n v="0"/>
    <n v="0"/>
    <n v="0"/>
    <n v="0"/>
    <n v="168"/>
    <n v="46"/>
    <n v="168"/>
    <n v="168"/>
    <n v="1"/>
    <n v="0"/>
    <n v="0"/>
    <n v="1"/>
    <n v="1"/>
    <n v="9"/>
    <n v="40"/>
    <n v="0"/>
    <n v="168"/>
    <s v="No"/>
    <n v="5.9523809523809521E-3"/>
    <n v="0"/>
    <n v="0"/>
    <n v="0"/>
    <n v="0"/>
    <n v="0"/>
    <x v="0"/>
    <x v="0"/>
    <x v="0"/>
    <n v="24.314934000000001"/>
    <n v="97.305190999999994"/>
    <s v="MMR001CMP285"/>
    <x v="1"/>
    <m/>
    <n v="40"/>
    <n v="190"/>
  </r>
  <r>
    <x v="2"/>
    <x v="2"/>
    <x v="2"/>
    <s v="MHF"/>
    <x v="0"/>
    <x v="1"/>
    <x v="0"/>
    <x v="94"/>
    <n v="7"/>
    <n v="24"/>
    <d v="2022-01-01T00:00:00"/>
    <d v="2022-12-31T00:00:00"/>
    <n v="6"/>
    <n v="1"/>
    <m/>
    <m/>
    <s v="Yes"/>
    <n v="2"/>
    <n v="2"/>
    <n v="1"/>
    <n v="1"/>
    <m/>
    <n v="1"/>
    <m/>
    <m/>
    <m/>
    <n v="1"/>
    <n v="1"/>
    <m/>
    <m/>
    <m/>
    <n v="1000"/>
    <m/>
    <m/>
    <m/>
    <m/>
    <m/>
    <m/>
    <m/>
    <n v="2"/>
    <m/>
    <m/>
    <n v="3"/>
    <m/>
    <m/>
    <m/>
    <m/>
    <m/>
    <m/>
    <m/>
    <x v="1"/>
    <x v="2"/>
    <m/>
    <m/>
    <n v="3"/>
    <n v="3"/>
    <m/>
    <s v="Requested hand soap"/>
    <n v="2"/>
    <n v="1"/>
    <m/>
    <n v="2"/>
    <m/>
    <n v="3"/>
    <n v="5"/>
    <m/>
    <m/>
    <m/>
    <m/>
    <n v="0.75"/>
    <m/>
    <n v="0.9"/>
    <n v="0.9"/>
    <n v="5"/>
    <n v="0.75"/>
    <m/>
    <m/>
    <m/>
    <m/>
    <m/>
    <m/>
    <m/>
    <s v="no test"/>
    <s v="no test"/>
    <s v="No Test"/>
    <n v="0"/>
    <n v="1"/>
    <n v="0"/>
    <n v="0"/>
    <n v="0.7407407407407407"/>
    <n v="24"/>
    <n v="0"/>
    <n v="1"/>
    <n v="1"/>
    <n v="1"/>
    <n v="24"/>
    <n v="0"/>
    <n v="0"/>
    <n v="1"/>
    <n v="24"/>
    <n v="4.8000000000000001E-2"/>
    <n v="0"/>
    <n v="0"/>
    <n v="0.95199999999999996"/>
    <n v="1"/>
    <n v="3"/>
    <n v="1"/>
    <n v="24"/>
    <n v="0"/>
    <n v="6"/>
    <n v="150"/>
    <n v="1"/>
    <n v="0"/>
    <n v="0"/>
    <n v="0"/>
    <n v="24"/>
    <n v="0"/>
    <n v="0"/>
    <n v="0"/>
    <n v="24"/>
    <n v="1"/>
    <n v="0"/>
    <n v="1"/>
    <n v="0"/>
    <n v="0"/>
    <n v="1"/>
    <n v="7"/>
    <n v="0"/>
    <n v="24"/>
    <s v="Yes"/>
    <n v="0.20833333333333334"/>
    <n v="0"/>
    <n v="24"/>
    <n v="150"/>
    <s v="Yes"/>
    <s v="Shalom"/>
    <x v="0"/>
    <x v="3"/>
    <x v="0"/>
    <n v="25.617998"/>
    <n v="96.339590000000001"/>
    <s v="MMR001CMP192"/>
    <x v="1"/>
    <m/>
    <n v="7"/>
    <n v="24"/>
  </r>
  <r>
    <x v="2"/>
    <x v="18"/>
    <x v="7"/>
    <s v="SIDA, UNICEF"/>
    <x v="0"/>
    <x v="8"/>
    <x v="1"/>
    <x v="95"/>
    <n v="5"/>
    <n v="28"/>
    <d v="2022-05-01T00:00:00"/>
    <d v="2023-08-31T00:00:00"/>
    <m/>
    <n v="1"/>
    <m/>
    <m/>
    <s v="Yes"/>
    <n v="3"/>
    <m/>
    <n v="1"/>
    <m/>
    <m/>
    <n v="1"/>
    <m/>
    <m/>
    <m/>
    <m/>
    <m/>
    <m/>
    <m/>
    <m/>
    <m/>
    <m/>
    <n v="3"/>
    <m/>
    <m/>
    <m/>
    <m/>
    <m/>
    <m/>
    <m/>
    <m/>
    <n v="2"/>
    <m/>
    <m/>
    <m/>
    <m/>
    <m/>
    <m/>
    <n v="2"/>
    <x v="1"/>
    <x v="1"/>
    <m/>
    <m/>
    <m/>
    <m/>
    <m/>
    <m/>
    <n v="1"/>
    <m/>
    <m/>
    <n v="2"/>
    <m/>
    <m/>
    <m/>
    <m/>
    <m/>
    <m/>
    <m/>
    <m/>
    <m/>
    <m/>
    <m/>
    <m/>
    <m/>
    <m/>
    <m/>
    <m/>
    <m/>
    <m/>
    <m/>
    <m/>
    <s v="no test"/>
    <s v="no test"/>
    <s v="No Test"/>
    <n v="1"/>
    <n v="1"/>
    <n v="0"/>
    <n v="0"/>
    <n v="0"/>
    <n v="0"/>
    <n v="0"/>
    <n v="1"/>
    <n v="1"/>
    <n v="1"/>
    <n v="28"/>
    <n v="0"/>
    <n v="0"/>
    <n v="1"/>
    <n v="28"/>
    <n v="5.6000000000000001E-2"/>
    <n v="0"/>
    <n v="0"/>
    <n v="0.94399999999999995"/>
    <n v="1"/>
    <n v="2"/>
    <n v="1"/>
    <n v="28"/>
    <n v="0"/>
    <n v="0"/>
    <n v="0"/>
    <n v="1"/>
    <n v="0"/>
    <n v="0"/>
    <n v="0"/>
    <n v="0"/>
    <n v="0"/>
    <n v="0"/>
    <n v="0"/>
    <n v="0"/>
    <n v="0"/>
    <n v="1"/>
    <n v="0"/>
    <n v="0"/>
    <n v="0"/>
    <n v="1"/>
    <n v="5"/>
    <n v="0"/>
    <n v="28"/>
    <s v="No"/>
    <s v=""/>
    <n v="0"/>
    <n v="0"/>
    <n v="0"/>
    <n v="0"/>
    <n v="0"/>
    <x v="0"/>
    <x v="3"/>
    <x v="0"/>
    <n v="0"/>
    <n v="0"/>
    <n v="0"/>
    <x v="1"/>
    <m/>
    <n v="0"/>
    <n v="0"/>
  </r>
  <r>
    <x v="2"/>
    <x v="19"/>
    <x v="7"/>
    <s v="SIDA, UNICEF"/>
    <x v="0"/>
    <x v="8"/>
    <x v="0"/>
    <x v="96"/>
    <n v="110"/>
    <n v="611"/>
    <d v="2022-05-01T00:00:00"/>
    <d v="2023-08-31T00:00:00"/>
    <m/>
    <n v="2"/>
    <m/>
    <m/>
    <s v="Yes"/>
    <n v="1"/>
    <n v="2"/>
    <n v="5"/>
    <m/>
    <m/>
    <n v="3"/>
    <m/>
    <m/>
    <m/>
    <m/>
    <m/>
    <m/>
    <m/>
    <m/>
    <m/>
    <m/>
    <n v="2"/>
    <m/>
    <m/>
    <m/>
    <m/>
    <m/>
    <m/>
    <m/>
    <m/>
    <n v="20"/>
    <m/>
    <m/>
    <m/>
    <m/>
    <m/>
    <m/>
    <n v="12"/>
    <x v="1"/>
    <x v="1"/>
    <m/>
    <m/>
    <m/>
    <m/>
    <m/>
    <m/>
    <n v="4"/>
    <m/>
    <m/>
    <n v="5"/>
    <m/>
    <n v="2"/>
    <n v="1"/>
    <m/>
    <m/>
    <m/>
    <m/>
    <m/>
    <m/>
    <m/>
    <m/>
    <m/>
    <m/>
    <m/>
    <m/>
    <m/>
    <m/>
    <m/>
    <m/>
    <m/>
    <s v="no test"/>
    <s v="no test"/>
    <s v="No Test"/>
    <n v="5"/>
    <n v="3"/>
    <n v="0"/>
    <n v="0"/>
    <n v="0"/>
    <n v="0"/>
    <n v="0"/>
    <n v="1"/>
    <n v="1"/>
    <n v="1"/>
    <n v="611"/>
    <n v="0"/>
    <n v="0"/>
    <n v="1"/>
    <n v="611"/>
    <n v="1.222"/>
    <n v="0"/>
    <n v="0"/>
    <n v="0"/>
    <n v="1"/>
    <n v="20"/>
    <n v="0.65466448445171854"/>
    <n v="400"/>
    <n v="0"/>
    <n v="0"/>
    <n v="0"/>
    <n v="31"/>
    <n v="11"/>
    <n v="0.34533551554828146"/>
    <n v="0"/>
    <n v="611"/>
    <n v="0"/>
    <n v="0"/>
    <n v="0"/>
    <n v="611"/>
    <n v="1"/>
    <n v="0"/>
    <n v="1"/>
    <n v="0"/>
    <n v="0"/>
    <n v="4"/>
    <n v="80"/>
    <n v="0"/>
    <n v="400"/>
    <s v="No"/>
    <s v=""/>
    <n v="0"/>
    <n v="0"/>
    <n v="0"/>
    <n v="0"/>
    <s v="KBC-MYT"/>
    <x v="0"/>
    <x v="0"/>
    <x v="0"/>
    <n v="25.2226"/>
    <n v="97.012299999999996"/>
    <s v="MMR001CMP261"/>
    <x v="1"/>
    <m/>
    <n v="111"/>
    <n v="599"/>
  </r>
  <r>
    <x v="2"/>
    <x v="4"/>
    <x v="4"/>
    <s v="UNICEF"/>
    <x v="0"/>
    <x v="7"/>
    <x v="0"/>
    <x v="98"/>
    <n v="61"/>
    <n v="291"/>
    <d v="2021-08-06T00:00:00"/>
    <d v="2022-08-05T00:00:00"/>
    <m/>
    <n v="2"/>
    <m/>
    <m/>
    <s v="Yes"/>
    <n v="2"/>
    <n v="9"/>
    <m/>
    <m/>
    <m/>
    <n v="4"/>
    <m/>
    <m/>
    <m/>
    <m/>
    <m/>
    <m/>
    <m/>
    <m/>
    <m/>
    <m/>
    <m/>
    <m/>
    <m/>
    <m/>
    <m/>
    <n v="4"/>
    <m/>
    <m/>
    <m/>
    <n v="20"/>
    <m/>
    <m/>
    <m/>
    <m/>
    <m/>
    <m/>
    <m/>
    <x v="1"/>
    <x v="1"/>
    <n v="1"/>
    <m/>
    <m/>
    <m/>
    <m/>
    <m/>
    <n v="7"/>
    <m/>
    <m/>
    <n v="2"/>
    <m/>
    <m/>
    <n v="1"/>
    <m/>
    <m/>
    <s v="Yes"/>
    <m/>
    <m/>
    <m/>
    <m/>
    <m/>
    <m/>
    <m/>
    <m/>
    <m/>
    <m/>
    <m/>
    <m/>
    <m/>
    <m/>
    <s v="no test"/>
    <s v="no test"/>
    <s v="No Test"/>
    <n v="0"/>
    <n v="4"/>
    <n v="0"/>
    <n v="0"/>
    <n v="0"/>
    <n v="0"/>
    <n v="0"/>
    <n v="1"/>
    <n v="1"/>
    <n v="1"/>
    <n v="291"/>
    <n v="0"/>
    <n v="0"/>
    <n v="1"/>
    <n v="291"/>
    <n v="0.58199999999999996"/>
    <n v="0"/>
    <n v="0"/>
    <n v="0.41800000000000004"/>
    <n v="1"/>
    <n v="20"/>
    <n v="1"/>
    <n v="291"/>
    <n v="0"/>
    <n v="0"/>
    <n v="0"/>
    <n v="15"/>
    <n v="0"/>
    <n v="0"/>
    <n v="0"/>
    <n v="291"/>
    <n v="0"/>
    <n v="0"/>
    <n v="0"/>
    <n v="291"/>
    <n v="1"/>
    <n v="0"/>
    <n v="1"/>
    <n v="0"/>
    <n v="0"/>
    <n v="7"/>
    <n v="61"/>
    <n v="4"/>
    <n v="291"/>
    <s v="No"/>
    <s v=""/>
    <n v="0"/>
    <n v="0"/>
    <n v="0"/>
    <s v="Yes"/>
    <s v="KMSS-MYT"/>
    <x v="0"/>
    <x v="0"/>
    <x v="0"/>
    <n v="25.410569299999999"/>
    <n v="97.359320179999997"/>
    <s v="MMR001CMP024"/>
    <x v="1"/>
    <m/>
    <n v="61"/>
    <n v="290"/>
  </r>
  <r>
    <x v="2"/>
    <x v="4"/>
    <x v="4"/>
    <s v="UNICEF"/>
    <x v="0"/>
    <x v="1"/>
    <x v="0"/>
    <x v="99"/>
    <n v="47"/>
    <n v="230"/>
    <d v="2021-08-06T00:00:00"/>
    <d v="2022-08-05T00:00:00"/>
    <m/>
    <n v="2"/>
    <m/>
    <m/>
    <s v="Yes"/>
    <n v="3"/>
    <n v="3"/>
    <n v="1"/>
    <m/>
    <m/>
    <m/>
    <m/>
    <m/>
    <m/>
    <m/>
    <m/>
    <m/>
    <m/>
    <m/>
    <m/>
    <m/>
    <n v="5"/>
    <m/>
    <m/>
    <m/>
    <m/>
    <n v="4"/>
    <m/>
    <m/>
    <m/>
    <n v="16"/>
    <m/>
    <m/>
    <m/>
    <m/>
    <m/>
    <m/>
    <m/>
    <x v="1"/>
    <x v="1"/>
    <m/>
    <m/>
    <m/>
    <m/>
    <m/>
    <m/>
    <n v="7"/>
    <m/>
    <m/>
    <n v="2"/>
    <m/>
    <m/>
    <n v="1"/>
    <m/>
    <m/>
    <s v="Yes"/>
    <m/>
    <m/>
    <m/>
    <m/>
    <m/>
    <m/>
    <m/>
    <m/>
    <m/>
    <m/>
    <m/>
    <m/>
    <m/>
    <m/>
    <s v="no test"/>
    <s v="no test"/>
    <s v="No Test"/>
    <n v="1"/>
    <n v="0"/>
    <n v="0"/>
    <n v="0"/>
    <n v="0"/>
    <n v="0"/>
    <n v="0"/>
    <n v="1"/>
    <n v="1"/>
    <n v="1"/>
    <n v="230"/>
    <n v="0"/>
    <n v="0"/>
    <n v="1"/>
    <n v="230"/>
    <n v="0.46"/>
    <n v="0"/>
    <n v="0"/>
    <n v="0.54"/>
    <n v="1"/>
    <n v="16"/>
    <n v="1"/>
    <n v="230"/>
    <n v="0"/>
    <n v="0"/>
    <n v="0"/>
    <n v="12"/>
    <n v="0"/>
    <n v="0"/>
    <n v="0"/>
    <n v="230"/>
    <n v="0"/>
    <n v="0"/>
    <n v="0"/>
    <n v="230"/>
    <n v="1"/>
    <n v="0"/>
    <n v="1"/>
    <n v="0"/>
    <n v="0"/>
    <n v="7"/>
    <n v="47"/>
    <n v="4"/>
    <n v="230"/>
    <s v="No"/>
    <s v=""/>
    <n v="0"/>
    <n v="0"/>
    <n v="0"/>
    <s v="Yes"/>
    <s v="KMSS-MYT"/>
    <x v="0"/>
    <x v="0"/>
    <x v="0"/>
    <n v="25.613894999999999"/>
    <n v="96.341352999999998"/>
    <s v="MMR001CMP103"/>
    <x v="1"/>
    <m/>
    <n v="47"/>
    <n v="226"/>
  </r>
  <r>
    <x v="2"/>
    <x v="18"/>
    <x v="7"/>
    <s v="SIDA, UNICEF"/>
    <x v="0"/>
    <x v="8"/>
    <x v="0"/>
    <x v="100"/>
    <n v="10"/>
    <n v="48"/>
    <d v="2022-05-01T00:00:00"/>
    <d v="2023-08-31T00:00:00"/>
    <m/>
    <n v="1"/>
    <m/>
    <m/>
    <s v="Yes"/>
    <n v="2"/>
    <n v="1"/>
    <n v="2"/>
    <m/>
    <m/>
    <n v="2"/>
    <m/>
    <m/>
    <m/>
    <m/>
    <m/>
    <m/>
    <m/>
    <m/>
    <m/>
    <m/>
    <n v="3"/>
    <m/>
    <m/>
    <m/>
    <m/>
    <m/>
    <m/>
    <m/>
    <m/>
    <n v="4"/>
    <m/>
    <m/>
    <m/>
    <m/>
    <m/>
    <m/>
    <n v="3"/>
    <x v="1"/>
    <x v="1"/>
    <m/>
    <m/>
    <m/>
    <m/>
    <m/>
    <m/>
    <n v="3"/>
    <m/>
    <m/>
    <n v="2"/>
    <m/>
    <m/>
    <m/>
    <m/>
    <m/>
    <m/>
    <m/>
    <m/>
    <m/>
    <m/>
    <m/>
    <m/>
    <m/>
    <m/>
    <m/>
    <m/>
    <m/>
    <m/>
    <m/>
    <m/>
    <s v="no test"/>
    <s v="no test"/>
    <s v="No Test"/>
    <n v="2"/>
    <n v="2"/>
    <n v="0"/>
    <n v="0"/>
    <n v="0"/>
    <n v="0"/>
    <n v="0"/>
    <n v="1"/>
    <n v="1"/>
    <n v="1"/>
    <n v="48"/>
    <n v="0"/>
    <n v="0"/>
    <n v="1"/>
    <n v="48"/>
    <n v="9.6000000000000002E-2"/>
    <n v="0"/>
    <n v="0"/>
    <n v="0.90400000000000003"/>
    <n v="1"/>
    <n v="4"/>
    <n v="1"/>
    <n v="48"/>
    <n v="0"/>
    <n v="0"/>
    <n v="0"/>
    <n v="2"/>
    <n v="0"/>
    <n v="0"/>
    <n v="0"/>
    <n v="0"/>
    <n v="0"/>
    <n v="0"/>
    <n v="0"/>
    <n v="0"/>
    <n v="0"/>
    <n v="1"/>
    <n v="0"/>
    <n v="0"/>
    <n v="0"/>
    <n v="3"/>
    <n v="10"/>
    <n v="0"/>
    <n v="48"/>
    <s v="No"/>
    <s v=""/>
    <n v="0"/>
    <n v="0"/>
    <n v="0"/>
    <s v="Yes"/>
    <s v="KBC-MYT"/>
    <x v="0"/>
    <x v="0"/>
    <x v="0"/>
    <n v="25.30442"/>
    <n v="96.948740000000001"/>
    <s v="MMR001CMP079"/>
    <x v="1"/>
    <m/>
    <n v="10"/>
    <n v="48"/>
  </r>
  <r>
    <x v="2"/>
    <x v="0"/>
    <x v="0"/>
    <m/>
    <x v="0"/>
    <x v="3"/>
    <x v="0"/>
    <x v="101"/>
    <n v="12"/>
    <n v="59"/>
    <m/>
    <m/>
    <m/>
    <m/>
    <m/>
    <m/>
    <m/>
    <m/>
    <m/>
    <m/>
    <m/>
    <m/>
    <m/>
    <m/>
    <m/>
    <m/>
    <m/>
    <m/>
    <m/>
    <m/>
    <m/>
    <m/>
    <m/>
    <m/>
    <m/>
    <m/>
    <m/>
    <m/>
    <m/>
    <m/>
    <m/>
    <m/>
    <m/>
    <m/>
    <m/>
    <m/>
    <m/>
    <m/>
    <m/>
    <m/>
    <x v="0"/>
    <x v="0"/>
    <m/>
    <m/>
    <m/>
    <m/>
    <m/>
    <m/>
    <n v="7"/>
    <m/>
    <m/>
    <n v="7"/>
    <m/>
    <m/>
    <m/>
    <m/>
    <m/>
    <m/>
    <m/>
    <m/>
    <m/>
    <m/>
    <m/>
    <m/>
    <m/>
    <m/>
    <m/>
    <m/>
    <m/>
    <m/>
    <m/>
    <m/>
    <s v="no test"/>
    <s v="no test"/>
    <s v="No Test"/>
    <n v="0"/>
    <n v="0"/>
    <n v="0"/>
    <n v="0"/>
    <n v="0"/>
    <n v="0"/>
    <n v="0"/>
    <n v="0"/>
    <n v="0"/>
    <n v="0"/>
    <n v="0"/>
    <n v="0"/>
    <n v="0"/>
    <n v="0"/>
    <n v="0"/>
    <n v="0"/>
    <n v="1"/>
    <n v="59"/>
    <n v="1"/>
    <n v="1"/>
    <n v="0"/>
    <n v="0"/>
    <n v="0"/>
    <n v="0"/>
    <n v="0"/>
    <n v="0"/>
    <n v="3"/>
    <n v="3"/>
    <n v="1"/>
    <n v="0"/>
    <n v="0"/>
    <n v="0"/>
    <n v="0"/>
    <n v="0"/>
    <n v="0"/>
    <n v="0"/>
    <n v="1"/>
    <n v="0"/>
    <n v="0"/>
    <n v="0"/>
    <n v="7"/>
    <n v="12"/>
    <n v="0"/>
    <n v="59"/>
    <s v="No"/>
    <s v=""/>
    <n v="0"/>
    <n v="0"/>
    <n v="0"/>
    <n v="0"/>
    <s v="Uncovered  "/>
    <x v="0"/>
    <x v="3"/>
    <x v="0"/>
    <n v="0"/>
    <n v="0"/>
    <s v="MMR001CMP295"/>
    <x v="0"/>
    <m/>
    <n v="12"/>
    <n v="59"/>
  </r>
  <r>
    <x v="2"/>
    <x v="0"/>
    <x v="0"/>
    <m/>
    <x v="0"/>
    <x v="3"/>
    <x v="0"/>
    <x v="102"/>
    <n v="12"/>
    <n v="80"/>
    <m/>
    <m/>
    <m/>
    <m/>
    <m/>
    <m/>
    <m/>
    <m/>
    <m/>
    <m/>
    <m/>
    <m/>
    <m/>
    <m/>
    <m/>
    <m/>
    <m/>
    <m/>
    <m/>
    <m/>
    <m/>
    <m/>
    <m/>
    <m/>
    <m/>
    <m/>
    <m/>
    <m/>
    <m/>
    <m/>
    <m/>
    <m/>
    <m/>
    <m/>
    <m/>
    <m/>
    <m/>
    <m/>
    <m/>
    <m/>
    <x v="0"/>
    <x v="0"/>
    <m/>
    <m/>
    <m/>
    <m/>
    <m/>
    <m/>
    <n v="7"/>
    <m/>
    <m/>
    <n v="4"/>
    <m/>
    <m/>
    <m/>
    <m/>
    <m/>
    <m/>
    <m/>
    <m/>
    <m/>
    <m/>
    <m/>
    <m/>
    <m/>
    <m/>
    <m/>
    <m/>
    <m/>
    <m/>
    <m/>
    <m/>
    <s v="no test"/>
    <s v="no test"/>
    <s v="No Test"/>
    <n v="0"/>
    <n v="0"/>
    <n v="0"/>
    <n v="0"/>
    <n v="0"/>
    <n v="0"/>
    <n v="0"/>
    <n v="0"/>
    <n v="0"/>
    <n v="0"/>
    <n v="0"/>
    <n v="0"/>
    <n v="0"/>
    <n v="0"/>
    <n v="0"/>
    <n v="0"/>
    <n v="1"/>
    <n v="80"/>
    <n v="1"/>
    <n v="1"/>
    <n v="0"/>
    <n v="0"/>
    <n v="0"/>
    <n v="0"/>
    <n v="0"/>
    <n v="0"/>
    <n v="4"/>
    <n v="4"/>
    <n v="1"/>
    <n v="0"/>
    <n v="0"/>
    <n v="0"/>
    <n v="0"/>
    <n v="0"/>
    <n v="0"/>
    <n v="0"/>
    <n v="1"/>
    <n v="0"/>
    <n v="0"/>
    <n v="0"/>
    <n v="7"/>
    <n v="12"/>
    <n v="0"/>
    <n v="80"/>
    <s v="No"/>
    <s v=""/>
    <n v="0"/>
    <n v="0"/>
    <n v="0"/>
    <s v="Yes"/>
    <s v="Shalom"/>
    <x v="0"/>
    <x v="3"/>
    <x v="0"/>
    <n v="25.221299999999999"/>
    <n v="97.255300000000005"/>
    <s v="MMR001CMP286"/>
    <x v="0"/>
    <m/>
    <n v="12"/>
    <n v="80"/>
  </r>
  <r>
    <x v="2"/>
    <x v="2"/>
    <x v="2"/>
    <s v="MHF"/>
    <x v="0"/>
    <x v="3"/>
    <x v="0"/>
    <x v="103"/>
    <n v="19"/>
    <n v="85"/>
    <d v="2022-01-01T00:00:00"/>
    <d v="2022-12-31T00:00:00"/>
    <m/>
    <n v="1"/>
    <m/>
    <m/>
    <s v="Yes"/>
    <m/>
    <n v="5"/>
    <n v="1"/>
    <m/>
    <m/>
    <n v="1"/>
    <m/>
    <m/>
    <m/>
    <m/>
    <m/>
    <m/>
    <m/>
    <m/>
    <m/>
    <m/>
    <m/>
    <m/>
    <n v="1"/>
    <n v="1"/>
    <m/>
    <n v="2"/>
    <m/>
    <m/>
    <m/>
    <n v="4"/>
    <m/>
    <m/>
    <m/>
    <m/>
    <m/>
    <m/>
    <m/>
    <x v="1"/>
    <x v="1"/>
    <m/>
    <n v="2"/>
    <m/>
    <m/>
    <m/>
    <m/>
    <n v="2"/>
    <m/>
    <m/>
    <n v="2"/>
    <m/>
    <m/>
    <m/>
    <m/>
    <m/>
    <s v="Yes"/>
    <n v="2"/>
    <n v="0.7"/>
    <m/>
    <n v="0.9"/>
    <n v="0.9"/>
    <m/>
    <n v="1"/>
    <m/>
    <m/>
    <m/>
    <m/>
    <m/>
    <m/>
    <m/>
    <s v="no test"/>
    <n v="0"/>
    <s v="Tested"/>
    <n v="1"/>
    <n v="1"/>
    <n v="0"/>
    <n v="0"/>
    <n v="0"/>
    <n v="0"/>
    <n v="0"/>
    <n v="1"/>
    <n v="1"/>
    <n v="1"/>
    <n v="85"/>
    <n v="0"/>
    <n v="0"/>
    <n v="1"/>
    <n v="85"/>
    <n v="0.17"/>
    <n v="0"/>
    <n v="0"/>
    <n v="0.83"/>
    <n v="1"/>
    <n v="4"/>
    <n v="0.94117647058823528"/>
    <n v="80"/>
    <n v="0"/>
    <n v="0"/>
    <n v="0"/>
    <n v="4"/>
    <n v="0"/>
    <n v="5.8823529411764719E-2"/>
    <n v="0"/>
    <n v="0"/>
    <n v="0"/>
    <n v="0"/>
    <n v="0"/>
    <n v="0"/>
    <n v="0"/>
    <n v="1"/>
    <n v="0"/>
    <n v="0"/>
    <n v="0"/>
    <n v="2"/>
    <n v="19"/>
    <n v="2"/>
    <n v="85"/>
    <s v="No"/>
    <s v=""/>
    <n v="0"/>
    <n v="0"/>
    <n v="0"/>
    <s v="Yes"/>
    <s v="Shalom"/>
    <x v="0"/>
    <x v="0"/>
    <x v="0"/>
    <n v="25.351965"/>
    <n v="97.345039"/>
    <s v="MMR001CMP033"/>
    <x v="1"/>
    <m/>
    <n v="19"/>
    <n v="85"/>
  </r>
  <r>
    <x v="2"/>
    <x v="18"/>
    <x v="7"/>
    <s v="SIDA,UNICEF"/>
    <x v="0"/>
    <x v="10"/>
    <x v="0"/>
    <x v="104"/>
    <n v="27"/>
    <n v="130"/>
    <d v="2022-05-01T00:00:00"/>
    <d v="2023-08-31T00:00:00"/>
    <m/>
    <n v="1"/>
    <m/>
    <m/>
    <s v="Yes"/>
    <n v="2"/>
    <n v="2"/>
    <n v="2"/>
    <m/>
    <m/>
    <n v="1"/>
    <m/>
    <m/>
    <m/>
    <m/>
    <m/>
    <m/>
    <m/>
    <m/>
    <m/>
    <m/>
    <m/>
    <m/>
    <m/>
    <m/>
    <m/>
    <m/>
    <m/>
    <m/>
    <m/>
    <n v="5"/>
    <m/>
    <m/>
    <m/>
    <m/>
    <m/>
    <m/>
    <m/>
    <x v="1"/>
    <x v="3"/>
    <m/>
    <m/>
    <m/>
    <m/>
    <m/>
    <m/>
    <n v="4"/>
    <m/>
    <m/>
    <n v="2"/>
    <m/>
    <m/>
    <m/>
    <m/>
    <m/>
    <m/>
    <m/>
    <m/>
    <m/>
    <m/>
    <m/>
    <m/>
    <m/>
    <m/>
    <m/>
    <m/>
    <m/>
    <m/>
    <m/>
    <m/>
    <s v="no test"/>
    <s v="no test"/>
    <s v="No Test"/>
    <n v="2"/>
    <n v="1"/>
    <n v="0"/>
    <n v="0"/>
    <n v="0"/>
    <n v="0"/>
    <n v="0"/>
    <n v="1"/>
    <n v="1"/>
    <n v="1"/>
    <n v="130"/>
    <n v="0"/>
    <n v="0"/>
    <n v="1"/>
    <n v="130"/>
    <n v="0.26"/>
    <n v="0"/>
    <n v="0"/>
    <n v="0.74"/>
    <n v="1"/>
    <n v="5"/>
    <n v="0.76923076923076927"/>
    <n v="100"/>
    <n v="0"/>
    <n v="0"/>
    <n v="0"/>
    <n v="7"/>
    <n v="2"/>
    <n v="0.23076923076923073"/>
    <n v="0"/>
    <n v="0"/>
    <n v="0"/>
    <n v="0"/>
    <n v="0"/>
    <n v="0"/>
    <n v="0"/>
    <n v="1"/>
    <n v="0"/>
    <n v="0"/>
    <n v="0"/>
    <n v="4"/>
    <n v="27"/>
    <n v="0"/>
    <n v="130"/>
    <s v="No"/>
    <s v=""/>
    <n v="0"/>
    <n v="0"/>
    <n v="0"/>
    <s v="Yes"/>
    <s v="KBC-MYT"/>
    <x v="0"/>
    <x v="0"/>
    <x v="0"/>
    <n v="24.998349999999999"/>
    <n v="96.364949999999993"/>
    <s v="MMR001CMP152"/>
    <x v="1"/>
    <m/>
    <n v="26"/>
    <n v="127"/>
  </r>
  <r>
    <x v="2"/>
    <x v="11"/>
    <x v="7"/>
    <s v="MHF,UNICEF"/>
    <x v="0"/>
    <x v="9"/>
    <x v="0"/>
    <x v="105"/>
    <n v="72"/>
    <n v="323"/>
    <d v="2022-05-01T00:00:00"/>
    <d v="2023-08-31T00:00:00"/>
    <n v="35"/>
    <n v="2"/>
    <m/>
    <m/>
    <s v="Yes"/>
    <n v="3"/>
    <n v="1"/>
    <n v="27"/>
    <m/>
    <m/>
    <m/>
    <m/>
    <m/>
    <m/>
    <m/>
    <m/>
    <m/>
    <m/>
    <m/>
    <m/>
    <m/>
    <m/>
    <m/>
    <m/>
    <m/>
    <m/>
    <m/>
    <m/>
    <m/>
    <m/>
    <n v="65"/>
    <n v="15"/>
    <m/>
    <m/>
    <m/>
    <m/>
    <m/>
    <m/>
    <x v="1"/>
    <x v="1"/>
    <m/>
    <n v="2"/>
    <m/>
    <m/>
    <m/>
    <m/>
    <n v="3"/>
    <m/>
    <m/>
    <n v="2"/>
    <m/>
    <n v="1"/>
    <m/>
    <m/>
    <m/>
    <m/>
    <m/>
    <m/>
    <m/>
    <m/>
    <m/>
    <m/>
    <m/>
    <m/>
    <m/>
    <m/>
    <m/>
    <m/>
    <m/>
    <m/>
    <s v="no test"/>
    <s v="no test"/>
    <s v="No Test"/>
    <n v="27"/>
    <n v="0"/>
    <n v="0"/>
    <n v="0"/>
    <n v="0"/>
    <n v="0"/>
    <n v="0"/>
    <n v="1"/>
    <n v="1"/>
    <n v="1"/>
    <n v="323"/>
    <n v="0"/>
    <n v="0"/>
    <n v="1"/>
    <n v="323"/>
    <n v="0.64600000000000002"/>
    <n v="0"/>
    <n v="0"/>
    <n v="0.35399999999999998"/>
    <n v="1"/>
    <n v="80"/>
    <n v="1"/>
    <n v="323"/>
    <n v="0"/>
    <n v="0"/>
    <n v="0"/>
    <n v="16"/>
    <n v="0"/>
    <n v="0"/>
    <n v="0"/>
    <n v="323"/>
    <n v="0"/>
    <n v="0"/>
    <n v="0"/>
    <n v="323"/>
    <n v="1"/>
    <n v="0"/>
    <n v="1"/>
    <n v="0"/>
    <n v="0"/>
    <n v="3"/>
    <n v="60"/>
    <n v="0"/>
    <n v="300"/>
    <s v="Yes"/>
    <s v=""/>
    <n v="0"/>
    <n v="0"/>
    <n v="0"/>
    <s v="Yes"/>
    <s v="KBC-MYT"/>
    <x v="0"/>
    <x v="0"/>
    <x v="1"/>
    <n v="26.569633"/>
    <n v="97.745480999999998"/>
    <s v="MMR001CMP238"/>
    <x v="1"/>
    <m/>
    <n v="123"/>
    <n v="646"/>
  </r>
  <r>
    <x v="2"/>
    <x v="6"/>
    <x v="6"/>
    <s v="SI (ECHO)"/>
    <x v="0"/>
    <x v="2"/>
    <x v="0"/>
    <x v="106"/>
    <n v="349"/>
    <n v="1570"/>
    <d v="2022-04-01T00:00:00"/>
    <d v="2022-12-31T00:00:00"/>
    <m/>
    <m/>
    <m/>
    <m/>
    <s v="Yes"/>
    <m/>
    <m/>
    <m/>
    <m/>
    <m/>
    <m/>
    <m/>
    <m/>
    <m/>
    <m/>
    <m/>
    <m/>
    <m/>
    <n v="6"/>
    <m/>
    <m/>
    <n v="6"/>
    <m/>
    <m/>
    <m/>
    <m/>
    <n v="4"/>
    <n v="2"/>
    <m/>
    <m/>
    <n v="181"/>
    <m/>
    <m/>
    <m/>
    <m/>
    <m/>
    <m/>
    <n v="71"/>
    <x v="2"/>
    <x v="1"/>
    <n v="2"/>
    <m/>
    <n v="16"/>
    <n v="2"/>
    <m/>
    <m/>
    <n v="8"/>
    <m/>
    <n v="30"/>
    <n v="3"/>
    <m/>
    <m/>
    <n v="6"/>
    <m/>
    <m/>
    <m/>
    <m/>
    <m/>
    <m/>
    <m/>
    <m/>
    <m/>
    <m/>
    <m/>
    <m/>
    <m/>
    <m/>
    <m/>
    <m/>
    <m/>
    <s v="no test"/>
    <s v="no test"/>
    <s v="No Test"/>
    <n v="0"/>
    <n v="0"/>
    <n v="0"/>
    <n v="0"/>
    <n v="0"/>
    <n v="1000"/>
    <n v="0"/>
    <n v="0"/>
    <n v="0"/>
    <n v="0"/>
    <n v="0"/>
    <n v="0.95541401273885351"/>
    <n v="1500"/>
    <n v="0.95541401273885351"/>
    <n v="1500"/>
    <n v="3"/>
    <n v="4.4585987261146487E-2"/>
    <n v="69.999999999999986"/>
    <n v="0"/>
    <n v="3"/>
    <n v="181"/>
    <n v="1"/>
    <n v="1570"/>
    <n v="0"/>
    <n v="0"/>
    <n v="100"/>
    <n v="79"/>
    <n v="0"/>
    <n v="0"/>
    <n v="0"/>
    <n v="1570"/>
    <n v="0"/>
    <n v="0"/>
    <n v="0"/>
    <n v="1570"/>
    <n v="1"/>
    <n v="0"/>
    <n v="1"/>
    <n v="0"/>
    <n v="0"/>
    <n v="8"/>
    <n v="160"/>
    <n v="0"/>
    <n v="800"/>
    <s v="No"/>
    <s v=""/>
    <n v="0"/>
    <n v="1000"/>
    <n v="100"/>
    <s v="Yes"/>
    <s v="KMSS-BMO"/>
    <x v="0"/>
    <x v="0"/>
    <x v="1"/>
    <n v="24.378167000000001"/>
    <n v="97.669366999999994"/>
    <s v="MMR001CMP131"/>
    <x v="1"/>
    <m/>
    <n v="349"/>
    <n v="1570"/>
  </r>
  <r>
    <x v="2"/>
    <x v="16"/>
    <x v="7"/>
    <s v="MHF,SIDA,UNICEF"/>
    <x v="0"/>
    <x v="7"/>
    <x v="0"/>
    <x v="107"/>
    <n v="72"/>
    <n v="323"/>
    <d v="2022-05-01T00:00:00"/>
    <d v="2023-08-31T00:00:00"/>
    <m/>
    <n v="1"/>
    <m/>
    <m/>
    <s v="Yes"/>
    <n v="2"/>
    <n v="2"/>
    <n v="2"/>
    <m/>
    <m/>
    <n v="2"/>
    <m/>
    <m/>
    <m/>
    <m/>
    <m/>
    <m/>
    <m/>
    <m/>
    <m/>
    <m/>
    <n v="3"/>
    <m/>
    <m/>
    <m/>
    <m/>
    <m/>
    <m/>
    <m/>
    <m/>
    <n v="15"/>
    <m/>
    <m/>
    <m/>
    <m/>
    <m/>
    <m/>
    <n v="15"/>
    <x v="1"/>
    <x v="1"/>
    <m/>
    <m/>
    <m/>
    <m/>
    <m/>
    <m/>
    <n v="1"/>
    <m/>
    <m/>
    <n v="1"/>
    <m/>
    <m/>
    <m/>
    <m/>
    <m/>
    <m/>
    <m/>
    <m/>
    <m/>
    <m/>
    <m/>
    <m/>
    <m/>
    <m/>
    <m/>
    <m/>
    <m/>
    <m/>
    <m/>
    <m/>
    <s v="no test"/>
    <s v="no test"/>
    <s v="No Test"/>
    <n v="2"/>
    <n v="2"/>
    <n v="0"/>
    <n v="0"/>
    <n v="0"/>
    <n v="0"/>
    <n v="0"/>
    <n v="1"/>
    <n v="1"/>
    <n v="1"/>
    <n v="323"/>
    <n v="0"/>
    <n v="0"/>
    <n v="1"/>
    <n v="323"/>
    <n v="0.64600000000000002"/>
    <n v="0"/>
    <n v="0"/>
    <n v="0.35399999999999998"/>
    <n v="1"/>
    <n v="15"/>
    <n v="0.92879256965944268"/>
    <n v="300"/>
    <n v="0"/>
    <n v="0"/>
    <n v="0"/>
    <n v="16"/>
    <n v="1"/>
    <n v="7.1207430340557321E-2"/>
    <n v="0"/>
    <n v="0"/>
    <n v="0"/>
    <n v="0"/>
    <n v="0"/>
    <n v="0"/>
    <n v="0"/>
    <n v="1"/>
    <n v="0"/>
    <n v="0"/>
    <n v="0"/>
    <n v="1"/>
    <n v="20"/>
    <n v="0"/>
    <n v="100"/>
    <s v="No"/>
    <s v=""/>
    <n v="0"/>
    <n v="0"/>
    <n v="0"/>
    <s v="Yes"/>
    <s v="KBC-MYT"/>
    <x v="0"/>
    <x v="0"/>
    <x v="0"/>
    <n v="25.422194000000001"/>
    <n v="97.394547000000003"/>
    <s v="MMR001CMP002"/>
    <x v="1"/>
    <m/>
    <n v="72"/>
    <n v="323"/>
  </r>
  <r>
    <x v="2"/>
    <x v="1"/>
    <x v="1"/>
    <s v="ECHO 2739"/>
    <x v="0"/>
    <x v="2"/>
    <x v="0"/>
    <x v="108"/>
    <n v="47"/>
    <n v="299"/>
    <d v="2022-04-01T00:00:00"/>
    <d v="2022-11-30T00:00:00"/>
    <m/>
    <m/>
    <n v="1"/>
    <m/>
    <s v="Yes"/>
    <n v="3"/>
    <n v="9"/>
    <n v="3"/>
    <m/>
    <m/>
    <n v="1"/>
    <m/>
    <m/>
    <m/>
    <m/>
    <m/>
    <m/>
    <m/>
    <m/>
    <m/>
    <n v="1"/>
    <m/>
    <m/>
    <m/>
    <n v="6"/>
    <n v="6"/>
    <m/>
    <m/>
    <m/>
    <m/>
    <n v="13"/>
    <m/>
    <m/>
    <m/>
    <m/>
    <n v="12"/>
    <n v="26"/>
    <m/>
    <x v="1"/>
    <x v="1"/>
    <m/>
    <m/>
    <m/>
    <m/>
    <n v="3"/>
    <m/>
    <n v="8"/>
    <m/>
    <m/>
    <n v="3"/>
    <m/>
    <m/>
    <n v="1"/>
    <n v="47"/>
    <m/>
    <m/>
    <m/>
    <m/>
    <m/>
    <m/>
    <m/>
    <n v="1"/>
    <n v="0"/>
    <m/>
    <m/>
    <m/>
    <m/>
    <m/>
    <m/>
    <m/>
    <s v="no test"/>
    <n v="1"/>
    <s v="Tested"/>
    <n v="3"/>
    <n v="1"/>
    <n v="0"/>
    <n v="0"/>
    <n v="0"/>
    <n v="0"/>
    <n v="0"/>
    <n v="1"/>
    <n v="1"/>
    <n v="1"/>
    <n v="299"/>
    <n v="0"/>
    <n v="0"/>
    <n v="1"/>
    <n v="299"/>
    <n v="0.59799999999999998"/>
    <n v="0"/>
    <n v="0"/>
    <n v="0.40200000000000002"/>
    <n v="1"/>
    <n v="13"/>
    <n v="0.87959866220735783"/>
    <n v="263"/>
    <n v="240"/>
    <n v="0"/>
    <n v="0"/>
    <n v="15"/>
    <n v="2"/>
    <n v="0.12040133779264217"/>
    <n v="0"/>
    <n v="299"/>
    <n v="299"/>
    <n v="0"/>
    <n v="299"/>
    <n v="299"/>
    <n v="1"/>
    <n v="0"/>
    <n v="1"/>
    <n v="1"/>
    <n v="0"/>
    <n v="8"/>
    <n v="47"/>
    <n v="0"/>
    <n v="299"/>
    <s v="No"/>
    <n v="3.3444816053511705E-3"/>
    <n v="0"/>
    <n v="0"/>
    <n v="0"/>
    <s v="Yes"/>
    <s v="KBC-BMO"/>
    <x v="0"/>
    <x v="0"/>
    <x v="0"/>
    <n v="24.205417000000001"/>
    <n v="97.724483000000006"/>
    <s v="MMR001CMP072"/>
    <x v="1"/>
    <m/>
    <n v="47"/>
    <n v="291"/>
  </r>
  <r>
    <x v="2"/>
    <x v="4"/>
    <x v="4"/>
    <s v="UNICEF"/>
    <x v="0"/>
    <x v="7"/>
    <x v="0"/>
    <x v="109"/>
    <n v="148"/>
    <n v="925"/>
    <d v="2021-08-06T00:00:00"/>
    <d v="2022-08-05T00:00:00"/>
    <m/>
    <n v="4"/>
    <m/>
    <m/>
    <s v="Yes"/>
    <n v="1"/>
    <n v="4"/>
    <n v="4"/>
    <m/>
    <m/>
    <n v="2"/>
    <m/>
    <m/>
    <m/>
    <n v="1"/>
    <m/>
    <m/>
    <m/>
    <m/>
    <m/>
    <m/>
    <m/>
    <m/>
    <m/>
    <m/>
    <m/>
    <n v="12"/>
    <m/>
    <m/>
    <m/>
    <n v="33"/>
    <m/>
    <m/>
    <m/>
    <m/>
    <m/>
    <m/>
    <m/>
    <x v="1"/>
    <x v="1"/>
    <n v="1"/>
    <m/>
    <m/>
    <m/>
    <m/>
    <m/>
    <n v="8"/>
    <m/>
    <m/>
    <n v="5"/>
    <m/>
    <m/>
    <n v="2"/>
    <m/>
    <m/>
    <s v="Yes"/>
    <m/>
    <m/>
    <m/>
    <m/>
    <m/>
    <m/>
    <m/>
    <m/>
    <m/>
    <m/>
    <m/>
    <m/>
    <m/>
    <m/>
    <s v="no test"/>
    <s v="no test"/>
    <s v="No Test"/>
    <n v="4"/>
    <n v="2"/>
    <n v="1"/>
    <n v="0"/>
    <n v="0"/>
    <n v="0"/>
    <n v="0"/>
    <n v="1"/>
    <n v="1"/>
    <n v="1"/>
    <n v="925"/>
    <n v="0"/>
    <n v="0"/>
    <n v="1"/>
    <n v="925"/>
    <n v="1.85"/>
    <n v="0"/>
    <n v="0"/>
    <n v="0.14999999999999991"/>
    <n v="2"/>
    <n v="33"/>
    <n v="0.73513513513513518"/>
    <n v="680"/>
    <n v="0"/>
    <n v="0"/>
    <n v="0"/>
    <n v="46"/>
    <n v="13"/>
    <n v="0.26486486486486482"/>
    <n v="0"/>
    <n v="925"/>
    <n v="0"/>
    <n v="0"/>
    <n v="0"/>
    <n v="925"/>
    <n v="1"/>
    <n v="0"/>
    <n v="1"/>
    <n v="0"/>
    <n v="0"/>
    <n v="8"/>
    <n v="148"/>
    <n v="12"/>
    <n v="800"/>
    <s v="No"/>
    <s v=""/>
    <n v="0"/>
    <n v="0"/>
    <n v="0"/>
    <s v="Yes"/>
    <s v="KMSS-MYT"/>
    <x v="0"/>
    <x v="0"/>
    <x v="0"/>
    <n v="25.493819999999999"/>
    <n v="97.4345"/>
    <s v="MMR001CMP162"/>
    <x v="1"/>
    <m/>
    <n v="152"/>
    <n v="941"/>
  </r>
  <r>
    <x v="2"/>
    <x v="4"/>
    <x v="4"/>
    <s v="UNICEF"/>
    <x v="0"/>
    <x v="7"/>
    <x v="0"/>
    <x v="110"/>
    <n v="215"/>
    <n v="1198"/>
    <d v="2021-08-06T00:00:00"/>
    <d v="2022-08-05T00:00:00"/>
    <m/>
    <n v="2"/>
    <m/>
    <m/>
    <s v="Yes"/>
    <n v="2"/>
    <n v="4"/>
    <n v="4"/>
    <m/>
    <m/>
    <m/>
    <m/>
    <m/>
    <m/>
    <m/>
    <m/>
    <m/>
    <m/>
    <m/>
    <m/>
    <m/>
    <m/>
    <m/>
    <m/>
    <m/>
    <m/>
    <m/>
    <m/>
    <m/>
    <m/>
    <n v="66"/>
    <m/>
    <m/>
    <m/>
    <m/>
    <m/>
    <m/>
    <m/>
    <x v="1"/>
    <x v="1"/>
    <n v="1"/>
    <m/>
    <m/>
    <m/>
    <m/>
    <m/>
    <n v="4"/>
    <m/>
    <n v="7"/>
    <n v="11"/>
    <m/>
    <m/>
    <n v="1"/>
    <m/>
    <m/>
    <s v="Yes"/>
    <m/>
    <m/>
    <m/>
    <m/>
    <m/>
    <m/>
    <m/>
    <m/>
    <m/>
    <m/>
    <m/>
    <m/>
    <m/>
    <m/>
    <s v="no test"/>
    <s v="no test"/>
    <s v="No Test"/>
    <n v="4"/>
    <n v="0"/>
    <n v="0"/>
    <n v="0"/>
    <n v="0"/>
    <n v="0"/>
    <n v="0"/>
    <n v="1"/>
    <n v="0.8347245409015025"/>
    <n v="1"/>
    <n v="1198"/>
    <n v="0"/>
    <n v="0"/>
    <n v="1"/>
    <n v="1198"/>
    <n v="2.3959999999999999"/>
    <n v="0"/>
    <n v="0"/>
    <n v="0"/>
    <n v="2"/>
    <n v="66"/>
    <n v="1"/>
    <n v="1198"/>
    <n v="0"/>
    <n v="0"/>
    <n v="0"/>
    <n v="60"/>
    <n v="0"/>
    <n v="0"/>
    <n v="0"/>
    <n v="500"/>
    <n v="0"/>
    <n v="0"/>
    <n v="0"/>
    <n v="500"/>
    <n v="0.41736227045075125"/>
    <n v="0.58263772954924875"/>
    <n v="0.41736227045075125"/>
    <n v="0"/>
    <n v="0"/>
    <n v="4"/>
    <n v="80"/>
    <n v="0"/>
    <n v="400"/>
    <s v="No"/>
    <s v=""/>
    <n v="0"/>
    <n v="0"/>
    <n v="0"/>
    <s v="Yes"/>
    <s v="KMSS-MYT"/>
    <x v="0"/>
    <x v="0"/>
    <x v="0"/>
    <n v="25.493819999999999"/>
    <n v="97.4345"/>
    <s v="MMR001CMP271"/>
    <x v="1"/>
    <m/>
    <n v="215"/>
    <n v="1188"/>
  </r>
  <r>
    <x v="2"/>
    <x v="6"/>
    <x v="6"/>
    <s v="SI (ECHO)"/>
    <x v="0"/>
    <x v="2"/>
    <x v="0"/>
    <x v="111"/>
    <n v="616"/>
    <n v="3682"/>
    <d v="2022-04-01T00:00:00"/>
    <d v="2022-12-31T00:00:00"/>
    <m/>
    <m/>
    <m/>
    <m/>
    <s v="Yes"/>
    <m/>
    <m/>
    <m/>
    <m/>
    <m/>
    <m/>
    <m/>
    <m/>
    <m/>
    <m/>
    <m/>
    <m/>
    <m/>
    <n v="1"/>
    <m/>
    <m/>
    <n v="1"/>
    <m/>
    <m/>
    <m/>
    <m/>
    <n v="21"/>
    <n v="6"/>
    <m/>
    <m/>
    <n v="152"/>
    <m/>
    <m/>
    <m/>
    <m/>
    <m/>
    <m/>
    <m/>
    <x v="2"/>
    <x v="1"/>
    <n v="4"/>
    <m/>
    <n v="16"/>
    <n v="2"/>
    <m/>
    <m/>
    <n v="7"/>
    <m/>
    <m/>
    <n v="7"/>
    <m/>
    <m/>
    <n v="6"/>
    <m/>
    <m/>
    <m/>
    <m/>
    <m/>
    <m/>
    <m/>
    <m/>
    <m/>
    <m/>
    <m/>
    <m/>
    <m/>
    <m/>
    <m/>
    <m/>
    <m/>
    <s v="no test"/>
    <s v="no test"/>
    <s v="No Test"/>
    <n v="0"/>
    <n v="0"/>
    <n v="0"/>
    <n v="0"/>
    <n v="0"/>
    <n v="3000"/>
    <n v="0"/>
    <n v="0"/>
    <n v="0"/>
    <n v="0"/>
    <n v="0"/>
    <n v="6.7897881586094513E-2"/>
    <n v="250"/>
    <n v="6.7897881586094513E-2"/>
    <n v="250"/>
    <n v="0.5"/>
    <n v="0.93210211841390544"/>
    <n v="3432"/>
    <n v="6.5"/>
    <n v="7"/>
    <n v="152"/>
    <n v="0.84736556219445958"/>
    <n v="3120"/>
    <n v="0"/>
    <n v="0"/>
    <n v="100"/>
    <n v="184"/>
    <n v="32"/>
    <n v="0.15263443780554042"/>
    <n v="0"/>
    <n v="3000"/>
    <n v="0"/>
    <n v="0"/>
    <n v="0"/>
    <n v="3000"/>
    <n v="0.81477457903313422"/>
    <n v="0.18522542096686578"/>
    <n v="0.81477457903313422"/>
    <n v="0"/>
    <n v="0"/>
    <n v="7"/>
    <n v="140"/>
    <n v="0"/>
    <n v="700"/>
    <s v="No"/>
    <s v=""/>
    <n v="0"/>
    <n v="3000"/>
    <n v="100"/>
    <s v="Yes"/>
    <s v="KMSS-BMO"/>
    <x v="0"/>
    <x v="0"/>
    <x v="1"/>
    <n v="24.2744"/>
    <n v="97.752667000000002"/>
    <s v="MMR001CMP126"/>
    <x v="1"/>
    <m/>
    <n v="616"/>
    <n v="3682"/>
  </r>
  <r>
    <x v="2"/>
    <x v="11"/>
    <x v="7"/>
    <s v="MHF,UNICEF"/>
    <x v="0"/>
    <x v="3"/>
    <x v="0"/>
    <x v="112"/>
    <n v="166"/>
    <n v="966"/>
    <d v="2022-05-01T00:00:00"/>
    <d v="2023-08-31T00:00:00"/>
    <n v="34"/>
    <n v="3"/>
    <m/>
    <m/>
    <s v="Yes"/>
    <n v="3"/>
    <n v="2"/>
    <n v="3"/>
    <m/>
    <m/>
    <m/>
    <m/>
    <m/>
    <m/>
    <n v="4"/>
    <m/>
    <m/>
    <m/>
    <m/>
    <m/>
    <m/>
    <m/>
    <m/>
    <m/>
    <m/>
    <m/>
    <m/>
    <m/>
    <m/>
    <m/>
    <n v="170"/>
    <m/>
    <m/>
    <m/>
    <m/>
    <m/>
    <m/>
    <n v="150"/>
    <x v="1"/>
    <x v="1"/>
    <m/>
    <m/>
    <m/>
    <m/>
    <m/>
    <m/>
    <n v="25"/>
    <m/>
    <n v="5"/>
    <m/>
    <m/>
    <n v="1"/>
    <n v="2"/>
    <m/>
    <m/>
    <m/>
    <m/>
    <m/>
    <m/>
    <m/>
    <m/>
    <m/>
    <m/>
    <m/>
    <m/>
    <m/>
    <m/>
    <m/>
    <m/>
    <m/>
    <s v="no test"/>
    <s v="no test"/>
    <s v="No Test"/>
    <n v="3"/>
    <n v="0"/>
    <n v="4"/>
    <n v="0"/>
    <n v="0"/>
    <n v="0"/>
    <n v="0"/>
    <n v="1"/>
    <n v="1"/>
    <n v="1"/>
    <n v="966"/>
    <n v="0"/>
    <n v="0"/>
    <n v="1"/>
    <n v="966"/>
    <n v="1.9319999999999999"/>
    <n v="0"/>
    <n v="0"/>
    <n v="6.800000000000006E-2"/>
    <n v="2"/>
    <n v="170"/>
    <n v="0.87991718426501031"/>
    <n v="850"/>
    <n v="0"/>
    <n v="0"/>
    <n v="0"/>
    <n v="161"/>
    <n v="0"/>
    <n v="0.12008281573498969"/>
    <n v="0"/>
    <n v="966"/>
    <n v="0"/>
    <n v="0"/>
    <n v="0"/>
    <n v="966"/>
    <n v="1"/>
    <n v="0"/>
    <n v="1"/>
    <n v="0"/>
    <n v="0"/>
    <n v="25"/>
    <n v="166"/>
    <n v="0"/>
    <n v="966"/>
    <s v="Yes"/>
    <s v=""/>
    <n v="0"/>
    <n v="0"/>
    <n v="0"/>
    <s v="Yes"/>
    <s v="KBC-MYT"/>
    <x v="1"/>
    <x v="0"/>
    <x v="1"/>
    <n v="24.831944"/>
    <n v="97.751389000000003"/>
    <s v="MMR001CMP120"/>
    <x v="1"/>
    <m/>
    <n v="166"/>
    <n v="966"/>
  </r>
  <r>
    <x v="2"/>
    <x v="4"/>
    <x v="4"/>
    <s v="UNICEF"/>
    <x v="0"/>
    <x v="7"/>
    <x v="1"/>
    <x v="113"/>
    <n v="25"/>
    <n v="127"/>
    <d v="2021-08-06T00:00:00"/>
    <d v="2022-08-05T00:00:00"/>
    <m/>
    <n v="1"/>
    <m/>
    <m/>
    <s v="Yes"/>
    <n v="2"/>
    <n v="2"/>
    <m/>
    <m/>
    <m/>
    <n v="2"/>
    <m/>
    <m/>
    <m/>
    <m/>
    <m/>
    <m/>
    <m/>
    <m/>
    <m/>
    <m/>
    <m/>
    <m/>
    <m/>
    <m/>
    <m/>
    <n v="3"/>
    <m/>
    <m/>
    <m/>
    <n v="6"/>
    <m/>
    <m/>
    <m/>
    <m/>
    <m/>
    <m/>
    <m/>
    <x v="1"/>
    <x v="2"/>
    <m/>
    <m/>
    <m/>
    <m/>
    <m/>
    <m/>
    <n v="3"/>
    <m/>
    <m/>
    <n v="2"/>
    <m/>
    <m/>
    <n v="1"/>
    <m/>
    <m/>
    <s v="Yes"/>
    <m/>
    <m/>
    <m/>
    <m/>
    <m/>
    <m/>
    <m/>
    <m/>
    <m/>
    <m/>
    <m/>
    <m/>
    <m/>
    <m/>
    <s v="no test"/>
    <s v="no test"/>
    <s v="No Test"/>
    <n v="0"/>
    <n v="2"/>
    <n v="0"/>
    <n v="0"/>
    <n v="0"/>
    <n v="0"/>
    <n v="0"/>
    <n v="1"/>
    <n v="1"/>
    <n v="1"/>
    <n v="127"/>
    <n v="0"/>
    <n v="0"/>
    <n v="1"/>
    <n v="127"/>
    <n v="0.254"/>
    <n v="0"/>
    <n v="0"/>
    <n v="0.746"/>
    <n v="1"/>
    <n v="6"/>
    <n v="0.94488188976377951"/>
    <n v="120"/>
    <n v="0"/>
    <n v="0"/>
    <n v="0"/>
    <n v="6"/>
    <n v="0"/>
    <n v="5.5118110236220486E-2"/>
    <n v="0"/>
    <n v="127"/>
    <n v="0"/>
    <n v="0"/>
    <n v="0"/>
    <n v="127"/>
    <n v="1"/>
    <n v="0"/>
    <n v="1"/>
    <n v="0"/>
    <n v="0"/>
    <n v="3"/>
    <n v="25"/>
    <n v="3"/>
    <n v="127"/>
    <s v="No"/>
    <s v=""/>
    <n v="0"/>
    <n v="0"/>
    <n v="0"/>
    <n v="0"/>
    <n v="0"/>
    <x v="0"/>
    <x v="0"/>
    <x v="0"/>
    <n v="0"/>
    <n v="0"/>
    <n v="0"/>
    <x v="1"/>
    <m/>
    <n v="0"/>
    <n v="0"/>
  </r>
  <r>
    <x v="2"/>
    <x v="12"/>
    <x v="7"/>
    <s v="MHF,UNICEF"/>
    <x v="0"/>
    <x v="12"/>
    <x v="0"/>
    <x v="114"/>
    <n v="386"/>
    <n v="1397"/>
    <d v="2021-11-01T00:00:00"/>
    <d v="2022-10-31T00:00:00"/>
    <m/>
    <m/>
    <m/>
    <m/>
    <m/>
    <n v="19"/>
    <n v="55"/>
    <n v="13"/>
    <m/>
    <m/>
    <n v="1"/>
    <m/>
    <m/>
    <m/>
    <m/>
    <m/>
    <m/>
    <m/>
    <m/>
    <m/>
    <m/>
    <m/>
    <m/>
    <m/>
    <m/>
    <m/>
    <m/>
    <m/>
    <m/>
    <m/>
    <n v="5"/>
    <m/>
    <m/>
    <m/>
    <m/>
    <m/>
    <m/>
    <m/>
    <x v="1"/>
    <x v="0"/>
    <m/>
    <m/>
    <n v="50"/>
    <m/>
    <m/>
    <m/>
    <n v="1"/>
    <m/>
    <m/>
    <n v="3"/>
    <m/>
    <m/>
    <m/>
    <m/>
    <m/>
    <m/>
    <m/>
    <m/>
    <m/>
    <m/>
    <m/>
    <m/>
    <m/>
    <m/>
    <m/>
    <m/>
    <m/>
    <m/>
    <m/>
    <m/>
    <s v="no test"/>
    <s v="no test"/>
    <s v="No Test"/>
    <n v="13"/>
    <n v="1"/>
    <n v="0"/>
    <n v="0"/>
    <n v="0"/>
    <n v="0"/>
    <n v="0"/>
    <n v="1"/>
    <n v="1"/>
    <n v="1"/>
    <n v="1397"/>
    <n v="0"/>
    <n v="0"/>
    <n v="1"/>
    <n v="1397"/>
    <n v="2.794"/>
    <n v="0"/>
    <n v="0"/>
    <n v="0.20599999999999996"/>
    <n v="3"/>
    <n v="5"/>
    <n v="7.158196134574088E-2"/>
    <n v="100"/>
    <n v="0"/>
    <n v="0"/>
    <n v="0"/>
    <n v="70"/>
    <n v="65"/>
    <n v="0.92841803865425909"/>
    <n v="0"/>
    <n v="0"/>
    <n v="0"/>
    <n v="0"/>
    <n v="0"/>
    <n v="0"/>
    <n v="0"/>
    <n v="1"/>
    <n v="0"/>
    <n v="0"/>
    <n v="0"/>
    <n v="1"/>
    <n v="20"/>
    <n v="0"/>
    <n v="100"/>
    <s v="No"/>
    <s v=""/>
    <n v="0"/>
    <n v="0"/>
    <n v="0"/>
    <n v="0"/>
    <s v="uncovered"/>
    <x v="0"/>
    <x v="3"/>
    <x v="1"/>
    <n v="24.590350000000001"/>
    <n v="96.95626"/>
    <s v="MMR001CMP273"/>
    <x v="1"/>
    <m/>
    <n v="318"/>
    <n v="1329"/>
  </r>
  <r>
    <x v="2"/>
    <x v="1"/>
    <x v="1"/>
    <s v="ECHO 2739"/>
    <x v="0"/>
    <x v="0"/>
    <x v="0"/>
    <x v="115"/>
    <n v="65"/>
    <n v="334"/>
    <d v="2022-06-01T00:00:00"/>
    <d v="2022-11-30T00:00:00"/>
    <m/>
    <m/>
    <m/>
    <m/>
    <s v="Yes"/>
    <n v="2"/>
    <n v="4"/>
    <n v="1"/>
    <m/>
    <m/>
    <n v="2"/>
    <m/>
    <m/>
    <n v="1"/>
    <m/>
    <m/>
    <m/>
    <m/>
    <m/>
    <m/>
    <n v="1"/>
    <m/>
    <n v="2"/>
    <n v="2"/>
    <n v="9"/>
    <n v="9"/>
    <m/>
    <m/>
    <m/>
    <m/>
    <n v="33"/>
    <m/>
    <m/>
    <m/>
    <n v="7"/>
    <n v="33"/>
    <n v="38.35"/>
    <m/>
    <x v="1"/>
    <x v="1"/>
    <m/>
    <m/>
    <m/>
    <m/>
    <m/>
    <m/>
    <n v="19"/>
    <m/>
    <m/>
    <n v="7"/>
    <m/>
    <m/>
    <m/>
    <n v="65"/>
    <m/>
    <m/>
    <m/>
    <m/>
    <m/>
    <m/>
    <m/>
    <m/>
    <m/>
    <m/>
    <m/>
    <m/>
    <m/>
    <m/>
    <m/>
    <m/>
    <n v="1"/>
    <n v="1"/>
    <s v="Tested"/>
    <n v="1"/>
    <n v="2"/>
    <n v="0"/>
    <n v="0"/>
    <n v="0"/>
    <n v="0"/>
    <n v="0"/>
    <n v="1"/>
    <n v="1"/>
    <n v="1"/>
    <n v="334"/>
    <n v="0"/>
    <n v="0"/>
    <n v="1"/>
    <n v="334"/>
    <n v="0.66800000000000004"/>
    <n v="0"/>
    <n v="0"/>
    <n v="0.33199999999999996"/>
    <n v="1"/>
    <n v="33"/>
    <n v="1"/>
    <n v="334"/>
    <n v="334"/>
    <n v="0"/>
    <n v="0"/>
    <n v="17"/>
    <n v="0"/>
    <n v="0"/>
    <n v="0"/>
    <n v="0"/>
    <n v="334"/>
    <n v="0"/>
    <n v="334"/>
    <n v="334"/>
    <n v="1"/>
    <n v="0"/>
    <n v="0"/>
    <n v="1"/>
    <n v="0"/>
    <n v="19"/>
    <n v="65"/>
    <n v="0"/>
    <n v="334"/>
    <s v="No"/>
    <s v=""/>
    <n v="0"/>
    <n v="0"/>
    <n v="0"/>
    <s v="Yes"/>
    <s v="KBC-BMO"/>
    <x v="0"/>
    <x v="0"/>
    <x v="0"/>
    <n v="24.222349999999999"/>
    <n v="97.252650000000003"/>
    <s v="MMR001CMP193"/>
    <x v="1"/>
    <m/>
    <n v="64"/>
    <n v="339"/>
  </r>
  <r>
    <x v="2"/>
    <x v="2"/>
    <x v="2"/>
    <s v="MHF"/>
    <x v="0"/>
    <x v="3"/>
    <x v="0"/>
    <x v="117"/>
    <n v="110"/>
    <n v="507"/>
    <d v="2022-01-01T00:00:00"/>
    <d v="2022-12-31T00:00:00"/>
    <m/>
    <n v="2"/>
    <m/>
    <m/>
    <s v="Yes"/>
    <n v="4"/>
    <n v="9"/>
    <n v="4"/>
    <n v="1"/>
    <m/>
    <n v="3"/>
    <m/>
    <n v="1"/>
    <n v="1"/>
    <m/>
    <m/>
    <m/>
    <m/>
    <n v="2"/>
    <m/>
    <m/>
    <n v="2"/>
    <m/>
    <m/>
    <m/>
    <m/>
    <n v="3"/>
    <m/>
    <m/>
    <s v="နွေရာသီတွင် ရေခမ်း၍ ရေအနည်များခြင်း"/>
    <n v="15"/>
    <n v="10"/>
    <s v="ICRC"/>
    <n v="3"/>
    <n v="3"/>
    <m/>
    <m/>
    <m/>
    <x v="1"/>
    <x v="1"/>
    <m/>
    <m/>
    <m/>
    <n v="5"/>
    <m/>
    <s v="မိလ္လာစုပ်ထုတ်ရန် အခက်အခဲဖြစ်"/>
    <n v="9"/>
    <n v="1"/>
    <m/>
    <n v="4"/>
    <m/>
    <m/>
    <m/>
    <m/>
    <m/>
    <s v="Yes"/>
    <m/>
    <n v="0.9"/>
    <m/>
    <n v="0.99"/>
    <n v="0.04"/>
    <m/>
    <n v="0.99"/>
    <m/>
    <m/>
    <m/>
    <m/>
    <m/>
    <m/>
    <m/>
    <s v="no test"/>
    <s v="no test"/>
    <s v="No Test"/>
    <n v="3"/>
    <n v="2"/>
    <n v="0"/>
    <n v="0"/>
    <n v="0"/>
    <n v="0"/>
    <n v="0"/>
    <n v="1"/>
    <n v="1"/>
    <n v="1"/>
    <n v="507"/>
    <n v="0.98619329388560162"/>
    <n v="500"/>
    <n v="1"/>
    <n v="507"/>
    <n v="1.014"/>
    <n v="0"/>
    <n v="0"/>
    <n v="0"/>
    <n v="1"/>
    <n v="22"/>
    <n v="0.86785009861932938"/>
    <n v="440"/>
    <n v="0"/>
    <n v="0"/>
    <n v="250"/>
    <n v="25"/>
    <n v="0"/>
    <n v="0.13214990138067062"/>
    <n v="0.12"/>
    <n v="0"/>
    <n v="0"/>
    <n v="0"/>
    <n v="0"/>
    <n v="0"/>
    <n v="0"/>
    <n v="1"/>
    <n v="0"/>
    <n v="0"/>
    <n v="0"/>
    <n v="8"/>
    <n v="110"/>
    <n v="3"/>
    <n v="507"/>
    <s v="No"/>
    <s v=""/>
    <n v="0"/>
    <n v="0"/>
    <n v="250"/>
    <s v="Yes"/>
    <s v="Shalom"/>
    <x v="0"/>
    <x v="0"/>
    <x v="0"/>
    <n v="25.3540362037037"/>
    <n v="97.441166388888902"/>
    <s v="MMR001CMP032"/>
    <x v="1"/>
    <m/>
    <n v="111"/>
    <n v="505"/>
  </r>
  <r>
    <x v="2"/>
    <x v="17"/>
    <x v="7"/>
    <s v="MHF,SIDA,UNICEF"/>
    <x v="0"/>
    <x v="3"/>
    <x v="0"/>
    <x v="118"/>
    <n v="81"/>
    <n v="396"/>
    <d v="2022-05-01T00:00:00"/>
    <d v="2023-08-31T00:00:00"/>
    <m/>
    <n v="1"/>
    <m/>
    <m/>
    <s v="Yes"/>
    <n v="3"/>
    <n v="3"/>
    <n v="2"/>
    <m/>
    <m/>
    <m/>
    <m/>
    <m/>
    <m/>
    <m/>
    <m/>
    <m/>
    <m/>
    <m/>
    <m/>
    <m/>
    <n v="1"/>
    <m/>
    <m/>
    <m/>
    <m/>
    <m/>
    <m/>
    <m/>
    <m/>
    <n v="14"/>
    <m/>
    <m/>
    <m/>
    <m/>
    <m/>
    <m/>
    <n v="10"/>
    <x v="1"/>
    <x v="1"/>
    <m/>
    <m/>
    <m/>
    <m/>
    <m/>
    <m/>
    <n v="1"/>
    <m/>
    <m/>
    <n v="3"/>
    <m/>
    <n v="1"/>
    <n v="1"/>
    <m/>
    <m/>
    <m/>
    <m/>
    <m/>
    <m/>
    <m/>
    <m/>
    <m/>
    <m/>
    <m/>
    <m/>
    <m/>
    <m/>
    <m/>
    <m/>
    <m/>
    <s v="no test"/>
    <s v="no test"/>
    <s v="No Test"/>
    <n v="2"/>
    <n v="0"/>
    <n v="0"/>
    <n v="0"/>
    <n v="0"/>
    <n v="0"/>
    <n v="0"/>
    <n v="1"/>
    <n v="1"/>
    <n v="1"/>
    <n v="396"/>
    <n v="0"/>
    <n v="0"/>
    <n v="1"/>
    <n v="396"/>
    <n v="0.79200000000000004"/>
    <n v="0"/>
    <n v="0"/>
    <n v="0.20799999999999996"/>
    <n v="1"/>
    <n v="14"/>
    <n v="0.70707070707070707"/>
    <n v="280"/>
    <n v="0"/>
    <n v="0"/>
    <n v="0"/>
    <n v="20"/>
    <n v="6"/>
    <n v="0.29292929292929293"/>
    <n v="0"/>
    <n v="396"/>
    <n v="0"/>
    <n v="0"/>
    <n v="0"/>
    <n v="396"/>
    <n v="1"/>
    <n v="0"/>
    <n v="1"/>
    <n v="0"/>
    <n v="0"/>
    <n v="1"/>
    <n v="20"/>
    <n v="0"/>
    <n v="100"/>
    <s v="No"/>
    <s v=""/>
    <n v="0"/>
    <n v="0"/>
    <n v="0"/>
    <s v="Yes"/>
    <s v="KBC-MYT"/>
    <x v="0"/>
    <x v="0"/>
    <x v="0"/>
    <n v="25.351724999999998"/>
    <n v="97.438432380952406"/>
    <s v="MMR001CMP025"/>
    <x v="1"/>
    <m/>
    <n v="72"/>
    <n v="360"/>
  </r>
  <r>
    <x v="2"/>
    <x v="2"/>
    <x v="2"/>
    <s v="MHF"/>
    <x v="0"/>
    <x v="1"/>
    <x v="0"/>
    <x v="119"/>
    <n v="16"/>
    <n v="70"/>
    <d v="2022-01-01T00:00:00"/>
    <d v="2022-12-31T00:00:00"/>
    <n v="18"/>
    <n v="1"/>
    <n v="1"/>
    <m/>
    <s v="Yes"/>
    <n v="1"/>
    <n v="3"/>
    <n v="1"/>
    <m/>
    <m/>
    <n v="1"/>
    <m/>
    <m/>
    <m/>
    <n v="1"/>
    <m/>
    <n v="1"/>
    <m/>
    <m/>
    <m/>
    <n v="1"/>
    <m/>
    <m/>
    <m/>
    <m/>
    <m/>
    <n v="1"/>
    <m/>
    <m/>
    <m/>
    <n v="2"/>
    <m/>
    <m/>
    <m/>
    <m/>
    <m/>
    <m/>
    <m/>
    <x v="1"/>
    <x v="1"/>
    <m/>
    <m/>
    <m/>
    <m/>
    <m/>
    <m/>
    <n v="3"/>
    <m/>
    <m/>
    <n v="2"/>
    <m/>
    <n v="1"/>
    <m/>
    <n v="16"/>
    <m/>
    <m/>
    <m/>
    <n v="0.9"/>
    <m/>
    <n v="1"/>
    <n v="1"/>
    <n v="4"/>
    <n v="0.9"/>
    <m/>
    <m/>
    <m/>
    <m/>
    <m/>
    <m/>
    <m/>
    <s v="no test"/>
    <s v="no test"/>
    <s v="No Test"/>
    <n v="1"/>
    <n v="1"/>
    <n v="1"/>
    <n v="0"/>
    <n v="0"/>
    <n v="0"/>
    <n v="0"/>
    <n v="1"/>
    <n v="1"/>
    <n v="1"/>
    <n v="70"/>
    <n v="0"/>
    <n v="0"/>
    <n v="1"/>
    <n v="70"/>
    <n v="0.14000000000000001"/>
    <n v="0"/>
    <n v="0"/>
    <n v="0.86"/>
    <n v="1"/>
    <n v="2"/>
    <n v="0.5714285714285714"/>
    <n v="40"/>
    <n v="0"/>
    <n v="0"/>
    <n v="0"/>
    <n v="4"/>
    <n v="2"/>
    <n v="0.4285714285714286"/>
    <n v="0"/>
    <n v="70"/>
    <n v="70"/>
    <n v="0"/>
    <n v="70"/>
    <n v="70"/>
    <n v="1"/>
    <n v="0"/>
    <n v="1"/>
    <n v="1"/>
    <n v="0"/>
    <n v="3"/>
    <n v="16"/>
    <n v="0"/>
    <n v="70"/>
    <s v="Yes"/>
    <n v="5.7142857142857141E-2"/>
    <n v="0"/>
    <n v="0"/>
    <n v="0"/>
    <s v="Yes"/>
    <s v="Shalom"/>
    <x v="0"/>
    <x v="3"/>
    <x v="0"/>
    <n v="25.56551"/>
    <n v="96.279200000000003"/>
    <s v="MMR001CMP182"/>
    <x v="1"/>
    <m/>
    <n v="16"/>
    <n v="70"/>
  </r>
  <r>
    <x v="2"/>
    <x v="1"/>
    <x v="1"/>
    <s v="ECHO 2739"/>
    <x v="0"/>
    <x v="0"/>
    <x v="0"/>
    <x v="120"/>
    <n v="610"/>
    <n v="3860"/>
    <d v="2022-04-01T00:00:00"/>
    <d v="2022-11-30T00:00:00"/>
    <m/>
    <m/>
    <n v="6"/>
    <m/>
    <s v="Yes"/>
    <n v="20"/>
    <n v="14"/>
    <n v="1"/>
    <n v="1"/>
    <m/>
    <n v="24"/>
    <m/>
    <n v="1"/>
    <n v="21"/>
    <m/>
    <m/>
    <m/>
    <m/>
    <m/>
    <m/>
    <n v="1"/>
    <m/>
    <n v="15"/>
    <n v="15"/>
    <n v="27"/>
    <n v="27"/>
    <m/>
    <m/>
    <m/>
    <m/>
    <n v="148"/>
    <m/>
    <m/>
    <m/>
    <n v="24"/>
    <n v="141"/>
    <n v="173.75"/>
    <m/>
    <x v="1"/>
    <x v="1"/>
    <m/>
    <n v="10"/>
    <m/>
    <m/>
    <n v="23"/>
    <m/>
    <n v="32"/>
    <m/>
    <n v="1"/>
    <n v="16"/>
    <n v="1"/>
    <m/>
    <n v="6"/>
    <n v="610"/>
    <n v="914"/>
    <m/>
    <m/>
    <m/>
    <m/>
    <m/>
    <m/>
    <n v="1"/>
    <n v="1"/>
    <m/>
    <m/>
    <m/>
    <m/>
    <m/>
    <m/>
    <m/>
    <n v="1"/>
    <n v="1"/>
    <s v="Tested"/>
    <n v="0"/>
    <n v="23"/>
    <n v="0"/>
    <n v="0"/>
    <n v="0"/>
    <n v="0"/>
    <n v="0"/>
    <n v="1"/>
    <n v="1"/>
    <n v="1"/>
    <n v="3860"/>
    <n v="0"/>
    <n v="0"/>
    <n v="1"/>
    <n v="3860"/>
    <n v="7.72"/>
    <n v="0"/>
    <n v="0"/>
    <n v="0.28000000000000025"/>
    <n v="8"/>
    <n v="148"/>
    <n v="0.77279792746113984"/>
    <n v="2983"/>
    <n v="2820"/>
    <n v="0"/>
    <n v="0"/>
    <n v="193"/>
    <n v="45"/>
    <n v="0.22720207253886016"/>
    <n v="0"/>
    <n v="3000"/>
    <n v="3860"/>
    <n v="914"/>
    <n v="3860"/>
    <n v="3860"/>
    <n v="1"/>
    <n v="0"/>
    <n v="0.77720207253886009"/>
    <n v="1"/>
    <n v="1"/>
    <n v="32"/>
    <n v="610"/>
    <n v="0"/>
    <n v="3200"/>
    <s v="No"/>
    <n v="2.5906735751295336E-4"/>
    <n v="0"/>
    <n v="0"/>
    <n v="0"/>
    <s v="Yes"/>
    <s v="KBC-BMO"/>
    <x v="0"/>
    <x v="0"/>
    <x v="0"/>
    <n v="24.268292826086999"/>
    <n v="97.229116811594196"/>
    <s v="MMR001CMP047"/>
    <x v="1"/>
    <m/>
    <n v="597"/>
    <n v="3765"/>
  </r>
  <r>
    <x v="2"/>
    <x v="0"/>
    <x v="0"/>
    <m/>
    <x v="0"/>
    <x v="3"/>
    <x v="0"/>
    <x v="122"/>
    <n v="45"/>
    <n v="247"/>
    <s v="13-8-2021, 6-1-2020"/>
    <s v="12-20-2022, 30-7-2021"/>
    <m/>
    <m/>
    <m/>
    <m/>
    <m/>
    <m/>
    <n v="2"/>
    <m/>
    <m/>
    <m/>
    <m/>
    <m/>
    <m/>
    <m/>
    <m/>
    <m/>
    <m/>
    <m/>
    <m/>
    <m/>
    <m/>
    <m/>
    <m/>
    <m/>
    <m/>
    <m/>
    <m/>
    <m/>
    <m/>
    <m/>
    <m/>
    <m/>
    <m/>
    <m/>
    <m/>
    <m/>
    <m/>
    <m/>
    <x v="0"/>
    <x v="0"/>
    <m/>
    <m/>
    <m/>
    <m/>
    <m/>
    <m/>
    <n v="1"/>
    <m/>
    <m/>
    <n v="3"/>
    <m/>
    <m/>
    <m/>
    <m/>
    <m/>
    <m/>
    <m/>
    <m/>
    <m/>
    <m/>
    <m/>
    <m/>
    <m/>
    <m/>
    <m/>
    <m/>
    <m/>
    <m/>
    <m/>
    <m/>
    <s v="no test"/>
    <s v="no test"/>
    <s v="No Test"/>
    <n v="0"/>
    <n v="0"/>
    <n v="0"/>
    <n v="0"/>
    <n v="0"/>
    <n v="0"/>
    <n v="0"/>
    <n v="0"/>
    <n v="0"/>
    <n v="0"/>
    <n v="0"/>
    <n v="0"/>
    <n v="0"/>
    <n v="0"/>
    <n v="0"/>
    <n v="0"/>
    <n v="1"/>
    <n v="247"/>
    <n v="1"/>
    <n v="1"/>
    <n v="0"/>
    <n v="0"/>
    <n v="0"/>
    <n v="0"/>
    <n v="0"/>
    <n v="0"/>
    <n v="12"/>
    <n v="12"/>
    <n v="1"/>
    <n v="0"/>
    <n v="0"/>
    <n v="0"/>
    <n v="0"/>
    <n v="0"/>
    <n v="0"/>
    <n v="0"/>
    <n v="1"/>
    <n v="0"/>
    <n v="0"/>
    <n v="0"/>
    <n v="1"/>
    <n v="20"/>
    <n v="0"/>
    <n v="100"/>
    <s v="No"/>
    <s v=""/>
    <n v="0"/>
    <n v="0"/>
    <n v="0"/>
    <n v="0"/>
    <s v="uncovered"/>
    <x v="0"/>
    <x v="3"/>
    <x v="0"/>
    <n v="25.391428000000001"/>
    <n v="97.898184999999998"/>
    <s v="MMR001CMP258"/>
    <x v="0"/>
    <m/>
    <n v="45"/>
    <n v="247"/>
  </r>
  <r>
    <x v="2"/>
    <x v="2"/>
    <x v="2"/>
    <s v="MHF"/>
    <x v="0"/>
    <x v="7"/>
    <x v="0"/>
    <x v="123"/>
    <n v="16"/>
    <n v="89"/>
    <d v="2021-01-01T00:00:00"/>
    <d v="2022-03-31T00:00:00"/>
    <n v="15"/>
    <n v="1"/>
    <m/>
    <m/>
    <s v="Yes"/>
    <n v="4"/>
    <n v="2"/>
    <n v="3"/>
    <n v="1"/>
    <m/>
    <n v="3"/>
    <n v="3"/>
    <n v="3"/>
    <n v="3"/>
    <m/>
    <m/>
    <m/>
    <m/>
    <n v="2"/>
    <m/>
    <m/>
    <m/>
    <m/>
    <m/>
    <m/>
    <m/>
    <n v="3"/>
    <n v="1"/>
    <m/>
    <m/>
    <n v="7"/>
    <n v="6"/>
    <s v="Chruch"/>
    <m/>
    <m/>
    <m/>
    <m/>
    <n v="7"/>
    <x v="1"/>
    <x v="1"/>
    <m/>
    <m/>
    <n v="2"/>
    <m/>
    <m/>
    <m/>
    <n v="3"/>
    <m/>
    <m/>
    <n v="2"/>
    <m/>
    <m/>
    <n v="1"/>
    <m/>
    <m/>
    <s v="Yes"/>
    <m/>
    <n v="0.8"/>
    <m/>
    <n v="1"/>
    <n v="1"/>
    <m/>
    <n v="0.7"/>
    <m/>
    <m/>
    <m/>
    <m/>
    <m/>
    <m/>
    <m/>
    <s v="no test"/>
    <s v="no test"/>
    <s v="No Test"/>
    <n v="2"/>
    <n v="3"/>
    <n v="0"/>
    <n v="0"/>
    <n v="0"/>
    <n v="89"/>
    <n v="0"/>
    <n v="1"/>
    <n v="1"/>
    <n v="1"/>
    <n v="89"/>
    <n v="1"/>
    <n v="89"/>
    <n v="1"/>
    <n v="89"/>
    <n v="0.17799999999999999"/>
    <n v="0"/>
    <n v="0"/>
    <n v="0.82200000000000006"/>
    <n v="1"/>
    <n v="13"/>
    <n v="1"/>
    <n v="89"/>
    <n v="0"/>
    <n v="15"/>
    <n v="0"/>
    <n v="4"/>
    <n v="0"/>
    <n v="0"/>
    <n v="0"/>
    <n v="89"/>
    <n v="0"/>
    <n v="0"/>
    <n v="0"/>
    <n v="89"/>
    <n v="1"/>
    <n v="0"/>
    <n v="1"/>
    <n v="0"/>
    <n v="0"/>
    <n v="3"/>
    <n v="16"/>
    <n v="3"/>
    <n v="89"/>
    <s v="Yes"/>
    <s v=""/>
    <n v="0"/>
    <n v="89"/>
    <n v="0"/>
    <s v="Yes"/>
    <s v="Shalom"/>
    <x v="0"/>
    <x v="0"/>
    <x v="0"/>
    <n v="25.417733999999999"/>
    <n v="97.389778000000007"/>
    <s v="MMR001CMP004"/>
    <x v="1"/>
    <m/>
    <n v="16"/>
    <n v="83"/>
  </r>
  <r>
    <x v="2"/>
    <x v="11"/>
    <x v="7"/>
    <s v="MHF,UNICEF"/>
    <x v="0"/>
    <x v="9"/>
    <x v="0"/>
    <x v="124"/>
    <n v="68"/>
    <n v="353"/>
    <d v="2022-05-01T00:00:00"/>
    <d v="2023-08-31T00:00:00"/>
    <n v="20"/>
    <n v="2"/>
    <m/>
    <m/>
    <s v="Yes"/>
    <n v="3"/>
    <n v="2"/>
    <n v="16"/>
    <m/>
    <m/>
    <m/>
    <m/>
    <m/>
    <m/>
    <m/>
    <m/>
    <m/>
    <m/>
    <m/>
    <m/>
    <m/>
    <m/>
    <m/>
    <m/>
    <m/>
    <m/>
    <m/>
    <m/>
    <m/>
    <m/>
    <n v="73"/>
    <n v="23"/>
    <m/>
    <m/>
    <m/>
    <m/>
    <m/>
    <m/>
    <x v="1"/>
    <x v="1"/>
    <m/>
    <n v="24"/>
    <n v="5"/>
    <n v="5"/>
    <m/>
    <m/>
    <n v="1"/>
    <m/>
    <m/>
    <n v="1"/>
    <m/>
    <m/>
    <m/>
    <m/>
    <m/>
    <m/>
    <m/>
    <m/>
    <m/>
    <m/>
    <m/>
    <m/>
    <m/>
    <m/>
    <m/>
    <m/>
    <m/>
    <m/>
    <m/>
    <m/>
    <s v="no test"/>
    <s v="no test"/>
    <s v="No Test"/>
    <n v="16"/>
    <n v="0"/>
    <n v="0"/>
    <n v="0"/>
    <n v="0"/>
    <n v="0"/>
    <n v="0"/>
    <n v="1"/>
    <n v="1"/>
    <n v="1"/>
    <n v="353"/>
    <n v="0"/>
    <n v="0"/>
    <n v="1"/>
    <n v="353"/>
    <n v="0.70599999999999996"/>
    <n v="0"/>
    <n v="0"/>
    <n v="0.29400000000000004"/>
    <n v="1"/>
    <n v="96"/>
    <n v="1"/>
    <n v="353"/>
    <n v="0"/>
    <n v="20"/>
    <n v="250"/>
    <n v="18"/>
    <n v="0"/>
    <n v="0"/>
    <n v="0"/>
    <n v="0"/>
    <n v="0"/>
    <n v="0"/>
    <n v="0"/>
    <n v="0"/>
    <n v="0"/>
    <n v="1"/>
    <n v="0"/>
    <n v="0"/>
    <n v="0"/>
    <n v="1"/>
    <n v="20"/>
    <n v="0"/>
    <n v="100"/>
    <s v="Yes"/>
    <s v=""/>
    <n v="0"/>
    <n v="20"/>
    <n v="250"/>
    <s v="Yes"/>
    <s v="KBC-MYT"/>
    <x v="0"/>
    <x v="0"/>
    <x v="1"/>
    <n v="26.548506"/>
    <n v="97.75609"/>
    <s v="MMR001CMP239"/>
    <x v="1"/>
    <m/>
    <n v="68"/>
    <n v="353"/>
  </r>
  <r>
    <x v="2"/>
    <x v="18"/>
    <x v="7"/>
    <s v="SIDA,UNICEF"/>
    <x v="0"/>
    <x v="8"/>
    <x v="0"/>
    <x v="125"/>
    <n v="27"/>
    <n v="136"/>
    <d v="2022-05-01T00:00:00"/>
    <d v="2023-08-31T00:00:00"/>
    <m/>
    <n v="1"/>
    <m/>
    <m/>
    <s v="Yes"/>
    <n v="2"/>
    <n v="2"/>
    <m/>
    <m/>
    <m/>
    <n v="1"/>
    <m/>
    <m/>
    <m/>
    <m/>
    <m/>
    <m/>
    <m/>
    <m/>
    <m/>
    <m/>
    <n v="3"/>
    <m/>
    <m/>
    <m/>
    <m/>
    <m/>
    <m/>
    <m/>
    <m/>
    <n v="12"/>
    <m/>
    <m/>
    <m/>
    <m/>
    <m/>
    <m/>
    <n v="12"/>
    <x v="1"/>
    <x v="3"/>
    <m/>
    <m/>
    <m/>
    <m/>
    <m/>
    <m/>
    <n v="8"/>
    <m/>
    <m/>
    <n v="3"/>
    <m/>
    <m/>
    <m/>
    <m/>
    <m/>
    <m/>
    <m/>
    <m/>
    <m/>
    <m/>
    <m/>
    <m/>
    <m/>
    <m/>
    <m/>
    <m/>
    <m/>
    <m/>
    <m/>
    <m/>
    <s v="no test"/>
    <s v="no test"/>
    <s v="No Test"/>
    <n v="0"/>
    <n v="1"/>
    <n v="0"/>
    <n v="0"/>
    <n v="0"/>
    <n v="0"/>
    <n v="0"/>
    <n v="1"/>
    <n v="1"/>
    <n v="1"/>
    <n v="136"/>
    <n v="0"/>
    <n v="0"/>
    <n v="1"/>
    <n v="136"/>
    <n v="0.27200000000000002"/>
    <n v="0"/>
    <n v="0"/>
    <n v="0.72799999999999998"/>
    <n v="1"/>
    <n v="12"/>
    <n v="1"/>
    <n v="136"/>
    <n v="0"/>
    <n v="0"/>
    <n v="0"/>
    <n v="7"/>
    <n v="0"/>
    <n v="0"/>
    <n v="0"/>
    <n v="0"/>
    <n v="0"/>
    <n v="0"/>
    <n v="0"/>
    <n v="0"/>
    <n v="0"/>
    <n v="1"/>
    <n v="0"/>
    <n v="0"/>
    <n v="0"/>
    <n v="8"/>
    <n v="27"/>
    <n v="0"/>
    <n v="136"/>
    <s v="No"/>
    <s v=""/>
    <n v="0"/>
    <n v="0"/>
    <n v="0"/>
    <s v="Yes"/>
    <s v="KBC-MYT"/>
    <x v="0"/>
    <x v="0"/>
    <x v="0"/>
    <n v="25.225000000000001"/>
    <n v="96.793999999999997"/>
    <s v="MMR001CMP236"/>
    <x v="1"/>
    <m/>
    <n v="27"/>
    <n v="137"/>
  </r>
  <r>
    <x v="2"/>
    <x v="0"/>
    <x v="0"/>
    <m/>
    <x v="0"/>
    <x v="7"/>
    <x v="0"/>
    <x v="126"/>
    <n v="26"/>
    <n v="147"/>
    <s v="13-8-2021, 6-1-2020"/>
    <s v="12-20-2022, 30-7-2021"/>
    <m/>
    <m/>
    <m/>
    <m/>
    <m/>
    <m/>
    <n v="4"/>
    <m/>
    <m/>
    <m/>
    <m/>
    <m/>
    <m/>
    <m/>
    <m/>
    <m/>
    <m/>
    <m/>
    <m/>
    <m/>
    <m/>
    <m/>
    <m/>
    <m/>
    <m/>
    <m/>
    <m/>
    <m/>
    <m/>
    <m/>
    <m/>
    <m/>
    <m/>
    <m/>
    <m/>
    <m/>
    <m/>
    <m/>
    <x v="0"/>
    <x v="0"/>
    <m/>
    <m/>
    <m/>
    <m/>
    <m/>
    <m/>
    <n v="1"/>
    <m/>
    <m/>
    <n v="1"/>
    <m/>
    <m/>
    <m/>
    <m/>
    <m/>
    <m/>
    <m/>
    <m/>
    <m/>
    <m/>
    <m/>
    <m/>
    <m/>
    <m/>
    <m/>
    <m/>
    <m/>
    <m/>
    <m/>
    <m/>
    <s v="no test"/>
    <s v="no test"/>
    <s v="No Test"/>
    <n v="0"/>
    <n v="0"/>
    <n v="0"/>
    <n v="0"/>
    <n v="0"/>
    <n v="0"/>
    <n v="0"/>
    <n v="0"/>
    <n v="0"/>
    <n v="0"/>
    <n v="0"/>
    <n v="0"/>
    <n v="0"/>
    <n v="0"/>
    <n v="0"/>
    <n v="0"/>
    <n v="1"/>
    <n v="147"/>
    <n v="1"/>
    <n v="1"/>
    <n v="0"/>
    <n v="0"/>
    <n v="0"/>
    <n v="0"/>
    <n v="0"/>
    <n v="0"/>
    <n v="7"/>
    <n v="7"/>
    <n v="1"/>
    <n v="0"/>
    <n v="0"/>
    <n v="0"/>
    <n v="0"/>
    <n v="0"/>
    <n v="0"/>
    <n v="0"/>
    <n v="1"/>
    <n v="0"/>
    <n v="0"/>
    <n v="0"/>
    <n v="1"/>
    <n v="20"/>
    <n v="0"/>
    <n v="100"/>
    <s v="No"/>
    <s v=""/>
    <n v="0"/>
    <n v="0"/>
    <n v="0"/>
    <n v="0"/>
    <s v="uncovered"/>
    <x v="0"/>
    <x v="0"/>
    <x v="0"/>
    <n v="25.387892000000001"/>
    <n v="97.325181999999998"/>
    <s v="MMR001CMP276"/>
    <x v="0"/>
    <m/>
    <n v="26"/>
    <n v="138"/>
  </r>
  <r>
    <x v="2"/>
    <x v="1"/>
    <x v="1"/>
    <s v="ECHO 2739"/>
    <x v="0"/>
    <x v="2"/>
    <x v="0"/>
    <x v="127"/>
    <n v="40"/>
    <n v="255"/>
    <d v="2022-04-01T00:00:00"/>
    <d v="2022-11-30T00:00:00"/>
    <m/>
    <m/>
    <n v="2"/>
    <m/>
    <s v="Yes"/>
    <n v="3"/>
    <n v="10"/>
    <n v="2"/>
    <m/>
    <m/>
    <n v="1"/>
    <m/>
    <m/>
    <m/>
    <n v="1"/>
    <m/>
    <m/>
    <m/>
    <m/>
    <m/>
    <n v="1"/>
    <m/>
    <m/>
    <m/>
    <n v="4"/>
    <n v="4"/>
    <m/>
    <m/>
    <m/>
    <m/>
    <n v="16"/>
    <m/>
    <m/>
    <m/>
    <m/>
    <n v="9"/>
    <n v="22"/>
    <m/>
    <x v="1"/>
    <x v="1"/>
    <m/>
    <m/>
    <m/>
    <m/>
    <m/>
    <m/>
    <n v="3"/>
    <m/>
    <m/>
    <n v="2"/>
    <m/>
    <n v="1"/>
    <n v="1"/>
    <n v="40"/>
    <m/>
    <m/>
    <m/>
    <m/>
    <m/>
    <m/>
    <m/>
    <n v="1"/>
    <n v="1"/>
    <m/>
    <m/>
    <m/>
    <m/>
    <m/>
    <m/>
    <m/>
    <s v="no test"/>
    <n v="1"/>
    <s v="Tested"/>
    <n v="2"/>
    <n v="1"/>
    <n v="1"/>
    <n v="0"/>
    <n v="0"/>
    <n v="0"/>
    <n v="0"/>
    <n v="1"/>
    <n v="1"/>
    <n v="1"/>
    <n v="255"/>
    <n v="0"/>
    <n v="0"/>
    <n v="1"/>
    <n v="255"/>
    <n v="0.51"/>
    <n v="0"/>
    <n v="0"/>
    <n v="0.49"/>
    <n v="1"/>
    <n v="16"/>
    <n v="1"/>
    <n v="255"/>
    <n v="180"/>
    <n v="0"/>
    <n v="0"/>
    <n v="13"/>
    <n v="0"/>
    <n v="0"/>
    <n v="0"/>
    <n v="255"/>
    <n v="255"/>
    <n v="0"/>
    <n v="255"/>
    <n v="255"/>
    <n v="1"/>
    <n v="0"/>
    <n v="1"/>
    <n v="1"/>
    <n v="0"/>
    <n v="3"/>
    <n v="40"/>
    <n v="0"/>
    <n v="255"/>
    <s v="No"/>
    <n v="3.9215686274509803E-3"/>
    <n v="0"/>
    <n v="0"/>
    <n v="0"/>
    <s v="Yes"/>
    <s v="KBC-BMO"/>
    <x v="0"/>
    <x v="0"/>
    <x v="0"/>
    <n v="24.207332999999998"/>
    <n v="97.710864000000001"/>
    <s v="MMR001CMP073"/>
    <x v="1"/>
    <m/>
    <n v="47"/>
    <n v="279"/>
  </r>
  <r>
    <x v="2"/>
    <x v="11"/>
    <x v="7"/>
    <s v="MHF,UNICEF"/>
    <x v="0"/>
    <x v="3"/>
    <x v="0"/>
    <x v="128"/>
    <n v="380"/>
    <n v="1881"/>
    <d v="2022-05-01T00:00:00"/>
    <d v="2023-08-31T00:00:00"/>
    <n v="112"/>
    <n v="5"/>
    <m/>
    <m/>
    <s v="Yes"/>
    <n v="9"/>
    <n v="6"/>
    <m/>
    <m/>
    <m/>
    <n v="5"/>
    <m/>
    <m/>
    <m/>
    <m/>
    <m/>
    <m/>
    <m/>
    <m/>
    <m/>
    <m/>
    <m/>
    <m/>
    <m/>
    <m/>
    <m/>
    <m/>
    <m/>
    <m/>
    <m/>
    <n v="413"/>
    <m/>
    <m/>
    <m/>
    <m/>
    <m/>
    <m/>
    <n v="413"/>
    <x v="1"/>
    <x v="1"/>
    <m/>
    <m/>
    <m/>
    <m/>
    <m/>
    <m/>
    <n v="315"/>
    <m/>
    <n v="5"/>
    <n v="1"/>
    <m/>
    <n v="1"/>
    <n v="3"/>
    <m/>
    <m/>
    <m/>
    <m/>
    <m/>
    <m/>
    <m/>
    <m/>
    <m/>
    <m/>
    <m/>
    <m/>
    <m/>
    <m/>
    <m/>
    <m/>
    <m/>
    <s v="no test"/>
    <s v="no test"/>
    <s v="No Test"/>
    <n v="0"/>
    <n v="5"/>
    <n v="0"/>
    <n v="0"/>
    <n v="0"/>
    <n v="0"/>
    <n v="0"/>
    <n v="1"/>
    <n v="0.66454013822434876"/>
    <n v="1"/>
    <n v="1881"/>
    <n v="0"/>
    <n v="0"/>
    <n v="1"/>
    <n v="1881"/>
    <n v="3.762"/>
    <n v="0"/>
    <n v="0"/>
    <n v="0.23799999999999999"/>
    <n v="4"/>
    <n v="413"/>
    <n v="1"/>
    <n v="1881"/>
    <n v="0"/>
    <n v="0"/>
    <n v="0"/>
    <n v="94"/>
    <n v="0"/>
    <n v="0"/>
    <n v="0"/>
    <n v="1881"/>
    <n v="0"/>
    <n v="0"/>
    <n v="0"/>
    <n v="1881"/>
    <n v="1"/>
    <n v="0"/>
    <n v="1"/>
    <n v="0"/>
    <n v="0"/>
    <n v="315"/>
    <n v="380"/>
    <n v="0"/>
    <n v="1881"/>
    <s v="Yes"/>
    <s v=""/>
    <n v="0"/>
    <n v="0"/>
    <n v="0"/>
    <s v="Yes"/>
    <s v="KBC-MYT"/>
    <x v="0"/>
    <x v="0"/>
    <x v="1"/>
    <n v="25.418084"/>
    <n v="98.025662999999994"/>
    <s v="MMR001CMP249"/>
    <x v="1"/>
    <m/>
    <n v="380"/>
    <n v="1877"/>
  </r>
  <r>
    <x v="2"/>
    <x v="16"/>
    <x v="7"/>
    <s v="MHF, IRC,UNICEF"/>
    <x v="0"/>
    <x v="1"/>
    <x v="0"/>
    <x v="129"/>
    <n v="28"/>
    <n v="103"/>
    <d v="2022-05-01T00:00:00"/>
    <d v="2023-08-31T00:00:00"/>
    <m/>
    <n v="1"/>
    <m/>
    <m/>
    <s v="Yes"/>
    <n v="2"/>
    <n v="2"/>
    <n v="1"/>
    <m/>
    <m/>
    <n v="2"/>
    <m/>
    <m/>
    <m/>
    <m/>
    <m/>
    <m/>
    <m/>
    <m/>
    <m/>
    <m/>
    <m/>
    <m/>
    <m/>
    <m/>
    <m/>
    <m/>
    <m/>
    <m/>
    <m/>
    <n v="5"/>
    <m/>
    <m/>
    <m/>
    <m/>
    <m/>
    <m/>
    <n v="5"/>
    <x v="1"/>
    <x v="3"/>
    <m/>
    <m/>
    <m/>
    <m/>
    <m/>
    <m/>
    <n v="2"/>
    <m/>
    <m/>
    <n v="2"/>
    <m/>
    <m/>
    <m/>
    <m/>
    <m/>
    <m/>
    <m/>
    <m/>
    <m/>
    <m/>
    <m/>
    <m/>
    <m/>
    <m/>
    <m/>
    <m/>
    <m/>
    <m/>
    <m/>
    <m/>
    <s v="no test"/>
    <s v="no test"/>
    <s v="No Test"/>
    <n v="1"/>
    <n v="2"/>
    <n v="0"/>
    <n v="0"/>
    <n v="0"/>
    <n v="0"/>
    <n v="0"/>
    <n v="1"/>
    <n v="1"/>
    <n v="1"/>
    <n v="103"/>
    <n v="0"/>
    <n v="0"/>
    <n v="1"/>
    <n v="103"/>
    <n v="0.20599999999999999"/>
    <n v="0"/>
    <n v="0"/>
    <n v="0.79400000000000004"/>
    <n v="1"/>
    <n v="5"/>
    <n v="0.970873786407767"/>
    <n v="100"/>
    <n v="0"/>
    <n v="0"/>
    <n v="0"/>
    <n v="5"/>
    <n v="0"/>
    <n v="2.9126213592232997E-2"/>
    <n v="0"/>
    <n v="0"/>
    <n v="0"/>
    <n v="0"/>
    <n v="0"/>
    <n v="0"/>
    <n v="0"/>
    <n v="1"/>
    <n v="0"/>
    <n v="0"/>
    <n v="0"/>
    <n v="2"/>
    <n v="28"/>
    <n v="0"/>
    <n v="103"/>
    <s v="No"/>
    <s v=""/>
    <n v="0"/>
    <n v="0"/>
    <n v="0"/>
    <s v="Yes"/>
    <s v="KBC-MYT"/>
    <x v="0"/>
    <x v="0"/>
    <x v="0"/>
    <n v="25.920006000000001"/>
    <n v="96.662092000000001"/>
    <s v="MMR001CMP244"/>
    <x v="1"/>
    <m/>
    <n v="24"/>
    <n v="110"/>
  </r>
  <r>
    <x v="2"/>
    <x v="16"/>
    <x v="7"/>
    <s v="MHF,SIDA,UNICEF"/>
    <x v="0"/>
    <x v="7"/>
    <x v="0"/>
    <x v="130"/>
    <n v="110"/>
    <n v="563"/>
    <d v="2022-05-01T00:00:00"/>
    <d v="2023-08-31T00:00:00"/>
    <m/>
    <n v="2"/>
    <m/>
    <m/>
    <s v="Yes"/>
    <n v="2"/>
    <n v="2"/>
    <n v="2"/>
    <m/>
    <m/>
    <n v="3"/>
    <m/>
    <m/>
    <m/>
    <m/>
    <m/>
    <m/>
    <m/>
    <m/>
    <m/>
    <m/>
    <n v="2"/>
    <m/>
    <m/>
    <m/>
    <m/>
    <m/>
    <m/>
    <m/>
    <m/>
    <n v="13"/>
    <m/>
    <m/>
    <m/>
    <m/>
    <m/>
    <m/>
    <n v="13"/>
    <x v="1"/>
    <x v="1"/>
    <m/>
    <m/>
    <m/>
    <m/>
    <m/>
    <m/>
    <n v="7"/>
    <m/>
    <m/>
    <n v="4"/>
    <m/>
    <n v="1"/>
    <m/>
    <m/>
    <m/>
    <m/>
    <m/>
    <m/>
    <m/>
    <m/>
    <m/>
    <m/>
    <m/>
    <m/>
    <m/>
    <m/>
    <m/>
    <m/>
    <m/>
    <m/>
    <s v="no test"/>
    <s v="no test"/>
    <s v="No Test"/>
    <n v="2"/>
    <n v="3"/>
    <n v="0"/>
    <n v="0"/>
    <n v="0"/>
    <n v="0"/>
    <n v="0"/>
    <n v="1"/>
    <n v="1"/>
    <n v="1"/>
    <n v="563"/>
    <n v="0"/>
    <n v="0"/>
    <n v="1"/>
    <n v="563"/>
    <n v="1.1259999999999999"/>
    <n v="0"/>
    <n v="0"/>
    <n v="0"/>
    <n v="1"/>
    <n v="13"/>
    <n v="0.46181172291296624"/>
    <n v="260"/>
    <n v="0"/>
    <n v="0"/>
    <n v="0"/>
    <n v="28"/>
    <n v="15"/>
    <n v="0.53818827708703376"/>
    <n v="0"/>
    <n v="500"/>
    <n v="0"/>
    <n v="0"/>
    <n v="0"/>
    <n v="500"/>
    <n v="0.88809946714031973"/>
    <n v="0.11190053285968027"/>
    <n v="0.88809946714031973"/>
    <n v="0"/>
    <n v="0"/>
    <n v="7"/>
    <n v="110"/>
    <n v="0"/>
    <n v="563"/>
    <s v="No"/>
    <s v=""/>
    <n v="0"/>
    <n v="0"/>
    <n v="0"/>
    <s v="Yes"/>
    <s v="KBC-MYT"/>
    <x v="0"/>
    <x v="0"/>
    <x v="0"/>
    <n v="25.412313000000001"/>
    <n v="97.399628000000007"/>
    <s v="MMR001CMP006"/>
    <x v="1"/>
    <m/>
    <n v="110"/>
    <n v="562"/>
  </r>
  <r>
    <x v="2"/>
    <x v="2"/>
    <x v="2"/>
    <s v="MHF"/>
    <x v="0"/>
    <x v="7"/>
    <x v="0"/>
    <x v="131"/>
    <n v="21"/>
    <n v="99"/>
    <d v="2021-01-01T00:00:00"/>
    <d v="2022-03-31T00:00:00"/>
    <m/>
    <n v="1"/>
    <m/>
    <m/>
    <s v="Yes"/>
    <n v="1"/>
    <n v="4"/>
    <n v="1"/>
    <m/>
    <m/>
    <m/>
    <n v="1"/>
    <m/>
    <m/>
    <m/>
    <m/>
    <m/>
    <m/>
    <m/>
    <m/>
    <m/>
    <m/>
    <m/>
    <m/>
    <m/>
    <m/>
    <n v="2"/>
    <m/>
    <m/>
    <m/>
    <n v="2"/>
    <n v="5"/>
    <s v="Chruch"/>
    <m/>
    <m/>
    <m/>
    <m/>
    <m/>
    <x v="1"/>
    <x v="1"/>
    <m/>
    <m/>
    <n v="2"/>
    <m/>
    <m/>
    <m/>
    <n v="7"/>
    <n v="1"/>
    <m/>
    <n v="5"/>
    <m/>
    <n v="5"/>
    <n v="1"/>
    <m/>
    <m/>
    <m/>
    <m/>
    <n v="1"/>
    <m/>
    <n v="1"/>
    <n v="1"/>
    <m/>
    <n v="0.8"/>
    <m/>
    <m/>
    <m/>
    <m/>
    <m/>
    <m/>
    <m/>
    <s v="no test"/>
    <s v="no test"/>
    <s v="No Test"/>
    <n v="1"/>
    <n v="1"/>
    <n v="0"/>
    <n v="0"/>
    <n v="0"/>
    <n v="0"/>
    <n v="0"/>
    <n v="1"/>
    <n v="1"/>
    <n v="1"/>
    <n v="99"/>
    <n v="0"/>
    <n v="0"/>
    <n v="1"/>
    <n v="99"/>
    <n v="0.19800000000000001"/>
    <n v="0"/>
    <n v="0"/>
    <n v="0.80200000000000005"/>
    <n v="1"/>
    <n v="7"/>
    <n v="1"/>
    <n v="99"/>
    <n v="0"/>
    <n v="0"/>
    <n v="0"/>
    <n v="5"/>
    <n v="0"/>
    <n v="0"/>
    <n v="0"/>
    <n v="99"/>
    <n v="0"/>
    <n v="0"/>
    <n v="0"/>
    <n v="99"/>
    <n v="1"/>
    <n v="0"/>
    <n v="1"/>
    <n v="0"/>
    <n v="0"/>
    <n v="6"/>
    <n v="21"/>
    <n v="0"/>
    <n v="99"/>
    <s v="No"/>
    <s v=""/>
    <n v="0"/>
    <n v="0"/>
    <n v="0"/>
    <s v="Yes"/>
    <s v="Shalom"/>
    <x v="0"/>
    <x v="0"/>
    <x v="0"/>
    <n v="25.423817"/>
    <n v="97.418004999999994"/>
    <s v="MMR001CMP007"/>
    <x v="1"/>
    <m/>
    <n v="26"/>
    <n v="119"/>
  </r>
  <r>
    <x v="2"/>
    <x v="11"/>
    <x v="7"/>
    <s v="MHF,SIDA,UNICEF"/>
    <x v="0"/>
    <x v="3"/>
    <x v="0"/>
    <x v="132"/>
    <n v="214"/>
    <n v="1176"/>
    <d v="2022-05-01T00:00:00"/>
    <d v="2023-08-31T00:00:00"/>
    <m/>
    <n v="1"/>
    <m/>
    <m/>
    <s v="Yes"/>
    <n v="2"/>
    <n v="3"/>
    <m/>
    <m/>
    <m/>
    <m/>
    <m/>
    <m/>
    <m/>
    <m/>
    <m/>
    <m/>
    <m/>
    <m/>
    <m/>
    <m/>
    <m/>
    <m/>
    <m/>
    <m/>
    <m/>
    <m/>
    <m/>
    <m/>
    <m/>
    <n v="158"/>
    <m/>
    <m/>
    <m/>
    <m/>
    <m/>
    <m/>
    <n v="158"/>
    <x v="1"/>
    <x v="1"/>
    <m/>
    <m/>
    <m/>
    <m/>
    <m/>
    <m/>
    <n v="7"/>
    <m/>
    <m/>
    <n v="4"/>
    <m/>
    <n v="2"/>
    <n v="1"/>
    <m/>
    <m/>
    <m/>
    <m/>
    <m/>
    <m/>
    <m/>
    <m/>
    <m/>
    <m/>
    <m/>
    <m/>
    <m/>
    <m/>
    <m/>
    <m/>
    <m/>
    <s v="no test"/>
    <s v="no test"/>
    <s v="No Test"/>
    <n v="0"/>
    <n v="0"/>
    <n v="0"/>
    <n v="0"/>
    <n v="0"/>
    <n v="0"/>
    <n v="0"/>
    <n v="0"/>
    <n v="0"/>
    <n v="0"/>
    <n v="0"/>
    <n v="0"/>
    <n v="0"/>
    <n v="0"/>
    <n v="0"/>
    <n v="0"/>
    <n v="1"/>
    <n v="1176"/>
    <n v="2"/>
    <n v="2"/>
    <n v="158"/>
    <n v="1"/>
    <n v="1176"/>
    <n v="0"/>
    <n v="0"/>
    <n v="0"/>
    <n v="59"/>
    <n v="0"/>
    <n v="0"/>
    <n v="0"/>
    <n v="1176"/>
    <n v="0"/>
    <n v="0"/>
    <n v="0"/>
    <n v="1176"/>
    <n v="1"/>
    <n v="0"/>
    <n v="1"/>
    <n v="0"/>
    <n v="0"/>
    <n v="7"/>
    <n v="140"/>
    <n v="0"/>
    <n v="700"/>
    <s v="No"/>
    <s v=""/>
    <n v="0"/>
    <n v="0"/>
    <n v="0"/>
    <s v="Yes"/>
    <s v="KBC-MYT"/>
    <x v="0"/>
    <x v="0"/>
    <x v="0"/>
    <n v="25.418084"/>
    <n v="98.025662999999994"/>
    <s v="MMR001CMP041"/>
    <x v="1"/>
    <m/>
    <n v="213"/>
    <n v="1172"/>
  </r>
  <r>
    <x v="2"/>
    <x v="20"/>
    <x v="13"/>
    <s v="MHF, ECHO 2739"/>
    <x v="0"/>
    <x v="12"/>
    <x v="0"/>
    <x v="133"/>
    <n v="60"/>
    <n v="300"/>
    <s v="11/1/2021, 6/1/2022"/>
    <s v="10/31/2022, 11/30/2022"/>
    <n v="95"/>
    <n v="4"/>
    <m/>
    <m/>
    <s v="Yes"/>
    <n v="2"/>
    <n v="4"/>
    <m/>
    <m/>
    <m/>
    <n v="2"/>
    <n v="2"/>
    <m/>
    <n v="2"/>
    <m/>
    <m/>
    <m/>
    <m/>
    <m/>
    <m/>
    <n v="1"/>
    <m/>
    <n v="1"/>
    <n v="1"/>
    <n v="9"/>
    <n v="6"/>
    <n v="2"/>
    <m/>
    <m/>
    <m/>
    <n v="13"/>
    <m/>
    <n v="4"/>
    <n v="5"/>
    <m/>
    <n v="12"/>
    <n v="27"/>
    <m/>
    <x v="1"/>
    <x v="1"/>
    <n v="2"/>
    <m/>
    <n v="4"/>
    <m/>
    <n v="4"/>
    <m/>
    <n v="3"/>
    <m/>
    <m/>
    <n v="9"/>
    <n v="1"/>
    <n v="2"/>
    <n v="2"/>
    <m/>
    <m/>
    <s v="Yes"/>
    <m/>
    <m/>
    <m/>
    <m/>
    <m/>
    <m/>
    <m/>
    <m/>
    <m/>
    <m/>
    <m/>
    <m/>
    <m/>
    <m/>
    <n v="1"/>
    <n v="0.66666666666666663"/>
    <s v="Tested"/>
    <n v="0"/>
    <n v="4"/>
    <n v="0"/>
    <n v="0"/>
    <n v="0"/>
    <n v="0"/>
    <n v="0"/>
    <n v="1"/>
    <n v="1"/>
    <n v="1"/>
    <n v="300"/>
    <n v="0"/>
    <n v="0"/>
    <n v="1"/>
    <n v="300"/>
    <n v="0.6"/>
    <n v="0"/>
    <n v="0"/>
    <n v="0.4"/>
    <n v="1"/>
    <n v="8"/>
    <n v="0.68"/>
    <n v="204"/>
    <n v="240"/>
    <n v="95"/>
    <n v="0"/>
    <n v="15"/>
    <n v="2"/>
    <n v="0.31999999999999995"/>
    <n v="0.38461538461538464"/>
    <n v="300"/>
    <n v="0"/>
    <n v="0"/>
    <n v="0"/>
    <n v="300"/>
    <n v="1"/>
    <n v="0"/>
    <n v="1"/>
    <n v="0"/>
    <n v="0"/>
    <n v="3"/>
    <n v="60"/>
    <n v="2"/>
    <n v="300"/>
    <s v="Yes"/>
    <s v=""/>
    <n v="0"/>
    <n v="95"/>
    <n v="0"/>
    <s v="Yes"/>
    <s v="KBC-BMO"/>
    <x v="0"/>
    <x v="0"/>
    <x v="0"/>
    <n v="24.200361000000001"/>
    <n v="96.807353000000006"/>
    <s v="MMR001CMP067"/>
    <x v="1"/>
    <m/>
    <n v="46"/>
    <n v="263"/>
  </r>
  <r>
    <x v="2"/>
    <x v="1"/>
    <x v="1"/>
    <s v="ECHO 2739"/>
    <x v="0"/>
    <x v="12"/>
    <x v="0"/>
    <x v="134"/>
    <n v="43"/>
    <n v="182"/>
    <d v="2022-06-01T00:00:00"/>
    <d v="2022-11-30T00:00:00"/>
    <m/>
    <m/>
    <m/>
    <m/>
    <s v="Yes"/>
    <n v="1"/>
    <n v="3"/>
    <m/>
    <m/>
    <m/>
    <n v="2"/>
    <m/>
    <m/>
    <n v="1"/>
    <m/>
    <m/>
    <m/>
    <m/>
    <m/>
    <m/>
    <n v="1"/>
    <m/>
    <n v="1"/>
    <n v="1"/>
    <n v="6"/>
    <n v="4"/>
    <m/>
    <m/>
    <m/>
    <m/>
    <n v="10"/>
    <m/>
    <m/>
    <m/>
    <n v="3"/>
    <n v="6"/>
    <n v="12"/>
    <m/>
    <x v="1"/>
    <x v="1"/>
    <m/>
    <m/>
    <m/>
    <m/>
    <m/>
    <m/>
    <n v="3"/>
    <m/>
    <m/>
    <n v="2"/>
    <m/>
    <m/>
    <m/>
    <m/>
    <m/>
    <m/>
    <m/>
    <m/>
    <m/>
    <m/>
    <m/>
    <m/>
    <m/>
    <m/>
    <m/>
    <m/>
    <m/>
    <m/>
    <m/>
    <m/>
    <n v="1"/>
    <n v="0.66666666666666663"/>
    <s v="Tested"/>
    <n v="0"/>
    <n v="2"/>
    <n v="0"/>
    <n v="0"/>
    <n v="0"/>
    <n v="0"/>
    <n v="0"/>
    <n v="1"/>
    <n v="1"/>
    <n v="1"/>
    <n v="182"/>
    <n v="0"/>
    <n v="0"/>
    <n v="1"/>
    <n v="182"/>
    <n v="0.36399999999999999"/>
    <n v="0"/>
    <n v="0"/>
    <n v="0.63600000000000001"/>
    <n v="1"/>
    <n v="10"/>
    <n v="1"/>
    <n v="182"/>
    <n v="120"/>
    <n v="0"/>
    <n v="0"/>
    <n v="9"/>
    <n v="0"/>
    <n v="0"/>
    <n v="0"/>
    <n v="0"/>
    <n v="0"/>
    <n v="0"/>
    <n v="0"/>
    <n v="0"/>
    <n v="0"/>
    <n v="1"/>
    <n v="0"/>
    <n v="0"/>
    <n v="0"/>
    <n v="3"/>
    <n v="43"/>
    <n v="0"/>
    <n v="182"/>
    <s v="No"/>
    <s v=""/>
    <n v="0"/>
    <n v="0"/>
    <n v="0"/>
    <s v="Yes"/>
    <s v="KMSS-BMO"/>
    <x v="0"/>
    <x v="0"/>
    <x v="0"/>
    <n v="24.200367"/>
    <n v="96.807353000000006"/>
    <s v="MMR001CMP068"/>
    <x v="1"/>
    <m/>
    <n v="35"/>
    <n v="170"/>
  </r>
  <r>
    <x v="2"/>
    <x v="16"/>
    <x v="7"/>
    <s v="MHF,SIDA,UNICEF"/>
    <x v="0"/>
    <x v="7"/>
    <x v="0"/>
    <x v="135"/>
    <n v="103"/>
    <n v="629"/>
    <d v="2022-05-01T00:00:00"/>
    <d v="2023-08-31T00:00:00"/>
    <m/>
    <n v="2"/>
    <m/>
    <m/>
    <s v="Yes"/>
    <n v="2"/>
    <n v="2"/>
    <n v="3"/>
    <m/>
    <m/>
    <n v="2"/>
    <m/>
    <m/>
    <m/>
    <m/>
    <m/>
    <m/>
    <m/>
    <m/>
    <m/>
    <m/>
    <n v="2"/>
    <m/>
    <m/>
    <m/>
    <m/>
    <m/>
    <m/>
    <m/>
    <m/>
    <n v="17"/>
    <m/>
    <m/>
    <m/>
    <m/>
    <m/>
    <m/>
    <n v="17"/>
    <x v="1"/>
    <x v="1"/>
    <m/>
    <m/>
    <m/>
    <m/>
    <m/>
    <m/>
    <n v="3"/>
    <m/>
    <m/>
    <n v="2"/>
    <m/>
    <m/>
    <m/>
    <m/>
    <m/>
    <m/>
    <m/>
    <m/>
    <m/>
    <m/>
    <m/>
    <m/>
    <m/>
    <m/>
    <m/>
    <m/>
    <m/>
    <m/>
    <m/>
    <m/>
    <s v="no test"/>
    <s v="no test"/>
    <s v="No Test"/>
    <n v="3"/>
    <n v="2"/>
    <n v="0"/>
    <n v="0"/>
    <n v="0"/>
    <n v="0"/>
    <n v="0"/>
    <n v="1"/>
    <n v="1"/>
    <n v="1"/>
    <n v="629"/>
    <n v="0"/>
    <n v="0"/>
    <n v="1"/>
    <n v="629"/>
    <n v="1.258"/>
    <n v="0"/>
    <n v="0"/>
    <n v="0"/>
    <n v="1"/>
    <n v="17"/>
    <n v="0.54054054054054057"/>
    <n v="340"/>
    <n v="0"/>
    <n v="0"/>
    <n v="0"/>
    <n v="31"/>
    <n v="14"/>
    <n v="0.45945945945945943"/>
    <n v="0"/>
    <n v="0"/>
    <n v="0"/>
    <n v="0"/>
    <n v="0"/>
    <n v="0"/>
    <n v="0"/>
    <n v="1"/>
    <n v="0"/>
    <n v="0"/>
    <n v="0"/>
    <n v="3"/>
    <n v="60"/>
    <n v="0"/>
    <n v="300"/>
    <s v="No"/>
    <s v=""/>
    <n v="0"/>
    <n v="0"/>
    <n v="0"/>
    <s v="Yes"/>
    <s v="KBC-MYT"/>
    <x v="0"/>
    <x v="0"/>
    <x v="0"/>
    <n v="25.440928"/>
    <n v="97.419403000000003"/>
    <s v="MMR001CMP009"/>
    <x v="1"/>
    <m/>
    <n v="104"/>
    <n v="633"/>
  </r>
  <r>
    <x v="2"/>
    <x v="4"/>
    <x v="4"/>
    <s v="UNICEF"/>
    <x v="0"/>
    <x v="13"/>
    <x v="0"/>
    <x v="136"/>
    <n v="133"/>
    <n v="625"/>
    <d v="2021-08-06T00:00:00"/>
    <d v="2022-08-05T00:00:00"/>
    <m/>
    <n v="3"/>
    <m/>
    <m/>
    <s v="Yes"/>
    <n v="4"/>
    <n v="2"/>
    <n v="1"/>
    <m/>
    <m/>
    <n v="1"/>
    <m/>
    <m/>
    <m/>
    <m/>
    <m/>
    <m/>
    <m/>
    <m/>
    <m/>
    <m/>
    <m/>
    <m/>
    <m/>
    <m/>
    <m/>
    <n v="5"/>
    <m/>
    <m/>
    <m/>
    <n v="1"/>
    <m/>
    <m/>
    <m/>
    <m/>
    <m/>
    <m/>
    <m/>
    <x v="1"/>
    <x v="1"/>
    <m/>
    <m/>
    <m/>
    <m/>
    <m/>
    <m/>
    <n v="5"/>
    <m/>
    <m/>
    <n v="7"/>
    <m/>
    <m/>
    <n v="1"/>
    <m/>
    <m/>
    <s v="Yes"/>
    <m/>
    <m/>
    <m/>
    <m/>
    <m/>
    <m/>
    <m/>
    <m/>
    <m/>
    <m/>
    <m/>
    <m/>
    <m/>
    <m/>
    <s v="no test"/>
    <s v="no test"/>
    <s v="No Test"/>
    <n v="1"/>
    <n v="1"/>
    <n v="0"/>
    <n v="0"/>
    <n v="0"/>
    <n v="0"/>
    <n v="0"/>
    <n v="1"/>
    <n v="0.8"/>
    <n v="1"/>
    <n v="625"/>
    <n v="0"/>
    <n v="0"/>
    <n v="1"/>
    <n v="625"/>
    <n v="1.25"/>
    <n v="0"/>
    <n v="0"/>
    <n v="0"/>
    <n v="1"/>
    <n v="1"/>
    <n v="3.2000000000000001E-2"/>
    <n v="20"/>
    <n v="0"/>
    <n v="0"/>
    <n v="0"/>
    <n v="31"/>
    <n v="30"/>
    <n v="0.96799999999999997"/>
    <n v="0"/>
    <n v="500"/>
    <n v="0"/>
    <n v="0"/>
    <n v="0"/>
    <n v="500"/>
    <n v="0.8"/>
    <n v="0.19999999999999996"/>
    <n v="0.8"/>
    <n v="0"/>
    <n v="0"/>
    <n v="5"/>
    <n v="100"/>
    <n v="5"/>
    <n v="500"/>
    <s v="No"/>
    <s v=""/>
    <n v="0"/>
    <n v="0"/>
    <n v="0"/>
    <s v="Yes"/>
    <s v="KMSS-MYT"/>
    <x v="0"/>
    <x v="0"/>
    <x v="0"/>
    <n v="26.350176000000001"/>
    <n v="96.711387999999999"/>
    <s v="MMR001CMP251"/>
    <x v="1"/>
    <m/>
    <n v="133"/>
    <n v="622"/>
  </r>
  <r>
    <x v="2"/>
    <x v="4"/>
    <x v="4"/>
    <s v="UNICEF"/>
    <x v="0"/>
    <x v="10"/>
    <x v="0"/>
    <x v="137"/>
    <n v="11"/>
    <n v="68"/>
    <d v="2021-08-06T00:00:00"/>
    <d v="2022-08-05T00:00:00"/>
    <m/>
    <n v="1"/>
    <m/>
    <m/>
    <s v="Yes"/>
    <n v="3"/>
    <n v="8"/>
    <n v="1"/>
    <m/>
    <m/>
    <m/>
    <m/>
    <m/>
    <m/>
    <m/>
    <m/>
    <m/>
    <m/>
    <m/>
    <m/>
    <m/>
    <m/>
    <m/>
    <m/>
    <m/>
    <m/>
    <n v="4"/>
    <m/>
    <m/>
    <m/>
    <n v="7"/>
    <m/>
    <m/>
    <m/>
    <m/>
    <m/>
    <m/>
    <m/>
    <x v="1"/>
    <x v="1"/>
    <n v="1"/>
    <m/>
    <m/>
    <m/>
    <m/>
    <m/>
    <m/>
    <m/>
    <m/>
    <n v="2"/>
    <m/>
    <m/>
    <n v="1"/>
    <m/>
    <m/>
    <s v="Yes"/>
    <m/>
    <m/>
    <m/>
    <m/>
    <m/>
    <m/>
    <m/>
    <m/>
    <m/>
    <m/>
    <m/>
    <m/>
    <m/>
    <m/>
    <s v="no test"/>
    <s v="no test"/>
    <s v="No Test"/>
    <n v="1"/>
    <n v="0"/>
    <n v="0"/>
    <n v="0"/>
    <n v="0"/>
    <n v="0"/>
    <n v="0"/>
    <n v="1"/>
    <n v="1"/>
    <n v="1"/>
    <n v="68"/>
    <n v="0"/>
    <n v="0"/>
    <n v="1"/>
    <n v="68"/>
    <n v="0.13600000000000001"/>
    <n v="0"/>
    <n v="0"/>
    <n v="0.86399999999999999"/>
    <n v="1"/>
    <n v="7"/>
    <n v="1"/>
    <n v="68"/>
    <n v="0"/>
    <n v="0"/>
    <n v="0"/>
    <n v="3"/>
    <n v="0"/>
    <n v="0"/>
    <n v="0"/>
    <n v="68"/>
    <n v="0"/>
    <n v="0"/>
    <n v="0"/>
    <n v="68"/>
    <n v="1"/>
    <n v="0"/>
    <n v="1"/>
    <n v="0"/>
    <n v="0"/>
    <n v="0"/>
    <n v="0"/>
    <n v="4"/>
    <n v="0"/>
    <s v="No"/>
    <s v=""/>
    <n v="0"/>
    <n v="0"/>
    <n v="0"/>
    <s v="Yes"/>
    <s v="KMSS-MYT"/>
    <x v="0"/>
    <x v="5"/>
    <x v="0"/>
    <n v="24.764800000000001"/>
    <n v="96.367059999999995"/>
    <s v="MMR001CMP080"/>
    <x v="1"/>
    <m/>
    <n v="11"/>
    <n v="68"/>
  </r>
  <r>
    <x v="2"/>
    <x v="0"/>
    <x v="0"/>
    <m/>
    <x v="0"/>
    <x v="1"/>
    <x v="0"/>
    <x v="138"/>
    <n v="95"/>
    <n v="472"/>
    <m/>
    <m/>
    <m/>
    <m/>
    <m/>
    <m/>
    <m/>
    <m/>
    <m/>
    <m/>
    <m/>
    <m/>
    <m/>
    <m/>
    <m/>
    <m/>
    <m/>
    <m/>
    <m/>
    <m/>
    <m/>
    <m/>
    <m/>
    <m/>
    <m/>
    <m/>
    <m/>
    <m/>
    <m/>
    <m/>
    <m/>
    <m/>
    <m/>
    <m/>
    <m/>
    <m/>
    <m/>
    <m/>
    <m/>
    <m/>
    <x v="0"/>
    <x v="0"/>
    <m/>
    <m/>
    <m/>
    <m/>
    <m/>
    <m/>
    <n v="8"/>
    <m/>
    <m/>
    <n v="3"/>
    <m/>
    <m/>
    <m/>
    <m/>
    <m/>
    <m/>
    <m/>
    <m/>
    <m/>
    <m/>
    <m/>
    <m/>
    <m/>
    <m/>
    <m/>
    <m/>
    <m/>
    <m/>
    <m/>
    <m/>
    <s v="no test"/>
    <s v="no test"/>
    <s v="No Test"/>
    <n v="0"/>
    <n v="0"/>
    <n v="0"/>
    <n v="0"/>
    <n v="0"/>
    <n v="0"/>
    <n v="0"/>
    <n v="0"/>
    <n v="0"/>
    <n v="0"/>
    <n v="0"/>
    <n v="0"/>
    <n v="0"/>
    <n v="0"/>
    <n v="0"/>
    <n v="0"/>
    <n v="1"/>
    <n v="472"/>
    <n v="1"/>
    <n v="1"/>
    <n v="0"/>
    <n v="0"/>
    <n v="0"/>
    <n v="0"/>
    <n v="0"/>
    <n v="0"/>
    <n v="24"/>
    <n v="24"/>
    <n v="1"/>
    <n v="0"/>
    <n v="0"/>
    <n v="0"/>
    <n v="0"/>
    <n v="0"/>
    <n v="0"/>
    <n v="0"/>
    <n v="1"/>
    <n v="0"/>
    <n v="0"/>
    <n v="0"/>
    <n v="8"/>
    <n v="95"/>
    <n v="0"/>
    <n v="472"/>
    <s v="No"/>
    <s v=""/>
    <n v="0"/>
    <n v="0"/>
    <n v="0"/>
    <s v="Yes"/>
    <s v="KMSS-MYT"/>
    <x v="0"/>
    <x v="0"/>
    <x v="0"/>
    <n v="25.656009999999998"/>
    <n v="96.361609999999999"/>
    <s v="MMR001CMP168"/>
    <x v="0"/>
    <m/>
    <n v="90"/>
    <n v="456"/>
  </r>
  <r>
    <x v="2"/>
    <x v="4"/>
    <x v="4"/>
    <s v="UNICEF"/>
    <x v="0"/>
    <x v="8"/>
    <x v="0"/>
    <x v="139"/>
    <n v="48"/>
    <n v="271"/>
    <d v="2021-08-06T00:00:00"/>
    <d v="2022-08-05T00:00:00"/>
    <m/>
    <n v="3"/>
    <m/>
    <m/>
    <s v="Yes"/>
    <n v="3"/>
    <n v="1"/>
    <n v="2"/>
    <m/>
    <m/>
    <m/>
    <m/>
    <m/>
    <m/>
    <m/>
    <m/>
    <m/>
    <m/>
    <m/>
    <m/>
    <m/>
    <m/>
    <m/>
    <m/>
    <m/>
    <m/>
    <n v="5"/>
    <m/>
    <m/>
    <m/>
    <n v="18"/>
    <m/>
    <m/>
    <m/>
    <m/>
    <m/>
    <m/>
    <m/>
    <x v="1"/>
    <x v="3"/>
    <m/>
    <m/>
    <m/>
    <m/>
    <m/>
    <m/>
    <n v="5"/>
    <m/>
    <n v="2"/>
    <n v="2"/>
    <m/>
    <m/>
    <n v="1"/>
    <m/>
    <m/>
    <s v="Yes"/>
    <m/>
    <m/>
    <m/>
    <m/>
    <m/>
    <m/>
    <m/>
    <m/>
    <m/>
    <m/>
    <m/>
    <m/>
    <m/>
    <m/>
    <s v="no test"/>
    <s v="no test"/>
    <s v="No Test"/>
    <n v="2"/>
    <n v="0"/>
    <n v="0"/>
    <n v="0"/>
    <n v="0"/>
    <n v="0"/>
    <n v="0"/>
    <n v="1"/>
    <n v="1"/>
    <n v="1"/>
    <n v="271"/>
    <n v="0"/>
    <n v="0"/>
    <n v="1"/>
    <n v="271"/>
    <n v="0.54200000000000004"/>
    <n v="0"/>
    <n v="0"/>
    <n v="0.45799999999999996"/>
    <n v="1"/>
    <n v="18"/>
    <n v="1"/>
    <n v="271"/>
    <n v="0"/>
    <n v="0"/>
    <n v="0"/>
    <n v="14"/>
    <n v="0"/>
    <n v="0"/>
    <n v="0"/>
    <n v="271"/>
    <n v="0"/>
    <n v="0"/>
    <n v="0"/>
    <n v="271"/>
    <n v="1"/>
    <n v="0"/>
    <n v="1"/>
    <n v="0"/>
    <n v="0"/>
    <n v="5"/>
    <n v="48"/>
    <n v="5"/>
    <n v="271"/>
    <s v="No"/>
    <s v=""/>
    <n v="0"/>
    <n v="0"/>
    <n v="0"/>
    <n v="0"/>
    <s v="KMSS-MYT"/>
    <x v="0"/>
    <x v="0"/>
    <x v="0"/>
    <n v="25.383058999999999"/>
    <n v="97.014313000000001"/>
    <s v="MMR001CMP259"/>
    <x v="1"/>
    <m/>
    <n v="48"/>
    <n v="268"/>
  </r>
  <r>
    <x v="2"/>
    <x v="4"/>
    <x v="4"/>
    <s v="UNICEF"/>
    <x v="0"/>
    <x v="8"/>
    <x v="0"/>
    <x v="140"/>
    <n v="83"/>
    <n v="653"/>
    <d v="2021-08-06T00:00:00"/>
    <d v="2022-08-05T00:00:00"/>
    <m/>
    <n v="2"/>
    <m/>
    <m/>
    <s v="Yes"/>
    <n v="2"/>
    <n v="3"/>
    <n v="3"/>
    <m/>
    <m/>
    <m/>
    <m/>
    <m/>
    <m/>
    <m/>
    <m/>
    <m/>
    <m/>
    <m/>
    <m/>
    <m/>
    <m/>
    <m/>
    <m/>
    <m/>
    <m/>
    <n v="10"/>
    <m/>
    <m/>
    <m/>
    <n v="14"/>
    <m/>
    <m/>
    <m/>
    <m/>
    <m/>
    <m/>
    <m/>
    <x v="1"/>
    <x v="2"/>
    <n v="1"/>
    <m/>
    <m/>
    <m/>
    <m/>
    <m/>
    <n v="10"/>
    <m/>
    <n v="2"/>
    <n v="2"/>
    <m/>
    <m/>
    <n v="1"/>
    <m/>
    <m/>
    <s v="Yes"/>
    <m/>
    <m/>
    <m/>
    <m/>
    <m/>
    <m/>
    <m/>
    <m/>
    <m/>
    <m/>
    <m/>
    <m/>
    <m/>
    <m/>
    <s v="no test"/>
    <s v="no test"/>
    <s v="No Test"/>
    <n v="3"/>
    <n v="0"/>
    <n v="0"/>
    <n v="0"/>
    <n v="0"/>
    <n v="0"/>
    <n v="0"/>
    <n v="1"/>
    <n v="1"/>
    <n v="1"/>
    <n v="653"/>
    <n v="0"/>
    <n v="0"/>
    <n v="1"/>
    <n v="653"/>
    <n v="1.306"/>
    <n v="0"/>
    <n v="0"/>
    <n v="0"/>
    <n v="1"/>
    <n v="14"/>
    <n v="0.45941807044410415"/>
    <n v="300"/>
    <n v="0"/>
    <n v="0"/>
    <n v="0"/>
    <n v="33"/>
    <n v="19"/>
    <n v="0.54058192955589579"/>
    <n v="0"/>
    <n v="500"/>
    <n v="0"/>
    <n v="0"/>
    <n v="0"/>
    <n v="500"/>
    <n v="0.76569678407350694"/>
    <n v="0.23430321592649306"/>
    <n v="0.76569678407350694"/>
    <n v="0"/>
    <n v="0"/>
    <n v="10"/>
    <n v="83"/>
    <n v="10"/>
    <n v="653"/>
    <s v="No"/>
    <s v=""/>
    <n v="0"/>
    <n v="0"/>
    <n v="0"/>
    <n v="0"/>
    <s v="KMSS-MYT"/>
    <x v="0"/>
    <x v="0"/>
    <x v="0"/>
    <n v="25.383058999999999"/>
    <n v="97.014313000000001"/>
    <s v="MMR001CMP260"/>
    <x v="1"/>
    <m/>
    <n v="83"/>
    <n v="422"/>
  </r>
  <r>
    <x v="2"/>
    <x v="4"/>
    <x v="4"/>
    <s v="UNICEF"/>
    <x v="0"/>
    <x v="13"/>
    <x v="0"/>
    <x v="141"/>
    <n v="36"/>
    <n v="169"/>
    <d v="2021-08-06T00:00:00"/>
    <d v="2022-08-05T00:00:00"/>
    <m/>
    <n v="1"/>
    <m/>
    <m/>
    <s v="Yes"/>
    <n v="4"/>
    <n v="1"/>
    <m/>
    <m/>
    <m/>
    <n v="2"/>
    <m/>
    <m/>
    <m/>
    <m/>
    <m/>
    <m/>
    <m/>
    <m/>
    <m/>
    <m/>
    <m/>
    <m/>
    <m/>
    <m/>
    <m/>
    <n v="5"/>
    <m/>
    <m/>
    <m/>
    <n v="2"/>
    <m/>
    <m/>
    <m/>
    <m/>
    <m/>
    <m/>
    <m/>
    <x v="1"/>
    <x v="2"/>
    <m/>
    <m/>
    <m/>
    <m/>
    <m/>
    <m/>
    <n v="7"/>
    <m/>
    <n v="2"/>
    <n v="2"/>
    <m/>
    <m/>
    <n v="1"/>
    <m/>
    <m/>
    <s v="Yes"/>
    <m/>
    <m/>
    <m/>
    <m/>
    <m/>
    <m/>
    <m/>
    <m/>
    <m/>
    <m/>
    <m/>
    <m/>
    <m/>
    <m/>
    <s v="no test"/>
    <s v="no test"/>
    <s v="No Test"/>
    <n v="0"/>
    <n v="2"/>
    <n v="0"/>
    <n v="0"/>
    <n v="0"/>
    <n v="0"/>
    <n v="0"/>
    <n v="1"/>
    <n v="1"/>
    <n v="1"/>
    <n v="169"/>
    <n v="0"/>
    <n v="0"/>
    <n v="1"/>
    <n v="169"/>
    <n v="0.33800000000000002"/>
    <n v="0"/>
    <n v="0"/>
    <n v="0.66199999999999992"/>
    <n v="1"/>
    <n v="2"/>
    <n v="0.23668639053254437"/>
    <n v="40"/>
    <n v="0"/>
    <n v="0"/>
    <n v="0"/>
    <n v="8"/>
    <n v="6"/>
    <n v="0.76331360946745563"/>
    <n v="0"/>
    <n v="169"/>
    <n v="0"/>
    <n v="0"/>
    <n v="0"/>
    <n v="169"/>
    <n v="1"/>
    <n v="0"/>
    <n v="1"/>
    <n v="0"/>
    <n v="0"/>
    <n v="7"/>
    <n v="36"/>
    <n v="5"/>
    <n v="169"/>
    <s v="No"/>
    <s v=""/>
    <n v="0"/>
    <n v="0"/>
    <n v="0"/>
    <s v="Yes"/>
    <s v="KMSS-MYT"/>
    <x v="0"/>
    <x v="0"/>
    <x v="0"/>
    <n v="26.351690999999999"/>
    <n v="96.690871999999999"/>
    <s v="MMR001CMP254"/>
    <x v="1"/>
    <m/>
    <n v="35"/>
    <n v="161"/>
  </r>
  <r>
    <x v="2"/>
    <x v="11"/>
    <x v="7"/>
    <s v="MHF,UNICEF"/>
    <x v="0"/>
    <x v="13"/>
    <x v="0"/>
    <x v="142"/>
    <n v="109"/>
    <n v="483"/>
    <d v="2022-05-01T00:00:00"/>
    <d v="2023-08-31T00:00:00"/>
    <m/>
    <n v="2"/>
    <m/>
    <m/>
    <s v="No"/>
    <n v="2"/>
    <n v="2"/>
    <n v="4"/>
    <m/>
    <m/>
    <n v="3"/>
    <m/>
    <m/>
    <m/>
    <m/>
    <m/>
    <m/>
    <m/>
    <m/>
    <m/>
    <m/>
    <m/>
    <m/>
    <m/>
    <m/>
    <m/>
    <m/>
    <m/>
    <m/>
    <m/>
    <n v="30"/>
    <n v="30"/>
    <m/>
    <m/>
    <m/>
    <m/>
    <m/>
    <m/>
    <x v="0"/>
    <x v="0"/>
    <m/>
    <m/>
    <m/>
    <m/>
    <m/>
    <m/>
    <n v="3"/>
    <m/>
    <n v="5"/>
    <n v="3"/>
    <m/>
    <m/>
    <m/>
    <m/>
    <m/>
    <m/>
    <m/>
    <m/>
    <m/>
    <m/>
    <m/>
    <m/>
    <m/>
    <m/>
    <m/>
    <m/>
    <m/>
    <m/>
    <m/>
    <m/>
    <s v="no test"/>
    <s v="no test"/>
    <s v="No Test"/>
    <n v="4"/>
    <n v="3"/>
    <n v="0"/>
    <n v="0"/>
    <n v="0"/>
    <n v="0"/>
    <n v="0"/>
    <n v="1"/>
    <n v="1"/>
    <n v="1"/>
    <n v="483"/>
    <n v="0"/>
    <n v="0"/>
    <n v="1"/>
    <n v="483"/>
    <n v="0.96599999999999997"/>
    <n v="0"/>
    <n v="0"/>
    <n v="3.400000000000003E-2"/>
    <n v="1"/>
    <n v="60"/>
    <n v="1"/>
    <n v="483"/>
    <n v="0"/>
    <n v="0"/>
    <n v="0"/>
    <n v="24"/>
    <n v="0"/>
    <n v="0"/>
    <n v="0"/>
    <n v="0"/>
    <n v="0"/>
    <n v="0"/>
    <n v="0"/>
    <n v="0"/>
    <n v="0"/>
    <n v="1"/>
    <n v="0"/>
    <n v="0"/>
    <n v="0"/>
    <n v="3"/>
    <n v="60"/>
    <n v="0"/>
    <n v="300"/>
    <s v="No"/>
    <s v=""/>
    <n v="0"/>
    <n v="0"/>
    <n v="0"/>
    <s v="Yes"/>
    <s v="KBC-MYT"/>
    <x v="0"/>
    <x v="0"/>
    <x v="0"/>
    <n v="26.356223"/>
    <n v="96.721439000000004"/>
    <s v="MMR001CMP253"/>
    <x v="1"/>
    <m/>
    <n v="110"/>
    <n v="486"/>
  </r>
  <r>
    <x v="2"/>
    <x v="16"/>
    <x v="7"/>
    <s v="MHF,SIDA,UNICEF"/>
    <x v="0"/>
    <x v="7"/>
    <x v="0"/>
    <x v="143"/>
    <n v="96"/>
    <n v="531"/>
    <d v="2022-05-01T00:00:00"/>
    <d v="2023-08-31T00:00:00"/>
    <m/>
    <n v="1"/>
    <m/>
    <m/>
    <s v="Yes"/>
    <n v="2"/>
    <n v="2"/>
    <n v="2"/>
    <m/>
    <m/>
    <n v="3"/>
    <m/>
    <m/>
    <m/>
    <m/>
    <m/>
    <m/>
    <m/>
    <m/>
    <m/>
    <m/>
    <n v="2"/>
    <m/>
    <m/>
    <m/>
    <m/>
    <m/>
    <m/>
    <m/>
    <m/>
    <n v="11"/>
    <m/>
    <m/>
    <m/>
    <m/>
    <m/>
    <m/>
    <n v="11"/>
    <x v="1"/>
    <x v="1"/>
    <m/>
    <m/>
    <m/>
    <m/>
    <m/>
    <m/>
    <n v="3"/>
    <m/>
    <m/>
    <n v="2"/>
    <m/>
    <n v="1"/>
    <m/>
    <m/>
    <m/>
    <m/>
    <m/>
    <m/>
    <m/>
    <m/>
    <m/>
    <m/>
    <m/>
    <m/>
    <m/>
    <m/>
    <m/>
    <m/>
    <m/>
    <m/>
    <s v="no test"/>
    <s v="no test"/>
    <s v="No Test"/>
    <n v="2"/>
    <n v="3"/>
    <n v="0"/>
    <n v="0"/>
    <n v="0"/>
    <n v="0"/>
    <n v="0"/>
    <n v="1"/>
    <n v="1"/>
    <n v="1"/>
    <n v="531"/>
    <n v="0"/>
    <n v="0"/>
    <n v="1"/>
    <n v="531"/>
    <n v="1.0620000000000001"/>
    <n v="0"/>
    <n v="0"/>
    <n v="0"/>
    <n v="1"/>
    <n v="11"/>
    <n v="0.4143126177024482"/>
    <n v="220"/>
    <n v="0"/>
    <n v="0"/>
    <n v="0"/>
    <n v="27"/>
    <n v="16"/>
    <n v="0.5856873822975518"/>
    <n v="0"/>
    <n v="500"/>
    <n v="0"/>
    <n v="0"/>
    <n v="0"/>
    <n v="500"/>
    <n v="0.94161958568738224"/>
    <n v="5.8380414312617757E-2"/>
    <n v="0.94161958568738224"/>
    <n v="0"/>
    <n v="0"/>
    <n v="3"/>
    <n v="60"/>
    <n v="0"/>
    <n v="300"/>
    <s v="No"/>
    <s v=""/>
    <n v="0"/>
    <n v="0"/>
    <n v="0"/>
    <s v="Yes"/>
    <s v="KBC-MYT"/>
    <x v="0"/>
    <x v="0"/>
    <x v="0"/>
    <n v="25.415482000000001"/>
    <n v="97.386718999999999"/>
    <s v="MMR001CMP001"/>
    <x v="1"/>
    <m/>
    <n v="98"/>
    <n v="540"/>
  </r>
  <r>
    <x v="2"/>
    <x v="2"/>
    <x v="2"/>
    <s v="MHF"/>
    <x v="0"/>
    <x v="7"/>
    <x v="0"/>
    <x v="144"/>
    <n v="56"/>
    <n v="266"/>
    <d v="2022-01-01T00:00:00"/>
    <d v="2022-12-31T00:00:00"/>
    <n v="80"/>
    <n v="1"/>
    <m/>
    <m/>
    <s v="Yes"/>
    <n v="1"/>
    <n v="5"/>
    <n v="1"/>
    <n v="1"/>
    <m/>
    <n v="5"/>
    <m/>
    <n v="5"/>
    <n v="3"/>
    <m/>
    <m/>
    <n v="1"/>
    <m/>
    <m/>
    <m/>
    <m/>
    <m/>
    <m/>
    <m/>
    <m/>
    <m/>
    <n v="1"/>
    <m/>
    <m/>
    <m/>
    <n v="14"/>
    <m/>
    <m/>
    <m/>
    <n v="1"/>
    <m/>
    <m/>
    <m/>
    <x v="1"/>
    <x v="1"/>
    <n v="2"/>
    <n v="2"/>
    <m/>
    <m/>
    <m/>
    <m/>
    <n v="5"/>
    <m/>
    <m/>
    <n v="4"/>
    <m/>
    <m/>
    <m/>
    <m/>
    <m/>
    <m/>
    <m/>
    <m/>
    <m/>
    <n v="0.8"/>
    <n v="1"/>
    <m/>
    <n v="0.8"/>
    <m/>
    <m/>
    <m/>
    <m/>
    <m/>
    <m/>
    <m/>
    <s v="no test"/>
    <s v="no test"/>
    <s v="No Test"/>
    <n v="0"/>
    <n v="0"/>
    <n v="0"/>
    <n v="0"/>
    <n v="0"/>
    <n v="0"/>
    <n v="0"/>
    <n v="0"/>
    <n v="0"/>
    <n v="0"/>
    <n v="0"/>
    <n v="0"/>
    <n v="0"/>
    <n v="0"/>
    <n v="0"/>
    <n v="0"/>
    <n v="1"/>
    <n v="266"/>
    <n v="1"/>
    <n v="1"/>
    <n v="14"/>
    <n v="1"/>
    <n v="266"/>
    <n v="0"/>
    <n v="0"/>
    <n v="0"/>
    <n v="13"/>
    <n v="0"/>
    <n v="0"/>
    <n v="0"/>
    <n v="0"/>
    <n v="0"/>
    <n v="0"/>
    <n v="0"/>
    <n v="0"/>
    <n v="0"/>
    <n v="1"/>
    <n v="0"/>
    <n v="0"/>
    <n v="0"/>
    <n v="5"/>
    <n v="56"/>
    <n v="0"/>
    <n v="266"/>
    <s v="Yes"/>
    <s v=""/>
    <n v="0"/>
    <n v="0"/>
    <n v="0"/>
    <s v="Yes"/>
    <s v="Shalom"/>
    <x v="0"/>
    <x v="0"/>
    <x v="0"/>
    <n v="25.423209"/>
    <n v="97.379987"/>
    <s v="MMR001CMP023"/>
    <x v="1"/>
    <m/>
    <n v="56"/>
    <n v="266"/>
  </r>
  <r>
    <x v="2"/>
    <x v="16"/>
    <x v="7"/>
    <s v="MHF,SIDA,UNICEF"/>
    <x v="0"/>
    <x v="7"/>
    <x v="0"/>
    <x v="145"/>
    <n v="35"/>
    <n v="197"/>
    <d v="2022-05-01T00:00:00"/>
    <d v="2023-08-31T00:00:00"/>
    <m/>
    <n v="1"/>
    <m/>
    <m/>
    <s v="Yes"/>
    <n v="2"/>
    <n v="2"/>
    <n v="3"/>
    <m/>
    <m/>
    <n v="4"/>
    <m/>
    <m/>
    <m/>
    <m/>
    <m/>
    <m/>
    <m/>
    <m/>
    <m/>
    <m/>
    <n v="3"/>
    <m/>
    <m/>
    <m/>
    <m/>
    <m/>
    <m/>
    <m/>
    <m/>
    <n v="5"/>
    <m/>
    <m/>
    <m/>
    <m/>
    <m/>
    <m/>
    <n v="5"/>
    <x v="1"/>
    <x v="1"/>
    <m/>
    <m/>
    <m/>
    <m/>
    <m/>
    <m/>
    <n v="1"/>
    <m/>
    <m/>
    <n v="3"/>
    <m/>
    <m/>
    <m/>
    <m/>
    <m/>
    <m/>
    <m/>
    <m/>
    <m/>
    <m/>
    <m/>
    <m/>
    <m/>
    <m/>
    <m/>
    <m/>
    <m/>
    <m/>
    <m/>
    <m/>
    <s v="no test"/>
    <s v="no test"/>
    <s v="No Test"/>
    <n v="3"/>
    <n v="4"/>
    <n v="0"/>
    <n v="0"/>
    <n v="0"/>
    <n v="0"/>
    <n v="0"/>
    <n v="1"/>
    <n v="1"/>
    <n v="1"/>
    <n v="197"/>
    <n v="0"/>
    <n v="0"/>
    <n v="1"/>
    <n v="197"/>
    <n v="0.39400000000000002"/>
    <n v="0"/>
    <n v="0"/>
    <n v="0.60599999999999998"/>
    <n v="1"/>
    <n v="5"/>
    <n v="0.50761421319796951"/>
    <n v="100"/>
    <n v="0"/>
    <n v="0"/>
    <n v="0"/>
    <n v="10"/>
    <n v="5"/>
    <n v="0.49238578680203049"/>
    <n v="0"/>
    <n v="0"/>
    <n v="0"/>
    <n v="0"/>
    <n v="0"/>
    <n v="0"/>
    <n v="0"/>
    <n v="1"/>
    <n v="0"/>
    <n v="0"/>
    <n v="0"/>
    <n v="1"/>
    <n v="20"/>
    <n v="0"/>
    <n v="100"/>
    <s v="No"/>
    <s v=""/>
    <n v="0"/>
    <n v="0"/>
    <n v="0"/>
    <s v="Yes"/>
    <s v="KBC-MYT"/>
    <x v="0"/>
    <x v="0"/>
    <x v="0"/>
    <n v="25.404752999999999"/>
    <n v="97.377662999999998"/>
    <s v="MMR001CMP003"/>
    <x v="1"/>
    <m/>
    <n v="35"/>
    <n v="189"/>
  </r>
  <r>
    <x v="2"/>
    <x v="16"/>
    <x v="7"/>
    <s v="MHF,SIDA,UNICEF"/>
    <x v="0"/>
    <x v="7"/>
    <x v="0"/>
    <x v="146"/>
    <n v="47"/>
    <n v="239"/>
    <d v="2022-05-01T00:00:00"/>
    <d v="2023-08-31T00:00:00"/>
    <m/>
    <n v="1"/>
    <m/>
    <m/>
    <s v="Yes"/>
    <n v="2"/>
    <n v="3"/>
    <n v="2"/>
    <m/>
    <m/>
    <n v="1"/>
    <m/>
    <m/>
    <m/>
    <m/>
    <m/>
    <m/>
    <m/>
    <m/>
    <m/>
    <m/>
    <n v="3"/>
    <m/>
    <m/>
    <m/>
    <m/>
    <m/>
    <m/>
    <m/>
    <m/>
    <n v="13"/>
    <m/>
    <m/>
    <m/>
    <m/>
    <m/>
    <m/>
    <n v="13"/>
    <x v="1"/>
    <x v="1"/>
    <m/>
    <m/>
    <m/>
    <m/>
    <m/>
    <m/>
    <n v="1"/>
    <m/>
    <m/>
    <n v="1"/>
    <m/>
    <m/>
    <m/>
    <m/>
    <m/>
    <m/>
    <m/>
    <m/>
    <m/>
    <m/>
    <m/>
    <m/>
    <m/>
    <m/>
    <m/>
    <m/>
    <m/>
    <m/>
    <m/>
    <m/>
    <s v="no test"/>
    <s v="no test"/>
    <s v="No Test"/>
    <n v="2"/>
    <n v="1"/>
    <n v="0"/>
    <n v="0"/>
    <n v="0"/>
    <n v="0"/>
    <n v="0"/>
    <n v="1"/>
    <n v="1"/>
    <n v="1"/>
    <n v="239"/>
    <n v="0"/>
    <n v="0"/>
    <n v="1"/>
    <n v="239"/>
    <n v="0.47799999999999998"/>
    <n v="0"/>
    <n v="0"/>
    <n v="0.52200000000000002"/>
    <n v="1"/>
    <n v="13"/>
    <n v="1"/>
    <n v="239"/>
    <n v="0"/>
    <n v="0"/>
    <n v="0"/>
    <n v="12"/>
    <n v="0"/>
    <n v="0"/>
    <n v="0"/>
    <n v="0"/>
    <n v="0"/>
    <n v="0"/>
    <n v="0"/>
    <n v="0"/>
    <n v="0"/>
    <n v="1"/>
    <n v="0"/>
    <n v="0"/>
    <n v="0"/>
    <n v="1"/>
    <n v="20"/>
    <n v="0"/>
    <n v="100"/>
    <s v="No"/>
    <s v=""/>
    <n v="0"/>
    <n v="0"/>
    <n v="0"/>
    <s v="Yes"/>
    <s v="KBC-MYT"/>
    <x v="0"/>
    <x v="0"/>
    <x v="0"/>
    <n v="25.437125999999999"/>
    <n v="97.387276"/>
    <s v="MMR001CMP005"/>
    <x v="1"/>
    <m/>
    <n v="47"/>
    <n v="239"/>
  </r>
  <r>
    <x v="2"/>
    <x v="2"/>
    <x v="2"/>
    <s v="MHF"/>
    <x v="0"/>
    <x v="3"/>
    <x v="0"/>
    <x v="147"/>
    <n v="45"/>
    <n v="191"/>
    <d v="2022-01-01T00:00:00"/>
    <d v="2022-12-31T00:00:00"/>
    <m/>
    <n v="1"/>
    <n v="4"/>
    <m/>
    <s v="Yes"/>
    <n v="1"/>
    <n v="4"/>
    <n v="1"/>
    <m/>
    <m/>
    <m/>
    <m/>
    <m/>
    <m/>
    <m/>
    <m/>
    <m/>
    <m/>
    <m/>
    <m/>
    <m/>
    <m/>
    <m/>
    <m/>
    <m/>
    <m/>
    <m/>
    <m/>
    <m/>
    <s v="နွေရာသီတွင် ရေခမ်း၍ ရေအနည်များခြင်း"/>
    <n v="6"/>
    <m/>
    <m/>
    <m/>
    <m/>
    <n v="5"/>
    <n v="30"/>
    <m/>
    <x v="1"/>
    <x v="1"/>
    <m/>
    <m/>
    <m/>
    <m/>
    <m/>
    <s v="အိမ်သာကျင်းတိမ်လာ"/>
    <n v="3"/>
    <m/>
    <m/>
    <n v="2"/>
    <m/>
    <m/>
    <m/>
    <m/>
    <m/>
    <s v="Yes"/>
    <m/>
    <n v="0.5"/>
    <m/>
    <n v="0.9"/>
    <n v="0.85"/>
    <n v="3"/>
    <n v="0.9"/>
    <m/>
    <m/>
    <m/>
    <m/>
    <m/>
    <m/>
    <m/>
    <s v="no test"/>
    <s v="no test"/>
    <s v="No Test"/>
    <n v="1"/>
    <n v="0"/>
    <n v="0"/>
    <n v="0"/>
    <n v="0"/>
    <n v="0"/>
    <n v="0"/>
    <n v="1"/>
    <n v="1"/>
    <n v="1"/>
    <n v="191"/>
    <n v="0"/>
    <n v="0"/>
    <n v="1"/>
    <n v="191"/>
    <n v="0.38200000000000001"/>
    <n v="0"/>
    <n v="0"/>
    <n v="0.61799999999999999"/>
    <n v="1"/>
    <n v="6"/>
    <n v="0.62827225130890052"/>
    <n v="120"/>
    <n v="100"/>
    <n v="0"/>
    <n v="0"/>
    <n v="10"/>
    <n v="4"/>
    <n v="0.37172774869109948"/>
    <n v="0"/>
    <n v="0"/>
    <n v="0"/>
    <n v="0"/>
    <n v="0"/>
    <n v="0"/>
    <n v="0"/>
    <n v="1"/>
    <n v="0"/>
    <n v="0"/>
    <n v="0"/>
    <n v="3"/>
    <n v="45"/>
    <n v="0"/>
    <n v="191"/>
    <s v="No"/>
    <n v="1.5706806282722512E-2"/>
    <n v="0"/>
    <n v="0"/>
    <n v="0"/>
    <s v="Yes"/>
    <s v="Shalom"/>
    <x v="0"/>
    <x v="0"/>
    <x v="0"/>
    <n v="25.333683333333301"/>
    <n v="97.428251153846105"/>
    <s v="MMR001CMP037"/>
    <x v="1"/>
    <m/>
    <n v="46"/>
    <n v="192"/>
  </r>
  <r>
    <x v="2"/>
    <x v="17"/>
    <x v="7"/>
    <s v="MHF,SIDA,UNICEF"/>
    <x v="0"/>
    <x v="7"/>
    <x v="0"/>
    <x v="148"/>
    <n v="197"/>
    <n v="975"/>
    <d v="2022-05-01T00:00:00"/>
    <d v="2023-08-31T00:00:00"/>
    <m/>
    <n v="2"/>
    <m/>
    <m/>
    <s v="Yes"/>
    <n v="2"/>
    <n v="3"/>
    <n v="2"/>
    <m/>
    <m/>
    <n v="3"/>
    <m/>
    <m/>
    <m/>
    <m/>
    <m/>
    <m/>
    <m/>
    <m/>
    <m/>
    <m/>
    <n v="4"/>
    <m/>
    <m/>
    <m/>
    <m/>
    <m/>
    <m/>
    <m/>
    <m/>
    <n v="28"/>
    <m/>
    <m/>
    <m/>
    <m/>
    <m/>
    <m/>
    <n v="10"/>
    <x v="1"/>
    <x v="1"/>
    <m/>
    <m/>
    <m/>
    <m/>
    <m/>
    <m/>
    <n v="3"/>
    <m/>
    <m/>
    <n v="2"/>
    <m/>
    <n v="1"/>
    <m/>
    <m/>
    <m/>
    <m/>
    <m/>
    <m/>
    <m/>
    <m/>
    <m/>
    <m/>
    <m/>
    <m/>
    <m/>
    <m/>
    <m/>
    <m/>
    <m/>
    <m/>
    <s v="no test"/>
    <s v="no test"/>
    <s v="No Test"/>
    <n v="2"/>
    <n v="3"/>
    <n v="0"/>
    <n v="0"/>
    <n v="0"/>
    <n v="0"/>
    <n v="0"/>
    <n v="1"/>
    <n v="1"/>
    <n v="1"/>
    <n v="975"/>
    <n v="0"/>
    <n v="0"/>
    <n v="1"/>
    <n v="975"/>
    <n v="1.95"/>
    <n v="0"/>
    <n v="0"/>
    <n v="5.0000000000000044E-2"/>
    <n v="2"/>
    <n v="28"/>
    <n v="0.57435897435897432"/>
    <n v="560"/>
    <n v="0"/>
    <n v="0"/>
    <n v="0"/>
    <n v="49"/>
    <n v="21"/>
    <n v="0.42564102564102568"/>
    <n v="0"/>
    <n v="500"/>
    <n v="0"/>
    <n v="0"/>
    <n v="0"/>
    <n v="500"/>
    <n v="0.51282051282051277"/>
    <n v="0.48717948717948723"/>
    <n v="0.51282051282051277"/>
    <n v="0"/>
    <n v="0"/>
    <n v="3"/>
    <n v="60"/>
    <n v="0"/>
    <n v="300"/>
    <s v="No"/>
    <s v=""/>
    <n v="0"/>
    <n v="0"/>
    <n v="0"/>
    <s v="Yes"/>
    <s v="KBC-MYT"/>
    <x v="0"/>
    <x v="0"/>
    <x v="0"/>
    <n v="25.480989999999998"/>
    <n v="97.431079999999994"/>
    <s v="MMR001CMP263"/>
    <x v="1"/>
    <m/>
    <n v="197"/>
    <n v="981"/>
  </r>
  <r>
    <x v="2"/>
    <x v="16"/>
    <x v="7"/>
    <s v="MHF,UNICEF"/>
    <x v="0"/>
    <x v="3"/>
    <x v="0"/>
    <x v="149"/>
    <n v="81"/>
    <n v="387"/>
    <d v="2022-05-01T00:00:00"/>
    <d v="2023-08-31T00:00:00"/>
    <m/>
    <n v="1"/>
    <m/>
    <m/>
    <s v="Yes"/>
    <n v="2"/>
    <n v="2"/>
    <n v="2"/>
    <m/>
    <m/>
    <n v="1"/>
    <m/>
    <m/>
    <m/>
    <m/>
    <m/>
    <m/>
    <m/>
    <m/>
    <m/>
    <m/>
    <n v="3"/>
    <m/>
    <m/>
    <m/>
    <m/>
    <m/>
    <m/>
    <m/>
    <m/>
    <n v="8"/>
    <m/>
    <m/>
    <m/>
    <m/>
    <m/>
    <m/>
    <n v="6"/>
    <x v="1"/>
    <x v="1"/>
    <m/>
    <m/>
    <m/>
    <m/>
    <m/>
    <m/>
    <n v="3"/>
    <m/>
    <m/>
    <n v="2"/>
    <m/>
    <n v="1"/>
    <n v="1"/>
    <m/>
    <m/>
    <m/>
    <m/>
    <m/>
    <m/>
    <m/>
    <m/>
    <m/>
    <m/>
    <m/>
    <m/>
    <m/>
    <m/>
    <m/>
    <m/>
    <m/>
    <s v="no test"/>
    <s v="no test"/>
    <s v="No Test"/>
    <n v="2"/>
    <n v="1"/>
    <n v="0"/>
    <n v="0"/>
    <n v="0"/>
    <n v="0"/>
    <n v="0"/>
    <n v="1"/>
    <n v="1"/>
    <n v="1"/>
    <n v="387"/>
    <n v="0"/>
    <n v="0"/>
    <n v="1"/>
    <n v="387"/>
    <n v="0.77400000000000002"/>
    <n v="0"/>
    <n v="0"/>
    <n v="0.22599999999999998"/>
    <n v="1"/>
    <n v="8"/>
    <n v="0.41343669250645992"/>
    <n v="160"/>
    <n v="0"/>
    <n v="0"/>
    <n v="0"/>
    <n v="19"/>
    <n v="11"/>
    <n v="0.58656330749354013"/>
    <n v="0"/>
    <n v="387"/>
    <n v="0"/>
    <n v="0"/>
    <n v="0"/>
    <n v="387"/>
    <n v="1"/>
    <n v="0"/>
    <n v="1"/>
    <n v="0"/>
    <n v="0"/>
    <n v="3"/>
    <n v="60"/>
    <n v="0"/>
    <n v="300"/>
    <s v="No"/>
    <s v=""/>
    <n v="0"/>
    <n v="0"/>
    <n v="0"/>
    <s v="Yes"/>
    <s v="KBC-MYT"/>
    <x v="0"/>
    <x v="0"/>
    <x v="0"/>
    <n v="25.350989999999999"/>
    <n v="97.442809999999994"/>
    <s v="MMR001CMP269"/>
    <x v="1"/>
    <m/>
    <n v="81"/>
    <n v="387"/>
  </r>
  <r>
    <x v="2"/>
    <x v="2"/>
    <x v="2"/>
    <s v="MHF"/>
    <x v="0"/>
    <x v="3"/>
    <x v="0"/>
    <x v="150"/>
    <n v="68"/>
    <n v="193"/>
    <d v="2022-01-01T00:00:00"/>
    <d v="2022-12-31T00:00:00"/>
    <m/>
    <n v="1"/>
    <n v="1"/>
    <m/>
    <s v="Yes"/>
    <n v="1"/>
    <n v="4"/>
    <n v="2"/>
    <n v="1"/>
    <m/>
    <n v="1"/>
    <m/>
    <m/>
    <m/>
    <m/>
    <m/>
    <m/>
    <m/>
    <m/>
    <m/>
    <m/>
    <m/>
    <m/>
    <m/>
    <m/>
    <m/>
    <n v="1"/>
    <m/>
    <m/>
    <s v="နွေရာသီတွင် ရေခမ်း၍ ရေအနည်များခြင်း"/>
    <n v="9"/>
    <m/>
    <m/>
    <m/>
    <m/>
    <m/>
    <m/>
    <m/>
    <x v="1"/>
    <x v="1"/>
    <m/>
    <m/>
    <m/>
    <m/>
    <m/>
    <m/>
    <n v="5"/>
    <m/>
    <m/>
    <n v="3"/>
    <m/>
    <m/>
    <n v="1"/>
    <n v="68"/>
    <m/>
    <s v="Yes"/>
    <m/>
    <n v="0.5"/>
    <m/>
    <n v="0.96"/>
    <n v="0.9"/>
    <n v="4"/>
    <n v="0.95"/>
    <m/>
    <m/>
    <m/>
    <m/>
    <m/>
    <m/>
    <m/>
    <s v="no test"/>
    <s v="no test"/>
    <s v="No Test"/>
    <n v="1"/>
    <n v="1"/>
    <n v="0"/>
    <n v="0"/>
    <n v="0"/>
    <n v="0"/>
    <n v="0"/>
    <n v="1"/>
    <n v="1"/>
    <n v="1"/>
    <n v="193"/>
    <n v="0"/>
    <n v="0"/>
    <n v="1"/>
    <n v="193"/>
    <n v="0.38600000000000001"/>
    <n v="0"/>
    <n v="0"/>
    <n v="0.61399999999999999"/>
    <n v="1"/>
    <n v="9"/>
    <n v="0.93264248704663211"/>
    <n v="180"/>
    <n v="0"/>
    <n v="0"/>
    <n v="0"/>
    <n v="10"/>
    <n v="1"/>
    <n v="6.7357512953367893E-2"/>
    <n v="0"/>
    <n v="193"/>
    <n v="193"/>
    <n v="0"/>
    <n v="193"/>
    <n v="193"/>
    <n v="1"/>
    <n v="0"/>
    <n v="1"/>
    <n v="1"/>
    <n v="0"/>
    <n v="5"/>
    <n v="68"/>
    <n v="1"/>
    <n v="193"/>
    <s v="No"/>
    <n v="2.072538860103627E-2"/>
    <n v="0"/>
    <n v="0"/>
    <n v="0"/>
    <s v="Yes"/>
    <s v="Shalom"/>
    <x v="0"/>
    <x v="0"/>
    <x v="0"/>
    <n v="25.351250396825399"/>
    <n v="97.444283730158702"/>
    <s v="MMR001CMP038"/>
    <x v="1"/>
    <m/>
    <n v="71"/>
    <n v="307"/>
  </r>
  <r>
    <x v="2"/>
    <x v="0"/>
    <x v="0"/>
    <m/>
    <x v="0"/>
    <x v="3"/>
    <x v="0"/>
    <x v="152"/>
    <n v="27"/>
    <n v="139"/>
    <m/>
    <m/>
    <m/>
    <m/>
    <m/>
    <m/>
    <m/>
    <m/>
    <m/>
    <m/>
    <m/>
    <m/>
    <m/>
    <m/>
    <m/>
    <m/>
    <m/>
    <m/>
    <m/>
    <m/>
    <m/>
    <m/>
    <m/>
    <m/>
    <m/>
    <m/>
    <m/>
    <m/>
    <m/>
    <m/>
    <m/>
    <m/>
    <m/>
    <m/>
    <m/>
    <m/>
    <m/>
    <m/>
    <m/>
    <m/>
    <x v="0"/>
    <x v="0"/>
    <m/>
    <m/>
    <m/>
    <m/>
    <m/>
    <m/>
    <n v="7"/>
    <m/>
    <m/>
    <n v="7"/>
    <m/>
    <m/>
    <m/>
    <m/>
    <m/>
    <m/>
    <m/>
    <m/>
    <m/>
    <m/>
    <m/>
    <m/>
    <m/>
    <m/>
    <m/>
    <m/>
    <m/>
    <m/>
    <m/>
    <m/>
    <s v="no test"/>
    <s v="no test"/>
    <s v="No Test"/>
    <n v="0"/>
    <n v="0"/>
    <n v="0"/>
    <n v="0"/>
    <n v="0"/>
    <n v="0"/>
    <n v="0"/>
    <n v="0"/>
    <n v="0"/>
    <n v="0"/>
    <n v="0"/>
    <n v="0"/>
    <n v="0"/>
    <n v="0"/>
    <n v="0"/>
    <n v="0"/>
    <n v="1"/>
    <n v="139"/>
    <n v="1"/>
    <n v="1"/>
    <n v="0"/>
    <n v="0"/>
    <n v="0"/>
    <n v="0"/>
    <n v="0"/>
    <n v="0"/>
    <n v="7"/>
    <n v="7"/>
    <n v="1"/>
    <n v="0"/>
    <n v="0"/>
    <n v="0"/>
    <n v="0"/>
    <n v="0"/>
    <n v="0"/>
    <n v="0"/>
    <n v="1"/>
    <n v="0"/>
    <n v="0"/>
    <n v="0"/>
    <n v="7"/>
    <n v="27"/>
    <n v="0"/>
    <n v="139"/>
    <s v="No"/>
    <s v=""/>
    <n v="0"/>
    <n v="0"/>
    <n v="0"/>
    <n v="0"/>
    <s v="Uncovered  "/>
    <x v="0"/>
    <x v="3"/>
    <x v="0"/>
    <n v="25.211500000000001"/>
    <n v="97.261799999999994"/>
    <s v="MMR001CMP287"/>
    <x v="0"/>
    <m/>
    <n v="27"/>
    <n v="139"/>
  </r>
  <r>
    <x v="2"/>
    <x v="2"/>
    <x v="2"/>
    <s v="MHF"/>
    <x v="0"/>
    <x v="1"/>
    <x v="0"/>
    <x v="153"/>
    <n v="25"/>
    <n v="133"/>
    <d v="2022-01-01T00:00:00"/>
    <d v="2022-12-31T00:00:00"/>
    <m/>
    <m/>
    <n v="1"/>
    <m/>
    <s v="Yes"/>
    <n v="2"/>
    <n v="2"/>
    <n v="1"/>
    <m/>
    <m/>
    <m/>
    <n v="1"/>
    <m/>
    <n v="1"/>
    <n v="2"/>
    <m/>
    <n v="2"/>
    <m/>
    <n v="4"/>
    <m/>
    <m/>
    <m/>
    <m/>
    <m/>
    <m/>
    <m/>
    <m/>
    <m/>
    <m/>
    <m/>
    <n v="8"/>
    <n v="4"/>
    <s v="Chruch"/>
    <m/>
    <m/>
    <m/>
    <m/>
    <m/>
    <x v="1"/>
    <x v="1"/>
    <m/>
    <n v="2"/>
    <m/>
    <m/>
    <m/>
    <m/>
    <n v="4"/>
    <n v="1"/>
    <m/>
    <n v="2"/>
    <m/>
    <m/>
    <m/>
    <m/>
    <m/>
    <m/>
    <m/>
    <n v="0.7"/>
    <m/>
    <n v="0.8"/>
    <m/>
    <m/>
    <n v="0.8"/>
    <m/>
    <m/>
    <m/>
    <m/>
    <m/>
    <m/>
    <m/>
    <s v="no test"/>
    <s v="no test"/>
    <s v="No Test"/>
    <n v="1"/>
    <n v="1"/>
    <n v="2"/>
    <n v="0"/>
    <n v="0"/>
    <n v="0"/>
    <n v="0"/>
    <n v="1"/>
    <n v="1"/>
    <n v="1"/>
    <n v="133"/>
    <n v="1"/>
    <n v="133"/>
    <n v="1"/>
    <n v="133"/>
    <n v="0.26600000000000001"/>
    <n v="0"/>
    <n v="0"/>
    <n v="0.73399999999999999"/>
    <n v="1"/>
    <n v="12"/>
    <n v="1"/>
    <n v="133"/>
    <n v="0"/>
    <n v="0"/>
    <n v="0"/>
    <n v="7"/>
    <n v="0"/>
    <n v="0"/>
    <n v="0"/>
    <n v="0"/>
    <n v="0"/>
    <n v="0"/>
    <n v="0"/>
    <n v="0"/>
    <n v="0"/>
    <n v="1"/>
    <n v="0"/>
    <n v="0"/>
    <n v="0"/>
    <n v="3"/>
    <n v="25"/>
    <n v="0"/>
    <n v="133"/>
    <s v="No"/>
    <s v=""/>
    <n v="0"/>
    <n v="0"/>
    <n v="0"/>
    <s v="Yes"/>
    <s v="KBC-MYT"/>
    <x v="0"/>
    <x v="0"/>
    <x v="0"/>
    <n v="25.577559999999998"/>
    <n v="96.286680000000004"/>
    <s v="MMR001CMP184"/>
    <x v="1"/>
    <m/>
    <n v="25"/>
    <n v="133"/>
  </r>
  <r>
    <x v="2"/>
    <x v="3"/>
    <x v="3"/>
    <s v="USAID/HOPE-94"/>
    <x v="0"/>
    <x v="3"/>
    <x v="0"/>
    <x v="154"/>
    <n v="1294"/>
    <n v="6861"/>
    <s v="13-8-2021, 6-1-2020, 1-7-2021"/>
    <s v="12-2-2022, 30-11-2021, 30.4.2021"/>
    <m/>
    <m/>
    <n v="3"/>
    <m/>
    <s v="Yes"/>
    <n v="3"/>
    <n v="3"/>
    <m/>
    <m/>
    <m/>
    <m/>
    <m/>
    <m/>
    <m/>
    <n v="1"/>
    <m/>
    <m/>
    <m/>
    <m/>
    <m/>
    <m/>
    <m/>
    <m/>
    <m/>
    <m/>
    <m/>
    <n v="12"/>
    <n v="3"/>
    <m/>
    <m/>
    <n v="242"/>
    <m/>
    <m/>
    <m/>
    <m/>
    <m/>
    <m/>
    <m/>
    <x v="1"/>
    <x v="1"/>
    <n v="4"/>
    <n v="2"/>
    <m/>
    <m/>
    <m/>
    <m/>
    <n v="1"/>
    <m/>
    <m/>
    <n v="1"/>
    <m/>
    <m/>
    <n v="3"/>
    <m/>
    <m/>
    <m/>
    <m/>
    <m/>
    <m/>
    <m/>
    <m/>
    <m/>
    <m/>
    <m/>
    <m/>
    <m/>
    <m/>
    <m/>
    <m/>
    <m/>
    <s v="no test"/>
    <s v="no test"/>
    <s v="No Test"/>
    <n v="0"/>
    <n v="0"/>
    <n v="1"/>
    <n v="0"/>
    <n v="0"/>
    <n v="1500"/>
    <n v="0"/>
    <n v="9.7167565466647239E-3"/>
    <n v="9.7167565466647239E-3"/>
    <n v="9.7167565466647239E-3"/>
    <n v="66.666666666666671"/>
    <n v="0"/>
    <n v="0"/>
    <n v="9.7167565466647239E-3"/>
    <n v="66.666666666666671"/>
    <n v="0.13333333333333333"/>
    <n v="0.99028324345333529"/>
    <n v="6794.333333333333"/>
    <n v="13.866666666666667"/>
    <n v="14"/>
    <n v="242"/>
    <n v="0.71709663314385663"/>
    <n v="4920"/>
    <n v="0"/>
    <n v="0"/>
    <n v="0"/>
    <n v="343"/>
    <n v="101"/>
    <n v="0.28290336685614337"/>
    <n v="0"/>
    <n v="1500"/>
    <n v="0"/>
    <n v="0"/>
    <n v="0"/>
    <n v="1500"/>
    <n v="0.21862702229995629"/>
    <n v="0.78137297770004377"/>
    <n v="0.21862702229995629"/>
    <n v="0"/>
    <n v="0"/>
    <n v="1"/>
    <n v="20"/>
    <n v="0"/>
    <n v="100"/>
    <s v="No"/>
    <s v=""/>
    <n v="0"/>
    <n v="1500"/>
    <n v="0"/>
    <s v="Yes"/>
    <s v="KMSS-MYT"/>
    <x v="0"/>
    <x v="0"/>
    <x v="1"/>
    <n v="24.755253"/>
    <n v="97.546893999999995"/>
    <s v="MMR001CMP116"/>
    <x v="1"/>
    <m/>
    <n v="1333"/>
    <n v="7163"/>
  </r>
  <r>
    <x v="2"/>
    <x v="3"/>
    <x v="3"/>
    <s v="USAID/HOPE-94"/>
    <x v="0"/>
    <x v="3"/>
    <x v="1"/>
    <x v="155"/>
    <n v="134"/>
    <n v="709"/>
    <s v="13-8-2021, 6-1-2020, 1-7-2021"/>
    <s v="12-2-2022, 30-11-2021, 30.4.2021"/>
    <m/>
    <m/>
    <m/>
    <m/>
    <s v="No"/>
    <m/>
    <m/>
    <m/>
    <m/>
    <m/>
    <m/>
    <m/>
    <m/>
    <m/>
    <m/>
    <m/>
    <m/>
    <m/>
    <m/>
    <m/>
    <m/>
    <m/>
    <m/>
    <m/>
    <m/>
    <m/>
    <m/>
    <m/>
    <m/>
    <m/>
    <m/>
    <m/>
    <m/>
    <m/>
    <m/>
    <m/>
    <m/>
    <m/>
    <x v="1"/>
    <x v="3"/>
    <m/>
    <m/>
    <m/>
    <m/>
    <m/>
    <m/>
    <n v="8"/>
    <m/>
    <m/>
    <n v="3"/>
    <m/>
    <m/>
    <m/>
    <m/>
    <m/>
    <m/>
    <m/>
    <m/>
    <m/>
    <m/>
    <m/>
    <m/>
    <m/>
    <m/>
    <m/>
    <m/>
    <m/>
    <m/>
    <m/>
    <m/>
    <s v="no test"/>
    <s v="no test"/>
    <s v="No Test"/>
    <n v="0"/>
    <n v="0"/>
    <n v="0"/>
    <n v="0"/>
    <n v="0"/>
    <n v="0"/>
    <n v="0"/>
    <n v="0"/>
    <n v="0"/>
    <n v="0"/>
    <n v="0"/>
    <n v="0"/>
    <n v="0"/>
    <n v="0"/>
    <n v="0"/>
    <n v="0"/>
    <n v="1"/>
    <n v="709"/>
    <n v="1"/>
    <n v="1"/>
    <n v="0"/>
    <n v="0"/>
    <n v="0"/>
    <n v="0"/>
    <n v="0"/>
    <n v="0"/>
    <n v="35"/>
    <n v="35"/>
    <n v="1"/>
    <n v="0"/>
    <n v="0"/>
    <n v="0"/>
    <n v="0"/>
    <n v="0"/>
    <n v="0"/>
    <n v="0"/>
    <n v="1"/>
    <n v="0"/>
    <n v="0"/>
    <n v="0"/>
    <n v="8"/>
    <n v="134"/>
    <n v="0"/>
    <n v="709"/>
    <s v="No"/>
    <s v=""/>
    <n v="0"/>
    <n v="0"/>
    <n v="0"/>
    <n v="0"/>
    <n v="0"/>
    <x v="0"/>
    <x v="0"/>
    <x v="1"/>
    <n v="0"/>
    <n v="0"/>
    <n v="0"/>
    <x v="1"/>
    <m/>
    <n v="0"/>
    <n v="0"/>
  </r>
  <r>
    <x v="2"/>
    <x v="3"/>
    <x v="3"/>
    <s v="USAID/HOPE-94"/>
    <x v="0"/>
    <x v="3"/>
    <x v="1"/>
    <x v="156"/>
    <n v="546"/>
    <n v="2550"/>
    <s v="13-8-2021, 6-1-2020, 1-7-2021"/>
    <s v="12-2-2022, 30-11-2021, 30.4.2021"/>
    <m/>
    <m/>
    <m/>
    <m/>
    <s v="No"/>
    <m/>
    <m/>
    <m/>
    <m/>
    <m/>
    <m/>
    <m/>
    <m/>
    <m/>
    <m/>
    <m/>
    <m/>
    <m/>
    <m/>
    <m/>
    <m/>
    <m/>
    <m/>
    <m/>
    <m/>
    <m/>
    <m/>
    <m/>
    <m/>
    <m/>
    <m/>
    <m/>
    <m/>
    <m/>
    <m/>
    <m/>
    <m/>
    <m/>
    <x v="2"/>
    <x v="2"/>
    <m/>
    <m/>
    <m/>
    <m/>
    <m/>
    <m/>
    <n v="7"/>
    <m/>
    <m/>
    <n v="7"/>
    <m/>
    <m/>
    <m/>
    <m/>
    <m/>
    <m/>
    <m/>
    <m/>
    <m/>
    <m/>
    <m/>
    <m/>
    <m/>
    <m/>
    <m/>
    <m/>
    <m/>
    <m/>
    <m/>
    <m/>
    <s v="no test"/>
    <s v="no test"/>
    <s v="No Test"/>
    <n v="0"/>
    <n v="0"/>
    <n v="0"/>
    <n v="0"/>
    <n v="0"/>
    <n v="0"/>
    <n v="0"/>
    <n v="0"/>
    <n v="0"/>
    <n v="0"/>
    <n v="0"/>
    <n v="0"/>
    <n v="0"/>
    <n v="0"/>
    <n v="0"/>
    <n v="0"/>
    <n v="1"/>
    <n v="2550"/>
    <n v="5"/>
    <n v="5"/>
    <n v="0"/>
    <n v="0"/>
    <n v="0"/>
    <n v="0"/>
    <n v="0"/>
    <n v="0"/>
    <n v="128"/>
    <n v="128"/>
    <n v="1"/>
    <n v="0"/>
    <n v="0"/>
    <n v="0"/>
    <n v="0"/>
    <n v="0"/>
    <n v="0"/>
    <n v="0"/>
    <n v="1"/>
    <n v="0"/>
    <n v="0"/>
    <n v="0"/>
    <n v="7"/>
    <n v="140"/>
    <n v="0"/>
    <n v="700"/>
    <s v="No"/>
    <s v=""/>
    <n v="0"/>
    <n v="0"/>
    <n v="0"/>
    <n v="0"/>
    <n v="0"/>
    <x v="0"/>
    <x v="7"/>
    <x v="1"/>
    <n v="0"/>
    <n v="0"/>
    <n v="0"/>
    <x v="1"/>
    <m/>
    <n v="0"/>
    <n v="0"/>
  </r>
  <r>
    <x v="2"/>
    <x v="2"/>
    <x v="2"/>
    <s v="MHF"/>
    <x v="0"/>
    <x v="1"/>
    <x v="0"/>
    <x v="157"/>
    <n v="16"/>
    <n v="66"/>
    <d v="2022-01-01T00:00:00"/>
    <d v="2022-12-31T00:00:00"/>
    <n v="30"/>
    <m/>
    <m/>
    <m/>
    <s v="Yes"/>
    <n v="2"/>
    <n v="4"/>
    <m/>
    <m/>
    <m/>
    <m/>
    <m/>
    <m/>
    <m/>
    <n v="1"/>
    <m/>
    <m/>
    <m/>
    <n v="2"/>
    <m/>
    <m/>
    <m/>
    <m/>
    <m/>
    <m/>
    <m/>
    <n v="2"/>
    <m/>
    <m/>
    <m/>
    <n v="5"/>
    <m/>
    <m/>
    <m/>
    <m/>
    <m/>
    <m/>
    <m/>
    <x v="1"/>
    <x v="1"/>
    <m/>
    <m/>
    <m/>
    <m/>
    <m/>
    <m/>
    <n v="2"/>
    <m/>
    <m/>
    <n v="2"/>
    <m/>
    <n v="1"/>
    <n v="1"/>
    <n v="16"/>
    <m/>
    <m/>
    <n v="1"/>
    <n v="0.3"/>
    <m/>
    <n v="0.75"/>
    <n v="0.75"/>
    <m/>
    <n v="0.75"/>
    <m/>
    <m/>
    <m/>
    <m/>
    <m/>
    <m/>
    <m/>
    <s v="no test"/>
    <s v="no test"/>
    <s v="No Test"/>
    <n v="0"/>
    <n v="0"/>
    <n v="1"/>
    <n v="0"/>
    <n v="0"/>
    <n v="0"/>
    <n v="0"/>
    <n v="1"/>
    <n v="1"/>
    <n v="1"/>
    <n v="66"/>
    <n v="1"/>
    <n v="66"/>
    <n v="1"/>
    <n v="66"/>
    <n v="0.13200000000000001"/>
    <n v="0"/>
    <n v="0"/>
    <n v="0.86799999999999999"/>
    <n v="1"/>
    <n v="5"/>
    <n v="1"/>
    <n v="66"/>
    <n v="0"/>
    <n v="0"/>
    <n v="0"/>
    <n v="3"/>
    <n v="0"/>
    <n v="0"/>
    <n v="0"/>
    <n v="66"/>
    <n v="66"/>
    <n v="0"/>
    <n v="66"/>
    <n v="66"/>
    <n v="1"/>
    <n v="0"/>
    <n v="1"/>
    <n v="1"/>
    <n v="0"/>
    <n v="2"/>
    <n v="16"/>
    <n v="0"/>
    <n v="66"/>
    <s v="Yes"/>
    <s v=""/>
    <n v="0"/>
    <n v="0"/>
    <n v="0"/>
    <s v="Yes"/>
    <s v="KBC-MYT"/>
    <x v="0"/>
    <x v="0"/>
    <x v="0"/>
    <n v="25.599250000000001"/>
    <n v="96.306910999999999"/>
    <s v="MMR001CMP105"/>
    <x v="1"/>
    <m/>
    <n v="16"/>
    <n v="64"/>
  </r>
  <r>
    <x v="2"/>
    <x v="3"/>
    <x v="3"/>
    <s v="UNICEF"/>
    <x v="1"/>
    <x v="14"/>
    <x v="0"/>
    <x v="159"/>
    <n v="27"/>
    <n v="162"/>
    <d v="2021-11-11T00:00:00"/>
    <d v="2022-11-10T00:00:00"/>
    <m/>
    <m/>
    <m/>
    <m/>
    <m/>
    <m/>
    <m/>
    <m/>
    <m/>
    <m/>
    <m/>
    <m/>
    <m/>
    <m/>
    <m/>
    <m/>
    <m/>
    <m/>
    <m/>
    <m/>
    <m/>
    <m/>
    <m/>
    <m/>
    <m/>
    <m/>
    <m/>
    <m/>
    <m/>
    <m/>
    <m/>
    <m/>
    <m/>
    <m/>
    <m/>
    <m/>
    <m/>
    <m/>
    <x v="0"/>
    <x v="0"/>
    <m/>
    <m/>
    <m/>
    <m/>
    <m/>
    <m/>
    <n v="7"/>
    <m/>
    <m/>
    <n v="4"/>
    <m/>
    <m/>
    <m/>
    <m/>
    <m/>
    <s v="Yes"/>
    <m/>
    <m/>
    <m/>
    <m/>
    <m/>
    <m/>
    <m/>
    <m/>
    <m/>
    <m/>
    <m/>
    <m/>
    <m/>
    <m/>
    <s v="no test"/>
    <s v="no test"/>
    <s v="No Test"/>
    <n v="0"/>
    <n v="0"/>
    <n v="0"/>
    <n v="0"/>
    <n v="0"/>
    <n v="0"/>
    <n v="0"/>
    <n v="0"/>
    <n v="0"/>
    <n v="0"/>
    <n v="0"/>
    <n v="0"/>
    <n v="0"/>
    <n v="0"/>
    <n v="0"/>
    <n v="0"/>
    <n v="1"/>
    <n v="162"/>
    <n v="1"/>
    <n v="1"/>
    <n v="0"/>
    <n v="0"/>
    <n v="0"/>
    <n v="0"/>
    <n v="0"/>
    <n v="0"/>
    <n v="8"/>
    <n v="8"/>
    <n v="1"/>
    <n v="0"/>
    <n v="0"/>
    <n v="0"/>
    <n v="0"/>
    <n v="0"/>
    <n v="0"/>
    <n v="0"/>
    <n v="1"/>
    <n v="0"/>
    <n v="0"/>
    <n v="0"/>
    <n v="7"/>
    <n v="27"/>
    <n v="0"/>
    <n v="162"/>
    <s v="No"/>
    <s v=""/>
    <n v="0"/>
    <n v="0"/>
    <n v="0"/>
    <n v="0"/>
    <n v="0"/>
    <x v="0"/>
    <x v="2"/>
    <x v="0"/>
    <n v="23.400155999999999"/>
    <n v="98.220614999999995"/>
    <s v="MMR015CMP071"/>
    <x v="1"/>
    <m/>
    <n v="27"/>
    <n v="162"/>
  </r>
  <r>
    <x v="2"/>
    <x v="3"/>
    <x v="3"/>
    <s v="UNICEF, MHF"/>
    <x v="1"/>
    <x v="15"/>
    <x v="1"/>
    <x v="160"/>
    <n v="23"/>
    <n v="103"/>
    <d v="2021-11-11T00:00:00"/>
    <d v="2022-11-10T00:00:00"/>
    <m/>
    <m/>
    <m/>
    <m/>
    <s v="Yes"/>
    <n v="5"/>
    <n v="1"/>
    <n v="1"/>
    <m/>
    <m/>
    <m/>
    <n v="1"/>
    <m/>
    <m/>
    <m/>
    <m/>
    <m/>
    <m/>
    <m/>
    <m/>
    <m/>
    <m/>
    <m/>
    <m/>
    <m/>
    <m/>
    <m/>
    <m/>
    <m/>
    <m/>
    <n v="23"/>
    <m/>
    <m/>
    <m/>
    <m/>
    <m/>
    <m/>
    <m/>
    <x v="0"/>
    <x v="0"/>
    <m/>
    <m/>
    <m/>
    <m/>
    <m/>
    <m/>
    <n v="3"/>
    <m/>
    <m/>
    <n v="2"/>
    <m/>
    <m/>
    <m/>
    <m/>
    <m/>
    <s v="Yes"/>
    <m/>
    <m/>
    <m/>
    <m/>
    <m/>
    <m/>
    <m/>
    <m/>
    <m/>
    <m/>
    <m/>
    <m/>
    <m/>
    <m/>
    <s v="no test"/>
    <s v="no test"/>
    <s v="No Test"/>
    <n v="1"/>
    <n v="1"/>
    <n v="0"/>
    <n v="0"/>
    <n v="0"/>
    <n v="0"/>
    <n v="0"/>
    <n v="1"/>
    <n v="1"/>
    <n v="1"/>
    <n v="103"/>
    <n v="0"/>
    <n v="0"/>
    <n v="1"/>
    <n v="103"/>
    <n v="0.20599999999999999"/>
    <n v="0"/>
    <n v="0"/>
    <n v="0.79400000000000004"/>
    <n v="1"/>
    <n v="23"/>
    <n v="1"/>
    <n v="103"/>
    <n v="0"/>
    <n v="0"/>
    <n v="0"/>
    <n v="5"/>
    <n v="0"/>
    <n v="0"/>
    <n v="0"/>
    <n v="0"/>
    <n v="0"/>
    <n v="0"/>
    <n v="0"/>
    <n v="0"/>
    <n v="0"/>
    <n v="1"/>
    <n v="0"/>
    <n v="0"/>
    <n v="0"/>
    <n v="3"/>
    <n v="23"/>
    <n v="0"/>
    <n v="103"/>
    <s v="No"/>
    <s v=""/>
    <n v="0"/>
    <n v="0"/>
    <n v="0"/>
    <n v="0"/>
    <n v="0"/>
    <x v="0"/>
    <x v="3"/>
    <x v="0"/>
    <n v="0"/>
    <n v="0"/>
    <n v="0"/>
    <x v="1"/>
    <m/>
    <n v="0"/>
    <n v="0"/>
  </r>
  <r>
    <x v="2"/>
    <x v="3"/>
    <x v="3"/>
    <s v="UNICEF, USAID"/>
    <x v="1"/>
    <x v="14"/>
    <x v="0"/>
    <x v="161"/>
    <n v="74"/>
    <n v="439"/>
    <d v="2021-11-11T00:00:00"/>
    <d v="2022-11-10T00:00:00"/>
    <m/>
    <n v="1"/>
    <m/>
    <m/>
    <s v="Yes"/>
    <n v="5"/>
    <n v="1"/>
    <m/>
    <m/>
    <m/>
    <m/>
    <m/>
    <m/>
    <m/>
    <n v="14"/>
    <m/>
    <m/>
    <m/>
    <m/>
    <m/>
    <m/>
    <m/>
    <m/>
    <m/>
    <m/>
    <m/>
    <m/>
    <m/>
    <m/>
    <m/>
    <n v="40"/>
    <m/>
    <m/>
    <m/>
    <m/>
    <m/>
    <m/>
    <m/>
    <x v="0"/>
    <x v="0"/>
    <m/>
    <m/>
    <m/>
    <m/>
    <m/>
    <m/>
    <n v="3"/>
    <m/>
    <m/>
    <n v="2"/>
    <m/>
    <m/>
    <n v="1"/>
    <m/>
    <m/>
    <s v="Yes"/>
    <n v="3"/>
    <n v="1"/>
    <m/>
    <m/>
    <m/>
    <m/>
    <m/>
    <m/>
    <m/>
    <m/>
    <m/>
    <m/>
    <m/>
    <m/>
    <s v="no test"/>
    <s v="no test"/>
    <s v="No Test"/>
    <n v="0"/>
    <n v="0"/>
    <n v="14"/>
    <n v="0"/>
    <n v="0"/>
    <n v="0"/>
    <n v="0"/>
    <n v="1"/>
    <n v="1"/>
    <n v="1"/>
    <n v="439"/>
    <n v="0"/>
    <n v="0"/>
    <n v="1"/>
    <n v="439"/>
    <n v="0.878"/>
    <n v="0"/>
    <n v="0"/>
    <n v="0.122"/>
    <n v="1"/>
    <n v="40"/>
    <n v="1"/>
    <n v="439"/>
    <n v="0"/>
    <n v="0"/>
    <n v="0"/>
    <n v="22"/>
    <n v="0"/>
    <n v="0"/>
    <n v="0"/>
    <n v="439"/>
    <n v="0"/>
    <n v="0"/>
    <n v="0"/>
    <n v="439"/>
    <n v="1"/>
    <n v="0"/>
    <n v="1"/>
    <n v="0"/>
    <n v="0"/>
    <n v="3"/>
    <n v="60"/>
    <n v="0"/>
    <n v="300"/>
    <s v="No"/>
    <s v=""/>
    <n v="0"/>
    <n v="0"/>
    <n v="0"/>
    <n v="0"/>
    <s v="uncovered"/>
    <x v="0"/>
    <x v="3"/>
    <x v="0"/>
    <n v="23.234137"/>
    <n v="97.505339000000006"/>
    <s v="MMR015CMP030"/>
    <x v="1"/>
    <m/>
    <n v="86"/>
    <n v="525"/>
  </r>
  <r>
    <x v="2"/>
    <x v="3"/>
    <x v="3"/>
    <s v="UNICEF, USAID"/>
    <x v="1"/>
    <x v="14"/>
    <x v="0"/>
    <x v="162"/>
    <n v="26"/>
    <n v="132"/>
    <d v="2021-11-11T00:00:00"/>
    <d v="2022-11-10T00:00:00"/>
    <m/>
    <m/>
    <m/>
    <m/>
    <m/>
    <n v="3"/>
    <n v="2"/>
    <m/>
    <m/>
    <m/>
    <m/>
    <m/>
    <m/>
    <m/>
    <n v="8"/>
    <m/>
    <m/>
    <m/>
    <m/>
    <m/>
    <m/>
    <m/>
    <m/>
    <m/>
    <m/>
    <m/>
    <m/>
    <m/>
    <m/>
    <m/>
    <n v="27"/>
    <m/>
    <m/>
    <m/>
    <m/>
    <m/>
    <m/>
    <n v="2"/>
    <x v="1"/>
    <x v="2"/>
    <m/>
    <m/>
    <m/>
    <m/>
    <m/>
    <m/>
    <n v="7"/>
    <m/>
    <m/>
    <n v="7"/>
    <m/>
    <m/>
    <n v="1"/>
    <m/>
    <m/>
    <m/>
    <m/>
    <m/>
    <m/>
    <m/>
    <m/>
    <m/>
    <m/>
    <m/>
    <m/>
    <m/>
    <m/>
    <m/>
    <m/>
    <m/>
    <s v="no test"/>
    <s v="no test"/>
    <s v="No Test"/>
    <n v="0"/>
    <n v="0"/>
    <n v="8"/>
    <n v="0"/>
    <n v="0"/>
    <n v="0"/>
    <n v="0"/>
    <n v="1"/>
    <n v="1"/>
    <n v="1"/>
    <n v="132"/>
    <n v="0"/>
    <n v="0"/>
    <n v="1"/>
    <n v="132"/>
    <n v="0.26400000000000001"/>
    <n v="0"/>
    <n v="0"/>
    <n v="0.73599999999999999"/>
    <n v="1"/>
    <n v="27"/>
    <n v="1"/>
    <n v="132"/>
    <n v="0"/>
    <n v="0"/>
    <n v="0"/>
    <n v="7"/>
    <n v="0"/>
    <n v="0"/>
    <n v="0"/>
    <n v="132"/>
    <n v="0"/>
    <n v="0"/>
    <n v="0"/>
    <n v="132"/>
    <n v="1"/>
    <n v="0"/>
    <n v="1"/>
    <n v="0"/>
    <n v="0"/>
    <n v="7"/>
    <n v="26"/>
    <n v="0"/>
    <n v="132"/>
    <s v="No"/>
    <s v=""/>
    <n v="0"/>
    <n v="0"/>
    <n v="0"/>
    <s v="Yes"/>
    <s v="KMSS-LSO"/>
    <x v="0"/>
    <x v="0"/>
    <x v="0"/>
    <n v="23.38503"/>
    <n v="97.837040000000002"/>
    <s v="MMR015CMP017"/>
    <x v="1"/>
    <m/>
    <n v="26"/>
    <n v="133"/>
  </r>
  <r>
    <x v="2"/>
    <x v="13"/>
    <x v="10"/>
    <s v="UNICEF"/>
    <x v="1"/>
    <x v="17"/>
    <x v="0"/>
    <x v="164"/>
    <n v="340"/>
    <n v="1674"/>
    <d v="2021-10-19T00:00:00"/>
    <d v="2022-10-18T00:00:00"/>
    <m/>
    <m/>
    <m/>
    <m/>
    <s v="Yes"/>
    <n v="2"/>
    <n v="2"/>
    <m/>
    <m/>
    <m/>
    <m/>
    <m/>
    <m/>
    <m/>
    <n v="24"/>
    <m/>
    <n v="14"/>
    <m/>
    <m/>
    <m/>
    <m/>
    <n v="1"/>
    <m/>
    <m/>
    <m/>
    <m/>
    <m/>
    <n v="1"/>
    <m/>
    <m/>
    <n v="30"/>
    <m/>
    <m/>
    <n v="16"/>
    <m/>
    <m/>
    <m/>
    <m/>
    <x v="2"/>
    <x v="2"/>
    <m/>
    <m/>
    <m/>
    <m/>
    <m/>
    <m/>
    <n v="3"/>
    <n v="2"/>
    <m/>
    <m/>
    <m/>
    <m/>
    <m/>
    <m/>
    <m/>
    <m/>
    <m/>
    <m/>
    <m/>
    <m/>
    <m/>
    <m/>
    <m/>
    <m/>
    <m/>
    <m/>
    <m/>
    <m/>
    <m/>
    <m/>
    <s v="no test"/>
    <s v="no test"/>
    <s v="No Test"/>
    <n v="0"/>
    <n v="0"/>
    <n v="24"/>
    <n v="0"/>
    <n v="0"/>
    <n v="500"/>
    <n v="0"/>
    <n v="0.95579450418160095"/>
    <n v="0.95579450418160095"/>
    <n v="0.95579450418160095"/>
    <n v="1600"/>
    <n v="0"/>
    <n v="0"/>
    <n v="0.95579450418160095"/>
    <n v="1600"/>
    <n v="3.2"/>
    <n v="4.4205495818399054E-2"/>
    <n v="74.000000000000014"/>
    <n v="0"/>
    <n v="3"/>
    <n v="14"/>
    <n v="0.16726403823178015"/>
    <n v="280"/>
    <n v="0"/>
    <n v="0"/>
    <n v="0"/>
    <n v="84"/>
    <n v="54"/>
    <n v="0.83273596176821985"/>
    <n v="0.53333333333333333"/>
    <n v="0"/>
    <n v="0"/>
    <n v="0"/>
    <n v="0"/>
    <n v="0"/>
    <n v="0"/>
    <n v="1"/>
    <n v="0"/>
    <n v="0"/>
    <n v="0"/>
    <n v="1"/>
    <n v="20"/>
    <n v="0"/>
    <n v="100"/>
    <s v="No"/>
    <s v=""/>
    <n v="0"/>
    <n v="500"/>
    <n v="0"/>
    <n v="0"/>
    <n v="0"/>
    <x v="0"/>
    <x v="3"/>
    <x v="0"/>
    <n v="23.420603"/>
    <n v="98.451791999999998"/>
    <s v="MMR015CMP069"/>
    <x v="1"/>
    <m/>
    <n v="166"/>
    <n v="830"/>
  </r>
  <r>
    <x v="2"/>
    <x v="3"/>
    <x v="3"/>
    <s v="UNICEF, USAID"/>
    <x v="1"/>
    <x v="18"/>
    <x v="0"/>
    <x v="165"/>
    <n v="180"/>
    <n v="934"/>
    <d v="2021-11-11T00:00:00"/>
    <d v="2022-11-10T00:00:00"/>
    <m/>
    <m/>
    <m/>
    <m/>
    <m/>
    <n v="5"/>
    <n v="1"/>
    <m/>
    <m/>
    <m/>
    <m/>
    <m/>
    <m/>
    <m/>
    <n v="18"/>
    <m/>
    <m/>
    <m/>
    <m/>
    <m/>
    <m/>
    <n v="1"/>
    <m/>
    <m/>
    <m/>
    <m/>
    <m/>
    <m/>
    <m/>
    <m/>
    <n v="40"/>
    <m/>
    <m/>
    <m/>
    <m/>
    <m/>
    <m/>
    <m/>
    <x v="2"/>
    <x v="3"/>
    <m/>
    <m/>
    <m/>
    <m/>
    <m/>
    <m/>
    <n v="1"/>
    <m/>
    <m/>
    <n v="6"/>
    <m/>
    <m/>
    <n v="2"/>
    <m/>
    <m/>
    <s v="Yes"/>
    <m/>
    <m/>
    <m/>
    <m/>
    <m/>
    <m/>
    <m/>
    <m/>
    <m/>
    <m/>
    <m/>
    <m/>
    <m/>
    <m/>
    <s v="no test"/>
    <s v="no test"/>
    <s v="No Test"/>
    <n v="0"/>
    <n v="0"/>
    <n v="18"/>
    <n v="0"/>
    <n v="0"/>
    <n v="0"/>
    <n v="0"/>
    <n v="1"/>
    <n v="1"/>
    <n v="1"/>
    <n v="934"/>
    <n v="0"/>
    <n v="0"/>
    <n v="1"/>
    <n v="934"/>
    <n v="1.8680000000000001"/>
    <n v="0"/>
    <n v="0"/>
    <n v="0.1319999999999999"/>
    <n v="2"/>
    <n v="40"/>
    <n v="0.85653104925053536"/>
    <n v="800"/>
    <n v="0"/>
    <n v="0"/>
    <n v="0"/>
    <n v="47"/>
    <n v="7"/>
    <n v="0.14346895074946464"/>
    <n v="0"/>
    <n v="934"/>
    <n v="0"/>
    <n v="0"/>
    <n v="0"/>
    <n v="934"/>
    <n v="1"/>
    <n v="0"/>
    <n v="1"/>
    <n v="0"/>
    <n v="0"/>
    <n v="1"/>
    <n v="20"/>
    <n v="0"/>
    <n v="100"/>
    <s v="No"/>
    <s v=""/>
    <n v="0"/>
    <n v="0"/>
    <n v="0"/>
    <s v="Yes"/>
    <s v="KBC-NSS"/>
    <x v="0"/>
    <x v="0"/>
    <x v="0"/>
    <n v="24.08738"/>
    <n v="98.115809999999996"/>
    <s v="MMR015CMP065"/>
    <x v="1"/>
    <m/>
    <n v="306"/>
    <n v="1573"/>
  </r>
  <r>
    <x v="2"/>
    <x v="3"/>
    <x v="3"/>
    <s v="UNICEF"/>
    <x v="1"/>
    <x v="19"/>
    <x v="2"/>
    <x v="166"/>
    <n v="19"/>
    <n v="77"/>
    <d v="2021-11-11T00:00:00"/>
    <d v="2022-11-10T00:00:00"/>
    <m/>
    <m/>
    <m/>
    <m/>
    <m/>
    <m/>
    <m/>
    <m/>
    <m/>
    <m/>
    <n v="1"/>
    <m/>
    <m/>
    <m/>
    <m/>
    <m/>
    <m/>
    <m/>
    <m/>
    <m/>
    <m/>
    <m/>
    <m/>
    <m/>
    <m/>
    <m/>
    <m/>
    <m/>
    <m/>
    <m/>
    <m/>
    <n v="4"/>
    <m/>
    <m/>
    <m/>
    <m/>
    <m/>
    <m/>
    <x v="0"/>
    <x v="0"/>
    <m/>
    <m/>
    <m/>
    <m/>
    <m/>
    <m/>
    <n v="8"/>
    <m/>
    <m/>
    <m/>
    <m/>
    <m/>
    <m/>
    <m/>
    <m/>
    <s v="Yes"/>
    <n v="3"/>
    <n v="1"/>
    <m/>
    <m/>
    <m/>
    <m/>
    <m/>
    <m/>
    <m/>
    <m/>
    <m/>
    <m/>
    <m/>
    <m/>
    <s v="no test"/>
    <s v="no test"/>
    <s v="No Test"/>
    <n v="0"/>
    <n v="1"/>
    <n v="0"/>
    <n v="0"/>
    <n v="0"/>
    <n v="0"/>
    <n v="0"/>
    <n v="1"/>
    <n v="1"/>
    <n v="1"/>
    <n v="77"/>
    <n v="0"/>
    <n v="0"/>
    <n v="1"/>
    <n v="77"/>
    <n v="0.154"/>
    <n v="0"/>
    <n v="0"/>
    <n v="0.84599999999999997"/>
    <n v="1"/>
    <n v="4"/>
    <n v="0.25974025974025972"/>
    <n v="20"/>
    <n v="0"/>
    <n v="0"/>
    <n v="0"/>
    <n v="13"/>
    <n v="9"/>
    <n v="0.74025974025974028"/>
    <n v="0"/>
    <n v="0"/>
    <n v="0"/>
    <n v="0"/>
    <n v="0"/>
    <n v="0"/>
    <n v="0"/>
    <n v="1"/>
    <n v="0"/>
    <n v="0"/>
    <n v="0"/>
    <n v="8"/>
    <n v="19"/>
    <n v="0"/>
    <n v="77"/>
    <s v="No"/>
    <s v=""/>
    <n v="0"/>
    <n v="0"/>
    <n v="0"/>
    <n v="0"/>
    <n v="0"/>
    <x v="2"/>
    <x v="8"/>
    <x v="0"/>
    <n v="23.078210830688501"/>
    <n v="97.411773681640597"/>
    <s v="MMR015CMP074"/>
    <x v="1"/>
    <m/>
    <n v="19"/>
    <n v="77"/>
  </r>
  <r>
    <x v="2"/>
    <x v="3"/>
    <x v="3"/>
    <s v="UNICEF, USAID"/>
    <x v="1"/>
    <x v="14"/>
    <x v="0"/>
    <x v="167"/>
    <n v="29"/>
    <n v="130"/>
    <d v="2021-11-11T00:00:00"/>
    <d v="2022-11-10T00:00:00"/>
    <m/>
    <n v="1"/>
    <m/>
    <m/>
    <s v="Yes"/>
    <n v="4"/>
    <n v="5"/>
    <m/>
    <m/>
    <m/>
    <m/>
    <m/>
    <m/>
    <m/>
    <n v="13"/>
    <m/>
    <m/>
    <m/>
    <m/>
    <m/>
    <m/>
    <m/>
    <m/>
    <m/>
    <m/>
    <m/>
    <m/>
    <m/>
    <m/>
    <m/>
    <n v="30"/>
    <m/>
    <m/>
    <m/>
    <m/>
    <m/>
    <m/>
    <m/>
    <x v="1"/>
    <x v="1"/>
    <m/>
    <m/>
    <m/>
    <m/>
    <m/>
    <m/>
    <n v="7"/>
    <m/>
    <m/>
    <n v="1"/>
    <m/>
    <m/>
    <n v="1"/>
    <m/>
    <m/>
    <s v="Yes"/>
    <n v="3"/>
    <n v="1"/>
    <m/>
    <m/>
    <m/>
    <m/>
    <m/>
    <m/>
    <m/>
    <m/>
    <m/>
    <m/>
    <m/>
    <m/>
    <s v="no test"/>
    <s v="no test"/>
    <s v="No Test"/>
    <n v="0"/>
    <n v="0"/>
    <n v="13"/>
    <n v="0"/>
    <n v="0"/>
    <n v="0"/>
    <n v="0"/>
    <n v="1"/>
    <n v="1"/>
    <n v="1"/>
    <n v="130"/>
    <n v="0"/>
    <n v="0"/>
    <n v="1"/>
    <n v="130"/>
    <n v="0.26"/>
    <n v="0"/>
    <n v="0"/>
    <n v="0.74"/>
    <n v="1"/>
    <n v="30"/>
    <n v="1"/>
    <n v="130"/>
    <n v="0"/>
    <n v="0"/>
    <n v="0"/>
    <n v="7"/>
    <n v="0"/>
    <n v="0"/>
    <n v="0"/>
    <n v="130"/>
    <n v="0"/>
    <n v="0"/>
    <n v="0"/>
    <n v="130"/>
    <n v="1"/>
    <n v="0"/>
    <n v="1"/>
    <n v="0"/>
    <n v="0"/>
    <n v="7"/>
    <n v="29"/>
    <n v="0"/>
    <n v="130"/>
    <s v="No"/>
    <s v=""/>
    <n v="0"/>
    <n v="0"/>
    <n v="0"/>
    <s v="Yes"/>
    <s v="KMSS-LSO"/>
    <x v="0"/>
    <x v="0"/>
    <x v="0"/>
    <n v="23.638999999999999"/>
    <n v="97.861999999999995"/>
    <s v="MMR015CMP068"/>
    <x v="1"/>
    <m/>
    <n v="31"/>
    <n v="133"/>
  </r>
  <r>
    <x v="2"/>
    <x v="3"/>
    <x v="3"/>
    <s v="UNICEF, USAID"/>
    <x v="1"/>
    <x v="14"/>
    <x v="0"/>
    <x v="168"/>
    <n v="40"/>
    <n v="244"/>
    <d v="2021-11-11T00:00:00"/>
    <d v="2022-11-10T00:00:00"/>
    <m/>
    <n v="1"/>
    <m/>
    <m/>
    <s v="Yes"/>
    <n v="3"/>
    <n v="3"/>
    <n v="1"/>
    <m/>
    <m/>
    <n v="1"/>
    <n v="2"/>
    <m/>
    <n v="1"/>
    <m/>
    <m/>
    <m/>
    <m/>
    <m/>
    <m/>
    <m/>
    <m/>
    <m/>
    <m/>
    <m/>
    <m/>
    <m/>
    <m/>
    <m/>
    <m/>
    <n v="12"/>
    <m/>
    <m/>
    <m/>
    <m/>
    <m/>
    <m/>
    <m/>
    <x v="1"/>
    <x v="2"/>
    <m/>
    <m/>
    <n v="1"/>
    <m/>
    <m/>
    <m/>
    <n v="7"/>
    <m/>
    <m/>
    <n v="1"/>
    <m/>
    <m/>
    <n v="1"/>
    <m/>
    <m/>
    <s v="Yes"/>
    <n v="3"/>
    <n v="1"/>
    <m/>
    <m/>
    <m/>
    <m/>
    <m/>
    <m/>
    <m/>
    <m/>
    <m/>
    <m/>
    <m/>
    <m/>
    <s v="no test"/>
    <s v="no test"/>
    <s v="No Test"/>
    <n v="1"/>
    <n v="3"/>
    <n v="0"/>
    <n v="0"/>
    <n v="0"/>
    <n v="0"/>
    <n v="0"/>
    <n v="1"/>
    <n v="1"/>
    <n v="1"/>
    <n v="244"/>
    <n v="0"/>
    <n v="0"/>
    <n v="1"/>
    <n v="244"/>
    <n v="0.48799999999999999"/>
    <n v="0"/>
    <n v="0"/>
    <n v="0.51200000000000001"/>
    <n v="1"/>
    <n v="12"/>
    <n v="0.98360655737704916"/>
    <n v="240"/>
    <n v="0"/>
    <n v="0"/>
    <n v="0"/>
    <n v="12"/>
    <n v="0"/>
    <n v="1.6393442622950838E-2"/>
    <n v="0"/>
    <n v="244"/>
    <n v="0"/>
    <n v="0"/>
    <n v="0"/>
    <n v="244"/>
    <n v="1"/>
    <n v="0"/>
    <n v="1"/>
    <n v="0"/>
    <n v="0"/>
    <n v="7"/>
    <n v="40"/>
    <n v="0"/>
    <n v="244"/>
    <s v="No"/>
    <s v=""/>
    <n v="0"/>
    <n v="0"/>
    <n v="0"/>
    <s v="Yes"/>
    <s v="KBC-NSS"/>
    <x v="0"/>
    <x v="0"/>
    <x v="0"/>
    <n v="23.450914000000001"/>
    <n v="97.926813999999993"/>
    <s v="MMR015CMP016"/>
    <x v="1"/>
    <m/>
    <n v="40"/>
    <n v="251"/>
  </r>
  <r>
    <x v="2"/>
    <x v="3"/>
    <x v="3"/>
    <s v="UNICEF, USAID"/>
    <x v="1"/>
    <x v="14"/>
    <x v="0"/>
    <x v="169"/>
    <n v="38"/>
    <n v="180"/>
    <d v="2021-11-11T00:00:00"/>
    <d v="2022-11-10T00:00:00"/>
    <m/>
    <m/>
    <m/>
    <m/>
    <m/>
    <n v="4"/>
    <n v="5"/>
    <n v="1"/>
    <m/>
    <m/>
    <n v="1"/>
    <m/>
    <m/>
    <m/>
    <m/>
    <m/>
    <m/>
    <m/>
    <m/>
    <m/>
    <m/>
    <m/>
    <m/>
    <m/>
    <m/>
    <m/>
    <m/>
    <m/>
    <m/>
    <m/>
    <n v="9"/>
    <m/>
    <m/>
    <m/>
    <m/>
    <m/>
    <m/>
    <m/>
    <x v="1"/>
    <x v="1"/>
    <m/>
    <m/>
    <m/>
    <m/>
    <m/>
    <m/>
    <n v="4"/>
    <m/>
    <m/>
    <n v="2"/>
    <m/>
    <m/>
    <n v="1"/>
    <m/>
    <m/>
    <s v="Yes"/>
    <n v="3"/>
    <n v="1"/>
    <m/>
    <m/>
    <m/>
    <m/>
    <m/>
    <m/>
    <m/>
    <m/>
    <m/>
    <m/>
    <m/>
    <m/>
    <s v="no test"/>
    <s v="no test"/>
    <s v="No Test"/>
    <n v="1"/>
    <n v="1"/>
    <n v="0"/>
    <n v="0"/>
    <n v="0"/>
    <n v="0"/>
    <n v="0"/>
    <n v="1"/>
    <n v="1"/>
    <n v="1"/>
    <n v="180"/>
    <n v="0"/>
    <n v="0"/>
    <n v="1"/>
    <n v="180"/>
    <n v="0.36"/>
    <n v="0"/>
    <n v="0"/>
    <n v="0.64"/>
    <n v="1"/>
    <n v="9"/>
    <n v="1"/>
    <n v="180"/>
    <n v="0"/>
    <n v="0"/>
    <n v="0"/>
    <n v="9"/>
    <n v="0"/>
    <n v="0"/>
    <n v="0"/>
    <n v="180"/>
    <n v="0"/>
    <n v="0"/>
    <n v="0"/>
    <n v="180"/>
    <n v="1"/>
    <n v="0"/>
    <n v="1"/>
    <n v="0"/>
    <n v="0"/>
    <n v="4"/>
    <n v="38"/>
    <n v="0"/>
    <n v="180"/>
    <s v="No"/>
    <s v=""/>
    <n v="0"/>
    <n v="0"/>
    <n v="0"/>
    <s v="Yes"/>
    <s v="KBC-NSS"/>
    <x v="0"/>
    <x v="0"/>
    <x v="0"/>
    <n v="23.460349999999998"/>
    <n v="97.947360000000003"/>
    <s v="MMR015CMP063"/>
    <x v="1"/>
    <m/>
    <n v="36"/>
    <n v="158"/>
  </r>
  <r>
    <x v="2"/>
    <x v="0"/>
    <x v="0"/>
    <m/>
    <x v="1"/>
    <x v="20"/>
    <x v="0"/>
    <x v="170"/>
    <n v="142"/>
    <n v="504"/>
    <m/>
    <m/>
    <m/>
    <m/>
    <m/>
    <m/>
    <m/>
    <m/>
    <m/>
    <m/>
    <m/>
    <m/>
    <m/>
    <m/>
    <m/>
    <m/>
    <m/>
    <m/>
    <m/>
    <m/>
    <m/>
    <m/>
    <m/>
    <m/>
    <m/>
    <m/>
    <m/>
    <m/>
    <m/>
    <m/>
    <m/>
    <m/>
    <m/>
    <m/>
    <m/>
    <m/>
    <m/>
    <m/>
    <m/>
    <m/>
    <x v="0"/>
    <x v="0"/>
    <m/>
    <m/>
    <m/>
    <m/>
    <m/>
    <m/>
    <m/>
    <m/>
    <m/>
    <m/>
    <m/>
    <m/>
    <m/>
    <m/>
    <m/>
    <m/>
    <m/>
    <m/>
    <m/>
    <m/>
    <m/>
    <m/>
    <m/>
    <m/>
    <m/>
    <m/>
    <m/>
    <m/>
    <m/>
    <m/>
    <s v="no test"/>
    <s v="no test"/>
    <s v="No Test"/>
    <n v="0"/>
    <n v="0"/>
    <n v="0"/>
    <n v="0"/>
    <n v="0"/>
    <n v="0"/>
    <n v="0"/>
    <n v="0"/>
    <n v="0"/>
    <n v="0"/>
    <n v="0"/>
    <n v="0"/>
    <n v="0"/>
    <n v="0"/>
    <n v="0"/>
    <n v="0"/>
    <n v="1"/>
    <n v="504"/>
    <n v="1"/>
    <n v="1"/>
    <n v="0"/>
    <n v="0"/>
    <n v="0"/>
    <n v="0"/>
    <n v="0"/>
    <n v="0"/>
    <n v="25"/>
    <n v="25"/>
    <n v="1"/>
    <n v="0"/>
    <n v="0"/>
    <n v="0"/>
    <n v="0"/>
    <n v="0"/>
    <n v="0"/>
    <n v="0"/>
    <n v="1"/>
    <n v="0"/>
    <n v="0"/>
    <n v="0"/>
    <n v="0"/>
    <n v="0"/>
    <n v="0"/>
    <n v="0"/>
    <s v="No"/>
    <s v=""/>
    <n v="0"/>
    <n v="0"/>
    <n v="0"/>
    <n v="0"/>
    <s v="uncovered"/>
    <x v="0"/>
    <x v="2"/>
    <x v="0"/>
    <n v="22.325900000000001"/>
    <n v="97.021000000000001"/>
    <s v="MMR015CMP075"/>
    <x v="0"/>
    <m/>
    <n v="1036"/>
    <n v="3986"/>
  </r>
  <r>
    <x v="2"/>
    <x v="3"/>
    <x v="3"/>
    <s v="UNICEF, USAID"/>
    <x v="1"/>
    <x v="19"/>
    <x v="0"/>
    <x v="171"/>
    <n v="60"/>
    <n v="270"/>
    <d v="2021-11-11T00:00:00"/>
    <d v="2022-11-10T00:00:00"/>
    <m/>
    <m/>
    <n v="1"/>
    <m/>
    <s v="Yes"/>
    <n v="4"/>
    <n v="3"/>
    <n v="1"/>
    <m/>
    <m/>
    <n v="1"/>
    <n v="1"/>
    <m/>
    <n v="1"/>
    <m/>
    <m/>
    <m/>
    <m/>
    <m/>
    <m/>
    <m/>
    <m/>
    <m/>
    <m/>
    <m/>
    <m/>
    <n v="2"/>
    <m/>
    <m/>
    <m/>
    <n v="16"/>
    <m/>
    <m/>
    <m/>
    <m/>
    <m/>
    <m/>
    <m/>
    <x v="1"/>
    <x v="1"/>
    <m/>
    <m/>
    <m/>
    <m/>
    <m/>
    <m/>
    <n v="11"/>
    <m/>
    <m/>
    <n v="2"/>
    <m/>
    <m/>
    <n v="1"/>
    <m/>
    <m/>
    <s v="Yes"/>
    <n v="3"/>
    <n v="1"/>
    <m/>
    <m/>
    <m/>
    <m/>
    <m/>
    <m/>
    <m/>
    <m/>
    <m/>
    <m/>
    <m/>
    <m/>
    <s v="no test"/>
    <s v="no test"/>
    <s v="No Test"/>
    <n v="1"/>
    <n v="2"/>
    <n v="0"/>
    <n v="0"/>
    <n v="0"/>
    <n v="0"/>
    <n v="0"/>
    <n v="1"/>
    <n v="1"/>
    <n v="1"/>
    <n v="270"/>
    <n v="0"/>
    <n v="0"/>
    <n v="1"/>
    <n v="270"/>
    <n v="0.54"/>
    <n v="0"/>
    <n v="0"/>
    <n v="0.45999999999999996"/>
    <n v="1"/>
    <n v="16"/>
    <n v="1"/>
    <n v="270"/>
    <n v="0"/>
    <n v="0"/>
    <n v="0"/>
    <n v="14"/>
    <n v="0"/>
    <n v="0"/>
    <n v="0"/>
    <n v="270"/>
    <n v="0"/>
    <n v="0"/>
    <n v="0"/>
    <n v="270"/>
    <n v="1"/>
    <n v="0"/>
    <n v="1"/>
    <n v="0"/>
    <n v="0"/>
    <n v="11"/>
    <n v="60"/>
    <n v="2"/>
    <n v="270"/>
    <s v="No"/>
    <s v=""/>
    <n v="0"/>
    <n v="0"/>
    <n v="0"/>
    <s v="Yes"/>
    <s v="KMSS-LSO"/>
    <x v="0"/>
    <x v="0"/>
    <x v="0"/>
    <n v="23.099304"/>
    <n v="97.400671000000003"/>
    <s v="MMR015CMP066"/>
    <x v="1"/>
    <m/>
    <n v="60"/>
    <n v="272"/>
  </r>
  <r>
    <x v="2"/>
    <x v="0"/>
    <x v="0"/>
    <m/>
    <x v="1"/>
    <x v="17"/>
    <x v="2"/>
    <x v="196"/>
    <n v="219"/>
    <n v="653"/>
    <m/>
    <m/>
    <m/>
    <m/>
    <m/>
    <m/>
    <m/>
    <m/>
    <m/>
    <m/>
    <m/>
    <m/>
    <m/>
    <m/>
    <m/>
    <m/>
    <m/>
    <m/>
    <m/>
    <m/>
    <m/>
    <m/>
    <m/>
    <m/>
    <m/>
    <m/>
    <m/>
    <m/>
    <m/>
    <m/>
    <m/>
    <m/>
    <m/>
    <m/>
    <m/>
    <m/>
    <m/>
    <m/>
    <m/>
    <m/>
    <x v="0"/>
    <x v="0"/>
    <m/>
    <m/>
    <m/>
    <m/>
    <m/>
    <m/>
    <m/>
    <m/>
    <m/>
    <m/>
    <m/>
    <m/>
    <m/>
    <m/>
    <m/>
    <m/>
    <m/>
    <m/>
    <m/>
    <m/>
    <m/>
    <m/>
    <m/>
    <m/>
    <m/>
    <m/>
    <m/>
    <m/>
    <m/>
    <m/>
    <s v="no test"/>
    <s v="no test"/>
    <s v="No Test"/>
    <n v="0"/>
    <n v="0"/>
    <n v="0"/>
    <n v="0"/>
    <n v="0"/>
    <n v="0"/>
    <n v="0"/>
    <n v="0"/>
    <n v="0"/>
    <n v="0"/>
    <n v="0"/>
    <n v="0"/>
    <n v="0"/>
    <n v="0"/>
    <n v="0"/>
    <n v="0"/>
    <n v="1"/>
    <n v="653"/>
    <n v="1"/>
    <n v="1"/>
    <n v="0"/>
    <n v="0"/>
    <n v="0"/>
    <n v="0"/>
    <n v="0"/>
    <n v="0"/>
    <n v="109"/>
    <n v="109"/>
    <n v="1"/>
    <n v="0"/>
    <n v="0"/>
    <n v="0"/>
    <n v="0"/>
    <n v="0"/>
    <n v="0"/>
    <n v="0"/>
    <n v="1"/>
    <n v="0"/>
    <n v="0"/>
    <n v="0"/>
    <n v="0"/>
    <n v="0"/>
    <n v="0"/>
    <n v="0"/>
    <s v="No"/>
    <s v=""/>
    <n v="0"/>
    <n v="0"/>
    <n v="0"/>
    <n v="0"/>
    <n v="0"/>
    <x v="2"/>
    <x v="9"/>
    <x v="0"/>
    <n v="23.415991000000002"/>
    <n v="98.471779999999995"/>
    <s v="MMR015CMP073"/>
    <x v="0"/>
    <m/>
    <n v="219"/>
    <n v="653"/>
  </r>
  <r>
    <x v="2"/>
    <x v="3"/>
    <x v="3"/>
    <s v="UNICEF, USAID"/>
    <x v="1"/>
    <x v="19"/>
    <x v="0"/>
    <x v="172"/>
    <n v="30"/>
    <n v="127"/>
    <d v="2021-11-11T00:00:00"/>
    <d v="2022-11-10T00:00:00"/>
    <m/>
    <m/>
    <n v="1"/>
    <m/>
    <s v="Yes"/>
    <n v="3"/>
    <n v="3"/>
    <m/>
    <m/>
    <m/>
    <n v="2"/>
    <n v="1"/>
    <m/>
    <n v="1"/>
    <m/>
    <m/>
    <m/>
    <m/>
    <m/>
    <m/>
    <m/>
    <m/>
    <m/>
    <m/>
    <m/>
    <m/>
    <m/>
    <m/>
    <m/>
    <m/>
    <n v="10"/>
    <n v="2"/>
    <m/>
    <m/>
    <m/>
    <m/>
    <m/>
    <n v="2"/>
    <x v="1"/>
    <x v="1"/>
    <m/>
    <m/>
    <m/>
    <m/>
    <m/>
    <m/>
    <n v="11"/>
    <m/>
    <m/>
    <n v="3"/>
    <m/>
    <m/>
    <n v="1"/>
    <m/>
    <m/>
    <s v="Yes"/>
    <n v="3"/>
    <n v="1"/>
    <m/>
    <m/>
    <m/>
    <m/>
    <m/>
    <m/>
    <m/>
    <m/>
    <m/>
    <m/>
    <m/>
    <m/>
    <s v="no test"/>
    <s v="no test"/>
    <s v="No Test"/>
    <n v="0"/>
    <n v="3"/>
    <n v="0"/>
    <n v="0"/>
    <n v="0"/>
    <n v="0"/>
    <n v="0"/>
    <n v="1"/>
    <n v="1"/>
    <n v="1"/>
    <n v="127"/>
    <n v="0"/>
    <n v="0"/>
    <n v="1"/>
    <n v="127"/>
    <n v="0.254"/>
    <n v="0"/>
    <n v="0"/>
    <n v="0.746"/>
    <n v="1"/>
    <n v="12"/>
    <n v="1"/>
    <n v="127"/>
    <n v="0"/>
    <n v="0"/>
    <n v="0"/>
    <n v="6"/>
    <n v="0"/>
    <n v="0"/>
    <n v="0"/>
    <n v="127"/>
    <n v="0"/>
    <n v="0"/>
    <n v="0"/>
    <n v="127"/>
    <n v="1"/>
    <n v="0"/>
    <n v="1"/>
    <n v="0"/>
    <n v="0"/>
    <n v="11"/>
    <n v="30"/>
    <n v="0"/>
    <n v="127"/>
    <s v="No"/>
    <s v=""/>
    <n v="0"/>
    <n v="0"/>
    <n v="0"/>
    <s v="Yes"/>
    <s v="KMSS-LSO"/>
    <x v="0"/>
    <x v="0"/>
    <x v="0"/>
    <n v="23.088011000000002"/>
    <n v="97.398698999999993"/>
    <s v="MMR015CMP050"/>
    <x v="1"/>
    <m/>
    <n v="30"/>
    <n v="129"/>
  </r>
  <r>
    <x v="2"/>
    <x v="3"/>
    <x v="3"/>
    <s v="UNICEF, USAID"/>
    <x v="1"/>
    <x v="14"/>
    <x v="0"/>
    <x v="173"/>
    <n v="74"/>
    <n v="502"/>
    <d v="2021-11-11T00:00:00"/>
    <d v="2022-11-10T00:00:00"/>
    <m/>
    <m/>
    <m/>
    <m/>
    <m/>
    <n v="6"/>
    <n v="3"/>
    <m/>
    <m/>
    <m/>
    <m/>
    <m/>
    <m/>
    <m/>
    <n v="8"/>
    <m/>
    <m/>
    <m/>
    <m/>
    <m/>
    <m/>
    <m/>
    <m/>
    <m/>
    <m/>
    <m/>
    <n v="1"/>
    <n v="2"/>
    <m/>
    <m/>
    <n v="85"/>
    <m/>
    <m/>
    <m/>
    <m/>
    <m/>
    <m/>
    <n v="5"/>
    <x v="1"/>
    <x v="3"/>
    <m/>
    <m/>
    <m/>
    <m/>
    <m/>
    <m/>
    <n v="2"/>
    <m/>
    <m/>
    <n v="1"/>
    <m/>
    <n v="1"/>
    <m/>
    <m/>
    <m/>
    <s v="Yes"/>
    <n v="3"/>
    <n v="1"/>
    <m/>
    <m/>
    <m/>
    <m/>
    <m/>
    <m/>
    <m/>
    <m/>
    <m/>
    <m/>
    <m/>
    <m/>
    <s v="no test"/>
    <s v="no test"/>
    <s v="No Test"/>
    <n v="0"/>
    <n v="0"/>
    <n v="8"/>
    <n v="0"/>
    <n v="0"/>
    <n v="502"/>
    <n v="0"/>
    <n v="1"/>
    <n v="1"/>
    <n v="1"/>
    <n v="502"/>
    <n v="0"/>
    <n v="0"/>
    <n v="1"/>
    <n v="502"/>
    <n v="1.004"/>
    <n v="0"/>
    <n v="0"/>
    <n v="0"/>
    <n v="1"/>
    <n v="85"/>
    <n v="1"/>
    <n v="502"/>
    <n v="0"/>
    <n v="0"/>
    <n v="0"/>
    <n v="25"/>
    <n v="0"/>
    <n v="0"/>
    <n v="0"/>
    <n v="500"/>
    <n v="0"/>
    <n v="0"/>
    <n v="0"/>
    <n v="500"/>
    <n v="0.99601593625498008"/>
    <n v="3.9840637450199168E-3"/>
    <n v="0.99601593625498008"/>
    <n v="0"/>
    <n v="0"/>
    <n v="2"/>
    <n v="40"/>
    <n v="1"/>
    <n v="200"/>
    <s v="No"/>
    <s v=""/>
    <n v="0"/>
    <n v="502"/>
    <n v="0"/>
    <s v="Yes"/>
    <s v="KMSS-LSO"/>
    <x v="0"/>
    <x v="0"/>
    <x v="0"/>
    <n v="23.591999999999999"/>
    <n v="97.796999999999997"/>
    <s v="MMR015CMP038"/>
    <x v="1"/>
    <m/>
    <n v="75"/>
    <n v="395"/>
  </r>
  <r>
    <x v="2"/>
    <x v="0"/>
    <x v="0"/>
    <m/>
    <x v="1"/>
    <x v="16"/>
    <x v="0"/>
    <x v="174"/>
    <n v="37"/>
    <n v="120"/>
    <m/>
    <m/>
    <m/>
    <m/>
    <m/>
    <m/>
    <m/>
    <m/>
    <m/>
    <m/>
    <m/>
    <m/>
    <m/>
    <m/>
    <m/>
    <m/>
    <m/>
    <m/>
    <m/>
    <m/>
    <m/>
    <m/>
    <m/>
    <m/>
    <m/>
    <m/>
    <m/>
    <m/>
    <m/>
    <m/>
    <m/>
    <m/>
    <m/>
    <m/>
    <m/>
    <m/>
    <m/>
    <m/>
    <m/>
    <m/>
    <x v="0"/>
    <x v="0"/>
    <m/>
    <m/>
    <m/>
    <m/>
    <m/>
    <m/>
    <n v="1"/>
    <m/>
    <m/>
    <n v="1"/>
    <m/>
    <m/>
    <m/>
    <m/>
    <m/>
    <m/>
    <m/>
    <m/>
    <m/>
    <m/>
    <m/>
    <m/>
    <m/>
    <m/>
    <m/>
    <m/>
    <m/>
    <m/>
    <m/>
    <m/>
    <s v="no test"/>
    <s v="no test"/>
    <s v="No Test"/>
    <n v="0"/>
    <n v="0"/>
    <n v="0"/>
    <n v="0"/>
    <n v="0"/>
    <n v="0"/>
    <n v="0"/>
    <n v="0"/>
    <n v="0"/>
    <n v="0"/>
    <n v="0"/>
    <n v="0"/>
    <n v="0"/>
    <n v="0"/>
    <n v="0"/>
    <n v="0"/>
    <n v="1"/>
    <n v="120"/>
    <n v="1"/>
    <n v="1"/>
    <n v="0"/>
    <n v="0"/>
    <n v="0"/>
    <n v="0"/>
    <n v="0"/>
    <n v="0"/>
    <n v="6"/>
    <n v="6"/>
    <n v="1"/>
    <n v="0"/>
    <n v="0"/>
    <n v="0"/>
    <n v="0"/>
    <n v="0"/>
    <n v="0"/>
    <n v="0"/>
    <n v="1"/>
    <n v="0"/>
    <n v="0"/>
    <n v="0"/>
    <n v="1"/>
    <n v="20"/>
    <n v="0"/>
    <n v="100"/>
    <s v="No"/>
    <s v=""/>
    <n v="0"/>
    <n v="0"/>
    <n v="0"/>
    <n v="0"/>
    <s v="uncovered"/>
    <x v="0"/>
    <x v="3"/>
    <x v="0"/>
    <n v="22.677008000000001"/>
    <n v="97.314762999999999"/>
    <s v="MMR015CMP062"/>
    <x v="0"/>
    <m/>
    <n v="37"/>
    <n v="120"/>
  </r>
  <r>
    <x v="2"/>
    <x v="3"/>
    <x v="3"/>
    <s v="UNICEF, USAID"/>
    <x v="1"/>
    <x v="14"/>
    <x v="0"/>
    <x v="175"/>
    <n v="26"/>
    <n v="104"/>
    <d v="2021-11-11T00:00:00"/>
    <d v="2022-11-10T00:00:00"/>
    <m/>
    <m/>
    <m/>
    <m/>
    <m/>
    <m/>
    <m/>
    <m/>
    <m/>
    <m/>
    <m/>
    <n v="1"/>
    <m/>
    <m/>
    <m/>
    <m/>
    <m/>
    <m/>
    <m/>
    <m/>
    <m/>
    <m/>
    <m/>
    <m/>
    <m/>
    <m/>
    <m/>
    <m/>
    <m/>
    <m/>
    <n v="4"/>
    <m/>
    <m/>
    <m/>
    <m/>
    <m/>
    <m/>
    <m/>
    <x v="0"/>
    <x v="0"/>
    <m/>
    <m/>
    <m/>
    <m/>
    <m/>
    <m/>
    <n v="8"/>
    <m/>
    <m/>
    <n v="3"/>
    <m/>
    <m/>
    <m/>
    <m/>
    <m/>
    <s v="Yes"/>
    <m/>
    <m/>
    <m/>
    <m/>
    <m/>
    <m/>
    <m/>
    <m/>
    <m/>
    <m/>
    <m/>
    <m/>
    <m/>
    <m/>
    <s v="no test"/>
    <s v="no test"/>
    <s v="No Test"/>
    <n v="0"/>
    <n v="1"/>
    <n v="0"/>
    <n v="0"/>
    <n v="0"/>
    <n v="0"/>
    <n v="0"/>
    <n v="1"/>
    <n v="1"/>
    <n v="1"/>
    <n v="104"/>
    <n v="0"/>
    <n v="0"/>
    <n v="1"/>
    <n v="104"/>
    <n v="0.20799999999999999"/>
    <n v="0"/>
    <n v="0"/>
    <n v="0.79200000000000004"/>
    <n v="1"/>
    <n v="4"/>
    <n v="0.76923076923076927"/>
    <n v="80"/>
    <n v="0"/>
    <n v="0"/>
    <n v="0"/>
    <n v="5"/>
    <n v="1"/>
    <n v="0.23076923076923073"/>
    <n v="0"/>
    <n v="0"/>
    <n v="0"/>
    <n v="0"/>
    <n v="0"/>
    <n v="0"/>
    <n v="0"/>
    <n v="1"/>
    <n v="0"/>
    <n v="0"/>
    <n v="0"/>
    <n v="8"/>
    <n v="26"/>
    <n v="0"/>
    <n v="104"/>
    <s v="No"/>
    <s v=""/>
    <n v="0"/>
    <n v="0"/>
    <n v="0"/>
    <n v="0"/>
    <s v="uncovered"/>
    <x v="0"/>
    <x v="3"/>
    <x v="0"/>
    <n v="23.621317999999999"/>
    <n v="97.795981999999995"/>
    <s v="MMR015CMP064"/>
    <x v="1"/>
    <m/>
    <n v="24"/>
    <n v="84"/>
  </r>
  <r>
    <x v="2"/>
    <x v="3"/>
    <x v="3"/>
    <s v="UNICEF"/>
    <x v="1"/>
    <x v="20"/>
    <x v="0"/>
    <x v="197"/>
    <n v="11"/>
    <n v="40"/>
    <d v="2021-11-11T00:00:00"/>
    <d v="2022-11-10T00:00:00"/>
    <m/>
    <m/>
    <m/>
    <m/>
    <m/>
    <m/>
    <m/>
    <m/>
    <m/>
    <m/>
    <m/>
    <m/>
    <m/>
    <m/>
    <m/>
    <m/>
    <m/>
    <m/>
    <m/>
    <m/>
    <m/>
    <m/>
    <m/>
    <m/>
    <m/>
    <m/>
    <m/>
    <m/>
    <m/>
    <m/>
    <m/>
    <n v="3"/>
    <m/>
    <m/>
    <m/>
    <m/>
    <m/>
    <m/>
    <x v="0"/>
    <x v="0"/>
    <m/>
    <m/>
    <m/>
    <m/>
    <m/>
    <m/>
    <m/>
    <m/>
    <m/>
    <m/>
    <m/>
    <m/>
    <m/>
    <m/>
    <m/>
    <s v="Yes"/>
    <m/>
    <m/>
    <m/>
    <m/>
    <m/>
    <m/>
    <m/>
    <m/>
    <m/>
    <m/>
    <m/>
    <m/>
    <m/>
    <m/>
    <s v="no test"/>
    <s v="no test"/>
    <s v="No Test"/>
    <n v="0"/>
    <n v="0"/>
    <n v="0"/>
    <n v="0"/>
    <n v="0"/>
    <n v="0"/>
    <n v="0"/>
    <n v="0"/>
    <n v="0"/>
    <n v="0"/>
    <n v="0"/>
    <n v="0"/>
    <n v="0"/>
    <n v="0"/>
    <n v="0"/>
    <n v="0"/>
    <n v="1"/>
    <n v="40"/>
    <n v="1"/>
    <n v="1"/>
    <n v="3"/>
    <n v="1"/>
    <n v="40"/>
    <n v="0"/>
    <n v="0"/>
    <n v="0"/>
    <n v="2"/>
    <n v="0"/>
    <n v="0"/>
    <n v="0"/>
    <n v="0"/>
    <n v="0"/>
    <n v="0"/>
    <n v="0"/>
    <n v="0"/>
    <n v="0"/>
    <n v="1"/>
    <n v="0"/>
    <n v="0"/>
    <n v="0"/>
    <n v="0"/>
    <n v="0"/>
    <n v="0"/>
    <n v="0"/>
    <s v="No"/>
    <s v=""/>
    <n v="0"/>
    <n v="0"/>
    <n v="0"/>
    <n v="0"/>
    <n v="0"/>
    <x v="0"/>
    <x v="3"/>
    <x v="0"/>
    <n v="0"/>
    <n v="0"/>
    <s v="MMR015CMP077"/>
    <x v="1"/>
    <m/>
    <n v="11"/>
    <n v="40"/>
  </r>
  <r>
    <x v="2"/>
    <x v="3"/>
    <x v="3"/>
    <s v="UNICEF, USAID"/>
    <x v="1"/>
    <x v="21"/>
    <x v="0"/>
    <x v="176"/>
    <n v="28"/>
    <n v="125"/>
    <d v="2021-11-11T00:00:00"/>
    <d v="2022-11-10T00:00:00"/>
    <m/>
    <m/>
    <n v="1"/>
    <m/>
    <s v="Yes"/>
    <m/>
    <m/>
    <m/>
    <m/>
    <m/>
    <n v="1"/>
    <n v="1"/>
    <m/>
    <m/>
    <n v="1"/>
    <m/>
    <m/>
    <m/>
    <m/>
    <m/>
    <m/>
    <m/>
    <m/>
    <m/>
    <m/>
    <m/>
    <m/>
    <m/>
    <m/>
    <m/>
    <n v="18"/>
    <m/>
    <m/>
    <m/>
    <m/>
    <m/>
    <m/>
    <m/>
    <x v="1"/>
    <x v="1"/>
    <m/>
    <m/>
    <m/>
    <m/>
    <m/>
    <m/>
    <n v="7"/>
    <m/>
    <m/>
    <n v="5"/>
    <m/>
    <m/>
    <n v="1"/>
    <m/>
    <m/>
    <s v="Yes"/>
    <m/>
    <m/>
    <m/>
    <m/>
    <m/>
    <m/>
    <m/>
    <m/>
    <m/>
    <m/>
    <m/>
    <m/>
    <m/>
    <m/>
    <s v="no test"/>
    <s v="no test"/>
    <s v="No Test"/>
    <n v="0"/>
    <n v="2"/>
    <n v="1"/>
    <n v="0"/>
    <n v="0"/>
    <n v="0"/>
    <n v="0"/>
    <n v="1"/>
    <n v="1"/>
    <n v="1"/>
    <n v="125"/>
    <n v="0"/>
    <n v="0"/>
    <n v="1"/>
    <n v="125"/>
    <n v="0.25"/>
    <n v="0"/>
    <n v="0"/>
    <n v="0.75"/>
    <n v="1"/>
    <n v="18"/>
    <n v="1"/>
    <n v="125"/>
    <n v="0"/>
    <n v="0"/>
    <n v="0"/>
    <n v="6"/>
    <n v="0"/>
    <n v="0"/>
    <n v="0"/>
    <n v="125"/>
    <n v="0"/>
    <n v="0"/>
    <n v="0"/>
    <n v="125"/>
    <n v="1"/>
    <n v="0"/>
    <n v="1"/>
    <n v="0"/>
    <n v="0"/>
    <n v="7"/>
    <n v="28"/>
    <n v="0"/>
    <n v="125"/>
    <s v="No"/>
    <s v=""/>
    <n v="0"/>
    <n v="0"/>
    <n v="0"/>
    <s v="Yes"/>
    <s v="KBC-NSS"/>
    <x v="0"/>
    <x v="5"/>
    <x v="0"/>
    <n v="23.250678000000001"/>
    <n v="97.124403000000001"/>
    <s v="MMR015CMP009"/>
    <x v="1"/>
    <m/>
    <n v="28"/>
    <n v="147"/>
  </r>
  <r>
    <x v="2"/>
    <x v="14"/>
    <x v="12"/>
    <s v="UNICEF, USAID"/>
    <x v="1"/>
    <x v="21"/>
    <x v="0"/>
    <x v="177"/>
    <n v="30"/>
    <n v="157"/>
    <s v="11-11-2021, 07-01-2020"/>
    <s v="11-10-2022, 28-2-2022"/>
    <m/>
    <n v="2"/>
    <m/>
    <m/>
    <s v="Yes"/>
    <n v="2"/>
    <n v="8"/>
    <n v="1"/>
    <m/>
    <m/>
    <n v="2"/>
    <m/>
    <m/>
    <m/>
    <m/>
    <m/>
    <m/>
    <m/>
    <n v="2"/>
    <m/>
    <m/>
    <n v="1"/>
    <m/>
    <m/>
    <m/>
    <m/>
    <n v="4"/>
    <m/>
    <m/>
    <m/>
    <n v="38"/>
    <m/>
    <m/>
    <m/>
    <m/>
    <m/>
    <m/>
    <n v="38"/>
    <x v="1"/>
    <x v="1"/>
    <m/>
    <m/>
    <m/>
    <m/>
    <m/>
    <m/>
    <n v="4"/>
    <m/>
    <m/>
    <n v="2"/>
    <m/>
    <m/>
    <n v="2"/>
    <m/>
    <m/>
    <s v="Yes"/>
    <m/>
    <n v="1"/>
    <m/>
    <m/>
    <m/>
    <m/>
    <m/>
    <m/>
    <m/>
    <m/>
    <m/>
    <m/>
    <m/>
    <m/>
    <s v="no test"/>
    <s v="no test"/>
    <s v="No Test"/>
    <n v="1"/>
    <n v="2"/>
    <n v="0"/>
    <n v="0"/>
    <n v="0"/>
    <n v="0"/>
    <n v="0"/>
    <n v="1"/>
    <n v="1"/>
    <n v="1"/>
    <n v="157"/>
    <n v="1"/>
    <n v="157"/>
    <n v="1"/>
    <n v="157"/>
    <n v="0.314"/>
    <n v="0"/>
    <n v="0"/>
    <n v="0.68599999999999994"/>
    <n v="1"/>
    <n v="38"/>
    <n v="1"/>
    <n v="157"/>
    <n v="0"/>
    <n v="0"/>
    <n v="0"/>
    <n v="8"/>
    <n v="0"/>
    <n v="0"/>
    <n v="0"/>
    <n v="157"/>
    <n v="0"/>
    <n v="0"/>
    <n v="0"/>
    <n v="157"/>
    <n v="1"/>
    <n v="0"/>
    <n v="1"/>
    <n v="0"/>
    <n v="0"/>
    <n v="4"/>
    <n v="30"/>
    <n v="4"/>
    <n v="157"/>
    <s v="No"/>
    <s v=""/>
    <n v="0"/>
    <n v="0"/>
    <n v="0"/>
    <s v="Yes"/>
    <s v="KMSS-LSO"/>
    <x v="0"/>
    <x v="0"/>
    <x v="0"/>
    <n v="23.24661"/>
    <n v="97.116680000000002"/>
    <s v="MMR015CMP027"/>
    <x v="1"/>
    <m/>
    <n v="30"/>
    <n v="159"/>
  </r>
  <r>
    <x v="2"/>
    <x v="3"/>
    <x v="3"/>
    <s v="UNICEF"/>
    <x v="1"/>
    <x v="18"/>
    <x v="0"/>
    <x v="178"/>
    <n v="19"/>
    <n v="60"/>
    <d v="2021-11-11T00:00:00"/>
    <d v="2022-11-10T00:00:00"/>
    <m/>
    <m/>
    <m/>
    <m/>
    <m/>
    <m/>
    <m/>
    <m/>
    <m/>
    <m/>
    <m/>
    <m/>
    <m/>
    <m/>
    <m/>
    <m/>
    <m/>
    <m/>
    <m/>
    <m/>
    <m/>
    <m/>
    <m/>
    <m/>
    <m/>
    <m/>
    <m/>
    <m/>
    <m/>
    <m/>
    <m/>
    <m/>
    <m/>
    <m/>
    <m/>
    <m/>
    <m/>
    <m/>
    <x v="0"/>
    <x v="0"/>
    <m/>
    <m/>
    <m/>
    <m/>
    <m/>
    <m/>
    <n v="8"/>
    <m/>
    <m/>
    <n v="3"/>
    <m/>
    <m/>
    <m/>
    <m/>
    <m/>
    <s v="Yes"/>
    <m/>
    <m/>
    <m/>
    <m/>
    <m/>
    <m/>
    <m/>
    <m/>
    <m/>
    <m/>
    <m/>
    <m/>
    <m/>
    <m/>
    <s v="no test"/>
    <s v="no test"/>
    <s v="No Test"/>
    <n v="0"/>
    <n v="0"/>
    <n v="0"/>
    <n v="0"/>
    <n v="0"/>
    <n v="0"/>
    <n v="0"/>
    <n v="0"/>
    <n v="0"/>
    <n v="0"/>
    <n v="0"/>
    <n v="0"/>
    <n v="0"/>
    <n v="0"/>
    <n v="0"/>
    <n v="0"/>
    <n v="1"/>
    <n v="60"/>
    <n v="1"/>
    <n v="1"/>
    <n v="0"/>
    <n v="0"/>
    <n v="0"/>
    <n v="0"/>
    <n v="0"/>
    <n v="0"/>
    <n v="3"/>
    <n v="3"/>
    <n v="1"/>
    <n v="0"/>
    <n v="0"/>
    <n v="0"/>
    <n v="0"/>
    <n v="0"/>
    <n v="0"/>
    <n v="0"/>
    <n v="1"/>
    <n v="0"/>
    <n v="0"/>
    <n v="0"/>
    <n v="8"/>
    <n v="19"/>
    <n v="0"/>
    <n v="60"/>
    <s v="No"/>
    <s v=""/>
    <n v="0"/>
    <n v="0"/>
    <n v="0"/>
    <n v="0"/>
    <n v="0"/>
    <x v="0"/>
    <x v="2"/>
    <x v="0"/>
    <n v="23.963060379028299"/>
    <n v="98.127189636230497"/>
    <s v="MMR015CMP076"/>
    <x v="1"/>
    <m/>
    <n v="19"/>
    <n v="60"/>
  </r>
  <r>
    <x v="2"/>
    <x v="3"/>
    <x v="3"/>
    <s v="UNICEF, USAID"/>
    <x v="1"/>
    <x v="14"/>
    <x v="0"/>
    <x v="179"/>
    <n v="64"/>
    <n v="251"/>
    <d v="2021-11-11T00:00:00"/>
    <d v="2022-11-10T00:00:00"/>
    <m/>
    <n v="1"/>
    <m/>
    <m/>
    <s v="Yes"/>
    <n v="4"/>
    <n v="5"/>
    <m/>
    <m/>
    <m/>
    <m/>
    <m/>
    <m/>
    <m/>
    <n v="14"/>
    <m/>
    <m/>
    <m/>
    <m/>
    <m/>
    <m/>
    <n v="1"/>
    <m/>
    <m/>
    <m/>
    <m/>
    <n v="3"/>
    <m/>
    <m/>
    <m/>
    <n v="71"/>
    <m/>
    <m/>
    <m/>
    <m/>
    <m/>
    <m/>
    <m/>
    <x v="2"/>
    <x v="3"/>
    <m/>
    <m/>
    <n v="4"/>
    <m/>
    <m/>
    <m/>
    <n v="5"/>
    <m/>
    <m/>
    <n v="3"/>
    <m/>
    <n v="1"/>
    <m/>
    <m/>
    <m/>
    <s v="Yes"/>
    <n v="3"/>
    <n v="1"/>
    <m/>
    <m/>
    <m/>
    <m/>
    <m/>
    <m/>
    <m/>
    <m/>
    <m/>
    <m/>
    <m/>
    <m/>
    <s v="no test"/>
    <s v="no test"/>
    <s v="No Test"/>
    <n v="0"/>
    <n v="0"/>
    <n v="14"/>
    <n v="0"/>
    <n v="0"/>
    <n v="0"/>
    <n v="0"/>
    <n v="1"/>
    <n v="1"/>
    <n v="1"/>
    <n v="251"/>
    <n v="0"/>
    <n v="0"/>
    <n v="1"/>
    <n v="251"/>
    <n v="0.502"/>
    <n v="0"/>
    <n v="0"/>
    <n v="0.498"/>
    <n v="1"/>
    <n v="71"/>
    <n v="1"/>
    <n v="251"/>
    <n v="0"/>
    <n v="0"/>
    <n v="0"/>
    <n v="42"/>
    <n v="0"/>
    <n v="0"/>
    <n v="0"/>
    <n v="251"/>
    <n v="0"/>
    <n v="0"/>
    <n v="0"/>
    <n v="251"/>
    <n v="1"/>
    <n v="0"/>
    <n v="1"/>
    <n v="0"/>
    <n v="0"/>
    <n v="5"/>
    <n v="64"/>
    <n v="3"/>
    <n v="251"/>
    <s v="No"/>
    <s v=""/>
    <n v="0"/>
    <n v="0"/>
    <n v="0"/>
    <s v="Yes"/>
    <s v="KMSS-LSO"/>
    <x v="1"/>
    <x v="0"/>
    <x v="0"/>
    <n v="23.588920000000002"/>
    <n v="97.793019999999999"/>
    <s v="MMR015CMP018"/>
    <x v="1"/>
    <m/>
    <n v="66"/>
    <n v="248"/>
  </r>
  <r>
    <x v="2"/>
    <x v="3"/>
    <x v="3"/>
    <s v="UNICEF"/>
    <x v="1"/>
    <x v="20"/>
    <x v="0"/>
    <x v="198"/>
    <n v="9"/>
    <n v="28"/>
    <d v="2021-11-11T00:00:00"/>
    <d v="2022-11-10T00:00:00"/>
    <m/>
    <m/>
    <m/>
    <m/>
    <m/>
    <m/>
    <m/>
    <m/>
    <m/>
    <m/>
    <m/>
    <m/>
    <m/>
    <m/>
    <m/>
    <m/>
    <m/>
    <m/>
    <m/>
    <m/>
    <m/>
    <m/>
    <m/>
    <m/>
    <m/>
    <m/>
    <m/>
    <m/>
    <m/>
    <m/>
    <m/>
    <n v="6"/>
    <m/>
    <m/>
    <m/>
    <m/>
    <m/>
    <m/>
    <x v="0"/>
    <x v="0"/>
    <m/>
    <m/>
    <m/>
    <m/>
    <m/>
    <m/>
    <m/>
    <m/>
    <m/>
    <m/>
    <m/>
    <m/>
    <m/>
    <m/>
    <m/>
    <s v="Yes"/>
    <m/>
    <m/>
    <m/>
    <m/>
    <m/>
    <m/>
    <m/>
    <m/>
    <m/>
    <m/>
    <m/>
    <m/>
    <m/>
    <m/>
    <s v="no test"/>
    <s v="no test"/>
    <s v="No Test"/>
    <n v="0"/>
    <n v="0"/>
    <n v="0"/>
    <n v="0"/>
    <n v="0"/>
    <n v="0"/>
    <n v="0"/>
    <n v="0"/>
    <n v="0"/>
    <n v="0"/>
    <n v="0"/>
    <n v="0"/>
    <n v="0"/>
    <n v="0"/>
    <n v="0"/>
    <n v="0"/>
    <n v="1"/>
    <n v="28"/>
    <n v="1"/>
    <n v="1"/>
    <n v="6"/>
    <n v="1"/>
    <n v="28"/>
    <n v="0"/>
    <n v="0"/>
    <n v="0"/>
    <n v="1"/>
    <n v="0"/>
    <n v="0"/>
    <n v="0"/>
    <n v="0"/>
    <n v="0"/>
    <n v="0"/>
    <n v="0"/>
    <n v="0"/>
    <n v="0"/>
    <n v="1"/>
    <n v="0"/>
    <n v="0"/>
    <n v="0"/>
    <n v="0"/>
    <n v="0"/>
    <n v="0"/>
    <n v="0"/>
    <s v="No"/>
    <s v=""/>
    <n v="0"/>
    <n v="0"/>
    <n v="0"/>
    <n v="0"/>
    <n v="0"/>
    <x v="0"/>
    <x v="3"/>
    <x v="0"/>
    <n v="0"/>
    <n v="0"/>
    <s v="MMR015CMP078"/>
    <x v="1"/>
    <m/>
    <n v="9"/>
    <n v="28"/>
  </r>
  <r>
    <x v="2"/>
    <x v="3"/>
    <x v="3"/>
    <s v="UNICEF, USAID"/>
    <x v="1"/>
    <x v="22"/>
    <x v="2"/>
    <x v="180"/>
    <n v="64"/>
    <n v="292"/>
    <d v="2021-11-11T00:00:00"/>
    <d v="2022-11-10T00:00:00"/>
    <m/>
    <m/>
    <m/>
    <m/>
    <m/>
    <n v="4"/>
    <n v="5"/>
    <m/>
    <m/>
    <m/>
    <m/>
    <m/>
    <m/>
    <m/>
    <n v="8"/>
    <m/>
    <m/>
    <m/>
    <m/>
    <m/>
    <m/>
    <m/>
    <m/>
    <m/>
    <m/>
    <m/>
    <m/>
    <m/>
    <m/>
    <m/>
    <n v="55"/>
    <m/>
    <m/>
    <m/>
    <m/>
    <m/>
    <m/>
    <n v="25"/>
    <x v="1"/>
    <x v="1"/>
    <m/>
    <m/>
    <m/>
    <m/>
    <m/>
    <m/>
    <n v="2"/>
    <m/>
    <m/>
    <n v="2"/>
    <m/>
    <m/>
    <n v="1"/>
    <m/>
    <m/>
    <s v="Yes"/>
    <m/>
    <m/>
    <m/>
    <m/>
    <m/>
    <m/>
    <m/>
    <m/>
    <m/>
    <m/>
    <m/>
    <m/>
    <m/>
    <m/>
    <s v="no test"/>
    <s v="no test"/>
    <s v="No Test"/>
    <n v="0"/>
    <n v="0"/>
    <n v="8"/>
    <n v="0"/>
    <n v="0"/>
    <n v="0"/>
    <n v="0"/>
    <n v="1"/>
    <n v="1"/>
    <n v="1"/>
    <n v="292"/>
    <n v="0"/>
    <n v="0"/>
    <n v="1"/>
    <n v="292"/>
    <n v="0.58399999999999996"/>
    <n v="0"/>
    <n v="0"/>
    <n v="0.41600000000000004"/>
    <n v="1"/>
    <n v="55"/>
    <n v="0.94178082191780821"/>
    <n v="275"/>
    <n v="0"/>
    <n v="0"/>
    <n v="0"/>
    <n v="49"/>
    <n v="0"/>
    <n v="5.8219178082191791E-2"/>
    <n v="0"/>
    <n v="292"/>
    <n v="0"/>
    <n v="0"/>
    <n v="0"/>
    <n v="292"/>
    <n v="1"/>
    <n v="0"/>
    <n v="1"/>
    <n v="0"/>
    <n v="0"/>
    <n v="2"/>
    <n v="40"/>
    <n v="0"/>
    <n v="200"/>
    <s v="No"/>
    <s v=""/>
    <n v="0"/>
    <n v="0"/>
    <n v="0"/>
    <n v="0"/>
    <s v="uncovered"/>
    <x v="2"/>
    <x v="5"/>
    <x v="0"/>
    <n v="23.611999999999998"/>
    <n v="97.506"/>
    <s v="MMR015CMP042"/>
    <x v="1"/>
    <m/>
    <n v="67"/>
    <n v="307"/>
  </r>
  <r>
    <x v="2"/>
    <x v="3"/>
    <x v="3"/>
    <s v="UNICEF, USAID"/>
    <x v="1"/>
    <x v="14"/>
    <x v="0"/>
    <x v="181"/>
    <n v="31"/>
    <n v="176"/>
    <d v="2021-11-11T00:00:00"/>
    <d v="2022-11-10T00:00:00"/>
    <m/>
    <m/>
    <m/>
    <m/>
    <m/>
    <n v="5"/>
    <n v="4"/>
    <m/>
    <m/>
    <m/>
    <m/>
    <m/>
    <m/>
    <m/>
    <n v="14"/>
    <m/>
    <m/>
    <m/>
    <m/>
    <m/>
    <m/>
    <m/>
    <m/>
    <m/>
    <m/>
    <m/>
    <m/>
    <m/>
    <m/>
    <m/>
    <n v="34"/>
    <m/>
    <m/>
    <m/>
    <m/>
    <m/>
    <m/>
    <m/>
    <x v="1"/>
    <x v="1"/>
    <m/>
    <m/>
    <n v="2"/>
    <m/>
    <m/>
    <m/>
    <n v="2"/>
    <m/>
    <m/>
    <n v="2"/>
    <m/>
    <m/>
    <n v="1"/>
    <m/>
    <m/>
    <s v="Yes"/>
    <m/>
    <m/>
    <m/>
    <m/>
    <m/>
    <m/>
    <m/>
    <m/>
    <m/>
    <m/>
    <m/>
    <m/>
    <m/>
    <m/>
    <s v="no test"/>
    <s v="no test"/>
    <s v="No Test"/>
    <n v="0"/>
    <n v="0"/>
    <n v="14"/>
    <n v="0"/>
    <n v="0"/>
    <n v="0"/>
    <n v="0"/>
    <n v="1"/>
    <n v="1"/>
    <n v="1"/>
    <n v="176"/>
    <n v="0"/>
    <n v="0"/>
    <n v="1"/>
    <n v="176"/>
    <n v="0.35199999999999998"/>
    <n v="0"/>
    <n v="0"/>
    <n v="0.64800000000000002"/>
    <n v="1"/>
    <n v="34"/>
    <n v="1"/>
    <n v="176"/>
    <n v="0"/>
    <n v="0"/>
    <n v="0"/>
    <n v="9"/>
    <n v="0"/>
    <n v="0"/>
    <n v="0"/>
    <n v="176"/>
    <n v="0"/>
    <n v="0"/>
    <n v="0"/>
    <n v="176"/>
    <n v="1"/>
    <n v="0"/>
    <n v="1"/>
    <n v="0"/>
    <n v="0"/>
    <n v="2"/>
    <n v="31"/>
    <n v="0"/>
    <n v="176"/>
    <s v="No"/>
    <s v=""/>
    <n v="0"/>
    <n v="0"/>
    <n v="0"/>
    <n v="0"/>
    <s v="uncovered"/>
    <x v="0"/>
    <x v="3"/>
    <x v="0"/>
    <n v="23.850999999999999"/>
    <n v="98.337999999999994"/>
    <s v="MMR015CMP045"/>
    <x v="1"/>
    <m/>
    <n v="30"/>
    <n v="170"/>
  </r>
  <r>
    <x v="2"/>
    <x v="15"/>
    <x v="12"/>
    <s v="UNICEF, USAID"/>
    <x v="1"/>
    <x v="22"/>
    <x v="0"/>
    <x v="182"/>
    <n v="85"/>
    <n v="396"/>
    <s v="11-11-2021, 07-01-2020"/>
    <s v="11-10-2022, 28-2-2022"/>
    <m/>
    <n v="2"/>
    <m/>
    <m/>
    <s v="Yes"/>
    <n v="7"/>
    <n v="9"/>
    <m/>
    <m/>
    <m/>
    <m/>
    <n v="1"/>
    <m/>
    <m/>
    <n v="1"/>
    <m/>
    <m/>
    <m/>
    <m/>
    <m/>
    <m/>
    <n v="2"/>
    <n v="4"/>
    <m/>
    <m/>
    <m/>
    <n v="8"/>
    <m/>
    <m/>
    <m/>
    <n v="14"/>
    <n v="6"/>
    <m/>
    <m/>
    <m/>
    <m/>
    <m/>
    <n v="14"/>
    <x v="1"/>
    <x v="1"/>
    <m/>
    <m/>
    <m/>
    <m/>
    <m/>
    <m/>
    <n v="8"/>
    <m/>
    <m/>
    <n v="2"/>
    <m/>
    <n v="1"/>
    <n v="1"/>
    <m/>
    <m/>
    <s v="Yes"/>
    <n v="3"/>
    <n v="1"/>
    <m/>
    <m/>
    <m/>
    <m/>
    <m/>
    <m/>
    <m/>
    <m/>
    <m/>
    <m/>
    <m/>
    <m/>
    <n v="0"/>
    <s v="no test"/>
    <s v="Tested"/>
    <n v="0"/>
    <n v="1"/>
    <n v="1"/>
    <n v="0"/>
    <n v="0"/>
    <n v="0"/>
    <n v="0"/>
    <n v="1"/>
    <n v="0.79966329966329974"/>
    <n v="1"/>
    <n v="396"/>
    <n v="0"/>
    <n v="0"/>
    <n v="1"/>
    <n v="396"/>
    <n v="0.79200000000000004"/>
    <n v="0"/>
    <n v="0"/>
    <n v="0.20799999999999996"/>
    <n v="1"/>
    <n v="20"/>
    <n v="1"/>
    <n v="396"/>
    <n v="0"/>
    <n v="0"/>
    <n v="0"/>
    <n v="20"/>
    <n v="0"/>
    <n v="0"/>
    <n v="0"/>
    <n v="396"/>
    <n v="0"/>
    <n v="0"/>
    <n v="0"/>
    <n v="396"/>
    <n v="1"/>
    <n v="0"/>
    <n v="1"/>
    <n v="0"/>
    <n v="0"/>
    <n v="8"/>
    <n v="85"/>
    <n v="8"/>
    <n v="396"/>
    <s v="No"/>
    <s v=""/>
    <n v="0"/>
    <n v="0"/>
    <n v="0"/>
    <s v="Yes"/>
    <s v="KBC-NSS"/>
    <x v="0"/>
    <x v="0"/>
    <x v="0"/>
    <n v="23.821380000000001"/>
    <n v="97.681970000000007"/>
    <s v="MMR015CMP004"/>
    <x v="1"/>
    <m/>
    <n v="89"/>
    <n v="401"/>
  </r>
  <r>
    <x v="2"/>
    <x v="3"/>
    <x v="3"/>
    <s v="UNICEF, USAID"/>
    <x v="1"/>
    <x v="22"/>
    <x v="0"/>
    <x v="183"/>
    <n v="64"/>
    <n v="323"/>
    <d v="2021-11-11T00:00:00"/>
    <d v="2022-11-10T00:00:00"/>
    <m/>
    <n v="1"/>
    <n v="1"/>
    <m/>
    <s v="Yes"/>
    <m/>
    <m/>
    <m/>
    <m/>
    <m/>
    <m/>
    <n v="1"/>
    <m/>
    <m/>
    <m/>
    <m/>
    <m/>
    <m/>
    <m/>
    <m/>
    <m/>
    <m/>
    <n v="4"/>
    <m/>
    <m/>
    <m/>
    <m/>
    <m/>
    <m/>
    <m/>
    <n v="10"/>
    <m/>
    <m/>
    <m/>
    <m/>
    <n v="20"/>
    <m/>
    <m/>
    <x v="0"/>
    <x v="0"/>
    <m/>
    <m/>
    <m/>
    <m/>
    <m/>
    <m/>
    <n v="7"/>
    <m/>
    <m/>
    <n v="7"/>
    <m/>
    <m/>
    <m/>
    <m/>
    <m/>
    <s v="Yes"/>
    <n v="3"/>
    <n v="1"/>
    <m/>
    <m/>
    <m/>
    <m/>
    <m/>
    <m/>
    <m/>
    <m/>
    <m/>
    <m/>
    <m/>
    <m/>
    <n v="0"/>
    <s v="no test"/>
    <s v="Tested"/>
    <n v="0"/>
    <n v="1"/>
    <n v="0"/>
    <n v="0"/>
    <n v="0"/>
    <n v="0"/>
    <n v="0"/>
    <n v="1"/>
    <n v="0.77399380804953566"/>
    <n v="1"/>
    <n v="323"/>
    <n v="0"/>
    <n v="0"/>
    <n v="1"/>
    <n v="323"/>
    <n v="0.64600000000000002"/>
    <n v="0"/>
    <n v="0"/>
    <n v="0.35399999999999998"/>
    <n v="1"/>
    <n v="10"/>
    <n v="0.61919504643962853"/>
    <n v="200"/>
    <n v="323"/>
    <n v="0"/>
    <n v="0"/>
    <n v="16"/>
    <n v="6"/>
    <n v="0.38080495356037147"/>
    <n v="0"/>
    <n v="0"/>
    <n v="0"/>
    <n v="0"/>
    <n v="0"/>
    <n v="0"/>
    <n v="0"/>
    <n v="1"/>
    <n v="0"/>
    <n v="0"/>
    <n v="0"/>
    <n v="7"/>
    <n v="64"/>
    <n v="0"/>
    <n v="323"/>
    <s v="No"/>
    <s v=""/>
    <n v="0"/>
    <n v="0"/>
    <n v="0"/>
    <s v="Yes"/>
    <s v="KBC-NSS"/>
    <x v="0"/>
    <x v="0"/>
    <x v="0"/>
    <n v="23.828520000000001"/>
    <n v="97.669557999999995"/>
    <s v="MMR015CMP001"/>
    <x v="1"/>
    <m/>
    <n v="66"/>
    <n v="333"/>
  </r>
  <r>
    <x v="2"/>
    <x v="3"/>
    <x v="3"/>
    <s v="UNICEF, USAID"/>
    <x v="1"/>
    <x v="22"/>
    <x v="0"/>
    <x v="184"/>
    <n v="6"/>
    <n v="31"/>
    <d v="2021-11-11T00:00:00"/>
    <d v="2022-11-10T00:00:00"/>
    <m/>
    <m/>
    <n v="1"/>
    <m/>
    <m/>
    <m/>
    <m/>
    <m/>
    <m/>
    <m/>
    <m/>
    <n v="1"/>
    <m/>
    <m/>
    <m/>
    <m/>
    <m/>
    <m/>
    <m/>
    <m/>
    <m/>
    <m/>
    <m/>
    <m/>
    <m/>
    <m/>
    <m/>
    <m/>
    <m/>
    <m/>
    <m/>
    <n v="10"/>
    <m/>
    <m/>
    <m/>
    <m/>
    <m/>
    <m/>
    <x v="0"/>
    <x v="0"/>
    <m/>
    <m/>
    <m/>
    <m/>
    <m/>
    <m/>
    <n v="7"/>
    <m/>
    <m/>
    <n v="4"/>
    <m/>
    <m/>
    <n v="1"/>
    <m/>
    <m/>
    <s v="Yes"/>
    <m/>
    <m/>
    <m/>
    <m/>
    <m/>
    <m/>
    <m/>
    <m/>
    <m/>
    <m/>
    <m/>
    <m/>
    <m/>
    <m/>
    <s v="no test"/>
    <s v="no test"/>
    <s v="No Test"/>
    <n v="0"/>
    <n v="1"/>
    <n v="0"/>
    <n v="0"/>
    <n v="0"/>
    <n v="0"/>
    <n v="0"/>
    <n v="1"/>
    <n v="1"/>
    <n v="1"/>
    <n v="31"/>
    <n v="0"/>
    <n v="0"/>
    <n v="1"/>
    <n v="31"/>
    <n v="6.2E-2"/>
    <n v="0"/>
    <n v="0"/>
    <n v="0.93799999999999994"/>
    <n v="1"/>
    <n v="10"/>
    <n v="1"/>
    <n v="31"/>
    <n v="0"/>
    <n v="0"/>
    <n v="0"/>
    <n v="2"/>
    <n v="0"/>
    <n v="0"/>
    <n v="0"/>
    <n v="31"/>
    <n v="0"/>
    <n v="0"/>
    <n v="0"/>
    <n v="31"/>
    <n v="1"/>
    <n v="0"/>
    <n v="1"/>
    <n v="0"/>
    <n v="0"/>
    <n v="7"/>
    <n v="6"/>
    <n v="0"/>
    <n v="31"/>
    <s v="No"/>
    <s v=""/>
    <n v="0"/>
    <n v="0"/>
    <n v="0"/>
    <s v="Yes"/>
    <s v="KBC-NSS"/>
    <x v="0"/>
    <x v="5"/>
    <x v="0"/>
    <n v="23.841646999999998"/>
    <n v="97.700940000000003"/>
    <s v="MMR015CMP214"/>
    <x v="1"/>
    <m/>
    <n v="7"/>
    <n v="32"/>
  </r>
  <r>
    <x v="2"/>
    <x v="15"/>
    <x v="12"/>
    <s v="UNICEF, USAID"/>
    <x v="1"/>
    <x v="22"/>
    <x v="0"/>
    <x v="185"/>
    <n v="44"/>
    <n v="213"/>
    <s v="11-11-2021, 07-01-2020"/>
    <s v="11-10-2022, 28-2-2022"/>
    <m/>
    <n v="2"/>
    <m/>
    <m/>
    <s v="Yes"/>
    <n v="3"/>
    <n v="9"/>
    <n v="1"/>
    <m/>
    <m/>
    <m/>
    <n v="2"/>
    <m/>
    <m/>
    <m/>
    <m/>
    <m/>
    <m/>
    <n v="1"/>
    <m/>
    <m/>
    <n v="2"/>
    <m/>
    <m/>
    <m/>
    <m/>
    <n v="3"/>
    <m/>
    <m/>
    <m/>
    <n v="14"/>
    <m/>
    <m/>
    <m/>
    <m/>
    <m/>
    <m/>
    <n v="14"/>
    <x v="1"/>
    <x v="1"/>
    <m/>
    <m/>
    <m/>
    <m/>
    <m/>
    <m/>
    <n v="3"/>
    <m/>
    <m/>
    <n v="2"/>
    <m/>
    <n v="1"/>
    <n v="1"/>
    <m/>
    <m/>
    <s v="Yes"/>
    <n v="3"/>
    <n v="1"/>
    <m/>
    <m/>
    <m/>
    <m/>
    <m/>
    <m/>
    <m/>
    <m/>
    <m/>
    <m/>
    <m/>
    <m/>
    <s v="no test"/>
    <s v="no test"/>
    <s v="No Test"/>
    <n v="1"/>
    <n v="2"/>
    <n v="0"/>
    <n v="0"/>
    <n v="0"/>
    <n v="0"/>
    <n v="0"/>
    <n v="1"/>
    <n v="1"/>
    <n v="1"/>
    <n v="213"/>
    <n v="1"/>
    <n v="213"/>
    <n v="1"/>
    <n v="213"/>
    <n v="0.42599999999999999"/>
    <n v="0"/>
    <n v="0"/>
    <n v="0.57400000000000007"/>
    <n v="1"/>
    <n v="14"/>
    <n v="1"/>
    <n v="213"/>
    <n v="0"/>
    <n v="0"/>
    <n v="0"/>
    <n v="11"/>
    <n v="0"/>
    <n v="0"/>
    <n v="0"/>
    <n v="213"/>
    <n v="0"/>
    <n v="0"/>
    <n v="0"/>
    <n v="213"/>
    <n v="1"/>
    <n v="0"/>
    <n v="1"/>
    <n v="0"/>
    <n v="0"/>
    <n v="3"/>
    <n v="44"/>
    <n v="3"/>
    <n v="213"/>
    <s v="No"/>
    <s v=""/>
    <n v="0"/>
    <n v="0"/>
    <n v="0"/>
    <s v="Yes"/>
    <s v="KMSS-LSO"/>
    <x v="0"/>
    <x v="0"/>
    <x v="0"/>
    <n v="23.828150000000001"/>
    <n v="97.670360000000002"/>
    <s v="MMR015CMP003"/>
    <x v="1"/>
    <m/>
    <n v="44"/>
    <n v="217"/>
  </r>
  <r>
    <x v="2"/>
    <x v="3"/>
    <x v="3"/>
    <s v="UNICEF, USAID"/>
    <x v="1"/>
    <x v="14"/>
    <x v="0"/>
    <x v="186"/>
    <n v="54"/>
    <n v="250"/>
    <d v="2021-11-11T00:00:00"/>
    <d v="2022-11-10T00:00:00"/>
    <m/>
    <n v="1"/>
    <m/>
    <m/>
    <s v="Yes"/>
    <n v="5"/>
    <n v="4"/>
    <m/>
    <m/>
    <m/>
    <m/>
    <m/>
    <m/>
    <m/>
    <n v="12"/>
    <m/>
    <m/>
    <m/>
    <m/>
    <m/>
    <m/>
    <n v="1"/>
    <m/>
    <m/>
    <m/>
    <m/>
    <m/>
    <m/>
    <m/>
    <m/>
    <n v="18"/>
    <m/>
    <m/>
    <m/>
    <m/>
    <m/>
    <m/>
    <m/>
    <x v="1"/>
    <x v="1"/>
    <m/>
    <m/>
    <m/>
    <m/>
    <m/>
    <m/>
    <n v="6"/>
    <m/>
    <m/>
    <n v="1"/>
    <m/>
    <m/>
    <n v="2"/>
    <m/>
    <m/>
    <s v="Yes"/>
    <n v="3"/>
    <n v="1"/>
    <m/>
    <m/>
    <m/>
    <m/>
    <m/>
    <m/>
    <m/>
    <m/>
    <m/>
    <m/>
    <m/>
    <m/>
    <s v="no test"/>
    <s v="no test"/>
    <s v="No Test"/>
    <n v="0"/>
    <n v="0"/>
    <n v="12"/>
    <n v="0"/>
    <n v="0"/>
    <n v="0"/>
    <n v="0"/>
    <n v="1"/>
    <n v="1"/>
    <n v="1"/>
    <n v="250"/>
    <n v="0"/>
    <n v="0"/>
    <n v="1"/>
    <n v="250"/>
    <n v="0.5"/>
    <n v="0"/>
    <n v="0"/>
    <n v="0.5"/>
    <n v="1"/>
    <n v="18"/>
    <n v="1"/>
    <n v="250"/>
    <n v="0"/>
    <n v="0"/>
    <n v="0"/>
    <n v="13"/>
    <n v="0"/>
    <n v="0"/>
    <n v="0"/>
    <n v="250"/>
    <n v="0"/>
    <n v="0"/>
    <n v="0"/>
    <n v="250"/>
    <n v="1"/>
    <n v="0"/>
    <n v="1"/>
    <n v="0"/>
    <n v="0"/>
    <n v="6"/>
    <n v="54"/>
    <n v="0"/>
    <n v="250"/>
    <s v="No"/>
    <s v=""/>
    <n v="0"/>
    <n v="0"/>
    <n v="0"/>
    <s v="Yes"/>
    <s v="KBC-NSS"/>
    <x v="0"/>
    <x v="0"/>
    <x v="0"/>
    <n v="23.694130000000001"/>
    <n v="97.818979999999996"/>
    <s v="MMR015CMP007"/>
    <x v="1"/>
    <m/>
    <n v="54"/>
    <n v="279"/>
  </r>
  <r>
    <x v="2"/>
    <x v="3"/>
    <x v="3"/>
    <s v="UNICEF, USAID"/>
    <x v="1"/>
    <x v="14"/>
    <x v="0"/>
    <x v="187"/>
    <n v="35"/>
    <n v="158"/>
    <d v="2021-11-11T00:00:00"/>
    <d v="2022-11-10T00:00:00"/>
    <m/>
    <n v="1"/>
    <m/>
    <m/>
    <s v="Yes"/>
    <n v="5"/>
    <n v="4"/>
    <m/>
    <m/>
    <m/>
    <n v="2"/>
    <m/>
    <m/>
    <m/>
    <m/>
    <m/>
    <m/>
    <m/>
    <m/>
    <m/>
    <m/>
    <n v="1"/>
    <m/>
    <m/>
    <m/>
    <m/>
    <m/>
    <m/>
    <m/>
    <m/>
    <n v="8"/>
    <m/>
    <m/>
    <m/>
    <m/>
    <m/>
    <m/>
    <m/>
    <x v="1"/>
    <x v="2"/>
    <m/>
    <m/>
    <m/>
    <m/>
    <m/>
    <m/>
    <n v="4"/>
    <m/>
    <m/>
    <n v="1"/>
    <m/>
    <m/>
    <n v="2"/>
    <m/>
    <m/>
    <s v="Yes"/>
    <n v="3"/>
    <n v="1"/>
    <m/>
    <m/>
    <m/>
    <m/>
    <m/>
    <m/>
    <m/>
    <m/>
    <m/>
    <m/>
    <m/>
    <m/>
    <s v="no test"/>
    <s v="no test"/>
    <s v="No Test"/>
    <n v="0"/>
    <n v="2"/>
    <n v="0"/>
    <n v="0"/>
    <n v="0"/>
    <n v="0"/>
    <n v="0"/>
    <n v="1"/>
    <n v="1"/>
    <n v="1"/>
    <n v="158"/>
    <n v="0"/>
    <n v="0"/>
    <n v="1"/>
    <n v="158"/>
    <n v="0.316"/>
    <n v="0"/>
    <n v="0"/>
    <n v="0.68399999999999994"/>
    <n v="1"/>
    <n v="8"/>
    <n v="1"/>
    <n v="158"/>
    <n v="0"/>
    <n v="0"/>
    <n v="0"/>
    <n v="8"/>
    <n v="0"/>
    <n v="0"/>
    <n v="0"/>
    <n v="158"/>
    <n v="0"/>
    <n v="0"/>
    <n v="0"/>
    <n v="158"/>
    <n v="1"/>
    <n v="0"/>
    <n v="1"/>
    <n v="0"/>
    <n v="0"/>
    <n v="4"/>
    <n v="35"/>
    <n v="0"/>
    <n v="158"/>
    <s v="No"/>
    <s v=""/>
    <n v="0"/>
    <n v="0"/>
    <n v="0"/>
    <s v="Yes"/>
    <s v="KMSS-LSO"/>
    <x v="0"/>
    <x v="0"/>
    <x v="0"/>
    <n v="23.682887999999998"/>
    <n v="97.810101000000003"/>
    <s v="MMR015CMP043"/>
    <x v="1"/>
    <m/>
    <n v="34"/>
    <n v="144"/>
  </r>
  <r>
    <x v="2"/>
    <x v="3"/>
    <x v="3"/>
    <s v="UNICEF, USAID"/>
    <x v="1"/>
    <x v="23"/>
    <x v="0"/>
    <x v="188"/>
    <n v="40"/>
    <n v="206"/>
    <d v="2021-11-11T00:00:00"/>
    <d v="2022-11-10T00:00:00"/>
    <m/>
    <m/>
    <n v="1"/>
    <m/>
    <s v="Yes"/>
    <m/>
    <n v="5"/>
    <n v="4"/>
    <m/>
    <m/>
    <n v="1"/>
    <m/>
    <m/>
    <m/>
    <m/>
    <m/>
    <m/>
    <m/>
    <m/>
    <m/>
    <m/>
    <m/>
    <m/>
    <m/>
    <m/>
    <m/>
    <m/>
    <m/>
    <m/>
    <m/>
    <n v="6"/>
    <n v="10"/>
    <m/>
    <m/>
    <m/>
    <m/>
    <m/>
    <m/>
    <x v="1"/>
    <x v="1"/>
    <m/>
    <m/>
    <m/>
    <m/>
    <m/>
    <m/>
    <m/>
    <m/>
    <m/>
    <n v="2"/>
    <m/>
    <m/>
    <n v="1"/>
    <m/>
    <m/>
    <s v="Yes"/>
    <m/>
    <n v="1"/>
    <m/>
    <m/>
    <m/>
    <m/>
    <m/>
    <m/>
    <m/>
    <m/>
    <m/>
    <m/>
    <m/>
    <m/>
    <s v="no test"/>
    <s v="no test"/>
    <s v="No Test"/>
    <n v="4"/>
    <n v="1"/>
    <n v="0"/>
    <n v="0"/>
    <n v="0"/>
    <n v="0"/>
    <n v="0"/>
    <n v="1"/>
    <n v="1"/>
    <n v="1"/>
    <n v="206"/>
    <n v="0"/>
    <n v="0"/>
    <n v="1"/>
    <n v="206"/>
    <n v="0.41199999999999998"/>
    <n v="0"/>
    <n v="0"/>
    <n v="0.58800000000000008"/>
    <n v="1"/>
    <n v="16"/>
    <n v="1"/>
    <n v="206"/>
    <n v="0"/>
    <n v="0"/>
    <n v="0"/>
    <n v="10"/>
    <n v="0"/>
    <n v="0"/>
    <n v="0"/>
    <n v="206"/>
    <n v="0"/>
    <n v="0"/>
    <n v="0"/>
    <n v="206"/>
    <n v="1"/>
    <n v="0"/>
    <n v="1"/>
    <n v="0"/>
    <n v="0"/>
    <n v="0"/>
    <n v="0"/>
    <n v="0"/>
    <n v="0"/>
    <s v="No"/>
    <s v=""/>
    <n v="0"/>
    <n v="0"/>
    <n v="0"/>
    <s v="Yes"/>
    <s v="KBC-NSS"/>
    <x v="0"/>
    <x v="0"/>
    <x v="0"/>
    <n v="23.354268999999999"/>
    <n v="98.218626999999998"/>
    <s v="MMR015CMP036"/>
    <x v="1"/>
    <m/>
    <n v="36"/>
    <n v="180"/>
  </r>
  <r>
    <x v="2"/>
    <x v="3"/>
    <x v="3"/>
    <s v="UNICEF, USAID"/>
    <x v="1"/>
    <x v="19"/>
    <x v="0"/>
    <x v="189"/>
    <n v="32"/>
    <n v="141"/>
    <d v="2021-11-11T00:00:00"/>
    <d v="2022-11-10T00:00:00"/>
    <m/>
    <m/>
    <n v="1"/>
    <m/>
    <s v="Yes"/>
    <n v="3"/>
    <n v="3"/>
    <m/>
    <m/>
    <m/>
    <n v="1"/>
    <m/>
    <m/>
    <m/>
    <n v="1"/>
    <m/>
    <m/>
    <m/>
    <m/>
    <m/>
    <m/>
    <m/>
    <m/>
    <m/>
    <m/>
    <m/>
    <m/>
    <m/>
    <m/>
    <m/>
    <n v="8"/>
    <m/>
    <m/>
    <m/>
    <m/>
    <m/>
    <m/>
    <m/>
    <x v="1"/>
    <x v="1"/>
    <m/>
    <m/>
    <m/>
    <m/>
    <m/>
    <m/>
    <n v="5"/>
    <m/>
    <m/>
    <n v="2"/>
    <m/>
    <m/>
    <n v="1"/>
    <m/>
    <m/>
    <s v="Yes"/>
    <n v="3"/>
    <n v="1"/>
    <m/>
    <m/>
    <m/>
    <m/>
    <m/>
    <m/>
    <m/>
    <m/>
    <m/>
    <m/>
    <m/>
    <m/>
    <s v="no test"/>
    <s v="no test"/>
    <s v="No Test"/>
    <n v="0"/>
    <n v="1"/>
    <n v="1"/>
    <n v="0"/>
    <n v="0"/>
    <n v="0"/>
    <n v="0"/>
    <n v="1"/>
    <n v="1"/>
    <n v="1"/>
    <n v="141"/>
    <n v="0"/>
    <n v="0"/>
    <n v="1"/>
    <n v="141"/>
    <n v="0.28199999999999997"/>
    <n v="0"/>
    <n v="0"/>
    <n v="0.71799999999999997"/>
    <n v="1"/>
    <n v="8"/>
    <n v="1"/>
    <n v="141"/>
    <n v="0"/>
    <n v="0"/>
    <n v="0"/>
    <n v="7"/>
    <n v="0"/>
    <n v="0"/>
    <n v="0"/>
    <n v="141"/>
    <n v="0"/>
    <n v="0"/>
    <n v="0"/>
    <n v="141"/>
    <n v="1"/>
    <n v="0"/>
    <n v="1"/>
    <n v="0"/>
    <n v="0"/>
    <n v="5"/>
    <n v="32"/>
    <n v="0"/>
    <n v="141"/>
    <s v="No"/>
    <s v=""/>
    <n v="0"/>
    <n v="0"/>
    <n v="0"/>
    <s v="Yes"/>
    <s v="KBC-NSS"/>
    <x v="0"/>
    <x v="0"/>
    <x v="0"/>
    <n v="23.094290000000001"/>
    <n v="97.404089999999997"/>
    <s v="MMR015CMP014"/>
    <x v="1"/>
    <m/>
    <n v="30"/>
    <n v="126"/>
  </r>
  <r>
    <x v="2"/>
    <x v="3"/>
    <x v="3"/>
    <s v="UNICEF"/>
    <x v="1"/>
    <x v="20"/>
    <x v="0"/>
    <x v="199"/>
    <n v="14"/>
    <n v="31"/>
    <d v="2021-11-11T00:00:00"/>
    <d v="2022-11-10T00:00:00"/>
    <m/>
    <m/>
    <m/>
    <m/>
    <m/>
    <m/>
    <m/>
    <m/>
    <m/>
    <m/>
    <m/>
    <m/>
    <m/>
    <m/>
    <m/>
    <m/>
    <m/>
    <m/>
    <m/>
    <m/>
    <m/>
    <m/>
    <m/>
    <m/>
    <m/>
    <m/>
    <m/>
    <m/>
    <m/>
    <m/>
    <m/>
    <n v="4"/>
    <m/>
    <m/>
    <m/>
    <m/>
    <m/>
    <m/>
    <x v="0"/>
    <x v="0"/>
    <m/>
    <m/>
    <m/>
    <m/>
    <m/>
    <m/>
    <m/>
    <m/>
    <m/>
    <m/>
    <m/>
    <m/>
    <m/>
    <m/>
    <m/>
    <s v="Yes"/>
    <m/>
    <m/>
    <m/>
    <m/>
    <m/>
    <m/>
    <m/>
    <m/>
    <m/>
    <m/>
    <m/>
    <m/>
    <m/>
    <m/>
    <s v="no test"/>
    <s v="no test"/>
    <s v="No Test"/>
    <n v="0"/>
    <n v="0"/>
    <n v="0"/>
    <n v="0"/>
    <n v="0"/>
    <n v="0"/>
    <n v="0"/>
    <n v="0"/>
    <n v="0"/>
    <n v="0"/>
    <n v="0"/>
    <n v="0"/>
    <n v="0"/>
    <n v="0"/>
    <n v="0"/>
    <n v="0"/>
    <n v="1"/>
    <n v="31"/>
    <n v="1"/>
    <n v="1"/>
    <n v="4"/>
    <n v="1"/>
    <n v="31"/>
    <n v="0"/>
    <n v="0"/>
    <n v="0"/>
    <n v="2"/>
    <n v="0"/>
    <n v="0"/>
    <n v="0"/>
    <n v="0"/>
    <n v="0"/>
    <n v="0"/>
    <n v="0"/>
    <n v="0"/>
    <n v="0"/>
    <n v="1"/>
    <n v="0"/>
    <n v="0"/>
    <n v="0"/>
    <n v="0"/>
    <n v="0"/>
    <n v="0"/>
    <n v="0"/>
    <s v="No"/>
    <s v=""/>
    <n v="0"/>
    <n v="0"/>
    <n v="0"/>
    <n v="0"/>
    <n v="0"/>
    <x v="0"/>
    <x v="3"/>
    <x v="0"/>
    <n v="0"/>
    <n v="0"/>
    <s v="MMR015CMP079"/>
    <x v="1"/>
    <m/>
    <n v="14"/>
    <n v="31"/>
  </r>
  <r>
    <x v="2"/>
    <x v="3"/>
    <x v="3"/>
    <s v="UNICEF, USAID"/>
    <x v="1"/>
    <x v="14"/>
    <x v="0"/>
    <x v="190"/>
    <n v="121"/>
    <n v="664"/>
    <d v="2021-11-11T00:00:00"/>
    <d v="2022-11-10T00:00:00"/>
    <m/>
    <n v="1"/>
    <m/>
    <m/>
    <s v="Yes"/>
    <n v="4"/>
    <n v="5"/>
    <m/>
    <m/>
    <m/>
    <m/>
    <m/>
    <m/>
    <m/>
    <n v="8"/>
    <m/>
    <m/>
    <m/>
    <m/>
    <m/>
    <m/>
    <m/>
    <m/>
    <m/>
    <m/>
    <m/>
    <n v="1"/>
    <m/>
    <m/>
    <m/>
    <n v="105"/>
    <m/>
    <m/>
    <m/>
    <m/>
    <m/>
    <m/>
    <m/>
    <x v="1"/>
    <x v="1"/>
    <m/>
    <m/>
    <m/>
    <m/>
    <m/>
    <m/>
    <n v="8"/>
    <m/>
    <m/>
    <n v="3"/>
    <m/>
    <m/>
    <n v="1"/>
    <m/>
    <m/>
    <s v="Yes"/>
    <n v="3"/>
    <n v="1"/>
    <m/>
    <m/>
    <m/>
    <m/>
    <m/>
    <m/>
    <m/>
    <m/>
    <m/>
    <m/>
    <m/>
    <m/>
    <s v="no test"/>
    <s v="no test"/>
    <s v="No Test"/>
    <n v="0"/>
    <n v="0"/>
    <n v="8"/>
    <n v="0"/>
    <n v="0"/>
    <n v="0"/>
    <n v="0"/>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0"/>
    <n v="0"/>
    <n v="0"/>
    <n v="500"/>
    <n v="0.75301204819277112"/>
    <n v="0.24698795180722888"/>
    <n v="0.75301204819277112"/>
    <n v="0"/>
    <n v="0"/>
    <n v="8"/>
    <n v="121"/>
    <n v="1"/>
    <n v="664"/>
    <s v="No"/>
    <s v=""/>
    <n v="0"/>
    <n v="0"/>
    <n v="0"/>
    <s v="Yes"/>
    <s v="KMSS-LSO"/>
    <x v="1"/>
    <x v="0"/>
    <x v="0"/>
    <n v="23.447111"/>
    <n v="97.868876999999998"/>
    <s v="MMR015CMP037"/>
    <x v="1"/>
    <m/>
    <n v="123"/>
    <n v="706"/>
  </r>
  <r>
    <x v="2"/>
    <x v="3"/>
    <x v="3"/>
    <s v="UNICEF, USAID"/>
    <x v="1"/>
    <x v="14"/>
    <x v="0"/>
    <x v="191"/>
    <n v="45"/>
    <n v="221"/>
    <d v="2021-11-11T00:00:00"/>
    <d v="2022-11-10T00:00:00"/>
    <m/>
    <m/>
    <m/>
    <m/>
    <m/>
    <n v="5"/>
    <n v="4"/>
    <m/>
    <m/>
    <m/>
    <m/>
    <m/>
    <m/>
    <m/>
    <n v="8"/>
    <m/>
    <m/>
    <m/>
    <m/>
    <m/>
    <m/>
    <n v="1"/>
    <m/>
    <m/>
    <m/>
    <m/>
    <n v="2"/>
    <n v="1"/>
    <m/>
    <m/>
    <n v="37"/>
    <m/>
    <m/>
    <m/>
    <m/>
    <m/>
    <m/>
    <n v="3"/>
    <x v="2"/>
    <x v="3"/>
    <m/>
    <m/>
    <n v="2"/>
    <m/>
    <m/>
    <m/>
    <n v="7"/>
    <m/>
    <m/>
    <m/>
    <m/>
    <m/>
    <n v="1"/>
    <m/>
    <m/>
    <s v="Yes"/>
    <n v="3"/>
    <n v="1"/>
    <m/>
    <m/>
    <m/>
    <m/>
    <m/>
    <m/>
    <m/>
    <m/>
    <m/>
    <m/>
    <m/>
    <m/>
    <s v="no test"/>
    <s v="no test"/>
    <s v="No Test"/>
    <n v="0"/>
    <n v="0"/>
    <n v="8"/>
    <n v="0"/>
    <n v="0"/>
    <n v="221"/>
    <n v="0"/>
    <n v="1"/>
    <n v="1"/>
    <n v="1"/>
    <n v="221"/>
    <n v="0"/>
    <n v="0"/>
    <n v="1"/>
    <n v="221"/>
    <n v="0.442"/>
    <n v="0"/>
    <n v="0"/>
    <n v="0.55800000000000005"/>
    <n v="1"/>
    <n v="37"/>
    <n v="1"/>
    <n v="221"/>
    <n v="0"/>
    <n v="0"/>
    <n v="0"/>
    <n v="11"/>
    <n v="0"/>
    <n v="0"/>
    <n v="0"/>
    <n v="221"/>
    <n v="0"/>
    <n v="0"/>
    <n v="0"/>
    <n v="221"/>
    <n v="1"/>
    <n v="0"/>
    <n v="1"/>
    <n v="0"/>
    <n v="0"/>
    <n v="7"/>
    <n v="45"/>
    <n v="2"/>
    <n v="221"/>
    <s v="No"/>
    <s v=""/>
    <n v="0"/>
    <n v="221"/>
    <n v="0"/>
    <s v="Yes"/>
    <s v="KMSS-LSO"/>
    <x v="0"/>
    <x v="0"/>
    <x v="0"/>
    <n v="23.59"/>
    <n v="97.805999999999997"/>
    <s v="MMR015CMP067"/>
    <x v="1"/>
    <m/>
    <n v="47"/>
    <n v="230"/>
  </r>
  <r>
    <x v="2"/>
    <x v="0"/>
    <x v="0"/>
    <m/>
    <x v="1"/>
    <x v="17"/>
    <x v="2"/>
    <x v="200"/>
    <n v="657"/>
    <n v="2786"/>
    <m/>
    <m/>
    <m/>
    <m/>
    <m/>
    <m/>
    <m/>
    <m/>
    <m/>
    <m/>
    <m/>
    <m/>
    <m/>
    <m/>
    <m/>
    <m/>
    <m/>
    <m/>
    <m/>
    <m/>
    <m/>
    <m/>
    <m/>
    <m/>
    <m/>
    <m/>
    <m/>
    <m/>
    <m/>
    <m/>
    <m/>
    <m/>
    <m/>
    <m/>
    <m/>
    <m/>
    <m/>
    <m/>
    <m/>
    <m/>
    <x v="0"/>
    <x v="0"/>
    <m/>
    <m/>
    <m/>
    <m/>
    <m/>
    <m/>
    <m/>
    <m/>
    <m/>
    <m/>
    <m/>
    <m/>
    <m/>
    <m/>
    <m/>
    <m/>
    <m/>
    <m/>
    <m/>
    <m/>
    <m/>
    <m/>
    <m/>
    <m/>
    <m/>
    <m/>
    <m/>
    <m/>
    <m/>
    <m/>
    <s v="no test"/>
    <s v="no test"/>
    <s v="No Test"/>
    <n v="0"/>
    <n v="0"/>
    <n v="0"/>
    <n v="0"/>
    <n v="0"/>
    <n v="0"/>
    <n v="0"/>
    <n v="0"/>
    <n v="0"/>
    <n v="0"/>
    <n v="0"/>
    <n v="0"/>
    <n v="0"/>
    <n v="0"/>
    <n v="0"/>
    <n v="0"/>
    <n v="1"/>
    <n v="2786"/>
    <n v="6"/>
    <n v="6"/>
    <n v="0"/>
    <n v="0"/>
    <n v="0"/>
    <n v="0"/>
    <n v="0"/>
    <n v="0"/>
    <n v="464"/>
    <n v="464"/>
    <n v="1"/>
    <n v="0"/>
    <n v="0"/>
    <n v="0"/>
    <n v="0"/>
    <n v="0"/>
    <n v="0"/>
    <n v="0"/>
    <n v="1"/>
    <n v="0"/>
    <n v="0"/>
    <n v="0"/>
    <n v="0"/>
    <n v="0"/>
    <n v="0"/>
    <n v="0"/>
    <s v="No"/>
    <s v=""/>
    <n v="0"/>
    <n v="0"/>
    <n v="0"/>
    <n v="0"/>
    <n v="0"/>
    <x v="2"/>
    <x v="9"/>
    <x v="0"/>
    <n v="23.363275999999999"/>
    <n v="98.472977999999998"/>
    <s v="MMR015CMP072"/>
    <x v="0"/>
    <m/>
    <n v="657"/>
    <n v="2786"/>
  </r>
  <r>
    <x v="2"/>
    <x v="0"/>
    <x v="0"/>
    <m/>
    <x v="1"/>
    <x v="17"/>
    <x v="0"/>
    <x v="193"/>
    <n v="34"/>
    <n v="170"/>
    <m/>
    <m/>
    <m/>
    <m/>
    <m/>
    <m/>
    <m/>
    <m/>
    <m/>
    <m/>
    <m/>
    <m/>
    <m/>
    <m/>
    <m/>
    <m/>
    <m/>
    <m/>
    <m/>
    <m/>
    <m/>
    <m/>
    <m/>
    <m/>
    <m/>
    <m/>
    <m/>
    <m/>
    <m/>
    <m/>
    <m/>
    <m/>
    <m/>
    <m/>
    <m/>
    <m/>
    <m/>
    <m/>
    <m/>
    <m/>
    <x v="0"/>
    <x v="0"/>
    <m/>
    <m/>
    <m/>
    <m/>
    <m/>
    <m/>
    <m/>
    <m/>
    <m/>
    <m/>
    <m/>
    <m/>
    <m/>
    <m/>
    <m/>
    <m/>
    <m/>
    <m/>
    <m/>
    <m/>
    <m/>
    <m/>
    <m/>
    <m/>
    <m/>
    <m/>
    <m/>
    <m/>
    <m/>
    <m/>
    <s v="no test"/>
    <s v="no test"/>
    <s v="No Test"/>
    <n v="0"/>
    <n v="0"/>
    <n v="0"/>
    <n v="0"/>
    <n v="0"/>
    <n v="0"/>
    <n v="0"/>
    <n v="0"/>
    <n v="0"/>
    <n v="0"/>
    <n v="0"/>
    <n v="0"/>
    <n v="0"/>
    <n v="0"/>
    <n v="0"/>
    <n v="0"/>
    <n v="1"/>
    <n v="170"/>
    <n v="1"/>
    <n v="1"/>
    <n v="0"/>
    <n v="0"/>
    <n v="0"/>
    <n v="0"/>
    <n v="0"/>
    <n v="0"/>
    <n v="9"/>
    <n v="9"/>
    <n v="1"/>
    <n v="0"/>
    <n v="0"/>
    <n v="0"/>
    <n v="0"/>
    <n v="0"/>
    <n v="0"/>
    <n v="0"/>
    <n v="1"/>
    <n v="0"/>
    <n v="0"/>
    <n v="0"/>
    <n v="0"/>
    <n v="0"/>
    <n v="0"/>
    <n v="0"/>
    <s v="No"/>
    <s v=""/>
    <n v="0"/>
    <n v="0"/>
    <n v="0"/>
    <n v="0"/>
    <n v="0"/>
    <x v="0"/>
    <x v="3"/>
    <x v="0"/>
    <n v="23.729893000000001"/>
    <n v="98.779853500000002"/>
    <s v="MMR015CMP070"/>
    <x v="0"/>
    <m/>
    <n v="34"/>
    <n v="170"/>
  </r>
  <r>
    <x v="2"/>
    <x v="3"/>
    <x v="3"/>
    <s v="UNICEF"/>
    <x v="1"/>
    <x v="20"/>
    <x v="0"/>
    <x v="201"/>
    <n v="54"/>
    <n v="179"/>
    <d v="2021-11-11T00:00:00"/>
    <d v="2022-11-10T00:00:00"/>
    <m/>
    <m/>
    <m/>
    <m/>
    <m/>
    <m/>
    <m/>
    <m/>
    <m/>
    <m/>
    <m/>
    <n v="2"/>
    <m/>
    <m/>
    <m/>
    <m/>
    <m/>
    <m/>
    <m/>
    <m/>
    <m/>
    <m/>
    <m/>
    <m/>
    <m/>
    <m/>
    <m/>
    <m/>
    <m/>
    <m/>
    <n v="24"/>
    <n v="6"/>
    <m/>
    <m/>
    <m/>
    <m/>
    <m/>
    <m/>
    <x v="0"/>
    <x v="0"/>
    <m/>
    <m/>
    <m/>
    <m/>
    <m/>
    <m/>
    <n v="20"/>
    <m/>
    <n v="2"/>
    <m/>
    <m/>
    <m/>
    <m/>
    <m/>
    <m/>
    <s v="Yes"/>
    <m/>
    <m/>
    <m/>
    <m/>
    <m/>
    <m/>
    <m/>
    <m/>
    <m/>
    <m/>
    <m/>
    <m/>
    <m/>
    <m/>
    <s v="no test"/>
    <s v="no test"/>
    <s v="No Test"/>
    <n v="0"/>
    <n v="2"/>
    <n v="0"/>
    <n v="0"/>
    <n v="0"/>
    <n v="0"/>
    <n v="0"/>
    <n v="1"/>
    <n v="1"/>
    <n v="1"/>
    <n v="179"/>
    <n v="0"/>
    <n v="0"/>
    <n v="1"/>
    <n v="179"/>
    <n v="0.35799999999999998"/>
    <n v="0"/>
    <n v="0"/>
    <n v="0.64200000000000002"/>
    <n v="1"/>
    <n v="30"/>
    <n v="1"/>
    <n v="179"/>
    <n v="0"/>
    <n v="0"/>
    <n v="0"/>
    <n v="9"/>
    <n v="0"/>
    <n v="0"/>
    <n v="0"/>
    <n v="0"/>
    <n v="0"/>
    <n v="0"/>
    <n v="0"/>
    <n v="0"/>
    <n v="0"/>
    <n v="1"/>
    <n v="0"/>
    <n v="0"/>
    <n v="0"/>
    <n v="20"/>
    <n v="54"/>
    <n v="0"/>
    <n v="179"/>
    <s v="No"/>
    <s v=""/>
    <n v="0"/>
    <n v="0"/>
    <n v="0"/>
    <n v="0"/>
    <n v="0"/>
    <x v="0"/>
    <x v="3"/>
    <x v="0"/>
    <n v="0"/>
    <n v="0"/>
    <s v="MMR015CMP080"/>
    <x v="1"/>
    <m/>
    <n v="54"/>
    <n v="179"/>
  </r>
  <r>
    <x v="2"/>
    <x v="3"/>
    <x v="3"/>
    <s v="UNICEF"/>
    <x v="1"/>
    <x v="20"/>
    <x v="0"/>
    <x v="202"/>
    <n v="12"/>
    <n v="26"/>
    <d v="2021-11-11T00:00:00"/>
    <d v="2022-11-10T00:00:00"/>
    <m/>
    <m/>
    <m/>
    <m/>
    <m/>
    <m/>
    <m/>
    <m/>
    <m/>
    <m/>
    <m/>
    <n v="1"/>
    <m/>
    <m/>
    <m/>
    <m/>
    <m/>
    <m/>
    <m/>
    <m/>
    <m/>
    <m/>
    <m/>
    <m/>
    <m/>
    <m/>
    <m/>
    <m/>
    <m/>
    <m/>
    <n v="2"/>
    <m/>
    <m/>
    <m/>
    <m/>
    <m/>
    <m/>
    <m/>
    <x v="0"/>
    <x v="0"/>
    <m/>
    <m/>
    <m/>
    <m/>
    <m/>
    <m/>
    <n v="4"/>
    <m/>
    <m/>
    <m/>
    <m/>
    <m/>
    <m/>
    <m/>
    <m/>
    <s v="Yes"/>
    <m/>
    <m/>
    <m/>
    <m/>
    <m/>
    <m/>
    <m/>
    <m/>
    <m/>
    <m/>
    <m/>
    <m/>
    <m/>
    <m/>
    <s v="no test"/>
    <s v="no test"/>
    <s v="No Test"/>
    <n v="0"/>
    <n v="1"/>
    <n v="0"/>
    <n v="0"/>
    <n v="0"/>
    <n v="0"/>
    <n v="0"/>
    <n v="1"/>
    <n v="1"/>
    <n v="1"/>
    <n v="26"/>
    <n v="0"/>
    <n v="0"/>
    <n v="1"/>
    <n v="26"/>
    <n v="5.1999999999999998E-2"/>
    <n v="0"/>
    <n v="0"/>
    <n v="0.94799999999999995"/>
    <n v="1"/>
    <n v="2"/>
    <n v="1"/>
    <n v="26"/>
    <n v="0"/>
    <n v="0"/>
    <n v="0"/>
    <n v="1"/>
    <n v="0"/>
    <n v="0"/>
    <n v="0"/>
    <n v="0"/>
    <n v="0"/>
    <n v="0"/>
    <n v="0"/>
    <n v="0"/>
    <n v="0"/>
    <n v="1"/>
    <n v="0"/>
    <n v="0"/>
    <n v="0"/>
    <n v="4"/>
    <n v="12"/>
    <n v="0"/>
    <n v="26"/>
    <s v="No"/>
    <s v=""/>
    <n v="0"/>
    <n v="0"/>
    <n v="0"/>
    <n v="0"/>
    <n v="0"/>
    <x v="0"/>
    <x v="3"/>
    <x v="0"/>
    <n v="0"/>
    <n v="0"/>
    <s v="MMR015CMP081"/>
    <x v="1"/>
    <m/>
    <n v="12"/>
    <n v="47"/>
  </r>
  <r>
    <x v="2"/>
    <x v="3"/>
    <x v="3"/>
    <s v="UNICEF"/>
    <x v="1"/>
    <x v="18"/>
    <x v="0"/>
    <x v="203"/>
    <n v="31"/>
    <n v="155"/>
    <d v="2021-11-11T00:00:00"/>
    <d v="2022-11-10T00:00:00"/>
    <m/>
    <m/>
    <m/>
    <m/>
    <m/>
    <m/>
    <m/>
    <m/>
    <m/>
    <m/>
    <m/>
    <m/>
    <m/>
    <m/>
    <m/>
    <m/>
    <m/>
    <m/>
    <m/>
    <m/>
    <m/>
    <m/>
    <m/>
    <m/>
    <m/>
    <m/>
    <m/>
    <m/>
    <m/>
    <m/>
    <m/>
    <m/>
    <m/>
    <m/>
    <m/>
    <m/>
    <m/>
    <m/>
    <x v="0"/>
    <x v="0"/>
    <m/>
    <m/>
    <m/>
    <m/>
    <m/>
    <m/>
    <m/>
    <m/>
    <m/>
    <m/>
    <m/>
    <m/>
    <m/>
    <m/>
    <m/>
    <s v="Yes"/>
    <m/>
    <m/>
    <m/>
    <m/>
    <m/>
    <m/>
    <m/>
    <m/>
    <m/>
    <m/>
    <m/>
    <m/>
    <m/>
    <m/>
    <s v="no test"/>
    <s v="no test"/>
    <s v="No Test"/>
    <n v="0"/>
    <n v="0"/>
    <n v="0"/>
    <n v="0"/>
    <n v="0"/>
    <n v="0"/>
    <n v="0"/>
    <n v="0"/>
    <n v="0"/>
    <n v="0"/>
    <n v="0"/>
    <n v="0"/>
    <n v="0"/>
    <n v="0"/>
    <n v="0"/>
    <n v="0"/>
    <n v="1"/>
    <n v="155"/>
    <n v="1"/>
    <n v="1"/>
    <n v="0"/>
    <n v="0"/>
    <n v="0"/>
    <n v="0"/>
    <n v="0"/>
    <n v="0"/>
    <n v="8"/>
    <n v="8"/>
    <n v="1"/>
    <n v="0"/>
    <n v="0"/>
    <n v="0"/>
    <n v="0"/>
    <n v="0"/>
    <n v="0"/>
    <n v="0"/>
    <n v="1"/>
    <n v="0"/>
    <n v="0"/>
    <n v="0"/>
    <n v="0"/>
    <n v="0"/>
    <n v="0"/>
    <n v="0"/>
    <s v="No"/>
    <s v=""/>
    <n v="0"/>
    <n v="0"/>
    <n v="0"/>
    <n v="0"/>
    <n v="0"/>
    <x v="0"/>
    <x v="3"/>
    <x v="0"/>
    <n v="0"/>
    <n v="0"/>
    <s v="MMR015CMP083"/>
    <x v="1"/>
    <m/>
    <n v="31"/>
    <n v="155"/>
  </r>
  <r>
    <x v="2"/>
    <x v="3"/>
    <x v="3"/>
    <s v="UNICEF, USAID"/>
    <x v="1"/>
    <x v="23"/>
    <x v="0"/>
    <x v="194"/>
    <n v="42"/>
    <n v="195"/>
    <d v="2021-11-11T00:00:00"/>
    <d v="2022-11-10T00:00:00"/>
    <m/>
    <m/>
    <m/>
    <m/>
    <m/>
    <n v="4"/>
    <n v="4"/>
    <m/>
    <m/>
    <m/>
    <n v="1"/>
    <m/>
    <m/>
    <m/>
    <n v="1"/>
    <m/>
    <m/>
    <m/>
    <m/>
    <m/>
    <m/>
    <n v="1"/>
    <m/>
    <m/>
    <m/>
    <m/>
    <n v="1"/>
    <m/>
    <m/>
    <m/>
    <n v="38"/>
    <m/>
    <m/>
    <m/>
    <m/>
    <m/>
    <m/>
    <m/>
    <x v="2"/>
    <x v="2"/>
    <m/>
    <m/>
    <m/>
    <m/>
    <m/>
    <m/>
    <m/>
    <m/>
    <m/>
    <m/>
    <m/>
    <m/>
    <n v="1"/>
    <m/>
    <m/>
    <s v="Yes"/>
    <m/>
    <n v="1"/>
    <m/>
    <m/>
    <m/>
    <m/>
    <m/>
    <m/>
    <m/>
    <m/>
    <m/>
    <m/>
    <m/>
    <m/>
    <s v="no test"/>
    <s v="no test"/>
    <s v="No Test"/>
    <n v="0"/>
    <n v="1"/>
    <n v="1"/>
    <n v="0"/>
    <n v="0"/>
    <n v="0"/>
    <n v="0"/>
    <n v="1"/>
    <n v="1"/>
    <n v="1"/>
    <n v="195"/>
    <n v="0"/>
    <n v="0"/>
    <n v="1"/>
    <n v="195"/>
    <n v="0.39"/>
    <n v="0"/>
    <n v="0"/>
    <n v="0.61"/>
    <n v="1"/>
    <n v="38"/>
    <n v="1"/>
    <n v="195"/>
    <n v="0"/>
    <n v="0"/>
    <n v="0"/>
    <n v="10"/>
    <n v="0"/>
    <n v="0"/>
    <n v="0"/>
    <n v="195"/>
    <n v="0"/>
    <n v="0"/>
    <n v="0"/>
    <n v="195"/>
    <n v="1"/>
    <n v="0"/>
    <n v="1"/>
    <n v="0"/>
    <n v="0"/>
    <n v="0"/>
    <n v="0"/>
    <n v="1"/>
    <n v="0"/>
    <s v="No"/>
    <s v=""/>
    <n v="0"/>
    <n v="0"/>
    <n v="0"/>
    <n v="0"/>
    <n v="0"/>
    <x v="0"/>
    <x v="5"/>
    <x v="0"/>
    <n v="23.353999999999999"/>
    <n v="98.221000000000004"/>
    <s v="MMR015CMP226"/>
    <x v="1"/>
    <m/>
    <n v="0"/>
    <n v="0"/>
  </r>
  <r>
    <x v="2"/>
    <x v="3"/>
    <x v="3"/>
    <s v="UNICEF, USAID"/>
    <x v="1"/>
    <x v="14"/>
    <x v="0"/>
    <x v="195"/>
    <n v="209"/>
    <n v="1101"/>
    <d v="2021-11-11T00:00:00"/>
    <d v="2022-11-10T00:00:00"/>
    <m/>
    <n v="2"/>
    <m/>
    <m/>
    <s v="Yes"/>
    <n v="5"/>
    <n v="4"/>
    <n v="2"/>
    <m/>
    <m/>
    <n v="1"/>
    <m/>
    <m/>
    <m/>
    <n v="48"/>
    <m/>
    <m/>
    <m/>
    <m/>
    <m/>
    <m/>
    <n v="1"/>
    <m/>
    <m/>
    <m/>
    <m/>
    <m/>
    <n v="2"/>
    <m/>
    <m/>
    <n v="200"/>
    <n v="5"/>
    <m/>
    <m/>
    <m/>
    <m/>
    <m/>
    <n v="18"/>
    <x v="2"/>
    <x v="2"/>
    <m/>
    <m/>
    <n v="2"/>
    <m/>
    <m/>
    <m/>
    <n v="2"/>
    <m/>
    <m/>
    <n v="5"/>
    <m/>
    <m/>
    <n v="1"/>
    <m/>
    <m/>
    <s v="Yes"/>
    <n v="3"/>
    <n v="1"/>
    <m/>
    <m/>
    <m/>
    <m/>
    <m/>
    <m/>
    <m/>
    <m/>
    <m/>
    <m/>
    <m/>
    <m/>
    <s v="no test"/>
    <s v="no test"/>
    <s v="No Test"/>
    <n v="2"/>
    <n v="1"/>
    <n v="48"/>
    <n v="0"/>
    <n v="0"/>
    <n v="1000"/>
    <n v="0"/>
    <n v="1"/>
    <n v="1"/>
    <n v="1"/>
    <n v="1101"/>
    <n v="0"/>
    <n v="0"/>
    <n v="1"/>
    <n v="1101"/>
    <n v="2.202"/>
    <n v="0"/>
    <n v="0"/>
    <n v="0"/>
    <n v="2"/>
    <n v="205"/>
    <n v="0.93097184377838327"/>
    <n v="1025"/>
    <n v="0"/>
    <n v="0"/>
    <n v="0"/>
    <n v="184"/>
    <n v="0"/>
    <n v="6.9028156221616732E-2"/>
    <n v="0"/>
    <n v="500"/>
    <n v="0"/>
    <n v="0"/>
    <n v="0"/>
    <n v="500"/>
    <n v="0.45413260672116257"/>
    <n v="0.54586739327883738"/>
    <n v="0.45413260672116257"/>
    <n v="0"/>
    <n v="0"/>
    <n v="2"/>
    <n v="40"/>
    <n v="0"/>
    <n v="200"/>
    <s v="No"/>
    <s v=""/>
    <n v="0"/>
    <n v="1000"/>
    <n v="0"/>
    <s v="Yes"/>
    <s v="KBC-NSS"/>
    <x v="1"/>
    <x v="0"/>
    <x v="0"/>
    <n v="23.38503"/>
    <n v="97.837040000000002"/>
    <s v="MMR015CMP020"/>
    <x v="1"/>
    <m/>
    <n v="209"/>
    <n v="108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s v="4W camp"/>
  </r>
  <r>
    <x v="0"/>
    <x v="1"/>
    <s v="4W camp"/>
  </r>
  <r>
    <x v="0"/>
    <x v="2"/>
    <s v="4W camp"/>
  </r>
  <r>
    <x v="0"/>
    <x v="3"/>
    <s v="4W camp"/>
  </r>
  <r>
    <x v="0"/>
    <x v="4"/>
    <s v="4W camp"/>
  </r>
  <r>
    <x v="0"/>
    <x v="5"/>
    <s v="4W camp"/>
  </r>
  <r>
    <x v="0"/>
    <x v="6"/>
    <s v="4W camp"/>
  </r>
  <r>
    <x v="0"/>
    <x v="7"/>
    <s v="4W camp"/>
  </r>
  <r>
    <x v="1"/>
    <x v="6"/>
    <s v="4W camp"/>
  </r>
  <r>
    <x v="1"/>
    <x v="2"/>
    <s v="4W camp"/>
  </r>
  <r>
    <x v="1"/>
    <x v="1"/>
    <s v="4W camp"/>
  </r>
  <r>
    <x v="0"/>
    <x v="8"/>
    <s v="4W village"/>
  </r>
  <r>
    <x v="2"/>
    <x v="9"/>
    <s v="4W village"/>
  </r>
  <r>
    <x v="2"/>
    <x v="10"/>
    <s v="4W village"/>
  </r>
  <r>
    <x v="2"/>
    <x v="11"/>
    <s v="4W village"/>
  </r>
  <r>
    <x v="2"/>
    <x v="12"/>
    <s v="4W village"/>
  </r>
  <r>
    <x v="2"/>
    <x v="8"/>
    <s v="4W village"/>
  </r>
  <r>
    <x v="2"/>
    <x v="13"/>
    <s v="4W village"/>
  </r>
  <r>
    <x v="2"/>
    <x v="4"/>
    <s v="4W village"/>
  </r>
  <r>
    <x v="1"/>
    <x v="1"/>
    <s v="4W village"/>
  </r>
  <r>
    <x v="1"/>
    <x v="14"/>
    <s v="4W village"/>
  </r>
  <r>
    <x v="3"/>
    <x v="8"/>
    <s v="4W village"/>
  </r>
  <r>
    <x v="2"/>
    <x v="15"/>
    <s v="4W camp"/>
  </r>
  <r>
    <x v="2"/>
    <x v="16"/>
    <s v="4W camp"/>
  </r>
  <r>
    <x v="2"/>
    <x v="12"/>
    <s v="4W camp"/>
  </r>
  <r>
    <x v="2"/>
    <x v="17"/>
    <s v="4W camp"/>
  </r>
  <r>
    <x v="2"/>
    <x v="13"/>
    <s v="4W camp"/>
  </r>
  <r>
    <x v="2"/>
    <x v="4"/>
    <s v="4W camp"/>
  </r>
  <r>
    <x v="4"/>
    <x v="18"/>
    <s v="3W"/>
  </r>
  <r>
    <x v="4"/>
    <x v="19"/>
    <s v="3W"/>
  </r>
  <r>
    <x v="5"/>
    <x v="18"/>
    <s v="3W"/>
  </r>
  <r>
    <x v="5"/>
    <x v="19"/>
    <s v="3W"/>
  </r>
  <r>
    <x v="6"/>
    <x v="20"/>
    <s v="3W"/>
  </r>
  <r>
    <x v="6"/>
    <x v="21"/>
    <s v="3W"/>
  </r>
  <r>
    <x v="6"/>
    <x v="22"/>
    <s v="3W"/>
  </r>
  <r>
    <x v="7"/>
    <x v="20"/>
    <s v="3W"/>
  </r>
  <r>
    <x v="7"/>
    <x v="21"/>
    <s v="3W"/>
  </r>
  <r>
    <x v="7"/>
    <x v="23"/>
    <s v="3W"/>
  </r>
  <r>
    <x v="7"/>
    <x v="18"/>
    <s v="3W"/>
  </r>
  <r>
    <x v="7"/>
    <x v="24"/>
    <s v="3W"/>
  </r>
  <r>
    <x v="7"/>
    <x v="19"/>
    <s v="3W"/>
  </r>
  <r>
    <x v="8"/>
    <x v="20"/>
    <s v="3W"/>
  </r>
  <r>
    <x v="8"/>
    <x v="22"/>
    <s v="3W"/>
  </r>
  <r>
    <x v="4"/>
    <x v="25"/>
    <s v="3W"/>
  </r>
  <r>
    <x v="4"/>
    <x v="26"/>
    <s v="3W"/>
  </r>
  <r>
    <x v="0"/>
    <x v="27"/>
    <s v="3W"/>
  </r>
  <r>
    <x v="0"/>
    <x v="7"/>
    <s v="3W"/>
  </r>
  <r>
    <x v="1"/>
    <x v="25"/>
    <s v="3W"/>
  </r>
  <r>
    <x v="1"/>
    <x v="28"/>
    <s v="3W"/>
  </r>
  <r>
    <x v="1"/>
    <x v="29"/>
    <s v="3W"/>
  </r>
  <r>
    <x v="1"/>
    <x v="30"/>
    <s v="3W"/>
  </r>
  <r>
    <x v="1"/>
    <x v="27"/>
    <s v="3W"/>
  </r>
  <r>
    <x v="1"/>
    <x v="31"/>
    <s v="3W"/>
  </r>
  <r>
    <x v="8"/>
    <x v="25"/>
    <s v="3W"/>
  </r>
  <r>
    <x v="8"/>
    <x v="13"/>
    <s v="3W"/>
  </r>
  <r>
    <x v="3"/>
    <x v="25"/>
    <s v="3W"/>
  </r>
  <r>
    <x v="3"/>
    <x v="32"/>
    <s v="3W"/>
  </r>
  <r>
    <x v="3"/>
    <x v="1"/>
    <s v="3W"/>
  </r>
  <r>
    <x v="3"/>
    <x v="33"/>
    <s v="3W"/>
  </r>
  <r>
    <x v="3"/>
    <x v="8"/>
    <s v="3W"/>
  </r>
  <r>
    <x v="3"/>
    <x v="34"/>
    <s v="3W"/>
  </r>
  <r>
    <x v="9"/>
    <x v="1"/>
    <s v="3W"/>
  </r>
  <r>
    <x v="9"/>
    <x v="33"/>
    <s v="3W"/>
  </r>
  <r>
    <x v="2"/>
    <x v="35"/>
    <s v="3W"/>
  </r>
  <r>
    <x v="2"/>
    <x v="36"/>
    <s v="3W"/>
  </r>
  <r>
    <x v="2"/>
    <x v="8"/>
    <s v="3W"/>
  </r>
  <r>
    <x v="2"/>
    <x v="31"/>
    <s v="3W"/>
  </r>
  <r>
    <x v="2"/>
    <x v="37"/>
    <s v="3W"/>
  </r>
  <r>
    <x v="2"/>
    <x v="17"/>
    <s v="3W"/>
  </r>
  <r>
    <x v="2"/>
    <x v="9"/>
    <s v="3W"/>
  </r>
  <r>
    <x v="2"/>
    <x v="38"/>
    <s v="3W"/>
  </r>
  <r>
    <x v="2"/>
    <x v="4"/>
    <s v="3W"/>
  </r>
  <r>
    <x v="10"/>
    <x v="31"/>
    <s v="3W"/>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x v="0"/>
    <s v="3W"/>
  </r>
  <r>
    <x v="0"/>
    <x v="1"/>
    <s v="3W"/>
  </r>
  <r>
    <x v="1"/>
    <x v="2"/>
    <s v="3W"/>
  </r>
  <r>
    <x v="1"/>
    <x v="3"/>
    <s v="3W"/>
  </r>
  <r>
    <x v="1"/>
    <x v="4"/>
    <s v="3W"/>
  </r>
  <r>
    <x v="1"/>
    <x v="5"/>
    <s v="3W"/>
  </r>
  <r>
    <x v="1"/>
    <x v="6"/>
    <s v="3W"/>
  </r>
  <r>
    <x v="1"/>
    <x v="7"/>
    <s v="3W"/>
  </r>
  <r>
    <x v="1"/>
    <x v="1"/>
    <s v="3W"/>
  </r>
  <r>
    <x v="2"/>
    <x v="8"/>
    <s v="3W"/>
  </r>
  <r>
    <x v="2"/>
    <x v="4"/>
    <s v="3W"/>
  </r>
  <r>
    <x v="2"/>
    <x v="9"/>
    <s v="3W"/>
  </r>
  <r>
    <x v="2"/>
    <x v="1"/>
    <s v="3W"/>
  </r>
  <r>
    <x v="3"/>
    <x v="2"/>
    <s v="3W"/>
  </r>
  <r>
    <x v="3"/>
    <x v="4"/>
    <s v="3W"/>
  </r>
  <r>
    <x v="3"/>
    <x v="10"/>
    <s v="3W"/>
  </r>
  <r>
    <x v="3"/>
    <x v="11"/>
    <s v="3W"/>
  </r>
  <r>
    <x v="3"/>
    <x v="1"/>
    <s v="3W"/>
  </r>
  <r>
    <x v="3"/>
    <x v="12"/>
    <s v="3W"/>
  </r>
  <r>
    <x v="4"/>
    <x v="13"/>
    <s v="3W"/>
  </r>
  <r>
    <x v="4"/>
    <x v="14"/>
    <s v="3W"/>
  </r>
  <r>
    <x v="4"/>
    <x v="4"/>
    <s v="3W"/>
  </r>
  <r>
    <x v="4"/>
    <x v="11"/>
    <s v="3W"/>
  </r>
  <r>
    <x v="4"/>
    <x v="0"/>
    <s v="3W"/>
  </r>
  <r>
    <x v="4"/>
    <x v="15"/>
    <s v="3W"/>
  </r>
  <r>
    <x v="4"/>
    <x v="1"/>
    <s v="3W"/>
  </r>
  <r>
    <x v="5"/>
    <x v="4"/>
    <s v="3W"/>
  </r>
  <r>
    <x v="5"/>
    <x v="5"/>
    <s v="3W"/>
  </r>
  <r>
    <x v="6"/>
    <x v="2"/>
    <s v="3W"/>
  </r>
  <r>
    <x v="6"/>
    <x v="16"/>
    <s v="3W"/>
  </r>
  <r>
    <x v="6"/>
    <x v="0"/>
    <s v="3W"/>
  </r>
  <r>
    <x v="6"/>
    <x v="1"/>
    <s v="3W"/>
  </r>
  <r>
    <x v="7"/>
    <x v="17"/>
    <s v="3W"/>
  </r>
  <r>
    <x v="7"/>
    <x v="18"/>
    <s v="3W"/>
  </r>
  <r>
    <x v="7"/>
    <x v="19"/>
    <s v="3W"/>
  </r>
  <r>
    <x v="7"/>
    <x v="20"/>
    <s v="3W"/>
  </r>
  <r>
    <x v="7"/>
    <x v="21"/>
    <s v="3W"/>
  </r>
  <r>
    <x v="7"/>
    <x v="6"/>
    <s v="3W"/>
  </r>
  <r>
    <x v="7"/>
    <x v="22"/>
    <s v="3W"/>
  </r>
  <r>
    <x v="7"/>
    <x v="23"/>
    <s v="3W"/>
  </r>
  <r>
    <x v="7"/>
    <x v="24"/>
    <s v="3W"/>
  </r>
  <r>
    <x v="7"/>
    <x v="1"/>
    <s v="3W"/>
  </r>
  <r>
    <x v="7"/>
    <x v="25"/>
    <s v="3W"/>
  </r>
  <r>
    <x v="8"/>
    <x v="26"/>
    <s v="3W"/>
  </r>
  <r>
    <x v="8"/>
    <x v="27"/>
    <s v="3W"/>
  </r>
  <r>
    <x v="8"/>
    <x v="4"/>
    <s v="3W"/>
  </r>
  <r>
    <x v="8"/>
    <x v="1"/>
    <s v="3W"/>
  </r>
  <r>
    <x v="9"/>
    <x v="2"/>
    <s v="3W"/>
  </r>
  <r>
    <x v="9"/>
    <x v="8"/>
    <s v="3W"/>
  </r>
  <r>
    <x v="9"/>
    <x v="28"/>
    <s v="3W"/>
  </r>
  <r>
    <x v="9"/>
    <x v="29"/>
    <s v="3W"/>
  </r>
  <r>
    <x v="9"/>
    <x v="30"/>
    <s v="3W"/>
  </r>
  <r>
    <x v="9"/>
    <x v="1"/>
    <s v="3W"/>
  </r>
  <r>
    <x v="10"/>
    <x v="2"/>
    <s v="3W"/>
  </r>
  <r>
    <x v="10"/>
    <x v="10"/>
    <s v="3W"/>
  </r>
  <r>
    <x v="10"/>
    <x v="11"/>
    <s v="3W"/>
  </r>
  <r>
    <x v="10"/>
    <x v="30"/>
    <s v="3W"/>
  </r>
  <r>
    <x v="2"/>
    <x v="31"/>
    <s v="4W camp"/>
  </r>
  <r>
    <x v="2"/>
    <x v="20"/>
    <s v="4W camp"/>
  </r>
  <r>
    <x v="2"/>
    <x v="32"/>
    <s v="4W camp"/>
  </r>
  <r>
    <x v="2"/>
    <x v="4"/>
    <s v="4W camp"/>
  </r>
  <r>
    <x v="2"/>
    <x v="28"/>
    <s v="4W camp"/>
  </r>
  <r>
    <x v="2"/>
    <x v="6"/>
    <s v="4W camp"/>
  </r>
  <r>
    <x v="2"/>
    <x v="33"/>
    <s v="4W camp"/>
  </r>
  <r>
    <x v="2"/>
    <x v="23"/>
    <s v="4W camp"/>
  </r>
  <r>
    <x v="2"/>
    <x v="9"/>
    <s v="4W camp"/>
  </r>
  <r>
    <x v="2"/>
    <x v="34"/>
    <s v="4W camp"/>
  </r>
  <r>
    <x v="2"/>
    <x v="35"/>
    <s v="4W camp"/>
  </r>
  <r>
    <x v="7"/>
    <x v="36"/>
    <s v="4W camp"/>
  </r>
  <r>
    <x v="7"/>
    <x v="37"/>
    <s v="4W camp"/>
  </r>
  <r>
    <x v="7"/>
    <x v="22"/>
    <s v="4W camp"/>
  </r>
  <r>
    <x v="7"/>
    <x v="30"/>
    <s v="4W camp"/>
  </r>
  <r>
    <x v="7"/>
    <x v="23"/>
    <s v="4W camp"/>
  </r>
  <r>
    <x v="7"/>
    <x v="23"/>
    <s v="4W camp"/>
  </r>
  <r>
    <x v="9"/>
    <x v="31"/>
    <s v="4W camp"/>
  </r>
  <r>
    <x v="9"/>
    <x v="4"/>
    <s v="4W camp"/>
  </r>
  <r>
    <x v="9"/>
    <x v="28"/>
    <s v="4W camp"/>
  </r>
  <r>
    <x v="1"/>
    <x v="6"/>
    <s v="4W village"/>
  </r>
  <r>
    <x v="2"/>
    <x v="31"/>
    <s v="4W village"/>
  </r>
  <r>
    <x v="2"/>
    <x v="32"/>
    <s v="4W village"/>
  </r>
  <r>
    <x v="2"/>
    <x v="6"/>
    <s v="4W village"/>
  </r>
  <r>
    <x v="2"/>
    <x v="9"/>
    <s v="4W village"/>
  </r>
  <r>
    <x v="2"/>
    <x v="34"/>
    <s v="4W village"/>
  </r>
  <r>
    <x v="2"/>
    <x v="38"/>
    <s v="4W village"/>
  </r>
  <r>
    <x v="7"/>
    <x v="19"/>
    <s v="4W village"/>
  </r>
  <r>
    <x v="7"/>
    <x v="39"/>
    <s v="4W village"/>
  </r>
  <r>
    <x v="7"/>
    <x v="40"/>
    <s v="4W village"/>
  </r>
  <r>
    <x v="7"/>
    <x v="5"/>
    <s v="4W village"/>
  </r>
  <r>
    <x v="7"/>
    <x v="6"/>
    <s v="4W village"/>
  </r>
  <r>
    <x v="7"/>
    <x v="41"/>
    <s v="4W village"/>
  </r>
  <r>
    <x v="7"/>
    <x v="30"/>
    <s v="4W village"/>
  </r>
  <r>
    <x v="7"/>
    <x v="42"/>
    <s v="4W village"/>
  </r>
  <r>
    <x v="7"/>
    <x v="23"/>
    <s v="4W village"/>
  </r>
  <r>
    <x v="7"/>
    <x v="23"/>
    <s v="4W village"/>
  </r>
  <r>
    <x v="7"/>
    <x v="43"/>
    <s v="4W village"/>
  </r>
  <r>
    <x v="7"/>
    <x v="1"/>
    <s v="4W village"/>
  </r>
  <r>
    <x v="9"/>
    <x v="44"/>
    <s v="4W village"/>
  </r>
  <r>
    <x v="9"/>
    <x v="4"/>
    <s v="4W village"/>
  </r>
  <r>
    <x v="9"/>
    <x v="29"/>
    <s v="4W village"/>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x v="0"/>
    <x v="0"/>
    <s v="3W"/>
  </r>
  <r>
    <x v="0"/>
    <x v="1"/>
    <s v="3W"/>
  </r>
  <r>
    <x v="1"/>
    <x v="2"/>
    <s v="3W"/>
  </r>
  <r>
    <x v="1"/>
    <x v="3"/>
    <s v="3W"/>
  </r>
  <r>
    <x v="1"/>
    <x v="4"/>
    <s v="3W"/>
  </r>
  <r>
    <x v="1"/>
    <x v="5"/>
    <s v="3W"/>
  </r>
  <r>
    <x v="1"/>
    <x v="6"/>
    <s v="3W"/>
  </r>
  <r>
    <x v="1"/>
    <x v="7"/>
    <s v="3W"/>
  </r>
  <r>
    <x v="1"/>
    <x v="8"/>
    <s v="3W"/>
  </r>
  <r>
    <x v="1"/>
    <x v="1"/>
    <s v="3W"/>
  </r>
  <r>
    <x v="2"/>
    <x v="9"/>
    <s v="3W"/>
  </r>
  <r>
    <x v="2"/>
    <x v="10"/>
    <s v="3W"/>
  </r>
  <r>
    <x v="2"/>
    <x v="4"/>
    <s v="3W"/>
  </r>
  <r>
    <x v="2"/>
    <x v="11"/>
    <s v="3W"/>
  </r>
  <r>
    <x v="2"/>
    <x v="1"/>
    <s v="3W"/>
  </r>
  <r>
    <x v="2"/>
    <x v="12"/>
    <s v="3W"/>
  </r>
  <r>
    <x v="3"/>
    <x v="2"/>
    <s v="3W"/>
  </r>
  <r>
    <x v="3"/>
    <x v="4"/>
    <s v="3W"/>
  </r>
  <r>
    <x v="3"/>
    <x v="13"/>
    <s v="3W"/>
  </r>
  <r>
    <x v="3"/>
    <x v="14"/>
    <s v="3W"/>
  </r>
  <r>
    <x v="3"/>
    <x v="1"/>
    <s v="3W"/>
  </r>
  <r>
    <x v="3"/>
    <x v="15"/>
    <s v="3W"/>
  </r>
  <r>
    <x v="4"/>
    <x v="16"/>
    <s v="3W"/>
  </r>
  <r>
    <x v="4"/>
    <x v="17"/>
    <s v="3W"/>
  </r>
  <r>
    <x v="4"/>
    <x v="4"/>
    <s v="3W"/>
  </r>
  <r>
    <x v="4"/>
    <x v="14"/>
    <s v="3W"/>
  </r>
  <r>
    <x v="4"/>
    <x v="0"/>
    <s v="3W"/>
  </r>
  <r>
    <x v="4"/>
    <x v="18"/>
    <s v="3W"/>
  </r>
  <r>
    <x v="4"/>
    <x v="1"/>
    <s v="3W"/>
  </r>
  <r>
    <x v="5"/>
    <x v="4"/>
    <s v="3W"/>
  </r>
  <r>
    <x v="5"/>
    <x v="5"/>
    <s v="3W"/>
  </r>
  <r>
    <x v="6"/>
    <x v="2"/>
    <s v="3W"/>
  </r>
  <r>
    <x v="6"/>
    <x v="19"/>
    <s v="3W"/>
  </r>
  <r>
    <x v="6"/>
    <x v="0"/>
    <s v="3W"/>
  </r>
  <r>
    <x v="6"/>
    <x v="1"/>
    <s v="3W"/>
  </r>
  <r>
    <x v="7"/>
    <x v="20"/>
    <s v="3W"/>
  </r>
  <r>
    <x v="7"/>
    <x v="21"/>
    <s v="3W"/>
  </r>
  <r>
    <x v="7"/>
    <x v="22"/>
    <s v="3W"/>
  </r>
  <r>
    <x v="7"/>
    <x v="23"/>
    <s v="3W"/>
  </r>
  <r>
    <x v="7"/>
    <x v="24"/>
    <s v="3W"/>
  </r>
  <r>
    <x v="7"/>
    <x v="6"/>
    <s v="3W"/>
  </r>
  <r>
    <x v="7"/>
    <x v="25"/>
    <s v="3W"/>
  </r>
  <r>
    <x v="7"/>
    <x v="26"/>
    <s v="3W"/>
  </r>
  <r>
    <x v="7"/>
    <x v="27"/>
    <s v="3W"/>
  </r>
  <r>
    <x v="7"/>
    <x v="1"/>
    <s v="3W"/>
  </r>
  <r>
    <x v="7"/>
    <x v="28"/>
    <s v="3W"/>
  </r>
  <r>
    <x v="8"/>
    <x v="29"/>
    <s v="3W"/>
  </r>
  <r>
    <x v="8"/>
    <x v="30"/>
    <s v="3W"/>
  </r>
  <r>
    <x v="8"/>
    <x v="4"/>
    <s v="3W"/>
  </r>
  <r>
    <x v="8"/>
    <x v="31"/>
    <s v="3W"/>
  </r>
  <r>
    <x v="8"/>
    <x v="1"/>
    <s v="3W"/>
  </r>
  <r>
    <x v="9"/>
    <x v="2"/>
    <s v="3W"/>
  </r>
  <r>
    <x v="9"/>
    <x v="9"/>
    <s v="3W"/>
  </r>
  <r>
    <x v="9"/>
    <x v="32"/>
    <s v="3W"/>
  </r>
  <r>
    <x v="9"/>
    <x v="33"/>
    <s v="3W"/>
  </r>
  <r>
    <x v="9"/>
    <x v="7"/>
    <s v="3W"/>
  </r>
  <r>
    <x v="9"/>
    <x v="1"/>
    <s v="3W"/>
  </r>
  <r>
    <x v="10"/>
    <x v="2"/>
    <s v="3W"/>
  </r>
  <r>
    <x v="10"/>
    <x v="13"/>
    <s v="3W"/>
  </r>
  <r>
    <x v="10"/>
    <x v="14"/>
    <s v="3W"/>
  </r>
  <r>
    <x v="10"/>
    <x v="25"/>
    <s v="3W"/>
  </r>
  <r>
    <x v="10"/>
    <x v="7"/>
    <s v="3W"/>
  </r>
  <r>
    <x v="10"/>
    <x v="1"/>
    <s v="3W"/>
  </r>
  <r>
    <x v="2"/>
    <x v="34"/>
    <s v="4W Camp"/>
  </r>
  <r>
    <x v="2"/>
    <x v="23"/>
    <s v="4W Camp"/>
  </r>
  <r>
    <x v="2"/>
    <x v="10"/>
    <s v="4W Camp"/>
  </r>
  <r>
    <x v="2"/>
    <x v="4"/>
    <s v="4W Camp"/>
  </r>
  <r>
    <x v="2"/>
    <x v="32"/>
    <s v="4W Camp"/>
  </r>
  <r>
    <x v="2"/>
    <x v="6"/>
    <s v="4W Camp"/>
  </r>
  <r>
    <x v="2"/>
    <x v="35"/>
    <s v="4W Camp"/>
  </r>
  <r>
    <x v="2"/>
    <x v="26"/>
    <s v="4W Camp"/>
  </r>
  <r>
    <x v="2"/>
    <x v="11"/>
    <s v="4W Camp"/>
  </r>
  <r>
    <x v="2"/>
    <x v="12"/>
    <s v="4W Camp"/>
  </r>
  <r>
    <x v="2"/>
    <x v="36"/>
    <s v="4W Camp"/>
  </r>
  <r>
    <x v="7"/>
    <x v="37"/>
    <s v="4W Camp"/>
  </r>
  <r>
    <x v="7"/>
    <x v="38"/>
    <s v="4W Camp"/>
  </r>
  <r>
    <x v="7"/>
    <x v="25"/>
    <s v="4W Camp"/>
  </r>
  <r>
    <x v="7"/>
    <x v="7"/>
    <s v="4W Camp"/>
  </r>
  <r>
    <x v="7"/>
    <x v="26"/>
    <s v="4W Camp"/>
  </r>
  <r>
    <x v="9"/>
    <x v="34"/>
    <s v="4W Camp"/>
  </r>
  <r>
    <x v="9"/>
    <x v="4"/>
    <s v="4W Camp"/>
  </r>
  <r>
    <x v="9"/>
    <x v="32"/>
    <s v="4W Camp"/>
  </r>
  <r>
    <x v="1"/>
    <x v="6"/>
    <s v="4W Village"/>
  </r>
  <r>
    <x v="2"/>
    <x v="34"/>
    <s v="4W Village"/>
  </r>
  <r>
    <x v="2"/>
    <x v="10"/>
    <s v="4W Village"/>
  </r>
  <r>
    <x v="2"/>
    <x v="6"/>
    <s v="4W Village"/>
  </r>
  <r>
    <x v="2"/>
    <x v="11"/>
    <s v="4W Village"/>
  </r>
  <r>
    <x v="2"/>
    <x v="12"/>
    <s v="4W Village"/>
  </r>
  <r>
    <x v="2"/>
    <x v="39"/>
    <s v="4W Village"/>
  </r>
  <r>
    <x v="3"/>
    <x v="2"/>
    <s v="4W Village"/>
  </r>
  <r>
    <x v="6"/>
    <x v="2"/>
    <s v="4W Village"/>
  </r>
  <r>
    <x v="6"/>
    <x v="19"/>
    <s v="4W Village"/>
  </r>
  <r>
    <x v="7"/>
    <x v="22"/>
    <s v="4W Village"/>
  </r>
  <r>
    <x v="7"/>
    <x v="40"/>
    <s v="4W Village"/>
  </r>
  <r>
    <x v="7"/>
    <x v="5"/>
    <s v="4W Village"/>
  </r>
  <r>
    <x v="7"/>
    <x v="41"/>
    <s v="4W Village"/>
  </r>
  <r>
    <x v="7"/>
    <x v="6"/>
    <s v="4W Village"/>
  </r>
  <r>
    <x v="7"/>
    <x v="42"/>
    <s v="4W Village"/>
  </r>
  <r>
    <x v="7"/>
    <x v="7"/>
    <s v="4W Village"/>
  </r>
  <r>
    <x v="7"/>
    <x v="43"/>
    <s v="4W Village"/>
  </r>
  <r>
    <x v="7"/>
    <x v="26"/>
    <s v="4W Village"/>
  </r>
  <r>
    <x v="7"/>
    <x v="44"/>
    <s v="4W Village"/>
  </r>
  <r>
    <x v="7"/>
    <x v="1"/>
    <s v="4W Village"/>
  </r>
  <r>
    <x v="9"/>
    <x v="45"/>
    <s v="4W Village"/>
  </r>
  <r>
    <x v="9"/>
    <x v="4"/>
    <s v="4W Village"/>
  </r>
  <r>
    <x v="9"/>
    <x v="33"/>
    <s v="4W Village"/>
  </r>
  <r>
    <x v="9"/>
    <x v="46"/>
    <s v="4W Village"/>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
  <r>
    <s v="AYO"/>
    <x v="0"/>
  </r>
  <r>
    <s v="CHRO"/>
    <x v="0"/>
  </r>
  <r>
    <s v="CIDKP"/>
    <x v="0"/>
  </r>
  <r>
    <s v="NHTYK"/>
    <x v="0"/>
  </r>
  <r>
    <s v="SDF"/>
    <x v="0"/>
  </r>
  <r>
    <s v="ACF"/>
    <x v="1"/>
  </r>
  <r>
    <s v="ADRA"/>
    <x v="1"/>
  </r>
  <r>
    <s v="CARE"/>
    <x v="1"/>
  </r>
  <r>
    <s v="CDN"/>
    <x v="1"/>
  </r>
  <r>
    <s v="CERA"/>
    <x v="1"/>
  </r>
  <r>
    <s v="DRC"/>
    <x v="1"/>
  </r>
  <r>
    <s v="HPA"/>
    <x v="1"/>
  </r>
  <r>
    <s v="IRC"/>
    <x v="1"/>
  </r>
  <r>
    <s v="IRW"/>
    <x v="1"/>
  </r>
  <r>
    <s v="LWF"/>
    <x v="1"/>
  </r>
  <r>
    <s v="Malteser"/>
    <x v="1"/>
  </r>
  <r>
    <s v="MA-UK"/>
    <x v="1"/>
  </r>
  <r>
    <s v="MC"/>
    <x v="1"/>
  </r>
  <r>
    <s v="OXFAM"/>
    <x v="1"/>
  </r>
  <r>
    <s v="PIN"/>
    <x v="1"/>
  </r>
  <r>
    <s v="PWJ"/>
    <x v="1"/>
  </r>
  <r>
    <s v="RI"/>
    <x v="1"/>
  </r>
  <r>
    <s v="SCI"/>
    <x v="1"/>
  </r>
  <r>
    <s v="SI"/>
    <x v="1"/>
  </r>
  <r>
    <s v="TGH-GJ"/>
    <x v="1"/>
  </r>
  <r>
    <s v="TGH-RCDF"/>
    <x v="1"/>
  </r>
  <r>
    <s v="WCM"/>
    <x v="1"/>
  </r>
  <r>
    <s v="WV"/>
    <x v="1"/>
  </r>
  <r>
    <s v="CDA"/>
    <x v="2"/>
  </r>
  <r>
    <s v="GLAD"/>
    <x v="2"/>
  </r>
  <r>
    <s v="KBC"/>
    <x v="2"/>
  </r>
  <r>
    <s v="KMSS"/>
    <x v="2"/>
  </r>
  <r>
    <s v="KyWO"/>
    <x v="2"/>
  </r>
  <r>
    <s v="Metta"/>
    <x v="2"/>
  </r>
  <r>
    <s v="MM"/>
    <x v="2"/>
  </r>
  <r>
    <s v="PSSAG"/>
    <x v="2"/>
  </r>
  <r>
    <s v="Shalom"/>
    <x v="2"/>
  </r>
  <r>
    <s v="STW"/>
    <x v="2"/>
  </r>
  <r>
    <s v="TLDA"/>
    <x v="2"/>
  </r>
  <r>
    <s v="TWG"/>
    <x v="2"/>
  </r>
  <r>
    <s v="WDC"/>
    <x v="2"/>
  </r>
  <r>
    <s v="WPN"/>
    <x v="2"/>
  </r>
  <r>
    <s v="ICRC"/>
    <x v="3"/>
  </r>
  <r>
    <s v="UNICEF"/>
    <x v="4"/>
  </r>
  <r>
    <s v="WFP"/>
    <x v="4"/>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
  <r>
    <s v="ACF"/>
    <x v="0"/>
  </r>
  <r>
    <s v="ADRA"/>
    <x v="0"/>
  </r>
  <r>
    <s v="AYO"/>
    <x v="1"/>
  </r>
  <r>
    <s v="CARE"/>
    <x v="0"/>
  </r>
  <r>
    <s v="CDA"/>
    <x v="2"/>
  </r>
  <r>
    <s v="CDN"/>
    <x v="0"/>
  </r>
  <r>
    <s v="CERA"/>
    <x v="0"/>
  </r>
  <r>
    <s v="CHRO"/>
    <x v="1"/>
  </r>
  <r>
    <s v="CIDKP"/>
    <x v="1"/>
  </r>
  <r>
    <s v="DRC"/>
    <x v="0"/>
  </r>
  <r>
    <s v="GLAD"/>
    <x v="2"/>
  </r>
  <r>
    <s v="HPA"/>
    <x v="0"/>
  </r>
  <r>
    <s v="ICRC"/>
    <x v="3"/>
  </r>
  <r>
    <s v="IRC"/>
    <x v="0"/>
  </r>
  <r>
    <s v="IRW"/>
    <x v="0"/>
  </r>
  <r>
    <s v="KBC"/>
    <x v="2"/>
  </r>
  <r>
    <s v="KMSS"/>
    <x v="2"/>
  </r>
  <r>
    <s v="KyWO"/>
    <x v="2"/>
  </r>
  <r>
    <s v="LWF"/>
    <x v="0"/>
  </r>
  <r>
    <s v="Malteser"/>
    <x v="0"/>
  </r>
  <r>
    <s v="MA-UK"/>
    <x v="0"/>
  </r>
  <r>
    <s v="MC"/>
    <x v="0"/>
  </r>
  <r>
    <s v="Metta"/>
    <x v="2"/>
  </r>
  <r>
    <s v="MM"/>
    <x v="2"/>
  </r>
  <r>
    <s v="NHTYK"/>
    <x v="1"/>
  </r>
  <r>
    <s v="OXFAM"/>
    <x v="0"/>
  </r>
  <r>
    <s v="PIN"/>
    <x v="0"/>
  </r>
  <r>
    <s v="PSSAG"/>
    <x v="2"/>
  </r>
  <r>
    <s v="PWJ"/>
    <x v="0"/>
  </r>
  <r>
    <s v="RI"/>
    <x v="0"/>
  </r>
  <r>
    <s v="SCI"/>
    <x v="0"/>
  </r>
  <r>
    <s v="SDF"/>
    <x v="1"/>
  </r>
  <r>
    <s v="Shalom"/>
    <x v="2"/>
  </r>
  <r>
    <s v="SI"/>
    <x v="0"/>
  </r>
  <r>
    <s v="SPMO"/>
    <x v="2"/>
  </r>
  <r>
    <s v="STW"/>
    <x v="2"/>
  </r>
  <r>
    <s v="Swe Tha Har"/>
    <x v="2"/>
  </r>
  <r>
    <s v="TGH-GJ"/>
    <x v="0"/>
  </r>
  <r>
    <s v="TGH-RCDF"/>
    <x v="0"/>
  </r>
  <r>
    <s v="TLDA"/>
    <x v="2"/>
  </r>
  <r>
    <s v="TWG"/>
    <x v="2"/>
  </r>
  <r>
    <s v="UNICEF"/>
    <x v="4"/>
  </r>
  <r>
    <s v="WCM"/>
    <x v="0"/>
  </r>
  <r>
    <s v="WDC"/>
    <x v="2"/>
  </r>
  <r>
    <s v="WFP"/>
    <x v="4"/>
  </r>
  <r>
    <s v="WPN"/>
    <x v="2"/>
  </r>
  <r>
    <s v="WV"/>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3CF63A5-2968-45E5-A665-3FA2F131B16C}" name="PivotTable1" cacheId="4"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4" firstHeaderRow="1" firstDataRow="1" firstDataCol="1" rowPageCount="1" colPageCount="1"/>
  <pivotFields count="155">
    <pivotField axis="axisPage" multipleItemSelectionAllowed="1" showAll="0">
      <items count="26">
        <item m="1" x="22"/>
        <item m="1" x="23"/>
        <item m="1" x="9"/>
        <item m="1" x="24"/>
        <item m="1" x="16"/>
        <item m="1" x="18"/>
        <item m="1" x="20"/>
        <item m="1" x="21"/>
        <item m="1" x="5"/>
        <item m="1" x="12"/>
        <item m="1" x="14"/>
        <item m="1" x="17"/>
        <item m="1" x="19"/>
        <item h="1" m="1" x="7"/>
        <item h="1" m="1" x="10"/>
        <item m="1" x="13"/>
        <item m="1" x="3"/>
        <item h="1" m="1" x="15"/>
        <item h="1" m="1" x="4"/>
        <item h="1" m="1" x="6"/>
        <item h="1" m="1" x="8"/>
        <item h="1" m="1" x="11"/>
        <item h="1" x="0"/>
        <item h="1" x="1"/>
        <item h="1" x="2"/>
        <item t="default"/>
      </items>
    </pivotField>
    <pivotField showAll="0"/>
    <pivotField showAll="0"/>
    <pivotField showAll="0"/>
    <pivotField axis="axisRow" showAll="0">
      <items count="7">
        <item m="1" x="5"/>
        <item x="0"/>
        <item m="1" x="4"/>
        <item m="1" x="3"/>
        <item x="1"/>
        <item m="1" x="2"/>
        <item t="default"/>
      </items>
    </pivotField>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9" showAll="0"/>
    <pivotField numFmtId="9" showAll="0"/>
    <pivotField numFmtId="9" showAll="0"/>
    <pivotField numFmtId="1" showAll="0"/>
    <pivotField numFmtId="9" showAll="0"/>
    <pivotField numFmtId="1" showAll="0"/>
    <pivotField numFmtId="9" showAll="0"/>
    <pivotField numFmtId="1" showAll="0"/>
    <pivotField numFmtId="1" showAll="0"/>
    <pivotField numFmtId="9" showAll="0"/>
    <pivotField numFmtId="1" showAll="0"/>
    <pivotField numFmtId="1" showAll="0"/>
    <pivotField numFmtId="1" showAll="0"/>
    <pivotField numFmtId="1" showAll="0"/>
    <pivotField numFmtId="9" showAll="0"/>
    <pivotField numFmtId="1" showAll="0"/>
    <pivotField numFmtId="1" showAll="0"/>
    <pivotField numFmtId="1" showAll="0"/>
    <pivotField numFmtId="1" showAll="0"/>
    <pivotField numFmtId="1" showAll="0"/>
    <pivotField numFmtId="1" showAll="0"/>
    <pivotField numFmtId="9" showAll="0"/>
    <pivotField numFmtId="9" showAll="0"/>
    <pivotField numFmtId="1" showAll="0"/>
    <pivotField numFmtId="1" showAll="0"/>
    <pivotField numFmtId="1" showAll="0"/>
    <pivotField numFmtId="1" showAll="0"/>
    <pivotField numFmtId="1" showAll="0"/>
    <pivotField numFmtId="9" showAll="0"/>
    <pivotField numFmtId="9" showAll="0"/>
    <pivotField numFmtId="9" showAll="0"/>
    <pivotField showAll="0"/>
    <pivotField showAll="0"/>
    <pivotField dataField="1" numFmtId="1" showAll="0"/>
    <pivotField numFmtId="1" showAll="0"/>
    <pivotField numFmtId="1" showAll="0"/>
    <pivotField numFmtId="1" showAll="0"/>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t="grand">
      <x/>
    </i>
  </rowItems>
  <colItems count="1">
    <i/>
  </colItems>
  <pageFields count="1">
    <pageField fld="0" hier="-1"/>
  </pageFields>
  <dataFields count="1">
    <dataField name="Sum of # Functional hand washing stations during reporting period" fld="12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1A000000}" name="S_Geo" cacheId="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6">
  <location ref="H295:J299" firstHeaderRow="1" firstDataRow="2" firstDataCol="1" rowPageCount="2" colPageCount="1"/>
  <pivotFields count="155">
    <pivotField axis="axisPage" subtotalTop="0" multipleItemSelectionAllowed="1" showAll="0">
      <items count="26">
        <item m="1" x="23"/>
        <item m="1" x="9"/>
        <item m="1" x="24"/>
        <item h="1" m="1" x="16"/>
        <item m="1" x="5"/>
        <item m="1" x="3"/>
        <item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x="0"/>
        <item h="1" m="1" x="3"/>
        <item x="1"/>
        <item m="1" x="2"/>
        <item h="1" m="1" x="5"/>
        <item h="1" m="1" x="4"/>
        <item t="default"/>
      </items>
    </pivotField>
    <pivotField subtotalTop="0" showAll="0"/>
    <pivotField axis="axisRow" showAll="0" defaultSubtotal="0">
      <items count="14">
        <item x="0"/>
        <item x="1"/>
        <item m="1" x="10"/>
        <item m="1" x="8"/>
        <item m="1" x="6"/>
        <item m="1" x="5"/>
        <item m="1" x="12"/>
        <item m="1" x="9"/>
        <item m="1" x="13"/>
        <item m="1" x="7"/>
        <item m="1" x="11"/>
        <item m="1" x="3"/>
        <item m="1" x="4"/>
        <item x="2"/>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1"/>
        <item n="Gap" x="0"/>
        <item h="1" m="1" x="4"/>
        <item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3">
    <i>
      <x/>
    </i>
    <i>
      <x v="1"/>
    </i>
    <i>
      <x v="13"/>
    </i>
  </rowItems>
  <colFields count="1">
    <field x="142"/>
  </colFields>
  <colItems count="2">
    <i>
      <x/>
    </i>
    <i>
      <x v="1"/>
    </i>
  </colItems>
  <pageFields count="2">
    <pageField fld="0" hier="-1"/>
    <pageField fld="4" hier="-1"/>
  </pageFields>
  <dataFields count="1">
    <dataField name="Count of Site Name" fld="7" subtotal="count" baseField="0" baseItem="0"/>
  </dataFields>
  <formats count="17">
    <format dxfId="206">
      <pivotArea type="all" dataOnly="0" outline="0" fieldPosition="0"/>
    </format>
    <format dxfId="205">
      <pivotArea outline="0" collapsedLevelsAreSubtotals="1" fieldPosition="0"/>
    </format>
    <format dxfId="204">
      <pivotArea field="4" type="button" dataOnly="0" labelOnly="1" outline="0" axis="axisPage" fieldPosition="1"/>
    </format>
    <format dxfId="203">
      <pivotArea dataOnly="0" labelOnly="1" fieldPosition="0">
        <references count="1">
          <reference field="4" count="0"/>
        </references>
      </pivotArea>
    </format>
    <format dxfId="202">
      <pivotArea dataOnly="0" labelOnly="1" grandRow="1" outline="0" fieldPosition="0"/>
    </format>
    <format dxfId="201">
      <pivotArea dataOnly="0" labelOnly="1" outline="0" fieldPosition="0">
        <references count="1">
          <reference field="4294967294" count="1">
            <x v="0"/>
          </reference>
        </references>
      </pivotArea>
    </format>
    <format dxfId="200">
      <pivotArea type="all" dataOnly="0" outline="0" fieldPosition="0"/>
    </format>
    <format dxfId="199">
      <pivotArea outline="0" collapsedLevelsAreSubtotals="1" fieldPosition="0"/>
    </format>
    <format dxfId="198">
      <pivotArea type="origin" dataOnly="0" labelOnly="1" outline="0" fieldPosition="0"/>
    </format>
    <format dxfId="197">
      <pivotArea field="142" type="button" dataOnly="0" labelOnly="1" outline="0" axis="axisCol" fieldPosition="0"/>
    </format>
    <format dxfId="196">
      <pivotArea type="topRight" dataOnly="0" labelOnly="1" outline="0" fieldPosition="0"/>
    </format>
    <format dxfId="195">
      <pivotArea dataOnly="0" labelOnly="1" fieldPosition="0">
        <references count="1">
          <reference field="142" count="0"/>
        </references>
      </pivotArea>
    </format>
    <format dxfId="194">
      <pivotArea type="all" dataOnly="0" outline="0" fieldPosition="0"/>
    </format>
    <format dxfId="193">
      <pivotArea outline="0" collapsedLevelsAreSubtotals="1" fieldPosition="0"/>
    </format>
    <format dxfId="192">
      <pivotArea dataOnly="0" labelOnly="1" fieldPosition="0">
        <references count="1">
          <reference field="142" count="0"/>
        </references>
      </pivotArea>
    </format>
    <format dxfId="191">
      <pivotArea field="4" type="button" dataOnly="0" labelOnly="1" outline="0" axis="axisPage" fieldPosition="1"/>
    </format>
    <format dxfId="190">
      <pivotArea dataOnly="0" labelOnly="1" outline="0" fieldPosition="0">
        <references count="1">
          <reference field="4" count="0"/>
        </references>
      </pivotArea>
    </format>
  </formats>
  <chartFormats count="12">
    <chartFormat chart="1" format="0" series="1">
      <pivotArea type="data" outline="0" fieldPosition="0">
        <references count="2">
          <reference field="4294967294" count="1" selected="0">
            <x v="0"/>
          </reference>
          <reference field="142" count="1" selected="0">
            <x v="0"/>
          </reference>
        </references>
      </pivotArea>
    </chartFormat>
    <chartFormat chart="1" format="1" series="1">
      <pivotArea type="data" outline="0" fieldPosition="0">
        <references count="2">
          <reference field="4294967294" count="1" selected="0">
            <x v="0"/>
          </reference>
          <reference field="142" count="1" selected="0">
            <x v="1"/>
          </reference>
        </references>
      </pivotArea>
    </chartFormat>
    <chartFormat chart="6" format="4" series="1">
      <pivotArea type="data" outline="0" fieldPosition="0">
        <references count="2">
          <reference field="4294967294" count="1" selected="0">
            <x v="0"/>
          </reference>
          <reference field="142" count="1" selected="0">
            <x v="0"/>
          </reference>
        </references>
      </pivotArea>
    </chartFormat>
    <chartFormat chart="6" format="5" series="1">
      <pivotArea type="data" outline="0" fieldPosition="0">
        <references count="2">
          <reference field="4294967294" count="1" selected="0">
            <x v="0"/>
          </reference>
          <reference field="142" count="1" selected="0">
            <x v="1"/>
          </reference>
        </references>
      </pivotArea>
    </chartFormat>
    <chartFormat chart="16" format="8" series="1">
      <pivotArea type="data" outline="0" fieldPosition="0">
        <references count="2">
          <reference field="4294967294" count="1" selected="0">
            <x v="0"/>
          </reference>
          <reference field="142" count="1" selected="0">
            <x v="0"/>
          </reference>
        </references>
      </pivotArea>
    </chartFormat>
    <chartFormat chart="16" format="9" series="1">
      <pivotArea type="data" outline="0" fieldPosition="0">
        <references count="2">
          <reference field="4294967294" count="1" selected="0">
            <x v="0"/>
          </reference>
          <reference field="142" count="1" selected="0">
            <x v="1"/>
          </reference>
        </references>
      </pivotArea>
    </chartFormat>
    <chartFormat chart="19" format="8" series="1">
      <pivotArea type="data" outline="0" fieldPosition="0">
        <references count="2">
          <reference field="4294967294" count="1" selected="0">
            <x v="0"/>
          </reference>
          <reference field="142" count="1" selected="0">
            <x v="0"/>
          </reference>
        </references>
      </pivotArea>
    </chartFormat>
    <chartFormat chart="19" format="9" series="1">
      <pivotArea type="data" outline="0" fieldPosition="0">
        <references count="2">
          <reference field="4294967294" count="1" selected="0">
            <x v="0"/>
          </reference>
          <reference field="142" count="1" selected="0">
            <x v="1"/>
          </reference>
        </references>
      </pivotArea>
    </chartFormat>
    <chartFormat chart="16" format="10" series="1">
      <pivotArea type="data" outline="0" fieldPosition="0">
        <references count="2">
          <reference field="4294967294" count="1" selected="0">
            <x v="0"/>
          </reference>
          <reference field="142" count="1" selected="0">
            <x v="3"/>
          </reference>
        </references>
      </pivotArea>
    </chartFormat>
    <chartFormat chart="19" format="10" series="1">
      <pivotArea type="data" outline="0" fieldPosition="0">
        <references count="2">
          <reference field="4294967294" count="1" selected="0">
            <x v="0"/>
          </reference>
          <reference field="142" count="1" selected="0">
            <x v="3"/>
          </reference>
        </references>
      </pivotArea>
    </chartFormat>
    <chartFormat chart="16" format="11" series="1">
      <pivotArea type="data" outline="0" fieldPosition="0">
        <references count="1">
          <reference field="4294967294" count="1" selected="0">
            <x v="0"/>
          </reference>
        </references>
      </pivotArea>
    </chartFormat>
    <chartFormat chart="19" format="11"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C606B31-E9BE-4F27-821A-B119BAAFC38A}" name="PivotTable7" cacheId="4"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238:D243" firstHeaderRow="0" firstDataRow="1" firstDataCol="1" rowPageCount="3" colPageCount="1"/>
  <pivotFields count="155">
    <pivotField axis="axisPage" subtotalTop="0" multipleItemSelectionAllowed="1" showAll="0">
      <items count="26">
        <item h="1" m="1" x="23"/>
        <item m="1" x="9"/>
        <item m="1" x="24"/>
        <item h="1" m="1" x="16"/>
        <item m="1" x="5"/>
        <item h="1" m="1" x="3"/>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showAll="0">
      <items count="7">
        <item x="0"/>
        <item h="1" m="1" x="3"/>
        <item h="1" x="1"/>
        <item h="1" m="1" x="2"/>
        <item h="1" m="1" x="5"/>
        <item h="1" m="1" x="4"/>
        <item t="default"/>
      </items>
    </pivotField>
    <pivotField subtotalTop="0" showAll="0"/>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68"/>
        <item m="1" x="337"/>
        <item m="1" x="51"/>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76"/>
        <item m="1" x="207"/>
        <item m="1" x="55"/>
        <item m="1" x="124"/>
        <item m="1" x="126"/>
        <item m="1" x="282"/>
        <item m="1" x="151"/>
        <item m="1" x="106"/>
        <item m="1" x="257"/>
        <item m="1" x="202"/>
        <item m="1" x="322"/>
        <item m="1" x="219"/>
        <item m="1" x="78"/>
        <item m="1" x="66"/>
        <item m="1" x="127"/>
        <item m="1" x="52"/>
        <item m="1" x="27"/>
        <item m="1" x="242"/>
        <item m="1" x="260"/>
        <item m="1" x="284"/>
        <item m="1" x="113"/>
        <item m="1" x="326"/>
        <item m="1" x="22"/>
        <item m="1" x="28"/>
        <item m="1" x="281"/>
        <item m="1" x="103"/>
        <item m="1" x="141"/>
        <item m="1" x="223"/>
        <item m="1" x="79"/>
        <item m="1" x="179"/>
        <item m="1" x="158"/>
        <item m="1" x="39"/>
        <item m="1" x="244"/>
        <item m="1" x="252"/>
        <item m="1" x="262"/>
        <item m="1" x="297"/>
        <item m="1" x="312"/>
        <item m="1" x="196"/>
        <item m="1" x="149"/>
        <item m="1" x="54"/>
        <item m="1" x="41"/>
        <item m="1" x="5"/>
        <item m="1" x="31"/>
        <item m="1" x="330"/>
        <item m="1" x="56"/>
        <item m="1" x="238"/>
        <item m="1" x="14"/>
        <item m="1" x="156"/>
        <item m="1" x="273"/>
        <item m="1" x="181"/>
        <item m="1" x="3"/>
        <item m="1" x="8"/>
        <item m="1" x="130"/>
        <item m="1" x="280"/>
        <item m="1" x="217"/>
        <item m="1" x="58"/>
        <item m="1" x="194"/>
        <item m="1" x="178"/>
        <item m="1" x="18"/>
        <item m="1" x="86"/>
        <item m="1" x="43"/>
        <item m="1" x="222"/>
        <item m="1" x="154"/>
        <item m="1" x="200"/>
        <item m="1" x="192"/>
        <item m="1" x="88"/>
        <item m="1" x="197"/>
        <item m="1" x="226"/>
        <item m="1" x="203"/>
        <item m="1" x="259"/>
        <item m="1" x="301"/>
        <item m="1" x="309"/>
        <item m="1" x="48"/>
        <item m="1" x="57"/>
        <item m="1" x="248"/>
        <item m="1" x="110"/>
        <item m="1" x="148"/>
        <item m="1" x="171"/>
        <item m="1" x="218"/>
        <item m="1" x="245"/>
        <item m="1" x="293"/>
        <item m="1" x="327"/>
        <item m="1" x="80"/>
        <item m="1" x="161"/>
        <item m="1" x="136"/>
        <item m="1" x="185"/>
        <item m="1" x="268"/>
        <item m="1" x="37"/>
        <item m="1" x="144"/>
        <item m="1" x="109"/>
        <item m="1" x="307"/>
        <item m="1" x="92"/>
        <item m="1" x="121"/>
        <item m="1" x="324"/>
        <item m="1" x="23"/>
        <item m="1" x="21"/>
        <item m="1" x="140"/>
        <item m="1" x="173"/>
        <item m="1" x="236"/>
        <item m="1" x="198"/>
        <item m="1" x="247"/>
        <item m="1" x="269"/>
        <item m="1" x="45"/>
        <item m="1" x="81"/>
        <item m="1" x="145"/>
        <item m="1" x="167"/>
        <item m="1" x="213"/>
        <item m="1" x="235"/>
        <item m="1" x="266"/>
        <item m="1" x="264"/>
        <item m="1" x="82"/>
        <item m="1" x="32"/>
        <item m="1" x="339"/>
        <item m="1" x="100"/>
        <item m="1" x="317"/>
        <item m="1" x="87"/>
        <item m="1" x="6"/>
        <item m="1" x="25"/>
        <item m="1" x="46"/>
        <item m="1" x="225"/>
        <item m="1" x="234"/>
        <item m="1" x="237"/>
        <item m="1" x="131"/>
        <item m="1" x="254"/>
        <item m="1" x="275"/>
        <item m="1" x="276"/>
        <item m="1" x="61"/>
        <item m="1" x="99"/>
        <item m="1" x="184"/>
        <item m="1" x="50"/>
        <item m="1" x="71"/>
        <item m="1" x="112"/>
        <item m="1" x="164"/>
        <item m="1" x="220"/>
        <item m="1" x="72"/>
        <item m="1" x="250"/>
        <item m="1" x="290"/>
        <item m="1" x="205"/>
        <item m="1" x="216"/>
        <item m="1" x="188"/>
        <item m="1" x="305"/>
        <item m="1" x="299"/>
        <item m="1" x="35"/>
        <item m="1" x="210"/>
        <item m="1" x="318"/>
        <item m="1" x="108"/>
        <item m="1" x="199"/>
        <item m="1" x="340"/>
        <item m="1" x="75"/>
        <item m="1" x="104"/>
        <item m="1" x="313"/>
        <item m="1" x="283"/>
        <item m="1" x="180"/>
        <item m="1" x="120"/>
        <item m="1" x="9"/>
        <item m="1" x="261"/>
        <item m="1" x="60"/>
        <item m="1" x="47"/>
        <item m="1" x="176"/>
        <item m="1" x="229"/>
        <item m="1" x="16"/>
        <item m="1" x="308"/>
        <item m="1" x="174"/>
        <item m="1" x="95"/>
        <item m="1" x="224"/>
        <item m="1" x="137"/>
        <item m="1" x="190"/>
        <item m="1" x="232"/>
        <item m="1" x="15"/>
        <item m="1" x="63"/>
        <item m="1" x="74"/>
        <item m="1" x="230"/>
        <item m="1" x="329"/>
        <item m="1" x="62"/>
        <item m="1" x="208"/>
        <item m="1" x="117"/>
        <item m="1" x="204"/>
        <item m="1" x="53"/>
        <item m="1" x="214"/>
        <item m="1" x="97"/>
        <item m="1" x="193"/>
        <item m="1" x="274"/>
        <item m="1" x="306"/>
        <item m="1" x="258"/>
        <item m="1" x="286"/>
        <item m="1" x="288"/>
        <item m="1" x="119"/>
        <item m="1" x="272"/>
        <item m="1" x="49"/>
        <item m="1" x="212"/>
        <item m="1" x="246"/>
        <item m="1" x="138"/>
        <item m="1" x="201"/>
        <item m="1" x="241"/>
        <item m="1" x="166"/>
        <item m="1" x="316"/>
        <item m="1" x="4"/>
        <item m="1" x="94"/>
        <item m="1" x="11"/>
        <item m="1" x="42"/>
        <item m="1" x="122"/>
        <item m="1" x="165"/>
        <item m="1" x="333"/>
        <item m="1" x="142"/>
        <item m="1" x="101"/>
        <item m="1" x="334"/>
        <item m="1" x="332"/>
        <item m="1" x="315"/>
        <item m="1" x="84"/>
        <item m="1" x="338"/>
        <item m="1" x="90"/>
        <item m="1" x="29"/>
        <item m="1" x="44"/>
        <item m="1" x="170"/>
        <item m="1" x="139"/>
        <item m="1" x="30"/>
        <item m="1" x="328"/>
        <item m="1" x="93"/>
        <item m="1" x="187"/>
        <item m="1" x="105"/>
        <item m="1" x="289"/>
        <item m="1" x="186"/>
        <item m="1" x="177"/>
        <item m="1" x="267"/>
        <item m="1" x="98"/>
        <item m="1" x="255"/>
        <item m="1" x="91"/>
        <item m="1" x="111"/>
        <item m="1" x="263"/>
        <item m="1" x="160"/>
        <item m="1" x="189"/>
        <item m="1" x="228"/>
        <item m="1" x="34"/>
        <item m="1" x="59"/>
        <item m="1" x="285"/>
        <item m="1" x="155"/>
        <item m="1" x="12"/>
        <item m="1" x="277"/>
        <item m="1" x="67"/>
        <item m="1" x="319"/>
        <item m="1" x="162"/>
        <item m="1" x="129"/>
        <item m="1" x="331"/>
        <item m="1" x="182"/>
        <item m="1" x="70"/>
        <item m="1" x="209"/>
        <item m="1" x="153"/>
        <item m="1" x="251"/>
        <item m="1" x="239"/>
        <item m="1" x="287"/>
        <item m="1" x="249"/>
        <item m="1" x="256"/>
        <item m="1" x="243"/>
        <item m="1" x="183"/>
        <item m="1" x="7"/>
        <item m="1" x="325"/>
        <item m="1" x="215"/>
        <item m="1" x="123"/>
        <item m="1" x="133"/>
        <item m="1" x="302"/>
        <item m="1" x="85"/>
        <item m="1" x="291"/>
        <item m="1" x="278"/>
        <item m="1" x="265"/>
        <item m="1" x="175"/>
        <item m="1" x="336"/>
        <item m="1" x="195"/>
        <item m="1" x="10"/>
        <item m="1" x="146"/>
        <item m="1" x="304"/>
        <item m="1" x="300"/>
        <item m="1" x="116"/>
        <item m="1" x="118"/>
        <item m="1" x="168"/>
        <item m="1" x="320"/>
        <item m="1" x="292"/>
        <item m="1" x="253"/>
        <item m="1" x="206"/>
        <item m="1" x="152"/>
        <item m="1" x="128"/>
        <item m="1" x="314"/>
        <item m="1" x="115"/>
        <item m="1" x="296"/>
        <item m="1" x="150"/>
        <item m="1" x="89"/>
        <item m="1" x="240"/>
        <item m="1" x="159"/>
        <item m="1" x="295"/>
        <item m="1" x="191"/>
        <item m="1" x="294"/>
        <item m="1" x="172"/>
        <item m="1" x="323"/>
        <item m="1" x="26"/>
        <item m="1" x="298"/>
        <item m="1" x="335"/>
        <item m="1" x="147"/>
        <item m="1" x="270"/>
        <item m="1" x="19"/>
        <item m="1" x="233"/>
        <item m="1" x="321"/>
        <item m="1" x="132"/>
        <item m="1" x="64"/>
        <item m="1" x="169"/>
        <item m="1" x="135"/>
        <item m="1" x="125"/>
        <item m="1" x="211"/>
        <item m="1" x="221"/>
        <item m="1" x="38"/>
        <item x="0"/>
        <item x="1"/>
        <item t="default"/>
      </items>
    </pivotField>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38"/>
  </rowFields>
  <rowItems count="5">
    <i>
      <x/>
    </i>
    <i r="1">
      <x v="339"/>
    </i>
    <i r="1">
      <x v="340"/>
    </i>
    <i t="default">
      <x/>
    </i>
    <i t="grand">
      <x/>
    </i>
  </rowItems>
  <colFields count="1">
    <field x="-2"/>
  </colFields>
  <colItems count="2">
    <i>
      <x/>
    </i>
    <i i="1">
      <x v="1"/>
    </i>
  </colItems>
  <pageFields count="3">
    <pageField fld="0" hier="-1"/>
    <pageField fld="142" item="0" hier="-1"/>
    <pageField fld="6" hier="-1"/>
  </pageFields>
  <dataFields count="2">
    <dataField name="Sum of Total HH" fld="8" baseField="2" baseItem="0" numFmtId="3"/>
    <dataField name="Sum of Total PoP " fld="9" baseField="0" baseItem="0"/>
  </dataFields>
  <formats count="14">
    <format dxfId="220">
      <pivotArea type="all" dataOnly="0" outline="0" fieldPosition="0"/>
    </format>
    <format dxfId="219">
      <pivotArea type="all" dataOnly="0" outline="0" fieldPosition="0"/>
    </format>
    <format dxfId="218">
      <pivotArea outline="0" collapsedLevelsAreSubtotals="1" fieldPosition="0"/>
    </format>
    <format dxfId="217">
      <pivotArea field="4" type="button" dataOnly="0" labelOnly="1" outline="0" axis="axisRow" fieldPosition="0"/>
    </format>
    <format dxfId="216">
      <pivotArea dataOnly="0" labelOnly="1" fieldPosition="0">
        <references count="1">
          <reference field="4" count="0"/>
        </references>
      </pivotArea>
    </format>
    <format dxfId="215">
      <pivotArea dataOnly="0" labelOnly="1" grandRow="1" outline="0" fieldPosition="0"/>
    </format>
    <format dxfId="214">
      <pivotArea dataOnly="0" labelOnly="1" outline="0" fieldPosition="0">
        <references count="1">
          <reference field="4294967294" count="1">
            <x v="0"/>
          </reference>
        </references>
      </pivotArea>
    </format>
    <format dxfId="213">
      <pivotArea outline="0" fieldPosition="0">
        <references count="1">
          <reference field="4294967294" count="1">
            <x v="0"/>
          </reference>
        </references>
      </pivotArea>
    </format>
    <format dxfId="212">
      <pivotArea type="all" dataOnly="0" outline="0" fieldPosition="0"/>
    </format>
    <format dxfId="211">
      <pivotArea outline="0" collapsedLevelsAreSubtotals="1" fieldPosition="0"/>
    </format>
    <format dxfId="210">
      <pivotArea field="4" type="button" dataOnly="0" labelOnly="1" outline="0" axis="axisRow" fieldPosition="0"/>
    </format>
    <format dxfId="209">
      <pivotArea dataOnly="0" labelOnly="1" fieldPosition="0">
        <references count="1">
          <reference field="4" count="0"/>
        </references>
      </pivotArea>
    </format>
    <format dxfId="208">
      <pivotArea dataOnly="0" labelOnly="1" grandRow="1" outline="0" fieldPosition="0"/>
    </format>
    <format dxfId="207">
      <pivotArea dataOnly="0" labelOnly="1" outline="0" fieldPosition="0">
        <references count="1">
          <reference field="4294967294" count="1">
            <x v="0"/>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latrine_kachin" cacheId="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3">
  <location ref="C120:E128" firstHeaderRow="1" firstDataRow="2" firstDataCol="1" rowPageCount="4" colPageCount="1"/>
  <pivotFields count="155">
    <pivotField axis="axisPage" subtotalTop="0" multipleItemSelectionAllowed="1" showAll="0">
      <items count="26">
        <item m="1" x="23"/>
        <item m="1" x="9"/>
        <item m="1" x="24"/>
        <item m="1" x="16"/>
        <item m="1" x="5"/>
        <item m="1" x="3"/>
        <item m="1" x="22"/>
        <item m="1" x="18"/>
        <item m="1" x="20"/>
        <item m="1" x="21"/>
        <item m="1" x="12"/>
        <item m="1" x="14"/>
        <item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subtotalTop="0" showAll="0"/>
    <pivotField axis="axisPage" multipleItemSelectionAllowed="1" showAll="0" defaultSubtotal="0">
      <items count="14">
        <item x="0"/>
        <item x="1"/>
        <item m="1" x="10"/>
        <item h="1" m="1" x="8"/>
        <item m="1" x="6"/>
        <item m="1" x="5"/>
        <item h="1" m="1" x="12"/>
        <item m="1" x="9"/>
        <item h="1" m="1" x="13"/>
        <item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 in GCA (20:1)" x="0"/>
        <item n="# in NGCA (20:1)" x="1"/>
        <item t="default"/>
      </items>
    </pivotField>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38"/>
  </colFields>
  <colItems count="2">
    <i>
      <x v="339"/>
    </i>
    <i>
      <x v="340"/>
    </i>
  </colItems>
  <pageFields count="4">
    <pageField fld="0" hier="-1"/>
    <pageField fld="4" item="0" hier="-1"/>
    <pageField fld="142" item="0" hier="-1"/>
    <pageField fld="6" hier="-1"/>
  </pageFields>
  <dataFields count="7">
    <dataField name="# latrines (target)" fld="111" baseField="0" baseItem="0"/>
    <dataField name="# Operation &amp; maintenance of latrines" fld="46" baseField="0" baseItem="0"/>
    <dataField name="# Latrines desludged" fld="47" baseField="0" baseItem="0"/>
    <dataField name="# handed over" fld="49" baseField="0" baseItem="0"/>
    <dataField name="Sum of # Existing functional latrines" fld="105" baseField="0" baseItem="0"/>
    <dataField name="  Total # of latrine" fld="146" baseField="0" baseItem="0"/>
    <dataField name="Sum of #_Non-functional latrines" fld="45" baseField="0" baseItem="0"/>
  </dataFields>
  <formats count="15">
    <format dxfId="235">
      <pivotArea field="4" type="button" dataOnly="0" labelOnly="1" outline="0" axis="axisPage" fieldPosition="1"/>
    </format>
    <format dxfId="234">
      <pivotArea type="all" dataOnly="0" outline="0" fieldPosition="0"/>
    </format>
    <format dxfId="233">
      <pivotArea type="origin" dataOnly="0" labelOnly="1" outline="0" fieldPosition="0"/>
    </format>
    <format dxfId="232">
      <pivotArea type="topRight" dataOnly="0" labelOnly="1" outline="0" fieldPosition="0"/>
    </format>
    <format dxfId="231">
      <pivotArea field="-2" type="button" dataOnly="0" labelOnly="1" outline="0" axis="axisRow" fieldPosition="0"/>
    </format>
    <format dxfId="230">
      <pivotArea type="all" dataOnly="0" outline="0" fieldPosition="0"/>
    </format>
    <format dxfId="229">
      <pivotArea outline="0" collapsedLevelsAreSubtotals="1" fieldPosition="0"/>
    </format>
    <format dxfId="228">
      <pivotArea type="origin" dataOnly="0" labelOnly="1" outline="0" fieldPosition="0"/>
    </format>
    <format dxfId="227">
      <pivotArea type="topRight" dataOnly="0" labelOnly="1" outline="0" fieldPosition="0"/>
    </format>
    <format dxfId="226">
      <pivotArea field="-2" type="button" dataOnly="0" labelOnly="1" outline="0" axis="axisRow" fieldPosition="0"/>
    </format>
    <format dxfId="225">
      <pivotArea dataOnly="0" labelOnly="1" outline="0" fieldPosition="0">
        <references count="3">
          <reference field="0" count="1" selected="0">
            <x v="7"/>
          </reference>
          <reference field="4" count="1">
            <x v="0"/>
          </reference>
          <reference field="142" count="1" selected="0">
            <x v="0"/>
          </reference>
        </references>
      </pivotArea>
    </format>
    <format dxfId="224">
      <pivotArea type="all" dataOnly="0" outline="0" fieldPosition="0"/>
    </format>
    <format dxfId="223">
      <pivotArea outline="0" collapsedLevelsAreSubtotals="1" fieldPosition="0"/>
    </format>
    <format dxfId="222">
      <pivotArea dataOnly="0" labelOnly="1" outline="0" fieldPosition="0">
        <references count="1">
          <reference field="4294967294" count="1">
            <x v="0"/>
          </reference>
        </references>
      </pivotArea>
    </format>
    <format dxfId="221">
      <pivotArea dataOnly="0" labelOnly="1" fieldPosition="0">
        <references count="1">
          <reference field="138" count="2">
            <x v="339"/>
            <x v="340"/>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800-00001B000000}" name="S_H_CG_C"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7" rowHeaderCaption="State" colHeaderCaption=" ">
  <location ref="K266:M275" firstHeaderRow="0" firstDataRow="1" firstDataCol="1" rowPageCount="4" colPageCount="1"/>
  <pivotFields count="155">
    <pivotField axis="axisPage" subtotalTop="0" multipleItemSelectionAllowed="1" showAll="0">
      <items count="26">
        <item m="1" x="23"/>
        <item m="1" x="9"/>
        <item h="1" m="1" x="16"/>
        <item h="1" m="1" x="3"/>
        <item m="1" x="24"/>
        <item m="1" x="5"/>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x="0"/>
        <item m="1" x="3"/>
        <item x="1"/>
        <item m="1" x="2"/>
        <item h="1" m="1" x="5"/>
        <item h="1" m="1" x="4"/>
        <item t="default"/>
      </items>
    </pivotField>
    <pivotField axis="axisRow" subtotalTop="0" showAll="0">
      <items count="47">
        <item m="1" x="31"/>
        <item x="0"/>
        <item m="1" x="43"/>
        <item x="6"/>
        <item x="1"/>
        <item x="23"/>
        <item x="16"/>
        <item x="14"/>
        <item m="1" x="38"/>
        <item m="1" x="26"/>
        <item x="15"/>
        <item m="1" x="41"/>
        <item x="5"/>
        <item x="21"/>
        <item m="1" x="36"/>
        <item m="1" x="30"/>
        <item x="8"/>
        <item x="10"/>
        <item x="2"/>
        <item m="1" x="42"/>
        <item x="18"/>
        <item m="1" x="34"/>
        <item x="7"/>
        <item m="1" x="33"/>
        <item x="22"/>
        <item x="19"/>
        <item m="1" x="28"/>
        <item m="1" x="32"/>
        <item m="1" x="37"/>
        <item x="11"/>
        <item m="1" x="44"/>
        <item m="1" x="40"/>
        <item x="12"/>
        <item m="1" x="39"/>
        <item x="9"/>
        <item x="13"/>
        <item x="3"/>
        <item m="1" x="25"/>
        <item m="1" x="27"/>
        <item m="1" x="24"/>
        <item m="1" x="35"/>
        <item x="17"/>
        <item m="1" x="29"/>
        <item x="20"/>
        <item x="4"/>
        <item m="1" x="45"/>
        <item t="default"/>
      </items>
    </pivotField>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9">
    <i>
      <x v="5"/>
    </i>
    <i>
      <x v="7"/>
    </i>
    <i>
      <x v="10"/>
    </i>
    <i>
      <x v="13"/>
    </i>
    <i>
      <x v="20"/>
    </i>
    <i>
      <x v="24"/>
    </i>
    <i>
      <x v="25"/>
    </i>
    <i>
      <x v="41"/>
    </i>
    <i>
      <x v="43"/>
    </i>
  </rowItems>
  <colFields count="1">
    <field x="-2"/>
  </colFields>
  <colItems count="2">
    <i>
      <x/>
    </i>
    <i i="1">
      <x v="1"/>
    </i>
  </colItems>
  <pageFields count="4">
    <pageField fld="0" hier="-1"/>
    <pageField fld="142" item="0" hier="-1"/>
    <pageField fld="4" hier="-1"/>
    <pageField fld="6" hier="-1"/>
  </pageFields>
  <dataFields count="2">
    <dataField name="  % Hygiene Coverage" fld="149" baseField="0" baseItem="0" numFmtId="1"/>
    <dataField name="  % Hygiene Gap" fld="148" baseField="0" baseItem="0" numFmtId="1"/>
  </dataFields>
  <formats count="11">
    <format dxfId="246">
      <pivotArea type="all" dataOnly="0" outline="0" fieldPosition="0"/>
    </format>
    <format dxfId="245">
      <pivotArea outline="0" collapsedLevelsAreSubtotals="1" fieldPosition="0"/>
    </format>
    <format dxfId="244">
      <pivotArea field="4" type="button" dataOnly="0" labelOnly="1" outline="0" axis="axisPage" fieldPosition="2"/>
    </format>
    <format dxfId="243">
      <pivotArea type="all" dataOnly="0" outline="0" fieldPosition="0"/>
    </format>
    <format dxfId="242">
      <pivotArea outline="0" collapsedLevelsAreSubtotals="1" fieldPosition="0"/>
    </format>
    <format dxfId="241">
      <pivotArea outline="0" collapsedLevelsAreSubtotals="1" fieldPosition="0"/>
    </format>
    <format dxfId="240">
      <pivotArea field="5" type="button" dataOnly="0" labelOnly="1" outline="0" axis="axisRow" fieldPosition="0"/>
    </format>
    <format dxfId="239">
      <pivotArea field="5" type="button" dataOnly="0" labelOnly="1" outline="0" axis="axisRow" fieldPosition="0"/>
    </format>
    <format dxfId="238">
      <pivotArea field="5" type="button" dataOnly="0" labelOnly="1" outline="0" axis="axisRow" fieldPosition="0"/>
    </format>
    <format dxfId="237">
      <pivotArea field="4" type="button" dataOnly="0" labelOnly="1" outline="0" axis="axisPage" fieldPosition="2"/>
    </format>
    <format dxfId="236">
      <pivotArea dataOnly="0" labelOnly="1" outline="0" fieldPosition="0">
        <references count="2">
          <reference field="4" count="0"/>
          <reference field="142"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54" format="2" series="1">
      <pivotArea type="data" outline="0" fieldPosition="0">
        <references count="1">
          <reference field="4294967294" count="1" selected="0">
            <x v="0"/>
          </reference>
        </references>
      </pivotArea>
    </chartFormat>
    <chartFormat chart="5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AF68722-0847-44DE-B739-E1339CBA805C}" name="PivotTable1" cacheId="4" dataPosition="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2">
  <location ref="O120:Q122" firstHeaderRow="0" firstDataRow="1" firstDataCol="1" rowPageCount="4" colPageCount="1"/>
  <pivotFields count="155">
    <pivotField axis="axisPage" subtotalTop="0" multipleItemSelectionAllowed="1" showAll="0">
      <items count="26">
        <item m="1" x="23"/>
        <item m="1" x="9"/>
        <item m="1" x="24"/>
        <item m="1" x="16"/>
        <item m="1" x="5"/>
        <item m="1" x="3"/>
        <item m="1" x="22"/>
        <item m="1" x="18"/>
        <item m="1" x="20"/>
        <item m="1" x="21"/>
        <item m="1" x="12"/>
        <item m="1" x="14"/>
        <item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subtotalTop="0" showAll="0"/>
    <pivotField axis="axisPage" multipleItemSelectionAllowed="1" showAll="0" defaultSubtotal="0">
      <items count="14">
        <item x="0"/>
        <item x="1"/>
        <item m="1" x="10"/>
        <item h="1" m="1" x="8"/>
        <item m="1" x="6"/>
        <item m="1" x="5"/>
        <item h="1" m="1" x="12"/>
        <item m="1" x="9"/>
        <item h="1" m="1" x="13"/>
        <item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 in GCA (20:1)" x="0"/>
        <item n="# in NGCA (20:1)" x="1"/>
        <item t="default"/>
      </items>
    </pivotField>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38"/>
  </rowFields>
  <rowItems count="2">
    <i>
      <x v="339"/>
    </i>
    <i>
      <x v="340"/>
    </i>
  </rowItems>
  <colFields count="1">
    <field x="-2"/>
  </colFields>
  <colItems count="2">
    <i>
      <x/>
    </i>
    <i i="1">
      <x v="1"/>
    </i>
  </colItems>
  <pageFields count="4">
    <pageField fld="0" hier="-1"/>
    <pageField fld="4" item="0" hier="-1"/>
    <pageField fld="142" item="0" hier="-1"/>
    <pageField fld="6" hier="-1"/>
  </pageFields>
  <dataFields count="2">
    <dataField name="Accessed" fld="107" baseField="0" baseItem="0"/>
    <dataField name="Not-accessed" fld="154" baseField="0" baseItem="0" numFmtId="1"/>
  </dataFields>
  <formats count="15">
    <format dxfId="261">
      <pivotArea field="4" type="button" dataOnly="0" labelOnly="1" outline="0" axis="axisPage" fieldPosition="1"/>
    </format>
    <format dxfId="260">
      <pivotArea type="all" dataOnly="0" outline="0" fieldPosition="0"/>
    </format>
    <format dxfId="259">
      <pivotArea type="origin" dataOnly="0" labelOnly="1" outline="0" fieldPosition="0"/>
    </format>
    <format dxfId="258">
      <pivotArea type="topRight" dataOnly="0" labelOnly="1" outline="0" fieldPosition="0"/>
    </format>
    <format dxfId="257">
      <pivotArea field="-2" type="button" dataOnly="0" labelOnly="1" outline="0" axis="axisCol" fieldPosition="0"/>
    </format>
    <format dxfId="256">
      <pivotArea type="all" dataOnly="0" outline="0" fieldPosition="0"/>
    </format>
    <format dxfId="255">
      <pivotArea outline="0" collapsedLevelsAreSubtotals="1" fieldPosition="0"/>
    </format>
    <format dxfId="254">
      <pivotArea type="origin" dataOnly="0" labelOnly="1" outline="0" fieldPosition="0"/>
    </format>
    <format dxfId="253">
      <pivotArea type="topRight" dataOnly="0" labelOnly="1" outline="0" fieldPosition="0"/>
    </format>
    <format dxfId="252">
      <pivotArea field="-2" type="button" dataOnly="0" labelOnly="1" outline="0" axis="axisCol" fieldPosition="0"/>
    </format>
    <format dxfId="251">
      <pivotArea dataOnly="0" labelOnly="1" outline="0" fieldPosition="0">
        <references count="3">
          <reference field="0" count="1" selected="0">
            <x v="7"/>
          </reference>
          <reference field="4" count="1">
            <x v="0"/>
          </reference>
          <reference field="142" count="1" selected="0">
            <x v="0"/>
          </reference>
        </references>
      </pivotArea>
    </format>
    <format dxfId="250">
      <pivotArea type="all" dataOnly="0" outline="0" fieldPosition="0"/>
    </format>
    <format dxfId="249">
      <pivotArea outline="0" collapsedLevelsAreSubtotals="1" fieldPosition="0"/>
    </format>
    <format dxfId="248">
      <pivotArea dataOnly="0" labelOnly="1" fieldPosition="0">
        <references count="1">
          <reference field="138" count="2">
            <x v="339"/>
            <x v="340"/>
          </reference>
        </references>
      </pivotArea>
    </format>
    <format dxfId="247">
      <pivotArea outline="0" collapsedLevelsAreSubtotals="1" fieldPosition="0"/>
    </format>
  </formats>
  <chartFormats count="6">
    <chartFormat chart="27" format="0" series="1">
      <pivotArea type="data" outline="0" fieldPosition="0">
        <references count="2">
          <reference field="4294967294" count="1" selected="0">
            <x v="0"/>
          </reference>
          <reference field="138" count="1" selected="0">
            <x v="339"/>
          </reference>
        </references>
      </pivotArea>
    </chartFormat>
    <chartFormat chart="27" format="1" series="1">
      <pivotArea type="data" outline="0" fieldPosition="0">
        <references count="2">
          <reference field="4294967294" count="1" selected="0">
            <x v="0"/>
          </reference>
          <reference field="138" count="1" selected="0">
            <x v="340"/>
          </reference>
        </references>
      </pivotArea>
    </chartFormat>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4"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P52:R63" firstHeaderRow="0" firstDataRow="1" firstDataCol="1" rowPageCount="2" colPageCount="1"/>
  <pivotFields count="155">
    <pivotField axis="axisRow" subtotalTop="0" multipleItemSelectionAllowed="1" showAll="0">
      <items count="26">
        <item m="1" x="23"/>
        <item m="1" x="9"/>
        <item m="1" x="16"/>
        <item m="1" x="3"/>
        <item m="1" x="24"/>
        <item m="1" x="5"/>
        <item m="1" x="22"/>
        <item m="1" x="18"/>
        <item m="1" x="20"/>
        <item m="1" x="21"/>
        <item m="1" x="12"/>
        <item m="1" x="14"/>
        <item m="1" x="17"/>
        <item m="1" x="19"/>
        <item m="1" x="7"/>
        <item m="1" x="10"/>
        <item m="1" x="13"/>
        <item m="1" x="15"/>
        <item m="1" x="4"/>
        <item m="1" x="6"/>
        <item m="1" x="8"/>
        <item m="1" x="11"/>
        <item x="0"/>
        <item x="1"/>
        <item x="2"/>
        <item t="default"/>
      </items>
    </pivotField>
    <pivotField showAll="0" defaultSubtotal="0"/>
    <pivotField showAll="0" defaultSubtotal="0"/>
    <pivotField subtotalTop="0" showAll="0"/>
    <pivotField axis="axisRow" subtotalTop="0" showAll="0">
      <items count="7">
        <item x="0"/>
        <item m="1" x="3"/>
        <item x="1"/>
        <item m="1" x="2"/>
        <item m="1" x="5"/>
        <item m="1" x="4"/>
        <item t="default"/>
      </items>
    </pivotField>
    <pivotField subtotalTop="0" showAll="0"/>
    <pivotField axis="axisPage" multipleItemSelectionAllowed="1" showAll="0" defaultSubtotal="0">
      <items count="14">
        <item x="0"/>
        <item x="1"/>
        <item m="1" x="10"/>
        <item m="1" x="6"/>
        <item m="1" x="5"/>
        <item h="1" m="1" x="12"/>
        <item m="1" x="9"/>
        <item h="1" m="1" x="13"/>
        <item m="1" x="7"/>
        <item h="1" m="1" x="8"/>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dataField="1" showAll="0"/>
    <pivotField dataField="1"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1"/>
        <item h="1" x="0"/>
        <item m="1" x="4"/>
        <item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11">
    <i>
      <x/>
    </i>
    <i r="1">
      <x v="22"/>
    </i>
    <i r="1">
      <x v="23"/>
    </i>
    <i r="1">
      <x v="24"/>
    </i>
    <i t="default">
      <x/>
    </i>
    <i>
      <x v="2"/>
    </i>
    <i r="1">
      <x v="22"/>
    </i>
    <i r="1">
      <x v="23"/>
    </i>
    <i r="1">
      <x v="24"/>
    </i>
    <i t="default">
      <x v="2"/>
    </i>
    <i t="grand">
      <x/>
    </i>
  </rowItems>
  <colFields count="1">
    <field x="-2"/>
  </colFields>
  <colItems count="2">
    <i>
      <x/>
    </i>
    <i i="1">
      <x v="1"/>
    </i>
  </colItems>
  <pageFields count="2">
    <pageField fld="142" hier="-1"/>
    <pageField fld="6" hier="-1"/>
  </pageFields>
  <dataFields count="2">
    <dataField name="Sum of #_Household water samples tested for fecal coliform" fld="36" baseField="0" baseItem="0"/>
    <dataField name="Sum of #_Household passed" fld="37" baseField="0" baseItem="0"/>
  </dataFields>
  <formats count="10">
    <format dxfId="271">
      <pivotArea field="4" type="button" dataOnly="0" labelOnly="1" outline="0" axis="axisRow" fieldPosition="0"/>
    </format>
    <format dxfId="270">
      <pivotArea type="all" dataOnly="0" outline="0" fieldPosition="0"/>
    </format>
    <format dxfId="269">
      <pivotArea outline="0" collapsedLevelsAreSubtotals="1" fieldPosition="0"/>
    </format>
    <format dxfId="268">
      <pivotArea field="4" type="button" dataOnly="0" labelOnly="1" outline="0" axis="axisRow" fieldPosition="0"/>
    </format>
    <format dxfId="267">
      <pivotArea dataOnly="0" labelOnly="1" fieldPosition="0">
        <references count="1">
          <reference field="4" count="0"/>
        </references>
      </pivotArea>
    </format>
    <format dxfId="266">
      <pivotArea type="all" dataOnly="0" outline="0" fieldPosition="0"/>
    </format>
    <format dxfId="265">
      <pivotArea type="all" dataOnly="0" outline="0" fieldPosition="0"/>
    </format>
    <format dxfId="264">
      <pivotArea outline="0" collapsedLevelsAreSubtotals="1" fieldPosition="0"/>
    </format>
    <format dxfId="263">
      <pivotArea field="4" type="button" dataOnly="0" labelOnly="1" outline="0" axis="axisRow" fieldPosition="0"/>
    </format>
    <format dxfId="262">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0B000000}" name="Latrine_shan" cacheId="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9">
  <location ref="J120:K128" firstHeaderRow="1" firstDataRow="2" firstDataCol="1" rowPageCount="4" colPageCount="1"/>
  <pivotFields count="155">
    <pivotField axis="axisPage" subtotalTop="0" multipleItemSelectionAllowed="1" showAll="0">
      <items count="26">
        <item m="1" x="23"/>
        <item m="1" x="9"/>
        <item m="1" x="24"/>
        <item h="1" m="1" x="16"/>
        <item m="1" x="5"/>
        <item h="1" m="1" x="3"/>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x="0"/>
        <item h="1" m="1" x="3"/>
        <item x="1"/>
        <item m="1" x="2"/>
        <item h="1" m="1" x="5"/>
        <item h="1" m="1" x="4"/>
        <item t="default"/>
      </items>
    </pivotField>
    <pivotField subtotalTop="0" showAll="0"/>
    <pivotField axis="axisPage" multipleItemSelectionAllowed="1" showAll="0" defaultSubtotal="0">
      <items count="14">
        <item x="0"/>
        <item x="1"/>
        <item m="1" x="10"/>
        <item m="1" x="8"/>
        <item m="1" x="6"/>
        <item m="1" x="5"/>
        <item h="1" m="1" x="12"/>
        <item m="1" x="9"/>
        <item h="1" m="1" x="13"/>
        <item h="1"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h="1" m="1" x="2"/>
        <item h="1" m="1" x="288"/>
        <item h="1" m="1" x="105"/>
        <item h="1" m="1" x="4"/>
        <item h="1" m="1" x="94"/>
        <item h="1" m="1" x="177"/>
        <item h="1" m="1" x="186"/>
        <item h="1" m="1" x="12"/>
        <item h="1" m="1" x="62"/>
        <item h="1" m="1" x="170"/>
        <item h="1" m="1" x="90"/>
        <item h="1" m="1" x="138"/>
        <item h="1" m="1" x="111"/>
        <item h="1" m="1" x="98"/>
        <item h="1" m="1" x="30"/>
        <item h="1" m="1" x="93"/>
        <item h="1" m="1" x="101"/>
        <item h="1" m="1" x="64"/>
        <item h="1" m="1" x="132"/>
        <item h="1" m="1" x="19"/>
        <item h="1" m="1" x="323"/>
        <item h="1" m="1" x="84"/>
        <item h="1" m="1" x="295"/>
        <item h="1" m="1" x="89"/>
        <item h="1" m="1" x="315"/>
        <item h="1" m="1" x="172"/>
        <item h="1" m="1" x="189"/>
        <item h="1" m="1" x="119"/>
        <item h="1" m="1" x="206"/>
        <item h="1" m="1" x="147"/>
        <item h="1" m="1" x="191"/>
        <item h="1" m="1" x="183"/>
        <item h="1" m="1" x="187"/>
        <item h="1" m="1" x="67"/>
        <item h="1" m="1" x="160"/>
        <item h="1" m="1" x="168"/>
        <item h="1" m="1" x="150"/>
        <item h="1" m="1" x="314"/>
        <item h="1" m="1" x="298"/>
        <item h="1" m="1" x="165"/>
        <item h="1" m="1" x="325"/>
        <item h="1" m="1" x="7"/>
        <item h="1" m="1" x="289"/>
        <item h="1" m="1" x="249"/>
        <item h="1" m="1" x="277"/>
        <item h="1" m="1" x="212"/>
        <item h="1" m="1" x="287"/>
        <item h="1" m="1" x="331"/>
        <item h="1" m="1" x="335"/>
        <item h="1" m="1" x="292"/>
        <item h="1" m="1" x="159"/>
        <item h="1" m="1" x="338"/>
        <item h="1" m="1" x="316"/>
        <item h="1" m="1" x="169"/>
        <item h="1" m="1" x="285"/>
        <item h="1" m="1" x="251"/>
        <item h="1" m="1" x="91"/>
        <item h="1" m="1" x="304"/>
        <item h="1" m="1" x="265"/>
        <item h="1" m="1" x="85"/>
        <item h="1" m="1" x="133"/>
        <item h="1" m="1" x="286"/>
        <item h="1" m="1" x="239"/>
        <item h="1" m="1" x="122"/>
        <item h="1" m="1" x="300"/>
        <item h="1" m="1" x="53"/>
        <item h="1" m="1" x="204"/>
        <item h="1" m="1" x="97"/>
        <item h="1" m="1" x="214"/>
        <item h="1" m="1" x="334"/>
        <item h="1" m="1" x="59"/>
        <item h="1" m="1" x="201"/>
        <item h="1" m="1" x="243"/>
        <item h="1" m="1" x="256"/>
        <item h="1" m="1" x="296"/>
        <item h="1" m="1" x="142"/>
        <item h="1" m="1" x="332"/>
        <item h="1" m="1" x="270"/>
        <item h="1" m="1" x="240"/>
        <item h="1" m="1" x="302"/>
        <item h="1" m="1" x="139"/>
        <item h="1" m="1" x="115"/>
        <item h="1" m="1" x="155"/>
        <item h="1" m="1" x="209"/>
        <item h="1" m="1" x="263"/>
        <item h="1" m="1" x="321"/>
        <item h="1" m="1" x="328"/>
        <item h="1" m="1" x="195"/>
        <item h="1" m="1" x="118"/>
        <item h="1" m="1" x="44"/>
        <item h="1" m="1" x="255"/>
        <item h="1" m="1" x="128"/>
        <item h="1" m="1" x="42"/>
        <item h="1" m="1" x="34"/>
        <item h="1" m="1" x="153"/>
        <item h="1" m="1" x="70"/>
        <item h="1" m="1" x="162"/>
        <item h="1" m="1" x="129"/>
        <item h="1" m="1" x="320"/>
        <item h="1" m="1" x="29"/>
        <item h="1" m="1" x="26"/>
        <item h="1" m="1" x="233"/>
        <item h="1" m="1" x="228"/>
        <item h="1" m="1" x="294"/>
        <item h="1" m="1" x="11"/>
        <item h="1" m="1" x="291"/>
        <item h="1" m="1" x="146"/>
        <item h="1" m="1" x="336"/>
        <item h="1" m="1" x="241"/>
        <item h="1" m="1" x="166"/>
        <item h="1" m="1" x="116"/>
        <item h="1" m="1" x="267"/>
        <item h="1" m="1" x="278"/>
        <item h="1" m="1" x="10"/>
        <item h="1" m="1" x="175"/>
        <item h="1" m="1" x="123"/>
        <item h="1" m="1" x="215"/>
        <item h="1" m="1" x="319"/>
        <item h="1" m="1" x="182"/>
        <item h="1" m="1" x="253"/>
        <item h="1" m="1" x="333"/>
        <item h="1" m="1" x="152"/>
        <item h="1" m="1" x="271"/>
        <item h="1" m="1" x="77"/>
        <item h="1" m="1" x="311"/>
        <item h="1" m="1" x="310"/>
        <item h="1" m="1" x="24"/>
        <item h="1" m="1" x="73"/>
        <item h="1" m="1" x="143"/>
        <item h="1" m="1" x="279"/>
        <item h="1" m="1" x="17"/>
        <item h="1" m="1" x="134"/>
        <item h="1" m="1" x="20"/>
        <item h="1" m="1" x="163"/>
        <item h="1" m="1" x="231"/>
        <item h="1" m="1" x="227"/>
        <item h="1" m="1" x="33"/>
        <item h="1" m="1" x="157"/>
        <item h="1" m="1" x="40"/>
        <item h="1" m="1" x="107"/>
        <item h="1" m="1" x="36"/>
        <item h="1" m="1" x="96"/>
        <item h="1" m="1" x="13"/>
        <item h="1" m="1" x="65"/>
        <item h="1" m="1" x="69"/>
        <item h="1" m="1" x="83"/>
        <item h="1" m="1" x="102"/>
        <item h="1" m="1" x="114"/>
        <item h="1" m="1" x="303"/>
        <item h="1" m="1" x="317"/>
        <item h="1" m="1" x="237"/>
        <item h="1" m="1" x="210"/>
        <item h="1" m="1" x="313"/>
        <item h="1" m="1" x="61"/>
        <item h="1" m="1" x="50"/>
        <item h="1" m="1" x="318"/>
        <item h="1" m="1" x="337"/>
        <item h="1" m="1" x="68"/>
        <item h="1" m="1" x="109"/>
        <item h="1" m="1" x="247"/>
        <item h="1" m="1" x="269"/>
        <item h="1" m="1" x="167"/>
        <item h="1" m="1" x="235"/>
        <item h="1" m="1" x="25"/>
        <item h="1" m="1" x="225"/>
        <item h="1" m="1" x="275"/>
        <item h="1" m="1" x="276"/>
        <item h="1" m="1" x="184"/>
        <item h="1" m="1" x="71"/>
        <item h="1" m="1" x="112"/>
        <item h="1" m="1" x="220"/>
        <item h="1" m="1" x="216"/>
        <item h="1" m="1" x="188"/>
        <item h="1" m="1" x="164"/>
        <item h="1" m="1" x="46"/>
        <item h="1" m="1" x="234"/>
        <item h="1" m="1" x="198"/>
        <item h="1" m="1" x="72"/>
        <item h="1" m="1" x="140"/>
        <item h="1" m="1" x="213"/>
        <item h="1" m="1" x="266"/>
        <item h="1" m="1" x="82"/>
        <item h="1" m="1" x="32"/>
        <item h="1" m="1" x="339"/>
        <item h="1" m="1" x="87"/>
        <item h="1" m="1" x="6"/>
        <item h="1" m="1" x="131"/>
        <item h="1" m="1" x="254"/>
        <item h="1" m="1" x="205"/>
        <item h="1" m="1" x="299"/>
        <item h="1" m="1" x="81"/>
        <item h="1" m="1" x="264"/>
        <item h="1" m="1" x="324"/>
        <item h="1" m="1" x="92"/>
        <item h="1" m="1" x="35"/>
        <item h="1" m="1" x="199"/>
        <item h="1" m="1" x="340"/>
        <item h="1" m="1" x="75"/>
        <item h="1" m="1" x="104"/>
        <item h="1" m="1" x="309"/>
        <item h="1" m="1" x="100"/>
        <item h="1" m="1" x="250"/>
        <item h="1" m="1" x="305"/>
        <item h="1" m="1" x="290"/>
        <item h="1" m="1" x="108"/>
        <item h="1" m="1" x="238"/>
        <item h="1" m="1" x="18"/>
        <item h="1" m="1" x="86"/>
        <item h="1" m="1" x="43"/>
        <item h="1" m="1" x="222"/>
        <item h="1" m="1" x="154"/>
        <item h="1" m="1" x="136"/>
        <item h="1" m="1" x="197"/>
        <item h="1" m="1" x="203"/>
        <item h="1" m="1" x="148"/>
        <item h="1" m="1" x="45"/>
        <item h="1" m="1" x="145"/>
        <item h="1" m="1" x="76"/>
        <item h="1" m="1" x="207"/>
        <item h="1" m="1" x="282"/>
        <item h="1" m="1" x="202"/>
        <item h="1" m="1" x="8"/>
        <item h="1" m="1" x="217"/>
        <item h="1" m="1" x="178"/>
        <item h="1" m="1" x="192"/>
        <item h="1" m="1" x="248"/>
        <item h="1" m="1" x="171"/>
        <item h="1" m="1" x="80"/>
        <item h="1" m="1" x="161"/>
        <item h="1" m="1" x="268"/>
        <item h="1" m="1" x="307"/>
        <item h="1" m="1" x="121"/>
        <item h="1" m="1" x="23"/>
        <item h="1" m="1" x="21"/>
        <item h="1" m="1" x="173"/>
        <item h="1" m="1" x="51"/>
        <item h="1" m="1" x="88"/>
        <item h="1" m="1" x="226"/>
        <item h="1" m="1" x="259"/>
        <item h="1" m="1" x="301"/>
        <item h="1" m="1" x="48"/>
        <item h="1" m="1" x="57"/>
        <item h="1" m="1" x="110"/>
        <item h="1" m="1" x="293"/>
        <item h="1" m="1" x="185"/>
        <item h="1" m="1" x="37"/>
        <item h="1" m="1" x="144"/>
        <item h="1" m="1" x="236"/>
        <item h="1" m="1" x="218"/>
        <item h="1" m="1" x="327"/>
        <item h="1" m="1" x="245"/>
        <item h="1" m="1" x="99"/>
        <item h="1" m="1" x="58"/>
        <item h="1" m="1" x="194"/>
        <item h="1" m="1" x="200"/>
        <item h="1" m="1" x="223"/>
        <item h="1" m="1" x="5"/>
        <item h="1" m="1" x="52"/>
        <item h="1" m="1" x="31"/>
        <item h="1" m="1" x="158"/>
        <item h="1" m="1" x="78"/>
        <item h="1" m="1" x="179"/>
        <item h="1" m="1" x="262"/>
        <item h="1" m="1" x="297"/>
        <item h="1" m="1" x="41"/>
        <item h="1" m="1" x="14"/>
        <item h="1" m="1" x="3"/>
        <item h="1" m="1" x="130"/>
        <item h="1" m="1" x="280"/>
        <item h="1" m="1" x="257"/>
        <item h="1" m="1" x="273"/>
        <item h="1" m="1" x="181"/>
        <item h="1" m="1" x="39"/>
        <item h="1" m="1" x="312"/>
        <item h="1" m="1" x="244"/>
        <item h="1" m="1" x="54"/>
        <item h="1" m="1" x="196"/>
        <item h="1" m="1" x="252"/>
        <item h="1" m="1" x="66"/>
        <item h="1" m="1" x="27"/>
        <item h="1" m="1" x="28"/>
        <item h="1" m="1" x="141"/>
        <item h="1" m="1" x="322"/>
        <item h="1" m="1" x="56"/>
        <item h="1" m="1" x="156"/>
        <item h="1" m="1" x="330"/>
        <item h="1" m="1" x="149"/>
        <item h="1" m="1" x="79"/>
        <item h="1" m="1" x="106"/>
        <item h="1" m="1" x="219"/>
        <item h="1" m="1" x="22"/>
        <item h="1" m="1" x="103"/>
        <item h="1" m="1" x="326"/>
        <item h="1" m="1" x="113"/>
        <item h="1" m="1" x="281"/>
        <item h="1" m="1" x="260"/>
        <item h="1" m="1" x="284"/>
        <item h="1" m="1" x="127"/>
        <item h="1" m="1" x="151"/>
        <item h="1" m="1" x="126"/>
        <item h="1" m="1" x="124"/>
        <item h="1" m="1" x="55"/>
        <item h="1" m="1" x="242"/>
        <item h="1" m="1" x="258"/>
        <item h="1" m="1" x="246"/>
        <item h="1" m="1" x="283"/>
        <item h="1" m="1" x="229"/>
        <item h="1" m="1" x="174"/>
        <item h="1" m="1" x="224"/>
        <item h="1" m="1" x="137"/>
        <item h="1" m="1" x="9"/>
        <item h="1" m="1" x="15"/>
        <item h="1" m="1" x="60"/>
        <item h="1" m="1" x="261"/>
        <item h="1" m="1" x="232"/>
        <item h="1" m="1" x="63"/>
        <item h="1" m="1" x="306"/>
        <item h="1" m="1" x="308"/>
        <item h="1" m="1" x="190"/>
        <item h="1" m="1" x="272"/>
        <item h="1" m="1" x="49"/>
        <item h="1" m="1" x="329"/>
        <item h="1" m="1" x="117"/>
        <item h="1" m="1" x="274"/>
        <item h="1" m="1" x="208"/>
        <item h="1" m="1" x="230"/>
        <item h="1" m="1" x="74"/>
        <item h="1" m="1" x="176"/>
        <item h="1" m="1" x="120"/>
        <item h="1" m="1" x="193"/>
        <item h="1" m="1" x="95"/>
        <item h="1" m="1" x="180"/>
        <item h="1" m="1" x="47"/>
        <item h="1" m="1" x="16"/>
        <item h="1" m="1" x="135"/>
        <item h="1" m="1" x="125"/>
        <item h="1" m="1" x="211"/>
        <item h="1" m="1" x="221"/>
        <item h="1" m="1" x="38"/>
        <item n="# in GCA (20:1)" x="0"/>
        <item n="# in NGCA (20:1)" x="1"/>
        <item t="default"/>
      </items>
    </pivotField>
    <pivotField subtotalTop="0" showAll="0"/>
    <pivotField subtotalTop="0" showAll="0"/>
    <pivotField subtotalTop="0" showAll="0"/>
    <pivotField axis="axisPage" subtotalTop="0" multipleItemSelectionAllowed="1" showAll="0">
      <items count="6">
        <item x="1"/>
        <item h="1" x="0"/>
        <item m="1" x="4"/>
        <item m="1" x="3"/>
        <item h="1" m="1" x="2"/>
        <item t="default"/>
      </items>
    </pivotField>
    <pivotField subtotalTop="0"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38"/>
  </colFields>
  <colItems count="1">
    <i>
      <x v="339"/>
    </i>
  </colItems>
  <pageFields count="4">
    <pageField fld="0" hier="-1"/>
    <pageField fld="4" hier="-1"/>
    <pageField fld="142" hier="-1"/>
    <pageField fld="6" hier="-1"/>
  </pageFields>
  <dataFields count="7">
    <dataField name="# latrines (target)" fld="111" baseField="0" baseItem="0"/>
    <dataField name="# Operation &amp; maintenance of latrines" fld="46" baseField="0" baseItem="0"/>
    <dataField name="# Latrines desludged" fld="47" baseField="0" baseItem="0"/>
    <dataField name="# handed over" fld="49" baseField="0" baseItem="0"/>
    <dataField name="Sum of # Existing functional latrines" fld="105" baseField="0" baseItem="0"/>
    <dataField name="  Total # of latrine" fld="146" baseField="0" baseItem="0"/>
    <dataField name="Sum of #_Non-functional latrines" fld="45" baseField="0" baseItem="0"/>
  </dataFields>
  <formats count="10">
    <format dxfId="281">
      <pivotArea field="4" type="button" dataOnly="0" labelOnly="1" outline="0" axis="axisPage" fieldPosition="1"/>
    </format>
    <format dxfId="280">
      <pivotArea type="all" dataOnly="0" outline="0" fieldPosition="0"/>
    </format>
    <format dxfId="279">
      <pivotArea outline="0" collapsedLevelsAreSubtotals="1" fieldPosition="0"/>
    </format>
    <format dxfId="278">
      <pivotArea type="origin" dataOnly="0" labelOnly="1" outline="0" fieldPosition="0"/>
    </format>
    <format dxfId="277">
      <pivotArea type="topRight" dataOnly="0" labelOnly="1" outline="0" fieldPosition="0"/>
    </format>
    <format dxfId="276">
      <pivotArea field="-2" type="button" dataOnly="0" labelOnly="1" outline="0" axis="axisRow" fieldPosition="0"/>
    </format>
    <format dxfId="275">
      <pivotArea type="all" dataOnly="0" outline="0" fieldPosition="0"/>
    </format>
    <format dxfId="274">
      <pivotArea dataOnly="0" labelOnly="1" outline="0" fieldPosition="0">
        <references count="1">
          <reference field="4294967294" count="1">
            <x v="0"/>
          </reference>
        </references>
      </pivotArea>
    </format>
    <format dxfId="273">
      <pivotArea field="4" type="button" dataOnly="0" labelOnly="1" outline="0" axis="axisPage" fieldPosition="1"/>
    </format>
    <format dxfId="272">
      <pivotArea dataOnly="0" labelOnly="1" outline="0" fieldPosition="0">
        <references count="1">
          <reference field="4" count="0"/>
        </references>
      </pivotArea>
    </format>
  </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B3C6537-C2D6-4791-9BF1-695185B14FB7}" name="PivotTable10" cacheId="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67">
  <location ref="M293:O296" firstHeaderRow="1" firstDataRow="2" firstDataCol="1" rowPageCount="1" colPageCount="1"/>
  <pivotFields count="155">
    <pivotField axis="axisPage" subtotalTop="0" multipleItemSelectionAllowed="1" showAll="0">
      <items count="26">
        <item m="1" x="23"/>
        <item m="1" x="9"/>
        <item m="1" x="24"/>
        <item m="1" x="16"/>
        <item m="1" x="5"/>
        <item m="1" x="3"/>
        <item m="1" x="22"/>
        <item m="1" x="18"/>
        <item m="1" x="20"/>
        <item m="1" x="21"/>
        <item m="1" x="12"/>
        <item m="1" x="14"/>
        <item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multipleItemSelectionAllowed="1" showAll="0">
      <items count="7">
        <item x="0"/>
        <item m="1" x="3"/>
        <item x="1"/>
        <item m="1" x="2"/>
        <item m="1" x="5"/>
        <item m="1" x="4"/>
        <item t="default"/>
      </items>
    </pivotField>
    <pivotField subtotalTop="0" showAll="0"/>
    <pivotField showAll="0" defaultSubtotal="0">
      <items count="14">
        <item x="0"/>
        <item x="1"/>
        <item m="1" x="10"/>
        <item m="1" x="6"/>
        <item m="1" x="5"/>
        <item m="1" x="12"/>
        <item m="1" x="9"/>
        <item m="1" x="13"/>
        <item m="1" x="7"/>
        <item m="1" x="8"/>
        <item m="1" x="11"/>
        <item m="1" x="3"/>
        <item m="1" x="4"/>
        <item x="2"/>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items count="12">
        <item m="1" x="10"/>
        <item x="4"/>
        <item x="0"/>
        <item x="3"/>
        <item x="5"/>
        <item x="7"/>
        <item x="1"/>
        <item x="2"/>
        <item x="6"/>
        <item x="8"/>
        <item x="9"/>
        <item t="default"/>
      </items>
    </pivotField>
    <pivotField subtotalTop="0" showAll="0"/>
    <pivotField subtotalTop="0" showAll="0"/>
    <pivotField subtotalTop="0" showAll="0"/>
    <pivotField subtotalTop="0" showAll="0"/>
    <pivotField axis="axisCol" subtotalTop="0" showAll="0">
      <items count="6">
        <item x="1"/>
        <item n="Gap" x="0"/>
        <item h="1" m="1" x="4"/>
        <item h="1"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142"/>
  </colFields>
  <colItems count="2">
    <i>
      <x/>
    </i>
    <i>
      <x v="1"/>
    </i>
  </colItems>
  <pageFields count="1">
    <pageField fld="0" hier="-1"/>
  </pageFields>
  <dataFields count="1">
    <dataField name="Count of Site Name" fld="7" subtotal="count" baseField="0" baseItem="0"/>
  </dataFields>
  <formats count="19">
    <format dxfId="300">
      <pivotArea type="all" dataOnly="0" outline="0" fieldPosition="0"/>
    </format>
    <format dxfId="299">
      <pivotArea outline="0" collapsedLevelsAreSubtotals="1" fieldPosition="0"/>
    </format>
    <format dxfId="298">
      <pivotArea field="4" type="button" dataOnly="0" labelOnly="1" outline="0" axis="axisRow" fieldPosition="0"/>
    </format>
    <format dxfId="297">
      <pivotArea dataOnly="0" labelOnly="1" fieldPosition="0">
        <references count="1">
          <reference field="4" count="0"/>
        </references>
      </pivotArea>
    </format>
    <format dxfId="296">
      <pivotArea dataOnly="0" labelOnly="1" grandRow="1" outline="0" fieldPosition="0"/>
    </format>
    <format dxfId="295">
      <pivotArea dataOnly="0" labelOnly="1" outline="0" fieldPosition="0">
        <references count="1">
          <reference field="4294967294" count="1">
            <x v="0"/>
          </reference>
        </references>
      </pivotArea>
    </format>
    <format dxfId="294">
      <pivotArea type="all" dataOnly="0" outline="0" fieldPosition="0"/>
    </format>
    <format dxfId="293">
      <pivotArea outline="0" collapsedLevelsAreSubtotals="1" fieldPosition="0"/>
    </format>
    <format dxfId="292">
      <pivotArea type="origin" dataOnly="0" labelOnly="1" outline="0" fieldPosition="0"/>
    </format>
    <format dxfId="291">
      <pivotArea field="142" type="button" dataOnly="0" labelOnly="1" outline="0" axis="axisCol" fieldPosition="0"/>
    </format>
    <format dxfId="290">
      <pivotArea type="topRight" dataOnly="0" labelOnly="1" outline="0" fieldPosition="0"/>
    </format>
    <format dxfId="289">
      <pivotArea dataOnly="0" labelOnly="1" fieldPosition="0">
        <references count="1">
          <reference field="142" count="0"/>
        </references>
      </pivotArea>
    </format>
    <format dxfId="288">
      <pivotArea type="all" dataOnly="0" outline="0" fieldPosition="0"/>
    </format>
    <format dxfId="287">
      <pivotArea outline="0" collapsedLevelsAreSubtotals="1" fieldPosition="0"/>
    </format>
    <format dxfId="286">
      <pivotArea dataOnly="0" labelOnly="1" fieldPosition="0">
        <references count="1">
          <reference field="142" count="0"/>
        </references>
      </pivotArea>
    </format>
    <format dxfId="285">
      <pivotArea field="4" type="button" dataOnly="0" labelOnly="1" outline="0" axis="axisRow" fieldPosition="0"/>
    </format>
    <format dxfId="284">
      <pivotArea dataOnly="0" labelOnly="1" outline="0" fieldPosition="0">
        <references count="2">
          <reference field="0" count="1" selected="0">
            <x v="8"/>
          </reference>
          <reference field="4" count="0"/>
        </references>
      </pivotArea>
    </format>
    <format dxfId="283">
      <pivotArea dataOnly="0" labelOnly="1" outline="0" fieldPosition="0">
        <references count="2">
          <reference field="0" count="1" selected="0">
            <x v="9"/>
          </reference>
          <reference field="4" count="0"/>
        </references>
      </pivotArea>
    </format>
    <format dxfId="282">
      <pivotArea dataOnly="0" labelOnly="1" outline="0" fieldPosition="0">
        <references count="2">
          <reference field="0" count="1" selected="0">
            <x v="9"/>
          </reference>
          <reference field="4" count="0"/>
        </references>
      </pivotArea>
    </format>
  </formats>
  <chartFormats count="10">
    <chartFormat chart="7" format="8" series="1">
      <pivotArea type="data" outline="0" fieldPosition="0">
        <references count="2">
          <reference field="4294967294" count="1" selected="0">
            <x v="0"/>
          </reference>
          <reference field="142" count="1" selected="0">
            <x v="0"/>
          </reference>
        </references>
      </pivotArea>
    </chartFormat>
    <chartFormat chart="7" format="9" series="1">
      <pivotArea type="data" outline="0" fieldPosition="0">
        <references count="2">
          <reference field="4294967294" count="1" selected="0">
            <x v="0"/>
          </reference>
          <reference field="142" count="1" selected="0">
            <x v="1"/>
          </reference>
        </references>
      </pivotArea>
    </chartFormat>
    <chartFormat chart="10" format="8" series="1">
      <pivotArea type="data" outline="0" fieldPosition="0">
        <references count="2">
          <reference field="4294967294" count="1" selected="0">
            <x v="0"/>
          </reference>
          <reference field="142" count="1" selected="0">
            <x v="0"/>
          </reference>
        </references>
      </pivotArea>
    </chartFormat>
    <chartFormat chart="10" format="9" series="1">
      <pivotArea type="data" outline="0" fieldPosition="0">
        <references count="2">
          <reference field="4294967294" count="1" selected="0">
            <x v="0"/>
          </reference>
          <reference field="142" count="1" selected="0">
            <x v="1"/>
          </reference>
        </references>
      </pivotArea>
    </chartFormat>
    <chartFormat chart="40" format="8" series="1">
      <pivotArea type="data" outline="0" fieldPosition="0">
        <references count="2">
          <reference field="4294967294" count="1" selected="0">
            <x v="0"/>
          </reference>
          <reference field="142" count="1" selected="0">
            <x v="0"/>
          </reference>
        </references>
      </pivotArea>
    </chartFormat>
    <chartFormat chart="40" format="9" series="1">
      <pivotArea type="data" outline="0" fieldPosition="0">
        <references count="2">
          <reference field="4294967294" count="1" selected="0">
            <x v="0"/>
          </reference>
          <reference field="142" count="1" selected="0">
            <x v="1"/>
          </reference>
        </references>
      </pivotArea>
    </chartFormat>
    <chartFormat chart="42" format="12" series="1">
      <pivotArea type="data" outline="0" fieldPosition="0">
        <references count="2">
          <reference field="4294967294" count="1" selected="0">
            <x v="0"/>
          </reference>
          <reference field="142" count="1" selected="0">
            <x v="0"/>
          </reference>
        </references>
      </pivotArea>
    </chartFormat>
    <chartFormat chart="42" format="13" series="1">
      <pivotArea type="data" outline="0" fieldPosition="0">
        <references count="2">
          <reference field="4294967294" count="1" selected="0">
            <x v="0"/>
          </reference>
          <reference field="142" count="1" selected="0">
            <x v="1"/>
          </reference>
        </references>
      </pivotArea>
    </chartFormat>
    <chartFormat chart="60" format="12" series="1">
      <pivotArea type="data" outline="0" fieldPosition="0">
        <references count="2">
          <reference field="4294967294" count="1" selected="0">
            <x v="0"/>
          </reference>
          <reference field="142" count="1" selected="0">
            <x v="0"/>
          </reference>
        </references>
      </pivotArea>
    </chartFormat>
    <chartFormat chart="60" format="13" series="1">
      <pivotArea type="data" outline="0" fieldPosition="0">
        <references count="2">
          <reference field="4294967294" count="1" selected="0">
            <x v="0"/>
          </reference>
          <reference field="142"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20000000}" name="W_K_C_G_C"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2" rowHeaderCaption="State" colHeaderCaption=" ">
  <location ref="B80:D93" firstHeaderRow="0" firstDataRow="1" firstDataCol="1" rowPageCount="4" colPageCount="1"/>
  <pivotFields count="155">
    <pivotField axis="axisPage" subtotalTop="0" multipleItemSelectionAllowed="1" showAll="0">
      <items count="26">
        <item m="1" x="23"/>
        <item m="1" x="9"/>
        <item h="1" m="1" x="16"/>
        <item h="1" m="1" x="3"/>
        <item m="1" x="24"/>
        <item m="1" x="5"/>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items count="47">
        <item m="1" x="31"/>
        <item x="0"/>
        <item m="1" x="43"/>
        <item x="6"/>
        <item x="1"/>
        <item x="23"/>
        <item x="16"/>
        <item x="14"/>
        <item m="1" x="38"/>
        <item m="1" x="26"/>
        <item x="15"/>
        <item m="1" x="41"/>
        <item x="5"/>
        <item x="21"/>
        <item m="1" x="36"/>
        <item m="1" x="30"/>
        <item x="8"/>
        <item x="10"/>
        <item x="2"/>
        <item m="1" x="42"/>
        <item x="18"/>
        <item m="1" x="34"/>
        <item x="7"/>
        <item m="1" x="33"/>
        <item x="22"/>
        <item x="19"/>
        <item m="1" x="28"/>
        <item m="1" x="32"/>
        <item m="1" x="37"/>
        <item x="11"/>
        <item m="1" x="44"/>
        <item m="1" x="40"/>
        <item x="12"/>
        <item m="1" x="39"/>
        <item x="9"/>
        <item x="13"/>
        <item x="3"/>
        <item m="1" x="25"/>
        <item m="1" x="27"/>
        <item m="1" x="24"/>
        <item m="1" x="35"/>
        <item x="17"/>
        <item m="1" x="29"/>
        <item x="20"/>
        <item x="4"/>
        <item m="1" x="45"/>
        <item t="default"/>
      </items>
    </pivotField>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3"/>
    </i>
    <i>
      <x v="4"/>
    </i>
    <i>
      <x v="12"/>
    </i>
    <i>
      <x v="16"/>
    </i>
    <i>
      <x v="17"/>
    </i>
    <i>
      <x v="18"/>
    </i>
    <i>
      <x v="22"/>
    </i>
    <i>
      <x v="32"/>
    </i>
    <i>
      <x v="34"/>
    </i>
    <i>
      <x v="35"/>
    </i>
    <i>
      <x v="36"/>
    </i>
    <i>
      <x v="44"/>
    </i>
  </rowItems>
  <colFields count="1">
    <field x="-2"/>
  </colFields>
  <colItems count="2">
    <i>
      <x/>
    </i>
    <i i="1">
      <x v="1"/>
    </i>
  </colItems>
  <pageFields count="4">
    <pageField fld="0" hier="-1"/>
    <pageField fld="142" item="0" hier="-1"/>
    <pageField fld="4" item="0" hier="-1"/>
    <pageField fld="6" hier="-1"/>
  </pageFields>
  <dataFields count="2">
    <dataField name=" % Water Coverage" fld="150" baseField="0" baseItem="0"/>
    <dataField name=" % Water GAP" fld="151" baseField="0" baseItem="0"/>
  </dataFields>
  <formats count="10">
    <format dxfId="310">
      <pivotArea field="4" type="button" dataOnly="0" labelOnly="1" outline="0" axis="axisPage" fieldPosition="2"/>
    </format>
    <format dxfId="309">
      <pivotArea type="all" dataOnly="0" outline="0" fieldPosition="0"/>
    </format>
    <format dxfId="308">
      <pivotArea outline="0" collapsedLevelsAreSubtotals="1" fieldPosition="0"/>
    </format>
    <format dxfId="307">
      <pivotArea field="4" type="button" dataOnly="0" labelOnly="1" outline="0" axis="axisPage" fieldPosition="2"/>
    </format>
    <format dxfId="306">
      <pivotArea type="all" dataOnly="0" outline="0" fieldPosition="0"/>
    </format>
    <format dxfId="305">
      <pivotArea outline="0" collapsedLevelsAreSubtotals="1" fieldPosition="0"/>
    </format>
    <format dxfId="304">
      <pivotArea outline="0" collapsedLevelsAreSubtotals="1" fieldPosition="0"/>
    </format>
    <format dxfId="303">
      <pivotArea field="5" type="button" dataOnly="0" labelOnly="1" outline="0" axis="axisRow" fieldPosition="0"/>
    </format>
    <format dxfId="302">
      <pivotArea field="5" type="button" dataOnly="0" labelOnly="1" outline="0" axis="axisRow" fieldPosition="0"/>
    </format>
    <format dxfId="301">
      <pivotArea field="5" type="button" dataOnly="0" labelOnly="1" outline="0" axis="axisRow" fieldPosition="0"/>
    </format>
  </formats>
  <conditionalFormats count="1">
    <conditionalFormat priority="8">
      <pivotAreas count="1">
        <pivotArea type="data" outline="0" collapsedLevelsAreSubtotals="1" fieldPosition="0">
          <references count="1">
            <reference field="4294967294" count="1" selected="0">
              <x v="1"/>
            </reference>
          </references>
        </pivotArea>
      </pivotAreas>
    </conditionalFormat>
  </conditionalFormats>
  <chartFormats count="3">
    <chartFormat chart="28" format="6" series="1">
      <pivotArea type="data" outline="0" fieldPosition="0">
        <references count="1">
          <reference field="4294967294" count="1" selected="0">
            <x v="0"/>
          </reference>
        </references>
      </pivotArea>
    </chartFormat>
    <chartFormat chart="28" format="7" series="1">
      <pivotArea type="data" outline="0" fieldPosition="0">
        <references count="1">
          <reference field="4294967294" count="1" selected="0">
            <x v="1"/>
          </reference>
        </references>
      </pivotArea>
    </chartFormat>
    <chartFormat chart="28" format="8">
      <pivotArea type="data" outline="0" fieldPosition="0">
        <references count="2">
          <reference field="4294967294" count="1" selected="0">
            <x v="1"/>
          </reference>
          <reference field="5" count="1" selected="0">
            <x v="3"/>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800-00001E000000}" name="S_Traffic" cacheId="4"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I10:N20" firstHeaderRow="0" firstDataRow="1" firstDataCol="1" rowPageCount="4" colPageCount="1"/>
  <pivotFields count="155">
    <pivotField axis="axisPage" subtotalTop="0" multipleItemSelectionAllowed="1" showAll="0">
      <items count="26">
        <item m="1" x="23"/>
        <item m="1" x="9"/>
        <item m="1" x="16"/>
        <item m="1" x="3"/>
        <item m="1" x="24"/>
        <item m="1" x="5"/>
        <item m="1" x="22"/>
        <item m="1" x="18"/>
        <item m="1" x="20"/>
        <item m="1" x="21"/>
        <item m="1" x="12"/>
        <item m="1" x="14"/>
        <item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sortType="ascending">
      <items count="47">
        <item m="1" x="31"/>
        <item x="0"/>
        <item m="1" x="43"/>
        <item m="1" x="35"/>
        <item x="6"/>
        <item x="1"/>
        <item x="23"/>
        <item x="16"/>
        <item x="4"/>
        <item x="14"/>
        <item x="20"/>
        <item m="1" x="38"/>
        <item m="1" x="26"/>
        <item x="15"/>
        <item m="1" x="45"/>
        <item x="17"/>
        <item m="1" x="41"/>
        <item x="5"/>
        <item x="21"/>
        <item m="1" x="36"/>
        <item m="1" x="30"/>
        <item x="8"/>
        <item x="10"/>
        <item m="1" x="25"/>
        <item x="2"/>
        <item m="1" x="42"/>
        <item x="18"/>
        <item m="1" x="34"/>
        <item x="7"/>
        <item m="1" x="33"/>
        <item x="22"/>
        <item m="1" x="29"/>
        <item x="19"/>
        <item m="1" x="27"/>
        <item m="1" x="28"/>
        <item m="1" x="32"/>
        <item m="1" x="37"/>
        <item x="11"/>
        <item m="1" x="44"/>
        <item m="1" x="40"/>
        <item x="12"/>
        <item m="1" x="39"/>
        <item x="9"/>
        <item x="13"/>
        <item x="3"/>
        <item m="1" x="24"/>
        <item t="default"/>
      </items>
    </pivotField>
    <pivotField axis="axisPage" multipleItemSelectionAllowed="1" showAll="0" defaultSubtotal="0">
      <items count="14">
        <item x="0"/>
        <item x="1"/>
        <item m="1" x="10"/>
        <item m="1" x="6"/>
        <item h="1" m="1" x="5"/>
        <item h="1" m="1" x="12"/>
        <item h="1" m="1" x="9"/>
        <item h="1" m="1" x="13"/>
        <item h="1" m="1" x="7"/>
        <item m="1" x="8"/>
        <item h="1" m="1" x="11"/>
        <item h="1" m="1" x="3"/>
        <item h="1" m="1" x="4"/>
        <item x="2"/>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10">
    <i>
      <x v="6"/>
    </i>
    <i>
      <x v="9"/>
    </i>
    <i>
      <x v="10"/>
    </i>
    <i>
      <x v="13"/>
    </i>
    <i>
      <x v="15"/>
    </i>
    <i>
      <x v="18"/>
    </i>
    <i>
      <x v="26"/>
    </i>
    <i>
      <x v="30"/>
    </i>
    <i>
      <x v="32"/>
    </i>
    <i t="grand">
      <x/>
    </i>
  </rowItems>
  <colFields count="1">
    <field x="-2"/>
  </colFields>
  <colItems count="5">
    <i>
      <x/>
    </i>
    <i i="1">
      <x v="1"/>
    </i>
    <i i="2">
      <x v="2"/>
    </i>
    <i i="3">
      <x v="3"/>
    </i>
    <i i="4">
      <x v="4"/>
    </i>
  </colItems>
  <pageFields count="4">
    <pageField fld="0" hier="-1"/>
    <pageField fld="142" item="0" hier="-1"/>
    <pageField fld="4" item="2" hier="-1"/>
    <pageField fld="6" hier="-1"/>
  </pageFields>
  <dataFields count="5">
    <dataField name="# of sites" fld="7" subtotal="count" baseField="0" baseItem="0"/>
    <dataField name="PoP " fld="9" baseField="0" baseItem="0" numFmtId="164"/>
    <dataField name=" % Water GAP" fld="151" baseField="0" baseItem="0" numFmtId="9"/>
    <dataField name=" % Sanitation GAP" fld="153" baseField="0" baseItem="0" numFmtId="9"/>
    <dataField name="  % Hygiene Gap" fld="148" baseField="0" baseItem="0" numFmtId="9"/>
  </dataFields>
  <formats count="38">
    <format dxfId="348">
      <pivotArea type="all" dataOnly="0" outline="0" fieldPosition="0"/>
    </format>
    <format dxfId="347">
      <pivotArea outline="0" collapsedLevelsAreSubtotals="1" fieldPosition="0"/>
    </format>
    <format dxfId="346">
      <pivotArea field="5" type="button" dataOnly="0" labelOnly="1" outline="0" axis="axisRow" fieldPosition="0"/>
    </format>
    <format dxfId="345">
      <pivotArea dataOnly="0" labelOnly="1" outline="0" axis="axisValues" fieldPosition="0"/>
    </format>
    <format dxfId="344">
      <pivotArea dataOnly="0" labelOnly="1" fieldPosition="0">
        <references count="1">
          <reference field="5" count="0"/>
        </references>
      </pivotArea>
    </format>
    <format dxfId="343">
      <pivotArea dataOnly="0" labelOnly="1" grandRow="1" outline="0" fieldPosition="0"/>
    </format>
    <format dxfId="342">
      <pivotArea dataOnly="0" labelOnly="1" outline="0" axis="axisValues" fieldPosition="0"/>
    </format>
    <format dxfId="341">
      <pivotArea type="all" dataOnly="0" outline="0" fieldPosition="0"/>
    </format>
    <format dxfId="340">
      <pivotArea field="5" type="button" dataOnly="0" labelOnly="1" outline="0" axis="axisRow" fieldPosition="0"/>
    </format>
    <format dxfId="339">
      <pivotArea dataOnly="0" labelOnly="1" outline="0" axis="axisValues" fieldPosition="0"/>
    </format>
    <format dxfId="338">
      <pivotArea dataOnly="0" labelOnly="1" fieldPosition="0">
        <references count="1">
          <reference field="5" count="0"/>
        </references>
      </pivotArea>
    </format>
    <format dxfId="337">
      <pivotArea dataOnly="0" labelOnly="1" outline="0" axis="axisValues" fieldPosition="0"/>
    </format>
    <format dxfId="336">
      <pivotArea field="5" type="button" dataOnly="0" labelOnly="1" outline="0" axis="axisRow" fieldPosition="0"/>
    </format>
    <format dxfId="335">
      <pivotArea type="all" dataOnly="0" outline="0" fieldPosition="0"/>
    </format>
    <format dxfId="334">
      <pivotArea field="5" type="button" dataOnly="0" labelOnly="1" outline="0" axis="axisRow" fieldPosition="0"/>
    </format>
    <format dxfId="333">
      <pivotArea dataOnly="0" labelOnly="1" fieldPosition="0">
        <references count="1">
          <reference field="5" count="7">
            <x v="6"/>
            <x v="9"/>
            <x v="13"/>
            <x v="18"/>
            <x v="26"/>
            <x v="30"/>
            <x v="32"/>
          </reference>
        </references>
      </pivotArea>
    </format>
    <format dxfId="332">
      <pivotArea dataOnly="0" labelOnly="1" outline="0" fieldPosition="0">
        <references count="1">
          <reference field="4294967294" count="1">
            <x v="1"/>
          </reference>
        </references>
      </pivotArea>
    </format>
    <format dxfId="331">
      <pivotArea type="all" dataOnly="0" outline="0" fieldPosition="0"/>
    </format>
    <format dxfId="330">
      <pivotArea outline="0" collapsedLevelsAreSubtotals="1" fieldPosition="0"/>
    </format>
    <format dxfId="329">
      <pivotArea field="5" type="button" dataOnly="0" labelOnly="1" outline="0" axis="axisRow" fieldPosition="0"/>
    </format>
    <format dxfId="328">
      <pivotArea dataOnly="0" labelOnly="1" fieldPosition="0">
        <references count="1">
          <reference field="5" count="7">
            <x v="6"/>
            <x v="9"/>
            <x v="13"/>
            <x v="18"/>
            <x v="26"/>
            <x v="30"/>
            <x v="32"/>
          </reference>
        </references>
      </pivotArea>
    </format>
    <format dxfId="327">
      <pivotArea dataOnly="0" labelOnly="1" outline="0" fieldPosition="0">
        <references count="1">
          <reference field="4294967294" count="1">
            <x v="1"/>
          </reference>
        </references>
      </pivotArea>
    </format>
    <format dxfId="326">
      <pivotArea field="5" type="button" dataOnly="0" labelOnly="1" outline="0" axis="axisRow" fieldPosition="0"/>
    </format>
    <format dxfId="325">
      <pivotArea dataOnly="0" labelOnly="1" outline="0" fieldPosition="0">
        <references count="1">
          <reference field="4294967294" count="1">
            <x v="1"/>
          </reference>
        </references>
      </pivotArea>
    </format>
    <format dxfId="324">
      <pivotArea type="all" dataOnly="0" outline="0" fieldPosition="0"/>
    </format>
    <format dxfId="323">
      <pivotArea outline="0" collapsedLevelsAreSubtotals="1" fieldPosition="0"/>
    </format>
    <format dxfId="322">
      <pivotArea field="5" type="button" dataOnly="0" labelOnly="1" outline="0" axis="axisRow" fieldPosition="0"/>
    </format>
    <format dxfId="321">
      <pivotArea dataOnly="0" labelOnly="1" fieldPosition="0">
        <references count="1">
          <reference field="5" count="6">
            <x v="6"/>
            <x v="9"/>
            <x v="18"/>
            <x v="26"/>
            <x v="30"/>
            <x v="32"/>
          </reference>
        </references>
      </pivotArea>
    </format>
    <format dxfId="320">
      <pivotArea dataOnly="0" labelOnly="1" grandRow="1" outline="0" fieldPosition="0"/>
    </format>
    <format dxfId="319">
      <pivotArea dataOnly="0" labelOnly="1" outline="0" fieldPosition="0">
        <references count="1">
          <reference field="4294967294" count="1">
            <x v="1"/>
          </reference>
        </references>
      </pivotArea>
    </format>
    <format dxfId="318">
      <pivotArea field="4" type="button" dataOnly="0" labelOnly="1" outline="0" axis="axisPage" fieldPosition="2"/>
    </format>
    <format dxfId="317">
      <pivotArea dataOnly="0" labelOnly="1" outline="0" fieldPosition="0">
        <references count="3">
          <reference field="0" count="1" selected="0">
            <x v="7"/>
          </reference>
          <reference field="4" count="1">
            <x v="2"/>
          </reference>
          <reference field="142" count="1" selected="0">
            <x v="0"/>
          </reference>
        </references>
      </pivotArea>
    </format>
    <format dxfId="316">
      <pivotArea dataOnly="0" labelOnly="1" outline="0" fieldPosition="0">
        <references count="3">
          <reference field="0" count="1" selected="0">
            <x v="8"/>
          </reference>
          <reference field="4" count="1">
            <x v="2"/>
          </reference>
          <reference field="142" count="1" selected="0">
            <x v="0"/>
          </reference>
        </references>
      </pivotArea>
    </format>
    <format dxfId="315">
      <pivotArea outline="0" collapsedLevelsAreSubtotals="1" fieldPosition="0">
        <references count="1">
          <reference field="4294967294" count="1" selected="0">
            <x v="1"/>
          </reference>
        </references>
      </pivotArea>
    </format>
    <format dxfId="314">
      <pivotArea dataOnly="0" labelOnly="1" outline="0" fieldPosition="0">
        <references count="3">
          <reference field="0" count="1" selected="0">
            <x v="10"/>
          </reference>
          <reference field="4" count="1">
            <x v="0"/>
          </reference>
          <reference field="142" count="1" selected="0">
            <x v="0"/>
          </reference>
        </references>
      </pivotArea>
    </format>
    <format dxfId="313">
      <pivotArea dataOnly="0" labelOnly="1" outline="0" fieldPosition="0">
        <references count="3">
          <reference field="0" count="1" selected="0">
            <x v="10"/>
          </reference>
          <reference field="4" count="1">
            <x v="2"/>
          </reference>
          <reference field="142" count="1" selected="0">
            <x v="0"/>
          </reference>
        </references>
      </pivotArea>
    </format>
    <format dxfId="312">
      <pivotArea outline="0" collapsedLevelsAreSubtotals="1" fieldPosition="0">
        <references count="1">
          <reference field="4294967294" count="3" selected="0">
            <x v="2"/>
            <x v="3"/>
            <x v="4"/>
          </reference>
        </references>
      </pivotArea>
    </format>
    <format dxfId="311">
      <pivotArea dataOnly="0" labelOnly="1" outline="0" fieldPosition="0">
        <references count="3">
          <reference field="0" count="1" selected="0">
            <x v="11"/>
          </reference>
          <reference field="4" count="1">
            <x v="2"/>
          </reference>
          <reference field="142" count="1" selected="0">
            <x v="0"/>
          </reference>
        </references>
      </pivotArea>
    </format>
  </formats>
  <conditionalFormats count="1">
    <conditionalFormat priority="13">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4" applyNumberFormats="0" applyBorderFormats="0" applyFontFormats="0" applyPatternFormats="0" applyAlignmentFormats="0" applyWidthHeightFormats="1" dataCaption="Values" updatedVersion="7" minRefreshableVersion="3" colGrandTotals="0" itemPrintTitles="1" createdVersion="6" indent="0" showHeaders="0" compact="0" compactData="0" multipleFieldFilters="0">
  <location ref="A8:L15" firstHeaderRow="0" firstDataRow="1" firstDataCol="2" rowPageCount="2" colPageCount="1"/>
  <pivotFields count="155">
    <pivotField axis="axisRow" compact="0" outline="0" subtotalTop="0" showAll="0" defaultSubtotal="0">
      <items count="25">
        <item m="1" x="23"/>
        <item m="1" x="16"/>
        <item m="1" x="3"/>
        <item m="1" x="9"/>
        <item m="1" x="24"/>
        <item m="1" x="5"/>
        <item m="1" x="22"/>
        <item m="1" x="18"/>
        <item m="1" x="20"/>
        <item m="1" x="21"/>
        <item m="1" x="12"/>
        <item m="1" x="14"/>
        <item m="1" x="17"/>
        <item m="1" x="19"/>
        <item m="1" x="7"/>
        <item m="1" x="10"/>
        <item m="1" x="13"/>
        <item m="1" x="15"/>
        <item m="1" x="4"/>
        <item m="1" x="6"/>
        <item m="1" x="8"/>
        <item m="1" x="11"/>
        <item x="0"/>
        <item x="1"/>
        <item x="2"/>
      </items>
    </pivotField>
    <pivotField compact="0" outline="0" showAll="0" defaultSubtotal="0"/>
    <pivotField compact="0" outline="0" showAll="0" defaultSubtotal="0"/>
    <pivotField compact="0" outline="0" subtotalTop="0" showAll="0" defaultSubtotal="0"/>
    <pivotField axis="axisRow" compact="0" outline="0" subtotalTop="0" showAll="0" defaultSubtotal="0">
      <items count="6">
        <item x="0"/>
        <item m="1" x="3"/>
        <item x="1"/>
        <item m="1" x="2"/>
        <item m="1" x="5"/>
        <item m="1" x="4"/>
      </items>
    </pivotField>
    <pivotField compact="0" outline="0" subtotalTop="0" showAll="0" defaultSubtotal="0"/>
    <pivotField axis="axisPage" compact="0" outline="0" multipleItemSelectionAllowed="1" showAll="0" defaultSubtotal="0">
      <items count="14">
        <item x="0"/>
        <item x="1"/>
        <item m="1" x="10"/>
        <item h="1" m="1" x="12"/>
        <item h="1" m="1" x="13"/>
        <item h="1" m="1" x="6"/>
        <item h="1" m="1" x="9"/>
        <item h="1" m="1" x="5"/>
        <item m="1" x="7"/>
        <item m="1" x="8"/>
        <item h="1" m="1" x="11"/>
        <item h="1" m="1" x="3"/>
        <item h="1" m="1" x="4"/>
        <item h="1" x="2"/>
      </items>
    </pivotField>
    <pivotField compact="0" outline="0" subtotalTop="0" showAll="0" defaultSubtotal="0"/>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dataField="1" compact="0" numFmtId="164" outline="0" showAll="0" defaultSubtotal="0"/>
    <pivotField dataField="1" compact="0" outline="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1"/>
        <item x="0"/>
        <item m="1" x="3"/>
        <item m="1" x="4"/>
        <item m="1" x="2"/>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0"/>
  </rowFields>
  <rowItems count="7">
    <i>
      <x/>
      <x v="22"/>
    </i>
    <i r="1">
      <x v="23"/>
    </i>
    <i r="1">
      <x v="24"/>
    </i>
    <i>
      <x v="2"/>
      <x v="22"/>
    </i>
    <i r="1">
      <x v="23"/>
    </i>
    <i r="1">
      <x v="24"/>
    </i>
    <i t="grand">
      <x/>
    </i>
  </rowItems>
  <colFields count="1">
    <field x="-2"/>
  </colFields>
  <colItems count="10">
    <i>
      <x/>
    </i>
    <i i="1">
      <x v="1"/>
    </i>
    <i i="2">
      <x v="2"/>
    </i>
    <i i="3">
      <x v="3"/>
    </i>
    <i i="4">
      <x v="4"/>
    </i>
    <i i="5">
      <x v="5"/>
    </i>
    <i i="6">
      <x v="6"/>
    </i>
    <i i="7">
      <x v="7"/>
    </i>
    <i i="8">
      <x v="8"/>
    </i>
    <i i="9">
      <x v="9"/>
    </i>
  </colItems>
  <pageFields count="2">
    <pageField fld="142" item="0" hier="-1"/>
    <pageField fld="6" hier="-1"/>
  </pageFields>
  <dataFields count="10">
    <dataField name="Total Population reached" fld="9" baseField="2" baseItem="0" numFmtId="3"/>
    <dataField name=" HRP1" fld="99" baseField="4" baseItem="0"/>
    <dataField name=" HRP2" fld="107" baseField="0" baseItem="0"/>
    <dataField name=" HRP3" fld="119" baseField="0" baseItem="0"/>
    <dataField name=" HRP4" fld="131" baseField="4" baseItem="0"/>
    <dataField name=" HRP5" fld="132" baseField="4" baseItem="0"/>
    <dataField name=" # People received regular supply of hygiene items" fld="118" baseField="0" baseItem="0"/>
    <dataField name=" # people reached by regular dedicated hygiene promotion" fld="115" baseField="0" baseItem="0"/>
    <dataField name=" # People access to Handwashing Station" fld="128" baseField="0" baseItem="0"/>
    <dataField name=" # students access to functioning school latrines_HRP5" fld="109" baseField="0" baseItem="0"/>
  </dataFields>
  <formats count="53">
    <format dxfId="847">
      <pivotArea field="4" type="button" dataOnly="0" labelOnly="1" outline="0" axis="axisRow" fieldPosition="0"/>
    </format>
    <format dxfId="846">
      <pivotArea type="all" dataOnly="0" outline="0" fieldPosition="0"/>
    </format>
    <format dxfId="845">
      <pivotArea field="4" type="button" dataOnly="0" labelOnly="1" outline="0" axis="axisRow" fieldPosition="0"/>
    </format>
    <format dxfId="844">
      <pivotArea outline="0" fieldPosition="0">
        <references count="1">
          <reference field="4294967294" count="1">
            <x v="0"/>
          </reference>
        </references>
      </pivotArea>
    </format>
    <format dxfId="843">
      <pivotArea dataOnly="0" labelOnly="1" outline="0" fieldPosition="0">
        <references count="1">
          <reference field="4294967294" count="1">
            <x v="0"/>
          </reference>
        </references>
      </pivotArea>
    </format>
    <format dxfId="842">
      <pivotArea type="all" dataOnly="0" outline="0" fieldPosition="0"/>
    </format>
    <format dxfId="841">
      <pivotArea outline="0" collapsedLevelsAreSubtotals="1" fieldPosition="0"/>
    </format>
    <format dxfId="840">
      <pivotArea dataOnly="0" labelOnly="1" fieldPosition="0">
        <references count="1">
          <reference field="4" count="0"/>
        </references>
      </pivotArea>
    </format>
    <format dxfId="839">
      <pivotArea dataOnly="0" labelOnly="1" grandRow="1" outline="0" fieldPosition="0"/>
    </format>
    <format dxfId="838">
      <pivotArea dataOnly="0" labelOnly="1" outline="0" fieldPosition="0">
        <references count="1">
          <reference field="4294967294" count="1">
            <x v="0"/>
          </reference>
        </references>
      </pivotArea>
    </format>
    <format dxfId="837">
      <pivotArea type="all" dataOnly="0" outline="0" fieldPosition="0"/>
    </format>
    <format dxfId="836">
      <pivotArea outline="0" collapsedLevelsAreSubtotals="1" fieldPosition="0"/>
    </format>
    <format dxfId="835">
      <pivotArea dataOnly="0" labelOnly="1" fieldPosition="0">
        <references count="1">
          <reference field="4" count="0"/>
        </references>
      </pivotArea>
    </format>
    <format dxfId="834">
      <pivotArea dataOnly="0" labelOnly="1" grandRow="1" outline="0" fieldPosition="0"/>
    </format>
    <format dxfId="833">
      <pivotArea dataOnly="0" labelOnly="1" outline="0" fieldPosition="0">
        <references count="1">
          <reference field="4294967294" count="1">
            <x v="0"/>
          </reference>
        </references>
      </pivotArea>
    </format>
    <format dxfId="832">
      <pivotArea outline="0" collapsedLevelsAreSubtotals="1" fieldPosition="0"/>
    </format>
    <format dxfId="831">
      <pivotArea outline="0" collapsedLevelsAreSubtotals="1" fieldPosition="0">
        <references count="1">
          <reference field="4294967294" count="1" selected="0">
            <x v="1"/>
          </reference>
        </references>
      </pivotArea>
    </format>
    <format dxfId="830">
      <pivotArea dataOnly="0" labelOnly="1" outline="0" fieldPosition="0">
        <references count="1">
          <reference field="4294967294" count="1">
            <x v="1"/>
          </reference>
        </references>
      </pivotArea>
    </format>
    <format dxfId="829">
      <pivotArea outline="0" collapsedLevelsAreSubtotals="1" fieldPosition="0">
        <references count="1">
          <reference field="4294967294" count="1" selected="0">
            <x v="1"/>
          </reference>
        </references>
      </pivotArea>
    </format>
    <format dxfId="828">
      <pivotArea dataOnly="0" labelOnly="1" outline="0" fieldPosition="0">
        <references count="1">
          <reference field="4294967294" count="1">
            <x v="1"/>
          </reference>
        </references>
      </pivotArea>
    </format>
    <format dxfId="827">
      <pivotArea outline="0" collapsedLevelsAreSubtotals="1" fieldPosition="0">
        <references count="1">
          <reference field="4294967294" count="1" selected="0">
            <x v="2"/>
          </reference>
        </references>
      </pivotArea>
    </format>
    <format dxfId="826">
      <pivotArea dataOnly="0" labelOnly="1" outline="0" fieldPosition="0">
        <references count="1">
          <reference field="4294967294" count="1">
            <x v="2"/>
          </reference>
        </references>
      </pivotArea>
    </format>
    <format dxfId="825">
      <pivotArea outline="0" collapsedLevelsAreSubtotals="1" fieldPosition="0">
        <references count="1">
          <reference field="4294967294" count="1" selected="0">
            <x v="2"/>
          </reference>
        </references>
      </pivotArea>
    </format>
    <format dxfId="824">
      <pivotArea dataOnly="0" labelOnly="1" outline="0" fieldPosition="0">
        <references count="1">
          <reference field="4294967294" count="1">
            <x v="2"/>
          </reference>
        </references>
      </pivotArea>
    </format>
    <format dxfId="823">
      <pivotArea outline="0" collapsedLevelsAreSubtotals="1" fieldPosition="0">
        <references count="1">
          <reference field="4294967294" count="1" selected="0">
            <x v="3"/>
          </reference>
        </references>
      </pivotArea>
    </format>
    <format dxfId="822">
      <pivotArea dataOnly="0" labelOnly="1" outline="0" fieldPosition="0">
        <references count="1">
          <reference field="4294967294" count="1">
            <x v="3"/>
          </reference>
        </references>
      </pivotArea>
    </format>
    <format dxfId="821">
      <pivotArea outline="0" collapsedLevelsAreSubtotals="1" fieldPosition="0">
        <references count="1">
          <reference field="4294967294" count="1" selected="0">
            <x v="3"/>
          </reference>
        </references>
      </pivotArea>
    </format>
    <format dxfId="820">
      <pivotArea dataOnly="0" labelOnly="1" outline="0" fieldPosition="0">
        <references count="1">
          <reference field="4294967294" count="1">
            <x v="3"/>
          </reference>
        </references>
      </pivotArea>
    </format>
    <format dxfId="819">
      <pivotArea outline="0" collapsedLevelsAreSubtotals="1" fieldPosition="0">
        <references count="1">
          <reference field="4294967294" count="1" selected="0">
            <x v="0"/>
          </reference>
        </references>
      </pivotArea>
    </format>
    <format dxfId="818">
      <pivotArea dataOnly="0" labelOnly="1" outline="0" fieldPosition="0">
        <references count="1">
          <reference field="4294967294" count="1">
            <x v="0"/>
          </reference>
        </references>
      </pivotArea>
    </format>
    <format dxfId="817">
      <pivotArea outline="0" collapsedLevelsAreSubtotals="1" fieldPosition="0">
        <references count="1">
          <reference field="4294967294" count="1" selected="0">
            <x v="0"/>
          </reference>
        </references>
      </pivotArea>
    </format>
    <format dxfId="816">
      <pivotArea dataOnly="0" labelOnly="1" outline="0" fieldPosition="0">
        <references count="1">
          <reference field="4294967294" count="1">
            <x v="0"/>
          </reference>
        </references>
      </pivotArea>
    </format>
    <format dxfId="815">
      <pivotArea dataOnly="0" labelOnly="1" outline="0" fieldPosition="0">
        <references count="1">
          <reference field="4294967294" count="4">
            <x v="0"/>
            <x v="1"/>
            <x v="2"/>
            <x v="3"/>
          </reference>
        </references>
      </pivotArea>
    </format>
    <format dxfId="814">
      <pivotArea dataOnly="0" labelOnly="1" outline="0" fieldPosition="0">
        <references count="1">
          <reference field="4294967294" count="4">
            <x v="0"/>
            <x v="1"/>
            <x v="2"/>
            <x v="3"/>
          </reference>
        </references>
      </pivotArea>
    </format>
    <format dxfId="813">
      <pivotArea dataOnly="0" labelOnly="1" outline="0" fieldPosition="0">
        <references count="1">
          <reference field="4294967294" count="1">
            <x v="6"/>
          </reference>
        </references>
      </pivotArea>
    </format>
    <format dxfId="812">
      <pivotArea dataOnly="0" labelOnly="1" outline="0" fieldPosition="0">
        <references count="1">
          <reference field="4294967294" count="1">
            <x v="6"/>
          </reference>
        </references>
      </pivotArea>
    </format>
    <format dxfId="811">
      <pivotArea dataOnly="0" labelOnly="1" outline="0" fieldPosition="0">
        <references count="1">
          <reference field="4294967294" count="1">
            <x v="8"/>
          </reference>
        </references>
      </pivotArea>
    </format>
    <format dxfId="810">
      <pivotArea outline="0" collapsedLevelsAreSubtotals="1" fieldPosition="0">
        <references count="1">
          <reference field="4294967294" count="2" selected="0">
            <x v="6"/>
            <x v="8"/>
          </reference>
        </references>
      </pivotArea>
    </format>
    <format dxfId="809">
      <pivotArea dataOnly="0" labelOnly="1" outline="0" fieldPosition="0">
        <references count="1">
          <reference field="4294967294" count="1">
            <x v="7"/>
          </reference>
        </references>
      </pivotArea>
    </format>
    <format dxfId="808">
      <pivotArea collapsedLevelsAreSubtotals="1" fieldPosition="0">
        <references count="2">
          <reference field="4294967294" count="1" selected="0">
            <x v="7"/>
          </reference>
          <reference field="4" count="1">
            <x v="0"/>
          </reference>
        </references>
      </pivotArea>
    </format>
    <format dxfId="807">
      <pivotArea outline="0" collapsedLevelsAreSubtotals="1" fieldPosition="0">
        <references count="1">
          <reference field="4294967294" count="3" selected="0">
            <x v="6"/>
            <x v="7"/>
            <x v="8"/>
          </reference>
        </references>
      </pivotArea>
    </format>
    <format dxfId="806">
      <pivotArea dataOnly="0" labelOnly="1" outline="0" fieldPosition="0">
        <references count="1">
          <reference field="4294967294" count="3">
            <x v="6"/>
            <x v="7"/>
            <x v="8"/>
          </reference>
        </references>
      </pivotArea>
    </format>
    <format dxfId="805">
      <pivotArea outline="0" collapsedLevelsAreSubtotals="1" fieldPosition="0">
        <references count="1">
          <reference field="4294967294" count="3" selected="0">
            <x v="6"/>
            <x v="7"/>
            <x v="8"/>
          </reference>
        </references>
      </pivotArea>
    </format>
    <format dxfId="804">
      <pivotArea dataOnly="0" labelOnly="1" outline="0" fieldPosition="0">
        <references count="1">
          <reference field="4294967294" count="3">
            <x v="6"/>
            <x v="7"/>
            <x v="8"/>
          </reference>
        </references>
      </pivotArea>
    </format>
    <format dxfId="803">
      <pivotArea outline="0" collapsedLevelsAreSubtotals="1" fieldPosition="0">
        <references count="1">
          <reference field="4294967294" count="1" selected="0">
            <x v="4"/>
          </reference>
        </references>
      </pivotArea>
    </format>
    <format dxfId="802">
      <pivotArea dataOnly="0" labelOnly="1" outline="0" fieldPosition="0">
        <references count="1">
          <reference field="4294967294" count="1">
            <x v="4"/>
          </reference>
        </references>
      </pivotArea>
    </format>
    <format dxfId="801">
      <pivotArea outline="0" collapsedLevelsAreSubtotals="1" fieldPosition="0">
        <references count="1">
          <reference field="4294967294" count="1" selected="0">
            <x v="5"/>
          </reference>
        </references>
      </pivotArea>
    </format>
    <format dxfId="800">
      <pivotArea dataOnly="0" labelOnly="1" outline="0" fieldPosition="0">
        <references count="1">
          <reference field="4294967294" count="1">
            <x v="5"/>
          </reference>
        </references>
      </pivotArea>
    </format>
    <format dxfId="799">
      <pivotArea dataOnly="0" labelOnly="1" outline="0" fieldPosition="0">
        <references count="1">
          <reference field="4294967294" count="5">
            <x v="4"/>
            <x v="5"/>
            <x v="6"/>
            <x v="7"/>
            <x v="8"/>
          </reference>
        </references>
      </pivotArea>
    </format>
    <format dxfId="798">
      <pivotArea dataOnly="0" labelOnly="1" outline="0" fieldPosition="0">
        <references count="1">
          <reference field="4294967294" count="1">
            <x v="9"/>
          </reference>
        </references>
      </pivotArea>
    </format>
    <format dxfId="797">
      <pivotArea dataOnly="0" labelOnly="1" outline="0" fieldPosition="0">
        <references count="1">
          <reference field="4294967294" count="1">
            <x v="9"/>
          </reference>
        </references>
      </pivotArea>
    </format>
    <format dxfId="796">
      <pivotArea dataOnly="0" labelOnly="1" outline="0" fieldPosition="0">
        <references count="1">
          <reference field="4294967294" count="1">
            <x v="9"/>
          </reference>
        </references>
      </pivotArea>
    </format>
    <format dxfId="795">
      <pivotArea dataOnly="0" outline="0" fieldPosition="0">
        <references count="2">
          <reference field="4" count="0" defaultSubtotal="1"/>
          <reference field="142" count="1" selected="0">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3" rowHeaderCaption="State" colHeaderCaption=" ">
  <location ref="B267:D280" firstHeaderRow="0" firstDataRow="1" firstDataCol="1" rowPageCount="4" colPageCount="1"/>
  <pivotFields count="155">
    <pivotField axis="axisPage" subtotalTop="0" multipleItemSelectionAllowed="1" showAll="0">
      <items count="26">
        <item m="1" x="23"/>
        <item m="1" x="9"/>
        <item h="1" m="1" x="16"/>
        <item h="1" m="1" x="3"/>
        <item m="1" x="24"/>
        <item m="1" x="5"/>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items count="47">
        <item m="1" x="31"/>
        <item x="0"/>
        <item m="1" x="43"/>
        <item x="6"/>
        <item x="1"/>
        <item x="23"/>
        <item x="16"/>
        <item x="14"/>
        <item m="1" x="38"/>
        <item m="1" x="26"/>
        <item x="15"/>
        <item m="1" x="41"/>
        <item x="5"/>
        <item x="21"/>
        <item m="1" x="36"/>
        <item m="1" x="30"/>
        <item x="8"/>
        <item x="10"/>
        <item x="2"/>
        <item m="1" x="42"/>
        <item x="18"/>
        <item m="1" x="34"/>
        <item x="7"/>
        <item m="1" x="33"/>
        <item x="22"/>
        <item x="19"/>
        <item m="1" x="28"/>
        <item m="1" x="32"/>
        <item m="1" x="37"/>
        <item x="11"/>
        <item m="1" x="44"/>
        <item m="1" x="40"/>
        <item x="12"/>
        <item m="1" x="39"/>
        <item x="9"/>
        <item x="13"/>
        <item x="3"/>
        <item m="1" x="25"/>
        <item m="1" x="27"/>
        <item m="1" x="24"/>
        <item m="1" x="35"/>
        <item x="17"/>
        <item m="1" x="29"/>
        <item x="20"/>
        <item x="4"/>
        <item m="1" x="45"/>
        <item t="default"/>
      </items>
    </pivotField>
    <pivotField axis="axisPage" multipleItemSelectionAllowed="1" showAll="0" defaultSubtotal="0">
      <items count="14">
        <item x="0"/>
        <item x="1"/>
        <item m="1" x="10"/>
        <item h="1" m="1" x="8"/>
        <item m="1" x="6"/>
        <item m="1" x="5"/>
        <item h="1" m="1" x="12"/>
        <item m="1" x="9"/>
        <item h="1" m="1" x="13"/>
        <item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3"/>
    </i>
    <i>
      <x v="4"/>
    </i>
    <i>
      <x v="12"/>
    </i>
    <i>
      <x v="16"/>
    </i>
    <i>
      <x v="17"/>
    </i>
    <i>
      <x v="18"/>
    </i>
    <i>
      <x v="22"/>
    </i>
    <i>
      <x v="32"/>
    </i>
    <i>
      <x v="34"/>
    </i>
    <i>
      <x v="35"/>
    </i>
    <i>
      <x v="36"/>
    </i>
    <i>
      <x v="44"/>
    </i>
  </rowItems>
  <colFields count="1">
    <field x="-2"/>
  </colFields>
  <colItems count="2">
    <i>
      <x/>
    </i>
    <i i="1">
      <x v="1"/>
    </i>
  </colItems>
  <pageFields count="4">
    <pageField fld="0" hier="-1"/>
    <pageField fld="142" item="0" hier="-1"/>
    <pageField fld="4" item="0" hier="-1"/>
    <pageField fld="6" hier="-1"/>
  </pageFields>
  <dataFields count="2">
    <dataField name="  % Hygiene Coverage" fld="149" baseField="0" baseItem="0" numFmtId="1"/>
    <dataField name="  % Hygiene Gap" fld="148" baseField="0" baseItem="0" numFmtId="1"/>
  </dataFields>
  <formats count="11">
    <format dxfId="359">
      <pivotArea type="all" dataOnly="0" outline="0" fieldPosition="0"/>
    </format>
    <format dxfId="358">
      <pivotArea outline="0" collapsedLevelsAreSubtotals="1" fieldPosition="0"/>
    </format>
    <format dxfId="357">
      <pivotArea field="4" type="button" dataOnly="0" labelOnly="1" outline="0" axis="axisPage" fieldPosition="2"/>
    </format>
    <format dxfId="356">
      <pivotArea type="all" dataOnly="0" outline="0" fieldPosition="0"/>
    </format>
    <format dxfId="355">
      <pivotArea outline="0" collapsedLevelsAreSubtotals="1" fieldPosition="0"/>
    </format>
    <format dxfId="354">
      <pivotArea outline="0" collapsedLevelsAreSubtotals="1" fieldPosition="0"/>
    </format>
    <format dxfId="353">
      <pivotArea field="5" type="button" dataOnly="0" labelOnly="1" outline="0" axis="axisRow" fieldPosition="0"/>
    </format>
    <format dxfId="352">
      <pivotArea field="5" type="button" dataOnly="0" labelOnly="1" outline="0" axis="axisRow" fieldPosition="0"/>
    </format>
    <format dxfId="351">
      <pivotArea field="5" type="button" dataOnly="0" labelOnly="1" outline="0" axis="axisRow" fieldPosition="0"/>
    </format>
    <format dxfId="350">
      <pivotArea field="4" type="button" dataOnly="0" labelOnly="1" outline="0" axis="axisPage" fieldPosition="2"/>
    </format>
    <format dxfId="349">
      <pivotArea dataOnly="0" labelOnly="1" outline="0" fieldPosition="0">
        <references count="2">
          <reference field="4" count="1">
            <x v="0"/>
          </reference>
          <reference field="142"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27723737-4FFD-4B1B-B781-1F806A8DE381}" name="PivotTable9"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location ref="B250:D254" firstHeaderRow="0" firstDataRow="1" firstDataCol="1" rowPageCount="3" colPageCount="1"/>
  <pivotFields count="155">
    <pivotField axis="axisPage" subtotalTop="0" multipleItemSelectionAllowed="1" showAll="0">
      <items count="26">
        <item h="1" m="1" x="23"/>
        <item m="1" x="9"/>
        <item m="1" x="24"/>
        <item h="1" m="1" x="16"/>
        <item m="1" x="5"/>
        <item h="1" m="1" x="3"/>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showAll="0">
      <items count="7">
        <item x="0"/>
        <item h="1" m="1" x="3"/>
        <item h="1" x="1"/>
        <item h="1" m="1" x="2"/>
        <item h="1" m="1" x="5"/>
        <item h="1" m="1" x="4"/>
        <item t="default"/>
      </items>
    </pivotField>
    <pivotField subtotalTop="0" showAll="0"/>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68"/>
        <item m="1" x="337"/>
        <item m="1" x="51"/>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76"/>
        <item m="1" x="207"/>
        <item m="1" x="55"/>
        <item m="1" x="124"/>
        <item m="1" x="126"/>
        <item m="1" x="282"/>
        <item m="1" x="151"/>
        <item m="1" x="106"/>
        <item m="1" x="257"/>
        <item m="1" x="202"/>
        <item m="1" x="322"/>
        <item m="1" x="219"/>
        <item m="1" x="78"/>
        <item m="1" x="66"/>
        <item m="1" x="127"/>
        <item m="1" x="52"/>
        <item m="1" x="27"/>
        <item m="1" x="242"/>
        <item m="1" x="260"/>
        <item m="1" x="284"/>
        <item m="1" x="113"/>
        <item m="1" x="326"/>
        <item m="1" x="22"/>
        <item m="1" x="28"/>
        <item m="1" x="281"/>
        <item m="1" x="103"/>
        <item m="1" x="141"/>
        <item m="1" x="223"/>
        <item m="1" x="79"/>
        <item m="1" x="179"/>
        <item m="1" x="158"/>
        <item m="1" x="39"/>
        <item m="1" x="244"/>
        <item m="1" x="252"/>
        <item m="1" x="262"/>
        <item m="1" x="297"/>
        <item m="1" x="312"/>
        <item m="1" x="196"/>
        <item m="1" x="149"/>
        <item m="1" x="54"/>
        <item m="1" x="41"/>
        <item m="1" x="5"/>
        <item m="1" x="31"/>
        <item m="1" x="330"/>
        <item m="1" x="56"/>
        <item m="1" x="238"/>
        <item m="1" x="14"/>
        <item m="1" x="156"/>
        <item m="1" x="273"/>
        <item m="1" x="181"/>
        <item m="1" x="3"/>
        <item m="1" x="8"/>
        <item m="1" x="130"/>
        <item m="1" x="280"/>
        <item m="1" x="217"/>
        <item m="1" x="58"/>
        <item m="1" x="194"/>
        <item m="1" x="178"/>
        <item m="1" x="18"/>
        <item m="1" x="86"/>
        <item m="1" x="43"/>
        <item m="1" x="222"/>
        <item m="1" x="154"/>
        <item m="1" x="200"/>
        <item m="1" x="192"/>
        <item m="1" x="88"/>
        <item m="1" x="197"/>
        <item m="1" x="226"/>
        <item m="1" x="203"/>
        <item m="1" x="259"/>
        <item m="1" x="301"/>
        <item m="1" x="309"/>
        <item m="1" x="48"/>
        <item m="1" x="57"/>
        <item m="1" x="248"/>
        <item m="1" x="110"/>
        <item m="1" x="148"/>
        <item m="1" x="171"/>
        <item m="1" x="218"/>
        <item m="1" x="245"/>
        <item m="1" x="293"/>
        <item m="1" x="327"/>
        <item m="1" x="80"/>
        <item m="1" x="161"/>
        <item m="1" x="136"/>
        <item m="1" x="185"/>
        <item m="1" x="268"/>
        <item m="1" x="37"/>
        <item m="1" x="144"/>
        <item m="1" x="109"/>
        <item m="1" x="307"/>
        <item m="1" x="92"/>
        <item m="1" x="121"/>
        <item m="1" x="324"/>
        <item m="1" x="23"/>
        <item m="1" x="21"/>
        <item m="1" x="140"/>
        <item m="1" x="173"/>
        <item m="1" x="236"/>
        <item m="1" x="198"/>
        <item m="1" x="247"/>
        <item m="1" x="269"/>
        <item m="1" x="45"/>
        <item m="1" x="81"/>
        <item m="1" x="145"/>
        <item m="1" x="167"/>
        <item m="1" x="213"/>
        <item m="1" x="235"/>
        <item m="1" x="266"/>
        <item m="1" x="264"/>
        <item m="1" x="82"/>
        <item m="1" x="32"/>
        <item m="1" x="339"/>
        <item m="1" x="100"/>
        <item m="1" x="317"/>
        <item m="1" x="87"/>
        <item m="1" x="6"/>
        <item m="1" x="25"/>
        <item m="1" x="46"/>
        <item m="1" x="225"/>
        <item m="1" x="234"/>
        <item m="1" x="237"/>
        <item m="1" x="131"/>
        <item m="1" x="254"/>
        <item m="1" x="275"/>
        <item m="1" x="276"/>
        <item m="1" x="61"/>
        <item m="1" x="99"/>
        <item m="1" x="184"/>
        <item m="1" x="50"/>
        <item m="1" x="71"/>
        <item m="1" x="112"/>
        <item m="1" x="164"/>
        <item m="1" x="220"/>
        <item m="1" x="72"/>
        <item m="1" x="250"/>
        <item m="1" x="290"/>
        <item m="1" x="205"/>
        <item m="1" x="216"/>
        <item m="1" x="188"/>
        <item m="1" x="305"/>
        <item m="1" x="299"/>
        <item m="1" x="35"/>
        <item m="1" x="210"/>
        <item m="1" x="318"/>
        <item m="1" x="108"/>
        <item m="1" x="199"/>
        <item m="1" x="340"/>
        <item m="1" x="75"/>
        <item m="1" x="104"/>
        <item m="1" x="313"/>
        <item m="1" x="283"/>
        <item m="1" x="180"/>
        <item m="1" x="120"/>
        <item m="1" x="9"/>
        <item m="1" x="261"/>
        <item m="1" x="60"/>
        <item m="1" x="47"/>
        <item m="1" x="176"/>
        <item m="1" x="229"/>
        <item m="1" x="16"/>
        <item m="1" x="308"/>
        <item m="1" x="174"/>
        <item m="1" x="95"/>
        <item m="1" x="224"/>
        <item m="1" x="137"/>
        <item m="1" x="190"/>
        <item m="1" x="232"/>
        <item m="1" x="15"/>
        <item m="1" x="63"/>
        <item m="1" x="74"/>
        <item m="1" x="230"/>
        <item m="1" x="329"/>
        <item m="1" x="62"/>
        <item m="1" x="208"/>
        <item m="1" x="117"/>
        <item m="1" x="204"/>
        <item m="1" x="53"/>
        <item m="1" x="214"/>
        <item m="1" x="97"/>
        <item m="1" x="193"/>
        <item m="1" x="274"/>
        <item m="1" x="306"/>
        <item m="1" x="258"/>
        <item m="1" x="286"/>
        <item m="1" x="288"/>
        <item m="1" x="119"/>
        <item m="1" x="272"/>
        <item m="1" x="49"/>
        <item m="1" x="212"/>
        <item m="1" x="246"/>
        <item m="1" x="138"/>
        <item m="1" x="201"/>
        <item m="1" x="241"/>
        <item m="1" x="166"/>
        <item m="1" x="316"/>
        <item m="1" x="4"/>
        <item m="1" x="94"/>
        <item m="1" x="11"/>
        <item m="1" x="42"/>
        <item m="1" x="122"/>
        <item m="1" x="165"/>
        <item m="1" x="333"/>
        <item m="1" x="142"/>
        <item m="1" x="101"/>
        <item m="1" x="334"/>
        <item m="1" x="332"/>
        <item m="1" x="315"/>
        <item m="1" x="84"/>
        <item m="1" x="338"/>
        <item m="1" x="90"/>
        <item m="1" x="29"/>
        <item m="1" x="44"/>
        <item m="1" x="170"/>
        <item m="1" x="139"/>
        <item m="1" x="30"/>
        <item m="1" x="328"/>
        <item m="1" x="93"/>
        <item m="1" x="187"/>
        <item m="1" x="105"/>
        <item m="1" x="289"/>
        <item m="1" x="186"/>
        <item m="1" x="177"/>
        <item m="1" x="267"/>
        <item m="1" x="98"/>
        <item m="1" x="255"/>
        <item m="1" x="91"/>
        <item m="1" x="111"/>
        <item m="1" x="263"/>
        <item m="1" x="160"/>
        <item m="1" x="189"/>
        <item m="1" x="228"/>
        <item m="1" x="34"/>
        <item m="1" x="59"/>
        <item m="1" x="285"/>
        <item m="1" x="155"/>
        <item m="1" x="12"/>
        <item m="1" x="277"/>
        <item m="1" x="67"/>
        <item m="1" x="319"/>
        <item m="1" x="162"/>
        <item m="1" x="129"/>
        <item m="1" x="331"/>
        <item m="1" x="182"/>
        <item m="1" x="70"/>
        <item m="1" x="209"/>
        <item m="1" x="153"/>
        <item m="1" x="251"/>
        <item m="1" x="239"/>
        <item m="1" x="287"/>
        <item m="1" x="249"/>
        <item m="1" x="256"/>
        <item m="1" x="243"/>
        <item m="1" x="183"/>
        <item m="1" x="7"/>
        <item m="1" x="325"/>
        <item m="1" x="215"/>
        <item m="1" x="123"/>
        <item m="1" x="133"/>
        <item m="1" x="302"/>
        <item m="1" x="85"/>
        <item m="1" x="291"/>
        <item m="1" x="278"/>
        <item m="1" x="265"/>
        <item m="1" x="175"/>
        <item m="1" x="336"/>
        <item m="1" x="195"/>
        <item m="1" x="10"/>
        <item m="1" x="146"/>
        <item m="1" x="304"/>
        <item m="1" x="300"/>
        <item m="1" x="116"/>
        <item m="1" x="118"/>
        <item m="1" x="168"/>
        <item m="1" x="320"/>
        <item m="1" x="292"/>
        <item m="1" x="253"/>
        <item m="1" x="206"/>
        <item m="1" x="152"/>
        <item m="1" x="128"/>
        <item m="1" x="314"/>
        <item m="1" x="115"/>
        <item m="1" x="296"/>
        <item m="1" x="150"/>
        <item m="1" x="89"/>
        <item m="1" x="240"/>
        <item m="1" x="159"/>
        <item m="1" x="295"/>
        <item m="1" x="191"/>
        <item m="1" x="294"/>
        <item m="1" x="172"/>
        <item m="1" x="323"/>
        <item m="1" x="26"/>
        <item m="1" x="298"/>
        <item m="1" x="335"/>
        <item m="1" x="147"/>
        <item m="1" x="270"/>
        <item m="1" x="19"/>
        <item m="1" x="233"/>
        <item m="1" x="321"/>
        <item m="1" x="132"/>
        <item m="1" x="64"/>
        <item m="1" x="169"/>
        <item m="1" x="135"/>
        <item m="1" x="125"/>
        <item m="1" x="211"/>
        <item m="1" x="221"/>
        <item m="1" x="38"/>
        <item x="0"/>
        <item x="1"/>
        <item t="default"/>
      </items>
    </pivotField>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38"/>
  </rowFields>
  <rowItems count="4">
    <i>
      <x/>
    </i>
    <i r="1">
      <x v="339"/>
    </i>
    <i r="1">
      <x v="340"/>
    </i>
    <i t="default">
      <x/>
    </i>
  </rowItems>
  <colFields count="1">
    <field x="-2"/>
  </colFields>
  <colItems count="2">
    <i>
      <x/>
    </i>
    <i i="1">
      <x v="1"/>
    </i>
  </colItems>
  <pageFields count="3">
    <pageField fld="0" hier="-1"/>
    <pageField fld="142" item="0" hier="-1"/>
    <pageField fld="6" hier="-1"/>
  </pageFields>
  <dataFields count="2">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1">
    <format dxfId="370">
      <pivotArea type="all" dataOnly="0" outline="0" fieldPosition="0"/>
    </format>
    <format dxfId="369">
      <pivotArea type="all" dataOnly="0" outline="0" fieldPosition="0"/>
    </format>
    <format dxfId="368">
      <pivotArea outline="0" collapsedLevelsAreSubtotals="1" fieldPosition="0"/>
    </format>
    <format dxfId="367">
      <pivotArea field="4" type="button" dataOnly="0" labelOnly="1" outline="0" axis="axisRow" fieldPosition="0"/>
    </format>
    <format dxfId="366">
      <pivotArea dataOnly="0" labelOnly="1" fieldPosition="0">
        <references count="1">
          <reference field="4" count="0"/>
        </references>
      </pivotArea>
    </format>
    <format dxfId="365">
      <pivotArea dataOnly="0" labelOnly="1" grandRow="1" outline="0" fieldPosition="0"/>
    </format>
    <format dxfId="364">
      <pivotArea type="all" dataOnly="0" outline="0" fieldPosition="0"/>
    </format>
    <format dxfId="363">
      <pivotArea outline="0" collapsedLevelsAreSubtotals="1" fieldPosition="0"/>
    </format>
    <format dxfId="362">
      <pivotArea field="4" type="button" dataOnly="0" labelOnly="1" outline="0" axis="axisRow" fieldPosition="0"/>
    </format>
    <format dxfId="361">
      <pivotArea dataOnly="0" labelOnly="1" fieldPosition="0">
        <references count="1">
          <reference field="4" count="0"/>
        </references>
      </pivotArea>
    </format>
    <format dxfId="360">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197A2615-AF6E-4D96-B23D-A92D9FC660C2}" name="PivotTable4" cacheId="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0" rowHeaderCaption="State">
  <location ref="C419:F424" firstHeaderRow="1" firstDataRow="2" firstDataCol="1" rowPageCount="3" colPageCount="1"/>
  <pivotFields count="155">
    <pivotField axis="axisCol" subtotalTop="0" multipleItemSelectionAllowed="1" showAll="0">
      <items count="26">
        <item m="1" x="23"/>
        <item m="1" x="9"/>
        <item m="1" x="24"/>
        <item m="1" x="16"/>
        <item m="1" x="5"/>
        <item m="1" x="3"/>
        <item m="1" x="22"/>
        <item m="1" x="18"/>
        <item m="1" x="20"/>
        <item m="1" x="21"/>
        <item m="1" x="12"/>
        <item m="1" x="14"/>
        <item m="1" x="17"/>
        <item m="1" x="19"/>
        <item m="1" x="7"/>
        <item m="1" x="10"/>
        <item m="1" x="13"/>
        <item m="1" x="15"/>
        <item m="1" x="4"/>
        <item m="1" x="6"/>
        <item m="1" x="8"/>
        <item m="1" x="11"/>
        <item x="0"/>
        <item x="1"/>
        <item x="2"/>
        <item t="default"/>
      </items>
    </pivotField>
    <pivotField showAll="0" defaultSubtotal="0"/>
    <pivotField showAll="0" defaultSubtotal="0"/>
    <pivotField subtotalTop="0" showAll="0"/>
    <pivotField axis="axisPage" subtotalTop="0" multipleItemSelectionAllowed="1" showAll="0">
      <items count="7">
        <item h="1" x="0"/>
        <item m="1" x="3"/>
        <item x="1"/>
        <item m="1" x="2"/>
        <item h="1" m="1" x="5"/>
        <item h="1" m="1" x="4"/>
        <item t="default"/>
      </items>
    </pivotField>
    <pivotField subtotalTop="0" showAll="0"/>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1"/>
        <item n="Gap" h="1" x="0"/>
        <item h="1" m="1" x="4"/>
        <item h="1"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3">
    <i>
      <x v="22"/>
    </i>
    <i>
      <x v="23"/>
    </i>
    <i>
      <x v="24"/>
    </i>
  </colItems>
  <pageFields count="3">
    <pageField fld="142" hier="-1"/>
    <pageField fld="6" hier="-1"/>
    <pageField fld="4" hier="-1"/>
  </pageFields>
  <dataFields count="4">
    <dataField name=" % of affected people surveyed who report feeling satistfied with the latrine design and sanitation service" fld="71" subtotal="average" baseField="0" baseItem="1"/>
    <dataField name="% of affected people surveyed who report feeling satistfied with the water point design and water service" fld="72" subtotal="average" baseField="0" baseItem="1"/>
    <dataField name="% of complaints received that result in timely corrective action and feedback to the community" fld="74" subtotal="average" baseField="0" baseItem="1"/>
    <dataField name="% of affected people surveyed who report feeling informed about the different WASH services available to them" fld="130" subtotal="average" baseField="0" baseItem="3"/>
  </dataFields>
  <formats count="14">
    <format dxfId="384">
      <pivotArea type="all" dataOnly="0" outline="0" fieldPosition="0"/>
    </format>
    <format dxfId="383">
      <pivotArea outline="0" collapsedLevelsAreSubtotals="1" fieldPosition="0"/>
    </format>
    <format dxfId="382">
      <pivotArea field="4" type="button" dataOnly="0" labelOnly="1" outline="0" axis="axisPage" fieldPosition="2"/>
    </format>
    <format dxfId="381">
      <pivotArea dataOnly="0" labelOnly="1" grandRow="1" outline="0" fieldPosition="0"/>
    </format>
    <format dxfId="380">
      <pivotArea type="all" dataOnly="0" outline="0" fieldPosition="0"/>
    </format>
    <format dxfId="379">
      <pivotArea outline="0" collapsedLevelsAreSubtotals="1" fieldPosition="0"/>
    </format>
    <format dxfId="378">
      <pivotArea type="origin" dataOnly="0" labelOnly="1" outline="0" fieldPosition="0"/>
    </format>
    <format dxfId="377">
      <pivotArea field="142" type="button" dataOnly="0" labelOnly="1" outline="0" axis="axisPage" fieldPosition="0"/>
    </format>
    <format dxfId="376">
      <pivotArea type="topRight" dataOnly="0" labelOnly="1" outline="0" fieldPosition="0"/>
    </format>
    <format dxfId="375">
      <pivotArea dataOnly="0" labelOnly="1" fieldPosition="0">
        <references count="1">
          <reference field="142" count="0"/>
        </references>
      </pivotArea>
    </format>
    <format dxfId="374">
      <pivotArea type="all" dataOnly="0" outline="0" fieldPosition="0"/>
    </format>
    <format dxfId="373">
      <pivotArea outline="0" collapsedLevelsAreSubtotals="1" fieldPosition="0"/>
    </format>
    <format dxfId="372">
      <pivotArea field="4" type="button" dataOnly="0" labelOnly="1" outline="0" axis="axisPage" fieldPosition="2"/>
    </format>
    <format dxfId="371">
      <pivotArea outline="0" collapsedLevelsAreSubtotals="1" fieldPosition="0"/>
    </format>
  </formats>
  <chartFormats count="21">
    <chartFormat chart="18" format="0" series="1">
      <pivotArea type="data" outline="0" fieldPosition="0">
        <references count="2">
          <reference field="4294967294" count="1" selected="0">
            <x v="0"/>
          </reference>
          <reference field="0" count="1" selected="0">
            <x v="18"/>
          </reference>
        </references>
      </pivotArea>
    </chartFormat>
    <chartFormat chart="18" format="1" series="1">
      <pivotArea type="data" outline="0" fieldPosition="0">
        <references count="2">
          <reference field="4294967294" count="1" selected="0">
            <x v="0"/>
          </reference>
          <reference field="0" count="1" selected="0">
            <x v="19"/>
          </reference>
        </references>
      </pivotArea>
    </chartFormat>
    <chartFormat chart="18" format="2" series="1">
      <pivotArea type="data" outline="0" fieldPosition="0">
        <references count="2">
          <reference field="4294967294" count="1" selected="0">
            <x v="0"/>
          </reference>
          <reference field="0" count="1" selected="0">
            <x v="20"/>
          </reference>
        </references>
      </pivotArea>
    </chartFormat>
    <chartFormat chart="20" format="6" series="1">
      <pivotArea type="data" outline="0" fieldPosition="0">
        <references count="2">
          <reference field="4294967294" count="1" selected="0">
            <x v="0"/>
          </reference>
          <reference field="0" count="1" selected="0">
            <x v="18"/>
          </reference>
        </references>
      </pivotArea>
    </chartFormat>
    <chartFormat chart="20" format="7" series="1">
      <pivotArea type="data" outline="0" fieldPosition="0">
        <references count="2">
          <reference field="4294967294" count="1" selected="0">
            <x v="0"/>
          </reference>
          <reference field="0" count="1" selected="0">
            <x v="19"/>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18" format="3" series="1">
      <pivotArea type="data" outline="0" fieldPosition="0">
        <references count="2">
          <reference field="4294967294" count="1" selected="0">
            <x v="0"/>
          </reference>
          <reference field="0" count="1" selected="0">
            <x v="21"/>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18" format="4"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0"/>
          </reference>
        </references>
      </pivotArea>
    </chartFormat>
    <chartFormat chart="18" format="5" series="1">
      <pivotArea type="data" outline="0" fieldPosition="0">
        <references count="2">
          <reference field="4294967294" count="1" selected="0">
            <x v="0"/>
          </reference>
          <reference field="0" count="1" selected="0">
            <x v="23"/>
          </reference>
        </references>
      </pivotArea>
    </chartFormat>
    <chartFormat chart="20" format="11" series="1">
      <pivotArea type="data" outline="0" fieldPosition="0">
        <references count="2">
          <reference field="4294967294" count="1" selected="0">
            <x v="0"/>
          </reference>
          <reference field="0" count="1" selected="0">
            <x v="23"/>
          </reference>
        </references>
      </pivotArea>
    </chartFormat>
    <chartFormat chart="18" format="6" series="1">
      <pivotArea type="data" outline="0" fieldPosition="0">
        <references count="2">
          <reference field="4294967294" count="1" selected="0">
            <x v="0"/>
          </reference>
          <reference field="0" count="1" selected="0">
            <x v="22"/>
          </reference>
        </references>
      </pivotArea>
    </chartFormat>
    <chartFormat chart="20" format="12">
      <pivotArea type="data" outline="0" fieldPosition="0">
        <references count="2">
          <reference field="4294967294" count="1" selected="0">
            <x v="0"/>
          </reference>
          <reference field="0" count="1" selected="0">
            <x v="22"/>
          </reference>
        </references>
      </pivotArea>
    </chartFormat>
    <chartFormat chart="20" format="13" series="1">
      <pivotArea type="data" outline="0" fieldPosition="0">
        <references count="2">
          <reference field="4294967294" count="1" selected="0">
            <x v="0"/>
          </reference>
          <reference field="0" count="1" selected="0">
            <x v="22"/>
          </reference>
        </references>
      </pivotArea>
    </chartFormat>
    <chartFormat chart="24" format="0" series="1">
      <pivotArea type="data" outline="0" fieldPosition="0">
        <references count="2">
          <reference field="4294967294" count="1" selected="0">
            <x v="0"/>
          </reference>
          <reference field="0" count="1" selected="0">
            <x v="22"/>
          </reference>
        </references>
      </pivotArea>
    </chartFormat>
    <chartFormat chart="24" format="1" series="1">
      <pivotArea type="data" outline="0" fieldPosition="0">
        <references count="2">
          <reference field="4294967294" count="1" selected="0">
            <x v="0"/>
          </reference>
          <reference field="0" count="1" selected="0">
            <x v="23"/>
          </reference>
        </references>
      </pivotArea>
    </chartFormat>
    <chartFormat chart="29" format="8" series="1">
      <pivotArea type="data" outline="0" fieldPosition="0">
        <references count="2">
          <reference field="4294967294" count="1" selected="0">
            <x v="0"/>
          </reference>
          <reference field="0" count="1" selected="0">
            <x v="22"/>
          </reference>
        </references>
      </pivotArea>
    </chartFormat>
    <chartFormat chart="29" format="9" series="1">
      <pivotArea type="data" outline="0" fieldPosition="0">
        <references count="2">
          <reference field="4294967294" count="1" selected="0">
            <x v="0"/>
          </reference>
          <reference field="0" count="1" selected="0">
            <x v="23"/>
          </reference>
        </references>
      </pivotArea>
    </chartFormat>
    <chartFormat chart="24" format="2" series="1">
      <pivotArea type="data" outline="0" fieldPosition="0">
        <references count="2">
          <reference field="4294967294" count="1" selected="0">
            <x v="0"/>
          </reference>
          <reference field="0" count="1" selected="0">
            <x v="24"/>
          </reference>
        </references>
      </pivotArea>
    </chartFormat>
    <chartFormat chart="29" format="10" series="1">
      <pivotArea type="data" outline="0" fieldPosition="0">
        <references count="2">
          <reference field="4294967294" count="1" selected="0">
            <x v="0"/>
          </reference>
          <reference field="0" count="1" selected="0">
            <x v="24"/>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K_Traffic" cacheId="4" applyNumberFormats="0" applyBorderFormats="0" applyFontFormats="0" applyPatternFormats="0" applyAlignmentFormats="0" applyWidthHeightFormats="1" dataCaption="Values" updatedVersion="7" minRefreshableVersion="3" itemPrintTitles="1" createdVersion="6" indent="0" outline="1" outlineData="1" multipleFieldFilters="0" rowHeaderCaption="Township">
  <location ref="B10:G24" firstHeaderRow="0" firstDataRow="1" firstDataCol="1" rowPageCount="4" colPageCount="1"/>
  <pivotFields count="155">
    <pivotField axis="axisPage" subtotalTop="0" multipleItemSelectionAllowed="1" showAll="0">
      <items count="26">
        <item m="1" x="23"/>
        <item m="1" x="9"/>
        <item h="1" m="1" x="16"/>
        <item m="1" x="3"/>
        <item m="1" x="24"/>
        <item m="1" x="5"/>
        <item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sortType="ascending">
      <items count="47">
        <item m="1" x="31"/>
        <item x="0"/>
        <item m="1" x="43"/>
        <item m="1" x="35"/>
        <item x="6"/>
        <item x="1"/>
        <item x="23"/>
        <item x="16"/>
        <item x="4"/>
        <item x="14"/>
        <item x="20"/>
        <item m="1" x="38"/>
        <item m="1" x="26"/>
        <item x="15"/>
        <item m="1" x="45"/>
        <item x="17"/>
        <item m="1" x="41"/>
        <item x="5"/>
        <item x="21"/>
        <item m="1" x="36"/>
        <item m="1" x="30"/>
        <item x="8"/>
        <item x="10"/>
        <item m="1" x="25"/>
        <item x="2"/>
        <item m="1" x="42"/>
        <item x="18"/>
        <item m="1" x="34"/>
        <item x="7"/>
        <item m="1" x="33"/>
        <item x="22"/>
        <item m="1" x="29"/>
        <item x="19"/>
        <item m="1" x="27"/>
        <item m="1" x="28"/>
        <item m="1" x="32"/>
        <item m="1" x="37"/>
        <item x="11"/>
        <item m="1" x="44"/>
        <item m="1" x="40"/>
        <item x="12"/>
        <item m="1" x="39"/>
        <item x="9"/>
        <item x="13"/>
        <item x="3"/>
        <item m="1" x="24"/>
        <item t="default"/>
      </items>
    </pivotField>
    <pivotField axis="axisPage" multipleItemSelectionAllowed="1" showAll="0" defaultSubtotal="0">
      <items count="14">
        <item x="0"/>
        <item x="1"/>
        <item m="1" x="10"/>
        <item m="1" x="6"/>
        <item h="1" m="1" x="5"/>
        <item h="1" m="1" x="12"/>
        <item h="1" m="1" x="9"/>
        <item h="1" m="1" x="13"/>
        <item h="1" m="1" x="7"/>
        <item m="1" x="8"/>
        <item h="1" m="1" x="11"/>
        <item h="1" m="1" x="3"/>
        <item h="1" m="1" x="4"/>
        <item x="2"/>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1"/>
        <item h="1"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14">
    <i>
      <x v="1"/>
    </i>
    <i>
      <x v="4"/>
    </i>
    <i>
      <x v="5"/>
    </i>
    <i>
      <x v="8"/>
    </i>
    <i>
      <x v="17"/>
    </i>
    <i>
      <x v="21"/>
    </i>
    <i>
      <x v="22"/>
    </i>
    <i>
      <x v="24"/>
    </i>
    <i>
      <x v="28"/>
    </i>
    <i>
      <x v="40"/>
    </i>
    <i>
      <x v="42"/>
    </i>
    <i>
      <x v="43"/>
    </i>
    <i>
      <x v="44"/>
    </i>
    <i t="grand">
      <x/>
    </i>
  </rowItems>
  <colFields count="1">
    <field x="-2"/>
  </colFields>
  <colItems count="5">
    <i>
      <x/>
    </i>
    <i i="1">
      <x v="1"/>
    </i>
    <i i="2">
      <x v="2"/>
    </i>
    <i i="3">
      <x v="3"/>
    </i>
    <i i="4">
      <x v="4"/>
    </i>
  </colItems>
  <pageFields count="4">
    <pageField fld="0" hier="-1"/>
    <pageField fld="142" hier="-1"/>
    <pageField fld="4" item="0" hier="-1"/>
    <pageField fld="6" hier="-1"/>
  </pageFields>
  <dataFields count="5">
    <dataField name="# of sites" fld="7" subtotal="count" baseField="0" baseItem="0"/>
    <dataField name="PoP " fld="9" baseField="0" baseItem="0" numFmtId="164"/>
    <dataField name=" % Water GAP" fld="151" baseField="0" baseItem="0" numFmtId="9"/>
    <dataField name=" % Sanitation GAP" fld="153" baseField="0" baseItem="0" numFmtId="9"/>
    <dataField name=" % Hygiene Gap" fld="148" baseField="0" baseItem="0" numFmtId="9"/>
  </dataFields>
  <formats count="35">
    <format dxfId="419">
      <pivotArea type="all" dataOnly="0" outline="0" fieldPosition="0"/>
    </format>
    <format dxfId="418">
      <pivotArea outline="0" collapsedLevelsAreSubtotals="1" fieldPosition="0"/>
    </format>
    <format dxfId="417">
      <pivotArea field="5" type="button" dataOnly="0" labelOnly="1" outline="0" axis="axisRow" fieldPosition="0"/>
    </format>
    <format dxfId="416">
      <pivotArea dataOnly="0" labelOnly="1" outline="0" axis="axisValues" fieldPosition="0"/>
    </format>
    <format dxfId="415">
      <pivotArea dataOnly="0" labelOnly="1" fieldPosition="0">
        <references count="1">
          <reference field="5" count="0"/>
        </references>
      </pivotArea>
    </format>
    <format dxfId="414">
      <pivotArea dataOnly="0" labelOnly="1" grandRow="1" outline="0" fieldPosition="0"/>
    </format>
    <format dxfId="413">
      <pivotArea dataOnly="0" labelOnly="1" outline="0" axis="axisValues" fieldPosition="0"/>
    </format>
    <format dxfId="412">
      <pivotArea type="all" dataOnly="0" outline="0" fieldPosition="0"/>
    </format>
    <format dxfId="411">
      <pivotArea field="5" type="button" dataOnly="0" labelOnly="1" outline="0" axis="axisRow" fieldPosition="0"/>
    </format>
    <format dxfId="410">
      <pivotArea dataOnly="0" labelOnly="1" outline="0" axis="axisValues" fieldPosition="0"/>
    </format>
    <format dxfId="409">
      <pivotArea dataOnly="0" labelOnly="1" fieldPosition="0">
        <references count="1">
          <reference field="5" count="0"/>
        </references>
      </pivotArea>
    </format>
    <format dxfId="408">
      <pivotArea dataOnly="0" labelOnly="1" outline="0" axis="axisValues" fieldPosition="0"/>
    </format>
    <format dxfId="407">
      <pivotArea field="5" type="button" dataOnly="0" labelOnly="1" outline="0" axis="axisRow" fieldPosition="0"/>
    </format>
    <format dxfId="406">
      <pivotArea type="all" dataOnly="0" outline="0" fieldPosition="0"/>
    </format>
    <format dxfId="405">
      <pivotArea field="5" type="button" dataOnly="0" labelOnly="1" outline="0" axis="axisRow" fieldPosition="0"/>
    </format>
    <format dxfId="404">
      <pivotArea dataOnly="0" labelOnly="1" fieldPosition="0">
        <references count="1">
          <reference field="5" count="0"/>
        </references>
      </pivotArea>
    </format>
    <format dxfId="403">
      <pivotArea dataOnly="0" labelOnly="1" outline="0" fieldPosition="0">
        <references count="1">
          <reference field="4294967294" count="1">
            <x v="1"/>
          </reference>
        </references>
      </pivotArea>
    </format>
    <format dxfId="402">
      <pivotArea type="all" dataOnly="0" outline="0" fieldPosition="0"/>
    </format>
    <format dxfId="401">
      <pivotArea outline="0" collapsedLevelsAreSubtotals="1" fieldPosition="0"/>
    </format>
    <format dxfId="400">
      <pivotArea field="5" type="button" dataOnly="0" labelOnly="1" outline="0" axis="axisRow" fieldPosition="0"/>
    </format>
    <format dxfId="399">
      <pivotArea dataOnly="0" labelOnly="1" fieldPosition="0">
        <references count="1">
          <reference field="5" count="0"/>
        </references>
      </pivotArea>
    </format>
    <format dxfId="398">
      <pivotArea dataOnly="0" labelOnly="1" outline="0" fieldPosition="0">
        <references count="1">
          <reference field="4294967294" count="1">
            <x v="1"/>
          </reference>
        </references>
      </pivotArea>
    </format>
    <format dxfId="397">
      <pivotArea field="5" type="button" dataOnly="0" labelOnly="1" outline="0" axis="axisRow" fieldPosition="0"/>
    </format>
    <format dxfId="396">
      <pivotArea dataOnly="0" labelOnly="1" outline="0" fieldPosition="0">
        <references count="1">
          <reference field="4294967294" count="1">
            <x v="1"/>
          </reference>
        </references>
      </pivotArea>
    </format>
    <format dxfId="395">
      <pivotArea outline="0" collapsedLevelsAreSubtotals="1" fieldPosition="0">
        <references count="1">
          <reference field="4294967294" count="1" selected="0">
            <x v="1"/>
          </reference>
        </references>
      </pivotArea>
    </format>
    <format dxfId="394">
      <pivotArea type="all" dataOnly="0" outline="0" fieldPosition="0"/>
    </format>
    <format dxfId="393">
      <pivotArea outline="0" collapsedLevelsAreSubtotals="1" fieldPosition="0"/>
    </format>
    <format dxfId="392">
      <pivotArea field="5" type="button" dataOnly="0" labelOnly="1" outline="0" axis="axisRow" fieldPosition="0"/>
    </format>
    <format dxfId="391">
      <pivotArea dataOnly="0" labelOnly="1" fieldPosition="0">
        <references count="1">
          <reference field="5" count="13">
            <x v="1"/>
            <x v="4"/>
            <x v="5"/>
            <x v="17"/>
            <x v="21"/>
            <x v="22"/>
            <x v="24"/>
            <x v="28"/>
            <x v="37"/>
            <x v="40"/>
            <x v="42"/>
            <x v="43"/>
            <x v="44"/>
          </reference>
        </references>
      </pivotArea>
    </format>
    <format dxfId="390">
      <pivotArea dataOnly="0" labelOnly="1" grandRow="1" outline="0" fieldPosition="0"/>
    </format>
    <format dxfId="389">
      <pivotArea dataOnly="0" labelOnly="1" outline="0" fieldPosition="0">
        <references count="1">
          <reference field="4294967294" count="1">
            <x v="1"/>
          </reference>
        </references>
      </pivotArea>
    </format>
    <format dxfId="388">
      <pivotArea field="4" type="button" dataOnly="0" labelOnly="1" outline="0" axis="axisPage" fieldPosition="2"/>
    </format>
    <format dxfId="387">
      <pivotArea dataOnly="0" labelOnly="1" outline="0" fieldPosition="0">
        <references count="2">
          <reference field="4" count="1">
            <x v="0"/>
          </reference>
          <reference field="142" count="1" selected="0">
            <x v="0"/>
          </reference>
        </references>
      </pivotArea>
    </format>
    <format dxfId="386">
      <pivotArea outline="0" collapsedLevelsAreSubtotals="1" fieldPosition="0">
        <references count="1">
          <reference field="4294967294" count="1" selected="0">
            <x v="3"/>
          </reference>
        </references>
      </pivotArea>
    </format>
    <format dxfId="385">
      <pivotArea outline="0" collapsedLevelsAreSubtotals="1" fieldPosition="0">
        <references count="1">
          <reference field="4294967294" count="1" selected="0">
            <x v="4"/>
          </reference>
        </references>
      </pivotArea>
    </format>
  </formats>
  <conditionalFormats count="1">
    <conditionalFormat priority="17">
      <pivotAreas count="1">
        <pivotArea type="data" outline="0" collapsedLevelsAreSubtotals="1" fieldPosition="0">
          <references count="1">
            <reference field="4294967294" count="3" selected="0">
              <x v="2"/>
              <x v="3"/>
              <x v="4"/>
            </reference>
          </references>
        </pivotArea>
      </pivotAreas>
    </conditionalFormat>
  </conditionalFormats>
  <chartFormats count="1">
    <chartFormat chart="1" format="7" series="1">
      <pivotArea type="data" outline="0" fieldPosition="0">
        <references count="1">
          <reference field="4294967294"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4"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8">
  <location ref="C318:L346" firstHeaderRow="0" firstDataRow="1" firstDataCol="4" rowPageCount="2" colPageCount="1"/>
  <pivotFields count="155">
    <pivotField axis="axisPage" compact="0" outline="0" subtotalTop="0" multipleItemSelectionAllowed="1" showAll="0" defaultSubtotal="0">
      <items count="25">
        <item m="1" x="23"/>
        <item m="1" x="9"/>
        <item m="1" x="24"/>
        <item m="1" x="16"/>
        <item m="1" x="5"/>
        <item m="1" x="3"/>
        <item m="1" x="22"/>
        <item m="1" x="18"/>
        <item m="1" x="20"/>
        <item m="1" x="21"/>
        <item m="1" x="12"/>
        <item m="1" x="14"/>
        <item m="1" x="17"/>
        <item m="1" x="19"/>
        <item h="1" m="1" x="7"/>
        <item h="1" m="1" x="10"/>
        <item h="1" m="1" x="13"/>
        <item m="1" x="15"/>
        <item h="1" m="1" x="4"/>
        <item h="1" m="1" x="6"/>
        <item h="1" m="1" x="8"/>
        <item m="1" x="11"/>
        <item h="1" x="0"/>
        <item h="1" x="1"/>
        <item x="2"/>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x="0"/>
        <item m="1" x="3"/>
        <item x="1"/>
        <item m="1" x="2"/>
        <item m="1" x="5"/>
        <item m="1" x="4"/>
        <item t="default"/>
      </items>
    </pivotField>
    <pivotField axis="axisRow" compact="0" outline="0" subtotalTop="0" showAll="0" defaultSubtotal="0">
      <items count="46">
        <item m="1" x="31"/>
        <item x="0"/>
        <item m="1" x="43"/>
        <item x="6"/>
        <item x="1"/>
        <item x="23"/>
        <item x="16"/>
        <item x="14"/>
        <item m="1" x="38"/>
        <item m="1" x="26"/>
        <item x="15"/>
        <item m="1" x="41"/>
        <item x="5"/>
        <item x="21"/>
        <item m="1" x="36"/>
        <item m="1" x="30"/>
        <item x="8"/>
        <item x="10"/>
        <item x="2"/>
        <item m="1" x="42"/>
        <item x="18"/>
        <item m="1" x="34"/>
        <item x="7"/>
        <item x="22"/>
        <item x="19"/>
        <item m="1" x="28"/>
        <item m="1" x="32"/>
        <item m="1" x="37"/>
        <item x="11"/>
        <item m="1" x="44"/>
        <item m="1" x="40"/>
        <item x="12"/>
        <item m="1" x="39"/>
        <item x="9"/>
        <item x="13"/>
        <item x="3"/>
        <item m="1" x="33"/>
        <item m="1" x="25"/>
        <item m="1" x="27"/>
        <item m="1" x="24"/>
        <item m="1" x="35"/>
        <item x="17"/>
        <item m="1" x="29"/>
        <item x="20"/>
        <item x="4"/>
        <item m="1" x="45"/>
      </items>
    </pivotField>
    <pivotField compact="0" outline="0" showAll="0" defaultSubtotal="0"/>
    <pivotField axis="axisRow" dataField="1" compact="0" outline="0" subtotalTop="0" showAll="0" defaultSubtotal="0">
      <items count="1068">
        <item m="1" x="740"/>
        <item x="2"/>
        <item x="3"/>
        <item x="4"/>
        <item x="5"/>
        <item x="6"/>
        <item m="1" x="362"/>
        <item m="1" x="608"/>
        <item m="1" x="277"/>
        <item m="1" x="318"/>
        <item m="1" x="582"/>
        <item m="1" x="701"/>
        <item m="1" x="716"/>
        <item m="1" x="490"/>
        <item m="1" x="320"/>
        <item m="1" x="975"/>
        <item m="1" x="879"/>
        <item m="1" x="332"/>
        <item m="1" x="763"/>
        <item m="1" x="544"/>
        <item m="1" x="917"/>
        <item m="1" x="858"/>
        <item m="1" x="940"/>
        <item m="1" x="962"/>
        <item m="1" x="400"/>
        <item m="1" x="838"/>
        <item m="1" x="435"/>
        <item m="1" x="452"/>
        <item m="1" x="450"/>
        <item m="1" x="358"/>
        <item x="7"/>
        <item m="1" x="1013"/>
        <item m="1" x="1053"/>
        <item m="1" x="774"/>
        <item m="1" x="502"/>
        <item m="1" x="387"/>
        <item x="8"/>
        <item m="1" x="436"/>
        <item m="1" x="915"/>
        <item m="1" x="868"/>
        <item m="1" x="932"/>
        <item m="1" x="266"/>
        <item m="1" x="373"/>
        <item m="1" x="595"/>
        <item m="1" x="831"/>
        <item m="1" x="832"/>
        <item m="1" x="591"/>
        <item m="1" x="566"/>
        <item m="1" x="430"/>
        <item x="10"/>
        <item m="1" x="1047"/>
        <item m="1" x="1003"/>
        <item m="1" x="771"/>
        <item x="12"/>
        <item m="1" x="969"/>
        <item m="1" x="761"/>
        <item m="1" x="792"/>
        <item m="1" x="239"/>
        <item m="1" x="262"/>
        <item x="13"/>
        <item m="1" x="942"/>
        <item m="1" x="471"/>
        <item m="1" x="385"/>
        <item m="1" x="467"/>
        <item x="14"/>
        <item m="1" x="658"/>
        <item m="1" x="821"/>
        <item m="1" x="220"/>
        <item m="1" x="767"/>
        <item m="1" x="1006"/>
        <item m="1" x="681"/>
        <item m="1" x="267"/>
        <item m="1" x="404"/>
        <item m="1" x="935"/>
        <item x="16"/>
        <item m="1" x="867"/>
        <item m="1" x="597"/>
        <item m="1" x="491"/>
        <item m="1" x="973"/>
        <item m="1" x="654"/>
        <item m="1" x="419"/>
        <item x="19"/>
        <item m="1" x="840"/>
        <item x="20"/>
        <item m="1" x="990"/>
        <item m="1" x="360"/>
        <item m="1" x="1011"/>
        <item m="1" x="731"/>
        <item m="1" x="605"/>
        <item m="1" x="635"/>
        <item m="1" x="895"/>
        <item m="1" x="269"/>
        <item m="1" x="796"/>
        <item m="1" x="724"/>
        <item m="1" x="988"/>
        <item m="1" x="929"/>
        <item m="1" x="788"/>
        <item m="1" x="639"/>
        <item m="1" x="673"/>
        <item m="1" x="237"/>
        <item x="23"/>
        <item x="24"/>
        <item x="25"/>
        <item m="1" x="328"/>
        <item m="1" x="227"/>
        <item m="1" x="630"/>
        <item x="26"/>
        <item m="1" x="533"/>
        <item m="1" x="600"/>
        <item m="1" x="492"/>
        <item m="1" x="255"/>
        <item x="165"/>
        <item m="1" x="754"/>
        <item x="28"/>
        <item m="1" x="493"/>
        <item m="1" x="759"/>
        <item x="29"/>
        <item m="1" x="250"/>
        <item x="30"/>
        <item x="32"/>
        <item x="33"/>
        <item m="1" x="769"/>
        <item m="1" x="460"/>
        <item m="1" x="290"/>
        <item m="1" x="738"/>
        <item m="1" x="402"/>
        <item x="34"/>
        <item x="35"/>
        <item x="37"/>
        <item m="1" x="695"/>
        <item m="1" x="1020"/>
        <item m="1" x="1063"/>
        <item m="1" x="958"/>
        <item x="39"/>
        <item m="1" x="663"/>
        <item m="1" x="655"/>
        <item m="1" x="870"/>
        <item m="1" x="415"/>
        <item m="1" x="363"/>
        <item m="1" x="409"/>
        <item m="1" x="641"/>
        <item m="1" x="800"/>
        <item m="1" x="980"/>
        <item m="1" x="755"/>
        <item m="1" x="285"/>
        <item m="1" x="901"/>
        <item m="1" x="510"/>
        <item m="1" x="617"/>
        <item m="1" x="443"/>
        <item m="1" x="571"/>
        <item x="41"/>
        <item m="1" x="515"/>
        <item m="1" x="1055"/>
        <item m="1" x="757"/>
        <item m="1" x="386"/>
        <item m="1" x="477"/>
        <item m="1" x="764"/>
        <item m="1" x="518"/>
        <item m="1" x="304"/>
        <item m="1" x="388"/>
        <item m="1" x="317"/>
        <item m="1" x="770"/>
        <item m="1" x="1008"/>
        <item x="168"/>
        <item x="169"/>
        <item m="1" x="1027"/>
        <item m="1" x="612"/>
        <item m="1" x="309"/>
        <item m="1" x="784"/>
        <item m="1" x="346"/>
        <item m="1" x="837"/>
        <item m="1" x="344"/>
        <item m="1" x="394"/>
        <item m="1" x="647"/>
        <item m="1" x="1041"/>
        <item m="1" x="1057"/>
        <item m="1" x="327"/>
        <item m="1" x="286"/>
        <item m="1" x="380"/>
        <item m="1" x="797"/>
        <item m="1" x="414"/>
        <item m="1" x="486"/>
        <item m="1" x="863"/>
        <item m="1" x="335"/>
        <item m="1" x="941"/>
        <item m="1" x="979"/>
        <item m="1" x="330"/>
        <item m="1" x="598"/>
        <item m="1" x="944"/>
        <item m="1" x="401"/>
        <item m="1" x="275"/>
        <item x="171"/>
        <item m="1" x="719"/>
        <item m="1" x="223"/>
        <item x="42"/>
        <item m="1" x="928"/>
        <item m="1" x="650"/>
        <item m="1" x="463"/>
        <item m="1" x="407"/>
        <item x="43"/>
        <item m="1" x="934"/>
        <item x="44"/>
        <item m="1" x="288"/>
        <item m="1" x="698"/>
        <item m="1" x="912"/>
        <item m="1" x="829"/>
        <item x="46"/>
        <item x="47"/>
        <item x="48"/>
        <item m="1" x="1065"/>
        <item m="1" x="268"/>
        <item m="1" x="211"/>
        <item m="1" x="886"/>
        <item m="1" x="535"/>
        <item m="1" x="263"/>
        <item m="1" x="741"/>
        <item m="1" x="497"/>
        <item x="49"/>
        <item m="1" x="524"/>
        <item m="1" x="636"/>
        <item x="51"/>
        <item x="52"/>
        <item x="53"/>
        <item x="172"/>
        <item x="55"/>
        <item x="56"/>
        <item x="57"/>
        <item m="1" x="338"/>
        <item m="1" x="279"/>
        <item m="1" x="324"/>
        <item x="59"/>
        <item x="60"/>
        <item m="1" x="896"/>
        <item m="1" x="890"/>
        <item x="62"/>
        <item x="63"/>
        <item m="1" x="424"/>
        <item x="64"/>
        <item x="65"/>
        <item x="66"/>
        <item x="67"/>
        <item x="69"/>
        <item x="70"/>
        <item m="1" x="918"/>
        <item x="71"/>
        <item x="72"/>
        <item x="73"/>
        <item x="74"/>
        <item x="174"/>
        <item x="175"/>
        <item m="1" x="565"/>
        <item x="75"/>
        <item x="76"/>
        <item x="77"/>
        <item x="78"/>
        <item m="1" x="713"/>
        <item m="1" x="212"/>
        <item m="1" x="366"/>
        <item x="176"/>
        <item x="177"/>
        <item m="1" x="222"/>
        <item x="80"/>
        <item m="1" x="622"/>
        <item m="1" x="276"/>
        <item m="1" x="943"/>
        <item m="1" x="329"/>
        <item x="82"/>
        <item x="83"/>
        <item m="1" x="253"/>
        <item m="1" x="314"/>
        <item m="1" x="914"/>
        <item x="84"/>
        <item m="1" x="427"/>
        <item m="1" x="514"/>
        <item m="1" x="326"/>
        <item m="1" x="336"/>
        <item m="1" x="484"/>
        <item m="1" x="345"/>
        <item m="1" x="1029"/>
        <item m="1" x="1014"/>
        <item m="1" x="760"/>
        <item m="1" x="272"/>
        <item m="1" x="570"/>
        <item x="86"/>
        <item m="1" x="772"/>
        <item m="1" x="722"/>
        <item x="181"/>
        <item m="1" x="806"/>
        <item m="1" x="382"/>
        <item m="1" x="593"/>
        <item m="1" x="668"/>
        <item m="1" x="284"/>
        <item m="1" x="866"/>
        <item m="1" x="555"/>
        <item x="90"/>
        <item m="1" x="483"/>
        <item m="1" x="670"/>
        <item m="1" x="994"/>
        <item m="1" x="503"/>
        <item m="1" x="396"/>
        <item m="1" x="509"/>
        <item x="182"/>
        <item x="183"/>
        <item x="184"/>
        <item x="185"/>
        <item m="1" x="692"/>
        <item x="186"/>
        <item m="1" x="405"/>
        <item x="94"/>
        <item x="188"/>
        <item x="189"/>
        <item m="1" x="418"/>
        <item m="1" x="861"/>
        <item x="98"/>
        <item m="1" x="822"/>
        <item m="1" x="986"/>
        <item x="99"/>
        <item m="1" x="294"/>
        <item m="1" x="543"/>
        <item m="1" x="873"/>
        <item x="100"/>
        <item m="1" x="397"/>
        <item m="1" x="950"/>
        <item m="1" x="305"/>
        <item x="103"/>
        <item x="104"/>
        <item m="1" x="214"/>
        <item x="105"/>
        <item x="190"/>
        <item m="1" x="575"/>
        <item m="1" x="850"/>
        <item m="1" x="686"/>
        <item m="1" x="353"/>
        <item m="1" x="615"/>
        <item m="1" x="939"/>
        <item m="1" x="383"/>
        <item m="1" x="506"/>
        <item m="1" x="375"/>
        <item m="1" x="501"/>
        <item m="1" x="361"/>
        <item m="1" x="421"/>
        <item m="1" x="966"/>
        <item x="106"/>
        <item m="1" x="354"/>
        <item m="1" x="303"/>
        <item x="107"/>
        <item m="1" x="371"/>
        <item m="1" x="603"/>
        <item m="1" x="584"/>
        <item m="1" x="877"/>
        <item x="108"/>
        <item m="1" x="541"/>
        <item m="1" x="291"/>
        <item m="1" x="444"/>
        <item m="1" x="631"/>
        <item m="1" x="517"/>
        <item m="1" x="287"/>
        <item m="1" x="881"/>
        <item m="1" x="542"/>
        <item m="1" x="747"/>
        <item m="1" x="390"/>
        <item m="1" x="472"/>
        <item m="1" x="909"/>
        <item m="1" x="974"/>
        <item m="1" x="389"/>
        <item x="109"/>
        <item x="111"/>
        <item m="1" x="824"/>
        <item x="112"/>
        <item m="1" x="785"/>
        <item m="1" x="398"/>
        <item m="1" x="579"/>
        <item x="191"/>
        <item x="192"/>
        <item m="1" x="204"/>
        <item m="1" x="1023"/>
        <item m="1" x="817"/>
        <item m="1" x="891"/>
        <item m="1" x="504"/>
        <item m="1" x="1045"/>
        <item x="115"/>
        <item m="1" x="530"/>
        <item m="1" x="684"/>
        <item m="1" x="587"/>
        <item m="1" x="561"/>
        <item m="1" x="406"/>
        <item m="1" x="445"/>
        <item m="1" x="710"/>
        <item m="1" x="376"/>
        <item m="1" x="256"/>
        <item m="1" x="481"/>
        <item m="1" x="844"/>
        <item m="1" x="602"/>
        <item m="1" x="998"/>
        <item m="1" x="607"/>
        <item m="1" x="499"/>
        <item m="1" x="640"/>
        <item m="1" x="1007"/>
        <item m="1" x="232"/>
        <item x="117"/>
        <item x="118"/>
        <item m="1" x="674"/>
        <item m="1" x="297"/>
        <item m="1" x="715"/>
        <item m="1" x="997"/>
        <item m="1" x="356"/>
        <item m="1" x="453"/>
        <item m="1" x="207"/>
        <item m="1" x="341"/>
        <item x="119"/>
        <item m="1" x="798"/>
        <item x="120"/>
        <item m="1" x="536"/>
        <item m="1" x="594"/>
        <item m="1" x="216"/>
        <item m="1" x="588"/>
        <item x="124"/>
        <item m="1" x="627"/>
        <item m="1" x="999"/>
        <item m="1" x="991"/>
        <item m="1" x="476"/>
        <item x="125"/>
        <item m="1" x="799"/>
        <item m="1" x="842"/>
        <item m="1" x="682"/>
        <item m="1" x="833"/>
        <item m="1" x="864"/>
        <item m="1" x="547"/>
        <item m="1" x="894"/>
        <item m="1" x="706"/>
        <item m="1" x="876"/>
        <item m="1" x="880"/>
        <item x="127"/>
        <item m="1" x="208"/>
        <item m="1" x="296"/>
        <item m="1" x="545"/>
        <item x="128"/>
        <item m="1" x="1060"/>
        <item x="129"/>
        <item m="1" x="683"/>
        <item m="1" x="550"/>
        <item m="1" x="1036"/>
        <item x="130"/>
        <item x="131"/>
        <item m="1" x="301"/>
        <item x="132"/>
        <item x="133"/>
        <item x="134"/>
        <item m="1" x="687"/>
        <item m="1" x="521"/>
        <item m="1" x="816"/>
        <item m="1" x="653"/>
        <item x="135"/>
        <item m="1" x="235"/>
        <item m="1" x="920"/>
        <item m="1" x="841"/>
        <item m="1" x="242"/>
        <item m="1" x="927"/>
        <item m="1" x="839"/>
        <item m="1" x="488"/>
        <item m="1" x="417"/>
        <item m="1" x="789"/>
        <item m="1" x="567"/>
        <item m="1" x="852"/>
        <item m="1" x="676"/>
        <item x="137"/>
        <item m="1" x="854"/>
        <item m="1" x="904"/>
        <item m="1" x="823"/>
        <item m="1" x="280"/>
        <item m="1" x="985"/>
        <item m="1" x="907"/>
        <item m="1" x="779"/>
        <item m="1" x="859"/>
        <item x="141"/>
        <item m="1" x="209"/>
        <item m="1" x="495"/>
        <item x="143"/>
        <item x="144"/>
        <item m="1" x="512"/>
        <item x="145"/>
        <item x="146"/>
        <item m="1" x="339"/>
        <item m="1" x="753"/>
        <item m="1" x="685"/>
        <item m="1" x="749"/>
        <item m="1" x="765"/>
        <item m="1" x="574"/>
        <item m="1" x="233"/>
        <item m="1" x="1034"/>
        <item m="1" x="801"/>
        <item m="1" x="1040"/>
        <item m="1" x="818"/>
        <item m="1" x="938"/>
        <item m="1" x="726"/>
        <item m="1" x="1058"/>
        <item m="1" x="1017"/>
        <item m="1" x="717"/>
        <item m="1" x="485"/>
        <item m="1" x="395"/>
        <item m="1" x="247"/>
        <item m="1" x="996"/>
        <item m="1" x="551"/>
        <item m="1" x="569"/>
        <item m="1" x="777"/>
        <item m="1" x="1066"/>
        <item m="1" x="619"/>
        <item m="1" x="911"/>
        <item m="1" x="278"/>
        <item x="147"/>
        <item m="1" x="696"/>
        <item m="1" x="1004"/>
        <item m="1" x="1028"/>
        <item m="1" x="1005"/>
        <item m="1" x="520"/>
        <item m="1" x="440"/>
        <item m="1" x="393"/>
        <item m="1" x="245"/>
        <item m="1" x="391"/>
        <item m="1" x="221"/>
        <item m="1" x="206"/>
        <item m="1" x="851"/>
        <item m="1" x="408"/>
        <item m="1" x="350"/>
        <item m="1" x="781"/>
        <item m="1" x="965"/>
        <item m="1" x="340"/>
        <item m="1" x="1054"/>
        <item m="1" x="522"/>
        <item m="1" x="756"/>
        <item x="194"/>
        <item m="1" x="307"/>
        <item m="1" x="845"/>
        <item m="1" x="343"/>
        <item m="1" x="836"/>
        <item m="1" x="616"/>
        <item m="1" x="856"/>
        <item m="1" x="446"/>
        <item x="150"/>
        <item m="1" x="807"/>
        <item x="153"/>
        <item m="1" x="1019"/>
        <item m="1" x="954"/>
        <item m="1" x="892"/>
        <item x="154"/>
        <item x="155"/>
        <item x="156"/>
        <item m="1" x="786"/>
        <item m="1" x="496"/>
        <item m="1" x="585"/>
        <item m="1" x="897"/>
        <item m="1" x="723"/>
        <item m="1" x="581"/>
        <item m="1" x="1064"/>
        <item m="1" x="1049"/>
        <item x="157"/>
        <item m="1" x="626"/>
        <item m="1" x="249"/>
        <item m="1" x="865"/>
        <item m="1" x="883"/>
        <item m="1" x="884"/>
        <item m="1" x="957"/>
        <item m="1" x="316"/>
        <item m="1" x="613"/>
        <item m="1" x="425"/>
        <item m="1" x="426"/>
        <item m="1" x="1026"/>
        <item m="1" x="970"/>
        <item m="1" x="952"/>
        <item m="1" x="609"/>
        <item m="1" x="1012"/>
        <item m="1" x="537"/>
        <item m="1" x="732"/>
        <item m="1" x="902"/>
        <item m="1" x="254"/>
        <item m="1" x="468"/>
        <item m="1" x="274"/>
        <item m="1" x="728"/>
        <item m="1" x="667"/>
        <item m="1" x="699"/>
        <item x="195"/>
        <item m="1" x="762"/>
        <item m="1" x="955"/>
        <item m="1" x="310"/>
        <item m="1" x="589"/>
        <item x="21"/>
        <item m="1" x="306"/>
        <item m="1" x="1038"/>
        <item m="1" x="659"/>
        <item m="1" x="791"/>
        <item m="1" x="746"/>
        <item x="122"/>
        <item x="45"/>
        <item x="40"/>
        <item x="38"/>
        <item m="1" x="651"/>
        <item m="1" x="487"/>
        <item m="1" x="257"/>
        <item m="1" x="1043"/>
        <item m="1" x="809"/>
        <item m="1" x="374"/>
        <item m="1" x="712"/>
        <item m="1" x="614"/>
        <item m="1" x="1062"/>
        <item m="1" x="982"/>
        <item m="1" x="557"/>
        <item m="1" x="447"/>
        <item m="1" x="534"/>
        <item m="1" x="293"/>
        <item m="1" x="936"/>
        <item m="1" x="742"/>
        <item m="1" x="1021"/>
        <item m="1" x="215"/>
        <item m="1" x="790"/>
        <item x="114"/>
        <item x="58"/>
        <item m="1" x="433"/>
        <item m="1" x="271"/>
        <item m="1" x="420"/>
        <item m="1" x="298"/>
        <item m="1" x="422"/>
        <item m="1" x="697"/>
        <item m="1" x="1018"/>
        <item m="1" x="592"/>
        <item m="1" x="739"/>
        <item m="1" x="577"/>
        <item m="1" x="853"/>
        <item m="1" x="825"/>
        <item m="1" x="479"/>
        <item m="1" x="948"/>
        <item m="1" x="586"/>
        <item m="1" x="703"/>
        <item m="1" x="812"/>
        <item m="1" x="423"/>
        <item m="1" x="308"/>
        <item m="1" x="1061"/>
        <item m="1" x="283"/>
        <item m="1" x="819"/>
        <item m="1" x="1052"/>
        <item m="1" x="984"/>
        <item m="1" x="1050"/>
        <item m="1" x="1016"/>
        <item m="1" x="456"/>
        <item m="1" x="403"/>
        <item m="1" x="620"/>
        <item m="1" x="505"/>
        <item m="1" x="1056"/>
        <item m="1" x="846"/>
        <item m="1" x="978"/>
        <item m="1" x="261"/>
        <item m="1" x="526"/>
        <item m="1" x="449"/>
        <item m="1" x="270"/>
        <item m="1" x="725"/>
        <item m="1" x="652"/>
        <item m="1" x="930"/>
        <item m="1" x="412"/>
        <item m="1" x="507"/>
        <item m="1" x="688"/>
        <item m="1" x="610"/>
        <item m="1" x="947"/>
        <item m="1" x="638"/>
        <item m="1" x="465"/>
        <item m="1" x="1033"/>
        <item m="1" x="862"/>
        <item m="1" x="1032"/>
        <item m="1" x="1031"/>
        <item m="1" x="325"/>
        <item m="1" x="694"/>
        <item m="1" x="368"/>
        <item m="1" x="874"/>
        <item m="1" x="956"/>
        <item m="1" x="508"/>
        <item m="1" x="299"/>
        <item m="1" x="210"/>
        <item m="1" x="431"/>
        <item m="1" x="992"/>
        <item m="1" x="410"/>
        <item m="1" x="532"/>
        <item m="1" x="1015"/>
        <item m="1" x="702"/>
        <item m="1" x="795"/>
        <item m="1" x="461"/>
        <item m="1" x="743"/>
        <item m="1" x="289"/>
        <item m="1" x="629"/>
        <item m="1" x="478"/>
        <item m="1" x="783"/>
        <item m="1" x="519"/>
        <item m="1" x="564"/>
        <item m="1" x="448"/>
        <item m="1" x="384"/>
        <item m="1" x="778"/>
        <item m="1" x="916"/>
        <item x="61"/>
        <item x="142"/>
        <item x="187"/>
        <item x="173"/>
        <item x="179"/>
        <item x="96"/>
        <item x="148"/>
        <item x="36"/>
        <item x="149"/>
        <item x="110"/>
        <item m="1" x="664"/>
        <item m="1" x="333"/>
        <item m="1" x="933"/>
        <item m="1" x="872"/>
        <item m="1" x="365"/>
        <item m="1" x="498"/>
        <item m="1" x="259"/>
        <item m="1" x="611"/>
        <item m="1" x="246"/>
        <item x="136"/>
        <item m="1" x="251"/>
        <item m="1" x="995"/>
        <item m="1" x="451"/>
        <item m="1" x="680"/>
        <item m="1" x="689"/>
        <item m="1" x="260"/>
        <item m="1" x="843"/>
        <item x="161"/>
        <item x="167"/>
        <item m="1" x="623"/>
        <item m="1" x="573"/>
        <item m="1" x="364"/>
        <item m="1" x="348"/>
        <item m="1" x="906"/>
        <item m="1" x="441"/>
        <item m="1" x="429"/>
        <item m="1" x="900"/>
        <item m="1" x="416"/>
        <item m="1" x="908"/>
        <item m="1" x="458"/>
        <item m="1" x="213"/>
        <item m="1" x="981"/>
        <item m="1" x="657"/>
        <item m="1" x="834"/>
        <item m="1" x="709"/>
        <item m="1" x="601"/>
        <item m="1" x="459"/>
        <item m="1" x="583"/>
        <item m="1" x="661"/>
        <item m="1" x="538"/>
        <item m="1" x="381"/>
        <item m="1" x="1024"/>
        <item m="1" x="359"/>
        <item m="1" x="464"/>
        <item m="1" x="977"/>
        <item m="1" x="554"/>
        <item m="1" x="525"/>
        <item m="1" x="889"/>
        <item m="1" x="632"/>
        <item m="1" x="372"/>
        <item m="1" x="813"/>
        <item m="1" x="560"/>
        <item m="1" x="578"/>
        <item m="1" x="572"/>
        <item m="1" x="224"/>
        <item m="1" x="624"/>
        <item m="1" x="428"/>
        <item m="1" x="319"/>
        <item m="1" x="1051"/>
        <item m="1" x="618"/>
        <item m="1" x="322"/>
        <item m="1" x="910"/>
        <item m="1" x="576"/>
        <item m="1" x="604"/>
        <item m="1" x="243"/>
        <item m="1" x="347"/>
        <item m="1" x="857"/>
        <item m="1" x="546"/>
        <item m="1" x="660"/>
        <item m="1" x="252"/>
        <item m="1" x="646"/>
        <item m="1" x="776"/>
        <item m="1" x="349"/>
        <item m="1" x="455"/>
        <item m="1" x="367"/>
        <item m="1" x="474"/>
        <item m="1" x="462"/>
        <item m="1" x="300"/>
        <item m="1" x="967"/>
        <item m="1" x="835"/>
        <item m="1" x="628"/>
        <item m="1" x="231"/>
        <item m="1" x="729"/>
        <item m="1" x="931"/>
        <item m="1" x="815"/>
        <item m="1" x="562"/>
        <item m="1" x="596"/>
        <item m="1" x="745"/>
        <item m="1" x="378"/>
        <item m="1" x="869"/>
        <item m="1" x="666"/>
        <item m="1" x="580"/>
        <item m="1" x="814"/>
        <item m="1" x="782"/>
        <item m="1" x="752"/>
        <item m="1" x="720"/>
        <item m="1" x="946"/>
        <item m="1" x="734"/>
        <item m="1" x="238"/>
        <item m="1" x="225"/>
        <item m="1" x="370"/>
        <item m="1" x="748"/>
        <item m="1" x="411"/>
        <item m="1" x="733"/>
        <item m="1" x="926"/>
        <item m="1" x="432"/>
        <item m="1" x="379"/>
        <item m="1" x="735"/>
        <item m="1" x="708"/>
        <item m="1" x="473"/>
        <item m="1" x="469"/>
        <item m="1" x="925"/>
        <item m="1" x="500"/>
        <item m="1" x="802"/>
        <item m="1" x="730"/>
        <item m="1" x="953"/>
        <item m="1" x="987"/>
        <item m="1" x="281"/>
        <item m="1" x="1037"/>
        <item m="1" x="679"/>
        <item m="1" x="516"/>
        <item m="1" x="893"/>
        <item m="1" x="292"/>
        <item m="1" x="959"/>
        <item m="1" x="810"/>
        <item m="1" x="513"/>
        <item m="1" x="489"/>
        <item m="1" x="470"/>
        <item m="1" x="529"/>
        <item m="1" x="871"/>
        <item m="1" x="466"/>
        <item m="1" x="219"/>
        <item m="1" x="961"/>
        <item m="1" x="887"/>
        <item m="1" x="644"/>
        <item m="1" x="556"/>
        <item m="1" x="921"/>
        <item m="1" x="621"/>
        <item m="1" x="590"/>
        <item m="1" x="302"/>
        <item m="1" x="539"/>
        <item m="1" x="665"/>
        <item m="1" x="637"/>
        <item m="1" x="643"/>
        <item m="1" x="230"/>
        <item m="1" x="313"/>
        <item m="1" x="454"/>
        <item m="1" x="377"/>
        <item m="1" x="885"/>
        <item m="1" x="888"/>
        <item m="1" x="826"/>
        <item m="1" x="847"/>
        <item m="1" x="442"/>
        <item m="1" x="1048"/>
        <item m="1" x="568"/>
        <item m="1" x="282"/>
        <item m="1" x="875"/>
        <item m="1" x="552"/>
        <item m="1" x="475"/>
        <item m="1" x="399"/>
        <item m="1" x="228"/>
        <item m="1" x="205"/>
        <item x="22"/>
        <item m="1" x="439"/>
        <item m="1" x="773"/>
        <item m="1" x="244"/>
        <item m="1" x="820"/>
        <item m="1" x="794"/>
        <item m="1" x="248"/>
        <item m="1" x="625"/>
        <item m="1" x="905"/>
        <item m="1" x="599"/>
        <item m="1" x="1000"/>
        <item m="1" x="848"/>
        <item m="1" x="945"/>
        <item m="1" x="645"/>
        <item m="1" x="258"/>
        <item m="1" x="922"/>
        <item m="1" x="805"/>
        <item m="1" x="830"/>
        <item m="1" x="413"/>
        <item m="1" x="559"/>
        <item m="1" x="860"/>
        <item m="1" x="531"/>
        <item m="1" x="903"/>
        <item m="1" x="357"/>
        <item m="1" x="700"/>
        <item m="1" x="457"/>
        <item m="1" x="295"/>
        <item m="1" x="768"/>
        <item m="1" x="787"/>
        <item m="1" x="606"/>
        <item m="1" x="677"/>
        <item m="1" x="678"/>
        <item m="1" x="672"/>
        <item m="1" x="951"/>
        <item m="1" x="369"/>
        <item m="1" x="963"/>
        <item m="1" x="1022"/>
        <item m="1" x="334"/>
        <item m="1" x="264"/>
        <item m="1" x="331"/>
        <item m="1" x="751"/>
        <item m="1" x="721"/>
        <item m="1" x="392"/>
        <item m="1" x="968"/>
        <item m="1" x="808"/>
        <item m="1" x="218"/>
        <item m="1" x="323"/>
        <item m="1" x="924"/>
        <item m="1" x="563"/>
        <item m="1" x="811"/>
        <item m="1" x="793"/>
        <item m="1" x="775"/>
        <item m="1" x="656"/>
        <item m="1" x="548"/>
        <item m="1" x="523"/>
        <item m="1" x="241"/>
        <item m="1" x="351"/>
        <item m="1" x="937"/>
        <item m="1" x="1001"/>
        <item m="1" x="705"/>
        <item m="1" x="1044"/>
        <item m="1" x="273"/>
        <item m="1" x="744"/>
        <item m="1" x="803"/>
        <item m="1" x="993"/>
        <item m="1" x="878"/>
        <item m="1" x="827"/>
        <item m="1" x="1010"/>
        <item m="1" x="780"/>
        <item m="1" x="675"/>
        <item m="1" x="337"/>
        <item m="1" x="711"/>
        <item m="1" x="899"/>
        <item m="1" x="1067"/>
        <item m="1" x="855"/>
        <item m="1" x="482"/>
        <item m="1" x="718"/>
        <item m="1" x="1039"/>
        <item m="1" x="662"/>
        <item m="1" x="528"/>
        <item m="1" x="649"/>
        <item m="1" x="558"/>
        <item m="1" x="1002"/>
        <item m="1" x="669"/>
        <item m="1" x="976"/>
        <item m="1" x="736"/>
        <item m="1" x="434"/>
        <item m="1" x="312"/>
        <item m="1" x="217"/>
        <item m="1" x="983"/>
        <item m="1" x="236"/>
        <item m="1" x="648"/>
        <item m="1" x="321"/>
        <item m="1" x="971"/>
        <item m="1" x="1046"/>
        <item m="1" x="714"/>
        <item m="1" x="960"/>
        <item m="1" x="1035"/>
        <item m="1" x="671"/>
        <item m="1" x="949"/>
        <item m="1" x="342"/>
        <item m="1" x="919"/>
        <item m="1" x="229"/>
        <item m="1" x="766"/>
        <item m="1" x="480"/>
        <item m="1" x="540"/>
        <item m="1" x="1042"/>
        <item m="1" x="898"/>
        <item x="31"/>
        <item x="160"/>
        <item m="1" x="311"/>
        <item m="1" x="690"/>
        <item m="1" x="849"/>
        <item m="1" x="634"/>
        <item m="1" x="1059"/>
        <item m="1" x="758"/>
        <item m="1" x="972"/>
        <item x="1"/>
        <item x="121"/>
        <item x="113"/>
        <item m="1" x="1009"/>
        <item m="1" x="315"/>
        <item m="1" x="913"/>
        <item m="1" x="737"/>
        <item m="1" x="352"/>
        <item m="1" x="989"/>
        <item m="1" x="511"/>
        <item m="1" x="804"/>
        <item m="1" x="240"/>
        <item m="1" x="437"/>
        <item m="1" x="494"/>
        <item m="1" x="693"/>
        <item m="1" x="923"/>
        <item m="1" x="527"/>
        <item m="1" x="549"/>
        <item x="87"/>
        <item x="126"/>
        <item m="1" x="707"/>
        <item m="1" x="642"/>
        <item m="1" x="265"/>
        <item m="1" x="633"/>
        <item m="1" x="355"/>
        <item m="1" x="750"/>
        <item m="1" x="234"/>
        <item m="1" x="1030"/>
        <item m="1" x="828"/>
        <item m="1" x="553"/>
        <item m="1" x="1025"/>
        <item m="1" x="964"/>
        <item x="95"/>
        <item m="1" x="438"/>
        <item m="1" x="727"/>
        <item x="164"/>
        <item x="193"/>
        <item m="1" x="882"/>
        <item m="1" x="226"/>
        <item x="11"/>
        <item x="178"/>
        <item x="163"/>
        <item x="170"/>
        <item x="93"/>
        <item x="102"/>
        <item x="152"/>
        <item x="151"/>
        <item x="54"/>
        <item x="116"/>
        <item x="158"/>
        <item x="50"/>
        <item x="17"/>
        <item x="18"/>
        <item x="101"/>
        <item m="1" x="691"/>
        <item m="1" x="704"/>
        <item x="196"/>
        <item x="200"/>
        <item x="88"/>
        <item x="139"/>
        <item x="140"/>
        <item x="159"/>
        <item x="162"/>
        <item x="79"/>
        <item x="0"/>
        <item x="9"/>
        <item x="15"/>
        <item x="138"/>
        <item x="81"/>
        <item x="27"/>
        <item x="85"/>
        <item x="89"/>
        <item x="91"/>
        <item x="123"/>
        <item x="97"/>
        <item x="92"/>
        <item x="197"/>
        <item x="198"/>
        <item x="199"/>
        <item x="201"/>
        <item x="202"/>
        <item x="203"/>
        <item x="180"/>
        <item x="166"/>
        <item x="68"/>
      </items>
    </pivotField>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ubtotalTop="0" showAll="0" defaultSubtotal="0"/>
    <pivotField compact="0" outline="0" subtotalTop="0" showAll="0" defaultSubtotal="0"/>
    <pivotField compact="0" outline="0" subtotalTop="0" showAll="0" defaultSubtotal="0">
      <items count="9">
        <item x="0"/>
        <item m="1" x="4"/>
        <item x="2"/>
        <item m="1" x="8"/>
        <item m="1" x="7"/>
        <item m="1" x="5"/>
        <item x="1"/>
        <item m="1" x="6"/>
        <item m="1" x="3"/>
      </items>
    </pivotField>
    <pivotField axis="axisRow" compact="0" outline="0" subtotalTop="0" showAll="0" defaultSubtotal="0">
      <items count="11">
        <item m="1" x="10"/>
        <item x="0"/>
        <item x="4"/>
        <item x="3"/>
        <item x="7"/>
        <item x="5"/>
        <item x="1"/>
        <item x="2"/>
        <item x="6"/>
        <item x="8"/>
        <item x="9"/>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1"/>
        <item n="Gap" x="0"/>
        <item h="1" m="1" x="4"/>
        <item h="1" m="1" x="3"/>
        <item h="1" m="1" x="2"/>
      </items>
    </pivotField>
    <pivotField compact="0" outline="0" subtotalTop="0" showAll="0" defaultSubtota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37"/>
  </rowFields>
  <rowItems count="28">
    <i>
      <x/>
      <x v="1"/>
      <x v="1047"/>
      <x v="1"/>
    </i>
    <i r="2">
      <x v="1048"/>
      <x v="7"/>
    </i>
    <i r="1">
      <x v="3"/>
      <x v="1049"/>
      <x v="7"/>
    </i>
    <i r="1">
      <x v="4"/>
      <x v="271"/>
      <x v="3"/>
    </i>
    <i r="2">
      <x v="1050"/>
      <x v="1"/>
    </i>
    <i r="1">
      <x v="12"/>
      <x v="1051"/>
      <x v="7"/>
    </i>
    <i r="1">
      <x v="16"/>
      <x v="585"/>
      <x v="3"/>
    </i>
    <i r="1">
      <x v="17"/>
      <x v="1052"/>
      <x v="7"/>
    </i>
    <i r="2">
      <x v="1053"/>
      <x v="7"/>
    </i>
    <i r="1">
      <x v="18"/>
      <x v="1054"/>
      <x v="7"/>
    </i>
    <i r="2">
      <x v="1055"/>
      <x v="7"/>
    </i>
    <i r="1">
      <x v="22"/>
      <x v="1002"/>
      <x v="1"/>
    </i>
    <i r="1">
      <x v="33"/>
      <x v="866"/>
      <x v="3"/>
    </i>
    <i r="1">
      <x v="35"/>
      <x v="591"/>
      <x v="3"/>
    </i>
    <i r="2">
      <x v="1027"/>
      <x v="3"/>
    </i>
    <i r="2">
      <x v="1028"/>
      <x v="3"/>
    </i>
    <i r="2">
      <x v="1030"/>
      <x v="3"/>
    </i>
    <i r="2">
      <x v="1033"/>
      <x v="3"/>
    </i>
    <i r="2">
      <x v="1034"/>
      <x v="3"/>
    </i>
    <i r="2">
      <x v="1035"/>
      <x v="3"/>
    </i>
    <i r="2">
      <x v="1036"/>
      <x v="3"/>
    </i>
    <i t="default">
      <x/>
    </i>
    <i>
      <x v="2"/>
      <x v="6"/>
      <x v="248"/>
      <x v="3"/>
    </i>
    <i r="1">
      <x v="41"/>
      <x v="1019"/>
      <x v="3"/>
    </i>
    <i r="2">
      <x v="1039"/>
      <x v="10"/>
    </i>
    <i r="2">
      <x v="1040"/>
      <x v="10"/>
    </i>
    <i r="1">
      <x v="43"/>
      <x v="1025"/>
      <x v="7"/>
    </i>
    <i t="default">
      <x v="2"/>
    </i>
  </rowItems>
  <colFields count="1">
    <field x="-2"/>
  </colFields>
  <colItems count="6">
    <i>
      <x/>
    </i>
    <i i="1">
      <x v="1"/>
    </i>
    <i i="2">
      <x v="2"/>
    </i>
    <i i="3">
      <x v="3"/>
    </i>
    <i i="4">
      <x v="4"/>
    </i>
    <i i="5">
      <x v="5"/>
    </i>
  </colItems>
  <pageFields count="2">
    <pageField fld="0" hier="-1"/>
    <pageField fld="142" item="1" hier="-1"/>
  </pageFields>
  <dataFields count="6">
    <dataField name="Count of Site Name" fld="7" subtotal="count" baseField="0" baseItem="0"/>
    <dataField name="HHs" fld="8" baseField="0" baseItem="0" numFmtId="164"/>
    <dataField name="Pops" fld="9" baseField="0" baseItem="0" numFmtId="164"/>
    <dataField name="% WATER GAP" fld="101" subtotal="average" baseField="85" baseItem="1" numFmtId="9"/>
    <dataField name="% LATRINE GAP" fld="113" subtotal="average" baseField="85" baseItem="1" numFmtId="9"/>
    <dataField name="% HYGIENE GAP" fld="121" subtotal="average" baseField="85" baseItem="1" numFmtId="9"/>
  </dataFields>
  <formats count="66">
    <format dxfId="485">
      <pivotArea type="all" dataOnly="0" outline="0" fieldPosition="0"/>
    </format>
    <format dxfId="484">
      <pivotArea outline="0" collapsedLevelsAreSubtotals="1" fieldPosition="0"/>
    </format>
    <format dxfId="483">
      <pivotArea field="4" type="button" dataOnly="0" labelOnly="1" outline="0" axis="axisRow" fieldPosition="0"/>
    </format>
    <format dxfId="482">
      <pivotArea dataOnly="0" labelOnly="1" grandRow="1" outline="0" fieldPosition="0"/>
    </format>
    <format dxfId="481">
      <pivotArea type="all" dataOnly="0" outline="0" fieldPosition="0"/>
    </format>
    <format dxfId="480">
      <pivotArea dataOnly="0" labelOnly="1" grandRow="1" outline="0" fieldPosition="0"/>
    </format>
    <format dxfId="479">
      <pivotArea type="all" dataOnly="0" outline="0" fieldPosition="0"/>
    </format>
    <format dxfId="478">
      <pivotArea type="origin" dataOnly="0" labelOnly="1" outline="0" fieldPosition="0"/>
    </format>
    <format dxfId="477">
      <pivotArea field="142" type="button" dataOnly="0" labelOnly="1" outline="0" axis="axisPage" fieldPosition="1"/>
    </format>
    <format dxfId="476">
      <pivotArea type="topRight" dataOnly="0" labelOnly="1" outline="0" fieldPosition="0"/>
    </format>
    <format dxfId="475">
      <pivotArea type="all" dataOnly="0" outline="0" fieldPosition="0"/>
    </format>
    <format dxfId="474">
      <pivotArea outline="0" collapsedLevelsAreSubtotals="1" fieldPosition="0"/>
    </format>
    <format dxfId="473">
      <pivotArea type="origin" dataOnly="0" labelOnly="1" outline="0" fieldPosition="0"/>
    </format>
    <format dxfId="472">
      <pivotArea field="142" type="button" dataOnly="0" labelOnly="1" outline="0" axis="axisPage" fieldPosition="1"/>
    </format>
    <format dxfId="471">
      <pivotArea type="topRight" dataOnly="0" labelOnly="1" outline="0" fieldPosition="0"/>
    </format>
    <format dxfId="470">
      <pivotArea outline="0" fieldPosition="0">
        <references count="1">
          <reference field="4294967294" count="3" selected="0">
            <x v="3"/>
            <x v="4"/>
            <x v="5"/>
          </reference>
        </references>
      </pivotArea>
    </format>
    <format dxfId="469">
      <pivotArea outline="0" fieldPosition="0">
        <references count="1">
          <reference field="4294967294" count="2" selected="0">
            <x v="1"/>
            <x v="2"/>
          </reference>
        </references>
      </pivotArea>
    </format>
    <format dxfId="468">
      <pivotArea type="all" dataOnly="0" outline="0" fieldPosition="0"/>
    </format>
    <format dxfId="467">
      <pivotArea outline="0" collapsedLevelsAreSubtotals="1" fieldPosition="0"/>
    </format>
    <format dxfId="466">
      <pivotArea field="4" type="button" dataOnly="0" labelOnly="1" outline="0" axis="axisRow" fieldPosition="0"/>
    </format>
    <format dxfId="465">
      <pivotArea field="5" type="button" dataOnly="0" labelOnly="1" outline="0" axis="axisRow" fieldPosition="1"/>
    </format>
    <format dxfId="464">
      <pivotArea field="7" type="button" dataOnly="0" labelOnly="1" outline="0" axis="axisRow" fieldPosition="2"/>
    </format>
    <format dxfId="463">
      <pivotArea field="137" type="button" dataOnly="0" labelOnly="1" outline="0" axis="axisRow" fieldPosition="3"/>
    </format>
    <format dxfId="462">
      <pivotArea dataOnly="0" labelOnly="1" outline="0" fieldPosition="0">
        <references count="1">
          <reference field="4" count="0"/>
        </references>
      </pivotArea>
    </format>
    <format dxfId="461">
      <pivotArea dataOnly="0" labelOnly="1" outline="0" fieldPosition="0">
        <references count="1">
          <reference field="4" count="0" defaultSubtotal="1"/>
        </references>
      </pivotArea>
    </format>
    <format dxfId="460">
      <pivotArea dataOnly="0" labelOnly="1" outline="0" fieldPosition="0">
        <references count="2">
          <reference field="4" count="1" selected="0">
            <x v="0"/>
          </reference>
          <reference field="5" count="8">
            <x v="1"/>
            <x v="12"/>
            <x v="17"/>
            <x v="18"/>
            <x v="28"/>
            <x v="31"/>
            <x v="33"/>
            <x v="35"/>
          </reference>
        </references>
      </pivotArea>
    </format>
    <format dxfId="459">
      <pivotArea dataOnly="0" labelOnly="1" outline="0" fieldPosition="0">
        <references count="2">
          <reference field="4" count="1" selected="0">
            <x v="1"/>
          </reference>
          <reference field="5" count="7">
            <x v="8"/>
            <x v="9"/>
            <x v="15"/>
            <x v="19"/>
            <x v="27"/>
            <x v="30"/>
            <x v="32"/>
          </reference>
        </references>
      </pivotArea>
    </format>
    <format dxfId="458">
      <pivotArea dataOnly="0" labelOnly="1" outline="0" fieldPosition="0">
        <references count="2">
          <reference field="4" count="1" selected="0">
            <x v="2"/>
          </reference>
          <reference field="5" count="4">
            <x v="6"/>
            <x v="7"/>
            <x v="13"/>
            <x v="20"/>
          </reference>
        </references>
      </pivotArea>
    </format>
    <format dxfId="457">
      <pivotArea dataOnly="0" labelOnly="1" outline="0" fieldPosition="0">
        <references count="3">
          <reference field="4" count="1" selected="0">
            <x v="0"/>
          </reference>
          <reference field="5" count="1" selected="0">
            <x v="1"/>
          </reference>
          <reference field="7" count="1">
            <x v="47"/>
          </reference>
        </references>
      </pivotArea>
    </format>
    <format dxfId="456">
      <pivotArea dataOnly="0" labelOnly="1" outline="0" fieldPosition="0">
        <references count="3">
          <reference field="4" count="1" selected="0">
            <x v="0"/>
          </reference>
          <reference field="5" count="1" selected="0">
            <x v="12"/>
          </reference>
          <reference field="7" count="2">
            <x v="256"/>
            <x v="262"/>
          </reference>
        </references>
      </pivotArea>
    </format>
    <format dxfId="455">
      <pivotArea dataOnly="0" labelOnly="1" outline="0" fieldPosition="0">
        <references count="3">
          <reference field="4" count="1" selected="0">
            <x v="0"/>
          </reference>
          <reference field="5" count="1" selected="0">
            <x v="17"/>
          </reference>
          <reference field="7" count="2">
            <x v="110"/>
            <x v="282"/>
          </reference>
        </references>
      </pivotArea>
    </format>
    <format dxfId="454">
      <pivotArea dataOnly="0" labelOnly="1" outline="0" fieldPosition="0">
        <references count="3">
          <reference field="4" count="1" selected="0">
            <x v="0"/>
          </reference>
          <reference field="5" count="1" selected="0">
            <x v="18"/>
          </reference>
          <reference field="7" count="3">
            <x v="154"/>
            <x v="284"/>
            <x v="299"/>
          </reference>
        </references>
      </pivotArea>
    </format>
    <format dxfId="453">
      <pivotArea dataOnly="0" labelOnly="1" outline="0" fieldPosition="0">
        <references count="3">
          <reference field="4" count="1" selected="0">
            <x v="0"/>
          </reference>
          <reference field="5" count="1" selected="0">
            <x v="28"/>
          </reference>
          <reference field="7" count="2">
            <x v="125"/>
            <x v="529"/>
          </reference>
        </references>
      </pivotArea>
    </format>
    <format dxfId="452">
      <pivotArea dataOnly="0" labelOnly="1" outline="0" fieldPosition="0">
        <references count="3">
          <reference field="4" count="1" selected="0">
            <x v="0"/>
          </reference>
          <reference field="5" count="1" selected="0">
            <x v="31"/>
          </reference>
          <reference field="7" count="1">
            <x v="205"/>
          </reference>
        </references>
      </pivotArea>
    </format>
    <format dxfId="451">
      <pivotArea dataOnly="0" labelOnly="1" outline="0" fieldPosition="0">
        <references count="3">
          <reference field="4" count="1" selected="0">
            <x v="0"/>
          </reference>
          <reference field="5" count="1" selected="0">
            <x v="33"/>
          </reference>
          <reference field="7" count="1">
            <x v="466"/>
          </reference>
        </references>
      </pivotArea>
    </format>
    <format dxfId="450">
      <pivotArea dataOnly="0" labelOnly="1" outline="0" fieldPosition="0">
        <references count="3">
          <reference field="4" count="1" selected="0">
            <x v="0"/>
          </reference>
          <reference field="5" count="1" selected="0">
            <x v="35"/>
          </reference>
          <reference field="7" count="1">
            <x v="100"/>
          </reference>
        </references>
      </pivotArea>
    </format>
    <format dxfId="449">
      <pivotArea dataOnly="0" labelOnly="1" outline="0" fieldPosition="0">
        <references count="3">
          <reference field="4" count="1" selected="0">
            <x v="1"/>
          </reference>
          <reference field="5" count="1" selected="0">
            <x v="8"/>
          </reference>
          <reference field="7" count="1">
            <x v="132"/>
          </reference>
        </references>
      </pivotArea>
    </format>
    <format dxfId="448">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447">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446">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445">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444">
      <pivotArea dataOnly="0" labelOnly="1" outline="0" fieldPosition="0">
        <references count="3">
          <reference field="4" count="1" selected="0">
            <x v="1"/>
          </reference>
          <reference field="5" count="1" selected="0">
            <x v="30"/>
          </reference>
          <reference field="7" count="3">
            <x v="19"/>
            <x v="351"/>
            <x v="352"/>
          </reference>
        </references>
      </pivotArea>
    </format>
    <format dxfId="443">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442">
      <pivotArea dataOnly="0" labelOnly="1" outline="0" fieldPosition="0">
        <references count="3">
          <reference field="4" count="1" selected="0">
            <x v="2"/>
          </reference>
          <reference field="5" count="1" selected="0">
            <x v="6"/>
          </reference>
          <reference field="7" count="1">
            <x v="248"/>
          </reference>
        </references>
      </pivotArea>
    </format>
    <format dxfId="441">
      <pivotArea dataOnly="0" labelOnly="1" outline="0" fieldPosition="0">
        <references count="3">
          <reference field="4" count="1" selected="0">
            <x v="2"/>
          </reference>
          <reference field="5" count="1" selected="0">
            <x v="7"/>
          </reference>
          <reference field="7" count="1">
            <x v="372"/>
          </reference>
        </references>
      </pivotArea>
    </format>
    <format dxfId="440">
      <pivotArea dataOnly="0" labelOnly="1" outline="0" fieldPosition="0">
        <references count="3">
          <reference field="4" count="1" selected="0">
            <x v="2"/>
          </reference>
          <reference field="5" count="1" selected="0">
            <x v="13"/>
          </reference>
          <reference field="7" count="1">
            <x v="250"/>
          </reference>
        </references>
      </pivotArea>
    </format>
    <format dxfId="439">
      <pivotArea dataOnly="0" labelOnly="1" outline="0" fieldPosition="0">
        <references count="3">
          <reference field="4" count="1" selected="0">
            <x v="2"/>
          </reference>
          <reference field="5" count="1" selected="0">
            <x v="20"/>
          </reference>
          <reference field="7" count="1">
            <x v="111"/>
          </reference>
        </references>
      </pivotArea>
    </format>
    <format dxfId="438">
      <pivotArea dataOnly="0" labelOnly="1" outline="0" fieldPosition="0">
        <references count="4">
          <reference field="4" count="1" selected="0">
            <x v="0"/>
          </reference>
          <reference field="5" count="1" selected="0">
            <x v="1"/>
          </reference>
          <reference field="7" count="1" selected="0">
            <x v="47"/>
          </reference>
          <reference field="137" count="1">
            <x v="4"/>
          </reference>
        </references>
      </pivotArea>
    </format>
    <format dxfId="437">
      <pivotArea dataOnly="0" labelOnly="1" outline="0" fieldPosition="0">
        <references count="4">
          <reference field="4" count="1" selected="0">
            <x v="0"/>
          </reference>
          <reference field="5" count="1" selected="0">
            <x v="12"/>
          </reference>
          <reference field="7" count="1" selected="0">
            <x v="256"/>
          </reference>
          <reference field="137" count="1">
            <x v="4"/>
          </reference>
        </references>
      </pivotArea>
    </format>
    <format dxfId="436">
      <pivotArea dataOnly="0" labelOnly="1" outline="0" fieldPosition="0">
        <references count="4">
          <reference field="4" count="1" selected="0">
            <x v="0"/>
          </reference>
          <reference field="5" count="1" selected="0">
            <x v="12"/>
          </reference>
          <reference field="7" count="1" selected="0">
            <x v="262"/>
          </reference>
          <reference field="137" count="1">
            <x v="4"/>
          </reference>
        </references>
      </pivotArea>
    </format>
    <format dxfId="435">
      <pivotArea dataOnly="0" labelOnly="1" outline="0" fieldPosition="0">
        <references count="4">
          <reference field="4" count="1" selected="0">
            <x v="0"/>
          </reference>
          <reference field="5" count="1" selected="0">
            <x v="17"/>
          </reference>
          <reference field="7" count="1" selected="0">
            <x v="110"/>
          </reference>
          <reference field="137" count="1">
            <x v="4"/>
          </reference>
        </references>
      </pivotArea>
    </format>
    <format dxfId="434">
      <pivotArea dataOnly="0" labelOnly="1" outline="0" fieldPosition="0">
        <references count="4">
          <reference field="4" count="1" selected="0">
            <x v="0"/>
          </reference>
          <reference field="5" count="1" selected="0">
            <x v="17"/>
          </reference>
          <reference field="7" count="1" selected="0">
            <x v="282"/>
          </reference>
          <reference field="137" count="1">
            <x v="4"/>
          </reference>
        </references>
      </pivotArea>
    </format>
    <format dxfId="433">
      <pivotArea dataOnly="0" labelOnly="1" outline="0" fieldPosition="0">
        <references count="4">
          <reference field="4" count="1" selected="0">
            <x v="0"/>
          </reference>
          <reference field="5" count="1" selected="0">
            <x v="18"/>
          </reference>
          <reference field="7" count="1" selected="0">
            <x v="154"/>
          </reference>
          <reference field="137" count="1">
            <x v="4"/>
          </reference>
        </references>
      </pivotArea>
    </format>
    <format dxfId="432">
      <pivotArea dataOnly="0" labelOnly="1" outline="0" fieldPosition="0">
        <references count="4">
          <reference field="4" count="1" selected="0">
            <x v="0"/>
          </reference>
          <reference field="5" count="1" selected="0">
            <x v="18"/>
          </reference>
          <reference field="7" count="1" selected="0">
            <x v="284"/>
          </reference>
          <reference field="137" count="1">
            <x v="4"/>
          </reference>
        </references>
      </pivotArea>
    </format>
    <format dxfId="431">
      <pivotArea dataOnly="0" labelOnly="1" outline="0" fieldPosition="0">
        <references count="4">
          <reference field="4" count="1" selected="0">
            <x v="0"/>
          </reference>
          <reference field="5" count="1" selected="0">
            <x v="18"/>
          </reference>
          <reference field="7" count="1" selected="0">
            <x v="299"/>
          </reference>
          <reference field="137" count="1">
            <x v="4"/>
          </reference>
        </references>
      </pivotArea>
    </format>
    <format dxfId="430">
      <pivotArea dataOnly="0" labelOnly="1" outline="0" fieldPosition="0">
        <references count="4">
          <reference field="4" count="1" selected="0">
            <x v="0"/>
          </reference>
          <reference field="5" count="1" selected="0">
            <x v="28"/>
          </reference>
          <reference field="7" count="1" selected="0">
            <x v="125"/>
          </reference>
          <reference field="137" count="1">
            <x v="4"/>
          </reference>
        </references>
      </pivotArea>
    </format>
    <format dxfId="429">
      <pivotArea dataOnly="0" labelOnly="1" outline="0" fieldPosition="0">
        <references count="4">
          <reference field="4" count="1" selected="0">
            <x v="0"/>
          </reference>
          <reference field="5" count="1" selected="0">
            <x v="28"/>
          </reference>
          <reference field="7" count="1" selected="0">
            <x v="529"/>
          </reference>
          <reference field="137" count="1">
            <x v="4"/>
          </reference>
        </references>
      </pivotArea>
    </format>
    <format dxfId="428">
      <pivotArea dataOnly="0" labelOnly="1" outline="0" fieldPosition="0">
        <references count="4">
          <reference field="4" count="1" selected="0">
            <x v="0"/>
          </reference>
          <reference field="5" count="1" selected="0">
            <x v="31"/>
          </reference>
          <reference field="7" count="1" selected="0">
            <x v="205"/>
          </reference>
          <reference field="137" count="1">
            <x v="4"/>
          </reference>
        </references>
      </pivotArea>
    </format>
    <format dxfId="427">
      <pivotArea dataOnly="0" labelOnly="1" outline="0" fieldPosition="0">
        <references count="4">
          <reference field="4" count="1" selected="0">
            <x v="0"/>
          </reference>
          <reference field="5" count="1" selected="0">
            <x v="33"/>
          </reference>
          <reference field="7" count="1" selected="0">
            <x v="466"/>
          </reference>
          <reference field="137" count="1">
            <x v="3"/>
          </reference>
        </references>
      </pivotArea>
    </format>
    <format dxfId="426">
      <pivotArea dataOnly="0" labelOnly="1" outline="0" fieldPosition="0">
        <references count="4">
          <reference field="4" count="1" selected="0">
            <x v="0"/>
          </reference>
          <reference field="5" count="1" selected="0">
            <x v="35"/>
          </reference>
          <reference field="7" count="1" selected="0">
            <x v="100"/>
          </reference>
          <reference field="137" count="1">
            <x v="3"/>
          </reference>
        </references>
      </pivotArea>
    </format>
    <format dxfId="425">
      <pivotArea dataOnly="0" labelOnly="1" outline="0" fieldPosition="0">
        <references count="4">
          <reference field="4" count="1" selected="0">
            <x v="1"/>
          </reference>
          <reference field="5" count="1" selected="0">
            <x v="32"/>
          </reference>
          <reference field="7" count="1" selected="0">
            <x v="40"/>
          </reference>
          <reference field="137" count="1">
            <x v="4"/>
          </reference>
        </references>
      </pivotArea>
    </format>
    <format dxfId="424">
      <pivotArea dataOnly="0" labelOnly="1" outline="0" fieldPosition="0">
        <references count="4">
          <reference field="4" count="1" selected="0">
            <x v="2"/>
          </reference>
          <reference field="5" count="1" selected="0">
            <x v="6"/>
          </reference>
          <reference field="7" count="1" selected="0">
            <x v="248"/>
          </reference>
          <reference field="137" count="1">
            <x v="3"/>
          </reference>
        </references>
      </pivotArea>
    </format>
    <format dxfId="423">
      <pivotArea dataOnly="0" labelOnly="1" outline="0" fieldPosition="0">
        <references count="4">
          <reference field="4" count="1" selected="0">
            <x v="2"/>
          </reference>
          <reference field="5" count="1" selected="0">
            <x v="7"/>
          </reference>
          <reference field="7" count="1" selected="0">
            <x v="372"/>
          </reference>
          <reference field="137" count="1">
            <x v="3"/>
          </reference>
        </references>
      </pivotArea>
    </format>
    <format dxfId="422">
      <pivotArea dataOnly="0" labelOnly="1" outline="0" fieldPosition="0">
        <references count="4">
          <reference field="4" count="1" selected="0">
            <x v="2"/>
          </reference>
          <reference field="5" count="1" selected="0">
            <x v="13"/>
          </reference>
          <reference field="7" count="1" selected="0">
            <x v="250"/>
          </reference>
          <reference field="137" count="1">
            <x v="3"/>
          </reference>
        </references>
      </pivotArea>
    </format>
    <format dxfId="421">
      <pivotArea dataOnly="0" labelOnly="1" outline="0" fieldPosition="0">
        <references count="4">
          <reference field="4" count="1" selected="0">
            <x v="2"/>
          </reference>
          <reference field="5" count="1" selected="0">
            <x v="20"/>
          </reference>
          <reference field="7" count="1" selected="0">
            <x v="111"/>
          </reference>
          <reference field="137" count="1">
            <x v="3"/>
          </reference>
        </references>
      </pivotArea>
    </format>
    <format dxfId="420">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D9DA67A-9FDE-46D1-93AC-F6795F17EF2F}" name="PivotTable2" cacheId="4"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G212:M214" firstHeaderRow="0" firstDataRow="1" firstDataCol="1" rowPageCount="3" colPageCount="1"/>
  <pivotFields count="155">
    <pivotField axis="axisPage" subtotalTop="0" multipleItemSelectionAllowed="1" showAll="0">
      <items count="26">
        <item h="1" m="1" x="23"/>
        <item m="1" x="9"/>
        <item m="1" x="24"/>
        <item h="1" m="1" x="16"/>
        <item m="1" x="5"/>
        <item h="1" m="1" x="3"/>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showAll="0">
      <items count="7">
        <item h="1" x="0"/>
        <item h="1" m="1" x="3"/>
        <item x="1"/>
        <item h="1" m="1" x="2"/>
        <item h="1" m="1" x="5"/>
        <item h="1" m="1" x="4"/>
        <item t="default"/>
      </items>
    </pivotField>
    <pivotField subtotalTop="0" showAll="0"/>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2"/>
    </i>
    <i t="grand">
      <x/>
    </i>
  </rowItems>
  <colFields count="1">
    <field x="-2"/>
  </colFields>
  <colItems count="6">
    <i>
      <x/>
    </i>
    <i i="1">
      <x v="1"/>
    </i>
    <i i="2">
      <x v="2"/>
    </i>
    <i i="3">
      <x v="3"/>
    </i>
    <i i="4">
      <x v="4"/>
    </i>
    <i i="5">
      <x v="5"/>
    </i>
  </colItems>
  <pageFields count="3">
    <pageField fld="0" hier="-1"/>
    <pageField fld="142" item="0" hier="-1"/>
    <pageField fld="6" hier="-1"/>
  </pageFields>
  <dataFields count="6">
    <dataField name="Sum of Total PoP " fld="9" baseField="0" baseItem="0"/>
    <dataField name="Sum of Total HH" fld="8" baseField="2" baseItem="0" numFmtId="3"/>
    <dataField name="Sum of # people reached by regular dedicated hygiene promotion_5" fld="115" baseField="0" baseItem="0"/>
    <dataField name="Sum of #HH with access to Hand Washing Station" fld="126" baseField="2" baseItem="0" numFmtId="3"/>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5">
    <format dxfId="500">
      <pivotArea type="all" dataOnly="0" outline="0" fieldPosition="0"/>
    </format>
    <format dxfId="499">
      <pivotArea type="all" dataOnly="0" outline="0" fieldPosition="0"/>
    </format>
    <format dxfId="498">
      <pivotArea outline="0" collapsedLevelsAreSubtotals="1" fieldPosition="0"/>
    </format>
    <format dxfId="497">
      <pivotArea field="4" type="button" dataOnly="0" labelOnly="1" outline="0" axis="axisRow" fieldPosition="0"/>
    </format>
    <format dxfId="496">
      <pivotArea dataOnly="0" labelOnly="1" fieldPosition="0">
        <references count="1">
          <reference field="4" count="0"/>
        </references>
      </pivotArea>
    </format>
    <format dxfId="495">
      <pivotArea dataOnly="0" labelOnly="1" grandRow="1" outline="0" fieldPosition="0"/>
    </format>
    <format dxfId="494">
      <pivotArea dataOnly="0" labelOnly="1" outline="0" fieldPosition="0">
        <references count="1">
          <reference field="4294967294" count="2">
            <x v="1"/>
            <x v="3"/>
          </reference>
        </references>
      </pivotArea>
    </format>
    <format dxfId="493">
      <pivotArea outline="0" fieldPosition="0">
        <references count="1">
          <reference field="4294967294" count="1">
            <x v="1"/>
          </reference>
        </references>
      </pivotArea>
    </format>
    <format dxfId="492">
      <pivotArea outline="0" fieldPosition="0">
        <references count="1">
          <reference field="4294967294" count="1">
            <x v="3"/>
          </reference>
        </references>
      </pivotArea>
    </format>
    <format dxfId="491">
      <pivotArea type="all" dataOnly="0" outline="0" fieldPosition="0"/>
    </format>
    <format dxfId="490">
      <pivotArea outline="0" collapsedLevelsAreSubtotals="1" fieldPosition="0"/>
    </format>
    <format dxfId="489">
      <pivotArea field="4" type="button" dataOnly="0" labelOnly="1" outline="0" axis="axisRow" fieldPosition="0"/>
    </format>
    <format dxfId="488">
      <pivotArea dataOnly="0" labelOnly="1" fieldPosition="0">
        <references count="1">
          <reference field="4" count="0"/>
        </references>
      </pivotArea>
    </format>
    <format dxfId="487">
      <pivotArea dataOnly="0" labelOnly="1" grandRow="1" outline="0" fieldPosition="0"/>
    </format>
    <format dxfId="486">
      <pivotArea dataOnly="0" labelOnly="1" outline="0" fieldPosition="0">
        <references count="1">
          <reference field="4294967294" count="3">
            <x v="1"/>
            <x v="2"/>
            <x v="3"/>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08000000}" name="K_water1"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7">
  <location ref="B38:D40" firstHeaderRow="0" firstDataRow="1" firstDataCol="1" rowPageCount="4" colPageCount="1"/>
  <pivotFields count="155">
    <pivotField axis="axisPage" subtotalTop="0" multipleItemSelectionAllowed="1" showAll="0">
      <items count="26">
        <item h="1" m="1" x="23"/>
        <item m="1" x="9"/>
        <item h="1" m="1" x="16"/>
        <item h="1" m="1" x="3"/>
        <item m="1" x="24"/>
        <item m="1" x="5"/>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x="0"/>
        <item h="1" m="1" x="3"/>
        <item h="1" x="1"/>
        <item h="1" m="1" x="2"/>
        <item h="1" m="1" x="5"/>
        <item h="1" m="1" x="4"/>
        <item t="default"/>
      </items>
    </pivotField>
    <pivotField subtotalTop="0" showAll="0"/>
    <pivotField axis="axisPage" multipleItemSelectionAllowed="1" showAll="0" defaultSubtotal="0">
      <items count="14">
        <item x="0"/>
        <item x="1"/>
        <item m="1" x="10"/>
        <item m="1" x="6"/>
        <item m="1" x="5"/>
        <item h="1" m="1" x="12"/>
        <item m="1" x="9"/>
        <item h="1" m="1" x="13"/>
        <item h="1" m="1" x="7"/>
        <item h="1" m="1" x="8"/>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GCA (500:1)" x="0"/>
        <item n="NGCA (500:1)" x="1"/>
        <item t="default"/>
      </items>
    </pivotField>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38"/>
  </rowFields>
  <rowItems count="2">
    <i>
      <x v="339"/>
    </i>
    <i>
      <x v="340"/>
    </i>
  </rowItems>
  <colFields count="1">
    <field x="-2"/>
  </colFields>
  <colItems count="2">
    <i>
      <x/>
    </i>
    <i i="1">
      <x v="1"/>
    </i>
  </colItems>
  <pageFields count="4">
    <pageField fld="0" hier="-1"/>
    <pageField fld="4" hier="-1"/>
    <pageField fld="142" item="0" hier="-1"/>
    <pageField fld="6" hier="-1"/>
  </pageFields>
  <dataFields count="2">
    <dataField name="Coverage" fld="99" baseField="132" baseItem="340"/>
    <dataField name="Gap" fld="102" baseField="132" baseItem="340"/>
  </dataFields>
  <formats count="15">
    <format dxfId="515">
      <pivotArea type="all" dataOnly="0" outline="0" fieldPosition="0"/>
    </format>
    <format dxfId="514">
      <pivotArea outline="0" collapsedLevelsAreSubtotals="1" fieldPosition="0"/>
    </format>
    <format dxfId="513">
      <pivotArea field="138" type="button" dataOnly="0" labelOnly="1" outline="0" axis="axisRow" fieldPosition="0"/>
    </format>
    <format dxfId="512">
      <pivotArea dataOnly="0" labelOnly="1" fieldPosition="0">
        <references count="1">
          <reference field="138" count="0"/>
        </references>
      </pivotArea>
    </format>
    <format dxfId="511">
      <pivotArea type="all" dataOnly="0" outline="0" fieldPosition="0"/>
    </format>
    <format dxfId="510">
      <pivotArea field="138" type="button" dataOnly="0" labelOnly="1" outline="0" axis="axisRow" fieldPosition="0"/>
    </format>
    <format dxfId="509">
      <pivotArea dataOnly="0" labelOnly="1" fieldPosition="0">
        <references count="1">
          <reference field="138" count="0"/>
        </references>
      </pivotArea>
    </format>
    <format dxfId="508">
      <pivotArea field="138" type="button" dataOnly="0" labelOnly="1" outline="0" axis="axisRow" fieldPosition="0"/>
    </format>
    <format dxfId="507">
      <pivotArea type="all" dataOnly="0" outline="0" fieldPosition="0"/>
    </format>
    <format dxfId="506">
      <pivotArea outline="0" collapsedLevelsAreSubtotals="1" fieldPosition="0"/>
    </format>
    <format dxfId="505">
      <pivotArea field="138" type="button" dataOnly="0" labelOnly="1" outline="0" axis="axisRow" fieldPosition="0"/>
    </format>
    <format dxfId="504">
      <pivotArea dataOnly="0" labelOnly="1" fieldPosition="0">
        <references count="1">
          <reference field="138" count="2">
            <x v="339"/>
            <x v="340"/>
          </reference>
        </references>
      </pivotArea>
    </format>
    <format dxfId="503">
      <pivotArea field="4" type="button" dataOnly="0" labelOnly="1" outline="0" axis="axisPage" fieldPosition="1"/>
    </format>
    <format dxfId="502">
      <pivotArea dataOnly="0" labelOnly="1" outline="0" fieldPosition="0">
        <references count="2">
          <reference field="4" count="0"/>
          <reference field="142" count="1" selected="0">
            <x v="0"/>
          </reference>
        </references>
      </pivotArea>
    </format>
    <format dxfId="501">
      <pivotArea outline="0" collapsedLevelsAreSubtotals="1" fieldPosition="0"/>
    </format>
  </formats>
  <chartFormats count="4">
    <chartFormat chart="18" format="11"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18" format="12" series="1">
      <pivotArea type="data" outline="0" fieldPosition="0">
        <references count="1">
          <reference field="4294967294" count="1" selected="0">
            <x v="1"/>
          </reference>
        </references>
      </pivotArea>
    </chartFormat>
    <chartFormat chart="5"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3300D68C-CB54-4905-82D8-19F175A22385}" name="PivotTable3" cacheId="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1" rowHeaderCaption="State">
  <location ref="C404:F409" firstHeaderRow="1" firstDataRow="2" firstDataCol="1" rowPageCount="3" colPageCount="1"/>
  <pivotFields count="155">
    <pivotField axis="axisCol" subtotalTop="0" multipleItemSelectionAllowed="1" showAll="0">
      <items count="26">
        <item m="1" x="23"/>
        <item m="1" x="9"/>
        <item m="1" x="24"/>
        <item m="1" x="16"/>
        <item m="1" x="5"/>
        <item m="1" x="3"/>
        <item m="1" x="22"/>
        <item m="1" x="18"/>
        <item m="1" x="20"/>
        <item m="1" x="21"/>
        <item m="1" x="12"/>
        <item m="1" x="14"/>
        <item m="1" x="17"/>
        <item m="1" x="19"/>
        <item m="1" x="7"/>
        <item m="1" x="10"/>
        <item m="1" x="13"/>
        <item m="1" x="15"/>
        <item m="1" x="4"/>
        <item m="1" x="6"/>
        <item m="1" x="8"/>
        <item m="1" x="11"/>
        <item x="0"/>
        <item x="1"/>
        <item x="2"/>
        <item t="default"/>
      </items>
    </pivotField>
    <pivotField showAll="0" defaultSubtotal="0"/>
    <pivotField showAll="0" defaultSubtotal="0"/>
    <pivotField subtotalTop="0" showAll="0"/>
    <pivotField axis="axisPage" subtotalTop="0" multipleItemSelectionAllowed="1" showAll="0">
      <items count="7">
        <item x="0"/>
        <item m="1" x="3"/>
        <item h="1" x="1"/>
        <item m="1" x="2"/>
        <item h="1" m="1" x="5"/>
        <item h="1" m="1" x="4"/>
        <item t="default"/>
      </items>
    </pivotField>
    <pivotField subtotalTop="0" showAll="0"/>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1"/>
        <item n="Gap" h="1" x="0"/>
        <item h="1" m="1" x="4"/>
        <item h="1"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3">
    <i>
      <x v="22"/>
    </i>
    <i>
      <x v="23"/>
    </i>
    <i>
      <x v="24"/>
    </i>
  </colItems>
  <pageFields count="3">
    <pageField fld="142" hier="-1"/>
    <pageField fld="6" hier="-1"/>
    <pageField fld="4" hier="-1"/>
  </pageFields>
  <dataFields count="4">
    <dataField name=" % of affected people surveyed who report feeling satistfied with the latrine design and sanitation service" fld="71" subtotal="average" baseField="0" baseItem="1"/>
    <dataField name="% of affected people surveyed who report feeling satistfied with the water point design and water service" fld="72" subtotal="average" baseField="0" baseItem="1"/>
    <dataField name="% of complaints received that result in timely corrective action and feedback to the community" fld="74" subtotal="average" baseField="0" baseItem="1"/>
    <dataField name="% of affected people surveyed who report feeling informed about the different WASH services available to them" fld="130" subtotal="average" baseField="0" baseItem="3"/>
  </dataFields>
  <formats count="14">
    <format dxfId="529">
      <pivotArea type="all" dataOnly="0" outline="0" fieldPosition="0"/>
    </format>
    <format dxfId="528">
      <pivotArea outline="0" collapsedLevelsAreSubtotals="1" fieldPosition="0"/>
    </format>
    <format dxfId="527">
      <pivotArea field="4" type="button" dataOnly="0" labelOnly="1" outline="0" axis="axisPage" fieldPosition="2"/>
    </format>
    <format dxfId="526">
      <pivotArea dataOnly="0" labelOnly="1" grandRow="1" outline="0" fieldPosition="0"/>
    </format>
    <format dxfId="525">
      <pivotArea type="all" dataOnly="0" outline="0" fieldPosition="0"/>
    </format>
    <format dxfId="524">
      <pivotArea outline="0" collapsedLevelsAreSubtotals="1" fieldPosition="0"/>
    </format>
    <format dxfId="523">
      <pivotArea type="origin" dataOnly="0" labelOnly="1" outline="0" fieldPosition="0"/>
    </format>
    <format dxfId="522">
      <pivotArea field="142" type="button" dataOnly="0" labelOnly="1" outline="0" axis="axisPage" fieldPosition="0"/>
    </format>
    <format dxfId="521">
      <pivotArea type="topRight" dataOnly="0" labelOnly="1" outline="0" fieldPosition="0"/>
    </format>
    <format dxfId="520">
      <pivotArea dataOnly="0" labelOnly="1" fieldPosition="0">
        <references count="1">
          <reference field="142" count="0"/>
        </references>
      </pivotArea>
    </format>
    <format dxfId="519">
      <pivotArea type="all" dataOnly="0" outline="0" fieldPosition="0"/>
    </format>
    <format dxfId="518">
      <pivotArea outline="0" collapsedLevelsAreSubtotals="1" fieldPosition="0"/>
    </format>
    <format dxfId="517">
      <pivotArea field="4" type="button" dataOnly="0" labelOnly="1" outline="0" axis="axisPage" fieldPosition="2"/>
    </format>
    <format dxfId="516">
      <pivotArea outline="0" collapsedLevelsAreSubtotals="1" fieldPosition="0"/>
    </format>
  </formats>
  <chartFormats count="17">
    <chartFormat chart="18" format="0" series="1">
      <pivotArea type="data" outline="0" fieldPosition="0">
        <references count="2">
          <reference field="4294967294" count="1" selected="0">
            <x v="0"/>
          </reference>
          <reference field="0" count="1" selected="0">
            <x v="18"/>
          </reference>
        </references>
      </pivotArea>
    </chartFormat>
    <chartFormat chart="18" format="1" series="1">
      <pivotArea type="data" outline="0" fieldPosition="0">
        <references count="2">
          <reference field="4294967294" count="1" selected="0">
            <x v="0"/>
          </reference>
          <reference field="0" count="1" selected="0">
            <x v="19"/>
          </reference>
        </references>
      </pivotArea>
    </chartFormat>
    <chartFormat chart="18" format="2" series="1">
      <pivotArea type="data" outline="0" fieldPosition="0">
        <references count="2">
          <reference field="4294967294" count="1" selected="0">
            <x v="0"/>
          </reference>
          <reference field="0" count="1" selected="0">
            <x v="20"/>
          </reference>
        </references>
      </pivotArea>
    </chartFormat>
    <chartFormat chart="20" format="6" series="1">
      <pivotArea type="data" outline="0" fieldPosition="0">
        <references count="2">
          <reference field="4294967294" count="1" selected="0">
            <x v="0"/>
          </reference>
          <reference field="0" count="1" selected="0">
            <x v="18"/>
          </reference>
        </references>
      </pivotArea>
    </chartFormat>
    <chartFormat chart="20" format="7" series="1">
      <pivotArea type="data" outline="0" fieldPosition="0">
        <references count="2">
          <reference field="4294967294" count="1" selected="0">
            <x v="0"/>
          </reference>
          <reference field="0" count="1" selected="0">
            <x v="19"/>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18" format="3" series="1">
      <pivotArea type="data" outline="0" fieldPosition="0">
        <references count="2">
          <reference field="4294967294" count="1" selected="0">
            <x v="0"/>
          </reference>
          <reference field="0" count="1" selected="0">
            <x v="21"/>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18" format="4"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0"/>
          </reference>
        </references>
      </pivotArea>
    </chartFormat>
    <chartFormat chart="18" format="5" series="1">
      <pivotArea type="data" outline="0" fieldPosition="0">
        <references count="2">
          <reference field="4294967294" count="1" selected="0">
            <x v="0"/>
          </reference>
          <reference field="0" count="1" selected="0">
            <x v="23"/>
          </reference>
        </references>
      </pivotArea>
    </chartFormat>
    <chartFormat chart="20" format="11" series="1">
      <pivotArea type="data" outline="0" fieldPosition="0">
        <references count="2">
          <reference field="4294967294" count="1" selected="0">
            <x v="0"/>
          </reference>
          <reference field="0" count="1" selected="0">
            <x v="23"/>
          </reference>
        </references>
      </pivotArea>
    </chartFormat>
    <chartFormat chart="18" format="6" series="1">
      <pivotArea type="data" outline="0" fieldPosition="0">
        <references count="2">
          <reference field="4294967294" count="1" selected="0">
            <x v="0"/>
          </reference>
          <reference field="0" count="1" selected="0">
            <x v="22"/>
          </reference>
        </references>
      </pivotArea>
    </chartFormat>
    <chartFormat chart="20" format="12">
      <pivotArea type="data" outline="0" fieldPosition="0">
        <references count="2">
          <reference field="4294967294" count="1" selected="0">
            <x v="0"/>
          </reference>
          <reference field="0" count="1" selected="0">
            <x v="22"/>
          </reference>
        </references>
      </pivotArea>
    </chartFormat>
    <chartFormat chart="20" format="13" series="1">
      <pivotArea type="data" outline="0" fieldPosition="0">
        <references count="2">
          <reference field="4294967294" count="1" selected="0">
            <x v="0"/>
          </reference>
          <reference field="0" count="1" selected="0">
            <x v="22"/>
          </reference>
        </references>
      </pivotArea>
    </chartFormat>
    <chartFormat chart="18" format="7" series="1">
      <pivotArea type="data" outline="0" fieldPosition="0">
        <references count="2">
          <reference field="4294967294" count="1" selected="0">
            <x v="0"/>
          </reference>
          <reference field="0" count="1" selected="0">
            <x v="24"/>
          </reference>
        </references>
      </pivotArea>
    </chartFormat>
    <chartFormat chart="20" format="14" series="1">
      <pivotArea type="data" outline="0" fieldPosition="0">
        <references count="2">
          <reference field="4294967294" count="1" selected="0">
            <x v="0"/>
          </reference>
          <reference field="0" count="1" selected="0">
            <x v="24"/>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4D124756-5AB1-4955-AACF-2E39A22E30C3}" name="PivotTable11" cacheId="4" dataPosition="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4">
  <location ref="X120:Z121" firstHeaderRow="0" firstDataRow="1" firstDataCol="1" rowPageCount="4" colPageCount="1"/>
  <pivotFields count="155">
    <pivotField axis="axisPage" subtotalTop="0" multipleItemSelectionAllowed="1" showAll="0">
      <items count="26">
        <item m="1" x="23"/>
        <item m="1" x="9"/>
        <item m="1" x="24"/>
        <item m="1" x="16"/>
        <item m="1" x="5"/>
        <item m="1" x="3"/>
        <item m="1" x="22"/>
        <item m="1" x="18"/>
        <item m="1" x="20"/>
        <item m="1" x="21"/>
        <item m="1" x="12"/>
        <item m="1" x="14"/>
        <item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subtotalTop="0" showAll="0"/>
    <pivotField axis="axisPage" multipleItemSelectionAllowed="1" showAll="0" defaultSubtotal="0">
      <items count="14">
        <item x="0"/>
        <item x="1"/>
        <item m="1" x="10"/>
        <item h="1" m="1" x="8"/>
        <item m="1" x="6"/>
        <item m="1" x="5"/>
        <item h="1" m="1" x="12"/>
        <item m="1" x="9"/>
        <item h="1" m="1" x="13"/>
        <item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 in GCA (20:1)" x="0"/>
        <item n="# in NGCA (20:1)" x="1"/>
        <item t="default"/>
      </items>
    </pivotField>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38"/>
  </rowFields>
  <rowItems count="1">
    <i>
      <x v="339"/>
    </i>
  </rowItems>
  <colFields count="1">
    <field x="-2"/>
  </colFields>
  <colItems count="2">
    <i>
      <x/>
    </i>
    <i i="1">
      <x v="1"/>
    </i>
  </colItems>
  <pageFields count="4">
    <pageField fld="0" hier="-1"/>
    <pageField fld="4" item="2" hier="-1"/>
    <pageField fld="142" item="0" hier="-1"/>
    <pageField fld="6" hier="-1"/>
  </pageFields>
  <dataFields count="2">
    <dataField name="Accessed" fld="107" baseField="0" baseItem="0"/>
    <dataField name="Not-accessed" fld="154" baseField="0" baseItem="0" numFmtId="1"/>
  </dataFields>
  <formats count="15">
    <format dxfId="544">
      <pivotArea field="4" type="button" dataOnly="0" labelOnly="1" outline="0" axis="axisPage" fieldPosition="1"/>
    </format>
    <format dxfId="543">
      <pivotArea type="all" dataOnly="0" outline="0" fieldPosition="0"/>
    </format>
    <format dxfId="542">
      <pivotArea type="origin" dataOnly="0" labelOnly="1" outline="0" fieldPosition="0"/>
    </format>
    <format dxfId="541">
      <pivotArea type="topRight" dataOnly="0" labelOnly="1" outline="0" fieldPosition="0"/>
    </format>
    <format dxfId="540">
      <pivotArea field="-2" type="button" dataOnly="0" labelOnly="1" outline="0" axis="axisCol" fieldPosition="0"/>
    </format>
    <format dxfId="539">
      <pivotArea type="all" dataOnly="0" outline="0" fieldPosition="0"/>
    </format>
    <format dxfId="538">
      <pivotArea outline="0" collapsedLevelsAreSubtotals="1" fieldPosition="0"/>
    </format>
    <format dxfId="537">
      <pivotArea type="origin" dataOnly="0" labelOnly="1" outline="0" fieldPosition="0"/>
    </format>
    <format dxfId="536">
      <pivotArea type="topRight" dataOnly="0" labelOnly="1" outline="0" fieldPosition="0"/>
    </format>
    <format dxfId="535">
      <pivotArea field="-2" type="button" dataOnly="0" labelOnly="1" outline="0" axis="axisCol" fieldPosition="0"/>
    </format>
    <format dxfId="534">
      <pivotArea dataOnly="0" labelOnly="1" outline="0" fieldPosition="0">
        <references count="3">
          <reference field="0" count="1" selected="0">
            <x v="7"/>
          </reference>
          <reference field="4" count="1">
            <x v="0"/>
          </reference>
          <reference field="142" count="1" selected="0">
            <x v="0"/>
          </reference>
        </references>
      </pivotArea>
    </format>
    <format dxfId="533">
      <pivotArea type="all" dataOnly="0" outline="0" fieldPosition="0"/>
    </format>
    <format dxfId="532">
      <pivotArea outline="0" collapsedLevelsAreSubtotals="1" fieldPosition="0"/>
    </format>
    <format dxfId="531">
      <pivotArea dataOnly="0" labelOnly="1" fieldPosition="0">
        <references count="1">
          <reference field="138" count="2">
            <x v="339"/>
            <x v="340"/>
          </reference>
        </references>
      </pivotArea>
    </format>
    <format dxfId="530">
      <pivotArea outline="0" collapsedLevelsAreSubtotals="1" fieldPosition="0"/>
    </format>
  </formats>
  <chartFormats count="10">
    <chartFormat chart="27" format="0" series="1">
      <pivotArea type="data" outline="0" fieldPosition="0">
        <references count="2">
          <reference field="4294967294" count="1" selected="0">
            <x v="0"/>
          </reference>
          <reference field="138" count="1" selected="0">
            <x v="339"/>
          </reference>
        </references>
      </pivotArea>
    </chartFormat>
    <chartFormat chart="27" format="1" series="1">
      <pivotArea type="data" outline="0" fieldPosition="0">
        <references count="2">
          <reference field="4294967294" count="1" selected="0">
            <x v="0"/>
          </reference>
          <reference field="138" count="1" selected="0">
            <x v="340"/>
          </reference>
        </references>
      </pivotArea>
    </chartFormat>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K_L_CG_C"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7" rowHeaderCaption="State" colHeaderCaption=" ">
  <location ref="B187:D200" firstHeaderRow="0" firstDataRow="1" firstDataCol="1" rowPageCount="4" colPageCount="1"/>
  <pivotFields count="155">
    <pivotField axis="axisPage" subtotalTop="0" multipleItemSelectionAllowed="1" showAll="0">
      <items count="26">
        <item m="1" x="23"/>
        <item m="1" x="9"/>
        <item h="1" m="1" x="16"/>
        <item h="1" m="1" x="3"/>
        <item m="1" x="24"/>
        <item m="1" x="5"/>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items count="47">
        <item m="1" x="31"/>
        <item x="0"/>
        <item m="1" x="43"/>
        <item x="6"/>
        <item x="1"/>
        <item x="23"/>
        <item x="16"/>
        <item x="14"/>
        <item m="1" x="38"/>
        <item m="1" x="26"/>
        <item x="15"/>
        <item m="1" x="41"/>
        <item x="5"/>
        <item x="21"/>
        <item m="1" x="36"/>
        <item m="1" x="30"/>
        <item x="8"/>
        <item x="10"/>
        <item x="2"/>
        <item m="1" x="42"/>
        <item x="18"/>
        <item m="1" x="34"/>
        <item x="7"/>
        <item m="1" x="33"/>
        <item x="22"/>
        <item x="19"/>
        <item m="1" x="28"/>
        <item m="1" x="32"/>
        <item m="1" x="37"/>
        <item x="11"/>
        <item m="1" x="44"/>
        <item m="1" x="40"/>
        <item x="12"/>
        <item m="1" x="39"/>
        <item x="9"/>
        <item x="13"/>
        <item x="3"/>
        <item m="1" x="25"/>
        <item m="1" x="27"/>
        <item m="1" x="24"/>
        <item m="1" x="35"/>
        <item x="17"/>
        <item m="1" x="29"/>
        <item x="20"/>
        <item x="4"/>
        <item m="1" x="45"/>
        <item t="default"/>
      </items>
    </pivotField>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13">
    <i>
      <x v="1"/>
    </i>
    <i>
      <x v="3"/>
    </i>
    <i>
      <x v="4"/>
    </i>
    <i>
      <x v="12"/>
    </i>
    <i>
      <x v="16"/>
    </i>
    <i>
      <x v="17"/>
    </i>
    <i>
      <x v="18"/>
    </i>
    <i>
      <x v="22"/>
    </i>
    <i>
      <x v="32"/>
    </i>
    <i>
      <x v="34"/>
    </i>
    <i>
      <x v="35"/>
    </i>
    <i>
      <x v="36"/>
    </i>
    <i>
      <x v="44"/>
    </i>
  </rowItems>
  <colFields count="1">
    <field x="-2"/>
  </colFields>
  <colItems count="2">
    <i>
      <x/>
    </i>
    <i i="1">
      <x v="1"/>
    </i>
  </colItems>
  <pageFields count="4">
    <pageField fld="0" hier="-1"/>
    <pageField fld="142" item="0" hier="-1"/>
    <pageField fld="4" item="0" hier="-1"/>
    <pageField fld="6" hier="-1"/>
  </pageFields>
  <dataFields count="2">
    <dataField name=" % Latrine Coverage" fld="152" baseField="0" baseItem="0" numFmtId="1"/>
    <dataField name="  % Latrine GAP" fld="153" baseField="0" baseItem="0" numFmtId="1"/>
  </dataFields>
  <formats count="11">
    <format dxfId="555">
      <pivotArea type="all" dataOnly="0" outline="0" fieldPosition="0"/>
    </format>
    <format dxfId="554">
      <pivotArea outline="0" collapsedLevelsAreSubtotals="1" fieldPosition="0"/>
    </format>
    <format dxfId="553">
      <pivotArea field="4" type="button" dataOnly="0" labelOnly="1" outline="0" axis="axisPage" fieldPosition="2"/>
    </format>
    <format dxfId="552">
      <pivotArea type="all" dataOnly="0" outline="0" fieldPosition="0"/>
    </format>
    <format dxfId="551">
      <pivotArea outline="0" collapsedLevelsAreSubtotals="1" fieldPosition="0"/>
    </format>
    <format dxfId="550">
      <pivotArea outline="0" collapsedLevelsAreSubtotals="1" fieldPosition="0"/>
    </format>
    <format dxfId="549">
      <pivotArea field="5" type="button" dataOnly="0" labelOnly="1" outline="0" axis="axisRow" fieldPosition="0"/>
    </format>
    <format dxfId="548">
      <pivotArea field="5" type="button" dataOnly="0" labelOnly="1" outline="0" axis="axisRow" fieldPosition="0"/>
    </format>
    <format dxfId="547">
      <pivotArea field="5" type="button" dataOnly="0" labelOnly="1" outline="0" axis="axisRow" fieldPosition="0"/>
    </format>
    <format dxfId="546">
      <pivotArea field="4" type="button" dataOnly="0" labelOnly="1" outline="0" axis="axisPage" fieldPosition="2"/>
    </format>
    <format dxfId="545">
      <pivotArea dataOnly="0" labelOnly="1" outline="0" fieldPosition="0">
        <references count="2">
          <reference field="4" count="1">
            <x v="0"/>
          </reference>
          <reference field="142" count="1" selected="0">
            <x v="0"/>
          </reference>
        </references>
      </pivotArea>
    </format>
  </formats>
  <conditionalFormats count="1">
    <conditionalFormat priority="6">
      <pivotAreas count="1">
        <pivotArea type="data" outline="0" collapsedLevelsAreSubtotals="1" fieldPosition="0">
          <references count="1">
            <reference field="4294967294" count="1" selected="0">
              <x v="1"/>
            </reference>
          </references>
        </pivotArea>
      </pivotAreas>
    </conditionalFormat>
  </conditionalFormats>
  <chartFormats count="2">
    <chartFormat chart="34" format="3" series="1">
      <pivotArea type="data" outline="0" fieldPosition="0">
        <references count="1">
          <reference field="4294967294" count="1" selected="0">
            <x v="0"/>
          </reference>
        </references>
      </pivotArea>
    </chartFormat>
    <chartFormat chart="34"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149D3C6-8789-4AF0-81CB-6DB4215F9A62}" name="PivotTable1" cacheId="4" applyNumberFormats="0" applyBorderFormats="0" applyFontFormats="0" applyPatternFormats="0" applyAlignmentFormats="0" applyWidthHeightFormats="1" dataCaption="Values" updatedVersion="7" minRefreshableVersion="3" rowGrandTotals="0" colGrandTotals="0" itemPrintTitles="1" createdVersion="6" indent="0" showHeaders="0" compact="0" compactData="0" multipleFieldFilters="0">
  <location ref="A5:O138" firstHeaderRow="0" firstDataRow="1" firstDataCol="1" rowPageCount="3" colPageCount="1"/>
  <pivotFields count="155">
    <pivotField compact="0" outline="0" subtotalTop="0" showAll="0" defaultSubtotal="0"/>
    <pivotField compact="0" outline="0" showAll="0" defaultSubtotal="0"/>
    <pivotField compact="0" outline="0" showAll="0" defaultSubtotal="0"/>
    <pivotField compact="0" outline="0" subtotalTop="0" showAll="0" defaultSubtotal="0"/>
    <pivotField axis="axisPage" compact="0" outline="0" subtotalTop="0" showAll="0" defaultSubtotal="0">
      <items count="6">
        <item x="0"/>
        <item m="1" x="3"/>
        <item x="1"/>
        <item m="1" x="2"/>
        <item m="1" x="5"/>
        <item m="1" x="4"/>
      </items>
    </pivotField>
    <pivotField compact="0" outline="0" subtotalTop="0" showAll="0" defaultSubtotal="0"/>
    <pivotField axis="axisPage" compact="0" outline="0" multipleItemSelectionAllowed="1" showAll="0" defaultSubtotal="0">
      <items count="14">
        <item x="0"/>
        <item x="1"/>
        <item m="1" x="10"/>
        <item h="1" m="1" x="12"/>
        <item h="1" m="1" x="13"/>
        <item h="1" m="1" x="6"/>
        <item h="1" m="1" x="9"/>
        <item h="1" m="1" x="5"/>
        <item m="1" x="7"/>
        <item m="1" x="8"/>
        <item h="1" m="1" x="11"/>
        <item h="1" m="1" x="3"/>
        <item h="1" m="1" x="4"/>
        <item x="2"/>
      </items>
    </pivotField>
    <pivotField axis="axisRow" compact="0" outline="0" subtotalTop="0" showAll="0" defaultSubtotal="0">
      <items count="1068">
        <item m="1" x="910"/>
        <item m="1" x="1051"/>
        <item m="1" x="494"/>
        <item m="1" x="740"/>
        <item m="1" x="311"/>
        <item m="1" x="505"/>
        <item m="1" x="620"/>
        <item x="1"/>
        <item x="2"/>
        <item x="3"/>
        <item x="4"/>
        <item x="5"/>
        <item x="6"/>
        <item m="1" x="478"/>
        <item m="1" x="362"/>
        <item m="1" x="608"/>
        <item m="1" x="277"/>
        <item m="1" x="736"/>
        <item m="1" x="318"/>
        <item m="1" x="582"/>
        <item m="1" x="701"/>
        <item m="1" x="716"/>
        <item m="1" x="899"/>
        <item m="1" x="846"/>
        <item m="1" x="490"/>
        <item m="1" x="773"/>
        <item m="1" x="320"/>
        <item m="1" x="975"/>
        <item m="1" x="879"/>
        <item m="1" x="332"/>
        <item m="1" x="763"/>
        <item m="1" x="544"/>
        <item m="1" x="917"/>
        <item m="1" x="858"/>
        <item m="1" x="940"/>
        <item m="1" x="887"/>
        <item m="1" x="827"/>
        <item m="1" x="714"/>
        <item m="1" x="429"/>
        <item m="1" x="962"/>
        <item m="1" x="400"/>
        <item m="1" x="838"/>
        <item m="1" x="466"/>
        <item m="1" x="977"/>
        <item m="1" x="435"/>
        <item m="1" x="452"/>
        <item m="1" x="826"/>
        <item m="1" x="434"/>
        <item m="1" x="808"/>
        <item m="1" x="559"/>
        <item m="1" x="1002"/>
        <item m="1" x="319"/>
        <item m="1" x="739"/>
        <item m="1" x="450"/>
        <item m="1" x="1052"/>
        <item m="1" x="358"/>
        <item m="1" x="878"/>
        <item m="1" x="1050"/>
        <item m="1" x="230"/>
        <item m="1" x="787"/>
        <item m="1" x="606"/>
        <item m="1" x="677"/>
        <item m="1" x="678"/>
        <item m="1" x="672"/>
        <item m="1" x="248"/>
        <item x="7"/>
        <item m="1" x="1013"/>
        <item m="1" x="1053"/>
        <item m="1" x="774"/>
        <item m="1" x="502"/>
        <item m="1" x="1046"/>
        <item m="1" x="689"/>
        <item m="1" x="1061"/>
        <item m="1" x="523"/>
        <item m="1" x="1024"/>
        <item m="1" x="387"/>
        <item m="1" x="251"/>
        <item m="1" x="241"/>
        <item m="1" x="711"/>
        <item m="1" x="968"/>
        <item m="1" x="420"/>
        <item x="8"/>
        <item m="1" x="342"/>
        <item m="1" x="436"/>
        <item m="1" x="915"/>
        <item m="1" x="868"/>
        <item m="1" x="708"/>
        <item m="1" x="932"/>
        <item m="1" x="266"/>
        <item m="1" x="373"/>
        <item m="1" x="595"/>
        <item m="1" x="228"/>
        <item m="1" x="831"/>
        <item m="1" x="657"/>
        <item m="1" x="981"/>
        <item m="1" x="832"/>
        <item m="1" x="924"/>
        <item m="1" x="591"/>
        <item m="1" x="637"/>
        <item m="1" x="746"/>
        <item m="1" x="566"/>
        <item m="1" x="548"/>
        <item m="1" x="475"/>
        <item m="1" x="430"/>
        <item x="10"/>
        <item m="1" x="1047"/>
        <item m="1" x="1003"/>
        <item m="1" x="771"/>
        <item m="1" x="516"/>
        <item m="1" x="828"/>
        <item x="12"/>
        <item m="1" x="648"/>
        <item m="1" x="969"/>
        <item m="1" x="461"/>
        <item m="1" x="370"/>
        <item m="1" x="761"/>
        <item m="1" x="734"/>
        <item m="1" x="792"/>
        <item m="1" x="239"/>
        <item m="1" x="262"/>
        <item x="13"/>
        <item m="1" x="942"/>
        <item m="1" x="471"/>
        <item m="1" x="385"/>
        <item m="1" x="467"/>
        <item x="14"/>
        <item m="1" x="658"/>
        <item m="1" x="634"/>
        <item m="1" x="422"/>
        <item m="1" x="234"/>
        <item m="1" x="783"/>
        <item m="1" x="821"/>
        <item m="1" x="220"/>
        <item m="1" x="767"/>
        <item m="1" x="1006"/>
        <item m="1" x="681"/>
        <item m="1" x="267"/>
        <item m="1" x="893"/>
        <item m="1" x="292"/>
        <item m="1" x="404"/>
        <item m="1" x="261"/>
        <item m="1" x="935"/>
        <item x="16"/>
        <item m="1" x="867"/>
        <item m="1" x="597"/>
        <item m="1" x="491"/>
        <item m="1" x="793"/>
        <item m="1" x="469"/>
        <item m="1" x="925"/>
        <item m="1" x="973"/>
        <item m="1" x="885"/>
        <item m="1" x="654"/>
        <item m="1" x="419"/>
        <item x="19"/>
        <item m="1" x="840"/>
        <item x="20"/>
        <item m="1" x="660"/>
        <item x="21"/>
        <item x="160"/>
        <item m="1" x="990"/>
        <item m="1" x="360"/>
        <item x="161"/>
        <item m="1" x="1011"/>
        <item m="1" x="337"/>
        <item m="1" x="731"/>
        <item m="1" x="605"/>
        <item m="1" x="948"/>
        <item m="1" x="635"/>
        <item m="1" x="895"/>
        <item m="1" x="269"/>
        <item m="1" x="796"/>
        <item m="1" x="724"/>
        <item m="1" x="988"/>
        <item m="1" x="929"/>
        <item m="1" x="834"/>
        <item m="1" x="709"/>
        <item m="1" x="568"/>
        <item m="1" x="788"/>
        <item m="1" x="639"/>
        <item m="1" x="805"/>
        <item m="1" x="889"/>
        <item m="1" x="210"/>
        <item m="1" x="302"/>
        <item m="1" x="673"/>
        <item m="1" x="237"/>
        <item x="22"/>
        <item x="23"/>
        <item x="24"/>
        <item x="25"/>
        <item m="1" x="328"/>
        <item m="1" x="227"/>
        <item m="1" x="630"/>
        <item x="26"/>
        <item m="1" x="231"/>
        <item m="1" x="533"/>
        <item m="1" x="600"/>
        <item m="1" x="811"/>
        <item m="1" x="492"/>
        <item m="1" x="255"/>
        <item m="1" x="758"/>
        <item m="1" x="949"/>
        <item x="165"/>
        <item m="1" x="754"/>
        <item x="28"/>
        <item m="1" x="331"/>
        <item m="1" x="493"/>
        <item m="1" x="759"/>
        <item m="1" x="984"/>
        <item x="29"/>
        <item m="1" x="250"/>
        <item m="1" x="971"/>
        <item m="1" x="820"/>
        <item x="30"/>
        <item m="1" x="357"/>
        <item m="1" x="697"/>
        <item m="1" x="669"/>
        <item m="1" x="441"/>
        <item x="31"/>
        <item x="32"/>
        <item x="167"/>
        <item x="33"/>
        <item m="1" x="769"/>
        <item m="1" x="809"/>
        <item m="1" x="460"/>
        <item m="1" x="290"/>
        <item m="1" x="384"/>
        <item m="1" x="778"/>
        <item m="1" x="738"/>
        <item m="1" x="402"/>
        <item x="34"/>
        <item x="35"/>
        <item x="36"/>
        <item x="37"/>
        <item m="1" x="695"/>
        <item x="38"/>
        <item m="1" x="1020"/>
        <item m="1" x="1063"/>
        <item m="1" x="577"/>
        <item m="1" x="930"/>
        <item m="1" x="958"/>
        <item m="1" x="437"/>
        <item m="1" x="554"/>
        <item m="1" x="525"/>
        <item x="39"/>
        <item m="1" x="455"/>
        <item m="1" x="703"/>
        <item m="1" x="663"/>
        <item m="1" x="539"/>
        <item m="1" x="655"/>
        <item m="1" x="870"/>
        <item m="1" x="415"/>
        <item m="1" x="812"/>
        <item m="1" x="363"/>
        <item m="1" x="409"/>
        <item m="1" x="748"/>
        <item m="1" x="411"/>
        <item m="1" x="482"/>
        <item m="1" x="641"/>
        <item m="1" x="800"/>
        <item m="1" x="980"/>
        <item m="1" x="540"/>
        <item m="1" x="755"/>
        <item m="1" x="285"/>
        <item m="1" x="901"/>
        <item m="1" x="664"/>
        <item m="1" x="933"/>
        <item m="1" x="347"/>
        <item x="40"/>
        <item m="1" x="289"/>
        <item m="1" x="671"/>
        <item m="1" x="451"/>
        <item m="1" x="510"/>
        <item m="1" x="599"/>
        <item m="1" x="1037"/>
        <item m="1" x="281"/>
        <item m="1" x="617"/>
        <item m="1" x="443"/>
        <item m="1" x="571"/>
        <item x="41"/>
        <item m="1" x="515"/>
        <item m="1" x="1055"/>
        <item m="1" x="364"/>
        <item m="1" x="573"/>
        <item m="1" x="757"/>
        <item m="1" x="693"/>
        <item m="1" x="386"/>
        <item m="1" x="477"/>
        <item m="1" x="794"/>
        <item m="1" x="764"/>
        <item m="1" x="518"/>
        <item m="1" x="810"/>
        <item m="1" x="513"/>
        <item m="1" x="304"/>
        <item m="1" x="388"/>
        <item m="1" x="317"/>
        <item m="1" x="770"/>
        <item m="1" x="1008"/>
        <item m="1" x="428"/>
        <item m="1" x="572"/>
        <item m="1" x="751"/>
        <item m="1" x="325"/>
        <item x="168"/>
        <item x="169"/>
        <item m="1" x="1027"/>
        <item m="1" x="612"/>
        <item m="1" x="309"/>
        <item m="1" x="529"/>
        <item m="1" x="1021"/>
        <item m="1" x="379"/>
        <item m="1" x="351"/>
        <item m="1" x="784"/>
        <item m="1" x="848"/>
        <item m="1" x="346"/>
        <item m="1" x="837"/>
        <item m="1" x="270"/>
        <item m="1" x="344"/>
        <item m="1" x="916"/>
        <item m="1" x="394"/>
        <item m="1" x="647"/>
        <item m="1" x="963"/>
        <item m="1" x="1041"/>
        <item m="1" x="1057"/>
        <item m="1" x="327"/>
        <item m="1" x="286"/>
        <item m="1" x="432"/>
        <item m="1" x="926"/>
        <item m="1" x="707"/>
        <item m="1" x="380"/>
        <item m="1" x="797"/>
        <item m="1" x="1001"/>
        <item m="1" x="661"/>
        <item m="1" x="381"/>
        <item m="1" x="414"/>
        <item m="1" x="486"/>
        <item m="1" x="265"/>
        <item m="1" x="863"/>
        <item m="1" x="335"/>
        <item m="1" x="819"/>
        <item m="1" x="283"/>
        <item m="1" x="941"/>
        <item m="1" x="979"/>
        <item m="1" x="330"/>
        <item m="1" x="598"/>
        <item m="1" x="944"/>
        <item m="1" x="401"/>
        <item m="1" x="982"/>
        <item m="1" x="275"/>
        <item x="171"/>
        <item m="1" x="558"/>
        <item m="1" x="624"/>
        <item m="1" x="719"/>
        <item m="1" x="223"/>
        <item m="1" x="1039"/>
        <item x="42"/>
        <item m="1" x="928"/>
        <item m="1" x="650"/>
        <item m="1" x="463"/>
        <item m="1" x="978"/>
        <item m="1" x="407"/>
        <item m="1" x="355"/>
        <item x="43"/>
        <item m="1" x="934"/>
        <item m="1" x="257"/>
        <item m="1" x="487"/>
        <item m="1" x="589"/>
        <item m="1" x="310"/>
        <item x="44"/>
        <item m="1" x="288"/>
        <item m="1" x="698"/>
        <item m="1" x="299"/>
        <item m="1" x="912"/>
        <item x="45"/>
        <item m="1" x="829"/>
        <item x="46"/>
        <item m="1" x="271"/>
        <item x="47"/>
        <item x="48"/>
        <item m="1" x="378"/>
        <item m="1" x="1065"/>
        <item m="1" x="590"/>
        <item m="1" x="268"/>
        <item m="1" x="211"/>
        <item m="1" x="886"/>
        <item m="1" x="535"/>
        <item m="1" x="263"/>
        <item m="1" x="741"/>
        <item m="1" x="497"/>
        <item m="1" x="323"/>
        <item x="49"/>
        <item m="1" x="690"/>
        <item m="1" x="849"/>
        <item m="1" x="524"/>
        <item m="1" x="636"/>
        <item x="51"/>
        <item x="52"/>
        <item x="53"/>
        <item x="172"/>
        <item x="55"/>
        <item x="56"/>
        <item x="57"/>
        <item x="58"/>
        <item m="1" x="338"/>
        <item m="1" x="279"/>
        <item m="1" x="324"/>
        <item x="59"/>
        <item m="1" x="972"/>
        <item x="60"/>
        <item m="1" x="896"/>
        <item x="61"/>
        <item m="1" x="890"/>
        <item m="1" x="374"/>
        <item m="1" x="546"/>
        <item x="62"/>
        <item x="63"/>
        <item x="173"/>
        <item m="1" x="424"/>
        <item x="64"/>
        <item x="65"/>
        <item x="66"/>
        <item x="67"/>
        <item x="69"/>
        <item x="70"/>
        <item m="1" x="918"/>
        <item x="71"/>
        <item x="72"/>
        <item x="73"/>
        <item x="74"/>
        <item x="174"/>
        <item m="1" x="399"/>
        <item x="175"/>
        <item m="1" x="1025"/>
        <item m="1" x="565"/>
        <item x="75"/>
        <item x="76"/>
        <item x="77"/>
        <item x="78"/>
        <item m="1" x="713"/>
        <item m="1" x="212"/>
        <item m="1" x="366"/>
        <item x="176"/>
        <item x="177"/>
        <item m="1" x="222"/>
        <item m="1" x="315"/>
        <item x="80"/>
        <item m="1" x="622"/>
        <item m="1" x="276"/>
        <item m="1" x="989"/>
        <item m="1" x="943"/>
        <item m="1" x="412"/>
        <item m="1" x="500"/>
        <item m="1" x="329"/>
        <item x="82"/>
        <item x="83"/>
        <item m="1" x="253"/>
        <item m="1" x="314"/>
        <item m="1" x="914"/>
        <item x="84"/>
        <item m="1" x="427"/>
        <item m="1" x="514"/>
        <item m="1" x="246"/>
        <item m="1" x="465"/>
        <item m="1" x="326"/>
        <item m="1" x="336"/>
        <item m="1" x="484"/>
        <item m="1" x="345"/>
        <item m="1" x="349"/>
        <item m="1" x="519"/>
        <item m="1" x="1029"/>
        <item m="1" x="403"/>
        <item m="1" x="705"/>
        <item m="1" x="956"/>
        <item m="1" x="1014"/>
        <item m="1" x="352"/>
        <item m="1" x="760"/>
        <item x="179"/>
        <item m="1" x="874"/>
        <item m="1" x="272"/>
        <item m="1" x="729"/>
        <item m="1" x="570"/>
        <item x="86"/>
        <item x="87"/>
        <item m="1" x="592"/>
        <item m="1" x="772"/>
        <item m="1" x="722"/>
        <item m="1" x="976"/>
        <item x="181"/>
        <item m="1" x="806"/>
        <item m="1" x="382"/>
        <item m="1" x="593"/>
        <item m="1" x="668"/>
        <item m="1" x="284"/>
        <item m="1" x="866"/>
        <item m="1" x="555"/>
        <item x="90"/>
        <item m="1" x="745"/>
        <item m="1" x="334"/>
        <item m="1" x="946"/>
        <item m="1" x="483"/>
        <item m="1" x="1056"/>
        <item m="1" x="670"/>
        <item m="1" x="994"/>
        <item m="1" x="503"/>
        <item m="1" x="951"/>
        <item m="1" x="847"/>
        <item m="1" x="955"/>
        <item m="1" x="396"/>
        <item m="1" x="775"/>
        <item m="1" x="532"/>
        <item m="1" x="509"/>
        <item m="1" x="560"/>
        <item m="1" x="583"/>
        <item x="182"/>
        <item x="183"/>
        <item x="184"/>
        <item x="185"/>
        <item m="1" x="692"/>
        <item x="186"/>
        <item m="1" x="405"/>
        <item x="187"/>
        <item x="94"/>
        <item m="1" x="511"/>
        <item x="188"/>
        <item x="189"/>
        <item m="1" x="1018"/>
        <item x="95"/>
        <item m="1" x="418"/>
        <item x="96"/>
        <item m="1" x="861"/>
        <item x="98"/>
        <item m="1" x="822"/>
        <item m="1" x="986"/>
        <item x="99"/>
        <item m="1" x="294"/>
        <item m="1" x="543"/>
        <item m="1" x="873"/>
        <item x="100"/>
        <item m="1" x="397"/>
        <item m="1" x="913"/>
        <item m="1" x="950"/>
        <item m="1" x="961"/>
        <item m="1" x="219"/>
        <item m="1" x="305"/>
        <item x="103"/>
        <item x="104"/>
        <item m="1" x="659"/>
        <item m="1" x="214"/>
        <item m="1" x="553"/>
        <item x="105"/>
        <item m="1" x="1059"/>
        <item x="190"/>
        <item m="1" x="462"/>
        <item m="1" x="702"/>
        <item m="1" x="575"/>
        <item m="1" x="795"/>
        <item m="1" x="850"/>
        <item m="1" x="686"/>
        <item m="1" x="604"/>
        <item m="1" x="534"/>
        <item m="1" x="353"/>
        <item m="1" x="563"/>
        <item m="1" x="615"/>
        <item m="1" x="939"/>
        <item m="1" x="383"/>
        <item m="1" x="651"/>
        <item m="1" x="218"/>
        <item m="1" x="506"/>
        <item m="1" x="992"/>
        <item m="1" x="375"/>
        <item m="1" x="431"/>
        <item m="1" x="872"/>
        <item m="1" x="501"/>
        <item m="1" x="628"/>
        <item m="1" x="361"/>
        <item m="1" x="421"/>
        <item m="1" x="750"/>
        <item m="1" x="966"/>
        <item m="1" x="835"/>
        <item x="106"/>
        <item m="1" x="354"/>
        <item m="1" x="303"/>
        <item x="107"/>
        <item m="1" x="371"/>
        <item m="1" x="603"/>
        <item m="1" x="1022"/>
        <item m="1" x="584"/>
        <item m="1" x="877"/>
        <item x="108"/>
        <item m="1" x="541"/>
        <item m="1" x="291"/>
        <item m="1" x="444"/>
        <item m="1" x="1044"/>
        <item m="1" x="631"/>
        <item m="1" x="517"/>
        <item m="1" x="287"/>
        <item m="1" x="881"/>
        <item m="1" x="542"/>
        <item m="1" x="747"/>
        <item m="1" x="390"/>
        <item m="1" x="472"/>
        <item m="1" x="987"/>
        <item m="1" x="646"/>
        <item m="1" x="909"/>
        <item m="1" x="974"/>
        <item m="1" x="389"/>
        <item m="1" x="782"/>
        <item m="1" x="456"/>
        <item m="1" x="1043"/>
        <item x="109"/>
        <item x="110"/>
        <item x="111"/>
        <item m="1" x="824"/>
        <item m="1" x="528"/>
        <item m="1" x="656"/>
        <item x="112"/>
        <item m="1" x="785"/>
        <item m="1" x="398"/>
        <item m="1" x="579"/>
        <item x="113"/>
        <item x="191"/>
        <item m="1" x="922"/>
        <item x="192"/>
        <item m="1" x="507"/>
        <item m="1" x="204"/>
        <item x="114"/>
        <item m="1" x="642"/>
        <item m="1" x="1023"/>
        <item m="1" x="817"/>
        <item m="1" x="891"/>
        <item m="1" x="720"/>
        <item m="1" x="504"/>
        <item m="1" x="1045"/>
        <item x="115"/>
        <item m="1" x="530"/>
        <item m="1" x="993"/>
        <item m="1" x="869"/>
        <item m="1" x="684"/>
        <item m="1" x="587"/>
        <item m="1" x="561"/>
        <item m="1" x="348"/>
        <item m="1" x="406"/>
        <item m="1" x="712"/>
        <item m="1" x="768"/>
        <item m="1" x="445"/>
        <item m="1" x="710"/>
        <item m="1" x="611"/>
        <item m="1" x="680"/>
        <item m="1" x="376"/>
        <item m="1" x="256"/>
        <item m="1" x="481"/>
        <item m="1" x="844"/>
        <item m="1" x="333"/>
        <item m="1" x="802"/>
        <item m="1" x="900"/>
        <item m="1" x="602"/>
        <item m="1" x="998"/>
        <item m="1" x="607"/>
        <item m="1" x="931"/>
        <item m="1" x="260"/>
        <item m="1" x="499"/>
        <item m="1" x="640"/>
        <item m="1" x="1007"/>
        <item m="1" x="526"/>
        <item m="1" x="843"/>
        <item m="1" x="742"/>
        <item m="1" x="679"/>
        <item m="1" x="232"/>
        <item m="1" x="367"/>
        <item x="117"/>
        <item x="118"/>
        <item m="1" x="674"/>
        <item m="1" x="297"/>
        <item m="1" x="527"/>
        <item m="1" x="549"/>
        <item m="1" x="737"/>
        <item m="1" x="715"/>
        <item m="1" x="997"/>
        <item m="1" x="356"/>
        <item m="1" x="453"/>
        <item m="1" x="207"/>
        <item m="1" x="341"/>
        <item m="1" x="321"/>
        <item x="119"/>
        <item m="1" x="780"/>
        <item m="1" x="798"/>
        <item x="120"/>
        <item x="121"/>
        <item m="1" x="536"/>
        <item m="1" x="743"/>
        <item m="1" x="594"/>
        <item m="1" x="959"/>
        <item m="1" x="643"/>
        <item m="1" x="216"/>
        <item m="1" x="365"/>
        <item x="122"/>
        <item m="1" x="588"/>
        <item x="124"/>
        <item m="1" x="627"/>
        <item m="1" x="999"/>
        <item m="1" x="964"/>
        <item m="1" x="991"/>
        <item m="1" x="498"/>
        <item m="1" x="476"/>
        <item x="125"/>
        <item m="1" x="1015"/>
        <item m="1" x="474"/>
        <item m="1" x="552"/>
        <item m="1" x="621"/>
        <item m="1" x="799"/>
        <item m="1" x="842"/>
        <item m="1" x="871"/>
        <item m="1" x="682"/>
        <item m="1" x="833"/>
        <item m="1" x="945"/>
        <item m="1" x="864"/>
        <item m="1" x="547"/>
        <item m="1" x="735"/>
        <item m="1" x="894"/>
        <item m="1" x="706"/>
        <item m="1" x="876"/>
        <item m="1" x="814"/>
        <item x="126"/>
        <item m="1" x="1048"/>
        <item m="1" x="880"/>
        <item x="127"/>
        <item m="1" x="208"/>
        <item m="1" x="296"/>
        <item m="1" x="545"/>
        <item m="1" x="804"/>
        <item m="1" x="908"/>
        <item x="128"/>
        <item m="1" x="1060"/>
        <item x="129"/>
        <item m="1" x="683"/>
        <item m="1" x="550"/>
        <item m="1" x="1036"/>
        <item x="130"/>
        <item x="131"/>
        <item m="1" x="301"/>
        <item m="1" x="562"/>
        <item x="132"/>
        <item m="1" x="815"/>
        <item m="1" x="359"/>
        <item m="1" x="1042"/>
        <item x="133"/>
        <item x="134"/>
        <item m="1" x="687"/>
        <item m="1" x="521"/>
        <item m="1" x="816"/>
        <item m="1" x="752"/>
        <item m="1" x="576"/>
        <item m="1" x="236"/>
        <item m="1" x="653"/>
        <item m="1" x="688"/>
        <item m="1" x="308"/>
        <item m="1" x="423"/>
        <item m="1" x="479"/>
        <item m="1" x="586"/>
        <item m="1" x="853"/>
        <item x="135"/>
        <item m="1" x="470"/>
        <item m="1" x="235"/>
        <item m="1" x="875"/>
        <item m="1" x="920"/>
        <item m="1" x="841"/>
        <item m="1" x="1035"/>
        <item m="1" x="960"/>
        <item m="1" x="242"/>
        <item m="1" x="238"/>
        <item m="1" x="662"/>
        <item m="1" x="225"/>
        <item m="1" x="675"/>
        <item m="1" x="927"/>
        <item m="1" x="839"/>
        <item m="1" x="488"/>
        <item m="1" x="454"/>
        <item m="1" x="417"/>
        <item m="1" x="789"/>
        <item m="1" x="567"/>
        <item m="1" x="852"/>
        <item m="1" x="217"/>
        <item m="1" x="855"/>
        <item m="1" x="676"/>
        <item m="1" x="906"/>
        <item x="136"/>
        <item x="137"/>
        <item m="1" x="854"/>
        <item m="1" x="298"/>
        <item m="1" x="904"/>
        <item m="1" x="823"/>
        <item m="1" x="377"/>
        <item m="1" x="1062"/>
        <item m="1" x="368"/>
        <item m="1" x="280"/>
        <item m="1" x="985"/>
        <item m="1" x="907"/>
        <item m="1" x="921"/>
        <item m="1" x="779"/>
        <item m="1" x="762"/>
        <item m="1" x="859"/>
        <item x="141"/>
        <item x="142"/>
        <item m="1" x="209"/>
        <item m="1" x="495"/>
        <item m="1" x="1038"/>
        <item m="1" x="923"/>
        <item x="143"/>
        <item x="144"/>
        <item m="1" x="512"/>
        <item x="145"/>
        <item x="146"/>
        <item m="1" x="339"/>
        <item m="1" x="898"/>
        <item m="1" x="753"/>
        <item m="1" x="685"/>
        <item m="1" x="749"/>
        <item m="1" x="765"/>
        <item m="1" x="574"/>
        <item m="1" x="233"/>
        <item m="1" x="614"/>
        <item m="1" x="1034"/>
        <item m="1" x="718"/>
        <item m="1" x="295"/>
        <item m="1" x="801"/>
        <item m="1" x="1040"/>
        <item m="1" x="282"/>
        <item m="1" x="1031"/>
        <item m="1" x="1032"/>
        <item m="1" x="862"/>
        <item m="1" x="1033"/>
        <item m="1" x="392"/>
        <item m="1" x="721"/>
        <item m="1" x="818"/>
        <item m="1" x="938"/>
        <item m="1" x="215"/>
        <item m="1" x="313"/>
        <item m="1" x="480"/>
        <item m="1" x="369"/>
        <item m="1" x="213"/>
        <item m="1" x="726"/>
        <item m="1" x="618"/>
        <item m="1" x="1010"/>
        <item m="1" x="1058"/>
        <item m="1" x="1017"/>
        <item m="1" x="967"/>
        <item m="1" x="300"/>
        <item m="1" x="717"/>
        <item m="1" x="564"/>
        <item m="1" x="485"/>
        <item m="1" x="395"/>
        <item m="1" x="458"/>
        <item m="1" x="247"/>
        <item m="1" x="996"/>
        <item m="1" x="551"/>
        <item m="1" x="569"/>
        <item m="1" x="538"/>
        <item m="1" x="777"/>
        <item m="1" x="1066"/>
        <item m="1" x="995"/>
        <item m="1" x="556"/>
        <item m="1" x="442"/>
        <item m="1" x="619"/>
        <item m="1" x="911"/>
        <item m="1" x="278"/>
        <item m="1" x="1000"/>
        <item m="1" x="449"/>
        <item x="147"/>
        <item m="1" x="696"/>
        <item m="1" x="1004"/>
        <item m="1" x="601"/>
        <item m="1" x="459"/>
        <item m="1" x="645"/>
        <item m="1" x="1028"/>
        <item m="1" x="1005"/>
        <item m="1" x="725"/>
        <item m="1" x="652"/>
        <item m="1" x="520"/>
        <item m="1" x="439"/>
        <item m="1" x="440"/>
        <item m="1" x="393"/>
        <item m="1" x="245"/>
        <item m="1" x="391"/>
        <item m="1" x="221"/>
        <item m="1" x="206"/>
        <item m="1" x="851"/>
        <item m="1" x="489"/>
        <item m="1" x="408"/>
        <item m="1" x="623"/>
        <item m="1" x="410"/>
        <item m="1" x="557"/>
        <item m="1" x="259"/>
        <item m="1" x="644"/>
        <item m="1" x="665"/>
        <item m="1" x="700"/>
        <item m="1" x="730"/>
        <item m="1" x="905"/>
        <item m="1" x="350"/>
        <item m="1" x="649"/>
        <item m="1" x="813"/>
        <item m="1" x="781"/>
        <item m="1" x="965"/>
        <item m="1" x="340"/>
        <item m="1" x="508"/>
        <item m="1" x="1054"/>
        <item m="1" x="522"/>
        <item m="1" x="733"/>
        <item m="1" x="776"/>
        <item m="1" x="448"/>
        <item m="1" x="860"/>
        <item m="1" x="791"/>
        <item m="1" x="903"/>
        <item m="1" x="580"/>
        <item m="1" x="413"/>
        <item m="1" x="756"/>
        <item x="148"/>
        <item m="1" x="306"/>
        <item x="194"/>
        <item m="1" x="638"/>
        <item m="1" x="857"/>
        <item m="1" x="307"/>
        <item m="1" x="845"/>
        <item m="1" x="1030"/>
        <item m="1" x="633"/>
        <item m="1" x="632"/>
        <item m="1" x="343"/>
        <item m="1" x="836"/>
        <item m="1" x="372"/>
        <item m="1" x="616"/>
        <item m="1" x="856"/>
        <item m="1" x="322"/>
        <item m="1" x="243"/>
        <item m="1" x="446"/>
        <item m="1" x="464"/>
        <item x="149"/>
        <item x="150"/>
        <item m="1" x="293"/>
        <item m="1" x="807"/>
        <item m="1" x="888"/>
        <item m="1" x="983"/>
        <item m="1" x="416"/>
        <item x="153"/>
        <item m="1" x="1019"/>
        <item m="1" x="457"/>
        <item m="1" x="1016"/>
        <item m="1" x="954"/>
        <item m="1" x="892"/>
        <item m="1" x="447"/>
        <item m="1" x="830"/>
        <item x="154"/>
        <item x="155"/>
        <item x="156"/>
        <item m="1" x="936"/>
        <item m="1" x="224"/>
        <item m="1" x="786"/>
        <item m="1" x="625"/>
        <item m="1" x="694"/>
        <item m="1" x="496"/>
        <item m="1" x="585"/>
        <item m="1" x="897"/>
        <item m="1" x="578"/>
        <item m="1" x="790"/>
        <item m="1" x="744"/>
        <item m="1" x="953"/>
        <item m="1" x="803"/>
        <item m="1" x="723"/>
        <item m="1" x="1009"/>
        <item m="1" x="581"/>
        <item m="1" x="252"/>
        <item m="1" x="1064"/>
        <item m="1" x="1049"/>
        <item m="1" x="312"/>
        <item m="1" x="1067"/>
        <item x="157"/>
        <item m="1" x="626"/>
        <item m="1" x="249"/>
        <item m="1" x="229"/>
        <item m="1" x="865"/>
        <item m="1" x="883"/>
        <item m="1" x="884"/>
        <item m="1" x="957"/>
        <item m="1" x="919"/>
        <item m="1" x="316"/>
        <item m="1" x="613"/>
        <item m="1" x="425"/>
        <item m="1" x="426"/>
        <item m="1" x="1026"/>
        <item m="1" x="970"/>
        <item m="1" x="531"/>
        <item m="1" x="264"/>
        <item m="1" x="629"/>
        <item m="1" x="952"/>
        <item m="1" x="240"/>
        <item m="1" x="609"/>
        <item m="1" x="1012"/>
        <item m="1" x="610"/>
        <item m="1" x="947"/>
        <item m="1" x="537"/>
        <item m="1" x="473"/>
        <item m="1" x="825"/>
        <item m="1" x="244"/>
        <item m="1" x="258"/>
        <item m="1" x="766"/>
        <item m="1" x="732"/>
        <item m="1" x="273"/>
        <item m="1" x="902"/>
        <item m="1" x="254"/>
        <item m="1" x="468"/>
        <item m="1" x="666"/>
        <item m="1" x="596"/>
        <item m="1" x="274"/>
        <item m="1" x="937"/>
        <item m="1" x="728"/>
        <item m="1" x="667"/>
        <item m="1" x="699"/>
        <item x="195"/>
        <item m="1" x="433"/>
        <item m="1" x="205"/>
        <item m="1" x="438"/>
        <item m="1" x="727"/>
        <item x="164"/>
        <item x="193"/>
        <item m="1" x="882"/>
        <item m="1" x="226"/>
        <item x="11"/>
        <item x="178"/>
        <item x="163"/>
        <item x="170"/>
        <item x="93"/>
        <item x="102"/>
        <item x="152"/>
        <item x="151"/>
        <item x="54"/>
        <item x="116"/>
        <item x="158"/>
        <item x="50"/>
        <item x="17"/>
        <item x="18"/>
        <item x="101"/>
        <item m="1" x="691"/>
        <item m="1" x="704"/>
        <item x="196"/>
        <item x="200"/>
        <item x="88"/>
        <item x="139"/>
        <item x="140"/>
        <item x="159"/>
        <item x="162"/>
        <item x="79"/>
        <item x="0"/>
        <item x="9"/>
        <item x="15"/>
        <item x="138"/>
        <item x="81"/>
        <item x="27"/>
        <item x="85"/>
        <item x="89"/>
        <item x="91"/>
        <item x="123"/>
        <item x="97"/>
        <item x="92"/>
        <item x="197"/>
        <item x="198"/>
        <item x="199"/>
        <item x="201"/>
        <item x="202"/>
        <item x="203"/>
        <item x="180"/>
        <item x="166"/>
        <item x="68"/>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1"/>
        <item x="0"/>
        <item m="1" x="3"/>
        <item m="1" x="4"/>
        <item m="1" x="2"/>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33">
    <i>
      <x v="8"/>
    </i>
    <i>
      <x v="9"/>
    </i>
    <i>
      <x v="10"/>
    </i>
    <i>
      <x v="11"/>
    </i>
    <i>
      <x v="12"/>
    </i>
    <i>
      <x v="65"/>
    </i>
    <i>
      <x v="81"/>
    </i>
    <i>
      <x v="104"/>
    </i>
    <i>
      <x v="110"/>
    </i>
    <i>
      <x v="120"/>
    </i>
    <i>
      <x v="125"/>
    </i>
    <i>
      <x v="142"/>
    </i>
    <i>
      <x v="153"/>
    </i>
    <i>
      <x v="155"/>
    </i>
    <i>
      <x v="186"/>
    </i>
    <i>
      <x v="187"/>
    </i>
    <i>
      <x v="188"/>
    </i>
    <i>
      <x v="192"/>
    </i>
    <i>
      <x v="203"/>
    </i>
    <i>
      <x v="208"/>
    </i>
    <i>
      <x v="212"/>
    </i>
    <i>
      <x v="217"/>
    </i>
    <i>
      <x v="218"/>
    </i>
    <i>
      <x v="220"/>
    </i>
    <i>
      <x v="229"/>
    </i>
    <i>
      <x v="230"/>
    </i>
    <i>
      <x v="231"/>
    </i>
    <i>
      <x v="232"/>
    </i>
    <i>
      <x v="234"/>
    </i>
    <i>
      <x v="243"/>
    </i>
    <i>
      <x v="267"/>
    </i>
    <i>
      <x v="278"/>
    </i>
    <i>
      <x v="353"/>
    </i>
    <i>
      <x v="360"/>
    </i>
    <i>
      <x v="366"/>
    </i>
    <i>
      <x v="373"/>
    </i>
    <i>
      <x v="375"/>
    </i>
    <i>
      <x v="376"/>
    </i>
    <i>
      <x v="388"/>
    </i>
    <i>
      <x v="393"/>
    </i>
    <i>
      <x v="394"/>
    </i>
    <i>
      <x v="395"/>
    </i>
    <i>
      <x v="397"/>
    </i>
    <i>
      <x v="398"/>
    </i>
    <i>
      <x v="399"/>
    </i>
    <i>
      <x v="400"/>
    </i>
    <i>
      <x v="404"/>
    </i>
    <i>
      <x v="406"/>
    </i>
    <i>
      <x v="408"/>
    </i>
    <i>
      <x v="412"/>
    </i>
    <i>
      <x v="413"/>
    </i>
    <i>
      <x v="416"/>
    </i>
    <i>
      <x v="417"/>
    </i>
    <i>
      <x v="418"/>
    </i>
    <i>
      <x v="419"/>
    </i>
    <i>
      <x v="420"/>
    </i>
    <i>
      <x v="421"/>
    </i>
    <i>
      <x v="423"/>
    </i>
    <i>
      <x v="424"/>
    </i>
    <i>
      <x v="425"/>
    </i>
    <i>
      <x v="426"/>
    </i>
    <i>
      <x v="432"/>
    </i>
    <i>
      <x v="433"/>
    </i>
    <i>
      <x v="434"/>
    </i>
    <i>
      <x v="435"/>
    </i>
    <i>
      <x v="443"/>
    </i>
    <i>
      <x v="451"/>
    </i>
    <i>
      <x v="452"/>
    </i>
    <i>
      <x v="479"/>
    </i>
    <i>
      <x v="480"/>
    </i>
    <i>
      <x v="493"/>
    </i>
    <i>
      <x v="519"/>
    </i>
    <i>
      <x v="524"/>
    </i>
    <i>
      <x v="526"/>
    </i>
    <i>
      <x v="528"/>
    </i>
    <i>
      <x v="531"/>
    </i>
    <i>
      <x v="535"/>
    </i>
    <i>
      <x v="542"/>
    </i>
    <i>
      <x v="543"/>
    </i>
    <i>
      <x v="547"/>
    </i>
    <i>
      <x v="577"/>
    </i>
    <i>
      <x v="580"/>
    </i>
    <i>
      <x v="586"/>
    </i>
    <i>
      <x v="607"/>
    </i>
    <i>
      <x v="608"/>
    </i>
    <i>
      <x v="609"/>
    </i>
    <i>
      <x v="613"/>
    </i>
    <i>
      <x v="617"/>
    </i>
    <i>
      <x v="623"/>
    </i>
    <i>
      <x v="631"/>
    </i>
    <i>
      <x v="667"/>
    </i>
    <i>
      <x v="668"/>
    </i>
    <i>
      <x v="681"/>
    </i>
    <i>
      <x v="684"/>
    </i>
    <i>
      <x v="685"/>
    </i>
    <i>
      <x v="695"/>
    </i>
    <i>
      <x v="702"/>
    </i>
    <i>
      <x v="723"/>
    </i>
    <i>
      <x v="729"/>
    </i>
    <i>
      <x v="731"/>
    </i>
    <i>
      <x v="735"/>
    </i>
    <i>
      <x v="736"/>
    </i>
    <i>
      <x v="739"/>
    </i>
    <i>
      <x v="743"/>
    </i>
    <i>
      <x v="744"/>
    </i>
    <i>
      <x v="758"/>
    </i>
    <i>
      <x v="783"/>
    </i>
    <i>
      <x v="784"/>
    </i>
    <i>
      <x v="799"/>
    </i>
    <i>
      <x v="800"/>
    </i>
    <i>
      <x v="805"/>
    </i>
    <i>
      <x v="806"/>
    </i>
    <i>
      <x v="808"/>
    </i>
    <i>
      <x v="809"/>
    </i>
    <i>
      <x v="865"/>
    </i>
    <i>
      <x v="913"/>
    </i>
    <i>
      <x v="932"/>
    </i>
    <i>
      <x v="933"/>
    </i>
    <i>
      <x v="939"/>
    </i>
    <i>
      <x v="947"/>
    </i>
    <i>
      <x v="948"/>
    </i>
    <i>
      <x v="949"/>
    </i>
    <i>
      <x v="971"/>
    </i>
    <i>
      <x v="1022"/>
    </i>
    <i>
      <x v="1026"/>
    </i>
    <i>
      <x v="1041"/>
    </i>
    <i>
      <x v="1042"/>
    </i>
    <i>
      <x v="1043"/>
    </i>
    <i>
      <x v="1046"/>
    </i>
    <i>
      <x v="1056"/>
    </i>
    <i>
      <x v="1057"/>
    </i>
    <i>
      <x v="1058"/>
    </i>
    <i>
      <x v="1067"/>
    </i>
  </rowItems>
  <colFields count="1">
    <field x="-2"/>
  </colFields>
  <colItems count="14">
    <i>
      <x/>
    </i>
    <i i="1">
      <x v="1"/>
    </i>
    <i i="2">
      <x v="2"/>
    </i>
    <i i="3">
      <x v="3"/>
    </i>
    <i i="4">
      <x v="4"/>
    </i>
    <i i="5">
      <x v="5"/>
    </i>
    <i i="6">
      <x v="6"/>
    </i>
    <i i="7">
      <x v="7"/>
    </i>
    <i i="8">
      <x v="8"/>
    </i>
    <i i="9">
      <x v="9"/>
    </i>
    <i i="10">
      <x v="10"/>
    </i>
    <i i="11">
      <x v="11"/>
    </i>
    <i i="12">
      <x v="12"/>
    </i>
    <i i="13">
      <x v="13"/>
    </i>
  </colItems>
  <pageFields count="3">
    <pageField fld="142" item="0" hier="-1"/>
    <pageField fld="6" hier="-1"/>
    <pageField fld="4" item="0" hier="-1"/>
  </pageFields>
  <dataFields count="14">
    <dataField name="Max of Total PoP " fld="9" subtotal="max" baseField="7" baseItem="7" numFmtId="3"/>
    <dataField name="Max of HRP1" fld="99" subtotal="max" baseField="7" baseItem="7"/>
    <dataField name="Max of HRP2" fld="107" subtotal="max" baseField="7" baseItem="7"/>
    <dataField name="Max of HRP3" fld="119" subtotal="max" baseField="7" baseItem="7"/>
    <dataField name="Max of HRP4" fld="131" subtotal="max" baseField="7" baseItem="7"/>
    <dataField name="Max of HRP5" fld="132" subtotal="max" baseField="7" baseItem="7"/>
    <dataField name="Max of HRP6" fld="133" subtotal="max" baseField="7" baseItem="9"/>
    <dataField name="Max of hygiene items" fld="118" subtotal="max" baseField="7" baseItem="7"/>
    <dataField name="Max of # people reached by regular dedicated hygiene promotion_5" fld="115" subtotal="max" baseField="7" baseItem="7"/>
    <dataField name="Max of # People access to Handwashing Station" fld="128" subtotal="max" baseField="7" baseItem="7"/>
    <dataField name="Max of # People access to water in TLS/CFS_HRP5" fld="90" subtotal="max" baseField="7" baseItem="7"/>
    <dataField name="Max of # People access to water in THF_HRP6" fld="91" subtotal="max" baseField="7" baseItem="7"/>
    <dataField name="Max of # students access to functioning school latrines_HRP5" fld="109" subtotal="max" baseField="7" baseItem="7"/>
    <dataField name="Max of # People access to functioning latrines in THF_HRP6" fld="110" subtotal="max" baseField="7" baseItem="7"/>
  </dataFields>
  <formats count="58">
    <format dxfId="724">
      <pivotArea field="4" type="button" dataOnly="0" labelOnly="1" outline="0" axis="axisPage" fieldPosition="2"/>
    </format>
    <format dxfId="723">
      <pivotArea type="all" dataOnly="0" outline="0" fieldPosition="0"/>
    </format>
    <format dxfId="722">
      <pivotArea field="4" type="button" dataOnly="0" labelOnly="1" outline="0" axis="axisPage" fieldPosition="2"/>
    </format>
    <format dxfId="721">
      <pivotArea outline="0" fieldPosition="0">
        <references count="1">
          <reference field="4294967294" count="1">
            <x v="0"/>
          </reference>
        </references>
      </pivotArea>
    </format>
    <format dxfId="720">
      <pivotArea dataOnly="0" labelOnly="1" outline="0" fieldPosition="0">
        <references count="1">
          <reference field="4294967294" count="1">
            <x v="0"/>
          </reference>
        </references>
      </pivotArea>
    </format>
    <format dxfId="719">
      <pivotArea type="all" dataOnly="0" outline="0" fieldPosition="0"/>
    </format>
    <format dxfId="718">
      <pivotArea outline="0" collapsedLevelsAreSubtotals="1" fieldPosition="0"/>
    </format>
    <format dxfId="717">
      <pivotArea dataOnly="0" labelOnly="1" fieldPosition="0">
        <references count="1">
          <reference field="4" count="0"/>
        </references>
      </pivotArea>
    </format>
    <format dxfId="716">
      <pivotArea dataOnly="0" labelOnly="1" grandRow="1" outline="0" fieldPosition="0"/>
    </format>
    <format dxfId="715">
      <pivotArea dataOnly="0" labelOnly="1" outline="0" fieldPosition="0">
        <references count="1">
          <reference field="4294967294" count="1">
            <x v="0"/>
          </reference>
        </references>
      </pivotArea>
    </format>
    <format dxfId="714">
      <pivotArea type="all" dataOnly="0" outline="0" fieldPosition="0"/>
    </format>
    <format dxfId="713">
      <pivotArea outline="0" collapsedLevelsAreSubtotals="1" fieldPosition="0"/>
    </format>
    <format dxfId="712">
      <pivotArea dataOnly="0" labelOnly="1" fieldPosition="0">
        <references count="1">
          <reference field="4" count="0"/>
        </references>
      </pivotArea>
    </format>
    <format dxfId="711">
      <pivotArea dataOnly="0" labelOnly="1" grandRow="1" outline="0" fieldPosition="0"/>
    </format>
    <format dxfId="710">
      <pivotArea dataOnly="0" labelOnly="1" outline="0" fieldPosition="0">
        <references count="1">
          <reference field="4294967294" count="1">
            <x v="0"/>
          </reference>
        </references>
      </pivotArea>
    </format>
    <format dxfId="709">
      <pivotArea outline="0" collapsedLevelsAreSubtotals="1" fieldPosition="0"/>
    </format>
    <format dxfId="708">
      <pivotArea outline="0" collapsedLevelsAreSubtotals="1" fieldPosition="0">
        <references count="1">
          <reference field="4294967294" count="1" selected="0">
            <x v="1"/>
          </reference>
        </references>
      </pivotArea>
    </format>
    <format dxfId="707">
      <pivotArea dataOnly="0" labelOnly="1" outline="0" fieldPosition="0">
        <references count="1">
          <reference field="4294967294" count="1">
            <x v="1"/>
          </reference>
        </references>
      </pivotArea>
    </format>
    <format dxfId="706">
      <pivotArea outline="0" collapsedLevelsAreSubtotals="1" fieldPosition="0">
        <references count="1">
          <reference field="4294967294" count="1" selected="0">
            <x v="1"/>
          </reference>
        </references>
      </pivotArea>
    </format>
    <format dxfId="705">
      <pivotArea dataOnly="0" labelOnly="1" outline="0" fieldPosition="0">
        <references count="1">
          <reference field="4294967294" count="1">
            <x v="1"/>
          </reference>
        </references>
      </pivotArea>
    </format>
    <format dxfId="704">
      <pivotArea outline="0" collapsedLevelsAreSubtotals="1" fieldPosition="0">
        <references count="1">
          <reference field="4294967294" count="1" selected="0">
            <x v="2"/>
          </reference>
        </references>
      </pivotArea>
    </format>
    <format dxfId="703">
      <pivotArea dataOnly="0" labelOnly="1" outline="0" fieldPosition="0">
        <references count="1">
          <reference field="4294967294" count="1">
            <x v="2"/>
          </reference>
        </references>
      </pivotArea>
    </format>
    <format dxfId="702">
      <pivotArea outline="0" collapsedLevelsAreSubtotals="1" fieldPosition="0">
        <references count="1">
          <reference field="4294967294" count="1" selected="0">
            <x v="2"/>
          </reference>
        </references>
      </pivotArea>
    </format>
    <format dxfId="701">
      <pivotArea dataOnly="0" labelOnly="1" outline="0" fieldPosition="0">
        <references count="1">
          <reference field="4294967294" count="1">
            <x v="2"/>
          </reference>
        </references>
      </pivotArea>
    </format>
    <format dxfId="700">
      <pivotArea outline="0" collapsedLevelsAreSubtotals="1" fieldPosition="0">
        <references count="1">
          <reference field="4294967294" count="1" selected="0">
            <x v="3"/>
          </reference>
        </references>
      </pivotArea>
    </format>
    <format dxfId="699">
      <pivotArea dataOnly="0" labelOnly="1" outline="0" fieldPosition="0">
        <references count="1">
          <reference field="4294967294" count="1">
            <x v="3"/>
          </reference>
        </references>
      </pivotArea>
    </format>
    <format dxfId="698">
      <pivotArea outline="0" collapsedLevelsAreSubtotals="1" fieldPosition="0">
        <references count="1">
          <reference field="4294967294" count="1" selected="0">
            <x v="3"/>
          </reference>
        </references>
      </pivotArea>
    </format>
    <format dxfId="697">
      <pivotArea dataOnly="0" labelOnly="1" outline="0" fieldPosition="0">
        <references count="1">
          <reference field="4294967294" count="1">
            <x v="3"/>
          </reference>
        </references>
      </pivotArea>
    </format>
    <format dxfId="696">
      <pivotArea outline="0" collapsedLevelsAreSubtotals="1" fieldPosition="0">
        <references count="1">
          <reference field="4294967294" count="1" selected="0">
            <x v="0"/>
          </reference>
        </references>
      </pivotArea>
    </format>
    <format dxfId="695">
      <pivotArea dataOnly="0" labelOnly="1" outline="0" fieldPosition="0">
        <references count="1">
          <reference field="4294967294" count="1">
            <x v="0"/>
          </reference>
        </references>
      </pivotArea>
    </format>
    <format dxfId="694">
      <pivotArea outline="0" collapsedLevelsAreSubtotals="1" fieldPosition="0">
        <references count="1">
          <reference field="4294967294" count="1" selected="0">
            <x v="0"/>
          </reference>
        </references>
      </pivotArea>
    </format>
    <format dxfId="693">
      <pivotArea dataOnly="0" labelOnly="1" outline="0" fieldPosition="0">
        <references count="1">
          <reference field="4294967294" count="1">
            <x v="0"/>
          </reference>
        </references>
      </pivotArea>
    </format>
    <format dxfId="692">
      <pivotArea dataOnly="0" labelOnly="1" outline="0" fieldPosition="0">
        <references count="1">
          <reference field="4294967294" count="4">
            <x v="0"/>
            <x v="1"/>
            <x v="2"/>
            <x v="3"/>
          </reference>
        </references>
      </pivotArea>
    </format>
    <format dxfId="691">
      <pivotArea dataOnly="0" labelOnly="1" outline="0" fieldPosition="0">
        <references count="1">
          <reference field="4294967294" count="4">
            <x v="0"/>
            <x v="1"/>
            <x v="2"/>
            <x v="3"/>
          </reference>
        </references>
      </pivotArea>
    </format>
    <format dxfId="690">
      <pivotArea dataOnly="0" labelOnly="1" outline="0" fieldPosition="0">
        <references count="1">
          <reference field="4294967294" count="1">
            <x v="7"/>
          </reference>
        </references>
      </pivotArea>
    </format>
    <format dxfId="689">
      <pivotArea dataOnly="0" labelOnly="1" outline="0" fieldPosition="0">
        <references count="1">
          <reference field="4294967294" count="1">
            <x v="7"/>
          </reference>
        </references>
      </pivotArea>
    </format>
    <format dxfId="688">
      <pivotArea dataOnly="0" labelOnly="1" outline="0" fieldPosition="0">
        <references count="1">
          <reference field="4294967294" count="1">
            <x v="9"/>
          </reference>
        </references>
      </pivotArea>
    </format>
    <format dxfId="687">
      <pivotArea outline="0" collapsedLevelsAreSubtotals="1" fieldPosition="0">
        <references count="1">
          <reference field="4294967294" count="2" selected="0">
            <x v="7"/>
            <x v="9"/>
          </reference>
        </references>
      </pivotArea>
    </format>
    <format dxfId="686">
      <pivotArea dataOnly="0" labelOnly="1" outline="0" fieldPosition="0">
        <references count="1">
          <reference field="4294967294" count="1">
            <x v="8"/>
          </reference>
        </references>
      </pivotArea>
    </format>
    <format dxfId="685">
      <pivotArea collapsedLevelsAreSubtotals="1" fieldPosition="0">
        <references count="2">
          <reference field="4294967294" count="1" selected="0">
            <x v="8"/>
          </reference>
          <reference field="4" count="1">
            <x v="0"/>
          </reference>
        </references>
      </pivotArea>
    </format>
    <format dxfId="684">
      <pivotArea outline="0" collapsedLevelsAreSubtotals="1" fieldPosition="0">
        <references count="1">
          <reference field="4294967294" count="3" selected="0">
            <x v="7"/>
            <x v="8"/>
            <x v="9"/>
          </reference>
        </references>
      </pivotArea>
    </format>
    <format dxfId="683">
      <pivotArea dataOnly="0" labelOnly="1" outline="0" fieldPosition="0">
        <references count="1">
          <reference field="4294967294" count="3">
            <x v="7"/>
            <x v="8"/>
            <x v="9"/>
          </reference>
        </references>
      </pivotArea>
    </format>
    <format dxfId="682">
      <pivotArea outline="0" collapsedLevelsAreSubtotals="1" fieldPosition="0">
        <references count="1">
          <reference field="4294967294" count="3" selected="0">
            <x v="7"/>
            <x v="8"/>
            <x v="9"/>
          </reference>
        </references>
      </pivotArea>
    </format>
    <format dxfId="681">
      <pivotArea dataOnly="0" labelOnly="1" outline="0" fieldPosition="0">
        <references count="1">
          <reference field="4294967294" count="3">
            <x v="7"/>
            <x v="8"/>
            <x v="9"/>
          </reference>
        </references>
      </pivotArea>
    </format>
    <format dxfId="680">
      <pivotArea outline="0" collapsedLevelsAreSubtotals="1" fieldPosition="0">
        <references count="1">
          <reference field="4294967294" count="1" selected="0">
            <x v="4"/>
          </reference>
        </references>
      </pivotArea>
    </format>
    <format dxfId="679">
      <pivotArea dataOnly="0" labelOnly="1" outline="0" fieldPosition="0">
        <references count="1">
          <reference field="4294967294" count="1">
            <x v="4"/>
          </reference>
        </references>
      </pivotArea>
    </format>
    <format dxfId="678">
      <pivotArea outline="0" collapsedLevelsAreSubtotals="1" fieldPosition="0">
        <references count="1">
          <reference field="4294967294" count="1" selected="0">
            <x v="5"/>
          </reference>
        </references>
      </pivotArea>
    </format>
    <format dxfId="677">
      <pivotArea dataOnly="0" labelOnly="1" outline="0" fieldPosition="0">
        <references count="1">
          <reference field="4294967294" count="1">
            <x v="5"/>
          </reference>
        </references>
      </pivotArea>
    </format>
    <format dxfId="676">
      <pivotArea dataOnly="0" outline="0" fieldPosition="0">
        <references count="2">
          <reference field="4" count="0" defaultSubtotal="1"/>
          <reference field="142" count="1" selected="0">
            <x v="0"/>
          </reference>
        </references>
      </pivotArea>
    </format>
    <format dxfId="675">
      <pivotArea dataOnly="0" labelOnly="1" outline="0" fieldPosition="0">
        <references count="1">
          <reference field="4294967294" count="10">
            <x v="0"/>
            <x v="1"/>
            <x v="2"/>
            <x v="3"/>
            <x v="4"/>
            <x v="5"/>
            <x v="7"/>
            <x v="8"/>
            <x v="9"/>
            <x v="12"/>
          </reference>
        </references>
      </pivotArea>
    </format>
    <format dxfId="674">
      <pivotArea dataOnly="0" labelOnly="1" outline="0" fieldPosition="0">
        <references count="1">
          <reference field="4294967294" count="10">
            <x v="0"/>
            <x v="1"/>
            <x v="2"/>
            <x v="3"/>
            <x v="4"/>
            <x v="5"/>
            <x v="7"/>
            <x v="8"/>
            <x v="9"/>
            <x v="12"/>
          </reference>
        </references>
      </pivotArea>
    </format>
    <format dxfId="673">
      <pivotArea dataOnly="0" labelOnly="1" outline="0" fieldPosition="0">
        <references count="1">
          <reference field="4294967294" count="10">
            <x v="0"/>
            <x v="1"/>
            <x v="2"/>
            <x v="3"/>
            <x v="4"/>
            <x v="5"/>
            <x v="7"/>
            <x v="8"/>
            <x v="9"/>
            <x v="12"/>
          </reference>
        </references>
      </pivotArea>
    </format>
    <format dxfId="672">
      <pivotArea dataOnly="0" outline="0" fieldPosition="0">
        <references count="3">
          <reference field="4294967294" count="1">
            <x v="6"/>
          </reference>
          <reference field="4" count="1" selected="0">
            <x v="0"/>
          </reference>
          <reference field="142" count="1" selected="0">
            <x v="0"/>
          </reference>
        </references>
      </pivotArea>
    </format>
    <format dxfId="671">
      <pivotArea dataOnly="0" labelOnly="1" outline="0" fieldPosition="0">
        <references count="1">
          <reference field="4294967294" count="1">
            <x v="6"/>
          </reference>
        </references>
      </pivotArea>
    </format>
    <format dxfId="670">
      <pivotArea dataOnly="0" labelOnly="1" outline="0" fieldPosition="0">
        <references count="1">
          <reference field="4294967294" count="1">
            <x v="11"/>
          </reference>
        </references>
      </pivotArea>
    </format>
    <format dxfId="669">
      <pivotArea dataOnly="0" labelOnly="1" outline="0" fieldPosition="0">
        <references count="1">
          <reference field="4294967294" count="1">
            <x v="10"/>
          </reference>
        </references>
      </pivotArea>
    </format>
    <format dxfId="668">
      <pivotArea dataOnly="0" labelOnly="1" outline="0" fieldPosition="0">
        <references count="1">
          <reference field="4294967294" count="1">
            <x v="10"/>
          </reference>
        </references>
      </pivotArea>
    </format>
    <format dxfId="667">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D1F0B845-DADD-4674-A7DC-79C513603414}" name="PivotTable8" cacheId="1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H63:I66" firstHeaderRow="1" firstDataRow="1" firstDataCol="1" rowPageCount="2" colPageCount="1"/>
  <pivotFields count="4">
    <pivotField axis="axisRow" allDrilled="1" subtotalTop="0" showAll="0" dataSourceSort="1" defaultSubtotal="0" defaultAttributeDrillState="1">
      <items count="2">
        <item x="0"/>
        <item x="1"/>
      </items>
    </pivotField>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3">
    <i>
      <x/>
    </i>
    <i>
      <x v="1"/>
    </i>
    <i t="grand">
      <x/>
    </i>
  </rowItems>
  <colItems count="1">
    <i/>
  </colItems>
  <pageFields count="2">
    <pageField fld="1" hier="142" name="[WWWW].[Covered].&amp;[Covered]" cap="Covered"/>
    <pageField fld="2" hier="34" name="[WWWW].[#_Water sources tested for fecal coliform].&amp;[1]" cap="1"/>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1"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5]"/>
        <member name="[WWWW].[#_Water sources tested for fecal coliform].&amp;[6]"/>
        <member name="[WWWW].[#_Water sources tested for fecal coliform].&amp;[7]"/>
        <member name="[WWWW].[#_Water sources tested for fecal coliform].&amp;[8]"/>
        <member name="[WWWW].[#_Water sources tested for fecal coliform].&amp;[9]"/>
        <member name="[WWWW].[#_Water sources tested for fecal coliform].&amp;[10]"/>
        <member name="[WWWW].[#_Water sources tested for fecal coliform].&amp;[1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759B72DB-9407-4B8F-A3A5-4416A3177B54}" name="PivotTable13"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0">
  <location ref="AI120:AK134" firstHeaderRow="0" firstDataRow="1" firstDataCol="1" rowPageCount="4" colPageCount="1"/>
  <pivotFields count="155">
    <pivotField axis="axisPage" subtotalTop="0" multipleItemSelectionAllowed="1" showAll="0">
      <items count="26">
        <item m="1" x="23"/>
        <item m="1" x="9"/>
        <item m="1" x="24"/>
        <item m="1" x="16"/>
        <item m="1" x="5"/>
        <item m="1" x="3"/>
        <item m="1" x="22"/>
        <item m="1" x="18"/>
        <item m="1" x="20"/>
        <item m="1" x="21"/>
        <item m="1" x="12"/>
        <item m="1" x="14"/>
        <item m="1" x="17"/>
        <item m="1" x="19"/>
        <item h="1" m="1" x="7"/>
        <item h="1" m="1" x="10"/>
        <item h="1" m="1" x="13"/>
        <item m="1" x="15"/>
        <item h="1" m="1" x="4"/>
        <item h="1" m="1" x="6"/>
        <item h="1" m="1" x="8"/>
        <item m="1" x="11"/>
        <item x="0"/>
        <item h="1" x="1"/>
        <item h="1" x="2"/>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items count="47">
        <item m="1" x="31"/>
        <item x="0"/>
        <item m="1" x="43"/>
        <item m="1" x="35"/>
        <item x="6"/>
        <item x="1"/>
        <item x="23"/>
        <item x="16"/>
        <item x="4"/>
        <item x="14"/>
        <item x="20"/>
        <item m="1" x="38"/>
        <item m="1" x="26"/>
        <item x="15"/>
        <item x="17"/>
        <item m="1" x="41"/>
        <item x="5"/>
        <item x="21"/>
        <item m="1" x="36"/>
        <item m="1" x="30"/>
        <item x="8"/>
        <item x="10"/>
        <item m="1" x="25"/>
        <item x="2"/>
        <item m="1" x="42"/>
        <item x="18"/>
        <item m="1" x="34"/>
        <item x="7"/>
        <item m="1" x="33"/>
        <item x="22"/>
        <item m="1" x="29"/>
        <item x="19"/>
        <item m="1" x="27"/>
        <item m="1" x="28"/>
        <item m="1" x="32"/>
        <item m="1" x="37"/>
        <item x="11"/>
        <item m="1" x="44"/>
        <item m="1" x="40"/>
        <item x="12"/>
        <item m="1" x="39"/>
        <item x="9"/>
        <item x="13"/>
        <item x="3"/>
        <item m="1" x="24"/>
        <item m="1" x="45"/>
        <item t="default"/>
      </items>
    </pivotField>
    <pivotField axis="axisPage" multipleItemSelectionAllowed="1" showAll="0" defaultSubtotal="0">
      <items count="14">
        <item x="0"/>
        <item x="1"/>
        <item m="1" x="10"/>
        <item h="1" m="1" x="8"/>
        <item m="1" x="6"/>
        <item m="1" x="5"/>
        <item h="1" m="1" x="12"/>
        <item m="1" x="9"/>
        <item h="1" m="1" x="13"/>
        <item m="1" x="7"/>
        <item h="1" m="1" x="11"/>
        <item h="1" m="1" x="3"/>
        <item h="1" m="1" x="4"/>
        <item h="1"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4">
    <i>
      <x v="1"/>
    </i>
    <i>
      <x v="4"/>
    </i>
    <i>
      <x v="5"/>
    </i>
    <i>
      <x v="8"/>
    </i>
    <i>
      <x v="16"/>
    </i>
    <i>
      <x v="20"/>
    </i>
    <i>
      <x v="21"/>
    </i>
    <i>
      <x v="23"/>
    </i>
    <i>
      <x v="27"/>
    </i>
    <i>
      <x v="36"/>
    </i>
    <i>
      <x v="39"/>
    </i>
    <i>
      <x v="41"/>
    </i>
    <i>
      <x v="42"/>
    </i>
    <i>
      <x v="43"/>
    </i>
  </rowItems>
  <colFields count="1">
    <field x="-2"/>
  </colFields>
  <colItems count="2">
    <i>
      <x/>
    </i>
    <i i="1">
      <x v="1"/>
    </i>
  </colItems>
  <pageFields count="4">
    <pageField fld="0" hier="-1"/>
    <pageField fld="4" item="0" hier="-1"/>
    <pageField fld="142" item="0" hier="-1"/>
    <pageField fld="6" hier="-1"/>
  </pageFields>
  <dataFields count="2">
    <dataField name="Reached" fld="105" baseField="0" baseItem="0"/>
    <dataField name="Target (20:1)" fld="111" baseField="0" baseItem="0"/>
  </dataFields>
  <formats count="14">
    <format dxfId="569">
      <pivotArea field="4" type="button" dataOnly="0" labelOnly="1" outline="0" axis="axisPage" fieldPosition="1"/>
    </format>
    <format dxfId="568">
      <pivotArea type="all" dataOnly="0" outline="0" fieldPosition="0"/>
    </format>
    <format dxfId="567">
      <pivotArea type="origin" dataOnly="0" labelOnly="1" outline="0" fieldPosition="0"/>
    </format>
    <format dxfId="566">
      <pivotArea type="topRight" dataOnly="0" labelOnly="1" outline="0" fieldPosition="0"/>
    </format>
    <format dxfId="565">
      <pivotArea field="-2" type="button" dataOnly="0" labelOnly="1" outline="0" axis="axisCol" fieldPosition="0"/>
    </format>
    <format dxfId="564">
      <pivotArea type="all" dataOnly="0" outline="0" fieldPosition="0"/>
    </format>
    <format dxfId="563">
      <pivotArea outline="0" collapsedLevelsAreSubtotals="1" fieldPosition="0"/>
    </format>
    <format dxfId="562">
      <pivotArea type="origin" dataOnly="0" labelOnly="1" outline="0" fieldPosition="0"/>
    </format>
    <format dxfId="561">
      <pivotArea type="topRight" dataOnly="0" labelOnly="1" outline="0" fieldPosition="0"/>
    </format>
    <format dxfId="560">
      <pivotArea field="-2" type="button" dataOnly="0" labelOnly="1" outline="0" axis="axisCol" fieldPosition="0"/>
    </format>
    <format dxfId="559">
      <pivotArea dataOnly="0" labelOnly="1" outline="0" fieldPosition="0">
        <references count="3">
          <reference field="0" count="1" selected="0">
            <x v="7"/>
          </reference>
          <reference field="4" count="1">
            <x v="0"/>
          </reference>
          <reference field="142" count="1" selected="0">
            <x v="0"/>
          </reference>
        </references>
      </pivotArea>
    </format>
    <format dxfId="558">
      <pivotArea type="all" dataOnly="0" outline="0" fieldPosition="0"/>
    </format>
    <format dxfId="557">
      <pivotArea outline="0" collapsedLevelsAreSubtotals="1" fieldPosition="0"/>
    </format>
    <format dxfId="556">
      <pivotArea dataOnly="0" labelOnly="1" outline="0" fieldPosition="0">
        <references count="1">
          <reference field="4294967294" count="1">
            <x v="1"/>
          </reference>
        </references>
      </pivotArea>
    </format>
  </formats>
  <chartFormats count="4">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1F000000}" name="S_water1"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9">
  <location ref="I38:K39" firstHeaderRow="0" firstDataRow="1" firstDataCol="1" rowPageCount="4" colPageCount="1"/>
  <pivotFields count="155">
    <pivotField axis="axisPage" subtotalTop="0" multipleItemSelectionAllowed="1" showAll="0">
      <items count="26">
        <item m="1" x="23"/>
        <item m="1" x="9"/>
        <item h="1" m="1" x="16"/>
        <item h="1" m="1" x="3"/>
        <item m="1" x="24"/>
        <item m="1" x="5"/>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x="0"/>
        <item m="1" x="3"/>
        <item x="1"/>
        <item m="1" x="2"/>
        <item h="1" m="1" x="5"/>
        <item h="1" m="1" x="4"/>
        <item t="default"/>
      </items>
    </pivotField>
    <pivotField subtotalTop="0" showAll="0"/>
    <pivotField axis="axisPage" multipleItemSelectionAllowed="1" showAll="0" defaultSubtotal="0">
      <items count="14">
        <item x="0"/>
        <item x="1"/>
        <item m="1" x="10"/>
        <item m="1" x="6"/>
        <item h="1" m="1" x="5"/>
        <item h="1" m="1" x="12"/>
        <item h="1" m="1" x="9"/>
        <item h="1" m="1" x="13"/>
        <item h="1" m="1" x="7"/>
        <item h="1" m="1" x="8"/>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GCA (500:1)" x="0"/>
        <item n="NGCA (500:1)" x="1"/>
        <item t="default"/>
      </items>
    </pivotField>
    <pivotField subtotalTop="0" showAll="0"/>
    <pivotField subtotalTop="0" showAll="0"/>
    <pivotField subtotalTop="0" showAll="0"/>
    <pivotField axis="axisPage" subtotalTop="0" multipleItemSelectionAllowed="1" showAll="0">
      <items count="6">
        <item x="1"/>
        <item h="1" x="0"/>
        <item m="1" x="4"/>
        <item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38"/>
  </rowFields>
  <rowItems count="1">
    <i>
      <x v="339"/>
    </i>
  </rowItems>
  <colFields count="1">
    <field x="-2"/>
  </colFields>
  <colItems count="2">
    <i>
      <x/>
    </i>
    <i i="1">
      <x v="1"/>
    </i>
  </colItems>
  <pageFields count="4">
    <pageField fld="0" hier="-1"/>
    <pageField fld="4" hier="-1"/>
    <pageField fld="142" hier="-1"/>
    <pageField fld="6" hier="-1"/>
  </pageFields>
  <dataFields count="2">
    <dataField name="Coverage" fld="99" baseField="132" baseItem="339"/>
    <dataField name="Gap" fld="102" baseField="132" baseItem="339"/>
  </dataFields>
  <formats count="13">
    <format dxfId="582">
      <pivotArea type="all" dataOnly="0" outline="0" fieldPosition="0"/>
    </format>
    <format dxfId="581">
      <pivotArea outline="0" collapsedLevelsAreSubtotals="1" fieldPosition="0"/>
    </format>
    <format dxfId="580">
      <pivotArea field="138" type="button" dataOnly="0" labelOnly="1" outline="0" axis="axisRow" fieldPosition="0"/>
    </format>
    <format dxfId="579">
      <pivotArea type="all" dataOnly="0" outline="0" fieldPosition="0"/>
    </format>
    <format dxfId="578">
      <pivotArea field="138" type="button" dataOnly="0" labelOnly="1" outline="0" axis="axisRow" fieldPosition="0"/>
    </format>
    <format dxfId="577">
      <pivotArea field="138" type="button" dataOnly="0" labelOnly="1" outline="0" axis="axisRow" fieldPosition="0"/>
    </format>
    <format dxfId="576">
      <pivotArea type="all" dataOnly="0" outline="0" fieldPosition="0"/>
    </format>
    <format dxfId="575">
      <pivotArea outline="0" collapsedLevelsAreSubtotals="1" fieldPosition="0"/>
    </format>
    <format dxfId="574">
      <pivotArea field="138" type="button" dataOnly="0" labelOnly="1" outline="0" axis="axisRow" fieldPosition="0"/>
    </format>
    <format dxfId="573">
      <pivotArea dataOnly="0" labelOnly="1" fieldPosition="0">
        <references count="1">
          <reference field="138" count="2">
            <x v="339"/>
            <x v="340"/>
          </reference>
        </references>
      </pivotArea>
    </format>
    <format dxfId="572">
      <pivotArea field="4" type="button" dataOnly="0" labelOnly="1" outline="0" axis="axisPage" fieldPosition="1"/>
    </format>
    <format dxfId="571">
      <pivotArea dataOnly="0" labelOnly="1" outline="0" fieldPosition="0">
        <references count="1">
          <reference field="4" count="1">
            <x v="2"/>
          </reference>
        </references>
      </pivotArea>
    </format>
    <format dxfId="570">
      <pivotArea outline="0" collapsedLevelsAreSubtotals="1" fieldPosition="0"/>
    </format>
  </formats>
  <chartFormats count="8">
    <chartFormat chart="14" format="16"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14" format="17" series="1">
      <pivotArea type="data" outline="0" fieldPosition="0">
        <references count="1">
          <reference field="4294967294" count="1" selected="0">
            <x v="1"/>
          </reference>
        </references>
      </pivotArea>
    </chartFormat>
    <chartFormat chart="6" format="5" series="1">
      <pivotArea type="data" outline="0" fieldPosition="0">
        <references count="1">
          <reference field="4294967294" count="1" selected="0">
            <x v="1"/>
          </reference>
        </references>
      </pivotArea>
    </chartFormat>
    <chartFormat chart="46" format="18" series="1">
      <pivotArea type="data" outline="0" fieldPosition="0">
        <references count="1">
          <reference field="4294967294" count="1" selected="0">
            <x v="0"/>
          </reference>
        </references>
      </pivotArea>
    </chartFormat>
    <chartFormat chart="46" format="19" series="1">
      <pivotArea type="data" outline="0" fieldPosition="0">
        <references count="1">
          <reference field="4294967294" count="1" selected="0">
            <x v="1"/>
          </reference>
        </references>
      </pivotArea>
    </chartFormat>
    <chartFormat chart="47" format="20" series="1">
      <pivotArea type="data" outline="0" fieldPosition="0">
        <references count="1">
          <reference field="4294967294" count="1" selected="0">
            <x v="0"/>
          </reference>
        </references>
      </pivotArea>
    </chartFormat>
    <chartFormat chart="47" format="21"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2" rowHeaderCaption="State" colHeaderCaption=" ">
  <location ref="J188:L197" firstHeaderRow="0" firstDataRow="1" firstDataCol="1" rowPageCount="4" colPageCount="1"/>
  <pivotFields count="155">
    <pivotField axis="axisPage" subtotalTop="0" multipleItemSelectionAllowed="1" showAll="0">
      <items count="26">
        <item m="1" x="23"/>
        <item m="1" x="9"/>
        <item h="1" m="1" x="16"/>
        <item h="1" m="1" x="3"/>
        <item m="1" x="24"/>
        <item m="1" x="5"/>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items count="47">
        <item m="1" x="31"/>
        <item x="0"/>
        <item m="1" x="43"/>
        <item x="6"/>
        <item x="1"/>
        <item x="23"/>
        <item x="16"/>
        <item x="14"/>
        <item m="1" x="38"/>
        <item m="1" x="26"/>
        <item x="15"/>
        <item m="1" x="41"/>
        <item x="5"/>
        <item x="21"/>
        <item m="1" x="36"/>
        <item m="1" x="30"/>
        <item x="8"/>
        <item x="10"/>
        <item x="2"/>
        <item m="1" x="42"/>
        <item x="18"/>
        <item m="1" x="34"/>
        <item x="7"/>
        <item m="1" x="33"/>
        <item x="22"/>
        <item x="19"/>
        <item m="1" x="28"/>
        <item m="1" x="32"/>
        <item m="1" x="37"/>
        <item x="11"/>
        <item m="1" x="44"/>
        <item m="1" x="40"/>
        <item x="12"/>
        <item m="1" x="39"/>
        <item x="9"/>
        <item x="13"/>
        <item x="3"/>
        <item m="1" x="25"/>
        <item m="1" x="27"/>
        <item m="1" x="24"/>
        <item m="1" x="35"/>
        <item x="17"/>
        <item m="1" x="29"/>
        <item x="20"/>
        <item x="4"/>
        <item m="1" x="45"/>
        <item t="default"/>
      </items>
    </pivotField>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9">
    <i>
      <x v="5"/>
    </i>
    <i>
      <x v="7"/>
    </i>
    <i>
      <x v="10"/>
    </i>
    <i>
      <x v="13"/>
    </i>
    <i>
      <x v="20"/>
    </i>
    <i>
      <x v="24"/>
    </i>
    <i>
      <x v="25"/>
    </i>
    <i>
      <x v="41"/>
    </i>
    <i>
      <x v="43"/>
    </i>
  </rowItems>
  <colFields count="1">
    <field x="-2"/>
  </colFields>
  <colItems count="2">
    <i>
      <x/>
    </i>
    <i i="1">
      <x v="1"/>
    </i>
  </colItems>
  <pageFields count="4">
    <pageField fld="0" hier="-1"/>
    <pageField fld="142" item="0" hier="-1"/>
    <pageField fld="4" item="2" hier="-1"/>
    <pageField fld="6" hier="-1"/>
  </pageFields>
  <dataFields count="2">
    <dataField name="  % Latrine Coverage" fld="152" baseField="0" baseItem="0" numFmtId="1"/>
    <dataField name="  % Latrine GAP" fld="153" baseField="0" baseItem="0" numFmtId="1"/>
  </dataFields>
  <formats count="12">
    <format dxfId="594">
      <pivotArea type="all" dataOnly="0" outline="0" fieldPosition="0"/>
    </format>
    <format dxfId="593">
      <pivotArea outline="0" collapsedLevelsAreSubtotals="1" fieldPosition="0"/>
    </format>
    <format dxfId="592">
      <pivotArea field="4" type="button" dataOnly="0" labelOnly="1" outline="0" axis="axisPage" fieldPosition="2"/>
    </format>
    <format dxfId="591">
      <pivotArea type="all" dataOnly="0" outline="0" fieldPosition="0"/>
    </format>
    <format dxfId="590">
      <pivotArea outline="0" collapsedLevelsAreSubtotals="1" fieldPosition="0"/>
    </format>
    <format dxfId="589">
      <pivotArea outline="0" collapsedLevelsAreSubtotals="1" fieldPosition="0"/>
    </format>
    <format dxfId="588">
      <pivotArea field="5" type="button" dataOnly="0" labelOnly="1" outline="0" axis="axisRow" fieldPosition="0"/>
    </format>
    <format dxfId="587">
      <pivotArea field="5" type="button" dataOnly="0" labelOnly="1" outline="0" axis="axisRow" fieldPosition="0"/>
    </format>
    <format dxfId="586">
      <pivotArea field="5" type="button" dataOnly="0" labelOnly="1" outline="0" axis="axisRow" fieldPosition="0"/>
    </format>
    <format dxfId="585">
      <pivotArea field="4" type="button" dataOnly="0" labelOnly="1" outline="0" axis="axisPage" fieldPosition="2"/>
    </format>
    <format dxfId="584">
      <pivotArea dataOnly="0" labelOnly="1" outline="0" fieldPosition="0">
        <references count="2">
          <reference field="4" count="1">
            <x v="0"/>
          </reference>
          <reference field="142" count="1" selected="0">
            <x v="0"/>
          </reference>
        </references>
      </pivotArea>
    </format>
    <format dxfId="583">
      <pivotArea dataOnly="0" labelOnly="1" outline="0" fieldPosition="0">
        <references count="2">
          <reference field="4" count="1">
            <x v="2"/>
          </reference>
          <reference field="142"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24000000}" name="W_Shan_C_G_C"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4" rowHeaderCaption="State" colHeaderCaption=" ">
  <location ref="B101:D110" firstHeaderRow="0" firstDataRow="1" firstDataCol="1" rowPageCount="4" colPageCount="1"/>
  <pivotFields count="155">
    <pivotField axis="axisPage" subtotalTop="0" multipleItemSelectionAllowed="1" showAll="0">
      <items count="26">
        <item m="1" x="23"/>
        <item m="1" x="9"/>
        <item h="1" m="1" x="16"/>
        <item h="1" m="1" x="3"/>
        <item m="1" x="24"/>
        <item m="1" x="5"/>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x="0"/>
        <item m="1" x="3"/>
        <item x="1"/>
        <item m="1" x="2"/>
        <item h="1" m="1" x="5"/>
        <item h="1" m="1" x="4"/>
        <item t="default"/>
      </items>
    </pivotField>
    <pivotField axis="axisRow" subtotalTop="0" showAll="0">
      <items count="47">
        <item m="1" x="31"/>
        <item x="0"/>
        <item m="1" x="43"/>
        <item x="6"/>
        <item x="1"/>
        <item x="23"/>
        <item x="16"/>
        <item x="14"/>
        <item m="1" x="38"/>
        <item m="1" x="26"/>
        <item x="15"/>
        <item m="1" x="41"/>
        <item x="5"/>
        <item x="21"/>
        <item m="1" x="36"/>
        <item m="1" x="30"/>
        <item x="8"/>
        <item x="10"/>
        <item x="2"/>
        <item m="1" x="42"/>
        <item x="18"/>
        <item m="1" x="34"/>
        <item x="7"/>
        <item m="1" x="33"/>
        <item x="22"/>
        <item x="19"/>
        <item m="1" x="28"/>
        <item m="1" x="32"/>
        <item m="1" x="37"/>
        <item x="11"/>
        <item m="1" x="44"/>
        <item m="1" x="40"/>
        <item x="12"/>
        <item m="1" x="39"/>
        <item x="9"/>
        <item x="13"/>
        <item x="3"/>
        <item m="1" x="25"/>
        <item m="1" x="27"/>
        <item m="1" x="24"/>
        <item m="1" x="35"/>
        <item x="17"/>
        <item m="1" x="29"/>
        <item x="20"/>
        <item x="4"/>
        <item m="1" x="45"/>
        <item t="default"/>
      </items>
    </pivotField>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9">
    <i>
      <x v="5"/>
    </i>
    <i>
      <x v="7"/>
    </i>
    <i>
      <x v="10"/>
    </i>
    <i>
      <x v="13"/>
    </i>
    <i>
      <x v="20"/>
    </i>
    <i>
      <x v="24"/>
    </i>
    <i>
      <x v="25"/>
    </i>
    <i>
      <x v="41"/>
    </i>
    <i>
      <x v="43"/>
    </i>
  </rowItems>
  <colFields count="1">
    <field x="-2"/>
  </colFields>
  <colItems count="2">
    <i>
      <x/>
    </i>
    <i i="1">
      <x v="1"/>
    </i>
  </colItems>
  <pageFields count="4">
    <pageField fld="0" hier="-1"/>
    <pageField fld="142" item="0" hier="-1"/>
    <pageField fld="4" hier="-1"/>
    <pageField fld="6" hier="-1"/>
  </pageFields>
  <dataFields count="2">
    <dataField name=" % Water Coverage" fld="150" baseField="0" baseItem="0"/>
    <dataField name=" % Water GAP" fld="151" baseField="0" baseItem="0"/>
  </dataFields>
  <formats count="13">
    <format dxfId="607">
      <pivotArea field="4" type="button" dataOnly="0" labelOnly="1" outline="0" axis="axisPage" fieldPosition="2"/>
    </format>
    <format dxfId="606">
      <pivotArea type="all" dataOnly="0" outline="0" fieldPosition="0"/>
    </format>
    <format dxfId="605">
      <pivotArea outline="0" collapsedLevelsAreSubtotals="1" fieldPosition="0"/>
    </format>
    <format dxfId="604">
      <pivotArea field="4" type="button" dataOnly="0" labelOnly="1" outline="0" axis="axisPage" fieldPosition="2"/>
    </format>
    <format dxfId="603">
      <pivotArea type="all" dataOnly="0" outline="0" fieldPosition="0"/>
    </format>
    <format dxfId="602">
      <pivotArea outline="0" collapsedLevelsAreSubtotals="1" fieldPosition="0"/>
    </format>
    <format dxfId="601">
      <pivotArea outline="0" collapsedLevelsAreSubtotals="1" fieldPosition="0"/>
    </format>
    <format dxfId="600">
      <pivotArea field="5" type="button" dataOnly="0" labelOnly="1" outline="0" axis="axisRow" fieldPosition="0"/>
    </format>
    <format dxfId="599">
      <pivotArea field="5" type="button" dataOnly="0" labelOnly="1" outline="0" axis="axisRow" fieldPosition="0"/>
    </format>
    <format dxfId="598">
      <pivotArea field="5" type="button" dataOnly="0" labelOnly="1" outline="0" axis="axisRow" fieldPosition="0"/>
    </format>
    <format dxfId="597">
      <pivotArea field="4" type="button" dataOnly="0" labelOnly="1" outline="0" axis="axisPage" fieldPosition="2"/>
    </format>
    <format dxfId="596">
      <pivotArea dataOnly="0" labelOnly="1" outline="0" fieldPosition="0">
        <references count="2">
          <reference field="4" count="1">
            <x v="2"/>
          </reference>
          <reference field="142" count="1" selected="0">
            <x v="0"/>
          </reference>
        </references>
      </pivotArea>
    </format>
    <format dxfId="595">
      <pivotArea dataOnly="0" labelOnly="1" outline="0" fieldPosition="0">
        <references count="2">
          <reference field="4" count="0"/>
          <reference field="142" count="1" selected="0">
            <x v="0"/>
          </reference>
        </references>
      </pivotArea>
    </format>
  </formats>
  <conditionalFormats count="1">
    <conditionalFormat priority="7">
      <pivotAreas count="1">
        <pivotArea type="data" outline="0" collapsedLevelsAreSubtotals="1" fieldPosition="0">
          <references count="1">
            <reference field="4294967294" count="1" selected="0">
              <x v="1"/>
            </reference>
          </references>
        </pivotArea>
      </pivotAreas>
    </conditionalFormat>
  </conditionalFormats>
  <chartFormats count="2">
    <chartFormat chart="51" format="3" series="1">
      <pivotArea type="data" outline="0" fieldPosition="0">
        <references count="1">
          <reference field="4294967294" count="1" selected="0">
            <x v="0"/>
          </reference>
        </references>
      </pivotArea>
    </chartFormat>
    <chartFormat chart="51"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4"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212:E214" firstHeaderRow="0" firstDataRow="1" firstDataCol="1" rowPageCount="3" colPageCount="1"/>
  <pivotFields count="155">
    <pivotField axis="axisPage" subtotalTop="0" multipleItemSelectionAllowed="1" showAll="0">
      <items count="26">
        <item h="1" m="1" x="23"/>
        <item m="1" x="9"/>
        <item m="1" x="24"/>
        <item h="1" m="1" x="16"/>
        <item m="1" x="5"/>
        <item h="1" m="1" x="3"/>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showAll="0">
      <items count="7">
        <item x="0"/>
        <item h="1" m="1" x="3"/>
        <item h="1" x="1"/>
        <item h="1" m="1" x="2"/>
        <item h="1" m="1" x="5"/>
        <item h="1" m="1" x="4"/>
        <item t="default"/>
      </items>
    </pivotField>
    <pivotField subtotalTop="0" showAll="0"/>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t="grand">
      <x/>
    </i>
  </rowItems>
  <colFields count="1">
    <field x="-2"/>
  </colFields>
  <colItems count="3">
    <i>
      <x/>
    </i>
    <i i="1">
      <x v="1"/>
    </i>
    <i i="2">
      <x v="2"/>
    </i>
  </colItems>
  <pageFields count="3">
    <pageField fld="0" hier="-1"/>
    <pageField fld="142" item="0" hier="-1"/>
    <pageField fld="6" hier="-1"/>
  </pageFields>
  <dataFields count="3">
    <dataField name="Sum of Total HH" fld="8" baseField="2" baseItem="0" numFmtId="3"/>
    <dataField name="Sum of # people reached by regular dedicated hygiene promotion_5" fld="115" baseField="0" baseItem="0"/>
    <dataField name="Sum of #HH with access to Hand Washing Station" fld="126" baseField="2" baseItem="0" numFmtId="3"/>
  </dataFields>
  <formats count="15">
    <format dxfId="622">
      <pivotArea type="all" dataOnly="0" outline="0" fieldPosition="0"/>
    </format>
    <format dxfId="621">
      <pivotArea type="all" dataOnly="0" outline="0" fieldPosition="0"/>
    </format>
    <format dxfId="620">
      <pivotArea outline="0" collapsedLevelsAreSubtotals="1" fieldPosition="0"/>
    </format>
    <format dxfId="619">
      <pivotArea field="4" type="button" dataOnly="0" labelOnly="1" outline="0" axis="axisRow" fieldPosition="0"/>
    </format>
    <format dxfId="618">
      <pivotArea dataOnly="0" labelOnly="1" fieldPosition="0">
        <references count="1">
          <reference field="4" count="0"/>
        </references>
      </pivotArea>
    </format>
    <format dxfId="617">
      <pivotArea dataOnly="0" labelOnly="1" grandRow="1" outline="0" fieldPosition="0"/>
    </format>
    <format dxfId="616">
      <pivotArea dataOnly="0" labelOnly="1" outline="0" fieldPosition="0">
        <references count="1">
          <reference field="4294967294" count="2">
            <x v="0"/>
            <x v="2"/>
          </reference>
        </references>
      </pivotArea>
    </format>
    <format dxfId="615">
      <pivotArea outline="0" fieldPosition="0">
        <references count="1">
          <reference field="4294967294" count="1">
            <x v="0"/>
          </reference>
        </references>
      </pivotArea>
    </format>
    <format dxfId="614">
      <pivotArea outline="0" fieldPosition="0">
        <references count="1">
          <reference field="4294967294" count="1">
            <x v="2"/>
          </reference>
        </references>
      </pivotArea>
    </format>
    <format dxfId="613">
      <pivotArea type="all" dataOnly="0" outline="0" fieldPosition="0"/>
    </format>
    <format dxfId="612">
      <pivotArea outline="0" collapsedLevelsAreSubtotals="1" fieldPosition="0"/>
    </format>
    <format dxfId="611">
      <pivotArea field="4" type="button" dataOnly="0" labelOnly="1" outline="0" axis="axisRow" fieldPosition="0"/>
    </format>
    <format dxfId="610">
      <pivotArea dataOnly="0" labelOnly="1" fieldPosition="0">
        <references count="1">
          <reference field="4" count="0"/>
        </references>
      </pivotArea>
    </format>
    <format dxfId="609">
      <pivotArea dataOnly="0" labelOnly="1" grandRow="1" outline="0" fieldPosition="0"/>
    </format>
    <format dxfId="608">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8" rowHeaderCaption="State">
  <location ref="C370:I372" firstHeaderRow="0" firstDataRow="1" firstDataCol="1" rowPageCount="2" colPageCount="1"/>
  <pivotFields count="155">
    <pivotField axis="axisPage" subtotalTop="0" multipleItemSelectionAllowed="1" showAll="0">
      <items count="26">
        <item m="1" x="23"/>
        <item m="1" x="9"/>
        <item m="1" x="24"/>
        <item m="1" x="16"/>
        <item m="1" x="5"/>
        <item m="1" x="3"/>
        <item m="1" x="22"/>
        <item m="1" x="18"/>
        <item m="1" x="20"/>
        <item m="1" x="21"/>
        <item m="1" x="12"/>
        <item m="1" x="14"/>
        <item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multipleItemSelectionAllowed="1" showAll="0">
      <items count="7">
        <item x="0"/>
        <item m="1" x="3"/>
        <item x="1"/>
        <item h="1" m="1" x="2"/>
        <item m="1" x="5"/>
        <item m="1" x="4"/>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dataField="1" showAll="0"/>
    <pivotField dataField="1"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dataField="1"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dataField="1"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1"/>
        <item n="Gap" h="1" x="0"/>
        <item h="1" m="1" x="4"/>
        <item h="1"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2"/>
  </colFields>
  <colItems count="6">
    <i>
      <x/>
    </i>
    <i i="1">
      <x v="1"/>
    </i>
    <i i="2">
      <x v="2"/>
    </i>
    <i i="3">
      <x v="3"/>
    </i>
    <i i="4">
      <x v="4"/>
    </i>
    <i i="5">
      <x v="5"/>
    </i>
  </colItems>
  <pageFields count="2">
    <pageField fld="0" hier="-1"/>
    <pageField fld="142" hier="-1"/>
  </pageFields>
  <dataFields count="6">
    <dataField name="  functional latrines in TLS/CFS supported by WASH partners during the reporting period" fld="54" baseField="0" baseItem="0"/>
    <dataField name=" #_Hygiene Promotion activities (sessions) in TLS?" fld="68" baseField="4" baseItem="0"/>
    <dataField name=" # of hand washing stations with soap in TLS" fld="127" baseField="4" baseItem="0"/>
    <dataField name=" #_of water points in TLS/CFS" fld="39" baseField="0" baseItem="0"/>
    <dataField name="Sum of #_of water points in THF" fld="40" baseField="4" baseItem="0"/>
    <dataField name="Sum of # of functional latrines in THF supported by WASH partners during the reporting period2" fld="55" baseField="4" baseItem="0"/>
  </dataFields>
  <formats count="21">
    <format dxfId="643">
      <pivotArea type="all" dataOnly="0" outline="0" fieldPosition="0"/>
    </format>
    <format dxfId="642">
      <pivotArea outline="0" collapsedLevelsAreSubtotals="1" fieldPosition="0"/>
    </format>
    <format dxfId="641">
      <pivotArea field="4" type="button" dataOnly="0" labelOnly="1" outline="0" axis="axisRow" fieldPosition="0"/>
    </format>
    <format dxfId="640">
      <pivotArea dataOnly="0" labelOnly="1" grandRow="1" outline="0" fieldPosition="0"/>
    </format>
    <format dxfId="639">
      <pivotArea type="all" dataOnly="0" outline="0" fieldPosition="0"/>
    </format>
    <format dxfId="638">
      <pivotArea outline="0" collapsedLevelsAreSubtotals="1" fieldPosition="0"/>
    </format>
    <format dxfId="637">
      <pivotArea type="origin" dataOnly="0" labelOnly="1" outline="0" fieldPosition="0"/>
    </format>
    <format dxfId="636">
      <pivotArea field="142" type="button" dataOnly="0" labelOnly="1" outline="0" axis="axisPage" fieldPosition="1"/>
    </format>
    <format dxfId="635">
      <pivotArea type="topRight" dataOnly="0" labelOnly="1" outline="0" fieldPosition="0"/>
    </format>
    <format dxfId="634">
      <pivotArea dataOnly="0" labelOnly="1" fieldPosition="0">
        <references count="1">
          <reference field="142" count="0"/>
        </references>
      </pivotArea>
    </format>
    <format dxfId="633">
      <pivotArea type="all" dataOnly="0" outline="0" fieldPosition="0"/>
    </format>
    <format dxfId="632">
      <pivotArea outline="0" collapsedLevelsAreSubtotals="1" fieldPosition="0"/>
    </format>
    <format dxfId="631">
      <pivotArea field="4" type="button" dataOnly="0" labelOnly="1" outline="0" axis="axisRow" fieldPosition="0"/>
    </format>
    <format dxfId="630">
      <pivotArea dataOnly="0" labelOnly="1" fieldPosition="0">
        <references count="1">
          <reference field="4" count="0"/>
        </references>
      </pivotArea>
    </format>
    <format dxfId="629">
      <pivotArea outline="0" collapsedLevelsAreSubtotals="1" fieldPosition="0"/>
    </format>
    <format dxfId="628">
      <pivotArea field="4" type="button" dataOnly="0" labelOnly="1" outline="0" axis="axisRow" fieldPosition="0"/>
    </format>
    <format dxfId="627">
      <pivotArea dataOnly="0" labelOnly="1" outline="0" fieldPosition="0">
        <references count="1">
          <reference field="4294967294" count="6">
            <x v="0"/>
            <x v="1"/>
            <x v="2"/>
            <x v="3"/>
            <x v="4"/>
            <x v="5"/>
          </reference>
        </references>
      </pivotArea>
    </format>
    <format dxfId="626">
      <pivotArea field="4" type="button" dataOnly="0" labelOnly="1" outline="0" axis="axisRow" fieldPosition="0"/>
    </format>
    <format dxfId="625">
      <pivotArea dataOnly="0" labelOnly="1" outline="0" fieldPosition="0">
        <references count="1">
          <reference field="4294967294" count="6">
            <x v="0"/>
            <x v="1"/>
            <x v="2"/>
            <x v="3"/>
            <x v="4"/>
            <x v="5"/>
          </reference>
        </references>
      </pivotArea>
    </format>
    <format dxfId="624">
      <pivotArea field="4" type="button" dataOnly="0" labelOnly="1" outline="0" axis="axisRow" fieldPosition="0"/>
    </format>
    <format dxfId="623">
      <pivotArea dataOnly="0" labelOnly="1" outline="0" fieldPosition="0">
        <references count="1">
          <reference field="4294967294" count="6">
            <x v="0"/>
            <x v="1"/>
            <x v="2"/>
            <x v="3"/>
            <x v="4"/>
            <x v="5"/>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AA7C8AC0-8C72-4E30-AFF2-E66D01E4FF02}" name="PivotTable6" cacheId="4" dataOnRows="1"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16" rowHeaderCaption="State">
  <location ref="C433:G442" firstHeaderRow="1" firstDataRow="2" firstDataCol="2" rowPageCount="2" colPageCount="1"/>
  <pivotFields count="155">
    <pivotField axis="axisCol" compact="0" outline="0" subtotalTop="0" showAll="0">
      <items count="26">
        <item m="1" x="23"/>
        <item m="1" x="9"/>
        <item m="1" x="24"/>
        <item m="1" x="16"/>
        <item m="1" x="5"/>
        <item m="1" x="3"/>
        <item m="1" x="22"/>
        <item m="1" x="18"/>
        <item m="1" x="20"/>
        <item m="1" x="21"/>
        <item m="1" x="12"/>
        <item m="1" x="14"/>
        <item m="1" x="17"/>
        <item m="1" x="19"/>
        <item m="1" x="7"/>
        <item m="1" x="10"/>
        <item m="1" x="13"/>
        <item m="1" x="15"/>
        <item m="1" x="4"/>
        <item m="1" x="6"/>
        <item m="1" x="8"/>
        <item m="1" x="11"/>
        <item x="0"/>
        <item x="1"/>
        <item x="2"/>
        <item t="default"/>
      </items>
    </pivotField>
    <pivotField compact="0" outline="0" showAll="0" defaultSubtotal="0"/>
    <pivotField compact="0" outline="0" showAll="0" defaultSubtotal="0"/>
    <pivotField compact="0" outline="0" subtotalTop="0" showAll="0"/>
    <pivotField axis="axisRow" compact="0" outline="0" subtotalTop="0" multipleItemSelectionAllowed="1" showAll="0">
      <items count="7">
        <item x="0"/>
        <item m="1" x="3"/>
        <item x="1"/>
        <item m="1" x="2"/>
        <item h="1" m="1" x="5"/>
        <item h="1" m="1" x="4"/>
        <item t="default"/>
      </items>
    </pivotField>
    <pivotField compact="0" outline="0" subtotalTop="0" showAll="0"/>
    <pivotField axis="axisPage" compact="0" outline="0" multipleItemSelectionAllowed="1" showAll="0" defaultSubtotal="0">
      <items count="14">
        <item x="0"/>
        <item x="1"/>
        <item m="1" x="10"/>
        <item h="1" m="1" x="8"/>
        <item m="1" x="6"/>
        <item m="1" x="5"/>
        <item h="1" m="1" x="12"/>
        <item m="1" x="9"/>
        <item h="1" m="1" x="13"/>
        <item h="1" m="1" x="7"/>
        <item h="1" m="1" x="11"/>
        <item h="1" m="1" x="3"/>
        <item h="1" m="1" x="4"/>
        <item x="2"/>
      </items>
    </pivotField>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dataField="1"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ubtotalTop="0" showAll="0"/>
    <pivotField compact="0" numFmtId="9" outline="0" subtotalTop="0" showAll="0"/>
    <pivotField compact="0" outline="0" subtotalTop="0" showAll="0"/>
    <pivotField compact="0" outline="0" showAll="0" defaultSubtotal="0"/>
    <pivotField compact="0" outline="0" showAll="0"/>
    <pivotField compact="0" numFmtId="1" outline="0" subtotalTop="0" showAll="0"/>
    <pivotField compact="0" outline="0" showAll="0" defaultSubtotal="0"/>
    <pivotField compact="0" outline="0" showAll="0" defaultSubtotal="0"/>
    <pivotField compact="0" outline="0" subtotalTop="0" showAll="0"/>
    <pivotField compact="0" outline="0" subtotalTop="0" showAll="0"/>
    <pivotField compact="0" outline="0" showAll="0" defaultSubtotal="0"/>
    <pivotField compact="0" numFmtId="1" outline="0" subtotalTop="0" showAll="0"/>
    <pivotField compact="0" numFmtId="1" outline="0" subtotalTop="0" showAl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pivotField compact="0" numFmtId="9" outline="0" subtotalTop="0" showAll="0"/>
    <pivotField compact="0" numFmtId="9" outline="0" subtotalTop="0" showAll="0"/>
    <pivotField compact="0" numFmtId="9" outline="0" subtotalTop="0" showAll="0"/>
    <pivotField compact="0" numFmtId="9"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dataField="1" compact="0" numFmtId="9" outline="0" showAll="0"/>
    <pivotField compact="0" numFmtId="164" outline="0" showAll="0"/>
    <pivotField compact="0" outline="0" showAll="0"/>
    <pivotField compact="0" numFmtId="164"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6">
        <item x="1"/>
        <item n="Gap" h="1" x="0"/>
        <item h="1" m="1" x="4"/>
        <item h="1" m="1" x="3"/>
        <item h="1" m="1" x="2"/>
        <item t="default"/>
      </items>
    </pivotField>
    <pivotField compact="0" outline="0" subtotalTop="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2"/>
  </rowFields>
  <rowItems count="8">
    <i>
      <x/>
      <x/>
    </i>
    <i r="1" i="1">
      <x v="1"/>
    </i>
    <i r="1" i="2">
      <x v="2"/>
    </i>
    <i r="1" i="3">
      <x v="3"/>
    </i>
    <i>
      <x v="2"/>
      <x/>
    </i>
    <i r="1" i="1">
      <x v="1"/>
    </i>
    <i r="1" i="2">
      <x v="2"/>
    </i>
    <i r="1" i="3">
      <x v="3"/>
    </i>
  </rowItems>
  <colFields count="1">
    <field x="0"/>
  </colFields>
  <colItems count="3">
    <i>
      <x v="22"/>
    </i>
    <i>
      <x v="23"/>
    </i>
    <i>
      <x v="24"/>
    </i>
  </colItems>
  <pageFields count="2">
    <pageField fld="142" hier="-1"/>
    <pageField fld="6" hier="-1"/>
  </pageFields>
  <dataFields count="4">
    <dataField name="Average of %_of_affected_people_surveyed_who_report_feeling_satistfied_with_the_latrine_design_and_sanitation_service" fld="71" subtotal="average" baseField="0" baseItem="1"/>
    <dataField name="Average of %_of_affected_people_surveyed_who_report_feeling_satistfied_with_the_water_point_design_and_water_service" fld="72" subtotal="average" baseField="0" baseItem="1"/>
    <dataField name="Average of %_of_complaints_received_that_result_in_timely_corrective_action_and_feedback_to_the_community" fld="74" subtotal="average" baseField="0" baseItem="1"/>
    <dataField name="Average of %_of_affected_people_surveyed_who_report_feeling_informed_about_the_different_WASH_services_available_to_them2" fld="130" subtotal="average" baseField="0" baseItem="3"/>
  </dataFields>
  <formats count="14">
    <format dxfId="657">
      <pivotArea type="all" dataOnly="0" outline="0" fieldPosition="0"/>
    </format>
    <format dxfId="656">
      <pivotArea outline="0" collapsedLevelsAreSubtotals="1" fieldPosition="0"/>
    </format>
    <format dxfId="655">
      <pivotArea field="4" type="button" dataOnly="0" labelOnly="1" outline="0" axis="axisRow" fieldPosition="0"/>
    </format>
    <format dxfId="654">
      <pivotArea dataOnly="0" labelOnly="1" grandRow="1" outline="0" fieldPosition="0"/>
    </format>
    <format dxfId="653">
      <pivotArea type="all" dataOnly="0" outline="0" fieldPosition="0"/>
    </format>
    <format dxfId="652">
      <pivotArea outline="0" collapsedLevelsAreSubtotals="1" fieldPosition="0"/>
    </format>
    <format dxfId="651">
      <pivotArea type="origin" dataOnly="0" labelOnly="1" outline="0" fieldPosition="0"/>
    </format>
    <format dxfId="650">
      <pivotArea field="142" type="button" dataOnly="0" labelOnly="1" outline="0" axis="axisPage" fieldPosition="0"/>
    </format>
    <format dxfId="649">
      <pivotArea type="topRight" dataOnly="0" labelOnly="1" outline="0" fieldPosition="0"/>
    </format>
    <format dxfId="648">
      <pivotArea dataOnly="0" labelOnly="1" fieldPosition="0">
        <references count="1">
          <reference field="142" count="0"/>
        </references>
      </pivotArea>
    </format>
    <format dxfId="647">
      <pivotArea type="all" dataOnly="0" outline="0" fieldPosition="0"/>
    </format>
    <format dxfId="646">
      <pivotArea outline="0" collapsedLevelsAreSubtotals="1" fieldPosition="0"/>
    </format>
    <format dxfId="645">
      <pivotArea field="4" type="button" dataOnly="0" labelOnly="1" outline="0" axis="axisRow" fieldPosition="0"/>
    </format>
    <format dxfId="644">
      <pivotArea outline="0" collapsedLevelsAreSubtotals="1" fieldPosition="0"/>
    </format>
  </formats>
  <chartFormats count="3">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800-000019000000}" name="S_drainage"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 rowHeaderCaption="State">
  <location ref="B153:F156" firstHeaderRow="1" firstDataRow="2" firstDataCol="1" rowPageCount="3" colPageCount="1"/>
  <pivotFields count="155">
    <pivotField axis="axisPage" subtotalTop="0" multipleItemSelectionAllowed="1" showAll="0">
      <items count="26">
        <item m="1" x="23"/>
        <item m="1" x="9"/>
        <item m="1" x="24"/>
        <item h="1" m="1" x="16"/>
        <item m="1" x="5"/>
        <item h="1" m="1" x="3"/>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showAll="0">
      <items count="7">
        <item x="0"/>
        <item m="1" x="3"/>
        <item x="1"/>
        <item h="1" m="1" x="2"/>
        <item m="1" x="5"/>
        <item m="1" x="4"/>
        <item t="default"/>
      </items>
    </pivotField>
    <pivotField subtotalTop="0" showAll="0"/>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1"/>
        <item x="0"/>
        <item x="2"/>
        <item x="3"/>
        <item m="1" x="4"/>
        <item m="1" x="5"/>
      </items>
    </pivotField>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1"/>
        <item h="1" x="0"/>
        <item m="1" x="4"/>
        <item h="1"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1"/>
  </colFields>
  <colItems count="4">
    <i>
      <x/>
    </i>
    <i>
      <x v="1"/>
    </i>
    <i>
      <x v="2"/>
    </i>
    <i>
      <x v="3"/>
    </i>
  </colItems>
  <pageFields count="3">
    <pageField fld="0" hier="-1"/>
    <pageField fld="142" hier="-1"/>
    <pageField fld="6" hier="-1"/>
  </pageFields>
  <dataFields count="1">
    <dataField name="Count of Is there constructed surface water drainage system?_x000a_" fld="51" subtotal="count" baseField="0" baseItem="0"/>
  </dataFields>
  <formats count="9">
    <format dxfId="666">
      <pivotArea type="all" dataOnly="0" outline="0" fieldPosition="0"/>
    </format>
    <format dxfId="665">
      <pivotArea outline="0" collapsedLevelsAreSubtotals="1" fieldPosition="0"/>
    </format>
    <format dxfId="664">
      <pivotArea type="origin" dataOnly="0" labelOnly="1" outline="0" fieldPosition="0"/>
    </format>
    <format dxfId="663">
      <pivotArea type="topRight" dataOnly="0" labelOnly="1" outline="0" fieldPosition="0"/>
    </format>
    <format dxfId="662">
      <pivotArea field="4" type="button" dataOnly="0" labelOnly="1" outline="0" axis="axisRow" fieldPosition="0"/>
    </format>
    <format dxfId="661">
      <pivotArea dataOnly="0" labelOnly="1" fieldPosition="0">
        <references count="1">
          <reference field="4" count="0"/>
        </references>
      </pivotArea>
    </format>
    <format dxfId="660">
      <pivotArea type="all" dataOnly="0" outline="0" fieldPosition="0"/>
    </format>
    <format dxfId="659">
      <pivotArea outline="0" collapsedLevelsAreSubtotals="1" fieldPosition="0"/>
    </format>
    <format dxfId="658">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BAED457C-F50B-4FC5-AC37-6B1229A54515}" name="PivotTable1" cacheId="4"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A6:C29" firstHeaderRow="1" firstDataRow="1" firstDataCol="3" rowPageCount="2" colPageCount="1"/>
  <pivotFields count="155">
    <pivotField axis="axisPage" compact="0" outline="0" multipleItemSelectionAllowed="1" showAll="0" defaultSubtotal="0">
      <items count="25">
        <item m="1" x="22"/>
        <item m="1" x="23"/>
        <item m="1" x="9"/>
        <item m="1" x="24"/>
        <item m="1" x="16"/>
        <item m="1" x="18"/>
        <item m="1" x="20"/>
        <item m="1" x="21"/>
        <item m="1" x="5"/>
        <item m="1" x="12"/>
        <item m="1" x="14"/>
        <item m="1" x="17"/>
        <item m="1" x="3"/>
        <item m="1" x="19"/>
        <item m="1" x="7"/>
        <item m="1" x="10"/>
        <item m="1" x="13"/>
        <item m="1" x="15"/>
        <item m="1" x="4"/>
        <item m="1" x="6"/>
        <item m="1" x="8"/>
        <item m="1" x="11"/>
        <item x="0"/>
        <item x="1"/>
        <item x="2"/>
      </items>
      <extLst>
        <ext xmlns:x14="http://schemas.microsoft.com/office/spreadsheetml/2009/9/main" uri="{2946ED86-A175-432a-8AC1-64E0C546D7DE}">
          <x14:pivotField fillDownLabels="1"/>
        </ext>
      </extLst>
    </pivotField>
    <pivotField axis="axisRow" compact="0" outline="0" showAll="0" defaultSubtotal="0">
      <items count="64">
        <item m="1" x="53"/>
        <item m="1" x="40"/>
        <item m="1" x="27"/>
        <item m="1" x="22"/>
        <item m="1" x="24"/>
        <item m="1" x="51"/>
        <item m="1" x="39"/>
        <item x="13"/>
        <item x="18"/>
        <item x="19"/>
        <item x="7"/>
        <item m="1" x="60"/>
        <item x="8"/>
        <item m="1" x="62"/>
        <item x="12"/>
        <item x="4"/>
        <item m="1" x="29"/>
        <item m="1" x="61"/>
        <item x="10"/>
        <item m="1" x="44"/>
        <item m="1" x="30"/>
        <item x="3"/>
        <item m="1" x="34"/>
        <item x="15"/>
        <item x="14"/>
        <item m="1" x="43"/>
        <item m="1" x="54"/>
        <item m="1" x="47"/>
        <item m="1" x="32"/>
        <item m="1" x="49"/>
        <item m="1" x="52"/>
        <item m="1" x="38"/>
        <item m="1" x="48"/>
        <item m="1" x="63"/>
        <item m="1" x="23"/>
        <item m="1" x="41"/>
        <item x="0"/>
        <item m="1" x="56"/>
        <item m="1" x="50"/>
        <item m="1" x="46"/>
        <item m="1" x="58"/>
        <item m="1" x="45"/>
        <item m="1" x="42"/>
        <item m="1" x="57"/>
        <item m="1" x="59"/>
        <item x="11"/>
        <item x="16"/>
        <item sd="0" x="17"/>
        <item x="20"/>
        <item m="1" x="25"/>
        <item m="1" x="26"/>
        <item m="1" x="33"/>
        <item m="1" x="36"/>
        <item x="2"/>
        <item x="1"/>
        <item m="1" x="31"/>
        <item x="5"/>
        <item m="1" x="37"/>
        <item m="1" x="55"/>
        <item m="1" x="28"/>
        <item x="6"/>
        <item x="9"/>
        <item m="1" x="35"/>
        <item m="1" x="21"/>
      </items>
      <extLst>
        <ext xmlns:x14="http://schemas.microsoft.com/office/spreadsheetml/2009/9/main" uri="{2946ED86-A175-432a-8AC1-64E0C546D7DE}">
          <x14:pivotField fillDownLabels="1"/>
        </ext>
      </extLst>
    </pivotField>
    <pivotField axis="axisRow" compact="0" outline="0" multipleItemSelectionAllowed="1" showAll="0" defaultSubtotal="0">
      <items count="59">
        <item m="1" x="48"/>
        <item m="1" x="35"/>
        <item m="1" x="23"/>
        <item m="1" x="17"/>
        <item m="1" x="19"/>
        <item m="1" x="46"/>
        <item m="1" x="34"/>
        <item x="10"/>
        <item x="7"/>
        <item m="1" x="56"/>
        <item x="4"/>
        <item m="1" x="57"/>
        <item x="9"/>
        <item m="1" x="40"/>
        <item m="1" x="26"/>
        <item x="3"/>
        <item x="12"/>
        <item m="1" x="36"/>
        <item m="1" x="42"/>
        <item m="1" x="16"/>
        <item m="1" x="28"/>
        <item m="1" x="43"/>
        <item m="1" x="47"/>
        <item m="1" x="37"/>
        <item m="1" x="33"/>
        <item m="1" x="44"/>
        <item m="1" x="18"/>
        <item x="0"/>
        <item m="1" x="52"/>
        <item m="1" x="45"/>
        <item m="1" x="41"/>
        <item m="1" x="54"/>
        <item m="1" x="38"/>
        <item m="1" x="55"/>
        <item m="1" x="21"/>
        <item m="1" x="22"/>
        <item m="1" x="29"/>
        <item m="1" x="31"/>
        <item x="2"/>
        <item x="1"/>
        <item m="1" x="32"/>
        <item m="1" x="51"/>
        <item m="1" x="53"/>
        <item m="1" x="49"/>
        <item x="6"/>
        <item m="1" x="15"/>
        <item m="1" x="58"/>
        <item x="8"/>
        <item m="1" x="50"/>
        <item m="1" x="25"/>
        <item m="1" x="27"/>
        <item m="1" x="24"/>
        <item m="1" x="20"/>
        <item m="1" x="30"/>
        <item m="1" x="39"/>
        <item x="5"/>
        <item x="11"/>
        <item x="13"/>
        <item x="1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6">
        <item m="1" x="5"/>
        <item x="0"/>
        <item m="1" x="4"/>
        <item m="1" x="3"/>
        <item x="1"/>
        <item m="1" x="2"/>
      </items>
      <extLst>
        <ext xmlns:x14="http://schemas.microsoft.com/office/spreadsheetml/2009/9/main" uri="{2946ED86-A175-432a-8AC1-64E0C546D7DE}">
          <x14:pivotField fillDownLabels="1"/>
        </ext>
      </extLst>
    </pivotField>
    <pivotField compact="0" outline="0" showAll="0" defaultSubtotal="0">
      <items count="46">
        <item m="1" x="31"/>
        <item x="0"/>
        <item m="1" x="43"/>
        <item m="1" x="35"/>
        <item x="6"/>
        <item x="1"/>
        <item x="23"/>
        <item x="16"/>
        <item x="4"/>
        <item x="14"/>
        <item x="20"/>
        <item m="1" x="38"/>
        <item m="1" x="26"/>
        <item x="15"/>
        <item m="1" x="45"/>
        <item x="17"/>
        <item m="1" x="41"/>
        <item x="5"/>
        <item x="21"/>
        <item m="1" x="36"/>
        <item m="1" x="30"/>
        <item x="8"/>
        <item x="10"/>
        <item m="1" x="25"/>
        <item x="2"/>
        <item m="1" x="42"/>
        <item x="18"/>
        <item m="1" x="34"/>
        <item x="7"/>
        <item m="1" x="33"/>
        <item x="22"/>
        <item m="1" x="29"/>
        <item x="19"/>
        <item m="1" x="27"/>
        <item m="1" x="28"/>
        <item m="1" x="32"/>
        <item m="1" x="37"/>
        <item x="11"/>
        <item m="1" x="44"/>
        <item m="1" x="40"/>
        <item x="12"/>
        <item m="1" x="39"/>
        <item x="9"/>
        <item x="13"/>
        <item x="3"/>
        <item m="1" x="24"/>
      </items>
      <extLst>
        <ext xmlns:x14="http://schemas.microsoft.com/office/spreadsheetml/2009/9/main" uri="{2946ED86-A175-432a-8AC1-64E0C546D7DE}">
          <x14:pivotField fillDownLabels="1"/>
        </ext>
      </extLst>
    </pivotField>
    <pivotField compact="0" outline="0" showAll="0" defaultSubtotal="0">
      <items count="14">
        <item x="0"/>
        <item x="1"/>
        <item m="1" x="10"/>
        <item m="1" x="8"/>
        <item m="1" x="6"/>
        <item m="1" x="5"/>
        <item m="1" x="12"/>
        <item m="1" x="9"/>
        <item m="1" x="13"/>
        <item m="1" x="7"/>
        <item m="1" x="11"/>
        <item m="1" x="3"/>
        <item m="1" x="4"/>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5">
        <item m="1" x="2"/>
        <item x="1"/>
        <item x="0"/>
        <item m="1" x="4"/>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3">
    <field x="4"/>
    <field x="1"/>
    <field x="2"/>
  </rowFields>
  <rowItems count="23">
    <i>
      <x v="1"/>
      <x v="8"/>
      <x v="8"/>
    </i>
    <i r="1">
      <x v="9"/>
      <x v="8"/>
    </i>
    <i r="1">
      <x v="10"/>
      <x v="8"/>
    </i>
    <i r="1">
      <x v="12"/>
      <x v="8"/>
    </i>
    <i r="1">
      <x v="14"/>
      <x v="8"/>
    </i>
    <i r="1">
      <x v="15"/>
      <x v="10"/>
    </i>
    <i r="1">
      <x v="18"/>
      <x v="12"/>
    </i>
    <i r="1">
      <x v="21"/>
      <x v="15"/>
    </i>
    <i r="1">
      <x v="45"/>
      <x v="8"/>
    </i>
    <i r="1">
      <x v="46"/>
      <x v="8"/>
    </i>
    <i r="1">
      <x v="47"/>
    </i>
    <i r="1">
      <x v="48"/>
      <x v="57"/>
    </i>
    <i r="1">
      <x v="53"/>
      <x v="38"/>
    </i>
    <i r="1">
      <x v="54"/>
      <x v="39"/>
    </i>
    <i r="2">
      <x v="58"/>
    </i>
    <i r="1">
      <x v="56"/>
      <x v="55"/>
    </i>
    <i r="1">
      <x v="60"/>
      <x v="44"/>
    </i>
    <i r="1">
      <x v="61"/>
      <x v="47"/>
    </i>
    <i>
      <x v="4"/>
      <x v="7"/>
      <x v="7"/>
    </i>
    <i r="1">
      <x v="21"/>
      <x v="15"/>
    </i>
    <i r="1">
      <x v="23"/>
      <x v="16"/>
    </i>
    <i r="1">
      <x v="24"/>
      <x v="16"/>
    </i>
    <i r="2">
      <x v="56"/>
    </i>
  </rowItems>
  <colItems count="1">
    <i/>
  </colItems>
  <pageFields count="2">
    <pageField fld="0" hier="-1"/>
    <pageField fld="142"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F7211E2-A817-41D1-B1B2-798236285E84}" name="PivotTable2" cacheId="4" applyNumberFormats="0" applyBorderFormats="0" applyFontFormats="0" applyPatternFormats="0" applyAlignmentFormats="0" applyWidthHeightFormats="1" dataCaption="Values" updatedVersion="7" minRefreshableVersion="3" rowGrandTotals="0" colGrandTotals="0" itemPrintTitles="1" createdVersion="6" indent="0" showHeaders="0" compact="0" compactData="0" multipleFieldFilters="0">
  <location ref="Q5:AE45" firstHeaderRow="0" firstDataRow="1" firstDataCol="1" rowPageCount="3" colPageCount="1"/>
  <pivotFields count="155">
    <pivotField compact="0" outline="0" subtotalTop="0" showAll="0" defaultSubtotal="0"/>
    <pivotField compact="0" outline="0" showAll="0" defaultSubtotal="0"/>
    <pivotField compact="0" outline="0" showAll="0" defaultSubtotal="0"/>
    <pivotField compact="0" outline="0" subtotalTop="0" showAll="0" defaultSubtotal="0"/>
    <pivotField axis="axisPage" compact="0" outline="0" subtotalTop="0" showAll="0" defaultSubtotal="0">
      <items count="6">
        <item x="0"/>
        <item m="1" x="3"/>
        <item x="1"/>
        <item m="1" x="2"/>
        <item m="1" x="5"/>
        <item m="1" x="4"/>
      </items>
    </pivotField>
    <pivotField compact="0" outline="0" subtotalTop="0" showAll="0" defaultSubtotal="0"/>
    <pivotField axis="axisPage" compact="0" outline="0" multipleItemSelectionAllowed="1" showAll="0" defaultSubtotal="0">
      <items count="14">
        <item x="0"/>
        <item x="1"/>
        <item m="1" x="10"/>
        <item h="1" m="1" x="12"/>
        <item h="1" m="1" x="13"/>
        <item h="1" m="1" x="6"/>
        <item h="1" m="1" x="9"/>
        <item h="1" m="1" x="5"/>
        <item m="1" x="7"/>
        <item m="1" x="8"/>
        <item h="1" m="1" x="11"/>
        <item h="1" m="1" x="3"/>
        <item h="1" m="1" x="4"/>
        <item x="2"/>
      </items>
    </pivotField>
    <pivotField axis="axisRow" compact="0" outline="0" subtotalTop="0" showAll="0" defaultSubtotal="0">
      <items count="1068">
        <item m="1" x="910"/>
        <item m="1" x="1051"/>
        <item m="1" x="494"/>
        <item m="1" x="740"/>
        <item m="1" x="311"/>
        <item m="1" x="505"/>
        <item m="1" x="620"/>
        <item x="1"/>
        <item x="2"/>
        <item x="3"/>
        <item x="4"/>
        <item x="5"/>
        <item x="6"/>
        <item m="1" x="478"/>
        <item m="1" x="362"/>
        <item m="1" x="608"/>
        <item m="1" x="277"/>
        <item m="1" x="736"/>
        <item m="1" x="318"/>
        <item m="1" x="582"/>
        <item m="1" x="701"/>
        <item m="1" x="716"/>
        <item m="1" x="899"/>
        <item m="1" x="846"/>
        <item m="1" x="490"/>
        <item m="1" x="773"/>
        <item m="1" x="320"/>
        <item m="1" x="975"/>
        <item m="1" x="879"/>
        <item m="1" x="332"/>
        <item m="1" x="763"/>
        <item m="1" x="544"/>
        <item m="1" x="917"/>
        <item m="1" x="858"/>
        <item m="1" x="940"/>
        <item m="1" x="887"/>
        <item m="1" x="827"/>
        <item m="1" x="714"/>
        <item m="1" x="429"/>
        <item m="1" x="962"/>
        <item m="1" x="400"/>
        <item m="1" x="838"/>
        <item m="1" x="466"/>
        <item m="1" x="977"/>
        <item m="1" x="435"/>
        <item m="1" x="452"/>
        <item m="1" x="826"/>
        <item m="1" x="434"/>
        <item m="1" x="808"/>
        <item m="1" x="559"/>
        <item m="1" x="1002"/>
        <item m="1" x="319"/>
        <item m="1" x="739"/>
        <item m="1" x="450"/>
        <item m="1" x="1052"/>
        <item m="1" x="358"/>
        <item m="1" x="878"/>
        <item m="1" x="1050"/>
        <item m="1" x="230"/>
        <item m="1" x="787"/>
        <item m="1" x="606"/>
        <item m="1" x="677"/>
        <item m="1" x="678"/>
        <item m="1" x="672"/>
        <item m="1" x="248"/>
        <item x="7"/>
        <item m="1" x="1013"/>
        <item m="1" x="1053"/>
        <item m="1" x="774"/>
        <item m="1" x="502"/>
        <item m="1" x="1046"/>
        <item m="1" x="689"/>
        <item m="1" x="1061"/>
        <item m="1" x="523"/>
        <item m="1" x="1024"/>
        <item m="1" x="387"/>
        <item m="1" x="251"/>
        <item m="1" x="241"/>
        <item m="1" x="711"/>
        <item m="1" x="968"/>
        <item m="1" x="420"/>
        <item x="8"/>
        <item m="1" x="342"/>
        <item m="1" x="436"/>
        <item m="1" x="915"/>
        <item m="1" x="868"/>
        <item m="1" x="708"/>
        <item m="1" x="932"/>
        <item m="1" x="266"/>
        <item m="1" x="373"/>
        <item m="1" x="595"/>
        <item m="1" x="228"/>
        <item m="1" x="831"/>
        <item m="1" x="657"/>
        <item m="1" x="981"/>
        <item m="1" x="832"/>
        <item m="1" x="924"/>
        <item m="1" x="591"/>
        <item m="1" x="637"/>
        <item m="1" x="746"/>
        <item m="1" x="566"/>
        <item m="1" x="548"/>
        <item m="1" x="475"/>
        <item m="1" x="430"/>
        <item x="10"/>
        <item m="1" x="1047"/>
        <item m="1" x="1003"/>
        <item m="1" x="771"/>
        <item m="1" x="516"/>
        <item m="1" x="828"/>
        <item x="12"/>
        <item m="1" x="648"/>
        <item m="1" x="969"/>
        <item m="1" x="461"/>
        <item m="1" x="370"/>
        <item m="1" x="761"/>
        <item m="1" x="734"/>
        <item m="1" x="792"/>
        <item m="1" x="239"/>
        <item m="1" x="262"/>
        <item x="13"/>
        <item m="1" x="942"/>
        <item m="1" x="471"/>
        <item m="1" x="385"/>
        <item m="1" x="467"/>
        <item x="14"/>
        <item m="1" x="658"/>
        <item m="1" x="634"/>
        <item m="1" x="422"/>
        <item m="1" x="234"/>
        <item m="1" x="783"/>
        <item m="1" x="821"/>
        <item m="1" x="220"/>
        <item m="1" x="767"/>
        <item m="1" x="1006"/>
        <item m="1" x="681"/>
        <item m="1" x="267"/>
        <item m="1" x="893"/>
        <item m="1" x="292"/>
        <item m="1" x="404"/>
        <item m="1" x="261"/>
        <item m="1" x="935"/>
        <item x="16"/>
        <item m="1" x="867"/>
        <item m="1" x="597"/>
        <item m="1" x="491"/>
        <item m="1" x="793"/>
        <item m="1" x="469"/>
        <item m="1" x="925"/>
        <item m="1" x="973"/>
        <item m="1" x="885"/>
        <item m="1" x="654"/>
        <item m="1" x="419"/>
        <item x="19"/>
        <item m="1" x="840"/>
        <item x="20"/>
        <item m="1" x="660"/>
        <item x="21"/>
        <item x="160"/>
        <item m="1" x="990"/>
        <item m="1" x="360"/>
        <item x="161"/>
        <item m="1" x="1011"/>
        <item m="1" x="337"/>
        <item m="1" x="731"/>
        <item m="1" x="605"/>
        <item m="1" x="948"/>
        <item m="1" x="635"/>
        <item m="1" x="895"/>
        <item m="1" x="269"/>
        <item m="1" x="796"/>
        <item m="1" x="724"/>
        <item m="1" x="988"/>
        <item m="1" x="929"/>
        <item m="1" x="834"/>
        <item m="1" x="709"/>
        <item m="1" x="568"/>
        <item m="1" x="788"/>
        <item m="1" x="639"/>
        <item m="1" x="805"/>
        <item m="1" x="889"/>
        <item m="1" x="210"/>
        <item m="1" x="302"/>
        <item m="1" x="673"/>
        <item m="1" x="237"/>
        <item x="22"/>
        <item x="23"/>
        <item x="24"/>
        <item x="25"/>
        <item m="1" x="328"/>
        <item m="1" x="227"/>
        <item m="1" x="630"/>
        <item x="26"/>
        <item m="1" x="231"/>
        <item m="1" x="533"/>
        <item m="1" x="600"/>
        <item m="1" x="811"/>
        <item m="1" x="492"/>
        <item m="1" x="255"/>
        <item m="1" x="758"/>
        <item m="1" x="949"/>
        <item x="165"/>
        <item m="1" x="754"/>
        <item x="28"/>
        <item m="1" x="331"/>
        <item m="1" x="493"/>
        <item m="1" x="759"/>
        <item m="1" x="984"/>
        <item x="29"/>
        <item m="1" x="250"/>
        <item m="1" x="971"/>
        <item m="1" x="820"/>
        <item x="30"/>
        <item m="1" x="357"/>
        <item m="1" x="697"/>
        <item m="1" x="669"/>
        <item m="1" x="441"/>
        <item x="31"/>
        <item x="32"/>
        <item x="167"/>
        <item x="33"/>
        <item m="1" x="769"/>
        <item m="1" x="809"/>
        <item m="1" x="460"/>
        <item m="1" x="290"/>
        <item m="1" x="384"/>
        <item m="1" x="778"/>
        <item m="1" x="738"/>
        <item m="1" x="402"/>
        <item x="34"/>
        <item x="35"/>
        <item x="36"/>
        <item x="37"/>
        <item m="1" x="695"/>
        <item x="38"/>
        <item m="1" x="1020"/>
        <item m="1" x="1063"/>
        <item m="1" x="577"/>
        <item m="1" x="930"/>
        <item m="1" x="958"/>
        <item m="1" x="437"/>
        <item m="1" x="554"/>
        <item m="1" x="525"/>
        <item x="39"/>
        <item m="1" x="455"/>
        <item m="1" x="703"/>
        <item m="1" x="663"/>
        <item m="1" x="539"/>
        <item m="1" x="655"/>
        <item m="1" x="870"/>
        <item m="1" x="415"/>
        <item m="1" x="812"/>
        <item m="1" x="363"/>
        <item m="1" x="409"/>
        <item m="1" x="748"/>
        <item m="1" x="411"/>
        <item m="1" x="482"/>
        <item m="1" x="641"/>
        <item m="1" x="800"/>
        <item m="1" x="980"/>
        <item m="1" x="540"/>
        <item m="1" x="755"/>
        <item m="1" x="285"/>
        <item m="1" x="901"/>
        <item m="1" x="664"/>
        <item m="1" x="933"/>
        <item m="1" x="347"/>
        <item x="40"/>
        <item m="1" x="289"/>
        <item m="1" x="671"/>
        <item m="1" x="451"/>
        <item m="1" x="510"/>
        <item m="1" x="599"/>
        <item m="1" x="1037"/>
        <item m="1" x="281"/>
        <item m="1" x="617"/>
        <item m="1" x="443"/>
        <item m="1" x="571"/>
        <item x="41"/>
        <item m="1" x="515"/>
        <item m="1" x="1055"/>
        <item m="1" x="364"/>
        <item m="1" x="573"/>
        <item m="1" x="757"/>
        <item m="1" x="693"/>
        <item m="1" x="386"/>
        <item m="1" x="477"/>
        <item m="1" x="794"/>
        <item m="1" x="764"/>
        <item m="1" x="518"/>
        <item m="1" x="810"/>
        <item m="1" x="513"/>
        <item m="1" x="304"/>
        <item m="1" x="388"/>
        <item m="1" x="317"/>
        <item m="1" x="770"/>
        <item m="1" x="1008"/>
        <item m="1" x="428"/>
        <item m="1" x="572"/>
        <item m="1" x="751"/>
        <item m="1" x="325"/>
        <item x="168"/>
        <item x="169"/>
        <item m="1" x="1027"/>
        <item m="1" x="612"/>
        <item m="1" x="309"/>
        <item m="1" x="529"/>
        <item m="1" x="1021"/>
        <item m="1" x="379"/>
        <item m="1" x="351"/>
        <item m="1" x="784"/>
        <item m="1" x="848"/>
        <item m="1" x="346"/>
        <item m="1" x="837"/>
        <item m="1" x="270"/>
        <item m="1" x="344"/>
        <item m="1" x="916"/>
        <item m="1" x="394"/>
        <item m="1" x="647"/>
        <item m="1" x="963"/>
        <item m="1" x="1041"/>
        <item m="1" x="1057"/>
        <item m="1" x="327"/>
        <item m="1" x="286"/>
        <item m="1" x="432"/>
        <item m="1" x="926"/>
        <item m="1" x="707"/>
        <item m="1" x="380"/>
        <item m="1" x="797"/>
        <item m="1" x="1001"/>
        <item m="1" x="661"/>
        <item m="1" x="381"/>
        <item m="1" x="414"/>
        <item m="1" x="486"/>
        <item m="1" x="265"/>
        <item m="1" x="863"/>
        <item m="1" x="335"/>
        <item m="1" x="819"/>
        <item m="1" x="283"/>
        <item m="1" x="941"/>
        <item m="1" x="979"/>
        <item m="1" x="330"/>
        <item m="1" x="598"/>
        <item m="1" x="944"/>
        <item m="1" x="401"/>
        <item m="1" x="982"/>
        <item m="1" x="275"/>
        <item x="171"/>
        <item m="1" x="558"/>
        <item m="1" x="624"/>
        <item m="1" x="719"/>
        <item m="1" x="223"/>
        <item m="1" x="1039"/>
        <item x="42"/>
        <item m="1" x="928"/>
        <item m="1" x="650"/>
        <item m="1" x="463"/>
        <item m="1" x="978"/>
        <item m="1" x="407"/>
        <item m="1" x="355"/>
        <item x="43"/>
        <item m="1" x="934"/>
        <item m="1" x="257"/>
        <item m="1" x="487"/>
        <item m="1" x="589"/>
        <item m="1" x="310"/>
        <item x="44"/>
        <item m="1" x="288"/>
        <item m="1" x="698"/>
        <item m="1" x="299"/>
        <item m="1" x="912"/>
        <item x="45"/>
        <item m="1" x="829"/>
        <item x="46"/>
        <item m="1" x="271"/>
        <item x="47"/>
        <item x="48"/>
        <item m="1" x="378"/>
        <item m="1" x="1065"/>
        <item m="1" x="590"/>
        <item m="1" x="268"/>
        <item m="1" x="211"/>
        <item m="1" x="886"/>
        <item m="1" x="535"/>
        <item m="1" x="263"/>
        <item m="1" x="741"/>
        <item m="1" x="497"/>
        <item m="1" x="323"/>
        <item x="49"/>
        <item m="1" x="690"/>
        <item m="1" x="849"/>
        <item m="1" x="524"/>
        <item m="1" x="636"/>
        <item x="51"/>
        <item x="52"/>
        <item x="53"/>
        <item x="172"/>
        <item x="55"/>
        <item x="56"/>
        <item x="57"/>
        <item x="58"/>
        <item m="1" x="338"/>
        <item m="1" x="279"/>
        <item m="1" x="324"/>
        <item x="59"/>
        <item m="1" x="972"/>
        <item x="60"/>
        <item m="1" x="896"/>
        <item x="61"/>
        <item m="1" x="890"/>
        <item m="1" x="374"/>
        <item m="1" x="546"/>
        <item x="62"/>
        <item x="63"/>
        <item x="173"/>
        <item m="1" x="424"/>
        <item x="64"/>
        <item x="65"/>
        <item x="66"/>
        <item x="67"/>
        <item x="69"/>
        <item x="70"/>
        <item m="1" x="918"/>
        <item x="71"/>
        <item x="72"/>
        <item x="73"/>
        <item x="74"/>
        <item x="174"/>
        <item m="1" x="399"/>
        <item x="175"/>
        <item m="1" x="1025"/>
        <item m="1" x="565"/>
        <item x="75"/>
        <item x="76"/>
        <item x="77"/>
        <item x="78"/>
        <item m="1" x="713"/>
        <item m="1" x="212"/>
        <item m="1" x="366"/>
        <item x="176"/>
        <item x="177"/>
        <item m="1" x="222"/>
        <item m="1" x="315"/>
        <item x="80"/>
        <item m="1" x="622"/>
        <item m="1" x="276"/>
        <item m="1" x="989"/>
        <item m="1" x="943"/>
        <item m="1" x="412"/>
        <item m="1" x="500"/>
        <item m="1" x="329"/>
        <item x="82"/>
        <item x="83"/>
        <item m="1" x="253"/>
        <item m="1" x="314"/>
        <item m="1" x="914"/>
        <item x="84"/>
        <item m="1" x="427"/>
        <item m="1" x="514"/>
        <item m="1" x="246"/>
        <item m="1" x="465"/>
        <item m="1" x="326"/>
        <item m="1" x="336"/>
        <item m="1" x="484"/>
        <item m="1" x="345"/>
        <item m="1" x="349"/>
        <item m="1" x="519"/>
        <item m="1" x="1029"/>
        <item m="1" x="403"/>
        <item m="1" x="705"/>
        <item m="1" x="956"/>
        <item m="1" x="1014"/>
        <item m="1" x="352"/>
        <item m="1" x="760"/>
        <item x="179"/>
        <item m="1" x="874"/>
        <item m="1" x="272"/>
        <item m="1" x="729"/>
        <item m="1" x="570"/>
        <item x="86"/>
        <item x="87"/>
        <item m="1" x="592"/>
        <item m="1" x="772"/>
        <item m="1" x="722"/>
        <item m="1" x="976"/>
        <item x="181"/>
        <item m="1" x="806"/>
        <item m="1" x="382"/>
        <item m="1" x="593"/>
        <item m="1" x="668"/>
        <item m="1" x="284"/>
        <item m="1" x="866"/>
        <item m="1" x="555"/>
        <item x="90"/>
        <item m="1" x="745"/>
        <item m="1" x="334"/>
        <item m="1" x="946"/>
        <item m="1" x="483"/>
        <item m="1" x="1056"/>
        <item m="1" x="670"/>
        <item m="1" x="994"/>
        <item m="1" x="503"/>
        <item m="1" x="951"/>
        <item m="1" x="847"/>
        <item m="1" x="955"/>
        <item m="1" x="396"/>
        <item m="1" x="775"/>
        <item m="1" x="532"/>
        <item m="1" x="509"/>
        <item m="1" x="560"/>
        <item m="1" x="583"/>
        <item x="182"/>
        <item x="183"/>
        <item x="184"/>
        <item x="185"/>
        <item m="1" x="692"/>
        <item x="186"/>
        <item m="1" x="405"/>
        <item x="187"/>
        <item x="94"/>
        <item m="1" x="511"/>
        <item x="188"/>
        <item x="189"/>
        <item m="1" x="1018"/>
        <item x="95"/>
        <item m="1" x="418"/>
        <item x="96"/>
        <item m="1" x="861"/>
        <item x="98"/>
        <item m="1" x="822"/>
        <item m="1" x="986"/>
        <item x="99"/>
        <item m="1" x="294"/>
        <item m="1" x="543"/>
        <item m="1" x="873"/>
        <item x="100"/>
        <item m="1" x="397"/>
        <item m="1" x="913"/>
        <item m="1" x="950"/>
        <item m="1" x="961"/>
        <item m="1" x="219"/>
        <item m="1" x="305"/>
        <item x="103"/>
        <item x="104"/>
        <item m="1" x="659"/>
        <item m="1" x="214"/>
        <item m="1" x="553"/>
        <item x="105"/>
        <item m="1" x="1059"/>
        <item x="190"/>
        <item m="1" x="462"/>
        <item m="1" x="702"/>
        <item m="1" x="575"/>
        <item m="1" x="795"/>
        <item m="1" x="850"/>
        <item m="1" x="686"/>
        <item m="1" x="604"/>
        <item m="1" x="534"/>
        <item m="1" x="353"/>
        <item m="1" x="563"/>
        <item m="1" x="615"/>
        <item m="1" x="939"/>
        <item m="1" x="383"/>
        <item m="1" x="651"/>
        <item m="1" x="218"/>
        <item m="1" x="506"/>
        <item m="1" x="992"/>
        <item m="1" x="375"/>
        <item m="1" x="431"/>
        <item m="1" x="872"/>
        <item m="1" x="501"/>
        <item m="1" x="628"/>
        <item m="1" x="361"/>
        <item m="1" x="421"/>
        <item m="1" x="750"/>
        <item m="1" x="966"/>
        <item m="1" x="835"/>
        <item x="106"/>
        <item m="1" x="354"/>
        <item m="1" x="303"/>
        <item x="107"/>
        <item m="1" x="371"/>
        <item m="1" x="603"/>
        <item m="1" x="1022"/>
        <item m="1" x="584"/>
        <item m="1" x="877"/>
        <item x="108"/>
        <item m="1" x="541"/>
        <item m="1" x="291"/>
        <item m="1" x="444"/>
        <item m="1" x="1044"/>
        <item m="1" x="631"/>
        <item m="1" x="517"/>
        <item m="1" x="287"/>
        <item m="1" x="881"/>
        <item m="1" x="542"/>
        <item m="1" x="747"/>
        <item m="1" x="390"/>
        <item m="1" x="472"/>
        <item m="1" x="987"/>
        <item m="1" x="646"/>
        <item m="1" x="909"/>
        <item m="1" x="974"/>
        <item m="1" x="389"/>
        <item m="1" x="782"/>
        <item m="1" x="456"/>
        <item m="1" x="1043"/>
        <item x="109"/>
        <item x="110"/>
        <item x="111"/>
        <item m="1" x="824"/>
        <item m="1" x="528"/>
        <item m="1" x="656"/>
        <item x="112"/>
        <item m="1" x="785"/>
        <item m="1" x="398"/>
        <item m="1" x="579"/>
        <item x="113"/>
        <item x="191"/>
        <item m="1" x="922"/>
        <item x="192"/>
        <item m="1" x="507"/>
        <item m="1" x="204"/>
        <item x="114"/>
        <item m="1" x="642"/>
        <item m="1" x="1023"/>
        <item m="1" x="817"/>
        <item m="1" x="891"/>
        <item m="1" x="720"/>
        <item m="1" x="504"/>
        <item m="1" x="1045"/>
        <item x="115"/>
        <item m="1" x="530"/>
        <item m="1" x="993"/>
        <item m="1" x="869"/>
        <item m="1" x="684"/>
        <item m="1" x="587"/>
        <item m="1" x="561"/>
        <item m="1" x="348"/>
        <item m="1" x="406"/>
        <item m="1" x="712"/>
        <item m="1" x="768"/>
        <item m="1" x="445"/>
        <item m="1" x="710"/>
        <item m="1" x="611"/>
        <item m="1" x="680"/>
        <item m="1" x="376"/>
        <item m="1" x="256"/>
        <item m="1" x="481"/>
        <item m="1" x="844"/>
        <item m="1" x="333"/>
        <item m="1" x="802"/>
        <item m="1" x="900"/>
        <item m="1" x="602"/>
        <item m="1" x="998"/>
        <item m="1" x="607"/>
        <item m="1" x="931"/>
        <item m="1" x="260"/>
        <item m="1" x="499"/>
        <item m="1" x="640"/>
        <item m="1" x="1007"/>
        <item m="1" x="526"/>
        <item m="1" x="843"/>
        <item m="1" x="742"/>
        <item m="1" x="679"/>
        <item m="1" x="232"/>
        <item m="1" x="367"/>
        <item x="117"/>
        <item x="118"/>
        <item m="1" x="674"/>
        <item m="1" x="297"/>
        <item m="1" x="527"/>
        <item m="1" x="549"/>
        <item m="1" x="737"/>
        <item m="1" x="715"/>
        <item m="1" x="997"/>
        <item m="1" x="356"/>
        <item m="1" x="453"/>
        <item m="1" x="207"/>
        <item m="1" x="341"/>
        <item m="1" x="321"/>
        <item x="119"/>
        <item m="1" x="780"/>
        <item m="1" x="798"/>
        <item x="120"/>
        <item x="121"/>
        <item m="1" x="536"/>
        <item m="1" x="743"/>
        <item m="1" x="594"/>
        <item m="1" x="959"/>
        <item m="1" x="643"/>
        <item m="1" x="216"/>
        <item m="1" x="365"/>
        <item x="122"/>
        <item m="1" x="588"/>
        <item x="124"/>
        <item m="1" x="627"/>
        <item m="1" x="999"/>
        <item m="1" x="964"/>
        <item m="1" x="991"/>
        <item m="1" x="498"/>
        <item m="1" x="476"/>
        <item x="125"/>
        <item m="1" x="1015"/>
        <item m="1" x="474"/>
        <item m="1" x="552"/>
        <item m="1" x="621"/>
        <item m="1" x="799"/>
        <item m="1" x="842"/>
        <item m="1" x="871"/>
        <item m="1" x="682"/>
        <item m="1" x="833"/>
        <item m="1" x="945"/>
        <item m="1" x="864"/>
        <item m="1" x="547"/>
        <item m="1" x="735"/>
        <item m="1" x="894"/>
        <item m="1" x="706"/>
        <item m="1" x="876"/>
        <item m="1" x="814"/>
        <item x="126"/>
        <item m="1" x="1048"/>
        <item m="1" x="880"/>
        <item x="127"/>
        <item m="1" x="208"/>
        <item m="1" x="296"/>
        <item m="1" x="545"/>
        <item m="1" x="804"/>
        <item m="1" x="908"/>
        <item x="128"/>
        <item m="1" x="1060"/>
        <item x="129"/>
        <item m="1" x="683"/>
        <item m="1" x="550"/>
        <item m="1" x="1036"/>
        <item x="130"/>
        <item x="131"/>
        <item m="1" x="301"/>
        <item m="1" x="562"/>
        <item x="132"/>
        <item m="1" x="815"/>
        <item m="1" x="359"/>
        <item m="1" x="1042"/>
        <item x="133"/>
        <item x="134"/>
        <item m="1" x="687"/>
        <item m="1" x="521"/>
        <item m="1" x="816"/>
        <item m="1" x="752"/>
        <item m="1" x="576"/>
        <item m="1" x="236"/>
        <item m="1" x="653"/>
        <item m="1" x="688"/>
        <item m="1" x="308"/>
        <item m="1" x="423"/>
        <item m="1" x="479"/>
        <item m="1" x="586"/>
        <item m="1" x="853"/>
        <item x="135"/>
        <item m="1" x="470"/>
        <item m="1" x="235"/>
        <item m="1" x="875"/>
        <item m="1" x="920"/>
        <item m="1" x="841"/>
        <item m="1" x="1035"/>
        <item m="1" x="960"/>
        <item m="1" x="242"/>
        <item m="1" x="238"/>
        <item m="1" x="662"/>
        <item m="1" x="225"/>
        <item m="1" x="675"/>
        <item m="1" x="927"/>
        <item m="1" x="839"/>
        <item m="1" x="488"/>
        <item m="1" x="454"/>
        <item m="1" x="417"/>
        <item m="1" x="789"/>
        <item m="1" x="567"/>
        <item m="1" x="852"/>
        <item m="1" x="217"/>
        <item m="1" x="855"/>
        <item m="1" x="676"/>
        <item m="1" x="906"/>
        <item x="136"/>
        <item x="137"/>
        <item m="1" x="854"/>
        <item m="1" x="298"/>
        <item m="1" x="904"/>
        <item m="1" x="823"/>
        <item m="1" x="377"/>
        <item m="1" x="1062"/>
        <item m="1" x="368"/>
        <item m="1" x="280"/>
        <item m="1" x="985"/>
        <item m="1" x="907"/>
        <item m="1" x="921"/>
        <item m="1" x="779"/>
        <item m="1" x="762"/>
        <item m="1" x="859"/>
        <item x="141"/>
        <item x="142"/>
        <item m="1" x="209"/>
        <item m="1" x="495"/>
        <item m="1" x="1038"/>
        <item m="1" x="923"/>
        <item x="143"/>
        <item x="144"/>
        <item m="1" x="512"/>
        <item x="145"/>
        <item x="146"/>
        <item m="1" x="339"/>
        <item m="1" x="898"/>
        <item m="1" x="753"/>
        <item m="1" x="685"/>
        <item m="1" x="749"/>
        <item m="1" x="765"/>
        <item m="1" x="574"/>
        <item m="1" x="233"/>
        <item m="1" x="614"/>
        <item m="1" x="1034"/>
        <item m="1" x="718"/>
        <item m="1" x="295"/>
        <item m="1" x="801"/>
        <item m="1" x="1040"/>
        <item m="1" x="282"/>
        <item m="1" x="1031"/>
        <item m="1" x="1032"/>
        <item m="1" x="862"/>
        <item m="1" x="1033"/>
        <item m="1" x="392"/>
        <item m="1" x="721"/>
        <item m="1" x="818"/>
        <item m="1" x="938"/>
        <item m="1" x="215"/>
        <item m="1" x="313"/>
        <item m="1" x="480"/>
        <item m="1" x="369"/>
        <item m="1" x="213"/>
        <item m="1" x="726"/>
        <item m="1" x="618"/>
        <item m="1" x="1010"/>
        <item m="1" x="1058"/>
        <item m="1" x="1017"/>
        <item m="1" x="967"/>
        <item m="1" x="300"/>
        <item m="1" x="717"/>
        <item m="1" x="564"/>
        <item m="1" x="485"/>
        <item m="1" x="395"/>
        <item m="1" x="458"/>
        <item m="1" x="247"/>
        <item m="1" x="996"/>
        <item m="1" x="551"/>
        <item m="1" x="569"/>
        <item m="1" x="538"/>
        <item m="1" x="777"/>
        <item m="1" x="1066"/>
        <item m="1" x="995"/>
        <item m="1" x="556"/>
        <item m="1" x="442"/>
        <item m="1" x="619"/>
        <item m="1" x="911"/>
        <item m="1" x="278"/>
        <item m="1" x="1000"/>
        <item m="1" x="449"/>
        <item x="147"/>
        <item m="1" x="696"/>
        <item m="1" x="1004"/>
        <item m="1" x="601"/>
        <item m="1" x="459"/>
        <item m="1" x="645"/>
        <item m="1" x="1028"/>
        <item m="1" x="1005"/>
        <item m="1" x="725"/>
        <item m="1" x="652"/>
        <item m="1" x="520"/>
        <item m="1" x="439"/>
        <item m="1" x="440"/>
        <item m="1" x="393"/>
        <item m="1" x="245"/>
        <item m="1" x="391"/>
        <item m="1" x="221"/>
        <item m="1" x="206"/>
        <item m="1" x="851"/>
        <item m="1" x="489"/>
        <item m="1" x="408"/>
        <item m="1" x="623"/>
        <item m="1" x="410"/>
        <item m="1" x="557"/>
        <item m="1" x="259"/>
        <item m="1" x="644"/>
        <item m="1" x="665"/>
        <item m="1" x="700"/>
        <item m="1" x="730"/>
        <item m="1" x="905"/>
        <item m="1" x="350"/>
        <item m="1" x="649"/>
        <item m="1" x="813"/>
        <item m="1" x="781"/>
        <item m="1" x="965"/>
        <item m="1" x="340"/>
        <item m="1" x="508"/>
        <item m="1" x="1054"/>
        <item m="1" x="522"/>
        <item m="1" x="733"/>
        <item m="1" x="776"/>
        <item m="1" x="448"/>
        <item m="1" x="860"/>
        <item m="1" x="791"/>
        <item m="1" x="903"/>
        <item m="1" x="580"/>
        <item m="1" x="413"/>
        <item m="1" x="756"/>
        <item x="148"/>
        <item m="1" x="306"/>
        <item x="194"/>
        <item m="1" x="638"/>
        <item m="1" x="857"/>
        <item m="1" x="307"/>
        <item m="1" x="845"/>
        <item m="1" x="1030"/>
        <item m="1" x="633"/>
        <item m="1" x="632"/>
        <item m="1" x="343"/>
        <item m="1" x="836"/>
        <item m="1" x="372"/>
        <item m="1" x="616"/>
        <item m="1" x="856"/>
        <item m="1" x="322"/>
        <item m="1" x="243"/>
        <item m="1" x="446"/>
        <item m="1" x="464"/>
        <item x="149"/>
        <item x="150"/>
        <item m="1" x="293"/>
        <item m="1" x="807"/>
        <item m="1" x="888"/>
        <item m="1" x="983"/>
        <item m="1" x="416"/>
        <item x="153"/>
        <item m="1" x="1019"/>
        <item m="1" x="457"/>
        <item m="1" x="1016"/>
        <item m="1" x="954"/>
        <item m="1" x="892"/>
        <item m="1" x="447"/>
        <item m="1" x="830"/>
        <item x="154"/>
        <item x="155"/>
        <item x="156"/>
        <item m="1" x="936"/>
        <item m="1" x="224"/>
        <item m="1" x="786"/>
        <item m="1" x="625"/>
        <item m="1" x="694"/>
        <item m="1" x="496"/>
        <item m="1" x="585"/>
        <item m="1" x="897"/>
        <item m="1" x="578"/>
        <item m="1" x="790"/>
        <item m="1" x="744"/>
        <item m="1" x="953"/>
        <item m="1" x="803"/>
        <item m="1" x="723"/>
        <item m="1" x="1009"/>
        <item m="1" x="581"/>
        <item m="1" x="252"/>
        <item m="1" x="1064"/>
        <item m="1" x="1049"/>
        <item m="1" x="312"/>
        <item m="1" x="1067"/>
        <item x="157"/>
        <item m="1" x="626"/>
        <item m="1" x="249"/>
        <item m="1" x="229"/>
        <item m="1" x="865"/>
        <item m="1" x="883"/>
        <item m="1" x="884"/>
        <item m="1" x="957"/>
        <item m="1" x="919"/>
        <item m="1" x="316"/>
        <item m="1" x="613"/>
        <item m="1" x="425"/>
        <item m="1" x="426"/>
        <item m="1" x="1026"/>
        <item m="1" x="970"/>
        <item m="1" x="531"/>
        <item m="1" x="264"/>
        <item m="1" x="629"/>
        <item m="1" x="952"/>
        <item m="1" x="240"/>
        <item m="1" x="609"/>
        <item m="1" x="1012"/>
        <item m="1" x="610"/>
        <item m="1" x="947"/>
        <item m="1" x="537"/>
        <item m="1" x="473"/>
        <item m="1" x="825"/>
        <item m="1" x="244"/>
        <item m="1" x="258"/>
        <item m="1" x="766"/>
        <item m="1" x="732"/>
        <item m="1" x="273"/>
        <item m="1" x="902"/>
        <item m="1" x="254"/>
        <item m="1" x="468"/>
        <item m="1" x="666"/>
        <item m="1" x="596"/>
        <item m="1" x="274"/>
        <item m="1" x="937"/>
        <item m="1" x="728"/>
        <item m="1" x="667"/>
        <item m="1" x="699"/>
        <item x="195"/>
        <item m="1" x="433"/>
        <item m="1" x="205"/>
        <item m="1" x="438"/>
        <item m="1" x="727"/>
        <item x="164"/>
        <item x="193"/>
        <item m="1" x="882"/>
        <item m="1" x="226"/>
        <item x="11"/>
        <item x="178"/>
        <item x="163"/>
        <item x="170"/>
        <item x="93"/>
        <item x="102"/>
        <item x="152"/>
        <item x="151"/>
        <item x="54"/>
        <item x="116"/>
        <item x="158"/>
        <item x="50"/>
        <item x="17"/>
        <item x="18"/>
        <item x="101"/>
        <item m="1" x="691"/>
        <item m="1" x="704"/>
        <item x="196"/>
        <item x="200"/>
        <item x="88"/>
        <item x="139"/>
        <item x="140"/>
        <item x="159"/>
        <item x="162"/>
        <item x="79"/>
        <item x="0"/>
        <item x="9"/>
        <item x="15"/>
        <item x="138"/>
        <item x="81"/>
        <item x="27"/>
        <item x="85"/>
        <item x="89"/>
        <item x="91"/>
        <item x="123"/>
        <item x="97"/>
        <item x="92"/>
        <item x="197"/>
        <item x="198"/>
        <item x="199"/>
        <item x="201"/>
        <item x="202"/>
        <item x="203"/>
        <item x="180"/>
        <item x="166"/>
        <item x="68"/>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1"/>
        <item x="0"/>
        <item m="1" x="3"/>
        <item m="1" x="4"/>
        <item m="1" x="2"/>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40">
    <i>
      <x v="158"/>
    </i>
    <i>
      <x v="161"/>
    </i>
    <i>
      <x v="201"/>
    </i>
    <i>
      <x v="219"/>
    </i>
    <i>
      <x v="301"/>
    </i>
    <i>
      <x v="302"/>
    </i>
    <i>
      <x v="347"/>
    </i>
    <i>
      <x v="396"/>
    </i>
    <i>
      <x v="414"/>
    </i>
    <i>
      <x v="429"/>
    </i>
    <i>
      <x v="439"/>
    </i>
    <i>
      <x v="440"/>
    </i>
    <i>
      <x v="474"/>
    </i>
    <i>
      <x v="485"/>
    </i>
    <i>
      <x v="511"/>
    </i>
    <i>
      <x v="512"/>
    </i>
    <i>
      <x v="513"/>
    </i>
    <i>
      <x v="514"/>
    </i>
    <i>
      <x v="516"/>
    </i>
    <i>
      <x v="518"/>
    </i>
    <i>
      <x v="521"/>
    </i>
    <i>
      <x v="522"/>
    </i>
    <i>
      <x v="549"/>
    </i>
    <i>
      <x v="618"/>
    </i>
    <i>
      <x v="620"/>
    </i>
    <i>
      <x v="915"/>
    </i>
    <i>
      <x v="1013"/>
    </i>
    <i>
      <x v="1018"/>
    </i>
    <i>
      <x v="1019"/>
    </i>
    <i>
      <x v="1023"/>
    </i>
    <i>
      <x v="1044"/>
    </i>
    <i>
      <x v="1045"/>
    </i>
    <i>
      <x v="1059"/>
    </i>
    <i>
      <x v="1060"/>
    </i>
    <i>
      <x v="1061"/>
    </i>
    <i>
      <x v="1062"/>
    </i>
    <i>
      <x v="1063"/>
    </i>
    <i>
      <x v="1064"/>
    </i>
    <i>
      <x v="1065"/>
    </i>
    <i>
      <x v="1066"/>
    </i>
  </rowItems>
  <colFields count="1">
    <field x="-2"/>
  </colFields>
  <colItems count="14">
    <i>
      <x/>
    </i>
    <i i="1">
      <x v="1"/>
    </i>
    <i i="2">
      <x v="2"/>
    </i>
    <i i="3">
      <x v="3"/>
    </i>
    <i i="4">
      <x v="4"/>
    </i>
    <i i="5">
      <x v="5"/>
    </i>
    <i i="6">
      <x v="6"/>
    </i>
    <i i="7">
      <x v="7"/>
    </i>
    <i i="8">
      <x v="8"/>
    </i>
    <i i="9">
      <x v="9"/>
    </i>
    <i i="10">
      <x v="10"/>
    </i>
    <i i="11">
      <x v="11"/>
    </i>
    <i i="12">
      <x v="12"/>
    </i>
    <i i="13">
      <x v="13"/>
    </i>
  </colItems>
  <pageFields count="3">
    <pageField fld="142" item="0" hier="-1"/>
    <pageField fld="6" hier="-1"/>
    <pageField fld="4" item="2" hier="-1"/>
  </pageFields>
  <dataFields count="14">
    <dataField name="Max of Total PoP " fld="9" subtotal="max" baseField="7" baseItem="7" numFmtId="3"/>
    <dataField name="Max of HRP1" fld="99" subtotal="max" baseField="7" baseItem="7"/>
    <dataField name="Max of HRP2" fld="107" subtotal="max" baseField="7" baseItem="7"/>
    <dataField name="Max of HRP3" fld="119" subtotal="max" baseField="7" baseItem="7"/>
    <dataField name="Max of HRP4" fld="131" subtotal="max" baseField="7" baseItem="7"/>
    <dataField name="Max of HRP5" fld="132" subtotal="max" baseField="7" baseItem="7"/>
    <dataField name="Max of HRP6" fld="133" subtotal="max" baseField="7" baseItem="158"/>
    <dataField name="Max of hygiene items" fld="118" subtotal="max" baseField="7" baseItem="7"/>
    <dataField name="Max of # people reached by regular dedicated hygiene promotion_5" fld="115" subtotal="max" baseField="7" baseItem="7"/>
    <dataField name="Max of # People access to Handwashing Station" fld="128" subtotal="max" baseField="7" baseItem="7"/>
    <dataField name="Max of # People access to water in TLS/CFS_HRP5" fld="90" subtotal="max" baseField="7" baseItem="158"/>
    <dataField name="Max of # People access to water in THF_HRP6" fld="91" subtotal="max" baseField="7" baseItem="158"/>
    <dataField name="Max of # students access to functioning school latrines_HRP5" fld="109" subtotal="max" baseField="7" baseItem="7"/>
    <dataField name="Max of # People access to functioning latrines in THF_HRP6" fld="110" subtotal="max" baseField="7" baseItem="158"/>
  </dataFields>
  <formats count="59">
    <format dxfId="783">
      <pivotArea field="4" type="button" dataOnly="0" labelOnly="1" outline="0" axis="axisPage" fieldPosition="2"/>
    </format>
    <format dxfId="782">
      <pivotArea type="all" dataOnly="0" outline="0" fieldPosition="0"/>
    </format>
    <format dxfId="781">
      <pivotArea field="4" type="button" dataOnly="0" labelOnly="1" outline="0" axis="axisPage" fieldPosition="2"/>
    </format>
    <format dxfId="780">
      <pivotArea outline="0" fieldPosition="0">
        <references count="1">
          <reference field="4294967294" count="1">
            <x v="0"/>
          </reference>
        </references>
      </pivotArea>
    </format>
    <format dxfId="779">
      <pivotArea dataOnly="0" labelOnly="1" outline="0" fieldPosition="0">
        <references count="1">
          <reference field="4294967294" count="1">
            <x v="0"/>
          </reference>
        </references>
      </pivotArea>
    </format>
    <format dxfId="778">
      <pivotArea type="all" dataOnly="0" outline="0" fieldPosition="0"/>
    </format>
    <format dxfId="777">
      <pivotArea outline="0" collapsedLevelsAreSubtotals="1" fieldPosition="0"/>
    </format>
    <format dxfId="776">
      <pivotArea dataOnly="0" labelOnly="1" fieldPosition="0">
        <references count="1">
          <reference field="4" count="0"/>
        </references>
      </pivotArea>
    </format>
    <format dxfId="775">
      <pivotArea dataOnly="0" labelOnly="1" grandRow="1" outline="0" fieldPosition="0"/>
    </format>
    <format dxfId="774">
      <pivotArea dataOnly="0" labelOnly="1" outline="0" fieldPosition="0">
        <references count="1">
          <reference field="4294967294" count="1">
            <x v="0"/>
          </reference>
        </references>
      </pivotArea>
    </format>
    <format dxfId="773">
      <pivotArea type="all" dataOnly="0" outline="0" fieldPosition="0"/>
    </format>
    <format dxfId="772">
      <pivotArea outline="0" collapsedLevelsAreSubtotals="1" fieldPosition="0"/>
    </format>
    <format dxfId="771">
      <pivotArea dataOnly="0" labelOnly="1" fieldPosition="0">
        <references count="1">
          <reference field="4" count="0"/>
        </references>
      </pivotArea>
    </format>
    <format dxfId="770">
      <pivotArea dataOnly="0" labelOnly="1" grandRow="1" outline="0" fieldPosition="0"/>
    </format>
    <format dxfId="769">
      <pivotArea dataOnly="0" labelOnly="1" outline="0" fieldPosition="0">
        <references count="1">
          <reference field="4294967294" count="1">
            <x v="0"/>
          </reference>
        </references>
      </pivotArea>
    </format>
    <format dxfId="768">
      <pivotArea outline="0" collapsedLevelsAreSubtotals="1" fieldPosition="0"/>
    </format>
    <format dxfId="767">
      <pivotArea outline="0" collapsedLevelsAreSubtotals="1" fieldPosition="0">
        <references count="1">
          <reference field="4294967294" count="1" selected="0">
            <x v="1"/>
          </reference>
        </references>
      </pivotArea>
    </format>
    <format dxfId="766">
      <pivotArea dataOnly="0" labelOnly="1" outline="0" fieldPosition="0">
        <references count="1">
          <reference field="4294967294" count="1">
            <x v="1"/>
          </reference>
        </references>
      </pivotArea>
    </format>
    <format dxfId="765">
      <pivotArea outline="0" collapsedLevelsAreSubtotals="1" fieldPosition="0">
        <references count="1">
          <reference field="4294967294" count="1" selected="0">
            <x v="1"/>
          </reference>
        </references>
      </pivotArea>
    </format>
    <format dxfId="764">
      <pivotArea dataOnly="0" labelOnly="1" outline="0" fieldPosition="0">
        <references count="1">
          <reference field="4294967294" count="1">
            <x v="1"/>
          </reference>
        </references>
      </pivotArea>
    </format>
    <format dxfId="763">
      <pivotArea outline="0" collapsedLevelsAreSubtotals="1" fieldPosition="0">
        <references count="1">
          <reference field="4294967294" count="1" selected="0">
            <x v="2"/>
          </reference>
        </references>
      </pivotArea>
    </format>
    <format dxfId="762">
      <pivotArea dataOnly="0" labelOnly="1" outline="0" fieldPosition="0">
        <references count="1">
          <reference field="4294967294" count="1">
            <x v="2"/>
          </reference>
        </references>
      </pivotArea>
    </format>
    <format dxfId="761">
      <pivotArea outline="0" collapsedLevelsAreSubtotals="1" fieldPosition="0">
        <references count="1">
          <reference field="4294967294" count="1" selected="0">
            <x v="2"/>
          </reference>
        </references>
      </pivotArea>
    </format>
    <format dxfId="760">
      <pivotArea dataOnly="0" labelOnly="1" outline="0" fieldPosition="0">
        <references count="1">
          <reference field="4294967294" count="1">
            <x v="2"/>
          </reference>
        </references>
      </pivotArea>
    </format>
    <format dxfId="759">
      <pivotArea outline="0" collapsedLevelsAreSubtotals="1" fieldPosition="0">
        <references count="1">
          <reference field="4294967294" count="1" selected="0">
            <x v="3"/>
          </reference>
        </references>
      </pivotArea>
    </format>
    <format dxfId="758">
      <pivotArea dataOnly="0" labelOnly="1" outline="0" fieldPosition="0">
        <references count="1">
          <reference field="4294967294" count="1">
            <x v="3"/>
          </reference>
        </references>
      </pivotArea>
    </format>
    <format dxfId="757">
      <pivotArea outline="0" collapsedLevelsAreSubtotals="1" fieldPosition="0">
        <references count="1">
          <reference field="4294967294" count="1" selected="0">
            <x v="3"/>
          </reference>
        </references>
      </pivotArea>
    </format>
    <format dxfId="756">
      <pivotArea dataOnly="0" labelOnly="1" outline="0" fieldPosition="0">
        <references count="1">
          <reference field="4294967294" count="1">
            <x v="3"/>
          </reference>
        </references>
      </pivotArea>
    </format>
    <format dxfId="755">
      <pivotArea outline="0" collapsedLevelsAreSubtotals="1" fieldPosition="0">
        <references count="1">
          <reference field="4294967294" count="1" selected="0">
            <x v="0"/>
          </reference>
        </references>
      </pivotArea>
    </format>
    <format dxfId="754">
      <pivotArea dataOnly="0" labelOnly="1" outline="0" fieldPosition="0">
        <references count="1">
          <reference field="4294967294" count="1">
            <x v="0"/>
          </reference>
        </references>
      </pivotArea>
    </format>
    <format dxfId="753">
      <pivotArea outline="0" collapsedLevelsAreSubtotals="1" fieldPosition="0">
        <references count="1">
          <reference field="4294967294" count="1" selected="0">
            <x v="0"/>
          </reference>
        </references>
      </pivotArea>
    </format>
    <format dxfId="752">
      <pivotArea dataOnly="0" labelOnly="1" outline="0" fieldPosition="0">
        <references count="1">
          <reference field="4294967294" count="1">
            <x v="0"/>
          </reference>
        </references>
      </pivotArea>
    </format>
    <format dxfId="751">
      <pivotArea dataOnly="0" labelOnly="1" outline="0" fieldPosition="0">
        <references count="1">
          <reference field="4294967294" count="4">
            <x v="0"/>
            <x v="1"/>
            <x v="2"/>
            <x v="3"/>
          </reference>
        </references>
      </pivotArea>
    </format>
    <format dxfId="750">
      <pivotArea dataOnly="0" labelOnly="1" outline="0" fieldPosition="0">
        <references count="1">
          <reference field="4294967294" count="4">
            <x v="0"/>
            <x v="1"/>
            <x v="2"/>
            <x v="3"/>
          </reference>
        </references>
      </pivotArea>
    </format>
    <format dxfId="749">
      <pivotArea dataOnly="0" labelOnly="1" outline="0" fieldPosition="0">
        <references count="1">
          <reference field="4294967294" count="1">
            <x v="7"/>
          </reference>
        </references>
      </pivotArea>
    </format>
    <format dxfId="748">
      <pivotArea dataOnly="0" labelOnly="1" outline="0" fieldPosition="0">
        <references count="1">
          <reference field="4294967294" count="1">
            <x v="7"/>
          </reference>
        </references>
      </pivotArea>
    </format>
    <format dxfId="747">
      <pivotArea dataOnly="0" labelOnly="1" outline="0" fieldPosition="0">
        <references count="1">
          <reference field="4294967294" count="1">
            <x v="9"/>
          </reference>
        </references>
      </pivotArea>
    </format>
    <format dxfId="746">
      <pivotArea outline="0" collapsedLevelsAreSubtotals="1" fieldPosition="0">
        <references count="1">
          <reference field="4294967294" count="2" selected="0">
            <x v="7"/>
            <x v="9"/>
          </reference>
        </references>
      </pivotArea>
    </format>
    <format dxfId="745">
      <pivotArea dataOnly="0" labelOnly="1" outline="0" fieldPosition="0">
        <references count="1">
          <reference field="4294967294" count="1">
            <x v="8"/>
          </reference>
        </references>
      </pivotArea>
    </format>
    <format dxfId="744">
      <pivotArea collapsedLevelsAreSubtotals="1" fieldPosition="0">
        <references count="2">
          <reference field="4294967294" count="1" selected="0">
            <x v="8"/>
          </reference>
          <reference field="4" count="1">
            <x v="0"/>
          </reference>
        </references>
      </pivotArea>
    </format>
    <format dxfId="743">
      <pivotArea outline="0" collapsedLevelsAreSubtotals="1" fieldPosition="0">
        <references count="1">
          <reference field="4294967294" count="3" selected="0">
            <x v="7"/>
            <x v="8"/>
            <x v="9"/>
          </reference>
        </references>
      </pivotArea>
    </format>
    <format dxfId="742">
      <pivotArea dataOnly="0" labelOnly="1" outline="0" fieldPosition="0">
        <references count="1">
          <reference field="4294967294" count="3">
            <x v="7"/>
            <x v="8"/>
            <x v="9"/>
          </reference>
        </references>
      </pivotArea>
    </format>
    <format dxfId="741">
      <pivotArea outline="0" collapsedLevelsAreSubtotals="1" fieldPosition="0">
        <references count="1">
          <reference field="4294967294" count="3" selected="0">
            <x v="7"/>
            <x v="8"/>
            <x v="9"/>
          </reference>
        </references>
      </pivotArea>
    </format>
    <format dxfId="740">
      <pivotArea dataOnly="0" labelOnly="1" outline="0" fieldPosition="0">
        <references count="1">
          <reference field="4294967294" count="3">
            <x v="7"/>
            <x v="8"/>
            <x v="9"/>
          </reference>
        </references>
      </pivotArea>
    </format>
    <format dxfId="739">
      <pivotArea outline="0" collapsedLevelsAreSubtotals="1" fieldPosition="0">
        <references count="1">
          <reference field="4294967294" count="1" selected="0">
            <x v="4"/>
          </reference>
        </references>
      </pivotArea>
    </format>
    <format dxfId="738">
      <pivotArea dataOnly="0" labelOnly="1" outline="0" fieldPosition="0">
        <references count="1">
          <reference field="4294967294" count="1">
            <x v="4"/>
          </reference>
        </references>
      </pivotArea>
    </format>
    <format dxfId="737">
      <pivotArea outline="0" collapsedLevelsAreSubtotals="1" fieldPosition="0">
        <references count="1">
          <reference field="4294967294" count="1" selected="0">
            <x v="5"/>
          </reference>
        </references>
      </pivotArea>
    </format>
    <format dxfId="736">
      <pivotArea dataOnly="0" labelOnly="1" outline="0" fieldPosition="0">
        <references count="1">
          <reference field="4294967294" count="1">
            <x v="5"/>
          </reference>
        </references>
      </pivotArea>
    </format>
    <format dxfId="735">
      <pivotArea dataOnly="0" outline="0" fieldPosition="0">
        <references count="2">
          <reference field="4" count="0" defaultSubtotal="1"/>
          <reference field="142" count="1" selected="0">
            <x v="0"/>
          </reference>
        </references>
      </pivotArea>
    </format>
    <format dxfId="734">
      <pivotArea dataOnly="0" labelOnly="1" outline="0" fieldPosition="0">
        <references count="1">
          <reference field="4294967294" count="10">
            <x v="0"/>
            <x v="1"/>
            <x v="2"/>
            <x v="3"/>
            <x v="4"/>
            <x v="5"/>
            <x v="7"/>
            <x v="8"/>
            <x v="9"/>
            <x v="12"/>
          </reference>
        </references>
      </pivotArea>
    </format>
    <format dxfId="733">
      <pivotArea dataOnly="0" labelOnly="1" outline="0" fieldPosition="0">
        <references count="1">
          <reference field="4294967294" count="10">
            <x v="0"/>
            <x v="1"/>
            <x v="2"/>
            <x v="3"/>
            <x v="4"/>
            <x v="5"/>
            <x v="7"/>
            <x v="8"/>
            <x v="9"/>
            <x v="12"/>
          </reference>
        </references>
      </pivotArea>
    </format>
    <format dxfId="732">
      <pivotArea dataOnly="0" labelOnly="1" outline="0" fieldPosition="0">
        <references count="1">
          <reference field="4294967294" count="10">
            <x v="0"/>
            <x v="1"/>
            <x v="2"/>
            <x v="3"/>
            <x v="4"/>
            <x v="5"/>
            <x v="7"/>
            <x v="8"/>
            <x v="9"/>
            <x v="12"/>
          </reference>
        </references>
      </pivotArea>
    </format>
    <format dxfId="731">
      <pivotArea outline="0" fieldPosition="0">
        <references count="1">
          <reference field="4294967294" count="3" selected="0">
            <x v="8"/>
            <x v="9"/>
            <x v="12"/>
          </reference>
        </references>
      </pivotArea>
    </format>
    <format dxfId="730">
      <pivotArea dataOnly="0" labelOnly="1" outline="0" fieldPosition="0">
        <references count="1">
          <reference field="4294967294" count="3">
            <x v="8"/>
            <x v="9"/>
            <x v="12"/>
          </reference>
        </references>
      </pivotArea>
    </format>
    <format dxfId="729">
      <pivotArea dataOnly="0" outline="0" fieldPosition="0">
        <references count="3">
          <reference field="4294967294" count="1">
            <x v="6"/>
          </reference>
          <reference field="4" count="1" selected="0">
            <x v="2"/>
          </reference>
          <reference field="142" count="1" selected="0">
            <x v="0"/>
          </reference>
        </references>
      </pivotArea>
    </format>
    <format dxfId="728">
      <pivotArea dataOnly="0" labelOnly="1" outline="0" fieldPosition="0">
        <references count="1">
          <reference field="4294967294" count="1">
            <x v="6"/>
          </reference>
        </references>
      </pivotArea>
    </format>
    <format dxfId="727">
      <pivotArea dataOnly="0" labelOnly="1" outline="0" fieldPosition="0">
        <references count="1">
          <reference field="4294967294" count="1">
            <x v="10"/>
          </reference>
        </references>
      </pivotArea>
    </format>
    <format dxfId="726">
      <pivotArea dataOnly="0" labelOnly="1" outline="0" fieldPosition="0">
        <references count="1">
          <reference field="4294967294" count="1">
            <x v="11"/>
          </reference>
        </references>
      </pivotArea>
    </format>
    <format dxfId="725">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AAAF34BA-73D2-40F5-A669-2B04411D8DC1}" name="PivotTable6" cacheId="5" applyNumberFormats="0" applyBorderFormats="0" applyFontFormats="0" applyPatternFormats="0" applyAlignmentFormats="0" applyWidthHeightFormats="1" dataCaption="Values" updatedVersion="7" minRefreshableVersion="3" useAutoFormatting="1" itemPrintTitles="1" createdVersion="6" indent="0" compact="0" compactData="0" multipleFieldFilters="0">
  <location ref="F1:G65" firstHeaderRow="1" firstDataRow="1" firstDataCol="2"/>
  <pivotFields count="3">
    <pivotField axis="axisRow" compact="0" outline="0" showAll="0" defaultSubtotal="0">
      <items count="11">
        <item x="4"/>
        <item x="5"/>
        <item x="3"/>
        <item x="0"/>
        <item x="6"/>
        <item x="7"/>
        <item x="9"/>
        <item x="2"/>
        <item x="10"/>
        <item x="1"/>
        <item x="8"/>
      </items>
      <extLst>
        <ext xmlns:x14="http://schemas.microsoft.com/office/spreadsheetml/2009/9/main" uri="{2946ED86-A175-432a-8AC1-64E0C546D7DE}">
          <x14:pivotField fillDownLabels="1"/>
        </ext>
      </extLst>
    </pivotField>
    <pivotField axis="axisRow" compact="0" outline="0" showAll="0" defaultSubtotal="0">
      <items count="39">
        <item x="25"/>
        <item x="15"/>
        <item x="35"/>
        <item x="36"/>
        <item x="32"/>
        <item x="9"/>
        <item x="6"/>
        <item x="27"/>
        <item x="37"/>
        <item x="10"/>
        <item x="0"/>
        <item x="1"/>
        <item x="38"/>
        <item x="11"/>
        <item x="33"/>
        <item x="14"/>
        <item x="28"/>
        <item x="2"/>
        <item x="29"/>
        <item x="26"/>
        <item x="16"/>
        <item x="12"/>
        <item x="8"/>
        <item x="17"/>
        <item x="13"/>
        <item x="30"/>
        <item x="3"/>
        <item x="4"/>
        <item x="7"/>
        <item x="34"/>
        <item x="31"/>
        <item x="24"/>
        <item x="21"/>
        <item x="20"/>
        <item x="19"/>
        <item x="18"/>
        <item x="22"/>
        <item x="23"/>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64">
    <i>
      <x/>
      <x/>
    </i>
    <i r="1">
      <x v="19"/>
    </i>
    <i r="1">
      <x v="34"/>
    </i>
    <i r="1">
      <x v="35"/>
    </i>
    <i>
      <x v="1"/>
      <x v="34"/>
    </i>
    <i r="1">
      <x v="35"/>
    </i>
    <i>
      <x v="2"/>
      <x/>
    </i>
    <i r="1">
      <x v="4"/>
    </i>
    <i r="1">
      <x v="11"/>
    </i>
    <i r="1">
      <x v="14"/>
    </i>
    <i r="1">
      <x v="22"/>
    </i>
    <i r="1">
      <x v="29"/>
    </i>
    <i>
      <x v="3"/>
      <x v="6"/>
    </i>
    <i r="1">
      <x v="7"/>
    </i>
    <i r="1">
      <x v="10"/>
    </i>
    <i r="1">
      <x v="11"/>
    </i>
    <i r="1">
      <x v="17"/>
    </i>
    <i r="1">
      <x v="22"/>
    </i>
    <i r="1">
      <x v="26"/>
    </i>
    <i r="1">
      <x v="27"/>
    </i>
    <i r="1">
      <x v="28"/>
    </i>
    <i r="1">
      <x v="38"/>
    </i>
    <i>
      <x v="4"/>
      <x v="32"/>
    </i>
    <i r="1">
      <x v="33"/>
    </i>
    <i r="1">
      <x v="36"/>
    </i>
    <i>
      <x v="5"/>
      <x v="31"/>
    </i>
    <i r="1">
      <x v="32"/>
    </i>
    <i r="1">
      <x v="33"/>
    </i>
    <i r="1">
      <x v="34"/>
    </i>
    <i r="1">
      <x v="35"/>
    </i>
    <i r="1">
      <x v="37"/>
    </i>
    <i>
      <x v="6"/>
      <x v="11"/>
    </i>
    <i r="1">
      <x v="14"/>
    </i>
    <i>
      <x v="7"/>
      <x v="1"/>
    </i>
    <i r="1">
      <x v="2"/>
    </i>
    <i r="1">
      <x v="3"/>
    </i>
    <i r="1">
      <x v="5"/>
    </i>
    <i r="1">
      <x v="8"/>
    </i>
    <i r="1">
      <x v="9"/>
    </i>
    <i r="1">
      <x v="12"/>
    </i>
    <i r="1">
      <x v="13"/>
    </i>
    <i r="1">
      <x v="20"/>
    </i>
    <i r="1">
      <x v="21"/>
    </i>
    <i r="1">
      <x v="22"/>
    </i>
    <i r="1">
      <x v="23"/>
    </i>
    <i r="1">
      <x v="24"/>
    </i>
    <i r="1">
      <x v="27"/>
    </i>
    <i r="1">
      <x v="30"/>
    </i>
    <i>
      <x v="8"/>
      <x v="30"/>
    </i>
    <i>
      <x v="9"/>
      <x/>
    </i>
    <i r="1">
      <x v="6"/>
    </i>
    <i r="1">
      <x v="7"/>
    </i>
    <i r="1">
      <x v="11"/>
    </i>
    <i r="1">
      <x v="15"/>
    </i>
    <i r="1">
      <x v="16"/>
    </i>
    <i r="1">
      <x v="17"/>
    </i>
    <i r="1">
      <x v="18"/>
    </i>
    <i r="1">
      <x v="25"/>
    </i>
    <i r="1">
      <x v="30"/>
    </i>
    <i>
      <x v="10"/>
      <x/>
    </i>
    <i r="1">
      <x v="24"/>
    </i>
    <i r="1">
      <x v="33"/>
    </i>
    <i r="1">
      <x v="3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4D89FE15-68EA-4187-BC82-5DC80218768D}" name="PivotTable10" cacheId="8"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N3:O9" firstHeaderRow="1" firstDataRow="1" firstDataCol="1"/>
  <pivotFields count="2">
    <pivotField dataField="1" showAll="0"/>
    <pivotField axis="axisRow" showAll="0">
      <items count="6">
        <item x="0"/>
        <item x="1"/>
        <item x="2"/>
        <item x="3"/>
        <item x="4"/>
        <item t="default"/>
      </items>
    </pivotField>
  </pivotFields>
  <rowFields count="1">
    <field x="1"/>
  </rowFields>
  <rowItems count="6">
    <i>
      <x/>
    </i>
    <i>
      <x v="1"/>
    </i>
    <i>
      <x v="2"/>
    </i>
    <i>
      <x v="3"/>
    </i>
    <i>
      <x v="4"/>
    </i>
    <i t="grand">
      <x/>
    </i>
  </rowItems>
  <colItems count="1">
    <i/>
  </colItems>
  <dataFields count="1">
    <dataField name="Count of Acronym" fld="0" subtotal="count"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8BC84425-C540-4B5D-A0AC-9D2A9D435E96}" name="PivotTable8" cacheId="6"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F2:G81" firstHeaderRow="1" firstDataRow="1" firstDataCol="2"/>
  <pivotFields count="3">
    <pivotField axis="axisRow" compact="0" outline="0" showAll="0" sortType="ascending" defaultSubtotal="0">
      <items count="12">
        <item m="1" x="11"/>
        <item x="0"/>
        <item x="1"/>
        <item x="2"/>
        <item x="3"/>
        <item x="4"/>
        <item x="5"/>
        <item x="6"/>
        <item x="7"/>
        <item x="8"/>
        <item x="9"/>
        <item x="10"/>
      </items>
      <extLst>
        <ext xmlns:x14="http://schemas.microsoft.com/office/spreadsheetml/2009/9/main" uri="{2946ED86-A175-432a-8AC1-64E0C546D7DE}">
          <x14:pivotField fillDownLabels="1"/>
        </ext>
      </extLst>
    </pivotField>
    <pivotField axis="axisRow" compact="0" outline="0" showAll="0" defaultSubtotal="0">
      <items count="47">
        <item x="26"/>
        <item x="13"/>
        <item x="27"/>
        <item x="2"/>
        <item x="36"/>
        <item x="17"/>
        <item x="18"/>
        <item x="3"/>
        <item x="14"/>
        <item x="19"/>
        <item x="44"/>
        <item x="31"/>
        <item x="8"/>
        <item x="20"/>
        <item x="39"/>
        <item x="32"/>
        <item x="4"/>
        <item x="10"/>
        <item x="21"/>
        <item m="1" x="45"/>
        <item x="40"/>
        <item x="5"/>
        <item x="11"/>
        <item m="1" x="46"/>
        <item x="28"/>
        <item x="29"/>
        <item x="16"/>
        <item x="37"/>
        <item x="6"/>
        <item x="41"/>
        <item x="0"/>
        <item x="22"/>
        <item x="30"/>
        <item x="42"/>
        <item x="33"/>
        <item x="23"/>
        <item x="9"/>
        <item x="24"/>
        <item x="7"/>
        <item x="43"/>
        <item x="15"/>
        <item x="1"/>
        <item x="34"/>
        <item x="12"/>
        <item x="25"/>
        <item x="35"/>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79">
    <i>
      <x v="1"/>
      <x v="30"/>
    </i>
    <i r="1">
      <x v="41"/>
    </i>
    <i>
      <x v="2"/>
      <x v="3"/>
    </i>
    <i r="1">
      <x v="7"/>
    </i>
    <i r="1">
      <x v="16"/>
    </i>
    <i r="1">
      <x v="21"/>
    </i>
    <i r="1">
      <x v="28"/>
    </i>
    <i r="1">
      <x v="38"/>
    </i>
    <i r="1">
      <x v="41"/>
    </i>
    <i>
      <x v="3"/>
      <x v="11"/>
    </i>
    <i r="1">
      <x v="12"/>
    </i>
    <i r="1">
      <x v="13"/>
    </i>
    <i r="1">
      <x v="15"/>
    </i>
    <i r="1">
      <x v="16"/>
    </i>
    <i r="1">
      <x v="24"/>
    </i>
    <i r="1">
      <x v="28"/>
    </i>
    <i r="1">
      <x v="34"/>
    </i>
    <i r="1">
      <x v="35"/>
    </i>
    <i r="1">
      <x v="36"/>
    </i>
    <i r="1">
      <x v="41"/>
    </i>
    <i r="1">
      <x v="42"/>
    </i>
    <i r="1">
      <x v="45"/>
    </i>
    <i r="1">
      <x v="46"/>
    </i>
    <i>
      <x v="4"/>
      <x v="3"/>
    </i>
    <i r="1">
      <x v="16"/>
    </i>
    <i r="1">
      <x v="17"/>
    </i>
    <i r="1">
      <x v="22"/>
    </i>
    <i r="1">
      <x v="41"/>
    </i>
    <i r="1">
      <x v="43"/>
    </i>
    <i>
      <x v="5"/>
      <x v="1"/>
    </i>
    <i r="1">
      <x v="8"/>
    </i>
    <i r="1">
      <x v="16"/>
    </i>
    <i r="1">
      <x v="22"/>
    </i>
    <i r="1">
      <x v="30"/>
    </i>
    <i r="1">
      <x v="40"/>
    </i>
    <i r="1">
      <x v="41"/>
    </i>
    <i>
      <x v="6"/>
      <x v="16"/>
    </i>
    <i r="1">
      <x v="21"/>
    </i>
    <i>
      <x v="7"/>
      <x v="3"/>
    </i>
    <i r="1">
      <x v="26"/>
    </i>
    <i r="1">
      <x v="30"/>
    </i>
    <i r="1">
      <x v="41"/>
    </i>
    <i>
      <x v="8"/>
      <x v="4"/>
    </i>
    <i r="1">
      <x v="5"/>
    </i>
    <i r="1">
      <x v="6"/>
    </i>
    <i r="1">
      <x v="9"/>
    </i>
    <i r="1">
      <x v="13"/>
    </i>
    <i r="1">
      <x v="14"/>
    </i>
    <i r="1">
      <x v="18"/>
    </i>
    <i r="1">
      <x v="20"/>
    </i>
    <i r="1">
      <x v="21"/>
    </i>
    <i r="1">
      <x v="27"/>
    </i>
    <i r="1">
      <x v="28"/>
    </i>
    <i r="1">
      <x v="29"/>
    </i>
    <i r="1">
      <x v="31"/>
    </i>
    <i r="1">
      <x v="32"/>
    </i>
    <i r="1">
      <x v="33"/>
    </i>
    <i r="1">
      <x v="35"/>
    </i>
    <i r="1">
      <x v="37"/>
    </i>
    <i r="1">
      <x v="39"/>
    </i>
    <i r="1">
      <x v="41"/>
    </i>
    <i r="1">
      <x v="44"/>
    </i>
    <i>
      <x v="9"/>
      <x/>
    </i>
    <i r="1">
      <x v="2"/>
    </i>
    <i r="1">
      <x v="16"/>
    </i>
    <i r="1">
      <x v="41"/>
    </i>
    <i>
      <x v="10"/>
      <x v="3"/>
    </i>
    <i r="1">
      <x v="10"/>
    </i>
    <i r="1">
      <x v="11"/>
    </i>
    <i r="1">
      <x v="12"/>
    </i>
    <i r="1">
      <x v="16"/>
    </i>
    <i r="1">
      <x v="24"/>
    </i>
    <i r="1">
      <x v="25"/>
    </i>
    <i r="1">
      <x v="32"/>
    </i>
    <i r="1">
      <x v="41"/>
    </i>
    <i>
      <x v="11"/>
      <x v="3"/>
    </i>
    <i r="1">
      <x v="17"/>
    </i>
    <i r="1">
      <x v="22"/>
    </i>
    <i r="1">
      <x v="32"/>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9479D285-1C4B-44B6-9E34-2D5207B1F4D2}" name="PivotTable9" cacheId="6"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I2:I48" firstHeaderRow="1" firstDataRow="1" firstDataCol="1"/>
  <pivotFields count="3">
    <pivotField showAll="0"/>
    <pivotField axis="axisRow" showAll="0">
      <items count="48">
        <item x="26"/>
        <item x="13"/>
        <item x="27"/>
        <item x="2"/>
        <item x="36"/>
        <item x="17"/>
        <item x="18"/>
        <item x="3"/>
        <item x="14"/>
        <item x="19"/>
        <item x="44"/>
        <item x="31"/>
        <item x="8"/>
        <item x="20"/>
        <item x="39"/>
        <item x="32"/>
        <item x="4"/>
        <item x="10"/>
        <item x="21"/>
        <item m="1" x="45"/>
        <item x="40"/>
        <item x="5"/>
        <item x="11"/>
        <item m="1" x="46"/>
        <item x="28"/>
        <item x="29"/>
        <item x="16"/>
        <item x="37"/>
        <item x="6"/>
        <item x="41"/>
        <item x="0"/>
        <item x="22"/>
        <item x="30"/>
        <item x="42"/>
        <item x="33"/>
        <item x="23"/>
        <item x="9"/>
        <item x="24"/>
        <item x="7"/>
        <item x="43"/>
        <item x="15"/>
        <item x="1"/>
        <item x="34"/>
        <item x="12"/>
        <item x="25"/>
        <item x="35"/>
        <item x="38"/>
        <item t="default"/>
      </items>
    </pivotField>
    <pivotField showAll="0"/>
  </pivotFields>
  <rowFields count="1">
    <field x="1"/>
  </rowFields>
  <rowItems count="46">
    <i>
      <x/>
    </i>
    <i>
      <x v="1"/>
    </i>
    <i>
      <x v="2"/>
    </i>
    <i>
      <x v="3"/>
    </i>
    <i>
      <x v="4"/>
    </i>
    <i>
      <x v="5"/>
    </i>
    <i>
      <x v="6"/>
    </i>
    <i>
      <x v="7"/>
    </i>
    <i>
      <x v="8"/>
    </i>
    <i>
      <x v="9"/>
    </i>
    <i>
      <x v="10"/>
    </i>
    <i>
      <x v="11"/>
    </i>
    <i>
      <x v="12"/>
    </i>
    <i>
      <x v="13"/>
    </i>
    <i>
      <x v="14"/>
    </i>
    <i>
      <x v="15"/>
    </i>
    <i>
      <x v="16"/>
    </i>
    <i>
      <x v="17"/>
    </i>
    <i>
      <x v="18"/>
    </i>
    <i>
      <x v="20"/>
    </i>
    <i>
      <x v="21"/>
    </i>
    <i>
      <x v="22"/>
    </i>
    <i>
      <x v="24"/>
    </i>
    <i>
      <x v="25"/>
    </i>
    <i>
      <x v="26"/>
    </i>
    <i>
      <x v="27"/>
    </i>
    <i>
      <x v="28"/>
    </i>
    <i>
      <x v="29"/>
    </i>
    <i>
      <x v="30"/>
    </i>
    <i>
      <x v="31"/>
    </i>
    <i>
      <x v="32"/>
    </i>
    <i>
      <x v="33"/>
    </i>
    <i>
      <x v="34"/>
    </i>
    <i>
      <x v="35"/>
    </i>
    <i>
      <x v="36"/>
    </i>
    <i>
      <x v="37"/>
    </i>
    <i>
      <x v="38"/>
    </i>
    <i>
      <x v="39"/>
    </i>
    <i>
      <x v="40"/>
    </i>
    <i>
      <x v="41"/>
    </i>
    <i>
      <x v="42"/>
    </i>
    <i>
      <x v="43"/>
    </i>
    <i>
      <x v="44"/>
    </i>
    <i>
      <x v="45"/>
    </i>
    <i>
      <x v="4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B0339F03-D67E-4D64-B709-83AA5533B02A}" name="PivotTable7" cacheId="9"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N5:O11" firstHeaderRow="1" firstDataRow="1" firstDataCol="1"/>
  <pivotFields count="2">
    <pivotField dataField="1" showAll="0"/>
    <pivotField axis="axisRow" showAll="0">
      <items count="6">
        <item x="1"/>
        <item x="0"/>
        <item x="2"/>
        <item x="3"/>
        <item x="4"/>
        <item t="default"/>
      </items>
    </pivotField>
  </pivotFields>
  <rowFields count="1">
    <field x="1"/>
  </rowFields>
  <rowItems count="6">
    <i>
      <x/>
    </i>
    <i>
      <x v="1"/>
    </i>
    <i>
      <x v="2"/>
    </i>
    <i>
      <x v="3"/>
    </i>
    <i>
      <x v="4"/>
    </i>
    <i t="grand">
      <x/>
    </i>
  </rowItems>
  <colItems count="1">
    <i/>
  </colItems>
  <dataFields count="1">
    <dataField name="Count of Acronym"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926B17F8-2673-4821-98A4-D289EF6E644E}" name="PivotTable8" cacheId="7"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F2:G86" firstHeaderRow="1" firstDataRow="1" firstDataCol="2"/>
  <pivotFields count="3">
    <pivotField axis="axisRow" compact="0" outline="0" showAll="0" sortType="ascending" defaultSubtotal="0">
      <items count="11">
        <item x="6"/>
        <item x="0"/>
        <item x="1"/>
        <item x="2"/>
        <item x="3"/>
        <item x="4"/>
        <item x="5"/>
        <item x="7"/>
        <item x="8"/>
        <item x="9"/>
        <item x="10"/>
      </items>
      <extLst>
        <ext xmlns:x14="http://schemas.microsoft.com/office/spreadsheetml/2009/9/main" uri="{2946ED86-A175-432a-8AC1-64E0C546D7DE}">
          <x14:pivotField fillDownLabels="1"/>
        </ext>
      </extLst>
    </pivotField>
    <pivotField axis="axisRow" compact="0" outline="0" showAll="0" defaultSubtotal="0">
      <items count="48">
        <item x="29"/>
        <item x="16"/>
        <item x="30"/>
        <item x="2"/>
        <item x="37"/>
        <item x="20"/>
        <item x="21"/>
        <item x="3"/>
        <item x="17"/>
        <item x="22"/>
        <item x="45"/>
        <item x="34"/>
        <item x="9"/>
        <item x="23"/>
        <item x="40"/>
        <item x="10"/>
        <item x="4"/>
        <item x="13"/>
        <item x="24"/>
        <item x="5"/>
        <item x="41"/>
        <item m="1" x="47"/>
        <item x="14"/>
        <item x="32"/>
        <item x="33"/>
        <item x="19"/>
        <item x="38"/>
        <item x="6"/>
        <item x="42"/>
        <item x="0"/>
        <item x="25"/>
        <item x="7"/>
        <item x="43"/>
        <item x="35"/>
        <item x="26"/>
        <item x="11"/>
        <item x="27"/>
        <item x="8"/>
        <item x="44"/>
        <item x="18"/>
        <item x="1"/>
        <item x="12"/>
        <item x="15"/>
        <item x="28"/>
        <item x="36"/>
        <item x="39"/>
        <item x="31"/>
        <item x="4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84">
    <i>
      <x/>
      <x v="3"/>
    </i>
    <i r="1">
      <x v="25"/>
    </i>
    <i r="1">
      <x v="29"/>
    </i>
    <i r="1">
      <x v="40"/>
    </i>
    <i>
      <x v="1"/>
      <x v="29"/>
    </i>
    <i r="1">
      <x v="40"/>
    </i>
    <i>
      <x v="2"/>
      <x v="3"/>
    </i>
    <i r="1">
      <x v="7"/>
    </i>
    <i r="1">
      <x v="16"/>
    </i>
    <i r="1">
      <x v="19"/>
    </i>
    <i r="1">
      <x v="27"/>
    </i>
    <i r="1">
      <x v="31"/>
    </i>
    <i r="1">
      <x v="37"/>
    </i>
    <i r="1">
      <x v="40"/>
    </i>
    <i>
      <x v="3"/>
      <x v="11"/>
    </i>
    <i r="1">
      <x v="12"/>
    </i>
    <i r="1">
      <x v="13"/>
    </i>
    <i r="1">
      <x v="15"/>
    </i>
    <i r="1">
      <x v="16"/>
    </i>
    <i r="1">
      <x v="23"/>
    </i>
    <i r="1">
      <x v="27"/>
    </i>
    <i r="1">
      <x v="33"/>
    </i>
    <i r="1">
      <x v="34"/>
    </i>
    <i r="1">
      <x v="35"/>
    </i>
    <i r="1">
      <x v="40"/>
    </i>
    <i r="1">
      <x v="41"/>
    </i>
    <i r="1">
      <x v="44"/>
    </i>
    <i r="1">
      <x v="45"/>
    </i>
    <i>
      <x v="4"/>
      <x v="3"/>
    </i>
    <i r="1">
      <x v="16"/>
    </i>
    <i r="1">
      <x v="17"/>
    </i>
    <i r="1">
      <x v="22"/>
    </i>
    <i r="1">
      <x v="40"/>
    </i>
    <i r="1">
      <x v="42"/>
    </i>
    <i>
      <x v="5"/>
      <x v="1"/>
    </i>
    <i r="1">
      <x v="8"/>
    </i>
    <i r="1">
      <x v="16"/>
    </i>
    <i r="1">
      <x v="22"/>
    </i>
    <i r="1">
      <x v="29"/>
    </i>
    <i r="1">
      <x v="39"/>
    </i>
    <i r="1">
      <x v="40"/>
    </i>
    <i>
      <x v="6"/>
      <x v="16"/>
    </i>
    <i r="1">
      <x v="19"/>
    </i>
    <i>
      <x v="7"/>
      <x v="4"/>
    </i>
    <i r="1">
      <x v="5"/>
    </i>
    <i r="1">
      <x v="6"/>
    </i>
    <i r="1">
      <x v="9"/>
    </i>
    <i r="1">
      <x v="13"/>
    </i>
    <i r="1">
      <x v="14"/>
    </i>
    <i r="1">
      <x v="18"/>
    </i>
    <i r="1">
      <x v="19"/>
    </i>
    <i r="1">
      <x v="20"/>
    </i>
    <i r="1">
      <x v="26"/>
    </i>
    <i r="1">
      <x v="27"/>
    </i>
    <i r="1">
      <x v="28"/>
    </i>
    <i r="1">
      <x v="30"/>
    </i>
    <i r="1">
      <x v="31"/>
    </i>
    <i r="1">
      <x v="32"/>
    </i>
    <i r="1">
      <x v="34"/>
    </i>
    <i r="1">
      <x v="36"/>
    </i>
    <i r="1">
      <x v="38"/>
    </i>
    <i r="1">
      <x v="40"/>
    </i>
    <i r="1">
      <x v="43"/>
    </i>
    <i>
      <x v="8"/>
      <x/>
    </i>
    <i r="1">
      <x v="2"/>
    </i>
    <i r="1">
      <x v="16"/>
    </i>
    <i r="1">
      <x v="40"/>
    </i>
    <i r="1">
      <x v="46"/>
    </i>
    <i>
      <x v="9"/>
      <x v="3"/>
    </i>
    <i r="1">
      <x v="10"/>
    </i>
    <i r="1">
      <x v="11"/>
    </i>
    <i r="1">
      <x v="12"/>
    </i>
    <i r="1">
      <x v="16"/>
    </i>
    <i r="1">
      <x v="23"/>
    </i>
    <i r="1">
      <x v="24"/>
    </i>
    <i r="1">
      <x v="31"/>
    </i>
    <i r="1">
      <x v="40"/>
    </i>
    <i r="1">
      <x v="47"/>
    </i>
    <i>
      <x v="10"/>
      <x v="3"/>
    </i>
    <i r="1">
      <x v="17"/>
    </i>
    <i r="1">
      <x v="22"/>
    </i>
    <i r="1">
      <x v="30"/>
    </i>
    <i r="1">
      <x v="31"/>
    </i>
    <i r="1">
      <x v="40"/>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BB882E05-38C4-4081-B0C8-D028A4402B0A}" name="PivotTable9" cacheId="7"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I2:I50" firstHeaderRow="1" firstDataRow="1" firstDataCol="1"/>
  <pivotFields count="3">
    <pivotField showAll="0"/>
    <pivotField axis="axisRow" showAll="0" sortType="ascending">
      <items count="49">
        <item x="29"/>
        <item x="16"/>
        <item x="30"/>
        <item x="2"/>
        <item x="37"/>
        <item x="20"/>
        <item x="21"/>
        <item x="3"/>
        <item x="17"/>
        <item x="22"/>
        <item x="45"/>
        <item x="34"/>
        <item x="9"/>
        <item x="23"/>
        <item x="40"/>
        <item x="10"/>
        <item x="4"/>
        <item x="13"/>
        <item x="24"/>
        <item x="5"/>
        <item x="41"/>
        <item m="1" x="47"/>
        <item x="14"/>
        <item x="32"/>
        <item x="33"/>
        <item x="19"/>
        <item x="38"/>
        <item x="6"/>
        <item x="42"/>
        <item x="0"/>
        <item x="25"/>
        <item x="7"/>
        <item x="43"/>
        <item x="35"/>
        <item x="26"/>
        <item x="46"/>
        <item x="11"/>
        <item x="31"/>
        <item x="27"/>
        <item x="8"/>
        <item x="44"/>
        <item x="18"/>
        <item x="1"/>
        <item x="12"/>
        <item x="15"/>
        <item x="28"/>
        <item x="36"/>
        <item x="39"/>
        <item t="default"/>
      </items>
    </pivotField>
    <pivotField showAll="0"/>
  </pivotFields>
  <rowFields count="1">
    <field x="1"/>
  </rowFields>
  <rowItems count="48">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4"/>
    </i>
    <i>
      <x v="45"/>
    </i>
    <i>
      <x v="46"/>
    </i>
    <i>
      <x v="4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4"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5">
  <location ref="A29:F56" firstHeaderRow="0" firstDataRow="1" firstDataCol="2" rowPageCount="1" colPageCount="1"/>
  <pivotFields count="155">
    <pivotField axis="axisPage" compact="0" outline="0" multipleItemSelectionAllowed="1" showAll="0">
      <items count="26">
        <item m="1" x="22"/>
        <item m="1" x="23"/>
        <item m="1" x="9"/>
        <item m="1" x="24"/>
        <item m="1" x="16"/>
        <item m="1" x="5"/>
        <item m="1" x="3"/>
        <item m="1" x="18"/>
        <item m="1" x="20"/>
        <item m="1" x="21"/>
        <item m="1" x="12"/>
        <item m="1" x="14"/>
        <item m="1" x="17"/>
        <item m="1" x="19"/>
        <item m="1" x="7"/>
        <item m="1" x="10"/>
        <item m="1" x="13"/>
        <item m="1" x="15"/>
        <item m="1" x="4"/>
        <item m="1" x="6"/>
        <item m="1" x="8"/>
        <item m="1" x="11"/>
        <item x="0"/>
        <item x="1"/>
        <item x="2"/>
        <item t="default"/>
      </items>
    </pivotField>
    <pivotField compact="0" outline="0" showAll="0" defaultSubtotal="0">
      <items count="64">
        <item m="1" x="53"/>
        <item m="1" x="40"/>
        <item m="1" x="27"/>
        <item m="1" x="22"/>
        <item m="1" x="24"/>
        <item m="1" x="51"/>
        <item m="1" x="39"/>
        <item x="13"/>
        <item x="18"/>
        <item x="19"/>
        <item x="7"/>
        <item m="1" x="60"/>
        <item x="8"/>
        <item m="1" x="62"/>
        <item x="12"/>
        <item x="4"/>
        <item m="1" x="29"/>
        <item m="1" x="61"/>
        <item x="10"/>
        <item m="1" x="44"/>
        <item m="1" x="30"/>
        <item x="3"/>
        <item m="1" x="34"/>
        <item x="15"/>
        <item x="14"/>
        <item m="1" x="43"/>
        <item m="1" x="54"/>
        <item m="1" x="47"/>
        <item m="1" x="32"/>
        <item m="1" x="49"/>
        <item m="1" x="52"/>
        <item m="1" x="38"/>
        <item m="1" x="48"/>
        <item m="1" x="63"/>
        <item m="1" x="23"/>
        <item m="1" x="41"/>
        <item x="0"/>
        <item m="1" x="56"/>
        <item m="1" x="50"/>
        <item m="1" x="46"/>
        <item m="1" x="58"/>
        <item m="1" x="45"/>
        <item m="1" x="42"/>
        <item m="1" x="57"/>
        <item m="1" x="59"/>
        <item x="11"/>
        <item x="16"/>
        <item x="17"/>
        <item x="20"/>
        <item m="1" x="25"/>
        <item m="1" x="26"/>
        <item m="1" x="33"/>
        <item m="1" x="36"/>
        <item x="2"/>
        <item x="1"/>
        <item m="1" x="31"/>
        <item x="5"/>
        <item m="1" x="37"/>
        <item m="1" x="55"/>
        <item m="1" x="28"/>
        <item x="6"/>
        <item x="9"/>
        <item m="1" x="35"/>
        <item m="1" x="21"/>
      </items>
    </pivotField>
    <pivotField compact="0" outline="0" showAll="0" defaultSubtotal="0"/>
    <pivotField compact="0" outline="0" showAll="0"/>
    <pivotField axis="axisRow" compact="0" outline="0" showAll="0">
      <items count="7">
        <item x="0"/>
        <item m="1" x="3"/>
        <item x="1"/>
        <item m="1" x="2"/>
        <item m="1" x="5"/>
        <item m="1" x="4"/>
        <item t="default"/>
      </items>
    </pivotField>
    <pivotField axis="axisRow" compact="0" outline="0" showAll="0">
      <items count="47">
        <item m="1" x="31"/>
        <item x="0"/>
        <item m="1" x="43"/>
        <item x="6"/>
        <item x="1"/>
        <item x="23"/>
        <item x="16"/>
        <item x="14"/>
        <item m="1" x="38"/>
        <item m="1" x="26"/>
        <item x="15"/>
        <item m="1" x="41"/>
        <item x="5"/>
        <item x="21"/>
        <item m="1" x="36"/>
        <item m="1" x="30"/>
        <item x="8"/>
        <item x="10"/>
        <item x="2"/>
        <item m="1" x="42"/>
        <item x="18"/>
        <item m="1" x="34"/>
        <item x="7"/>
        <item x="22"/>
        <item x="19"/>
        <item m="1" x="28"/>
        <item m="1" x="32"/>
        <item m="1" x="37"/>
        <item x="11"/>
        <item m="1" x="44"/>
        <item m="1" x="40"/>
        <item x="12"/>
        <item m="1" x="39"/>
        <item x="9"/>
        <item x="13"/>
        <item x="3"/>
        <item m="1" x="33"/>
        <item m="1" x="25"/>
        <item m="1" x="27"/>
        <item m="1" x="24"/>
        <item m="1" x="35"/>
        <item x="17"/>
        <item m="1" x="29"/>
        <item x="20"/>
        <item x="4"/>
        <item m="1" x="45"/>
        <item t="default"/>
      </items>
    </pivotField>
    <pivotField compact="0" outline="0" showAll="0" defaultSubtotal="0">
      <items count="14">
        <item x="0"/>
        <item m="1" x="11"/>
        <item x="1"/>
        <item m="1" x="10"/>
        <item m="1" x="8"/>
        <item x="2"/>
        <item m="1" x="3"/>
        <item m="1" x="4"/>
        <item m="1" x="6"/>
        <item m="1" x="5"/>
        <item m="1" x="12"/>
        <item m="1" x="9"/>
        <item m="1" x="13"/>
        <item m="1" x="7"/>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27">
    <i>
      <x/>
      <x v="1"/>
    </i>
    <i r="1">
      <x v="3"/>
    </i>
    <i r="1">
      <x v="4"/>
    </i>
    <i r="1">
      <x v="12"/>
    </i>
    <i r="1">
      <x v="16"/>
    </i>
    <i r="1">
      <x v="17"/>
    </i>
    <i r="1">
      <x v="18"/>
    </i>
    <i r="1">
      <x v="22"/>
    </i>
    <i r="1">
      <x v="28"/>
    </i>
    <i r="1">
      <x v="31"/>
    </i>
    <i r="1">
      <x v="33"/>
    </i>
    <i r="1">
      <x v="34"/>
    </i>
    <i r="1">
      <x v="35"/>
    </i>
    <i r="1">
      <x v="44"/>
    </i>
    <i t="default">
      <x/>
    </i>
    <i>
      <x v="2"/>
      <x v="5"/>
    </i>
    <i r="1">
      <x v="6"/>
    </i>
    <i r="1">
      <x v="7"/>
    </i>
    <i r="1">
      <x v="10"/>
    </i>
    <i r="1">
      <x v="13"/>
    </i>
    <i r="1">
      <x v="20"/>
    </i>
    <i r="1">
      <x v="23"/>
    </i>
    <i r="1">
      <x v="24"/>
    </i>
    <i r="1">
      <x v="41"/>
    </i>
    <i r="1">
      <x v="43"/>
    </i>
    <i t="default">
      <x v="2"/>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119" baseField="0" baseItem="0"/>
    <dataField name="Number of people with equitable and continuous access to safe sanitation facilities" fld="107" baseField="0" baseItem="0"/>
    <dataField name="Number of people with equitable and continuous access to sufficient quantity of domestic water" fld="99" baseField="0" baseItem="0"/>
  </dataFields>
  <formats count="25">
    <format dxfId="55">
      <pivotArea field="4" type="button" dataOnly="0" labelOnly="1" outline="0" axis="axisRow" fieldPosition="0"/>
    </format>
    <format dxfId="54">
      <pivotArea field="5" type="button" dataOnly="0" labelOnly="1" outline="0" axis="axisRow" fieldPosition="1"/>
    </format>
    <format dxfId="53">
      <pivotArea dataOnly="0" labelOnly="1" outline="0" fieldPosition="0">
        <references count="1">
          <reference field="4294967294" count="1">
            <x v="0"/>
          </reference>
        </references>
      </pivotArea>
    </format>
    <format dxfId="52">
      <pivotArea field="4" type="button" dataOnly="0" labelOnly="1" outline="0" axis="axisRow" fieldPosition="0"/>
    </format>
    <format dxfId="51">
      <pivotArea field="5" type="button" dataOnly="0" labelOnly="1" outline="0" axis="axisRow" fieldPosition="1"/>
    </format>
    <format dxfId="50">
      <pivotArea dataOnly="0" labelOnly="1" outline="0" fieldPosition="0">
        <references count="1">
          <reference field="4294967294" count="1">
            <x v="0"/>
          </reference>
        </references>
      </pivotArea>
    </format>
    <format dxfId="49">
      <pivotArea field="4" type="button" dataOnly="0" labelOnly="1" outline="0" axis="axisRow" fieldPosition="0"/>
    </format>
    <format dxfId="48">
      <pivotArea field="5" type="button" dataOnly="0" labelOnly="1" outline="0" axis="axisRow" fieldPosition="1"/>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dataOnly="0" labelOnly="1" outline="0" fieldPosition="0">
        <references count="1">
          <reference field="4294967294" count="1">
            <x v="0"/>
          </reference>
        </references>
      </pivotArea>
    </format>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5" type="button" dataOnly="0" labelOnly="1" outline="0" axis="axisRow" fieldPosition="1"/>
    </format>
    <format dxfId="40">
      <pivotArea dataOnly="0" labelOnly="1" outline="0" fieldPosition="0">
        <references count="1">
          <reference field="4" count="0"/>
        </references>
      </pivotArea>
    </format>
    <format dxfId="39">
      <pivotArea dataOnly="0" labelOnly="1" outline="0" fieldPosition="0">
        <references count="1">
          <reference field="4" count="0" defaultSubtotal="1"/>
        </references>
      </pivotArea>
    </format>
    <format dxfId="38">
      <pivotArea dataOnly="0" labelOnly="1" grandRow="1" outline="0" fieldPosition="0"/>
    </format>
    <format dxfId="37">
      <pivotArea dataOnly="0" labelOnly="1" outline="0" fieldPosition="0">
        <references count="2">
          <reference field="4" count="1" selected="0">
            <x v="0"/>
          </reference>
          <reference field="5" count="13">
            <x v="1"/>
            <x v="3"/>
            <x v="4"/>
            <x v="12"/>
            <x v="16"/>
            <x v="17"/>
            <x v="18"/>
            <x v="22"/>
            <x v="28"/>
            <x v="31"/>
            <x v="33"/>
            <x v="34"/>
            <x v="35"/>
          </reference>
        </references>
      </pivotArea>
    </format>
    <format dxfId="3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35">
      <pivotArea dataOnly="0" labelOnly="1" outline="0" fieldPosition="0">
        <references count="2">
          <reference field="4" count="1" selected="0">
            <x v="1"/>
          </reference>
          <reference field="5" count="12">
            <x v="0"/>
            <x v="2"/>
            <x v="8"/>
            <x v="9"/>
            <x v="14"/>
            <x v="15"/>
            <x v="19"/>
            <x v="21"/>
            <x v="26"/>
            <x v="27"/>
            <x v="30"/>
            <x v="32"/>
          </reference>
        </references>
      </pivotArea>
    </format>
    <format dxfId="3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33">
      <pivotArea dataOnly="0" labelOnly="1" outline="0" fieldPosition="0">
        <references count="2">
          <reference field="4" count="1" selected="0">
            <x v="2"/>
          </reference>
          <reference field="5" count="7">
            <x v="5"/>
            <x v="6"/>
            <x v="7"/>
            <x v="13"/>
            <x v="20"/>
            <x v="23"/>
            <x v="24"/>
          </reference>
        </references>
      </pivotArea>
    </format>
    <format dxfId="32">
      <pivotArea dataOnly="0" labelOnly="1" outline="0" fieldPosition="0">
        <references count="2">
          <reference field="4" count="1" selected="0">
            <x v="2"/>
          </reference>
          <reference field="5" count="7" defaultSubtotal="1">
            <x v="5"/>
            <x v="6"/>
            <x v="7"/>
            <x v="13"/>
            <x v="20"/>
            <x v="23"/>
            <x v="24"/>
          </reference>
        </references>
      </pivotArea>
    </format>
    <format dxfId="3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4"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8">
  <location ref="A38:E235" firstHeaderRow="0" firstDataRow="1" firstDataCol="1" rowPageCount="3" colPageCount="1"/>
  <pivotFields count="155">
    <pivotField axis="axisPage" compact="0" outline="0" showAll="0">
      <items count="26">
        <item m="1" x="22"/>
        <item m="1" x="23"/>
        <item m="1" x="9"/>
        <item m="1" x="24"/>
        <item m="1" x="16"/>
        <item m="1" x="5"/>
        <item m="1" x="3"/>
        <item m="1" x="18"/>
        <item m="1" x="20"/>
        <item m="1" x="21"/>
        <item m="1" x="12"/>
        <item m="1" x="14"/>
        <item m="1" x="17"/>
        <item m="1" x="19"/>
        <item m="1" x="7"/>
        <item m="1" x="10"/>
        <item m="1" x="13"/>
        <item m="1" x="15"/>
        <item m="1" x="4"/>
        <item m="1" x="6"/>
        <item m="1" x="8"/>
        <item m="1" x="11"/>
        <item x="0"/>
        <item x="1"/>
        <item x="2"/>
        <item t="default"/>
      </items>
    </pivotField>
    <pivotField compact="0" outline="0" showAll="0" defaultSubtotal="0"/>
    <pivotField compact="0" outline="0" showAll="0" defaultSubtotal="0">
      <items count="59">
        <item m="1" x="48"/>
        <item m="1" x="35"/>
        <item m="1" x="23"/>
        <item m="1" x="17"/>
        <item m="1" x="19"/>
        <item m="1" x="20"/>
        <item m="1" x="46"/>
        <item m="1" x="34"/>
        <item x="10"/>
        <item x="7"/>
        <item m="1" x="56"/>
        <item x="13"/>
        <item m="1" x="58"/>
        <item x="4"/>
        <item m="1" x="25"/>
        <item m="1" x="57"/>
        <item x="9"/>
        <item m="1" x="40"/>
        <item m="1" x="26"/>
        <item x="3"/>
        <item m="1" x="30"/>
        <item x="12"/>
        <item x="11"/>
        <item m="1" x="39"/>
        <item m="1" x="50"/>
        <item m="1" x="36"/>
        <item m="1" x="42"/>
        <item m="1" x="16"/>
        <item m="1" x="28"/>
        <item m="1" x="43"/>
        <item m="1" x="47"/>
        <item m="1" x="37"/>
        <item m="1" x="33"/>
        <item m="1" x="44"/>
        <item m="1" x="18"/>
        <item x="0"/>
        <item m="1" x="52"/>
        <item m="1" x="45"/>
        <item m="1" x="41"/>
        <item m="1" x="54"/>
        <item m="1" x="38"/>
        <item m="1" x="55"/>
        <item m="1" x="21"/>
        <item m="1" x="22"/>
        <item m="1" x="29"/>
        <item m="1" x="31"/>
        <item x="2"/>
        <item x="1"/>
        <item x="14"/>
        <item m="1" x="27"/>
        <item x="5"/>
        <item m="1" x="32"/>
        <item m="1" x="51"/>
        <item m="1" x="53"/>
        <item m="1" x="24"/>
        <item m="1" x="49"/>
        <item x="6"/>
        <item x="8"/>
        <item m="1" x="15"/>
      </items>
    </pivotField>
    <pivotField compact="0" outline="0" showAll="0"/>
    <pivotField axis="axisPage" compact="0" outline="0" showAll="0">
      <items count="7">
        <item x="0"/>
        <item m="1" x="3"/>
        <item x="1"/>
        <item m="1" x="2"/>
        <item m="1" x="5"/>
        <item m="1" x="4"/>
        <item t="default"/>
      </items>
    </pivotField>
    <pivotField axis="axisPage" compact="0" outline="0" showAll="0">
      <items count="47">
        <item m="1" x="31"/>
        <item x="0"/>
        <item m="1" x="43"/>
        <item x="6"/>
        <item x="1"/>
        <item x="23"/>
        <item x="16"/>
        <item x="14"/>
        <item m="1" x="38"/>
        <item m="1" x="26"/>
        <item x="15"/>
        <item m="1" x="41"/>
        <item x="5"/>
        <item x="21"/>
        <item m="1" x="36"/>
        <item m="1" x="30"/>
        <item x="8"/>
        <item x="10"/>
        <item x="2"/>
        <item m="1" x="42"/>
        <item x="18"/>
        <item m="1" x="34"/>
        <item x="7"/>
        <item x="22"/>
        <item x="19"/>
        <item m="1" x="28"/>
        <item m="1" x="32"/>
        <item m="1" x="37"/>
        <item x="11"/>
        <item m="1" x="44"/>
        <item m="1" x="40"/>
        <item x="12"/>
        <item m="1" x="39"/>
        <item x="9"/>
        <item x="13"/>
        <item x="3"/>
        <item m="1" x="33"/>
        <item m="1" x="25"/>
        <item m="1" x="27"/>
        <item m="1" x="24"/>
        <item m="1" x="35"/>
        <item x="17"/>
        <item m="1" x="29"/>
        <item x="20"/>
        <item x="4"/>
        <item m="1" x="45"/>
        <item t="default"/>
      </items>
    </pivotField>
    <pivotField compact="0" outline="0" showAll="0" defaultSubtotal="0">
      <items count="14">
        <item x="0"/>
        <item m="1" x="11"/>
        <item x="1"/>
        <item m="1" x="10"/>
        <item m="1" x="8"/>
        <item x="2"/>
        <item m="1" x="3"/>
        <item m="1" x="4"/>
        <item m="1" x="6"/>
        <item m="1" x="5"/>
        <item m="1" x="12"/>
        <item m="1" x="9"/>
        <item m="1" x="13"/>
        <item m="1" x="7"/>
      </items>
    </pivotField>
    <pivotField axis="axisRow" compact="0" outline="0" showAll="0">
      <items count="1069">
        <item m="1" x="740"/>
        <item x="2"/>
        <item x="3"/>
        <item x="4"/>
        <item x="5"/>
        <item x="6"/>
        <item m="1" x="362"/>
        <item m="1" x="608"/>
        <item m="1" x="277"/>
        <item m="1" x="318"/>
        <item m="1" x="582"/>
        <item m="1" x="701"/>
        <item m="1" x="716"/>
        <item m="1" x="490"/>
        <item m="1" x="320"/>
        <item m="1" x="975"/>
        <item m="1" x="879"/>
        <item m="1" x="332"/>
        <item m="1" x="763"/>
        <item m="1" x="544"/>
        <item m="1" x="917"/>
        <item m="1" x="858"/>
        <item m="1" x="940"/>
        <item m="1" x="962"/>
        <item m="1" x="400"/>
        <item m="1" x="838"/>
        <item m="1" x="435"/>
        <item m="1" x="452"/>
        <item m="1" x="450"/>
        <item m="1" x="358"/>
        <item x="7"/>
        <item m="1" x="1013"/>
        <item m="1" x="1053"/>
        <item m="1" x="774"/>
        <item m="1" x="502"/>
        <item m="1" x="387"/>
        <item x="8"/>
        <item m="1" x="436"/>
        <item m="1" x="915"/>
        <item m="1" x="868"/>
        <item m="1" x="932"/>
        <item m="1" x="266"/>
        <item m="1" x="373"/>
        <item m="1" x="595"/>
        <item m="1" x="831"/>
        <item m="1" x="832"/>
        <item m="1" x="591"/>
        <item m="1" x="566"/>
        <item m="1" x="430"/>
        <item x="10"/>
        <item m="1" x="1047"/>
        <item m="1" x="1003"/>
        <item m="1" x="771"/>
        <item x="12"/>
        <item m="1" x="969"/>
        <item m="1" x="761"/>
        <item m="1" x="792"/>
        <item m="1" x="239"/>
        <item m="1" x="262"/>
        <item x="13"/>
        <item m="1" x="942"/>
        <item m="1" x="471"/>
        <item m="1" x="385"/>
        <item m="1" x="467"/>
        <item x="14"/>
        <item m="1" x="658"/>
        <item m="1" x="821"/>
        <item m="1" x="220"/>
        <item m="1" x="767"/>
        <item m="1" x="1006"/>
        <item m="1" x="681"/>
        <item m="1" x="267"/>
        <item m="1" x="404"/>
        <item m="1" x="935"/>
        <item x="16"/>
        <item m="1" x="867"/>
        <item m="1" x="597"/>
        <item m="1" x="491"/>
        <item m="1" x="973"/>
        <item m="1" x="654"/>
        <item m="1" x="419"/>
        <item x="19"/>
        <item m="1" x="840"/>
        <item x="20"/>
        <item m="1" x="990"/>
        <item m="1" x="360"/>
        <item m="1" x="1011"/>
        <item m="1" x="731"/>
        <item m="1" x="605"/>
        <item m="1" x="635"/>
        <item m="1" x="895"/>
        <item m="1" x="269"/>
        <item m="1" x="796"/>
        <item m="1" x="724"/>
        <item m="1" x="988"/>
        <item m="1" x="929"/>
        <item m="1" x="788"/>
        <item m="1" x="639"/>
        <item m="1" x="673"/>
        <item m="1" x="237"/>
        <item x="23"/>
        <item x="24"/>
        <item x="25"/>
        <item m="1" x="328"/>
        <item m="1" x="227"/>
        <item m="1" x="630"/>
        <item x="26"/>
        <item m="1" x="533"/>
        <item m="1" x="600"/>
        <item m="1" x="492"/>
        <item m="1" x="255"/>
        <item x="165"/>
        <item m="1" x="754"/>
        <item x="28"/>
        <item m="1" x="493"/>
        <item m="1" x="759"/>
        <item x="29"/>
        <item m="1" x="250"/>
        <item x="30"/>
        <item x="32"/>
        <item x="33"/>
        <item m="1" x="769"/>
        <item m="1" x="460"/>
        <item m="1" x="290"/>
        <item m="1" x="738"/>
        <item m="1" x="402"/>
        <item x="34"/>
        <item x="35"/>
        <item x="37"/>
        <item m="1" x="695"/>
        <item m="1" x="1020"/>
        <item m="1" x="1063"/>
        <item m="1" x="958"/>
        <item x="39"/>
        <item m="1" x="663"/>
        <item m="1" x="655"/>
        <item m="1" x="870"/>
        <item m="1" x="415"/>
        <item m="1" x="363"/>
        <item m="1" x="409"/>
        <item m="1" x="641"/>
        <item m="1" x="800"/>
        <item m="1" x="980"/>
        <item m="1" x="755"/>
        <item m="1" x="285"/>
        <item m="1" x="901"/>
        <item m="1" x="510"/>
        <item m="1" x="617"/>
        <item m="1" x="443"/>
        <item m="1" x="571"/>
        <item x="41"/>
        <item m="1" x="515"/>
        <item m="1" x="1055"/>
        <item m="1" x="757"/>
        <item m="1" x="386"/>
        <item m="1" x="477"/>
        <item m="1" x="764"/>
        <item m="1" x="518"/>
        <item m="1" x="304"/>
        <item m="1" x="388"/>
        <item m="1" x="317"/>
        <item m="1" x="770"/>
        <item m="1" x="1008"/>
        <item x="168"/>
        <item x="169"/>
        <item m="1" x="1027"/>
        <item m="1" x="612"/>
        <item m="1" x="309"/>
        <item m="1" x="784"/>
        <item m="1" x="346"/>
        <item m="1" x="837"/>
        <item m="1" x="344"/>
        <item m="1" x="394"/>
        <item m="1" x="647"/>
        <item m="1" x="1041"/>
        <item m="1" x="1057"/>
        <item m="1" x="327"/>
        <item m="1" x="286"/>
        <item m="1" x="380"/>
        <item m="1" x="797"/>
        <item m="1" x="414"/>
        <item m="1" x="486"/>
        <item m="1" x="863"/>
        <item m="1" x="335"/>
        <item m="1" x="941"/>
        <item m="1" x="979"/>
        <item m="1" x="330"/>
        <item m="1" x="598"/>
        <item m="1" x="944"/>
        <item m="1" x="401"/>
        <item m="1" x="275"/>
        <item x="171"/>
        <item m="1" x="719"/>
        <item m="1" x="223"/>
        <item x="42"/>
        <item m="1" x="928"/>
        <item m="1" x="650"/>
        <item m="1" x="463"/>
        <item m="1" x="407"/>
        <item x="43"/>
        <item m="1" x="934"/>
        <item x="44"/>
        <item m="1" x="288"/>
        <item m="1" x="698"/>
        <item m="1" x="912"/>
        <item m="1" x="829"/>
        <item x="46"/>
        <item x="47"/>
        <item x="48"/>
        <item m="1" x="1065"/>
        <item m="1" x="268"/>
        <item m="1" x="211"/>
        <item m="1" x="886"/>
        <item m="1" x="535"/>
        <item m="1" x="263"/>
        <item m="1" x="741"/>
        <item m="1" x="497"/>
        <item x="49"/>
        <item m="1" x="524"/>
        <item m="1" x="636"/>
        <item x="51"/>
        <item x="52"/>
        <item x="53"/>
        <item x="172"/>
        <item x="55"/>
        <item x="56"/>
        <item x="57"/>
        <item m="1" x="338"/>
        <item m="1" x="279"/>
        <item m="1" x="324"/>
        <item x="59"/>
        <item x="60"/>
        <item m="1" x="896"/>
        <item m="1" x="890"/>
        <item x="62"/>
        <item x="63"/>
        <item m="1" x="424"/>
        <item x="64"/>
        <item x="65"/>
        <item x="66"/>
        <item x="67"/>
        <item x="69"/>
        <item x="70"/>
        <item m="1" x="918"/>
        <item x="71"/>
        <item x="72"/>
        <item x="73"/>
        <item x="74"/>
        <item x="174"/>
        <item x="175"/>
        <item m="1" x="565"/>
        <item x="75"/>
        <item x="76"/>
        <item x="77"/>
        <item x="78"/>
        <item m="1" x="713"/>
        <item m="1" x="212"/>
        <item m="1" x="366"/>
        <item x="176"/>
        <item x="177"/>
        <item m="1" x="222"/>
        <item x="80"/>
        <item m="1" x="622"/>
        <item m="1" x="276"/>
        <item m="1" x="943"/>
        <item m="1" x="329"/>
        <item x="82"/>
        <item x="83"/>
        <item m="1" x="253"/>
        <item m="1" x="314"/>
        <item m="1" x="914"/>
        <item x="84"/>
        <item m="1" x="427"/>
        <item m="1" x="514"/>
        <item m="1" x="326"/>
        <item m="1" x="336"/>
        <item m="1" x="484"/>
        <item m="1" x="345"/>
        <item m="1" x="1029"/>
        <item m="1" x="1014"/>
        <item m="1" x="760"/>
        <item m="1" x="272"/>
        <item m="1" x="570"/>
        <item x="86"/>
        <item m="1" x="772"/>
        <item m="1" x="722"/>
        <item x="181"/>
        <item m="1" x="806"/>
        <item m="1" x="382"/>
        <item m="1" x="593"/>
        <item m="1" x="668"/>
        <item m="1" x="284"/>
        <item m="1" x="866"/>
        <item m="1" x="555"/>
        <item x="90"/>
        <item m="1" x="483"/>
        <item m="1" x="670"/>
        <item m="1" x="994"/>
        <item m="1" x="503"/>
        <item m="1" x="396"/>
        <item m="1" x="509"/>
        <item x="182"/>
        <item x="183"/>
        <item x="184"/>
        <item x="185"/>
        <item m="1" x="692"/>
        <item x="186"/>
        <item m="1" x="405"/>
        <item x="94"/>
        <item x="188"/>
        <item x="189"/>
        <item m="1" x="418"/>
        <item m="1" x="861"/>
        <item x="98"/>
        <item m="1" x="822"/>
        <item m="1" x="986"/>
        <item x="99"/>
        <item m="1" x="294"/>
        <item m="1" x="543"/>
        <item m="1" x="873"/>
        <item x="100"/>
        <item m="1" x="397"/>
        <item m="1" x="950"/>
        <item m="1" x="305"/>
        <item x="103"/>
        <item x="104"/>
        <item m="1" x="214"/>
        <item x="105"/>
        <item x="190"/>
        <item m="1" x="575"/>
        <item m="1" x="850"/>
        <item m="1" x="686"/>
        <item m="1" x="353"/>
        <item m="1" x="615"/>
        <item m="1" x="939"/>
        <item m="1" x="383"/>
        <item m="1" x="506"/>
        <item m="1" x="375"/>
        <item m="1" x="501"/>
        <item m="1" x="361"/>
        <item m="1" x="421"/>
        <item m="1" x="966"/>
        <item x="106"/>
        <item m="1" x="354"/>
        <item m="1" x="303"/>
        <item x="107"/>
        <item m="1" x="371"/>
        <item m="1" x="603"/>
        <item m="1" x="584"/>
        <item m="1" x="877"/>
        <item x="108"/>
        <item m="1" x="541"/>
        <item m="1" x="291"/>
        <item m="1" x="444"/>
        <item m="1" x="631"/>
        <item m="1" x="517"/>
        <item m="1" x="287"/>
        <item m="1" x="881"/>
        <item m="1" x="542"/>
        <item m="1" x="747"/>
        <item m="1" x="390"/>
        <item m="1" x="472"/>
        <item m="1" x="909"/>
        <item m="1" x="974"/>
        <item m="1" x="389"/>
        <item x="109"/>
        <item x="111"/>
        <item m="1" x="824"/>
        <item x="112"/>
        <item m="1" x="785"/>
        <item m="1" x="398"/>
        <item m="1" x="579"/>
        <item x="191"/>
        <item x="192"/>
        <item m="1" x="204"/>
        <item m="1" x="1023"/>
        <item m="1" x="817"/>
        <item m="1" x="891"/>
        <item m="1" x="504"/>
        <item m="1" x="1045"/>
        <item x="115"/>
        <item m="1" x="530"/>
        <item m="1" x="684"/>
        <item m="1" x="587"/>
        <item m="1" x="561"/>
        <item m="1" x="406"/>
        <item m="1" x="445"/>
        <item m="1" x="710"/>
        <item m="1" x="376"/>
        <item m="1" x="256"/>
        <item m="1" x="481"/>
        <item m="1" x="844"/>
        <item m="1" x="602"/>
        <item m="1" x="998"/>
        <item m="1" x="607"/>
        <item m="1" x="499"/>
        <item m="1" x="640"/>
        <item m="1" x="1007"/>
        <item m="1" x="232"/>
        <item x="117"/>
        <item x="118"/>
        <item m="1" x="674"/>
        <item m="1" x="297"/>
        <item m="1" x="715"/>
        <item m="1" x="997"/>
        <item m="1" x="356"/>
        <item m="1" x="453"/>
        <item m="1" x="207"/>
        <item m="1" x="341"/>
        <item x="119"/>
        <item m="1" x="798"/>
        <item x="120"/>
        <item m="1" x="536"/>
        <item m="1" x="594"/>
        <item m="1" x="216"/>
        <item m="1" x="588"/>
        <item x="124"/>
        <item m="1" x="627"/>
        <item m="1" x="999"/>
        <item m="1" x="991"/>
        <item m="1" x="476"/>
        <item x="125"/>
        <item m="1" x="799"/>
        <item m="1" x="842"/>
        <item m="1" x="682"/>
        <item m="1" x="833"/>
        <item m="1" x="864"/>
        <item m="1" x="547"/>
        <item m="1" x="894"/>
        <item m="1" x="706"/>
        <item m="1" x="876"/>
        <item m="1" x="880"/>
        <item x="127"/>
        <item m="1" x="208"/>
        <item m="1" x="296"/>
        <item m="1" x="545"/>
        <item x="128"/>
        <item m="1" x="1060"/>
        <item x="129"/>
        <item m="1" x="683"/>
        <item m="1" x="550"/>
        <item m="1" x="1036"/>
        <item x="130"/>
        <item x="131"/>
        <item m="1" x="301"/>
        <item x="132"/>
        <item x="133"/>
        <item x="134"/>
        <item m="1" x="687"/>
        <item m="1" x="521"/>
        <item m="1" x="816"/>
        <item m="1" x="653"/>
        <item x="135"/>
        <item m="1" x="235"/>
        <item m="1" x="920"/>
        <item m="1" x="841"/>
        <item m="1" x="242"/>
        <item m="1" x="927"/>
        <item m="1" x="839"/>
        <item m="1" x="488"/>
        <item m="1" x="417"/>
        <item m="1" x="789"/>
        <item m="1" x="567"/>
        <item m="1" x="852"/>
        <item m="1" x="676"/>
        <item x="137"/>
        <item m="1" x="854"/>
        <item m="1" x="904"/>
        <item m="1" x="823"/>
        <item m="1" x="280"/>
        <item m="1" x="985"/>
        <item m="1" x="907"/>
        <item m="1" x="779"/>
        <item m="1" x="859"/>
        <item x="141"/>
        <item m="1" x="209"/>
        <item m="1" x="495"/>
        <item x="143"/>
        <item x="144"/>
        <item m="1" x="512"/>
        <item x="145"/>
        <item x="146"/>
        <item m="1" x="339"/>
        <item m="1" x="753"/>
        <item m="1" x="685"/>
        <item m="1" x="749"/>
        <item m="1" x="765"/>
        <item m="1" x="574"/>
        <item m="1" x="233"/>
        <item m="1" x="1034"/>
        <item m="1" x="801"/>
        <item m="1" x="1040"/>
        <item m="1" x="818"/>
        <item m="1" x="938"/>
        <item m="1" x="726"/>
        <item m="1" x="1058"/>
        <item m="1" x="1017"/>
        <item m="1" x="717"/>
        <item m="1" x="485"/>
        <item m="1" x="395"/>
        <item m="1" x="247"/>
        <item m="1" x="996"/>
        <item m="1" x="551"/>
        <item m="1" x="569"/>
        <item m="1" x="777"/>
        <item m="1" x="1066"/>
        <item m="1" x="619"/>
        <item m="1" x="911"/>
        <item m="1" x="278"/>
        <item x="147"/>
        <item m="1" x="696"/>
        <item m="1" x="1004"/>
        <item m="1" x="1028"/>
        <item m="1" x="1005"/>
        <item m="1" x="520"/>
        <item m="1" x="440"/>
        <item m="1" x="393"/>
        <item m="1" x="245"/>
        <item m="1" x="391"/>
        <item m="1" x="221"/>
        <item m="1" x="206"/>
        <item m="1" x="851"/>
        <item m="1" x="408"/>
        <item m="1" x="350"/>
        <item m="1" x="781"/>
        <item m="1" x="965"/>
        <item m="1" x="340"/>
        <item m="1" x="1054"/>
        <item m="1" x="522"/>
        <item m="1" x="756"/>
        <item x="194"/>
        <item m="1" x="307"/>
        <item m="1" x="845"/>
        <item m="1" x="343"/>
        <item m="1" x="836"/>
        <item m="1" x="616"/>
        <item m="1" x="856"/>
        <item m="1" x="446"/>
        <item x="150"/>
        <item m="1" x="807"/>
        <item x="153"/>
        <item m="1" x="1019"/>
        <item m="1" x="954"/>
        <item m="1" x="892"/>
        <item x="154"/>
        <item x="155"/>
        <item x="156"/>
        <item m="1" x="786"/>
        <item m="1" x="496"/>
        <item m="1" x="585"/>
        <item m="1" x="897"/>
        <item m="1" x="723"/>
        <item m="1" x="581"/>
        <item m="1" x="1064"/>
        <item m="1" x="1049"/>
        <item x="157"/>
        <item m="1" x="626"/>
        <item m="1" x="249"/>
        <item m="1" x="865"/>
        <item m="1" x="883"/>
        <item m="1" x="884"/>
        <item m="1" x="957"/>
        <item m="1" x="316"/>
        <item m="1" x="613"/>
        <item m="1" x="425"/>
        <item m="1" x="426"/>
        <item m="1" x="1026"/>
        <item m="1" x="970"/>
        <item m="1" x="952"/>
        <item m="1" x="609"/>
        <item m="1" x="1012"/>
        <item m="1" x="537"/>
        <item m="1" x="732"/>
        <item m="1" x="902"/>
        <item m="1" x="254"/>
        <item m="1" x="468"/>
        <item m="1" x="274"/>
        <item m="1" x="728"/>
        <item m="1" x="667"/>
        <item m="1" x="699"/>
        <item x="195"/>
        <item m="1" x="762"/>
        <item m="1" x="955"/>
        <item m="1" x="310"/>
        <item m="1" x="589"/>
        <item x="21"/>
        <item m="1" x="306"/>
        <item m="1" x="1038"/>
        <item m="1" x="659"/>
        <item m="1" x="791"/>
        <item m="1" x="746"/>
        <item x="122"/>
        <item x="45"/>
        <item x="40"/>
        <item x="38"/>
        <item m="1" x="651"/>
        <item m="1" x="487"/>
        <item m="1" x="257"/>
        <item m="1" x="1043"/>
        <item m="1" x="809"/>
        <item m="1" x="374"/>
        <item m="1" x="712"/>
        <item m="1" x="614"/>
        <item m="1" x="1062"/>
        <item m="1" x="982"/>
        <item m="1" x="557"/>
        <item m="1" x="447"/>
        <item m="1" x="534"/>
        <item m="1" x="293"/>
        <item m="1" x="936"/>
        <item m="1" x="742"/>
        <item m="1" x="1021"/>
        <item m="1" x="215"/>
        <item m="1" x="790"/>
        <item x="114"/>
        <item x="58"/>
        <item m="1" x="433"/>
        <item m="1" x="271"/>
        <item m="1" x="420"/>
        <item m="1" x="298"/>
        <item m="1" x="422"/>
        <item m="1" x="697"/>
        <item m="1" x="1018"/>
        <item m="1" x="592"/>
        <item m="1" x="739"/>
        <item m="1" x="577"/>
        <item m="1" x="853"/>
        <item m="1" x="825"/>
        <item m="1" x="479"/>
        <item m="1" x="948"/>
        <item m="1" x="586"/>
        <item m="1" x="703"/>
        <item m="1" x="812"/>
        <item m="1" x="423"/>
        <item m="1" x="308"/>
        <item m="1" x="1061"/>
        <item m="1" x="283"/>
        <item m="1" x="819"/>
        <item m="1" x="1052"/>
        <item m="1" x="984"/>
        <item m="1" x="1050"/>
        <item m="1" x="1016"/>
        <item m="1" x="456"/>
        <item m="1" x="403"/>
        <item m="1" x="620"/>
        <item m="1" x="505"/>
        <item m="1" x="1056"/>
        <item m="1" x="846"/>
        <item m="1" x="978"/>
        <item m="1" x="261"/>
        <item m="1" x="526"/>
        <item m="1" x="449"/>
        <item m="1" x="270"/>
        <item m="1" x="725"/>
        <item m="1" x="652"/>
        <item m="1" x="930"/>
        <item m="1" x="412"/>
        <item m="1" x="507"/>
        <item m="1" x="688"/>
        <item m="1" x="610"/>
        <item m="1" x="947"/>
        <item m="1" x="638"/>
        <item m="1" x="465"/>
        <item m="1" x="1033"/>
        <item m="1" x="862"/>
        <item m="1" x="1032"/>
        <item m="1" x="1031"/>
        <item m="1" x="325"/>
        <item m="1" x="694"/>
        <item m="1" x="368"/>
        <item m="1" x="874"/>
        <item m="1" x="956"/>
        <item m="1" x="508"/>
        <item m="1" x="299"/>
        <item m="1" x="210"/>
        <item m="1" x="431"/>
        <item m="1" x="992"/>
        <item m="1" x="410"/>
        <item m="1" x="532"/>
        <item m="1" x="1015"/>
        <item m="1" x="702"/>
        <item m="1" x="795"/>
        <item m="1" x="461"/>
        <item m="1" x="743"/>
        <item m="1" x="289"/>
        <item m="1" x="629"/>
        <item m="1" x="478"/>
        <item m="1" x="783"/>
        <item m="1" x="519"/>
        <item m="1" x="564"/>
        <item m="1" x="448"/>
        <item m="1" x="384"/>
        <item m="1" x="778"/>
        <item m="1" x="916"/>
        <item x="61"/>
        <item x="142"/>
        <item x="187"/>
        <item x="173"/>
        <item x="179"/>
        <item x="96"/>
        <item x="148"/>
        <item x="36"/>
        <item x="149"/>
        <item x="110"/>
        <item m="1" x="664"/>
        <item m="1" x="333"/>
        <item m="1" x="933"/>
        <item m="1" x="872"/>
        <item m="1" x="365"/>
        <item m="1" x="498"/>
        <item m="1" x="259"/>
        <item m="1" x="611"/>
        <item m="1" x="246"/>
        <item x="136"/>
        <item m="1" x="251"/>
        <item m="1" x="995"/>
        <item m="1" x="451"/>
        <item m="1" x="680"/>
        <item m="1" x="689"/>
        <item m="1" x="260"/>
        <item m="1" x="843"/>
        <item x="161"/>
        <item x="167"/>
        <item m="1" x="623"/>
        <item m="1" x="573"/>
        <item m="1" x="364"/>
        <item m="1" x="348"/>
        <item m="1" x="906"/>
        <item m="1" x="441"/>
        <item m="1" x="429"/>
        <item m="1" x="900"/>
        <item m="1" x="416"/>
        <item m="1" x="908"/>
        <item m="1" x="458"/>
        <item m="1" x="213"/>
        <item m="1" x="981"/>
        <item m="1" x="657"/>
        <item m="1" x="834"/>
        <item m="1" x="709"/>
        <item m="1" x="601"/>
        <item m="1" x="459"/>
        <item m="1" x="583"/>
        <item m="1" x="661"/>
        <item m="1" x="538"/>
        <item m="1" x="381"/>
        <item m="1" x="1024"/>
        <item m="1" x="359"/>
        <item m="1" x="464"/>
        <item m="1" x="977"/>
        <item m="1" x="554"/>
        <item m="1" x="525"/>
        <item m="1" x="889"/>
        <item m="1" x="632"/>
        <item m="1" x="372"/>
        <item m="1" x="813"/>
        <item m="1" x="560"/>
        <item m="1" x="578"/>
        <item m="1" x="572"/>
        <item m="1" x="224"/>
        <item m="1" x="624"/>
        <item m="1" x="428"/>
        <item m="1" x="319"/>
        <item m="1" x="1051"/>
        <item m="1" x="618"/>
        <item m="1" x="322"/>
        <item m="1" x="910"/>
        <item m="1" x="576"/>
        <item m="1" x="604"/>
        <item m="1" x="243"/>
        <item m="1" x="347"/>
        <item m="1" x="857"/>
        <item m="1" x="546"/>
        <item m="1" x="660"/>
        <item m="1" x="252"/>
        <item m="1" x="646"/>
        <item m="1" x="776"/>
        <item m="1" x="349"/>
        <item m="1" x="455"/>
        <item m="1" x="367"/>
        <item m="1" x="474"/>
        <item m="1" x="462"/>
        <item m="1" x="300"/>
        <item m="1" x="967"/>
        <item m="1" x="835"/>
        <item m="1" x="628"/>
        <item m="1" x="231"/>
        <item m="1" x="729"/>
        <item m="1" x="931"/>
        <item m="1" x="815"/>
        <item m="1" x="562"/>
        <item m="1" x="596"/>
        <item m="1" x="745"/>
        <item m="1" x="378"/>
        <item m="1" x="869"/>
        <item m="1" x="666"/>
        <item m="1" x="580"/>
        <item m="1" x="814"/>
        <item m="1" x="782"/>
        <item m="1" x="752"/>
        <item m="1" x="720"/>
        <item m="1" x="946"/>
        <item m="1" x="734"/>
        <item m="1" x="238"/>
        <item m="1" x="225"/>
        <item m="1" x="370"/>
        <item m="1" x="748"/>
        <item m="1" x="411"/>
        <item m="1" x="733"/>
        <item m="1" x="926"/>
        <item m="1" x="432"/>
        <item m="1" x="379"/>
        <item m="1" x="735"/>
        <item m="1" x="708"/>
        <item m="1" x="473"/>
        <item m="1" x="469"/>
        <item m="1" x="925"/>
        <item m="1" x="500"/>
        <item m="1" x="802"/>
        <item m="1" x="730"/>
        <item m="1" x="953"/>
        <item m="1" x="987"/>
        <item m="1" x="281"/>
        <item m="1" x="1037"/>
        <item m="1" x="679"/>
        <item m="1" x="516"/>
        <item m="1" x="893"/>
        <item m="1" x="292"/>
        <item m="1" x="959"/>
        <item m="1" x="810"/>
        <item m="1" x="513"/>
        <item m="1" x="489"/>
        <item m="1" x="470"/>
        <item m="1" x="529"/>
        <item m="1" x="871"/>
        <item m="1" x="466"/>
        <item m="1" x="219"/>
        <item m="1" x="961"/>
        <item m="1" x="887"/>
        <item m="1" x="644"/>
        <item m="1" x="556"/>
        <item m="1" x="921"/>
        <item m="1" x="621"/>
        <item m="1" x="590"/>
        <item m="1" x="302"/>
        <item m="1" x="539"/>
        <item m="1" x="665"/>
        <item m="1" x="637"/>
        <item m="1" x="643"/>
        <item m="1" x="230"/>
        <item m="1" x="313"/>
        <item m="1" x="454"/>
        <item m="1" x="377"/>
        <item m="1" x="885"/>
        <item m="1" x="888"/>
        <item m="1" x="826"/>
        <item m="1" x="847"/>
        <item m="1" x="442"/>
        <item m="1" x="1048"/>
        <item m="1" x="568"/>
        <item m="1" x="282"/>
        <item m="1" x="875"/>
        <item m="1" x="552"/>
        <item m="1" x="475"/>
        <item m="1" x="399"/>
        <item m="1" x="228"/>
        <item m="1" x="205"/>
        <item x="22"/>
        <item m="1" x="439"/>
        <item m="1" x="773"/>
        <item m="1" x="244"/>
        <item m="1" x="820"/>
        <item m="1" x="794"/>
        <item m="1" x="248"/>
        <item m="1" x="625"/>
        <item m="1" x="905"/>
        <item m="1" x="599"/>
        <item m="1" x="1000"/>
        <item m="1" x="848"/>
        <item m="1" x="945"/>
        <item m="1" x="645"/>
        <item m="1" x="258"/>
        <item m="1" x="922"/>
        <item m="1" x="805"/>
        <item m="1" x="830"/>
        <item m="1" x="413"/>
        <item m="1" x="559"/>
        <item m="1" x="860"/>
        <item m="1" x="531"/>
        <item m="1" x="903"/>
        <item m="1" x="357"/>
        <item m="1" x="700"/>
        <item m="1" x="457"/>
        <item m="1" x="295"/>
        <item m="1" x="768"/>
        <item m="1" x="787"/>
        <item m="1" x="606"/>
        <item m="1" x="677"/>
        <item m="1" x="678"/>
        <item m="1" x="672"/>
        <item m="1" x="951"/>
        <item m="1" x="369"/>
        <item m="1" x="963"/>
        <item m="1" x="1022"/>
        <item m="1" x="334"/>
        <item m="1" x="264"/>
        <item m="1" x="331"/>
        <item m="1" x="751"/>
        <item m="1" x="721"/>
        <item m="1" x="392"/>
        <item m="1" x="968"/>
        <item m="1" x="808"/>
        <item m="1" x="218"/>
        <item m="1" x="323"/>
        <item m="1" x="924"/>
        <item m="1" x="563"/>
        <item m="1" x="811"/>
        <item m="1" x="793"/>
        <item m="1" x="775"/>
        <item m="1" x="656"/>
        <item m="1" x="548"/>
        <item m="1" x="523"/>
        <item m="1" x="241"/>
        <item m="1" x="351"/>
        <item m="1" x="937"/>
        <item m="1" x="1001"/>
        <item m="1" x="705"/>
        <item m="1" x="1044"/>
        <item m="1" x="273"/>
        <item m="1" x="744"/>
        <item m="1" x="803"/>
        <item m="1" x="993"/>
        <item m="1" x="878"/>
        <item m="1" x="827"/>
        <item m="1" x="1010"/>
        <item m="1" x="780"/>
        <item m="1" x="675"/>
        <item m="1" x="337"/>
        <item m="1" x="711"/>
        <item m="1" x="899"/>
        <item m="1" x="1067"/>
        <item m="1" x="855"/>
        <item m="1" x="482"/>
        <item m="1" x="718"/>
        <item m="1" x="1039"/>
        <item m="1" x="662"/>
        <item m="1" x="528"/>
        <item m="1" x="649"/>
        <item m="1" x="558"/>
        <item m="1" x="1002"/>
        <item m="1" x="669"/>
        <item m="1" x="976"/>
        <item m="1" x="736"/>
        <item m="1" x="434"/>
        <item m="1" x="312"/>
        <item m="1" x="217"/>
        <item m="1" x="983"/>
        <item m="1" x="236"/>
        <item m="1" x="648"/>
        <item m="1" x="321"/>
        <item m="1" x="971"/>
        <item m="1" x="1046"/>
        <item m="1" x="714"/>
        <item m="1" x="960"/>
        <item m="1" x="1035"/>
        <item m="1" x="671"/>
        <item m="1" x="949"/>
        <item m="1" x="342"/>
        <item m="1" x="919"/>
        <item m="1" x="229"/>
        <item m="1" x="766"/>
        <item m="1" x="480"/>
        <item m="1" x="540"/>
        <item m="1" x="1042"/>
        <item m="1" x="898"/>
        <item x="31"/>
        <item x="160"/>
        <item m="1" x="311"/>
        <item m="1" x="690"/>
        <item m="1" x="849"/>
        <item m="1" x="634"/>
        <item m="1" x="1059"/>
        <item m="1" x="758"/>
        <item m="1" x="972"/>
        <item x="1"/>
        <item x="121"/>
        <item x="113"/>
        <item m="1" x="1009"/>
        <item m="1" x="315"/>
        <item m="1" x="913"/>
        <item m="1" x="737"/>
        <item m="1" x="352"/>
        <item m="1" x="989"/>
        <item m="1" x="511"/>
        <item m="1" x="804"/>
        <item m="1" x="240"/>
        <item m="1" x="437"/>
        <item m="1" x="494"/>
        <item m="1" x="693"/>
        <item m="1" x="923"/>
        <item m="1" x="527"/>
        <item m="1" x="549"/>
        <item x="87"/>
        <item x="126"/>
        <item m="1" x="707"/>
        <item m="1" x="642"/>
        <item m="1" x="265"/>
        <item m="1" x="633"/>
        <item m="1" x="355"/>
        <item m="1" x="750"/>
        <item m="1" x="234"/>
        <item m="1" x="1030"/>
        <item m="1" x="828"/>
        <item m="1" x="553"/>
        <item m="1" x="1025"/>
        <item m="1" x="964"/>
        <item x="95"/>
        <item m="1" x="438"/>
        <item m="1" x="727"/>
        <item x="164"/>
        <item x="193"/>
        <item m="1" x="882"/>
        <item m="1" x="226"/>
        <item x="11"/>
        <item x="178"/>
        <item x="163"/>
        <item x="170"/>
        <item x="93"/>
        <item x="102"/>
        <item x="152"/>
        <item x="151"/>
        <item x="54"/>
        <item x="116"/>
        <item x="158"/>
        <item x="50"/>
        <item x="17"/>
        <item x="18"/>
        <item x="101"/>
        <item m="1" x="691"/>
        <item m="1" x="704"/>
        <item x="196"/>
        <item x="200"/>
        <item x="88"/>
        <item x="139"/>
        <item x="140"/>
        <item x="159"/>
        <item x="162"/>
        <item x="79"/>
        <item x="0"/>
        <item x="9"/>
        <item x="15"/>
        <item x="138"/>
        <item x="81"/>
        <item x="27"/>
        <item x="85"/>
        <item x="89"/>
        <item x="91"/>
        <item x="123"/>
        <item x="97"/>
        <item x="92"/>
        <item x="197"/>
        <item x="198"/>
        <item x="199"/>
        <item x="201"/>
        <item x="202"/>
        <item x="203"/>
        <item x="180"/>
        <item x="166"/>
        <item x="68"/>
        <item t="default"/>
      </items>
    </pivotField>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97">
    <i>
      <x v="1"/>
    </i>
    <i>
      <x v="2"/>
    </i>
    <i>
      <x v="3"/>
    </i>
    <i>
      <x v="4"/>
    </i>
    <i>
      <x v="5"/>
    </i>
    <i>
      <x v="30"/>
    </i>
    <i>
      <x v="36"/>
    </i>
    <i>
      <x v="49"/>
    </i>
    <i>
      <x v="53"/>
    </i>
    <i>
      <x v="59"/>
    </i>
    <i>
      <x v="64"/>
    </i>
    <i>
      <x v="74"/>
    </i>
    <i>
      <x v="81"/>
    </i>
    <i>
      <x v="83"/>
    </i>
    <i>
      <x v="100"/>
    </i>
    <i>
      <x v="101"/>
    </i>
    <i>
      <x v="102"/>
    </i>
    <i>
      <x v="106"/>
    </i>
    <i>
      <x v="111"/>
    </i>
    <i>
      <x v="113"/>
    </i>
    <i>
      <x v="116"/>
    </i>
    <i>
      <x v="118"/>
    </i>
    <i>
      <x v="119"/>
    </i>
    <i>
      <x v="120"/>
    </i>
    <i>
      <x v="126"/>
    </i>
    <i>
      <x v="127"/>
    </i>
    <i>
      <x v="128"/>
    </i>
    <i>
      <x v="133"/>
    </i>
    <i>
      <x v="150"/>
    </i>
    <i>
      <x v="163"/>
    </i>
    <i>
      <x v="164"/>
    </i>
    <i>
      <x v="191"/>
    </i>
    <i>
      <x v="194"/>
    </i>
    <i>
      <x v="199"/>
    </i>
    <i>
      <x v="201"/>
    </i>
    <i>
      <x v="206"/>
    </i>
    <i>
      <x v="207"/>
    </i>
    <i>
      <x v="208"/>
    </i>
    <i>
      <x v="217"/>
    </i>
    <i>
      <x v="220"/>
    </i>
    <i>
      <x v="221"/>
    </i>
    <i>
      <x v="222"/>
    </i>
    <i>
      <x v="223"/>
    </i>
    <i>
      <x v="224"/>
    </i>
    <i>
      <x v="225"/>
    </i>
    <i>
      <x v="226"/>
    </i>
    <i>
      <x v="230"/>
    </i>
    <i>
      <x v="231"/>
    </i>
    <i>
      <x v="234"/>
    </i>
    <i>
      <x v="235"/>
    </i>
    <i>
      <x v="237"/>
    </i>
    <i>
      <x v="238"/>
    </i>
    <i>
      <x v="239"/>
    </i>
    <i>
      <x v="240"/>
    </i>
    <i>
      <x v="241"/>
    </i>
    <i>
      <x v="242"/>
    </i>
    <i>
      <x v="244"/>
    </i>
    <i>
      <x v="245"/>
    </i>
    <i>
      <x v="246"/>
    </i>
    <i>
      <x v="247"/>
    </i>
    <i>
      <x v="248"/>
    </i>
    <i>
      <x v="249"/>
    </i>
    <i>
      <x v="251"/>
    </i>
    <i>
      <x v="252"/>
    </i>
    <i>
      <x v="253"/>
    </i>
    <i>
      <x v="254"/>
    </i>
    <i>
      <x v="258"/>
    </i>
    <i>
      <x v="259"/>
    </i>
    <i>
      <x v="261"/>
    </i>
    <i>
      <x v="266"/>
    </i>
    <i>
      <x v="267"/>
    </i>
    <i>
      <x v="271"/>
    </i>
    <i>
      <x v="283"/>
    </i>
    <i>
      <x v="286"/>
    </i>
    <i>
      <x v="294"/>
    </i>
    <i>
      <x v="301"/>
    </i>
    <i>
      <x v="302"/>
    </i>
    <i>
      <x v="303"/>
    </i>
    <i>
      <x v="304"/>
    </i>
    <i>
      <x v="306"/>
    </i>
    <i>
      <x v="308"/>
    </i>
    <i>
      <x v="309"/>
    </i>
    <i>
      <x v="310"/>
    </i>
    <i>
      <x v="313"/>
    </i>
    <i>
      <x v="316"/>
    </i>
    <i>
      <x v="320"/>
    </i>
    <i>
      <x v="324"/>
    </i>
    <i>
      <x v="325"/>
    </i>
    <i>
      <x v="327"/>
    </i>
    <i>
      <x v="328"/>
    </i>
    <i>
      <x v="342"/>
    </i>
    <i>
      <x v="345"/>
    </i>
    <i>
      <x v="350"/>
    </i>
    <i>
      <x v="365"/>
    </i>
    <i>
      <x v="366"/>
    </i>
    <i>
      <x v="368"/>
    </i>
    <i>
      <x v="372"/>
    </i>
    <i>
      <x v="373"/>
    </i>
    <i>
      <x v="380"/>
    </i>
    <i>
      <x v="399"/>
    </i>
    <i>
      <x v="400"/>
    </i>
    <i>
      <x v="409"/>
    </i>
    <i>
      <x v="411"/>
    </i>
    <i>
      <x v="416"/>
    </i>
    <i>
      <x v="421"/>
    </i>
    <i>
      <x v="432"/>
    </i>
    <i>
      <x v="436"/>
    </i>
    <i>
      <x v="438"/>
    </i>
    <i>
      <x v="442"/>
    </i>
    <i>
      <x v="443"/>
    </i>
    <i>
      <x v="445"/>
    </i>
    <i>
      <x v="446"/>
    </i>
    <i>
      <x v="447"/>
    </i>
    <i>
      <x v="452"/>
    </i>
    <i>
      <x v="465"/>
    </i>
    <i>
      <x v="474"/>
    </i>
    <i>
      <x v="477"/>
    </i>
    <i>
      <x v="478"/>
    </i>
    <i>
      <x v="480"/>
    </i>
    <i>
      <x v="481"/>
    </i>
    <i>
      <x v="509"/>
    </i>
    <i>
      <x v="530"/>
    </i>
    <i>
      <x v="538"/>
    </i>
    <i>
      <x v="540"/>
    </i>
    <i>
      <x v="544"/>
    </i>
    <i>
      <x v="545"/>
    </i>
    <i>
      <x v="546"/>
    </i>
    <i>
      <x v="555"/>
    </i>
    <i>
      <x v="580"/>
    </i>
    <i>
      <x v="585"/>
    </i>
    <i>
      <x v="591"/>
    </i>
    <i>
      <x v="592"/>
    </i>
    <i>
      <x v="593"/>
    </i>
    <i>
      <x v="594"/>
    </i>
    <i>
      <x v="614"/>
    </i>
    <i>
      <x v="615"/>
    </i>
    <i>
      <x v="694"/>
    </i>
    <i>
      <x v="695"/>
    </i>
    <i>
      <x v="696"/>
    </i>
    <i>
      <x v="697"/>
    </i>
    <i>
      <x v="698"/>
    </i>
    <i>
      <x v="699"/>
    </i>
    <i>
      <x v="700"/>
    </i>
    <i>
      <x v="701"/>
    </i>
    <i>
      <x v="702"/>
    </i>
    <i>
      <x v="703"/>
    </i>
    <i>
      <x v="713"/>
    </i>
    <i>
      <x v="721"/>
    </i>
    <i>
      <x v="722"/>
    </i>
    <i>
      <x v="866"/>
    </i>
    <i>
      <x v="974"/>
    </i>
    <i>
      <x v="975"/>
    </i>
    <i>
      <x v="983"/>
    </i>
    <i>
      <x v="984"/>
    </i>
    <i>
      <x v="985"/>
    </i>
    <i>
      <x v="1001"/>
    </i>
    <i>
      <x v="1002"/>
    </i>
    <i>
      <x v="1015"/>
    </i>
    <i>
      <x v="1018"/>
    </i>
    <i>
      <x v="1019"/>
    </i>
    <i>
      <x v="1022"/>
    </i>
    <i>
      <x v="1023"/>
    </i>
    <i>
      <x v="1024"/>
    </i>
    <i>
      <x v="1025"/>
    </i>
    <i>
      <x v="1026"/>
    </i>
    <i>
      <x v="1027"/>
    </i>
    <i>
      <x v="1028"/>
    </i>
    <i>
      <x v="1029"/>
    </i>
    <i>
      <x v="1030"/>
    </i>
    <i>
      <x v="1031"/>
    </i>
    <i>
      <x v="1032"/>
    </i>
    <i>
      <x v="1033"/>
    </i>
    <i>
      <x v="1034"/>
    </i>
    <i>
      <x v="1035"/>
    </i>
    <i>
      <x v="1036"/>
    </i>
    <i>
      <x v="1041"/>
    </i>
    <i>
      <x v="1042"/>
    </i>
    <i>
      <x v="1043"/>
    </i>
    <i>
      <x v="1044"/>
    </i>
    <i>
      <x v="1045"/>
    </i>
    <i>
      <x v="1046"/>
    </i>
    <i>
      <x v="1047"/>
    </i>
    <i>
      <x v="1048"/>
    </i>
    <i>
      <x v="1049"/>
    </i>
    <i>
      <x v="1050"/>
    </i>
    <i>
      <x v="1051"/>
    </i>
    <i>
      <x v="1052"/>
    </i>
    <i>
      <x v="1053"/>
    </i>
    <i>
      <x v="1054"/>
    </i>
    <i>
      <x v="1055"/>
    </i>
    <i>
      <x v="1056"/>
    </i>
    <i>
      <x v="1057"/>
    </i>
    <i>
      <x v="1058"/>
    </i>
    <i>
      <x v="1065"/>
    </i>
    <i>
      <x v="1066"/>
    </i>
    <i>
      <x v="1067"/>
    </i>
    <i t="grand">
      <x/>
    </i>
  </rowItems>
  <colFields count="1">
    <field x="-2"/>
  </colFields>
  <colItems count="4">
    <i>
      <x/>
    </i>
    <i i="1">
      <x v="1"/>
    </i>
    <i i="2">
      <x v="2"/>
    </i>
    <i i="3">
      <x v="3"/>
    </i>
  </colItems>
  <pageFields count="3">
    <pageField fld="0" item="22" hier="-1"/>
    <pageField fld="5" hier="-1"/>
    <pageField fld="4" hier="-1"/>
  </pageFields>
  <dataFields count="4">
    <dataField name="Total Population" fld="9" baseField="0" baseItem="0"/>
    <dataField name="# of People adopt basic personal and community hygiene practices" fld="119" baseField="0" baseItem="0"/>
    <dataField name="# of people access to functioning  sanitation facilities" fld="107" baseField="0" baseItem="0"/>
    <dataField name="# of people Equitable and continuous access to sufficient quantity of domestic water" fld="99"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4"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10">
  <location ref="L4:P791" firstHeaderRow="0" firstDataRow="1" firstDataCol="2" rowPageCount="1" colPageCount="1"/>
  <pivotFields count="155">
    <pivotField axis="axisRow" compact="0" outline="0" showAll="0">
      <items count="26">
        <item m="1" x="22"/>
        <item m="1" x="23"/>
        <item m="1" x="9"/>
        <item m="1" x="24"/>
        <item m="1" x="16"/>
        <item m="1" x="18"/>
        <item m="1" x="20"/>
        <item m="1" x="21"/>
        <item m="1" x="5"/>
        <item m="1" x="3"/>
        <item m="1" x="12"/>
        <item m="1" x="14"/>
        <item m="1" x="17"/>
        <item m="1" x="19"/>
        <item m="1" x="7"/>
        <item m="1" x="10"/>
        <item m="1" x="13"/>
        <item m="1" x="15"/>
        <item m="1" x="4"/>
        <item m="1" x="6"/>
        <item m="1" x="8"/>
        <item m="1" x="11"/>
        <item x="0"/>
        <item x="1"/>
        <item x="2"/>
        <item t="default"/>
      </items>
    </pivotField>
    <pivotField compact="0" outline="0" showAll="0" defaultSubtotal="0"/>
    <pivotField compact="0" outline="0" showAll="0" defaultSubtotal="0">
      <items count="59">
        <item m="1" x="48"/>
        <item m="1" x="35"/>
        <item m="1" x="23"/>
        <item m="1" x="17"/>
        <item m="1" x="19"/>
        <item m="1" x="20"/>
        <item m="1" x="46"/>
        <item m="1" x="34"/>
        <item x="10"/>
        <item x="7"/>
        <item m="1" x="56"/>
        <item x="13"/>
        <item m="1" x="58"/>
        <item x="4"/>
        <item m="1" x="25"/>
        <item m="1" x="57"/>
        <item x="9"/>
        <item m="1" x="40"/>
        <item m="1" x="26"/>
        <item x="3"/>
        <item m="1" x="30"/>
        <item x="12"/>
        <item x="11"/>
        <item m="1" x="39"/>
        <item m="1" x="50"/>
        <item m="1" x="36"/>
        <item m="1" x="42"/>
        <item m="1" x="16"/>
        <item m="1" x="28"/>
        <item m="1" x="43"/>
        <item m="1" x="47"/>
        <item m="1" x="37"/>
        <item m="1" x="33"/>
        <item m="1" x="44"/>
        <item m="1" x="18"/>
        <item x="0"/>
        <item m="1" x="52"/>
        <item m="1" x="45"/>
        <item m="1" x="41"/>
        <item m="1" x="54"/>
        <item m="1" x="38"/>
        <item m="1" x="55"/>
        <item m="1" x="21"/>
        <item m="1" x="22"/>
        <item m="1" x="29"/>
        <item m="1" x="31"/>
        <item x="2"/>
        <item x="1"/>
        <item x="14"/>
        <item m="1" x="27"/>
        <item x="5"/>
        <item m="1" x="32"/>
        <item m="1" x="51"/>
        <item m="1" x="53"/>
        <item m="1" x="24"/>
        <item m="1" x="49"/>
        <item x="6"/>
        <item x="8"/>
        <item m="1" x="15"/>
      </items>
    </pivotField>
    <pivotField compact="0" outline="0" showAll="0"/>
    <pivotField compact="0" outline="0" showAll="0">
      <items count="7">
        <item m="1" x="5"/>
        <item x="0"/>
        <item m="1" x="4"/>
        <item m="1" x="3"/>
        <item x="1"/>
        <item m="1" x="2"/>
        <item t="default"/>
      </items>
    </pivotField>
    <pivotField compact="0" outline="0" showAll="0">
      <items count="47">
        <item m="1" x="31"/>
        <item x="0"/>
        <item m="1" x="43"/>
        <item m="1" x="35"/>
        <item x="6"/>
        <item x="1"/>
        <item x="23"/>
        <item x="16"/>
        <item x="4"/>
        <item x="14"/>
        <item x="20"/>
        <item m="1" x="38"/>
        <item m="1" x="26"/>
        <item x="15"/>
        <item m="1" x="45"/>
        <item x="17"/>
        <item m="1" x="41"/>
        <item x="5"/>
        <item x="21"/>
        <item m="1" x="36"/>
        <item m="1" x="30"/>
        <item x="8"/>
        <item x="10"/>
        <item m="1" x="25"/>
        <item x="2"/>
        <item m="1" x="42"/>
        <item x="18"/>
        <item m="1" x="34"/>
        <item x="7"/>
        <item m="1" x="33"/>
        <item x="22"/>
        <item m="1" x="29"/>
        <item x="19"/>
        <item m="1" x="27"/>
        <item m="1" x="28"/>
        <item m="1" x="32"/>
        <item m="1" x="37"/>
        <item x="11"/>
        <item m="1" x="44"/>
        <item m="1" x="40"/>
        <item x="12"/>
        <item m="1" x="39"/>
        <item x="9"/>
        <item x="13"/>
        <item x="3"/>
        <item m="1" x="24"/>
        <item t="default"/>
      </items>
    </pivotField>
    <pivotField compact="0" outline="0" showAll="0" defaultSubtotal="0">
      <items count="14">
        <item x="0"/>
        <item m="1" x="11"/>
        <item x="1"/>
        <item m="1" x="10"/>
        <item m="1" x="8"/>
        <item x="2"/>
        <item m="1" x="3"/>
        <item m="1" x="4"/>
        <item m="1" x="6"/>
        <item m="1" x="5"/>
        <item m="1" x="12"/>
        <item m="1" x="9"/>
        <item m="1" x="13"/>
        <item m="1" x="7"/>
      </items>
    </pivotField>
    <pivotField axis="axisRow" compact="0" outline="0" showAll="0">
      <items count="1069">
        <item m="1" x="740"/>
        <item m="1" x="505"/>
        <item m="1" x="620"/>
        <item x="2"/>
        <item x="3"/>
        <item x="4"/>
        <item x="5"/>
        <item x="6"/>
        <item m="1" x="478"/>
        <item m="1" x="362"/>
        <item m="1" x="608"/>
        <item m="1" x="277"/>
        <item m="1" x="318"/>
        <item m="1" x="582"/>
        <item m="1" x="701"/>
        <item m="1" x="716"/>
        <item m="1" x="846"/>
        <item m="1" x="490"/>
        <item m="1" x="320"/>
        <item m="1" x="975"/>
        <item m="1" x="879"/>
        <item m="1" x="332"/>
        <item m="1" x="763"/>
        <item m="1" x="544"/>
        <item m="1" x="917"/>
        <item m="1" x="858"/>
        <item m="1" x="940"/>
        <item m="1" x="962"/>
        <item m="1" x="400"/>
        <item m="1" x="838"/>
        <item m="1" x="435"/>
        <item m="1" x="452"/>
        <item m="1" x="739"/>
        <item m="1" x="450"/>
        <item m="1" x="1052"/>
        <item m="1" x="358"/>
        <item m="1" x="1050"/>
        <item x="7"/>
        <item m="1" x="1013"/>
        <item m="1" x="1053"/>
        <item m="1" x="774"/>
        <item m="1" x="502"/>
        <item m="1" x="689"/>
        <item m="1" x="1061"/>
        <item m="1" x="387"/>
        <item m="1" x="251"/>
        <item m="1" x="420"/>
        <item x="8"/>
        <item m="1" x="436"/>
        <item m="1" x="915"/>
        <item m="1" x="868"/>
        <item m="1" x="932"/>
        <item m="1" x="266"/>
        <item m="1" x="373"/>
        <item m="1" x="595"/>
        <item m="1" x="831"/>
        <item m="1" x="832"/>
        <item m="1" x="591"/>
        <item m="1" x="746"/>
        <item m="1" x="566"/>
        <item m="1" x="430"/>
        <item x="10"/>
        <item m="1" x="1047"/>
        <item m="1" x="1003"/>
        <item m="1" x="771"/>
        <item x="12"/>
        <item m="1" x="969"/>
        <item m="1" x="461"/>
        <item m="1" x="761"/>
        <item m="1" x="792"/>
        <item m="1" x="239"/>
        <item m="1" x="262"/>
        <item x="13"/>
        <item m="1" x="942"/>
        <item m="1" x="471"/>
        <item m="1" x="385"/>
        <item m="1" x="467"/>
        <item x="14"/>
        <item m="1" x="658"/>
        <item m="1" x="422"/>
        <item m="1" x="783"/>
        <item m="1" x="821"/>
        <item m="1" x="220"/>
        <item m="1" x="767"/>
        <item m="1" x="1006"/>
        <item m="1" x="681"/>
        <item m="1" x="267"/>
        <item m="1" x="404"/>
        <item m="1" x="261"/>
        <item m="1" x="935"/>
        <item x="16"/>
        <item m="1" x="867"/>
        <item m="1" x="597"/>
        <item m="1" x="491"/>
        <item m="1" x="973"/>
        <item m="1" x="654"/>
        <item m="1" x="419"/>
        <item x="19"/>
        <item m="1" x="840"/>
        <item x="20"/>
        <item x="21"/>
        <item m="1" x="990"/>
        <item m="1" x="360"/>
        <item x="161"/>
        <item m="1" x="1011"/>
        <item m="1" x="731"/>
        <item m="1" x="605"/>
        <item m="1" x="948"/>
        <item m="1" x="635"/>
        <item m="1" x="895"/>
        <item m="1" x="269"/>
        <item m="1" x="796"/>
        <item m="1" x="724"/>
        <item m="1" x="988"/>
        <item m="1" x="929"/>
        <item m="1" x="788"/>
        <item m="1" x="639"/>
        <item m="1" x="210"/>
        <item m="1" x="673"/>
        <item m="1" x="237"/>
        <item x="23"/>
        <item x="24"/>
        <item x="25"/>
        <item m="1" x="328"/>
        <item m="1" x="227"/>
        <item m="1" x="630"/>
        <item x="26"/>
        <item m="1" x="533"/>
        <item m="1" x="600"/>
        <item m="1" x="492"/>
        <item m="1" x="255"/>
        <item x="165"/>
        <item m="1" x="754"/>
        <item x="28"/>
        <item m="1" x="493"/>
        <item m="1" x="759"/>
        <item m="1" x="984"/>
        <item x="29"/>
        <item m="1" x="250"/>
        <item x="30"/>
        <item m="1" x="697"/>
        <item x="32"/>
        <item x="167"/>
        <item x="33"/>
        <item m="1" x="769"/>
        <item m="1" x="809"/>
        <item m="1" x="460"/>
        <item m="1" x="290"/>
        <item m="1" x="384"/>
        <item m="1" x="778"/>
        <item m="1" x="738"/>
        <item m="1" x="402"/>
        <item x="34"/>
        <item x="35"/>
        <item x="36"/>
        <item x="37"/>
        <item m="1" x="695"/>
        <item x="38"/>
        <item m="1" x="1020"/>
        <item m="1" x="1063"/>
        <item m="1" x="577"/>
        <item m="1" x="930"/>
        <item m="1" x="958"/>
        <item x="39"/>
        <item m="1" x="703"/>
        <item m="1" x="663"/>
        <item m="1" x="655"/>
        <item m="1" x="870"/>
        <item m="1" x="415"/>
        <item m="1" x="812"/>
        <item m="1" x="363"/>
        <item m="1" x="409"/>
        <item m="1" x="641"/>
        <item m="1" x="800"/>
        <item m="1" x="980"/>
        <item m="1" x="755"/>
        <item m="1" x="285"/>
        <item m="1" x="901"/>
        <item m="1" x="664"/>
        <item m="1" x="933"/>
        <item x="40"/>
        <item m="1" x="289"/>
        <item m="1" x="451"/>
        <item m="1" x="510"/>
        <item m="1" x="617"/>
        <item m="1" x="443"/>
        <item m="1" x="571"/>
        <item x="41"/>
        <item m="1" x="515"/>
        <item m="1" x="1055"/>
        <item m="1" x="757"/>
        <item m="1" x="386"/>
        <item m="1" x="477"/>
        <item m="1" x="764"/>
        <item m="1" x="518"/>
        <item m="1" x="304"/>
        <item m="1" x="388"/>
        <item m="1" x="317"/>
        <item m="1" x="770"/>
        <item m="1" x="1008"/>
        <item m="1" x="325"/>
        <item x="168"/>
        <item x="169"/>
        <item m="1" x="1027"/>
        <item m="1" x="612"/>
        <item m="1" x="309"/>
        <item m="1" x="1021"/>
        <item m="1" x="784"/>
        <item m="1" x="346"/>
        <item m="1" x="837"/>
        <item m="1" x="270"/>
        <item m="1" x="344"/>
        <item m="1" x="916"/>
        <item m="1" x="394"/>
        <item m="1" x="647"/>
        <item m="1" x="1041"/>
        <item m="1" x="1057"/>
        <item m="1" x="327"/>
        <item m="1" x="286"/>
        <item m="1" x="380"/>
        <item m="1" x="797"/>
        <item m="1" x="414"/>
        <item m="1" x="486"/>
        <item m="1" x="863"/>
        <item m="1" x="335"/>
        <item m="1" x="819"/>
        <item m="1" x="283"/>
        <item m="1" x="941"/>
        <item m="1" x="979"/>
        <item m="1" x="330"/>
        <item m="1" x="598"/>
        <item m="1" x="944"/>
        <item m="1" x="401"/>
        <item m="1" x="982"/>
        <item m="1" x="275"/>
        <item x="171"/>
        <item m="1" x="719"/>
        <item m="1" x="223"/>
        <item x="42"/>
        <item m="1" x="928"/>
        <item m="1" x="650"/>
        <item m="1" x="463"/>
        <item m="1" x="978"/>
        <item m="1" x="407"/>
        <item x="43"/>
        <item m="1" x="934"/>
        <item m="1" x="257"/>
        <item m="1" x="487"/>
        <item m="1" x="589"/>
        <item m="1" x="310"/>
        <item x="44"/>
        <item m="1" x="288"/>
        <item m="1" x="698"/>
        <item m="1" x="299"/>
        <item m="1" x="912"/>
        <item x="45"/>
        <item m="1" x="829"/>
        <item x="46"/>
        <item m="1" x="271"/>
        <item x="47"/>
        <item x="48"/>
        <item m="1" x="1065"/>
        <item m="1" x="268"/>
        <item m="1" x="211"/>
        <item m="1" x="886"/>
        <item m="1" x="535"/>
        <item m="1" x="263"/>
        <item m="1" x="741"/>
        <item m="1" x="497"/>
        <item x="49"/>
        <item m="1" x="524"/>
        <item m="1" x="636"/>
        <item x="51"/>
        <item x="52"/>
        <item x="53"/>
        <item x="172"/>
        <item x="55"/>
        <item x="56"/>
        <item x="57"/>
        <item x="58"/>
        <item m="1" x="338"/>
        <item m="1" x="279"/>
        <item m="1" x="324"/>
        <item x="59"/>
        <item x="60"/>
        <item m="1" x="896"/>
        <item x="61"/>
        <item m="1" x="890"/>
        <item m="1" x="374"/>
        <item x="62"/>
        <item x="63"/>
        <item x="173"/>
        <item m="1" x="424"/>
        <item x="64"/>
        <item x="65"/>
        <item x="66"/>
        <item x="67"/>
        <item x="69"/>
        <item x="70"/>
        <item m="1" x="918"/>
        <item x="71"/>
        <item x="72"/>
        <item x="73"/>
        <item x="74"/>
        <item x="174"/>
        <item x="175"/>
        <item m="1" x="565"/>
        <item x="75"/>
        <item x="76"/>
        <item x="77"/>
        <item x="78"/>
        <item m="1" x="713"/>
        <item m="1" x="212"/>
        <item m="1" x="366"/>
        <item x="176"/>
        <item x="177"/>
        <item m="1" x="222"/>
        <item x="80"/>
        <item m="1" x="622"/>
        <item m="1" x="276"/>
        <item m="1" x="943"/>
        <item m="1" x="412"/>
        <item m="1" x="329"/>
        <item x="82"/>
        <item x="83"/>
        <item m="1" x="253"/>
        <item m="1" x="314"/>
        <item m="1" x="914"/>
        <item x="84"/>
        <item m="1" x="427"/>
        <item m="1" x="514"/>
        <item m="1" x="246"/>
        <item m="1" x="465"/>
        <item m="1" x="326"/>
        <item m="1" x="336"/>
        <item m="1" x="484"/>
        <item m="1" x="345"/>
        <item m="1" x="519"/>
        <item m="1" x="1029"/>
        <item m="1" x="403"/>
        <item m="1" x="956"/>
        <item m="1" x="1014"/>
        <item m="1" x="760"/>
        <item x="179"/>
        <item m="1" x="874"/>
        <item m="1" x="272"/>
        <item m="1" x="570"/>
        <item x="86"/>
        <item m="1" x="592"/>
        <item m="1" x="772"/>
        <item m="1" x="722"/>
        <item x="181"/>
        <item m="1" x="806"/>
        <item m="1" x="382"/>
        <item m="1" x="593"/>
        <item m="1" x="668"/>
        <item m="1" x="284"/>
        <item m="1" x="866"/>
        <item m="1" x="555"/>
        <item x="90"/>
        <item m="1" x="483"/>
        <item m="1" x="1056"/>
        <item m="1" x="670"/>
        <item m="1" x="994"/>
        <item m="1" x="503"/>
        <item m="1" x="955"/>
        <item m="1" x="396"/>
        <item m="1" x="532"/>
        <item m="1" x="509"/>
        <item x="182"/>
        <item x="183"/>
        <item x="184"/>
        <item x="185"/>
        <item m="1" x="692"/>
        <item x="186"/>
        <item m="1" x="405"/>
        <item x="187"/>
        <item x="94"/>
        <item x="188"/>
        <item x="189"/>
        <item m="1" x="1018"/>
        <item m="1" x="418"/>
        <item x="96"/>
        <item m="1" x="861"/>
        <item x="98"/>
        <item m="1" x="822"/>
        <item m="1" x="986"/>
        <item x="99"/>
        <item m="1" x="294"/>
        <item m="1" x="543"/>
        <item m="1" x="873"/>
        <item x="100"/>
        <item m="1" x="397"/>
        <item m="1" x="950"/>
        <item m="1" x="305"/>
        <item x="103"/>
        <item x="104"/>
        <item m="1" x="659"/>
        <item m="1" x="214"/>
        <item x="105"/>
        <item x="190"/>
        <item m="1" x="702"/>
        <item m="1" x="575"/>
        <item m="1" x="795"/>
        <item m="1" x="850"/>
        <item m="1" x="686"/>
        <item m="1" x="534"/>
        <item m="1" x="353"/>
        <item m="1" x="615"/>
        <item m="1" x="939"/>
        <item m="1" x="383"/>
        <item m="1" x="651"/>
        <item m="1" x="506"/>
        <item m="1" x="992"/>
        <item m="1" x="375"/>
        <item m="1" x="431"/>
        <item m="1" x="872"/>
        <item m="1" x="501"/>
        <item m="1" x="361"/>
        <item m="1" x="421"/>
        <item m="1" x="966"/>
        <item x="106"/>
        <item m="1" x="354"/>
        <item m="1" x="303"/>
        <item x="107"/>
        <item m="1" x="371"/>
        <item m="1" x="603"/>
        <item m="1" x="584"/>
        <item m="1" x="877"/>
        <item x="108"/>
        <item m="1" x="541"/>
        <item m="1" x="291"/>
        <item m="1" x="444"/>
        <item m="1" x="631"/>
        <item m="1" x="517"/>
        <item m="1" x="287"/>
        <item m="1" x="881"/>
        <item m="1" x="542"/>
        <item m="1" x="747"/>
        <item m="1" x="390"/>
        <item m="1" x="472"/>
        <item m="1" x="909"/>
        <item m="1" x="974"/>
        <item m="1" x="389"/>
        <item m="1" x="456"/>
        <item m="1" x="1043"/>
        <item x="109"/>
        <item x="110"/>
        <item x="111"/>
        <item m="1" x="824"/>
        <item x="112"/>
        <item m="1" x="785"/>
        <item m="1" x="398"/>
        <item m="1" x="579"/>
        <item x="191"/>
        <item x="192"/>
        <item m="1" x="507"/>
        <item m="1" x="204"/>
        <item x="114"/>
        <item m="1" x="1023"/>
        <item m="1" x="817"/>
        <item m="1" x="891"/>
        <item m="1" x="504"/>
        <item m="1" x="1045"/>
        <item x="115"/>
        <item m="1" x="530"/>
        <item m="1" x="684"/>
        <item m="1" x="587"/>
        <item m="1" x="561"/>
        <item m="1" x="406"/>
        <item m="1" x="712"/>
        <item m="1" x="445"/>
        <item m="1" x="710"/>
        <item m="1" x="611"/>
        <item m="1" x="680"/>
        <item m="1" x="376"/>
        <item m="1" x="256"/>
        <item m="1" x="481"/>
        <item m="1" x="844"/>
        <item m="1" x="333"/>
        <item m="1" x="602"/>
        <item m="1" x="998"/>
        <item m="1" x="607"/>
        <item m="1" x="260"/>
        <item m="1" x="499"/>
        <item m="1" x="640"/>
        <item m="1" x="1007"/>
        <item m="1" x="526"/>
        <item m="1" x="843"/>
        <item m="1" x="742"/>
        <item m="1" x="232"/>
        <item x="117"/>
        <item x="118"/>
        <item m="1" x="674"/>
        <item m="1" x="297"/>
        <item m="1" x="715"/>
        <item m="1" x="997"/>
        <item m="1" x="356"/>
        <item m="1" x="453"/>
        <item m="1" x="207"/>
        <item m="1" x="341"/>
        <item x="119"/>
        <item m="1" x="798"/>
        <item x="120"/>
        <item m="1" x="536"/>
        <item m="1" x="743"/>
        <item m="1" x="594"/>
        <item m="1" x="216"/>
        <item m="1" x="365"/>
        <item x="122"/>
        <item m="1" x="588"/>
        <item x="124"/>
        <item m="1" x="627"/>
        <item m="1" x="999"/>
        <item m="1" x="991"/>
        <item m="1" x="498"/>
        <item m="1" x="476"/>
        <item x="125"/>
        <item m="1" x="1015"/>
        <item m="1" x="799"/>
        <item m="1" x="842"/>
        <item m="1" x="682"/>
        <item m="1" x="833"/>
        <item m="1" x="864"/>
        <item m="1" x="547"/>
        <item m="1" x="894"/>
        <item m="1" x="706"/>
        <item m="1" x="876"/>
        <item m="1" x="880"/>
        <item x="127"/>
        <item m="1" x="208"/>
        <item m="1" x="296"/>
        <item m="1" x="545"/>
        <item x="128"/>
        <item m="1" x="1060"/>
        <item x="129"/>
        <item m="1" x="683"/>
        <item m="1" x="550"/>
        <item m="1" x="1036"/>
        <item x="130"/>
        <item x="131"/>
        <item m="1" x="301"/>
        <item x="132"/>
        <item x="133"/>
        <item x="134"/>
        <item m="1" x="687"/>
        <item m="1" x="521"/>
        <item m="1" x="816"/>
        <item m="1" x="653"/>
        <item m="1" x="688"/>
        <item m="1" x="308"/>
        <item m="1" x="423"/>
        <item m="1" x="479"/>
        <item m="1" x="586"/>
        <item m="1" x="853"/>
        <item x="135"/>
        <item m="1" x="235"/>
        <item m="1" x="920"/>
        <item m="1" x="841"/>
        <item m="1" x="242"/>
        <item m="1" x="927"/>
        <item m="1" x="839"/>
        <item m="1" x="488"/>
        <item m="1" x="417"/>
        <item m="1" x="789"/>
        <item m="1" x="567"/>
        <item m="1" x="852"/>
        <item m="1" x="676"/>
        <item x="136"/>
        <item x="137"/>
        <item m="1" x="854"/>
        <item m="1" x="298"/>
        <item m="1" x="904"/>
        <item m="1" x="823"/>
        <item m="1" x="1062"/>
        <item m="1" x="368"/>
        <item m="1" x="280"/>
        <item m="1" x="985"/>
        <item m="1" x="907"/>
        <item m="1" x="779"/>
        <item m="1" x="762"/>
        <item m="1" x="859"/>
        <item x="141"/>
        <item x="142"/>
        <item m="1" x="209"/>
        <item m="1" x="495"/>
        <item m="1" x="1038"/>
        <item x="143"/>
        <item x="144"/>
        <item m="1" x="512"/>
        <item x="145"/>
        <item x="146"/>
        <item m="1" x="339"/>
        <item m="1" x="753"/>
        <item m="1" x="685"/>
        <item m="1" x="749"/>
        <item m="1" x="765"/>
        <item m="1" x="574"/>
        <item m="1" x="233"/>
        <item m="1" x="614"/>
        <item m="1" x="1034"/>
        <item m="1" x="801"/>
        <item m="1" x="1040"/>
        <item m="1" x="1031"/>
        <item m="1" x="1032"/>
        <item m="1" x="862"/>
        <item m="1" x="1033"/>
        <item m="1" x="818"/>
        <item m="1" x="938"/>
        <item m="1" x="215"/>
        <item m="1" x="726"/>
        <item m="1" x="1058"/>
        <item m="1" x="1017"/>
        <item m="1" x="717"/>
        <item m="1" x="564"/>
        <item m="1" x="485"/>
        <item m="1" x="395"/>
        <item m="1" x="247"/>
        <item m="1" x="996"/>
        <item m="1" x="551"/>
        <item m="1" x="569"/>
        <item m="1" x="777"/>
        <item m="1" x="1066"/>
        <item m="1" x="995"/>
        <item m="1" x="619"/>
        <item m="1" x="911"/>
        <item m="1" x="278"/>
        <item m="1" x="449"/>
        <item x="147"/>
        <item m="1" x="696"/>
        <item m="1" x="1004"/>
        <item m="1" x="1028"/>
        <item m="1" x="1005"/>
        <item m="1" x="725"/>
        <item m="1" x="652"/>
        <item m="1" x="520"/>
        <item m="1" x="440"/>
        <item m="1" x="393"/>
        <item m="1" x="245"/>
        <item m="1" x="391"/>
        <item m="1" x="221"/>
        <item m="1" x="206"/>
        <item m="1" x="851"/>
        <item m="1" x="408"/>
        <item m="1" x="623"/>
        <item m="1" x="410"/>
        <item m="1" x="557"/>
        <item m="1" x="259"/>
        <item m="1" x="350"/>
        <item m="1" x="781"/>
        <item m="1" x="965"/>
        <item m="1" x="340"/>
        <item m="1" x="508"/>
        <item m="1" x="1054"/>
        <item m="1" x="522"/>
        <item m="1" x="448"/>
        <item m="1" x="791"/>
        <item m="1" x="756"/>
        <item x="148"/>
        <item m="1" x="306"/>
        <item x="194"/>
        <item m="1" x="638"/>
        <item m="1" x="307"/>
        <item m="1" x="845"/>
        <item m="1" x="343"/>
        <item m="1" x="836"/>
        <item m="1" x="616"/>
        <item m="1" x="856"/>
        <item m="1" x="446"/>
        <item x="149"/>
        <item x="150"/>
        <item m="1" x="293"/>
        <item m="1" x="807"/>
        <item x="153"/>
        <item m="1" x="1019"/>
        <item m="1" x="1016"/>
        <item m="1" x="954"/>
        <item m="1" x="892"/>
        <item m="1" x="447"/>
        <item x="154"/>
        <item x="155"/>
        <item x="156"/>
        <item m="1" x="936"/>
        <item m="1" x="786"/>
        <item m="1" x="694"/>
        <item m="1" x="496"/>
        <item m="1" x="585"/>
        <item m="1" x="897"/>
        <item m="1" x="790"/>
        <item m="1" x="723"/>
        <item m="1" x="581"/>
        <item m="1" x="1064"/>
        <item m="1" x="1049"/>
        <item x="157"/>
        <item m="1" x="626"/>
        <item m="1" x="249"/>
        <item m="1" x="865"/>
        <item m="1" x="883"/>
        <item m="1" x="884"/>
        <item m="1" x="957"/>
        <item m="1" x="316"/>
        <item m="1" x="613"/>
        <item m="1" x="425"/>
        <item m="1" x="426"/>
        <item m="1" x="1026"/>
        <item m="1" x="970"/>
        <item m="1" x="629"/>
        <item m="1" x="952"/>
        <item m="1" x="609"/>
        <item m="1" x="1012"/>
        <item m="1" x="610"/>
        <item m="1" x="947"/>
        <item m="1" x="537"/>
        <item m="1" x="825"/>
        <item m="1" x="732"/>
        <item m="1" x="902"/>
        <item m="1" x="254"/>
        <item m="1" x="468"/>
        <item m="1" x="274"/>
        <item m="1" x="728"/>
        <item m="1" x="667"/>
        <item m="1" x="699"/>
        <item x="195"/>
        <item m="1" x="433"/>
        <item m="1" x="573"/>
        <item m="1" x="364"/>
        <item m="1" x="348"/>
        <item m="1" x="906"/>
        <item m="1" x="441"/>
        <item m="1" x="429"/>
        <item m="1" x="900"/>
        <item m="1" x="416"/>
        <item m="1" x="908"/>
        <item m="1" x="458"/>
        <item m="1" x="213"/>
        <item m="1" x="981"/>
        <item m="1" x="657"/>
        <item m="1" x="834"/>
        <item m="1" x="709"/>
        <item m="1" x="601"/>
        <item m="1" x="459"/>
        <item m="1" x="583"/>
        <item m="1" x="661"/>
        <item m="1" x="538"/>
        <item m="1" x="381"/>
        <item m="1" x="1024"/>
        <item m="1" x="359"/>
        <item m="1" x="464"/>
        <item m="1" x="977"/>
        <item m="1" x="554"/>
        <item m="1" x="525"/>
        <item m="1" x="889"/>
        <item m="1" x="632"/>
        <item m="1" x="372"/>
        <item m="1" x="813"/>
        <item m="1" x="560"/>
        <item m="1" x="578"/>
        <item m="1" x="572"/>
        <item m="1" x="224"/>
        <item m="1" x="624"/>
        <item m="1" x="428"/>
        <item m="1" x="319"/>
        <item m="1" x="1051"/>
        <item m="1" x="618"/>
        <item m="1" x="322"/>
        <item m="1" x="910"/>
        <item m="1" x="576"/>
        <item m="1" x="604"/>
        <item m="1" x="243"/>
        <item m="1" x="347"/>
        <item m="1" x="857"/>
        <item m="1" x="546"/>
        <item m="1" x="660"/>
        <item m="1" x="252"/>
        <item m="1" x="646"/>
        <item m="1" x="776"/>
        <item m="1" x="349"/>
        <item m="1" x="455"/>
        <item m="1" x="367"/>
        <item m="1" x="474"/>
        <item m="1" x="462"/>
        <item m="1" x="300"/>
        <item m="1" x="967"/>
        <item m="1" x="835"/>
        <item m="1" x="628"/>
        <item m="1" x="231"/>
        <item m="1" x="729"/>
        <item m="1" x="931"/>
        <item m="1" x="815"/>
        <item m="1" x="562"/>
        <item m="1" x="596"/>
        <item m="1" x="745"/>
        <item m="1" x="378"/>
        <item m="1" x="869"/>
        <item m="1" x="666"/>
        <item m="1" x="580"/>
        <item m="1" x="814"/>
        <item m="1" x="782"/>
        <item m="1" x="752"/>
        <item m="1" x="720"/>
        <item m="1" x="946"/>
        <item m="1" x="734"/>
        <item m="1" x="238"/>
        <item m="1" x="225"/>
        <item m="1" x="370"/>
        <item m="1" x="748"/>
        <item m="1" x="411"/>
        <item m="1" x="733"/>
        <item m="1" x="926"/>
        <item m="1" x="432"/>
        <item m="1" x="379"/>
        <item m="1" x="735"/>
        <item m="1" x="708"/>
        <item m="1" x="473"/>
        <item m="1" x="469"/>
        <item m="1" x="925"/>
        <item m="1" x="500"/>
        <item m="1" x="802"/>
        <item m="1" x="730"/>
        <item m="1" x="953"/>
        <item m="1" x="987"/>
        <item m="1" x="281"/>
        <item m="1" x="1037"/>
        <item m="1" x="679"/>
        <item m="1" x="516"/>
        <item m="1" x="893"/>
        <item m="1" x="292"/>
        <item m="1" x="959"/>
        <item m="1" x="810"/>
        <item m="1" x="513"/>
        <item m="1" x="489"/>
        <item m="1" x="470"/>
        <item m="1" x="529"/>
        <item m="1" x="871"/>
        <item m="1" x="466"/>
        <item m="1" x="219"/>
        <item m="1" x="961"/>
        <item m="1" x="887"/>
        <item m="1" x="644"/>
        <item m="1" x="556"/>
        <item m="1" x="921"/>
        <item m="1" x="621"/>
        <item m="1" x="590"/>
        <item m="1" x="302"/>
        <item m="1" x="539"/>
        <item m="1" x="665"/>
        <item m="1" x="637"/>
        <item m="1" x="643"/>
        <item m="1" x="230"/>
        <item m="1" x="313"/>
        <item m="1" x="454"/>
        <item m="1" x="377"/>
        <item m="1" x="885"/>
        <item m="1" x="888"/>
        <item m="1" x="826"/>
        <item m="1" x="847"/>
        <item m="1" x="442"/>
        <item m="1" x="1048"/>
        <item m="1" x="568"/>
        <item m="1" x="282"/>
        <item m="1" x="875"/>
        <item m="1" x="552"/>
        <item m="1" x="475"/>
        <item m="1" x="399"/>
        <item m="1" x="228"/>
        <item m="1" x="205"/>
        <item x="22"/>
        <item m="1" x="439"/>
        <item m="1" x="773"/>
        <item m="1" x="244"/>
        <item m="1" x="820"/>
        <item m="1" x="794"/>
        <item m="1" x="248"/>
        <item m="1" x="625"/>
        <item m="1" x="905"/>
        <item m="1" x="599"/>
        <item m="1" x="1000"/>
        <item m="1" x="848"/>
        <item m="1" x="945"/>
        <item m="1" x="645"/>
        <item m="1" x="258"/>
        <item m="1" x="922"/>
        <item m="1" x="805"/>
        <item m="1" x="830"/>
        <item m="1" x="413"/>
        <item m="1" x="559"/>
        <item m="1" x="860"/>
        <item m="1" x="531"/>
        <item m="1" x="903"/>
        <item m="1" x="357"/>
        <item m="1" x="700"/>
        <item m="1" x="457"/>
        <item m="1" x="295"/>
        <item m="1" x="768"/>
        <item m="1" x="787"/>
        <item m="1" x="606"/>
        <item m="1" x="677"/>
        <item m="1" x="678"/>
        <item m="1" x="672"/>
        <item m="1" x="951"/>
        <item m="1" x="369"/>
        <item m="1" x="963"/>
        <item m="1" x="1022"/>
        <item m="1" x="334"/>
        <item m="1" x="264"/>
        <item m="1" x="331"/>
        <item m="1" x="751"/>
        <item m="1" x="721"/>
        <item m="1" x="392"/>
        <item m="1" x="968"/>
        <item m="1" x="808"/>
        <item m="1" x="218"/>
        <item m="1" x="323"/>
        <item m="1" x="924"/>
        <item m="1" x="563"/>
        <item m="1" x="811"/>
        <item m="1" x="793"/>
        <item m="1" x="775"/>
        <item m="1" x="656"/>
        <item m="1" x="548"/>
        <item m="1" x="523"/>
        <item m="1" x="241"/>
        <item m="1" x="351"/>
        <item m="1" x="937"/>
        <item m="1" x="1001"/>
        <item m="1" x="705"/>
        <item m="1" x="1044"/>
        <item m="1" x="273"/>
        <item m="1" x="744"/>
        <item m="1" x="803"/>
        <item m="1" x="993"/>
        <item m="1" x="878"/>
        <item m="1" x="827"/>
        <item m="1" x="1010"/>
        <item m="1" x="780"/>
        <item m="1" x="675"/>
        <item m="1" x="337"/>
        <item m="1" x="711"/>
        <item m="1" x="899"/>
        <item m="1" x="1067"/>
        <item m="1" x="855"/>
        <item m="1" x="482"/>
        <item m="1" x="718"/>
        <item m="1" x="1039"/>
        <item m="1" x="662"/>
        <item m="1" x="528"/>
        <item m="1" x="649"/>
        <item m="1" x="558"/>
        <item m="1" x="1002"/>
        <item m="1" x="669"/>
        <item m="1" x="976"/>
        <item m="1" x="736"/>
        <item m="1" x="434"/>
        <item m="1" x="312"/>
        <item m="1" x="217"/>
        <item m="1" x="983"/>
        <item m="1" x="236"/>
        <item m="1" x="648"/>
        <item m="1" x="321"/>
        <item m="1" x="971"/>
        <item m="1" x="1046"/>
        <item m="1" x="714"/>
        <item m="1" x="960"/>
        <item m="1" x="1035"/>
        <item m="1" x="671"/>
        <item m="1" x="949"/>
        <item m="1" x="342"/>
        <item m="1" x="919"/>
        <item m="1" x="229"/>
        <item m="1" x="766"/>
        <item m="1" x="480"/>
        <item m="1" x="540"/>
        <item m="1" x="1042"/>
        <item m="1" x="898"/>
        <item x="31"/>
        <item x="160"/>
        <item m="1" x="311"/>
        <item m="1" x="690"/>
        <item m="1" x="849"/>
        <item m="1" x="634"/>
        <item m="1" x="1059"/>
        <item m="1" x="758"/>
        <item m="1" x="972"/>
        <item x="1"/>
        <item x="121"/>
        <item x="113"/>
        <item m="1" x="1009"/>
        <item m="1" x="315"/>
        <item m="1" x="913"/>
        <item m="1" x="737"/>
        <item m="1" x="352"/>
        <item m="1" x="989"/>
        <item m="1" x="511"/>
        <item m="1" x="804"/>
        <item m="1" x="240"/>
        <item m="1" x="437"/>
        <item m="1" x="494"/>
        <item m="1" x="693"/>
        <item m="1" x="923"/>
        <item m="1" x="527"/>
        <item m="1" x="549"/>
        <item x="87"/>
        <item x="126"/>
        <item m="1" x="707"/>
        <item m="1" x="642"/>
        <item m="1" x="265"/>
        <item m="1" x="633"/>
        <item m="1" x="355"/>
        <item m="1" x="750"/>
        <item m="1" x="234"/>
        <item m="1" x="1030"/>
        <item m="1" x="828"/>
        <item m="1" x="553"/>
        <item m="1" x="1025"/>
        <item m="1" x="964"/>
        <item x="95"/>
        <item m="1" x="438"/>
        <item m="1" x="727"/>
        <item x="164"/>
        <item x="193"/>
        <item m="1" x="882"/>
        <item m="1" x="226"/>
        <item x="11"/>
        <item x="178"/>
        <item x="163"/>
        <item x="170"/>
        <item x="93"/>
        <item x="102"/>
        <item x="152"/>
        <item x="151"/>
        <item x="54"/>
        <item x="116"/>
        <item x="158"/>
        <item x="50"/>
        <item x="17"/>
        <item x="18"/>
        <item x="101"/>
        <item m="1" x="691"/>
        <item m="1" x="704"/>
        <item x="196"/>
        <item x="200"/>
        <item x="88"/>
        <item x="139"/>
        <item x="140"/>
        <item x="159"/>
        <item x="162"/>
        <item x="79"/>
        <item x="0"/>
        <item x="9"/>
        <item x="15"/>
        <item x="138"/>
        <item x="81"/>
        <item x="27"/>
        <item x="85"/>
        <item x="89"/>
        <item x="91"/>
        <item x="123"/>
        <item x="97"/>
        <item x="92"/>
        <item x="197"/>
        <item x="198"/>
        <item x="199"/>
        <item x="201"/>
        <item x="202"/>
        <item x="203"/>
        <item x="180"/>
        <item x="166"/>
        <item x="68"/>
        <item t="default"/>
      </items>
    </pivotField>
    <pivotField compact="0" outline="0" showAll="0"/>
    <pivotField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6">
        <item x="1"/>
        <item x="0"/>
        <item m="1" x="4"/>
        <item m="1" x="3"/>
        <item m="1" x="2"/>
        <item t="default"/>
      </items>
    </pivotField>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787">
    <i>
      <x v="3"/>
      <x v="22"/>
    </i>
    <i t="default">
      <x v="3"/>
    </i>
    <i>
      <x v="4"/>
      <x v="22"/>
    </i>
    <i r="1">
      <x v="23"/>
    </i>
    <i r="1">
      <x v="24"/>
    </i>
    <i t="default">
      <x v="4"/>
    </i>
    <i>
      <x v="5"/>
      <x v="22"/>
    </i>
    <i r="1">
      <x v="23"/>
    </i>
    <i r="1">
      <x v="24"/>
    </i>
    <i t="default">
      <x v="5"/>
    </i>
    <i>
      <x v="6"/>
      <x v="22"/>
    </i>
    <i r="1">
      <x v="23"/>
    </i>
    <i r="1">
      <x v="24"/>
    </i>
    <i t="default">
      <x v="6"/>
    </i>
    <i>
      <x v="7"/>
      <x v="22"/>
    </i>
    <i r="1">
      <x v="23"/>
    </i>
    <i r="1">
      <x v="24"/>
    </i>
    <i t="default">
      <x v="7"/>
    </i>
    <i>
      <x v="37"/>
      <x v="22"/>
    </i>
    <i r="1">
      <x v="23"/>
    </i>
    <i r="1">
      <x v="24"/>
    </i>
    <i t="default">
      <x v="37"/>
    </i>
    <i>
      <x v="47"/>
      <x v="22"/>
    </i>
    <i r="1">
      <x v="23"/>
    </i>
    <i r="1">
      <x v="24"/>
    </i>
    <i t="default">
      <x v="47"/>
    </i>
    <i>
      <x v="61"/>
      <x v="22"/>
    </i>
    <i r="1">
      <x v="23"/>
    </i>
    <i r="1">
      <x v="24"/>
    </i>
    <i t="default">
      <x v="61"/>
    </i>
    <i>
      <x v="65"/>
      <x v="22"/>
    </i>
    <i r="1">
      <x v="23"/>
    </i>
    <i r="1">
      <x v="24"/>
    </i>
    <i t="default">
      <x v="65"/>
    </i>
    <i>
      <x v="72"/>
      <x v="22"/>
    </i>
    <i r="1">
      <x v="23"/>
    </i>
    <i r="1">
      <x v="24"/>
    </i>
    <i t="default">
      <x v="72"/>
    </i>
    <i>
      <x v="77"/>
      <x v="22"/>
    </i>
    <i r="1">
      <x v="23"/>
    </i>
    <i r="1">
      <x v="24"/>
    </i>
    <i t="default">
      <x v="77"/>
    </i>
    <i>
      <x v="90"/>
      <x v="22"/>
    </i>
    <i r="1">
      <x v="23"/>
    </i>
    <i r="1">
      <x v="24"/>
    </i>
    <i t="default">
      <x v="90"/>
    </i>
    <i>
      <x v="97"/>
      <x v="22"/>
    </i>
    <i r="1">
      <x v="23"/>
    </i>
    <i r="1">
      <x v="24"/>
    </i>
    <i t="default">
      <x v="97"/>
    </i>
    <i>
      <x v="99"/>
      <x v="22"/>
    </i>
    <i r="1">
      <x v="23"/>
    </i>
    <i r="1">
      <x v="24"/>
    </i>
    <i t="default">
      <x v="99"/>
    </i>
    <i>
      <x v="100"/>
      <x v="22"/>
    </i>
    <i r="1">
      <x v="23"/>
    </i>
    <i r="1">
      <x v="24"/>
    </i>
    <i t="default">
      <x v="100"/>
    </i>
    <i>
      <x v="103"/>
      <x v="22"/>
    </i>
    <i r="1">
      <x v="23"/>
    </i>
    <i r="1">
      <x v="24"/>
    </i>
    <i t="default">
      <x v="103"/>
    </i>
    <i>
      <x v="120"/>
      <x v="22"/>
    </i>
    <i r="1">
      <x v="23"/>
    </i>
    <i r="1">
      <x v="24"/>
    </i>
    <i t="default">
      <x v="120"/>
    </i>
    <i>
      <x v="121"/>
      <x v="22"/>
    </i>
    <i r="1">
      <x v="23"/>
    </i>
    <i r="1">
      <x v="24"/>
    </i>
    <i t="default">
      <x v="121"/>
    </i>
    <i>
      <x v="122"/>
      <x v="22"/>
    </i>
    <i r="1">
      <x v="23"/>
    </i>
    <i r="1">
      <x v="24"/>
    </i>
    <i t="default">
      <x v="122"/>
    </i>
    <i>
      <x v="126"/>
      <x v="22"/>
    </i>
    <i r="1">
      <x v="23"/>
    </i>
    <i r="1">
      <x v="24"/>
    </i>
    <i t="default">
      <x v="126"/>
    </i>
    <i>
      <x v="131"/>
      <x v="22"/>
    </i>
    <i r="1">
      <x v="23"/>
    </i>
    <i r="1">
      <x v="24"/>
    </i>
    <i t="default">
      <x v="131"/>
    </i>
    <i>
      <x v="133"/>
      <x v="22"/>
    </i>
    <i r="1">
      <x v="23"/>
    </i>
    <i r="1">
      <x v="24"/>
    </i>
    <i t="default">
      <x v="133"/>
    </i>
    <i>
      <x v="137"/>
      <x v="22"/>
    </i>
    <i r="1">
      <x v="23"/>
    </i>
    <i r="1">
      <x v="24"/>
    </i>
    <i t="default">
      <x v="137"/>
    </i>
    <i>
      <x v="139"/>
      <x v="22"/>
    </i>
    <i r="1">
      <x v="23"/>
    </i>
    <i r="1">
      <x v="24"/>
    </i>
    <i t="default">
      <x v="139"/>
    </i>
    <i>
      <x v="141"/>
      <x v="22"/>
    </i>
    <i r="1">
      <x v="23"/>
    </i>
    <i r="1">
      <x v="24"/>
    </i>
    <i t="default">
      <x v="141"/>
    </i>
    <i>
      <x v="142"/>
      <x v="22"/>
    </i>
    <i r="1">
      <x v="23"/>
    </i>
    <i r="1">
      <x v="24"/>
    </i>
    <i t="default">
      <x v="142"/>
    </i>
    <i>
      <x v="143"/>
      <x v="22"/>
    </i>
    <i r="1">
      <x v="23"/>
    </i>
    <i r="1">
      <x v="24"/>
    </i>
    <i t="default">
      <x v="143"/>
    </i>
    <i>
      <x v="152"/>
      <x v="22"/>
    </i>
    <i r="1">
      <x v="23"/>
    </i>
    <i r="1">
      <x v="24"/>
    </i>
    <i t="default">
      <x v="152"/>
    </i>
    <i>
      <x v="153"/>
      <x v="22"/>
    </i>
    <i r="1">
      <x v="23"/>
    </i>
    <i r="1">
      <x v="24"/>
    </i>
    <i t="default">
      <x v="153"/>
    </i>
    <i>
      <x v="154"/>
      <x v="22"/>
    </i>
    <i r="1">
      <x v="23"/>
    </i>
    <i r="1">
      <x v="24"/>
    </i>
    <i t="default">
      <x v="154"/>
    </i>
    <i>
      <x v="155"/>
      <x v="22"/>
    </i>
    <i r="1">
      <x v="23"/>
    </i>
    <i r="1">
      <x v="24"/>
    </i>
    <i t="default">
      <x v="155"/>
    </i>
    <i>
      <x v="157"/>
      <x v="22"/>
    </i>
    <i r="1">
      <x v="23"/>
    </i>
    <i r="1">
      <x v="24"/>
    </i>
    <i t="default">
      <x v="157"/>
    </i>
    <i>
      <x v="163"/>
      <x v="22"/>
    </i>
    <i r="1">
      <x v="23"/>
    </i>
    <i r="1">
      <x v="24"/>
    </i>
    <i t="default">
      <x v="163"/>
    </i>
    <i>
      <x v="180"/>
      <x v="22"/>
    </i>
    <i r="1">
      <x v="23"/>
    </i>
    <i r="1">
      <x v="24"/>
    </i>
    <i t="default">
      <x v="180"/>
    </i>
    <i>
      <x v="187"/>
      <x v="22"/>
    </i>
    <i r="1">
      <x v="23"/>
    </i>
    <i r="1">
      <x v="24"/>
    </i>
    <i t="default">
      <x v="187"/>
    </i>
    <i>
      <x v="201"/>
      <x v="22"/>
    </i>
    <i r="1">
      <x v="23"/>
    </i>
    <i r="1">
      <x v="24"/>
    </i>
    <i t="default">
      <x v="201"/>
    </i>
    <i>
      <x v="202"/>
      <x v="22"/>
    </i>
    <i r="1">
      <x v="23"/>
    </i>
    <i r="1">
      <x v="24"/>
    </i>
    <i t="default">
      <x v="202"/>
    </i>
    <i>
      <x v="235"/>
      <x v="22"/>
    </i>
    <i r="1">
      <x v="23"/>
    </i>
    <i r="1">
      <x v="24"/>
    </i>
    <i t="default">
      <x v="235"/>
    </i>
    <i>
      <x v="238"/>
      <x v="22"/>
    </i>
    <i r="1">
      <x v="23"/>
    </i>
    <i r="1">
      <x v="24"/>
    </i>
    <i t="default">
      <x v="238"/>
    </i>
    <i>
      <x v="244"/>
      <x v="22"/>
    </i>
    <i r="1">
      <x v="23"/>
    </i>
    <i r="1">
      <x v="24"/>
    </i>
    <i t="default">
      <x v="244"/>
    </i>
    <i>
      <x v="250"/>
      <x v="22"/>
    </i>
    <i r="1">
      <x v="23"/>
    </i>
    <i r="1">
      <x v="24"/>
    </i>
    <i t="default">
      <x v="250"/>
    </i>
    <i>
      <x v="255"/>
      <x v="22"/>
    </i>
    <i t="default">
      <x v="255"/>
    </i>
    <i>
      <x v="257"/>
      <x v="22"/>
    </i>
    <i r="1">
      <x v="23"/>
    </i>
    <i r="1">
      <x v="24"/>
    </i>
    <i t="default">
      <x v="257"/>
    </i>
    <i>
      <x v="259"/>
      <x v="22"/>
    </i>
    <i r="1">
      <x v="23"/>
    </i>
    <i r="1">
      <x v="24"/>
    </i>
    <i t="default">
      <x v="259"/>
    </i>
    <i>
      <x v="260"/>
      <x v="22"/>
    </i>
    <i r="1">
      <x v="23"/>
    </i>
    <i r="1">
      <x v="24"/>
    </i>
    <i t="default">
      <x v="260"/>
    </i>
    <i>
      <x v="269"/>
      <x v="22"/>
    </i>
    <i r="1">
      <x v="23"/>
    </i>
    <i r="1">
      <x v="24"/>
    </i>
    <i t="default">
      <x v="269"/>
    </i>
    <i>
      <x v="272"/>
      <x v="22"/>
    </i>
    <i r="1">
      <x v="23"/>
    </i>
    <i r="1">
      <x v="24"/>
    </i>
    <i t="default">
      <x v="272"/>
    </i>
    <i>
      <x v="273"/>
      <x v="22"/>
    </i>
    <i r="1">
      <x v="23"/>
    </i>
    <i r="1">
      <x v="24"/>
    </i>
    <i t="default">
      <x v="273"/>
    </i>
    <i>
      <x v="274"/>
      <x v="22"/>
    </i>
    <i r="1">
      <x v="23"/>
    </i>
    <i r="1">
      <x v="24"/>
    </i>
    <i t="default">
      <x v="274"/>
    </i>
    <i>
      <x v="275"/>
      <x v="22"/>
    </i>
    <i r="1">
      <x v="23"/>
    </i>
    <i r="1">
      <x v="24"/>
    </i>
    <i t="default">
      <x v="275"/>
    </i>
    <i>
      <x v="276"/>
      <x v="22"/>
    </i>
    <i r="1">
      <x v="23"/>
    </i>
    <i r="1">
      <x v="24"/>
    </i>
    <i t="default">
      <x v="276"/>
    </i>
    <i>
      <x v="277"/>
      <x v="22"/>
    </i>
    <i r="1">
      <x v="23"/>
    </i>
    <i r="1">
      <x v="24"/>
    </i>
    <i t="default">
      <x v="277"/>
    </i>
    <i>
      <x v="278"/>
      <x v="22"/>
    </i>
    <i r="1">
      <x v="23"/>
    </i>
    <i r="1">
      <x v="24"/>
    </i>
    <i t="default">
      <x v="278"/>
    </i>
    <i>
      <x v="279"/>
      <x v="22"/>
    </i>
    <i r="1">
      <x v="23"/>
    </i>
    <i r="1">
      <x v="24"/>
    </i>
    <i t="default">
      <x v="279"/>
    </i>
    <i>
      <x v="283"/>
      <x v="22"/>
    </i>
    <i t="default">
      <x v="283"/>
    </i>
    <i>
      <x v="284"/>
      <x v="22"/>
    </i>
    <i r="1">
      <x v="23"/>
    </i>
    <i t="default">
      <x v="284"/>
    </i>
    <i>
      <x v="286"/>
      <x v="22"/>
    </i>
    <i r="1">
      <x v="23"/>
    </i>
    <i r="1">
      <x v="24"/>
    </i>
    <i t="default">
      <x v="286"/>
    </i>
    <i>
      <x v="289"/>
      <x v="22"/>
    </i>
    <i r="1">
      <x v="23"/>
    </i>
    <i r="1">
      <x v="24"/>
    </i>
    <i t="default">
      <x v="289"/>
    </i>
    <i>
      <x v="290"/>
      <x v="22"/>
    </i>
    <i r="1">
      <x v="23"/>
    </i>
    <i r="1">
      <x v="24"/>
    </i>
    <i t="default">
      <x v="290"/>
    </i>
    <i>
      <x v="291"/>
      <x v="22"/>
    </i>
    <i r="1">
      <x v="23"/>
    </i>
    <i r="1">
      <x v="24"/>
    </i>
    <i t="default">
      <x v="291"/>
    </i>
    <i>
      <x v="293"/>
      <x v="22"/>
    </i>
    <i r="1">
      <x v="23"/>
    </i>
    <i r="1">
      <x v="24"/>
    </i>
    <i t="default">
      <x v="293"/>
    </i>
    <i>
      <x v="294"/>
      <x v="22"/>
    </i>
    <i r="1">
      <x v="23"/>
    </i>
    <i r="1">
      <x v="24"/>
    </i>
    <i t="default">
      <x v="294"/>
    </i>
    <i>
      <x v="295"/>
      <x v="22"/>
    </i>
    <i r="1">
      <x v="23"/>
    </i>
    <i r="1">
      <x v="24"/>
    </i>
    <i t="default">
      <x v="295"/>
    </i>
    <i>
      <x v="296"/>
      <x v="22"/>
    </i>
    <i r="1">
      <x v="23"/>
    </i>
    <i r="1">
      <x v="24"/>
    </i>
    <i t="default">
      <x v="296"/>
    </i>
    <i>
      <x v="297"/>
      <x v="22"/>
    </i>
    <i r="1">
      <x v="23"/>
    </i>
    <i r="1">
      <x v="24"/>
    </i>
    <i t="default">
      <x v="297"/>
    </i>
    <i>
      <x v="298"/>
      <x v="22"/>
    </i>
    <i r="1">
      <x v="23"/>
    </i>
    <i r="1">
      <x v="24"/>
    </i>
    <i t="default">
      <x v="298"/>
    </i>
    <i>
      <x v="300"/>
      <x v="22"/>
    </i>
    <i r="1">
      <x v="23"/>
    </i>
    <i r="1">
      <x v="24"/>
    </i>
    <i t="default">
      <x v="300"/>
    </i>
    <i>
      <x v="301"/>
      <x v="22"/>
    </i>
    <i r="1">
      <x v="23"/>
    </i>
    <i r="1">
      <x v="24"/>
    </i>
    <i t="default">
      <x v="301"/>
    </i>
    <i>
      <x v="302"/>
      <x v="22"/>
    </i>
    <i r="1">
      <x v="23"/>
    </i>
    <i r="1">
      <x v="24"/>
    </i>
    <i t="default">
      <x v="302"/>
    </i>
    <i>
      <x v="303"/>
      <x v="22"/>
    </i>
    <i r="1">
      <x v="23"/>
    </i>
    <i r="1">
      <x v="24"/>
    </i>
    <i t="default">
      <x v="303"/>
    </i>
    <i>
      <x v="304"/>
      <x v="22"/>
    </i>
    <i r="1">
      <x v="23"/>
    </i>
    <i r="1">
      <x v="24"/>
    </i>
    <i t="default">
      <x v="304"/>
    </i>
    <i>
      <x v="305"/>
      <x v="22"/>
    </i>
    <i r="1">
      <x v="23"/>
    </i>
    <i r="1">
      <x v="24"/>
    </i>
    <i t="default">
      <x v="305"/>
    </i>
    <i>
      <x v="307"/>
      <x v="22"/>
    </i>
    <i r="1">
      <x v="23"/>
    </i>
    <i r="1">
      <x v="24"/>
    </i>
    <i t="default">
      <x v="307"/>
    </i>
    <i>
      <x v="308"/>
      <x v="22"/>
    </i>
    <i r="1">
      <x v="23"/>
    </i>
    <i r="1">
      <x v="24"/>
    </i>
    <i t="default">
      <x v="308"/>
    </i>
    <i>
      <x v="309"/>
      <x v="22"/>
    </i>
    <i r="1">
      <x v="23"/>
    </i>
    <i r="1">
      <x v="24"/>
    </i>
    <i t="default">
      <x v="309"/>
    </i>
    <i>
      <x v="310"/>
      <x v="22"/>
    </i>
    <i r="1">
      <x v="23"/>
    </i>
    <i r="1">
      <x v="24"/>
    </i>
    <i t="default">
      <x v="310"/>
    </i>
    <i>
      <x v="314"/>
      <x v="22"/>
    </i>
    <i r="1">
      <x v="23"/>
    </i>
    <i r="1">
      <x v="24"/>
    </i>
    <i t="default">
      <x v="314"/>
    </i>
    <i>
      <x v="315"/>
      <x v="22"/>
    </i>
    <i r="1">
      <x v="23"/>
    </i>
    <i r="1">
      <x v="24"/>
    </i>
    <i t="default">
      <x v="315"/>
    </i>
    <i>
      <x v="317"/>
      <x v="22"/>
    </i>
    <i r="1">
      <x v="23"/>
    </i>
    <i r="1">
      <x v="24"/>
    </i>
    <i t="default">
      <x v="317"/>
    </i>
    <i>
      <x v="323"/>
      <x v="22"/>
    </i>
    <i r="1">
      <x v="23"/>
    </i>
    <i r="1">
      <x v="24"/>
    </i>
    <i t="default">
      <x v="323"/>
    </i>
    <i>
      <x v="324"/>
      <x v="22"/>
    </i>
    <i r="1">
      <x v="23"/>
    </i>
    <i r="1">
      <x v="24"/>
    </i>
    <i t="default">
      <x v="324"/>
    </i>
    <i>
      <x v="328"/>
      <x v="22"/>
    </i>
    <i r="1">
      <x v="23"/>
    </i>
    <i r="1">
      <x v="24"/>
    </i>
    <i t="default">
      <x v="328"/>
    </i>
    <i>
      <x v="343"/>
      <x v="22"/>
    </i>
    <i r="1">
      <x v="23"/>
    </i>
    <i r="1">
      <x v="24"/>
    </i>
    <i t="default">
      <x v="343"/>
    </i>
    <i>
      <x v="347"/>
      <x v="22"/>
    </i>
    <i r="1">
      <x v="23"/>
    </i>
    <i r="1">
      <x v="24"/>
    </i>
    <i t="default">
      <x v="347"/>
    </i>
    <i>
      <x v="351"/>
      <x v="22"/>
    </i>
    <i r="1">
      <x v="23"/>
    </i>
    <i r="1">
      <x v="24"/>
    </i>
    <i t="default">
      <x v="351"/>
    </i>
    <i>
      <x v="359"/>
      <x v="22"/>
    </i>
    <i r="1">
      <x v="23"/>
    </i>
    <i r="1">
      <x v="24"/>
    </i>
    <i t="default">
      <x v="359"/>
    </i>
    <i>
      <x v="369"/>
      <x v="22"/>
    </i>
    <i r="1">
      <x v="23"/>
    </i>
    <i r="1">
      <x v="24"/>
    </i>
    <i t="default">
      <x v="369"/>
    </i>
    <i>
      <x v="370"/>
      <x v="22"/>
    </i>
    <i r="1">
      <x v="23"/>
    </i>
    <i r="1">
      <x v="24"/>
    </i>
    <i t="default">
      <x v="370"/>
    </i>
    <i>
      <x v="371"/>
      <x v="22"/>
    </i>
    <i r="1">
      <x v="23"/>
    </i>
    <i r="1">
      <x v="24"/>
    </i>
    <i t="default">
      <x v="371"/>
    </i>
    <i>
      <x v="372"/>
      <x v="22"/>
    </i>
    <i r="1">
      <x v="23"/>
    </i>
    <i r="1">
      <x v="24"/>
    </i>
    <i t="default">
      <x v="372"/>
    </i>
    <i>
      <x v="374"/>
      <x v="22"/>
    </i>
    <i r="1">
      <x v="23"/>
    </i>
    <i r="1">
      <x v="24"/>
    </i>
    <i t="default">
      <x v="374"/>
    </i>
    <i>
      <x v="376"/>
      <x v="22"/>
    </i>
    <i r="1">
      <x v="23"/>
    </i>
    <i r="1">
      <x v="24"/>
    </i>
    <i t="default">
      <x v="376"/>
    </i>
    <i>
      <x v="377"/>
      <x v="22"/>
    </i>
    <i r="1">
      <x v="23"/>
    </i>
    <i r="1">
      <x v="24"/>
    </i>
    <i t="default">
      <x v="377"/>
    </i>
    <i>
      <x v="378"/>
      <x v="22"/>
    </i>
    <i r="1">
      <x v="23"/>
    </i>
    <i r="1">
      <x v="24"/>
    </i>
    <i t="default">
      <x v="378"/>
    </i>
    <i>
      <x v="379"/>
      <x v="22"/>
    </i>
    <i r="1">
      <x v="23"/>
    </i>
    <i r="1">
      <x v="24"/>
    </i>
    <i t="default">
      <x v="379"/>
    </i>
    <i>
      <x v="382"/>
      <x v="22"/>
    </i>
    <i r="1">
      <x v="23"/>
    </i>
    <i r="1">
      <x v="24"/>
    </i>
    <i t="default">
      <x v="382"/>
    </i>
    <i>
      <x v="384"/>
      <x v="22"/>
    </i>
    <i r="1">
      <x v="23"/>
    </i>
    <i r="1">
      <x v="24"/>
    </i>
    <i t="default">
      <x v="384"/>
    </i>
    <i>
      <x v="387"/>
      <x v="22"/>
    </i>
    <i r="1">
      <x v="23"/>
    </i>
    <i r="1">
      <x v="24"/>
    </i>
    <i t="default">
      <x v="387"/>
    </i>
    <i>
      <x v="391"/>
      <x v="22"/>
    </i>
    <i r="1">
      <x v="23"/>
    </i>
    <i r="1">
      <x v="24"/>
    </i>
    <i t="default">
      <x v="391"/>
    </i>
    <i>
      <x v="395"/>
      <x v="22"/>
    </i>
    <i r="1">
      <x v="23"/>
    </i>
    <i r="1">
      <x v="24"/>
    </i>
    <i t="default">
      <x v="395"/>
    </i>
    <i>
      <x v="396"/>
      <x v="22"/>
    </i>
    <i r="1">
      <x v="23"/>
    </i>
    <i r="1">
      <x v="24"/>
    </i>
    <i t="default">
      <x v="396"/>
    </i>
    <i>
      <x v="399"/>
      <x v="22"/>
    </i>
    <i r="1">
      <x v="23"/>
    </i>
    <i r="1">
      <x v="24"/>
    </i>
    <i t="default">
      <x v="399"/>
    </i>
    <i>
      <x v="400"/>
      <x v="22"/>
    </i>
    <i r="1">
      <x v="23"/>
    </i>
    <i r="1">
      <x v="24"/>
    </i>
    <i t="default">
      <x v="400"/>
    </i>
    <i>
      <x v="421"/>
      <x v="22"/>
    </i>
    <i r="1">
      <x v="23"/>
    </i>
    <i r="1">
      <x v="24"/>
    </i>
    <i t="default">
      <x v="421"/>
    </i>
    <i>
      <x v="424"/>
      <x v="22"/>
    </i>
    <i r="1">
      <x v="23"/>
    </i>
    <i r="1">
      <x v="24"/>
    </i>
    <i t="default">
      <x v="424"/>
    </i>
    <i>
      <x v="429"/>
      <x v="22"/>
    </i>
    <i r="1">
      <x v="23"/>
    </i>
    <i r="1">
      <x v="24"/>
    </i>
    <i t="default">
      <x v="429"/>
    </i>
    <i>
      <x v="446"/>
      <x v="22"/>
    </i>
    <i r="1">
      <x v="23"/>
    </i>
    <i r="1">
      <x v="24"/>
    </i>
    <i t="default">
      <x v="446"/>
    </i>
    <i>
      <x v="447"/>
      <x v="22"/>
    </i>
    <i r="1">
      <x v="23"/>
    </i>
    <i r="1">
      <x v="24"/>
    </i>
    <i t="default">
      <x v="447"/>
    </i>
    <i>
      <x v="448"/>
      <x v="22"/>
    </i>
    <i r="1">
      <x v="23"/>
    </i>
    <i r="1">
      <x v="24"/>
    </i>
    <i t="default">
      <x v="448"/>
    </i>
    <i>
      <x v="450"/>
      <x v="22"/>
    </i>
    <i r="1">
      <x v="23"/>
    </i>
    <i r="1">
      <x v="24"/>
    </i>
    <i t="default">
      <x v="450"/>
    </i>
    <i>
      <x v="454"/>
      <x v="22"/>
    </i>
    <i r="1">
      <x v="23"/>
    </i>
    <i r="1">
      <x v="24"/>
    </i>
    <i t="default">
      <x v="454"/>
    </i>
    <i>
      <x v="455"/>
      <x v="22"/>
    </i>
    <i t="default">
      <x v="455"/>
    </i>
    <i>
      <x v="458"/>
      <x v="22"/>
    </i>
    <i r="1">
      <x v="23"/>
    </i>
    <i r="1">
      <x v="24"/>
    </i>
    <i t="default">
      <x v="458"/>
    </i>
    <i>
      <x v="464"/>
      <x v="22"/>
    </i>
    <i r="1">
      <x v="23"/>
    </i>
    <i r="1">
      <x v="24"/>
    </i>
    <i t="default">
      <x v="464"/>
    </i>
    <i>
      <x v="491"/>
      <x v="22"/>
    </i>
    <i r="1">
      <x v="23"/>
    </i>
    <i r="1">
      <x v="24"/>
    </i>
    <i t="default">
      <x v="491"/>
    </i>
    <i>
      <x v="492"/>
      <x v="22"/>
    </i>
    <i r="1">
      <x v="23"/>
    </i>
    <i r="1">
      <x v="24"/>
    </i>
    <i t="default">
      <x v="492"/>
    </i>
    <i>
      <x v="501"/>
      <x v="22"/>
    </i>
    <i r="1">
      <x v="23"/>
    </i>
    <i r="1">
      <x v="24"/>
    </i>
    <i t="default">
      <x v="501"/>
    </i>
    <i>
      <x v="503"/>
      <x v="22"/>
    </i>
    <i r="1">
      <x v="23"/>
    </i>
    <i r="1">
      <x v="24"/>
    </i>
    <i t="default">
      <x v="503"/>
    </i>
    <i>
      <x v="509"/>
      <x v="22"/>
    </i>
    <i r="1">
      <x v="23"/>
    </i>
    <i r="1">
      <x v="24"/>
    </i>
    <i t="default">
      <x v="509"/>
    </i>
    <i>
      <x v="511"/>
      <x v="22"/>
    </i>
    <i r="1">
      <x v="23"/>
    </i>
    <i r="1">
      <x v="24"/>
    </i>
    <i t="default">
      <x v="511"/>
    </i>
    <i>
      <x v="517"/>
      <x v="22"/>
    </i>
    <i r="1">
      <x v="23"/>
    </i>
    <i r="1">
      <x v="24"/>
    </i>
    <i t="default">
      <x v="517"/>
    </i>
    <i>
      <x v="529"/>
      <x v="22"/>
    </i>
    <i r="1">
      <x v="23"/>
    </i>
    <i r="1">
      <x v="24"/>
    </i>
    <i t="default">
      <x v="529"/>
    </i>
    <i>
      <x v="533"/>
      <x v="22"/>
    </i>
    <i r="1">
      <x v="23"/>
    </i>
    <i r="1">
      <x v="24"/>
    </i>
    <i t="default">
      <x v="533"/>
    </i>
    <i>
      <x v="535"/>
      <x v="22"/>
    </i>
    <i r="1">
      <x v="23"/>
    </i>
    <i r="1">
      <x v="24"/>
    </i>
    <i t="default">
      <x v="535"/>
    </i>
    <i>
      <x v="539"/>
      <x v="22"/>
    </i>
    <i r="1">
      <x v="23"/>
    </i>
    <i r="1">
      <x v="24"/>
    </i>
    <i t="default">
      <x v="539"/>
    </i>
    <i>
      <x v="540"/>
      <x v="22"/>
    </i>
    <i r="1">
      <x v="23"/>
    </i>
    <i r="1">
      <x v="24"/>
    </i>
    <i t="default">
      <x v="540"/>
    </i>
    <i>
      <x v="542"/>
      <x v="22"/>
    </i>
    <i r="1">
      <x v="23"/>
    </i>
    <i r="1">
      <x v="24"/>
    </i>
    <i t="default">
      <x v="542"/>
    </i>
    <i>
      <x v="543"/>
      <x v="22"/>
    </i>
    <i r="1">
      <x v="23"/>
    </i>
    <i r="1">
      <x v="24"/>
    </i>
    <i t="default">
      <x v="543"/>
    </i>
    <i>
      <x v="544"/>
      <x v="22"/>
    </i>
    <i r="1">
      <x v="23"/>
    </i>
    <i r="1">
      <x v="24"/>
    </i>
    <i t="default">
      <x v="544"/>
    </i>
    <i>
      <x v="555"/>
      <x v="22"/>
    </i>
    <i r="1">
      <x v="23"/>
    </i>
    <i r="1">
      <x v="24"/>
    </i>
    <i t="default">
      <x v="555"/>
    </i>
    <i>
      <x v="568"/>
      <x v="22"/>
    </i>
    <i r="1">
      <x v="23"/>
    </i>
    <i r="1">
      <x v="24"/>
    </i>
    <i t="default">
      <x v="568"/>
    </i>
    <i>
      <x v="569"/>
      <x v="22"/>
    </i>
    <i r="1">
      <x v="23"/>
    </i>
    <i r="1">
      <x v="24"/>
    </i>
    <i t="default">
      <x v="569"/>
    </i>
    <i>
      <x v="582"/>
      <x v="22"/>
    </i>
    <i r="1">
      <x v="23"/>
    </i>
    <i r="1">
      <x v="24"/>
    </i>
    <i t="default">
      <x v="582"/>
    </i>
    <i>
      <x v="583"/>
      <x v="22"/>
    </i>
    <i r="1">
      <x v="23"/>
    </i>
    <i r="1">
      <x v="24"/>
    </i>
    <i t="default">
      <x v="583"/>
    </i>
    <i>
      <x v="587"/>
      <x v="22"/>
    </i>
    <i r="1">
      <x v="23"/>
    </i>
    <i r="1">
      <x v="24"/>
    </i>
    <i t="default">
      <x v="587"/>
    </i>
    <i>
      <x v="588"/>
      <x v="22"/>
    </i>
    <i r="1">
      <x v="23"/>
    </i>
    <i r="1">
      <x v="24"/>
    </i>
    <i t="default">
      <x v="588"/>
    </i>
    <i>
      <x v="590"/>
      <x v="22"/>
    </i>
    <i r="1">
      <x v="23"/>
    </i>
    <i r="1">
      <x v="24"/>
    </i>
    <i t="default">
      <x v="590"/>
    </i>
    <i>
      <x v="591"/>
      <x v="22"/>
    </i>
    <i r="1">
      <x v="23"/>
    </i>
    <i r="1">
      <x v="24"/>
    </i>
    <i t="default">
      <x v="591"/>
    </i>
    <i>
      <x v="628"/>
      <x v="22"/>
    </i>
    <i r="1">
      <x v="23"/>
    </i>
    <i r="1">
      <x v="24"/>
    </i>
    <i t="default">
      <x v="628"/>
    </i>
    <i>
      <x v="658"/>
      <x v="22"/>
    </i>
    <i r="1">
      <x v="23"/>
    </i>
    <i r="1">
      <x v="24"/>
    </i>
    <i t="default">
      <x v="658"/>
    </i>
    <i>
      <x v="660"/>
      <x v="22"/>
    </i>
    <i r="1">
      <x v="23"/>
    </i>
    <i r="1">
      <x v="24"/>
    </i>
    <i t="default">
      <x v="660"/>
    </i>
    <i>
      <x v="669"/>
      <x v="22"/>
    </i>
    <i r="1">
      <x v="23"/>
    </i>
    <i r="1">
      <x v="24"/>
    </i>
    <i t="default">
      <x v="669"/>
    </i>
    <i>
      <x v="670"/>
      <x v="22"/>
    </i>
    <i r="1">
      <x v="23"/>
    </i>
    <i r="1">
      <x v="24"/>
    </i>
    <i t="default">
      <x v="670"/>
    </i>
    <i>
      <x v="673"/>
      <x v="22"/>
    </i>
    <i r="1">
      <x v="23"/>
    </i>
    <i r="1">
      <x v="24"/>
    </i>
    <i t="default">
      <x v="673"/>
    </i>
    <i>
      <x v="679"/>
      <x v="22"/>
    </i>
    <i r="1">
      <x v="23"/>
    </i>
    <i r="1">
      <x v="24"/>
    </i>
    <i t="default">
      <x v="679"/>
    </i>
    <i>
      <x v="680"/>
      <x v="22"/>
    </i>
    <i r="1">
      <x v="23"/>
    </i>
    <i r="1">
      <x v="24"/>
    </i>
    <i t="default">
      <x v="680"/>
    </i>
    <i>
      <x v="681"/>
      <x v="22"/>
    </i>
    <i r="1">
      <x v="23"/>
    </i>
    <i r="1">
      <x v="24"/>
    </i>
    <i t="default">
      <x v="681"/>
    </i>
    <i>
      <x v="693"/>
      <x v="22"/>
    </i>
    <i r="1">
      <x v="23"/>
    </i>
    <i r="1">
      <x v="24"/>
    </i>
    <i t="default">
      <x v="693"/>
    </i>
    <i>
      <x v="722"/>
      <x v="22"/>
    </i>
    <i r="1">
      <x v="23"/>
    </i>
    <i r="1">
      <x v="24"/>
    </i>
    <i t="default">
      <x v="722"/>
    </i>
    <i>
      <x v="866"/>
      <x v="22"/>
    </i>
    <i r="1">
      <x v="23"/>
    </i>
    <i r="1">
      <x v="24"/>
    </i>
    <i t="default">
      <x v="866"/>
    </i>
    <i>
      <x v="974"/>
      <x v="22"/>
    </i>
    <i r="1">
      <x v="23"/>
    </i>
    <i r="1">
      <x v="24"/>
    </i>
    <i t="default">
      <x v="974"/>
    </i>
    <i>
      <x v="975"/>
      <x v="22"/>
    </i>
    <i r="1">
      <x v="23"/>
    </i>
    <i r="1">
      <x v="24"/>
    </i>
    <i t="default">
      <x v="975"/>
    </i>
    <i>
      <x v="983"/>
      <x v="22"/>
    </i>
    <i t="default">
      <x v="983"/>
    </i>
    <i>
      <x v="984"/>
      <x v="22"/>
    </i>
    <i r="1">
      <x v="23"/>
    </i>
    <i t="default">
      <x v="984"/>
    </i>
    <i>
      <x v="985"/>
      <x v="22"/>
    </i>
    <i r="1">
      <x v="23"/>
    </i>
    <i r="1">
      <x v="24"/>
    </i>
    <i t="default">
      <x v="985"/>
    </i>
    <i>
      <x v="1001"/>
      <x v="22"/>
    </i>
    <i r="1">
      <x v="23"/>
    </i>
    <i r="1">
      <x v="24"/>
    </i>
    <i t="default">
      <x v="1001"/>
    </i>
    <i>
      <x v="1002"/>
      <x v="22"/>
    </i>
    <i r="1">
      <x v="23"/>
    </i>
    <i r="1">
      <x v="24"/>
    </i>
    <i t="default">
      <x v="1002"/>
    </i>
    <i>
      <x v="1015"/>
      <x v="22"/>
    </i>
    <i r="1">
      <x v="23"/>
    </i>
    <i r="1">
      <x v="24"/>
    </i>
    <i t="default">
      <x v="1015"/>
    </i>
    <i>
      <x v="1018"/>
      <x v="22"/>
    </i>
    <i r="1">
      <x v="23"/>
    </i>
    <i r="1">
      <x v="24"/>
    </i>
    <i t="default">
      <x v="1018"/>
    </i>
    <i>
      <x v="1019"/>
      <x v="22"/>
    </i>
    <i r="1">
      <x v="23"/>
    </i>
    <i r="1">
      <x v="24"/>
    </i>
    <i t="default">
      <x v="1019"/>
    </i>
    <i>
      <x v="1022"/>
      <x v="22"/>
    </i>
    <i r="1">
      <x v="23"/>
    </i>
    <i r="1">
      <x v="24"/>
    </i>
    <i t="default">
      <x v="1022"/>
    </i>
    <i>
      <x v="1023"/>
      <x v="22"/>
    </i>
    <i r="1">
      <x v="23"/>
    </i>
    <i r="1">
      <x v="24"/>
    </i>
    <i t="default">
      <x v="1023"/>
    </i>
    <i>
      <x v="1024"/>
      <x v="22"/>
    </i>
    <i t="default">
      <x v="1024"/>
    </i>
    <i>
      <x v="1025"/>
      <x v="22"/>
    </i>
    <i r="1">
      <x v="23"/>
    </i>
    <i r="1">
      <x v="24"/>
    </i>
    <i t="default">
      <x v="1025"/>
    </i>
    <i>
      <x v="1026"/>
      <x v="22"/>
    </i>
    <i r="1">
      <x v="23"/>
    </i>
    <i r="1">
      <x v="24"/>
    </i>
    <i t="default">
      <x v="1026"/>
    </i>
    <i>
      <x v="1027"/>
      <x v="22"/>
    </i>
    <i r="1">
      <x v="23"/>
    </i>
    <i r="1">
      <x v="24"/>
    </i>
    <i t="default">
      <x v="1027"/>
    </i>
    <i>
      <x v="1028"/>
      <x v="22"/>
    </i>
    <i r="1">
      <x v="23"/>
    </i>
    <i r="1">
      <x v="24"/>
    </i>
    <i t="default">
      <x v="1028"/>
    </i>
    <i>
      <x v="1029"/>
      <x v="22"/>
    </i>
    <i t="default">
      <x v="1029"/>
    </i>
    <i>
      <x v="1030"/>
      <x v="22"/>
    </i>
    <i r="1">
      <x v="23"/>
    </i>
    <i r="1">
      <x v="24"/>
    </i>
    <i t="default">
      <x v="1030"/>
    </i>
    <i>
      <x v="1031"/>
      <x v="22"/>
    </i>
    <i t="default">
      <x v="1031"/>
    </i>
    <i>
      <x v="1032"/>
      <x v="22"/>
    </i>
    <i t="default">
      <x v="1032"/>
    </i>
    <i>
      <x v="1033"/>
      <x v="22"/>
    </i>
    <i r="1">
      <x v="23"/>
    </i>
    <i r="1">
      <x v="24"/>
    </i>
    <i t="default">
      <x v="1033"/>
    </i>
    <i>
      <x v="1034"/>
      <x v="22"/>
    </i>
    <i r="1">
      <x v="23"/>
    </i>
    <i r="1">
      <x v="24"/>
    </i>
    <i t="default">
      <x v="1034"/>
    </i>
    <i>
      <x v="1035"/>
      <x v="22"/>
    </i>
    <i r="1">
      <x v="23"/>
    </i>
    <i r="1">
      <x v="24"/>
    </i>
    <i t="default">
      <x v="1035"/>
    </i>
    <i>
      <x v="1036"/>
      <x v="22"/>
    </i>
    <i r="1">
      <x v="23"/>
    </i>
    <i r="1">
      <x v="24"/>
    </i>
    <i t="default">
      <x v="1036"/>
    </i>
    <i>
      <x v="1039"/>
      <x v="23"/>
    </i>
    <i r="1">
      <x v="24"/>
    </i>
    <i t="default">
      <x v="1039"/>
    </i>
    <i>
      <x v="1040"/>
      <x v="23"/>
    </i>
    <i r="1">
      <x v="24"/>
    </i>
    <i t="default">
      <x v="1040"/>
    </i>
    <i>
      <x v="1041"/>
      <x v="22"/>
    </i>
    <i r="1">
      <x v="23"/>
    </i>
    <i r="1">
      <x v="24"/>
    </i>
    <i t="default">
      <x v="1041"/>
    </i>
    <i>
      <x v="1042"/>
      <x v="22"/>
    </i>
    <i r="1">
      <x v="23"/>
    </i>
    <i r="1">
      <x v="24"/>
    </i>
    <i t="default">
      <x v="1042"/>
    </i>
    <i>
      <x v="1043"/>
      <x v="22"/>
    </i>
    <i r="1">
      <x v="23"/>
    </i>
    <i r="1">
      <x v="24"/>
    </i>
    <i t="default">
      <x v="1043"/>
    </i>
    <i>
      <x v="1044"/>
      <x v="22"/>
    </i>
    <i r="1">
      <x v="23"/>
    </i>
    <i r="1">
      <x v="24"/>
    </i>
    <i t="default">
      <x v="1044"/>
    </i>
    <i>
      <x v="1045"/>
      <x v="22"/>
    </i>
    <i r="1">
      <x v="23"/>
    </i>
    <i r="1">
      <x v="24"/>
    </i>
    <i t="default">
      <x v="1045"/>
    </i>
    <i>
      <x v="1046"/>
      <x v="22"/>
    </i>
    <i r="1">
      <x v="23"/>
    </i>
    <i r="1">
      <x v="24"/>
    </i>
    <i t="default">
      <x v="1046"/>
    </i>
    <i>
      <x v="1047"/>
      <x v="22"/>
    </i>
    <i r="1">
      <x v="23"/>
    </i>
    <i r="1">
      <x v="24"/>
    </i>
    <i t="default">
      <x v="1047"/>
    </i>
    <i>
      <x v="1048"/>
      <x v="22"/>
    </i>
    <i r="1">
      <x v="23"/>
    </i>
    <i r="1">
      <x v="24"/>
    </i>
    <i t="default">
      <x v="1048"/>
    </i>
    <i>
      <x v="1049"/>
      <x v="22"/>
    </i>
    <i r="1">
      <x v="23"/>
    </i>
    <i r="1">
      <x v="24"/>
    </i>
    <i t="default">
      <x v="1049"/>
    </i>
    <i>
      <x v="1050"/>
      <x v="22"/>
    </i>
    <i r="1">
      <x v="23"/>
    </i>
    <i r="1">
      <x v="24"/>
    </i>
    <i t="default">
      <x v="1050"/>
    </i>
    <i>
      <x v="1051"/>
      <x v="22"/>
    </i>
    <i r="1">
      <x v="23"/>
    </i>
    <i r="1">
      <x v="24"/>
    </i>
    <i t="default">
      <x v="1051"/>
    </i>
    <i>
      <x v="1052"/>
      <x v="22"/>
    </i>
    <i r="1">
      <x v="23"/>
    </i>
    <i r="1">
      <x v="24"/>
    </i>
    <i t="default">
      <x v="1052"/>
    </i>
    <i>
      <x v="1053"/>
      <x v="22"/>
    </i>
    <i r="1">
      <x v="23"/>
    </i>
    <i r="1">
      <x v="24"/>
    </i>
    <i t="default">
      <x v="1053"/>
    </i>
    <i>
      <x v="1054"/>
      <x v="22"/>
    </i>
    <i r="1">
      <x v="23"/>
    </i>
    <i r="1">
      <x v="24"/>
    </i>
    <i t="default">
      <x v="1054"/>
    </i>
    <i>
      <x v="1055"/>
      <x v="22"/>
    </i>
    <i r="1">
      <x v="23"/>
    </i>
    <i r="1">
      <x v="24"/>
    </i>
    <i t="default">
      <x v="1055"/>
    </i>
    <i>
      <x v="1056"/>
      <x v="22"/>
    </i>
    <i r="1">
      <x v="23"/>
    </i>
    <i r="1">
      <x v="24"/>
    </i>
    <i t="default">
      <x v="1056"/>
    </i>
    <i>
      <x v="1057"/>
      <x v="22"/>
    </i>
    <i t="default">
      <x v="1057"/>
    </i>
    <i>
      <x v="1058"/>
      <x v="22"/>
    </i>
    <i r="1">
      <x v="23"/>
    </i>
    <i r="1">
      <x v="24"/>
    </i>
    <i t="default">
      <x v="1058"/>
    </i>
    <i>
      <x v="1059"/>
      <x v="23"/>
    </i>
    <i r="1">
      <x v="24"/>
    </i>
    <i t="default">
      <x v="1059"/>
    </i>
    <i>
      <x v="1060"/>
      <x v="23"/>
    </i>
    <i r="1">
      <x v="24"/>
    </i>
    <i t="default">
      <x v="1060"/>
    </i>
    <i>
      <x v="1061"/>
      <x v="23"/>
    </i>
    <i r="1">
      <x v="24"/>
    </i>
    <i t="default">
      <x v="1061"/>
    </i>
    <i>
      <x v="1062"/>
      <x v="23"/>
    </i>
    <i r="1">
      <x v="24"/>
    </i>
    <i t="default">
      <x v="1062"/>
    </i>
    <i>
      <x v="1063"/>
      <x v="23"/>
    </i>
    <i r="1">
      <x v="24"/>
    </i>
    <i t="default">
      <x v="1063"/>
    </i>
    <i>
      <x v="1064"/>
      <x v="23"/>
    </i>
    <i r="1">
      <x v="24"/>
    </i>
    <i t="default">
      <x v="1064"/>
    </i>
    <i>
      <x v="1065"/>
      <x v="22"/>
    </i>
    <i r="1">
      <x v="23"/>
    </i>
    <i r="1">
      <x v="24"/>
    </i>
    <i t="default">
      <x v="1065"/>
    </i>
    <i>
      <x v="1066"/>
      <x v="22"/>
    </i>
    <i r="1">
      <x v="23"/>
    </i>
    <i r="1">
      <x v="24"/>
    </i>
    <i t="default">
      <x v="1066"/>
    </i>
    <i>
      <x v="1067"/>
      <x v="22"/>
    </i>
    <i r="1">
      <x v="23"/>
    </i>
    <i r="1">
      <x v="24"/>
    </i>
    <i t="default">
      <x v="1067"/>
    </i>
    <i t="grand">
      <x/>
    </i>
  </rowItems>
  <colFields count="1">
    <field x="-2"/>
  </colFields>
  <colItems count="3">
    <i>
      <x/>
    </i>
    <i i="1">
      <x v="1"/>
    </i>
    <i i="2">
      <x v="2"/>
    </i>
  </colItems>
  <pageFields count="1">
    <pageField fld="142" hier="-1"/>
  </pageFields>
  <dataFields count="3">
    <dataField name="# of People adopt basic personal and community hygiene practices" fld="119" baseField="0" baseItem="0"/>
    <dataField name="# of people access to functioning  sanitation facilities" fld="107" baseField="0" baseItem="0"/>
    <dataField name="# of people Equitable and continuous access to sufficient quantity of domestic water" fld="99"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4"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B52:D63" firstHeaderRow="0" firstDataRow="1" firstDataCol="1" rowPageCount="2" colPageCount="1"/>
  <pivotFields count="155">
    <pivotField axis="axisRow" subtotalTop="0" multipleItemSelectionAllowed="1" showAll="0">
      <items count="26">
        <item m="1" x="23"/>
        <item m="1" x="9"/>
        <item m="1" x="16"/>
        <item m="1" x="3"/>
        <item m="1" x="24"/>
        <item m="1" x="5"/>
        <item m="1" x="22"/>
        <item m="1" x="18"/>
        <item m="1" x="20"/>
        <item m="1" x="21"/>
        <item m="1" x="12"/>
        <item m="1" x="14"/>
        <item m="1" x="17"/>
        <item m="1" x="19"/>
        <item m="1" x="7"/>
        <item m="1" x="10"/>
        <item m="1" x="13"/>
        <item m="1" x="15"/>
        <item m="1" x="4"/>
        <item m="1" x="6"/>
        <item m="1" x="8"/>
        <item m="1" x="11"/>
        <item x="0"/>
        <item x="1"/>
        <item x="2"/>
        <item t="default"/>
      </items>
    </pivotField>
    <pivotField showAll="0" defaultSubtotal="0"/>
    <pivotField showAll="0" defaultSubtotal="0"/>
    <pivotField subtotalTop="0" showAll="0"/>
    <pivotField axis="axisRow" subtotalTop="0" showAll="0">
      <items count="7">
        <item x="0"/>
        <item m="1" x="3"/>
        <item x="1"/>
        <item m="1" x="2"/>
        <item m="1" x="5"/>
        <item m="1" x="4"/>
        <item t="default"/>
      </items>
    </pivotField>
    <pivotField subtotalTop="0" showAll="0"/>
    <pivotField axis="axisPage" multipleItemSelectionAllowed="1" showAll="0" defaultSubtotal="0">
      <items count="14">
        <item x="0"/>
        <item x="1"/>
        <item m="1" x="10"/>
        <item m="1" x="6"/>
        <item m="1" x="5"/>
        <item h="1" m="1" x="12"/>
        <item m="1" x="9"/>
        <item h="1" m="1" x="13"/>
        <item h="1" m="1" x="7"/>
        <item h="1" m="1" x="8"/>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dataField="1" showAll="0"/>
    <pivotField dataField="1"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1"/>
        <item h="1" x="0"/>
        <item m="1" x="4"/>
        <item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11">
    <i>
      <x/>
    </i>
    <i r="1">
      <x v="22"/>
    </i>
    <i r="1">
      <x v="23"/>
    </i>
    <i r="1">
      <x v="24"/>
    </i>
    <i t="default">
      <x/>
    </i>
    <i>
      <x v="2"/>
    </i>
    <i r="1">
      <x v="22"/>
    </i>
    <i r="1">
      <x v="23"/>
    </i>
    <i r="1">
      <x v="24"/>
    </i>
    <i t="default">
      <x v="2"/>
    </i>
    <i t="grand">
      <x/>
    </i>
  </rowItems>
  <colFields count="1">
    <field x="-2"/>
  </colFields>
  <colItems count="2">
    <i>
      <x/>
    </i>
    <i i="1">
      <x v="1"/>
    </i>
  </colItems>
  <pageFields count="2">
    <pageField fld="142" hier="-1"/>
    <pageField fld="6" hier="-1"/>
  </pageFields>
  <dataFields count="2">
    <dataField name="Sum of #_Water sources tested for fecal coliform " fld="34" baseField="0" baseItem="0"/>
    <dataField name="Sum of #_Water sources passed" fld="35" baseField="0" baseItem="0"/>
  </dataFields>
  <formats count="10">
    <format dxfId="145">
      <pivotArea field="4" type="button" dataOnly="0" labelOnly="1" outline="0" axis="axisRow" fieldPosition="0"/>
    </format>
    <format dxfId="144">
      <pivotArea type="all" dataOnly="0" outline="0" fieldPosition="0"/>
    </format>
    <format dxfId="143">
      <pivotArea outline="0" collapsedLevelsAreSubtotals="1" fieldPosition="0"/>
    </format>
    <format dxfId="142">
      <pivotArea field="4" type="button" dataOnly="0" labelOnly="1" outline="0" axis="axisRow" fieldPosition="0"/>
    </format>
    <format dxfId="141">
      <pivotArea dataOnly="0" labelOnly="1" fieldPosition="0">
        <references count="1">
          <reference field="4" count="0"/>
        </references>
      </pivotArea>
    </format>
    <format dxfId="140">
      <pivotArea type="all" dataOnly="0" outline="0" fieldPosition="0"/>
    </format>
    <format dxfId="139">
      <pivotArea type="all" dataOnly="0" outline="0" fieldPosition="0"/>
    </format>
    <format dxfId="138">
      <pivotArea outline="0" collapsedLevelsAreSubtotals="1" fieldPosition="0"/>
    </format>
    <format dxfId="137">
      <pivotArea field="4" type="button" dataOnly="0" labelOnly="1" outline="0" axis="axisRow" fieldPosition="0"/>
    </format>
    <format dxfId="136">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39D1C1C-C340-45D8-ACB2-C3DF346ACF92}" name="PivotTable15"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6">
  <location ref="AI140:AK148" firstHeaderRow="0" firstDataRow="1" firstDataCol="1" rowPageCount="4" colPageCount="1"/>
  <pivotFields count="155">
    <pivotField axis="axisPage" subtotalTop="0" multipleItemSelectionAllowed="1" showAll="0">
      <items count="26">
        <item m="1" x="23"/>
        <item m="1" x="9"/>
        <item m="1" x="24"/>
        <item m="1" x="16"/>
        <item m="1" x="5"/>
        <item m="1" x="3"/>
        <item m="1" x="22"/>
        <item m="1" x="18"/>
        <item m="1" x="20"/>
        <item m="1" x="21"/>
        <item m="1" x="12"/>
        <item m="1" x="14"/>
        <item m="1" x="17"/>
        <item m="1" x="19"/>
        <item h="1" m="1" x="7"/>
        <item h="1" m="1" x="10"/>
        <item h="1" m="1" x="13"/>
        <item m="1" x="15"/>
        <item h="1" m="1" x="4"/>
        <item h="1" m="1" x="6"/>
        <item h="1" m="1" x="8"/>
        <item m="1" x="11"/>
        <item x="0"/>
        <item h="1" x="1"/>
        <item h="1" x="2"/>
        <item t="default"/>
      </items>
    </pivotField>
    <pivotField showAll="0" defaultSubtotal="0"/>
    <pivotField showAll="0" defaultSubtotal="0"/>
    <pivotField subtotalTop="0" showAll="0"/>
    <pivotField axis="axisPage" subtotalTop="0" showAll="0">
      <items count="7">
        <item x="0"/>
        <item m="1" x="3"/>
        <item x="1"/>
        <item m="1" x="2"/>
        <item m="1" x="5"/>
        <item m="1" x="4"/>
        <item t="default"/>
      </items>
    </pivotField>
    <pivotField axis="axisRow" subtotalTop="0" showAll="0">
      <items count="47">
        <item m="1" x="31"/>
        <item x="0"/>
        <item m="1" x="43"/>
        <item m="1" x="35"/>
        <item x="6"/>
        <item x="1"/>
        <item x="23"/>
        <item x="16"/>
        <item x="4"/>
        <item x="14"/>
        <item x="20"/>
        <item m="1" x="38"/>
        <item m="1" x="26"/>
        <item x="15"/>
        <item n="Laukkaing" x="17"/>
        <item m="1" x="41"/>
        <item x="5"/>
        <item x="21"/>
        <item m="1" x="36"/>
        <item m="1" x="30"/>
        <item x="8"/>
        <item x="10"/>
        <item m="1" x="25"/>
        <item x="2"/>
        <item m="1" x="42"/>
        <item x="18"/>
        <item m="1" x="34"/>
        <item x="7"/>
        <item m="1" x="33"/>
        <item x="22"/>
        <item m="1" x="29"/>
        <item x="19"/>
        <item m="1" x="27"/>
        <item m="1" x="28"/>
        <item m="1" x="32"/>
        <item m="1" x="37"/>
        <item x="11"/>
        <item m="1" x="44"/>
        <item m="1" x="40"/>
        <item x="12"/>
        <item m="1" x="39"/>
        <item x="9"/>
        <item x="13"/>
        <item x="3"/>
        <item m="1" x="24"/>
        <item n="Laukkaing2" m="1" x="45"/>
        <item t="default"/>
      </items>
    </pivotField>
    <pivotField axis="axisPage" multipleItemSelectionAllowed="1" showAll="0" defaultSubtotal="0">
      <items count="14">
        <item x="0"/>
        <item x="1"/>
        <item m="1" x="10"/>
        <item h="1" m="1" x="8"/>
        <item m="1" x="6"/>
        <item m="1" x="5"/>
        <item h="1" m="1" x="12"/>
        <item m="1" x="9"/>
        <item h="1" m="1" x="13"/>
        <item m="1" x="7"/>
        <item h="1" m="1" x="11"/>
        <item h="1" m="1" x="3"/>
        <item h="1" m="1" x="4"/>
        <item h="1"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6"/>
    </i>
    <i>
      <x v="9"/>
    </i>
    <i>
      <x v="13"/>
    </i>
    <i>
      <x v="14"/>
    </i>
    <i>
      <x v="17"/>
    </i>
    <i>
      <x v="25"/>
    </i>
    <i>
      <x v="29"/>
    </i>
    <i>
      <x v="31"/>
    </i>
  </rowItems>
  <colFields count="1">
    <field x="-2"/>
  </colFields>
  <colItems count="2">
    <i>
      <x/>
    </i>
    <i i="1">
      <x v="1"/>
    </i>
  </colItems>
  <pageFields count="4">
    <pageField fld="0" hier="-1"/>
    <pageField fld="4" item="2" hier="-1"/>
    <pageField fld="142" item="0" hier="-1"/>
    <pageField fld="6" hier="-1"/>
  </pageFields>
  <dataFields count="2">
    <dataField name="Reached" fld="105" baseField="0" baseItem="0"/>
    <dataField name="Target (20:1)" fld="111" baseField="0" baseItem="0"/>
  </dataFields>
  <formats count="14">
    <format dxfId="159">
      <pivotArea field="4" type="button" dataOnly="0" labelOnly="1" outline="0" axis="axisPage" fieldPosition="1"/>
    </format>
    <format dxfId="158">
      <pivotArea type="all" dataOnly="0" outline="0" fieldPosition="0"/>
    </format>
    <format dxfId="157">
      <pivotArea type="origin" dataOnly="0" labelOnly="1" outline="0" fieldPosition="0"/>
    </format>
    <format dxfId="156">
      <pivotArea type="topRight" dataOnly="0" labelOnly="1" outline="0" fieldPosition="0"/>
    </format>
    <format dxfId="155">
      <pivotArea field="-2" type="button" dataOnly="0" labelOnly="1" outline="0" axis="axisCol" fieldPosition="0"/>
    </format>
    <format dxfId="154">
      <pivotArea type="all" dataOnly="0" outline="0" fieldPosition="0"/>
    </format>
    <format dxfId="153">
      <pivotArea outline="0" collapsedLevelsAreSubtotals="1" fieldPosition="0"/>
    </format>
    <format dxfId="152">
      <pivotArea type="origin" dataOnly="0" labelOnly="1" outline="0" fieldPosition="0"/>
    </format>
    <format dxfId="151">
      <pivotArea type="topRight" dataOnly="0" labelOnly="1" outline="0" fieldPosition="0"/>
    </format>
    <format dxfId="150">
      <pivotArea field="-2" type="button" dataOnly="0" labelOnly="1" outline="0" axis="axisCol" fieldPosition="0"/>
    </format>
    <format dxfId="149">
      <pivotArea dataOnly="0" labelOnly="1" outline="0" fieldPosition="0">
        <references count="3">
          <reference field="0" count="1" selected="0">
            <x v="7"/>
          </reference>
          <reference field="4" count="1">
            <x v="0"/>
          </reference>
          <reference field="142" count="1" selected="0">
            <x v="0"/>
          </reference>
        </references>
      </pivotArea>
    </format>
    <format dxfId="148">
      <pivotArea type="all" dataOnly="0" outline="0" fieldPosition="0"/>
    </format>
    <format dxfId="147">
      <pivotArea outline="0" collapsedLevelsAreSubtotals="1" fieldPosition="0"/>
    </format>
    <format dxfId="146">
      <pivotArea dataOnly="0" labelOnly="1" outline="0" fieldPosition="0">
        <references count="1">
          <reference field="4294967294" count="1">
            <x v="1"/>
          </reference>
        </references>
      </pivotArea>
    </format>
  </formats>
  <chartFormats count="10">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 chart="35" format="8" series="1">
      <pivotArea type="data" outline="0" fieldPosition="0">
        <references count="1">
          <reference field="4294967294" count="1" selected="0">
            <x v="0"/>
          </reference>
        </references>
      </pivotArea>
    </chartFormat>
    <chartFormat chart="35" format="9"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B169:E172" firstHeaderRow="1" firstDataRow="2" firstDataCol="1" rowPageCount="3" colPageCount="1"/>
  <pivotFields count="155">
    <pivotField axis="axisPage" subtotalTop="0" multipleItemSelectionAllowed="1" showAll="0">
      <items count="26">
        <item m="1" x="23"/>
        <item m="1" x="9"/>
        <item m="1" x="24"/>
        <item h="1" m="1" x="16"/>
        <item m="1" x="5"/>
        <item h="1" m="1" x="3"/>
        <item h="1" m="1" x="22"/>
        <item h="1" m="1" x="18"/>
        <item h="1" m="1" x="20"/>
        <item m="1" x="21"/>
        <item h="1" m="1" x="12"/>
        <item h="1" m="1" x="14"/>
        <item h="1"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showAll="0">
      <items count="7">
        <item x="0"/>
        <item m="1" x="3"/>
        <item x="1"/>
        <item h="1" m="1" x="2"/>
        <item m="1" x="5"/>
        <item m="1" x="4"/>
        <item t="default"/>
      </items>
    </pivotField>
    <pivotField subtotalTop="0" showAll="0"/>
    <pivotField axis="axisPage" multipleItemSelectionAllowed="1" showAll="0" defaultSubtotal="0">
      <items count="14">
        <item x="0"/>
        <item x="1"/>
        <item m="1" x="10"/>
        <item h="1" m="1" x="8"/>
        <item m="1" x="6"/>
        <item m="1" x="5"/>
        <item h="1" m="1" x="12"/>
        <item m="1" x="9"/>
        <item h="1" m="1" x="13"/>
        <item h="1" m="1" x="7"/>
        <item h="1" m="1" x="11"/>
        <item h="1" m="1" x="3"/>
        <item h="1" m="1" x="4"/>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4">
        <item x="0"/>
        <item x="2"/>
        <item x="1"/>
        <item m="1" x="3"/>
      </items>
    </pivotField>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1"/>
        <item x="0"/>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0"/>
  </colFields>
  <colItems count="3">
    <i>
      <x/>
    </i>
    <i>
      <x v="1"/>
    </i>
    <i>
      <x v="2"/>
    </i>
  </colItems>
  <pageFields count="3">
    <pageField fld="0" hier="-1"/>
    <pageField fld="142" item="0" hier="-1"/>
    <pageField fld="6" hier="-1"/>
  </pageFields>
  <dataFields count="1">
    <dataField name="Count of Is there provision of solid waste management equipment?" fld="50" subtotal="count" baseField="0" baseItem="0"/>
  </dataFields>
  <formats count="11">
    <format dxfId="170">
      <pivotArea type="all" dataOnly="0" outline="0" fieldPosition="0"/>
    </format>
    <format dxfId="169">
      <pivotArea outline="0" collapsedLevelsAreSubtotals="1" fieldPosition="0"/>
    </format>
    <format dxfId="168">
      <pivotArea type="origin" dataOnly="0" labelOnly="1" outline="0" fieldPosition="0"/>
    </format>
    <format dxfId="167">
      <pivotArea type="topRight" dataOnly="0" labelOnly="1" outline="0" fieldPosition="0"/>
    </format>
    <format dxfId="166">
      <pivotArea field="4" type="button" dataOnly="0" labelOnly="1" outline="0" axis="axisRow" fieldPosition="0"/>
    </format>
    <format dxfId="165">
      <pivotArea dataOnly="0" labelOnly="1" fieldPosition="0">
        <references count="1">
          <reference field="4" count="0"/>
        </references>
      </pivotArea>
    </format>
    <format dxfId="164">
      <pivotArea dataOnly="0" labelOnly="1" grandRow="1" outline="0" fieldPosition="0"/>
    </format>
    <format dxfId="163">
      <pivotArea dataOnly="0" labelOnly="1" grandCol="1" outline="0" fieldPosition="0"/>
    </format>
    <format dxfId="162">
      <pivotArea type="all" dataOnly="0" outline="0" fieldPosition="0"/>
    </format>
    <format dxfId="161">
      <pivotArea outline="0" collapsedLevelsAreSubtotals="1" fieldPosition="0"/>
    </format>
    <format dxfId="160">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34D5E82-C100-4BB4-BE71-765BE5A50094}" name="PivotTable12" cacheId="1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V61:W63" firstHeaderRow="1" firstDataRow="1" firstDataCol="1" rowPageCount="2" colPageCount="1"/>
  <pivotFields count="5">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Fields count="1">
    <field x="0"/>
  </rowFields>
  <rowItems count="2">
    <i>
      <x/>
    </i>
    <i t="grand">
      <x/>
    </i>
  </rowItems>
  <colItems count="1">
    <i/>
  </colItems>
  <pageFields count="2">
    <pageField fld="1" hier="142" name="[WWWW].[Covered].&amp;[Covered]" cap="Covered"/>
    <pageField fld="4" hier="36" name="[WWWW].[#_Household water samples tested for fecal coliform].&amp;[1]" cap="1"/>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6]"/>
        <member name="[WWWW].[#_Water sources tested for fecal coliform].&amp;[7]"/>
        <member name="[WWWW].[#_Water sources tested for fecal coliform].&amp;[8]"/>
        <member name="[WWWW].[#_Water sources tested for fecal coliform].&amp;[10]"/>
        <member name="[WWWW].[#_Water sources tested for fecal coliform].&amp;[14]"/>
        <member name="[WWWW].[#_Water sources tested for fecal coliform].&amp;[16]"/>
      </members>
    </pivotHierarchy>
    <pivotHierarchy dragToData="1"/>
    <pivotHierarchy multipleItemSelectionAllowed="1" dragToData="1">
      <members count="20" level="1">
        <member name="[WWWW].[#_Household water samples tested for fecal coliform].&amp;[1]"/>
        <member name="[WWWW].[#_Household water samples tested for fecal coliform].&amp;[2]"/>
        <member name="[WWWW].[#_Household water samples tested for fecal coliform].&amp;[3]"/>
        <member name="[WWWW].[#_Household water samples tested for fecal coliform].&amp;[4]"/>
        <member name="[WWWW].[#_Household water samples tested for fecal coliform].&amp;[6]"/>
        <member name="[WWWW].[#_Household water samples tested for fecal coliform].&amp;[8]"/>
        <member name="[WWWW].[#_Household water samples tested for fecal coliform].&amp;[9]"/>
        <member name="[WWWW].[#_Household water samples tested for fecal coliform].&amp;[10]"/>
        <member name="[WWWW].[#_Household water samples tested for fecal coliform].&amp;[12]"/>
        <member name="[WWWW].[#_Household water samples tested for fecal coliform].&amp;[13]"/>
        <member name="[WWWW].[#_Household water samples tested for fecal coliform].&amp;[15]"/>
        <member name="[WWWW].[#_Household water samples tested for fecal coliform].&amp;[18]"/>
        <member name="[WWWW].[#_Household water samples tested for fecal coliform].&amp;[19]"/>
        <member name="[WWWW].[#_Household water samples tested for fecal coliform].&amp;[21]"/>
        <member name="[WWWW].[#_Household water samples tested for fecal coliform].&amp;[24]"/>
        <member name="[WWWW].[#_Household water samples tested for fecal coliform].&amp;[27]"/>
        <member name="[WWWW].[#_Household water samples tested for fecal coliform].&amp;[28]"/>
        <member name="[WWWW].[#_Household water samples tested for fecal coliform].&amp;[29]"/>
        <member name="[WWWW].[#_Household water samples tested for fecal coliform].&amp;[36]"/>
        <member name="[WWWW].[#_Household water samples tested for fecal coliform].&amp;[38]"/>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K_Geo" cacheId="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67">
  <location ref="C294:E306" firstHeaderRow="1" firstDataRow="2" firstDataCol="1" rowPageCount="2" colPageCount="1"/>
  <pivotFields count="155">
    <pivotField axis="axisPage" subtotalTop="0" multipleItemSelectionAllowed="1" showAll="0">
      <items count="26">
        <item m="1" x="23"/>
        <item m="1" x="9"/>
        <item m="1" x="24"/>
        <item m="1" x="16"/>
        <item m="1" x="5"/>
        <item m="1" x="3"/>
        <item m="1" x="22"/>
        <item m="1" x="18"/>
        <item m="1" x="20"/>
        <item m="1" x="21"/>
        <item m="1" x="12"/>
        <item m="1" x="14"/>
        <item m="1" x="17"/>
        <item m="1" x="19"/>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x="0"/>
        <item h="1" m="1" x="3"/>
        <item h="1" x="1"/>
        <item m="1" x="2"/>
        <item h="1" m="1" x="5"/>
        <item h="1" m="1" x="4"/>
        <item t="default"/>
      </items>
    </pivotField>
    <pivotField subtotalTop="0" showAll="0"/>
    <pivotField axis="axisRow" showAll="0" defaultSubtotal="0">
      <items count="14">
        <item x="0"/>
        <item x="1"/>
        <item m="1" x="10"/>
        <item m="1" x="6"/>
        <item m="1" x="5"/>
        <item m="1" x="12"/>
        <item m="1" x="9"/>
        <item m="1" x="13"/>
        <item m="1" x="7"/>
        <item m="1" x="8"/>
        <item m="1" x="11"/>
        <item m="1" x="3"/>
        <item m="1" x="4"/>
        <item x="2"/>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axis="axisRow" subtotalTop="0" showAll="0">
      <items count="12">
        <item m="1" x="10"/>
        <item x="4"/>
        <item x="0"/>
        <item x="3"/>
        <item x="5"/>
        <item x="7"/>
        <item x="1"/>
        <item x="2"/>
        <item x="6"/>
        <item x="8"/>
        <item x="9"/>
        <item t="default"/>
      </items>
    </pivotField>
    <pivotField subtotalTop="0" showAll="0"/>
    <pivotField subtotalTop="0" showAll="0"/>
    <pivotField subtotalTop="0" showAll="0"/>
    <pivotField subtotalTop="0" showAll="0"/>
    <pivotField axis="axisCol" subtotalTop="0" showAll="0">
      <items count="6">
        <item x="1"/>
        <item n="Gap" x="0"/>
        <item h="1" m="1" x="4"/>
        <item h="1"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6"/>
    <field x="137"/>
  </rowFields>
  <rowItems count="11">
    <i>
      <x/>
    </i>
    <i r="1">
      <x v="1"/>
    </i>
    <i r="1">
      <x v="2"/>
    </i>
    <i r="1">
      <x v="3"/>
    </i>
    <i r="1">
      <x v="4"/>
    </i>
    <i r="1">
      <x v="7"/>
    </i>
    <i>
      <x v="1"/>
    </i>
    <i r="1">
      <x v="2"/>
    </i>
    <i r="1">
      <x v="3"/>
    </i>
    <i r="1">
      <x v="5"/>
    </i>
    <i r="1">
      <x v="6"/>
    </i>
  </rowItems>
  <colFields count="1">
    <field x="142"/>
  </colFields>
  <colItems count="2">
    <i>
      <x/>
    </i>
    <i>
      <x v="1"/>
    </i>
  </colItems>
  <pageFields count="2">
    <pageField fld="0" hier="-1"/>
    <pageField fld="4" hier="-1"/>
  </pageFields>
  <dataFields count="1">
    <dataField name="Count of Site Name" fld="7" subtotal="count" baseField="0" baseItem="0"/>
  </dataFields>
  <formats count="19">
    <format dxfId="189">
      <pivotArea type="all" dataOnly="0" outline="0" fieldPosition="0"/>
    </format>
    <format dxfId="188">
      <pivotArea outline="0" collapsedLevelsAreSubtotals="1" fieldPosition="0"/>
    </format>
    <format dxfId="187">
      <pivotArea field="4" type="button" dataOnly="0" labelOnly="1" outline="0" axis="axisPage" fieldPosition="1"/>
    </format>
    <format dxfId="186">
      <pivotArea dataOnly="0" labelOnly="1" fieldPosition="0">
        <references count="1">
          <reference field="4" count="0"/>
        </references>
      </pivotArea>
    </format>
    <format dxfId="185">
      <pivotArea dataOnly="0" labelOnly="1" grandRow="1" outline="0" fieldPosition="0"/>
    </format>
    <format dxfId="184">
      <pivotArea dataOnly="0" labelOnly="1" outline="0" fieldPosition="0">
        <references count="1">
          <reference field="4294967294" count="1">
            <x v="0"/>
          </reference>
        </references>
      </pivotArea>
    </format>
    <format dxfId="183">
      <pivotArea type="all" dataOnly="0" outline="0" fieldPosition="0"/>
    </format>
    <format dxfId="182">
      <pivotArea outline="0" collapsedLevelsAreSubtotals="1" fieldPosition="0"/>
    </format>
    <format dxfId="181">
      <pivotArea type="origin" dataOnly="0" labelOnly="1" outline="0" fieldPosition="0"/>
    </format>
    <format dxfId="180">
      <pivotArea field="142" type="button" dataOnly="0" labelOnly="1" outline="0" axis="axisCol" fieldPosition="0"/>
    </format>
    <format dxfId="179">
      <pivotArea type="topRight" dataOnly="0" labelOnly="1" outline="0" fieldPosition="0"/>
    </format>
    <format dxfId="178">
      <pivotArea dataOnly="0" labelOnly="1" fieldPosition="0">
        <references count="1">
          <reference field="142" count="0"/>
        </references>
      </pivotArea>
    </format>
    <format dxfId="177">
      <pivotArea type="all" dataOnly="0" outline="0" fieldPosition="0"/>
    </format>
    <format dxfId="176">
      <pivotArea outline="0" collapsedLevelsAreSubtotals="1" fieldPosition="0"/>
    </format>
    <format dxfId="175">
      <pivotArea dataOnly="0" labelOnly="1" fieldPosition="0">
        <references count="1">
          <reference field="142" count="0"/>
        </references>
      </pivotArea>
    </format>
    <format dxfId="174">
      <pivotArea field="4" type="button" dataOnly="0" labelOnly="1" outline="0" axis="axisPage" fieldPosition="1"/>
    </format>
    <format dxfId="173">
      <pivotArea dataOnly="0" labelOnly="1" outline="0" fieldPosition="0">
        <references count="2">
          <reference field="0" count="1" selected="0">
            <x v="8"/>
          </reference>
          <reference field="4" count="0"/>
        </references>
      </pivotArea>
    </format>
    <format dxfId="172">
      <pivotArea dataOnly="0" labelOnly="1" outline="0" fieldPosition="0">
        <references count="2">
          <reference field="0" count="1" selected="0">
            <x v="9"/>
          </reference>
          <reference field="4" count="0"/>
        </references>
      </pivotArea>
    </format>
    <format dxfId="171">
      <pivotArea dataOnly="0" labelOnly="1" outline="0" fieldPosition="0">
        <references count="2">
          <reference field="0" count="1" selected="0">
            <x v="9"/>
          </reference>
          <reference field="4" count="0"/>
        </references>
      </pivotArea>
    </format>
  </formats>
  <chartFormats count="10">
    <chartFormat chart="7" format="8" series="1">
      <pivotArea type="data" outline="0" fieldPosition="0">
        <references count="2">
          <reference field="4294967294" count="1" selected="0">
            <x v="0"/>
          </reference>
          <reference field="142" count="1" selected="0">
            <x v="0"/>
          </reference>
        </references>
      </pivotArea>
    </chartFormat>
    <chartFormat chart="7" format="9" series="1">
      <pivotArea type="data" outline="0" fieldPosition="0">
        <references count="2">
          <reference field="4294967294" count="1" selected="0">
            <x v="0"/>
          </reference>
          <reference field="142" count="1" selected="0">
            <x v="1"/>
          </reference>
        </references>
      </pivotArea>
    </chartFormat>
    <chartFormat chart="10" format="8" series="1">
      <pivotArea type="data" outline="0" fieldPosition="0">
        <references count="2">
          <reference field="4294967294" count="1" selected="0">
            <x v="0"/>
          </reference>
          <reference field="142" count="1" selected="0">
            <x v="0"/>
          </reference>
        </references>
      </pivotArea>
    </chartFormat>
    <chartFormat chart="10" format="9" series="1">
      <pivotArea type="data" outline="0" fieldPosition="0">
        <references count="2">
          <reference field="4294967294" count="1" selected="0">
            <x v="0"/>
          </reference>
          <reference field="142" count="1" selected="0">
            <x v="1"/>
          </reference>
        </references>
      </pivotArea>
    </chartFormat>
    <chartFormat chart="40" format="8" series="1">
      <pivotArea type="data" outline="0" fieldPosition="0">
        <references count="2">
          <reference field="4294967294" count="1" selected="0">
            <x v="0"/>
          </reference>
          <reference field="142" count="1" selected="0">
            <x v="0"/>
          </reference>
        </references>
      </pivotArea>
    </chartFormat>
    <chartFormat chart="40" format="9" series="1">
      <pivotArea type="data" outline="0" fieldPosition="0">
        <references count="2">
          <reference field="4294967294" count="1" selected="0">
            <x v="0"/>
          </reference>
          <reference field="142" count="1" selected="0">
            <x v="1"/>
          </reference>
        </references>
      </pivotArea>
    </chartFormat>
    <chartFormat chart="42" format="12" series="1">
      <pivotArea type="data" outline="0" fieldPosition="0">
        <references count="2">
          <reference field="4294967294" count="1" selected="0">
            <x v="0"/>
          </reference>
          <reference field="142" count="1" selected="0">
            <x v="0"/>
          </reference>
        </references>
      </pivotArea>
    </chartFormat>
    <chartFormat chart="42" format="13" series="1">
      <pivotArea type="data" outline="0" fieldPosition="0">
        <references count="2">
          <reference field="4294967294" count="1" selected="0">
            <x v="0"/>
          </reference>
          <reference field="142" count="1" selected="0">
            <x v="1"/>
          </reference>
        </references>
      </pivotArea>
    </chartFormat>
    <chartFormat chart="60" format="12" series="1">
      <pivotArea type="data" outline="0" fieldPosition="0">
        <references count="2">
          <reference field="4294967294" count="1" selected="0">
            <x v="0"/>
          </reference>
          <reference field="142" count="1" selected="0">
            <x v="0"/>
          </reference>
        </references>
      </pivotArea>
    </chartFormat>
    <chartFormat chart="60" format="13" series="1">
      <pivotArea type="data" outline="0" fieldPosition="0">
        <references count="2">
          <reference field="4294967294" count="1" selected="0">
            <x v="0"/>
          </reference>
          <reference field="142"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0" s="1"/>
        <i x="1" s="1"/>
        <i x="5" s="1" nd="1"/>
        <i x="4" s="1" nd="1"/>
        <i x="3" s="1" nd="1"/>
        <i x="2"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6">
        <i x="0" s="1"/>
        <i x="6" s="1"/>
        <i x="1" s="1"/>
        <i x="23" s="1"/>
        <i x="16" s="1"/>
        <i x="4" s="1"/>
        <i x="14" s="1"/>
        <i x="20" s="1"/>
        <i x="15" s="1"/>
        <i x="17" s="1"/>
        <i x="5" s="1"/>
        <i x="21" s="1"/>
        <i x="8" s="1"/>
        <i x="10" s="1"/>
        <i x="2" s="1"/>
        <i x="18" s="1"/>
        <i x="7" s="1"/>
        <i x="22" s="1"/>
        <i x="19" s="1"/>
        <i x="11" s="1"/>
        <i x="12" s="1"/>
        <i x="9" s="1"/>
        <i x="13" s="1"/>
        <i x="3" s="1"/>
        <i x="31" s="1" nd="1"/>
        <i x="43" s="1" nd="1"/>
        <i x="35" s="1" nd="1"/>
        <i x="38" s="1" nd="1"/>
        <i x="26" s="1" nd="1"/>
        <i x="45" s="1" nd="1"/>
        <i x="41" s="1" nd="1"/>
        <i x="36" s="1" nd="1"/>
        <i x="30" s="1" nd="1"/>
        <i x="25" s="1" nd="1"/>
        <i x="42" s="1" nd="1"/>
        <i x="34" s="1" nd="1"/>
        <i x="33" s="1" nd="1"/>
        <i x="29" s="1" nd="1"/>
        <i x="27" s="1" nd="1"/>
        <i x="28" s="1" nd="1"/>
        <i x="32" s="1" nd="1"/>
        <i x="37" s="1" nd="1"/>
        <i x="44" s="1" nd="1"/>
        <i x="40" s="1" nd="1"/>
        <i x="39" s="1" nd="1"/>
        <i x="24"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64">
        <i x="13" s="1"/>
        <i x="18" s="1"/>
        <i x="19" s="1"/>
        <i x="7" s="1"/>
        <i x="8" s="1"/>
        <i x="12" s="1"/>
        <i x="4" s="1"/>
        <i x="10" s="1"/>
        <i x="3" s="1"/>
        <i x="15" s="1"/>
        <i x="14" s="1"/>
        <i x="0" s="1"/>
        <i x="11" s="1"/>
        <i x="16" s="1"/>
        <i x="17" s="1"/>
        <i x="20" s="1"/>
        <i x="2" s="1"/>
        <i x="1" s="1"/>
        <i x="5" s="1"/>
        <i x="6" s="1"/>
        <i x="9" s="1"/>
        <i x="53" s="1" nd="1"/>
        <i x="40" s="1" nd="1"/>
        <i x="27" s="1" nd="1"/>
        <i x="22" s="1" nd="1"/>
        <i x="24" s="1" nd="1"/>
        <i x="51" s="1" nd="1"/>
        <i x="39" s="1" nd="1"/>
        <i x="60" s="1" nd="1"/>
        <i x="62" s="1" nd="1"/>
        <i x="29" s="1" nd="1"/>
        <i x="61" s="1" nd="1"/>
        <i x="44" s="1" nd="1"/>
        <i x="30" s="1" nd="1"/>
        <i x="34" s="1" nd="1"/>
        <i x="43" s="1" nd="1"/>
        <i x="54" s="1" nd="1"/>
        <i x="47" s="1" nd="1"/>
        <i x="32" s="1" nd="1"/>
        <i x="49" s="1" nd="1"/>
        <i x="52" s="1" nd="1"/>
        <i x="38" s="1" nd="1"/>
        <i x="48" s="1" nd="1"/>
        <i x="63" s="1" nd="1"/>
        <i x="23" s="1" nd="1"/>
        <i x="41" s="1" nd="1"/>
        <i x="56" s="1" nd="1"/>
        <i x="50" s="1" nd="1"/>
        <i x="46" s="1" nd="1"/>
        <i x="58" s="1" nd="1"/>
        <i x="45" s="1" nd="1"/>
        <i x="42" s="1" nd="1"/>
        <i x="57" s="1" nd="1"/>
        <i x="59" s="1" nd="1"/>
        <i x="25" s="1" nd="1"/>
        <i x="26" s="1" nd="1"/>
        <i x="33" s="1" nd="1"/>
        <i x="36" s="1" nd="1"/>
        <i x="31" s="1" nd="1"/>
        <i x="37" s="1" nd="1"/>
        <i x="55" s="1" nd="1"/>
        <i x="28" s="1" nd="1"/>
        <i x="35" s="1" nd="1"/>
        <i x="21"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4">
        <i x="0" s="1"/>
        <i x="1" s="1"/>
        <i x="2" s="1"/>
        <i x="11" s="1" nd="1"/>
        <i x="10" s="1" nd="1"/>
        <i x="8" s="1" nd="1"/>
        <i x="3" s="1" nd="1"/>
        <i x="4" s="1" nd="1"/>
        <i x="6" s="1" nd="1"/>
        <i x="5" s="1" nd="1"/>
        <i x="12" s="1" nd="1"/>
        <i x="9" s="1" nd="1"/>
        <i x="13" s="1" nd="1"/>
        <i x="7"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4">
        <i x="0" s="1"/>
        <i x="1" s="1"/>
        <i x="2" s="1"/>
        <i x="11" s="1" nd="1"/>
        <i x="10" s="1" nd="1"/>
        <i x="8" s="1" nd="1"/>
        <i x="3" s="1" nd="1"/>
        <i x="4" s="1" nd="1"/>
        <i x="6" s="1" nd="1"/>
        <i x="5" s="1" nd="1"/>
        <i x="12" s="1" nd="1"/>
        <i x="9" s="1" nd="1"/>
        <i x="13" s="1" nd="1"/>
        <i x="7"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59">
        <i x="10" s="1"/>
        <i x="7" s="1"/>
        <i x="13" s="1"/>
        <i x="4" s="1"/>
        <i x="9" s="1"/>
        <i x="3" s="1"/>
        <i x="12" s="1"/>
        <i x="11" s="1"/>
        <i x="0" s="1"/>
        <i x="2" s="1"/>
        <i x="1" s="1"/>
        <i x="14" s="1"/>
        <i x="5" s="1"/>
        <i x="6" s="1"/>
        <i x="8" s="1"/>
        <i x="48" s="1" nd="1"/>
        <i x="35" s="1" nd="1"/>
        <i x="23" s="1" nd="1"/>
        <i x="17" s="1" nd="1"/>
        <i x="19" s="1" nd="1"/>
        <i x="20" s="1" nd="1"/>
        <i x="46" s="1" nd="1"/>
        <i x="34" s="1" nd="1"/>
        <i x="56" s="1" nd="1"/>
        <i x="58" s="1" nd="1"/>
        <i x="25" s="1" nd="1"/>
        <i x="57" s="1" nd="1"/>
        <i x="40" s="1" nd="1"/>
        <i x="26" s="1" nd="1"/>
        <i x="30" s="1" nd="1"/>
        <i x="39" s="1" nd="1"/>
        <i x="50" s="1" nd="1"/>
        <i x="36" s="1" nd="1"/>
        <i x="42" s="1" nd="1"/>
        <i x="16" s="1" nd="1"/>
        <i x="28" s="1" nd="1"/>
        <i x="43" s="1" nd="1"/>
        <i x="47" s="1" nd="1"/>
        <i x="37" s="1" nd="1"/>
        <i x="33" s="1" nd="1"/>
        <i x="44" s="1" nd="1"/>
        <i x="18" s="1" nd="1"/>
        <i x="52" s="1" nd="1"/>
        <i x="45" s="1" nd="1"/>
        <i x="41" s="1" nd="1"/>
        <i x="54" s="1" nd="1"/>
        <i x="38" s="1" nd="1"/>
        <i x="55" s="1" nd="1"/>
        <i x="21" s="1" nd="1"/>
        <i x="22" s="1" nd="1"/>
        <i x="29" s="1" nd="1"/>
        <i x="31" s="1" nd="1"/>
        <i x="27" s="1" nd="1"/>
        <i x="32" s="1" nd="1"/>
        <i x="51" s="1" nd="1"/>
        <i x="53" s="1" nd="1"/>
        <i x="24" s="1" nd="1"/>
        <i x="49" s="1" nd="1"/>
        <i x="15"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59">
        <i x="10" s="1"/>
        <i x="7" s="1"/>
        <i x="4" s="1"/>
        <i x="9" s="1"/>
        <i x="3" s="1"/>
        <i x="12" s="1"/>
        <i x="11" s="1"/>
        <i x="0" s="1"/>
        <i x="2" s="1"/>
        <i x="1" s="1"/>
        <i x="5" s="1"/>
        <i x="6" s="1"/>
        <i x="8" s="1"/>
        <i x="48" s="1" nd="1"/>
        <i x="35" s="1" nd="1"/>
        <i x="23" s="1" nd="1"/>
        <i x="17" s="1" nd="1"/>
        <i x="19" s="1" nd="1"/>
        <i x="20" s="1" nd="1"/>
        <i x="46" s="1" nd="1"/>
        <i x="34" s="1" nd="1"/>
        <i x="56" s="1" nd="1"/>
        <i x="13" s="1" nd="1"/>
        <i x="58" s="1" nd="1"/>
        <i x="25" s="1" nd="1"/>
        <i x="57" s="1" nd="1"/>
        <i x="40" s="1" nd="1"/>
        <i x="26" s="1" nd="1"/>
        <i x="30" s="1" nd="1"/>
        <i x="39" s="1" nd="1"/>
        <i x="50" s="1" nd="1"/>
        <i x="36" s="1" nd="1"/>
        <i x="42" s="1" nd="1"/>
        <i x="16" s="1" nd="1"/>
        <i x="28" s="1" nd="1"/>
        <i x="43" s="1" nd="1"/>
        <i x="47" s="1" nd="1"/>
        <i x="37" s="1" nd="1"/>
        <i x="33" s="1" nd="1"/>
        <i x="44" s="1" nd="1"/>
        <i x="18" s="1" nd="1"/>
        <i x="52" s="1" nd="1"/>
        <i x="45" s="1" nd="1"/>
        <i x="41" s="1" nd="1"/>
        <i x="54" s="1" nd="1"/>
        <i x="38" s="1" nd="1"/>
        <i x="55" s="1" nd="1"/>
        <i x="21" s="1" nd="1"/>
        <i x="22" s="1" nd="1"/>
        <i x="29" s="1" nd="1"/>
        <i x="31" s="1" nd="1"/>
        <i x="14" s="1" nd="1"/>
        <i x="27" s="1" nd="1"/>
        <i x="32" s="1" nd="1"/>
        <i x="51" s="1" nd="1"/>
        <i x="53" s="1" nd="1"/>
        <i x="24" s="1" nd="1"/>
        <i x="49" s="1" nd="1"/>
        <i x="15"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4">
        <i x="0" s="1"/>
        <i x="1" s="1"/>
        <i x="2" s="1"/>
        <i x="11" s="1" nd="1"/>
        <i x="10" s="1" nd="1"/>
        <i x="8" s="1" nd="1"/>
        <i x="3" s="1" nd="1"/>
        <i x="4" s="1" nd="1"/>
        <i x="6" s="1" nd="1"/>
        <i x="5" s="1" nd="1"/>
        <i x="12" s="1" nd="1"/>
        <i x="9" s="1" nd="1"/>
        <i x="13" s="1" nd="1"/>
        <i x="7"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0" s="1"/>
        <i x="1" s="1"/>
        <i x="5" s="1" nd="1"/>
        <i x="4" s="1" nd="1"/>
        <i x="3" s="1" nd="1"/>
        <i x="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6">
        <i x="0" s="1"/>
        <i x="6" s="1"/>
        <i x="1" s="1"/>
        <i x="23" s="1"/>
        <i x="16" s="1"/>
        <i x="4" s="1"/>
        <i x="14" s="1"/>
        <i x="20" s="1"/>
        <i x="15" s="1"/>
        <i x="17" s="1"/>
        <i x="5" s="1"/>
        <i x="21" s="1"/>
        <i x="8" s="1"/>
        <i x="10" s="1"/>
        <i x="2" s="1"/>
        <i x="18" s="1"/>
        <i x="7" s="1"/>
        <i x="22" s="1"/>
        <i x="19" s="1"/>
        <i x="11" s="1"/>
        <i x="12" s="1"/>
        <i x="9" s="1"/>
        <i x="13" s="1"/>
        <i x="3" s="1"/>
        <i x="31" s="1" nd="1"/>
        <i x="43" s="1" nd="1"/>
        <i x="35" s="1" nd="1"/>
        <i x="38" s="1" nd="1"/>
        <i x="26" s="1" nd="1"/>
        <i x="45" s="1" nd="1"/>
        <i x="41" s="1" nd="1"/>
        <i x="36" s="1" nd="1"/>
        <i x="30" s="1" nd="1"/>
        <i x="25" s="1" nd="1"/>
        <i x="42" s="1" nd="1"/>
        <i x="34" s="1" nd="1"/>
        <i x="33" s="1" nd="1"/>
        <i x="29" s="1" nd="1"/>
        <i x="27" s="1" nd="1"/>
        <i x="28" s="1" nd="1"/>
        <i x="32" s="1" nd="1"/>
        <i x="37" s="1" nd="1"/>
        <i x="44" s="1" nd="1"/>
        <i x="40" s="1" nd="1"/>
        <i x="39" s="1" nd="1"/>
        <i x="2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0" s="1"/>
        <i x="1" s="1"/>
        <i x="5" s="1" nd="1"/>
        <i x="4" s="1" nd="1"/>
        <i x="3" s="1" nd="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6">
        <i x="0" s="1"/>
        <i x="6" s="1"/>
        <i x="1" s="1"/>
        <i x="23" s="1"/>
        <i x="16" s="1"/>
        <i x="4" s="1"/>
        <i x="14" s="1"/>
        <i x="20" s="1"/>
        <i x="15" s="1"/>
        <i x="17" s="1"/>
        <i x="5" s="1"/>
        <i x="21" s="1"/>
        <i x="8" s="1"/>
        <i x="10" s="1"/>
        <i x="2" s="1"/>
        <i x="18" s="1"/>
        <i x="7" s="1"/>
        <i x="22" s="1"/>
        <i x="19" s="1"/>
        <i x="11" s="1"/>
        <i x="12" s="1"/>
        <i x="9" s="1"/>
        <i x="13" s="1"/>
        <i x="3" s="1"/>
        <i x="31" s="1" nd="1"/>
        <i x="43" s="1" nd="1"/>
        <i x="35" s="1" nd="1"/>
        <i x="38" s="1" nd="1"/>
        <i x="26" s="1" nd="1"/>
        <i x="45" s="1" nd="1"/>
        <i x="41" s="1" nd="1"/>
        <i x="36" s="1" nd="1"/>
        <i x="30" s="1" nd="1"/>
        <i x="25" s="1" nd="1"/>
        <i x="42" s="1" nd="1"/>
        <i x="34" s="1" nd="1"/>
        <i x="33" s="1" nd="1"/>
        <i x="29" s="1" nd="1"/>
        <i x="27" s="1" nd="1"/>
        <i x="28" s="1" nd="1"/>
        <i x="32" s="1" nd="1"/>
        <i x="37" s="1" nd="1"/>
        <i x="44" s="1" nd="1"/>
        <i x="40" s="1" nd="1"/>
        <i x="39" s="1" nd="1"/>
        <i x="2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11">
        <i x="0" s="1"/>
        <i x="3" s="1"/>
        <i x="2" s="1"/>
        <i x="9" s="1"/>
        <i x="10" s="1" nd="1"/>
        <i x="4" s="1" nd="1"/>
        <i x="5" s="1" nd="1"/>
        <i x="7" s="1" nd="1"/>
        <i x="8" s="1" nd="1"/>
        <i x="1"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5">
        <i x="0" s="1"/>
        <i x="1" s="1"/>
        <i x="2" s="1"/>
        <i x="22" s="1" nd="1"/>
        <i x="23" s="1" nd="1"/>
        <i x="9" s="1" nd="1"/>
        <i x="24" s="1" nd="1"/>
        <i x="16" s="1" nd="1"/>
        <i x="18" s="1" nd="1"/>
        <i x="20" s="1" nd="1"/>
        <i x="21" s="1" nd="1"/>
        <i x="5" s="1" nd="1"/>
        <i x="12" s="1" nd="1"/>
        <i x="14" s="1" nd="1"/>
        <i x="17" s="1" nd="1"/>
        <i x="19" s="1" nd="1"/>
        <i x="7" s="1" nd="1"/>
        <i x="10" s="1" nd="1"/>
        <i x="13" s="1" nd="1"/>
        <i x="15" s="1" nd="1"/>
        <i x="4" s="1" nd="1"/>
        <i x="6" s="1" nd="1"/>
        <i x="8" s="1" nd="1"/>
        <i x="11" s="1" nd="1"/>
        <i x="3"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_1" xr10:uid="{00000000-0013-0000-FFFF-FFFF08000000}" sourceName="Location Type 1">
  <pivotTables>
    <pivotTable tabId="92" name="Geo_Gap"/>
  </pivotTables>
  <data>
    <tabular pivotCacheId="1">
      <items count="9">
        <i x="0" s="1"/>
        <i x="2" s="1"/>
        <i x="4" s="1" nd="1"/>
        <i x="8" s="1" nd="1"/>
        <i x="7" s="1" nd="1"/>
        <i x="5" s="1" nd="1"/>
        <i x="1" s="1" nd="1"/>
        <i x="6" s="1" nd="1"/>
        <i x="3"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0" s="1"/>
        <i x="1" s="1"/>
        <i x="5" s="1" nd="1"/>
        <i x="4" s="1" nd="1"/>
        <i x="3" s="1" nd="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 name="Location Type 1 1" xr10:uid="{00000000-0014-0000-FFFF-FFFF03000000}" cache="Slicer_Location_Type_1" caption="Location Type 1" style="SlicerStyleLight5"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Dark5" rowHeight="304800"/>
  <slicer name="Location Type" xr10:uid="{E0468B28-9B10-4E5D-88B3-D149B9B55D65}" cache="Slicer_Location_Type"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EP588" totalsRowShown="0" headerRowDxfId="1197" dataDxfId="1195" headerRowBorderDxfId="1196" tableBorderDxfId="1194">
  <autoFilter ref="A6:EP588" xr:uid="{481D48B0-BDA4-40D7-8F51-66A8FB64B4AE}">
    <filterColumn colId="0">
      <filters>
        <filter val="2022_Q3"/>
      </filters>
    </filterColumn>
  </autoFilter>
  <sortState xmlns:xlrd2="http://schemas.microsoft.com/office/spreadsheetml/2017/richdata2" ref="A397:EP536">
    <sortCondition ref="H407:H588"/>
  </sortState>
  <tableColumns count="146">
    <tableColumn id="1" xr3:uid="{00000000-0010-0000-0000-000001000000}" name="Reporting Period" dataDxfId="1193" totalsRowDxfId="1192"/>
    <tableColumn id="75" xr3:uid="{00000000-0010-0000-0000-00004B000000}" name="WASH project agency" dataDxfId="1191" totalsRowDxfId="1190"/>
    <tableColumn id="2" xr3:uid="{00000000-0010-0000-0000-000002000000}" name="WASH implementing agency" dataDxfId="1189" totalsRowDxfId="1188"/>
    <tableColumn id="8" xr3:uid="{00000000-0010-0000-0000-000008000000}" name="Primary Donor covering WASH activities at site " dataDxfId="1187" totalsRowDxfId="1186"/>
    <tableColumn id="3" xr3:uid="{00000000-0010-0000-0000-000003000000}" name="State" dataDxfId="1185" totalsRowDxfId="1184"/>
    <tableColumn id="4" xr3:uid="{00000000-0010-0000-0000-000004000000}" name="Township" dataDxfId="1183" totalsRowDxfId="1182"/>
    <tableColumn id="82" xr3:uid="{00000000-0010-0000-0000-000052000000}" name="Location Type" dataDxfId="1181" totalsRowDxfId="1180" dataCellStyle="Percent">
      <calculatedColumnFormula>VLOOKUP(WWWW[[#This Row],[Site Name]],SiteDB6[[Site Name]:[Location Type]],8,FALSE)</calculatedColumnFormula>
    </tableColumn>
    <tableColumn id="5" xr3:uid="{00000000-0010-0000-0000-000005000000}" name="Site Name" dataDxfId="1179" totalsRowDxfId="1178"/>
    <tableColumn id="6" xr3:uid="{00000000-0010-0000-0000-000006000000}" name="Total HH" dataDxfId="1177" totalsRowDxfId="1176" dataCellStyle="Comma"/>
    <tableColumn id="7" xr3:uid="{00000000-0010-0000-0000-000007000000}" name="Total PoP " dataDxfId="1175" totalsRowDxfId="1174" dataCellStyle="Comma"/>
    <tableColumn id="77" xr3:uid="{00000000-0010-0000-0000-00004D000000}" name="Project start date" dataDxfId="1173" totalsRowDxfId="1172"/>
    <tableColumn id="9" xr3:uid="{00000000-0010-0000-0000-000009000000}" name="Project end date" dataDxfId="1171" totalsRowDxfId="1170"/>
    <tableColumn id="104" xr3:uid="{00000000-0010-0000-0000-000068000000}" name="#_students at TLS_CFS" dataDxfId="1169" totalsRowDxfId="1168" dataCellStyle="Comma"/>
    <tableColumn id="50" xr3:uid="{00000000-0010-0000-0000-000032000000}" name="#_ paid camp based WASH skilled labor" dataDxfId="1167" totalsRowDxfId="1166" dataCellStyle="Comma"/>
    <tableColumn id="51" xr3:uid="{00000000-0010-0000-0000-000033000000}" name="#_paid camp based unskilled WASH unskilled labor" dataDxfId="1165" totalsRowDxfId="1164" dataCellStyle="Comma"/>
    <tableColumn id="10" xr3:uid="{00000000-0010-0000-0000-00000A000000}" name="# Work days (approx) lost in this site due to access restrictions" dataDxfId="1163" totalsRowDxfId="1162" dataCellStyle="Comma"/>
    <tableColumn id="74" xr3:uid="{00000000-0010-0000-0000-00004A000000}" name="WASH Focal in camp management structure?" dataDxfId="1161" totalsRowDxfId="1160"/>
    <tableColumn id="83" xr3:uid="{00000000-0010-0000-0000-000053000000}" name="#_men on camp WASH team" dataDxfId="1159" totalsRowDxfId="1158" dataCellStyle="Comma"/>
    <tableColumn id="101" xr3:uid="{00000000-0010-0000-0000-000065000000}" name="#_women on camp WASH team" dataDxfId="1157" totalsRowDxfId="1156" dataCellStyle="Comma"/>
    <tableColumn id="14" xr3:uid="{00000000-0010-0000-0000-00000E000000}" name="#_Constructed/existing protected hand dug well" dataDxfId="1155" totalsRowDxfId="1154" dataCellStyle="Comma"/>
    <tableColumn id="102" xr3:uid="{00000000-0010-0000-0000-000066000000}" name="#_Non-functional protected hand dug well" dataDxfId="1153" totalsRowDxfId="1152" dataCellStyle="Comma"/>
    <tableColumn id="103" xr3:uid="{00000000-0010-0000-0000-000067000000}" name="#_Operation &amp; Maintenance of hand dug well" dataDxfId="1151" totalsRowDxfId="1150" dataCellStyle="Comma"/>
    <tableColumn id="15" xr3:uid="{00000000-0010-0000-0000-00000F000000}" name="#_Constructed/Existing tube wells/boreholes/handpumps_WASH_agency" dataDxfId="1149" totalsRowDxfId="1148" dataCellStyle="Comma"/>
    <tableColumn id="106" xr3:uid="{00000000-0010-0000-0000-00006A000000}" name="#_Non-Cluster partner water tube-wells/boreholes/handpumps" dataDxfId="1147" totalsRowDxfId="1146" dataCellStyle="Comma"/>
    <tableColumn id="107" xr3:uid="{00000000-0010-0000-0000-00006B000000}" name="#_Non-functional tube wells/boreholes/handpumps" dataDxfId="1145" totalsRowDxfId="1144" dataCellStyle="Comma"/>
    <tableColumn id="108" xr3:uid="{00000000-0010-0000-0000-00006C000000}" name="#_Operation &amp; Maintenance of tube wells/boreholes/handpumps" dataDxfId="1143" totalsRowDxfId="1142" dataCellStyle="Comma"/>
    <tableColumn id="109" xr3:uid="{00000000-0010-0000-0000-00006D000000}" name="#_Constructed/Existingwater storage tank with gravity fed reticulation system" dataDxfId="1141" totalsRowDxfId="1140" dataCellStyle="Comma"/>
    <tableColumn id="110" xr3:uid="{00000000-0010-0000-0000-00006E000000}" name="#_Non-functional storage tank gravity fed reticulation system" dataDxfId="1139" totalsRowDxfId="1138" dataCellStyle="Comma"/>
    <tableColumn id="111" xr3:uid="{00000000-0010-0000-0000-00006F000000}" name="#_Operation &amp; maintenance of storage tank and reticulation system" dataDxfId="1137" totalsRowDxfId="1136" dataCellStyle="Comma"/>
    <tableColumn id="112" xr3:uid="{00000000-0010-0000-0000-000070000000}" name="#_Water_Liters_supplied_by_Water boating or water trucking" dataDxfId="1135" totalsRowDxfId="1134" dataCellStyle="Comma"/>
    <tableColumn id="113" xr3:uid="{00000000-0010-0000-0000-000071000000}" name="#_Constructed/Existing protected/fenced ponds" dataDxfId="1133" totalsRowDxfId="1132" dataCellStyle="Comma"/>
    <tableColumn id="114" xr3:uid="{00000000-0010-0000-0000-000072000000}" name="#_Water_Liters_from_Constructed/Existing water distribution system from river or natural spring" dataDxfId="1131" totalsRowDxfId="1130" dataCellStyle="Comma"/>
    <tableColumn id="115" xr3:uid="{00000000-0010-0000-0000-000073000000}" name="#_committes/technicians trained and maintaining the water points" dataDxfId="1129" totalsRowDxfId="1128" dataCellStyle="Comma"/>
    <tableColumn id="116" xr3:uid="{00000000-0010-0000-0000-000074000000}" name="#_Water points fully handed over" dataDxfId="1127" totalsRowDxfId="1126" dataCellStyle="Comma"/>
    <tableColumn id="117" xr3:uid="{00000000-0010-0000-0000-000075000000}" name="#_Water sources tested for fecal coliform " dataDxfId="1125" totalsRowDxfId="1124" dataCellStyle="Comma"/>
    <tableColumn id="118" xr3:uid="{00000000-0010-0000-0000-000076000000}" name="#_Water sources passed" dataDxfId="1123" totalsRowDxfId="1122" dataCellStyle="Comma"/>
    <tableColumn id="119" xr3:uid="{00000000-0010-0000-0000-000077000000}" name="#_Household water samples tested for fecal coliform" dataDxfId="1121" totalsRowDxfId="1120" dataCellStyle="Comma"/>
    <tableColumn id="120" xr3:uid="{00000000-0010-0000-0000-000078000000}" name="#_Household passed" dataDxfId="1119" totalsRowDxfId="1118" dataCellStyle="Comma"/>
    <tableColumn id="121" xr3:uid="{00000000-0010-0000-0000-000079000000}" name="#_Constructed/Existing hand washing stations at TLS/CFS/THF" dataDxfId="1117" totalsRowDxfId="1116" dataCellStyle="Comma"/>
    <tableColumn id="17" xr3:uid="{00000000-0010-0000-0000-000011000000}" name="#_of water points in TLS/CFS" dataDxfId="1115" totalsRowDxfId="1114" dataCellStyle="Comma"/>
    <tableColumn id="143" xr3:uid="{244E3FFB-BD94-4A0C-BCF6-CC2FDD778512}" name="#_of water points in THF" dataDxfId="1113" totalsRowDxfId="1112" dataCellStyle="Comma"/>
    <tableColumn id="59" xr3:uid="{00000000-0010-0000-0000-00003B000000}" name="WATER Comments" dataDxfId="1111" totalsRowDxfId="1110"/>
    <tableColumn id="87" xr3:uid="{00000000-0010-0000-0000-000057000000}" name="#_Constructed latrines_by_WASHAgencies" dataDxfId="1109" totalsRowDxfId="1108" dataCellStyle="Comma"/>
    <tableColumn id="65" xr3:uid="{00000000-0010-0000-0000-000041000000}" name="#_Non Cluster partner latrines" dataDxfId="1107" totalsRowDxfId="1106" dataCellStyle="Comma"/>
    <tableColumn id="39" xr3:uid="{00000000-0010-0000-0000-000027000000}" name="Name of Non-Cluster partner who constructed latrines" dataDxfId="1105" totalsRowDxfId="1104"/>
    <tableColumn id="23" xr3:uid="{00000000-0010-0000-0000-000017000000}" name="#_Non-functional latrines" dataDxfId="1103" totalsRowDxfId="1102" dataCellStyle="Comma"/>
    <tableColumn id="24" xr3:uid="{00000000-0010-0000-0000-000018000000}" name="#_Operation &amp; maintenance of latrines" dataDxfId="1101" totalsRowDxfId="1100" dataCellStyle="Comma"/>
    <tableColumn id="25" xr3:uid="{00000000-0010-0000-0000-000019000000}" name="#_Latrines desludged during the past quarter" dataDxfId="1099" totalsRowDxfId="1098" dataCellStyle="Comma"/>
    <tableColumn id="122" xr3:uid="{00000000-0010-0000-0000-00007A000000}" name="#_Cubic meters of desludging in past quarter" dataDxfId="1097" totalsRowDxfId="1096" dataCellStyle="Comma"/>
    <tableColumn id="123" xr3:uid="{00000000-0010-0000-0000-00007B000000}" name="#_Latrines fully handed over" dataDxfId="1095" totalsRowDxfId="1094" dataCellStyle="Comma"/>
    <tableColumn id="124" xr3:uid="{00000000-0010-0000-0000-00007C000000}" name="Is there provision of solid waste management equipment?" dataDxfId="1093" totalsRowDxfId="1092" dataCellStyle="Percent"/>
    <tableColumn id="105" xr3:uid="{00000000-0010-0000-0000-000069000000}" name="Is there constructed surface water drainage system?_x000a_" dataDxfId="1091" totalsRowDxfId="1090"/>
    <tableColumn id="100" xr3:uid="{00000000-0010-0000-0000-000064000000}" name="#_Constructed/Existing child friendly latrines" dataDxfId="1089" totalsRowDxfId="1088" dataCellStyle="Comma"/>
    <tableColumn id="26" xr3:uid="{00000000-0010-0000-0000-00001A000000}" name="#_Constructed/Existing disabled &amp; elderly friendly latrines " dataDxfId="1087" totalsRowDxfId="1086" dataCellStyle="Comma"/>
    <tableColumn id="125" xr3:uid="{00000000-0010-0000-0000-00007D000000}" name="# of functional latrines in TLS/CFS supported by WASH partners during the reporting period" dataDxfId="1085" totalsRowDxfId="1084" dataCellStyle="Comma"/>
    <tableColumn id="94" xr3:uid="{7F7C0F7D-C4C1-4C47-A69B-747B7539E4BF}" name="# of functional latrines in THF supported by WASH partners during the reporting period2" dataDxfId="1083" totalsRowDxfId="1082" dataCellStyle="Comma"/>
    <tableColumn id="32" xr3:uid="{103DD5A6-1CAA-4F9C-AD18-280981AF11D7}" name="#_of_persons_with_disabilities_with_adapted_sanitation_option" dataDxfId="1081" totalsRowDxfId="1080" dataCellStyle="Comma"/>
    <tableColumn id="11" xr3:uid="{00000000-0010-0000-0000-00000B000000}" name="Sanitation Comments" dataDxfId="1079" totalsRowDxfId="1078"/>
    <tableColumn id="126" xr3:uid="{00000000-0010-0000-0000-00007E000000}" name="#_Constructed/Existing hand washing stations" dataDxfId="1077" totalsRowDxfId="1076" dataCellStyle="Comma"/>
    <tableColumn id="127" xr3:uid="{00000000-0010-0000-0000-00007F000000}" name="#_Non-Functional_hand_washing_stations" dataDxfId="1075" totalsRowDxfId="1074" dataCellStyle="Comma"/>
    <tableColumn id="13" xr3:uid="{00000000-0010-0000-0000-00000D000000}" name="#_Constructed/Existing_individual_bathing_spaces " dataDxfId="1073" totalsRowDxfId="1072" dataCellStyle="Comma"/>
    <tableColumn id="128" xr3:uid="{00000000-0010-0000-0000-000080000000}" name="#_Constructed/Existing communal bathing spaces " dataDxfId="1071" totalsRowDxfId="1070" dataCellStyle="Comma"/>
    <tableColumn id="129" xr3:uid="{00000000-0010-0000-0000-000081000000}" name="#_Non-Functional communal_bathing spaces " dataDxfId="1069" totalsRowDxfId="1068" dataCellStyle="Comma"/>
    <tableColumn id="130" xr3:uid="{00000000-0010-0000-0000-000082000000}" name="#_male hygiene promoters" dataDxfId="1067" totalsRowDxfId="1066" dataCellStyle="Comma"/>
    <tableColumn id="131" xr3:uid="{00000000-0010-0000-0000-000083000000}" name="#_female hygiene promoters" dataDxfId="1065" totalsRowDxfId="1064" dataCellStyle="Comma"/>
    <tableColumn id="132" xr3:uid="{00000000-0010-0000-0000-000084000000}" name="#_households that received standard amount of soap for this quarter" dataDxfId="1063" totalsRowDxfId="1062" dataCellStyle="Comma"/>
    <tableColumn id="133" xr3:uid="{00000000-0010-0000-0000-000085000000}" name="# of affected women and girls receiving a sufficient quantity of sanitary pads from direct distribution or from MHM room facilities" dataDxfId="1061" totalsRowDxfId="1060" dataCellStyle="Comma"/>
    <tableColumn id="134" xr3:uid="{00000000-0010-0000-0000-000086000000}" name="Is sufficient soap available for TLS? (Yes/No)" dataDxfId="1059" totalsRowDxfId="1058"/>
    <tableColumn id="20" xr3:uid="{00000000-0010-0000-0000-000014000000}" name="#_Hygiene Promotion activities (sessions) in TLS?" dataDxfId="1057" totalsRowDxfId="1056"/>
    <tableColumn id="27" xr3:uid="{00000000-0010-0000-0000-00001B000000}" name="% of students reached by HP activities" dataDxfId="1055" totalsRowDxfId="1054" dataCellStyle="Percent"/>
    <tableColumn id="28" xr3:uid="{00000000-0010-0000-0000-00001C000000}" name="Hygiene_x000a_Comments " dataDxfId="1053" totalsRowDxfId="1052"/>
    <tableColumn id="88" xr3:uid="{9392C146-40EC-4C6C-845E-899B52090CD0}" name="%_of_affected_people_surveyed_who_report_feeling_satistfied_with_the_latrine_design_and_sanitation_service" dataDxfId="1051" totalsRowDxfId="1050" dataCellStyle="Percent"/>
    <tableColumn id="84" xr3:uid="{D02E63BE-A09A-459E-A028-D523541E7FF1}" name="%_of_affected_people_surveyed_who_report_feeling_satistfied_with_the_water_point_design_and_water_service" dataDxfId="1049" totalsRowDxfId="1048" dataCellStyle="Percent"/>
    <tableColumn id="79" xr3:uid="{45D940FA-098B-422B-8457-B5D7E56B8A76}" name="#_of_affected_people_surveyed_who_report_feeling_informed_about_the_different_WASH_services_available_to_them" dataDxfId="1047" totalsRowDxfId="1046" dataCellStyle="Percent"/>
    <tableColumn id="69" xr3:uid="{48B022E4-7FE2-4B75-A989-82EB1EB664CB}" name="%_of_complaints_received_that_result_in_timely_corrective_action_and_feedback_to_the_community" dataDxfId="1045" totalsRowDxfId="1044" dataCellStyle="Percent"/>
    <tableColumn id="91" xr3:uid="{A6DE4835-FE6C-403F-8C4E-CB713ADA4F9D}" name="# of sanitation facilities (latrines) built/repaired/rehabilitated following risk-sensitive programming and consultation with communities and/or GBV risk-sensitive programming" dataDxfId="1043" totalsRowDxfId="1042" dataCellStyle="Comma"/>
    <tableColumn id="92" xr3:uid="{01D53E97-A04B-40D2-88CE-B51CAB6274C9}" name="# of sanitation facilities (HH sanitation devices) distributed following risk-sensitive programming and consultation with communities and/or GBV risk-sensitive programming" dataDxfId="1041" totalsRowDxfId="1040" dataCellStyle="Comma"/>
    <tableColumn id="93" xr3:uid="{6F0F9250-E439-4B01-A614-A46D59F326F9}" name="# of sanitation facilities (bathing spaces) built following risk-sensitive programming and consultation with communities" dataDxfId="1039" totalsRowDxfId="1038" dataCellStyle="Comma"/>
    <tableColumn id="145" xr3:uid="{30298DF9-32FA-4E53-94C8-0EF62540805E}" name="amount_of_MMK/Voucher_or_Token_distributed_per_HH/Family" dataDxfId="1037" totalsRowDxfId="1036" dataCellStyle="Comma"/>
    <tableColumn id="146" xr3:uid="{4E9D37B8-A6B6-46A3-8825-A3C815ACD4DF}" name="#_of_Family/HH_Reached" dataDxfId="1035" totalsRowDxfId="1034" dataCellStyle="Comma"/>
    <tableColumn id="147" xr3:uid="{DFAD0E27-7B9F-4712-A1C0-70A69EB291D4}" name="Date_of_Cash_distribution" dataDxfId="1033" totalsRowDxfId="1032" dataCellStyle="Comma"/>
    <tableColumn id="148" xr3:uid="{9DC61FBD-A6C6-4612-B41F-2504DEFCE9E4}" name="Cash_distributed_for_which_items" dataDxfId="1031" totalsRowDxfId="1030" dataCellStyle="Comma"/>
    <tableColumn id="97" xr3:uid="{00000000-0010-0000-0000-000061000000}" name="% of water sources passed" dataDxfId="1029" totalsRowDxfId="1028">
      <calculatedColumnFormula>IFERROR(WWWW[[#This Row],['#_Water sources passed]]/WWWW[[#This Row],['#_Water sources tested for fecal coliform ]],"no test")</calculatedColumnFormula>
    </tableColumn>
    <tableColumn id="98" xr3:uid="{00000000-0010-0000-0000-000062000000}" name="% Household passed" dataDxfId="1027" totalsRowDxfId="1026" dataCellStyle="Percent">
      <calculatedColumnFormula>IFERROR(WWWW[[#This Row],['#_Household passed]]/WWWW[[#This Row],['#_Household water samples tested for fecal coliform]],"no test")</calculatedColumnFormula>
    </tableColumn>
    <tableColumn id="19" xr3:uid="{00000000-0010-0000-0000-000013000000}" name="Warter quality test done" dataDxfId="1025" totalsRowDxfId="1024" dataCellStyle="Percent">
      <calculatedColumnFormula>IF(AND(WWWW[[#This Row],[% of water sources passed]]="no test",WWWW[[#This Row],[% Household passed]]="no test"),"No Test","Tested")</calculatedColumnFormula>
    </tableColumn>
    <tableColumn id="29" xr3:uid="{00000000-0010-0000-0000-00001D000000}" name="Functional protected hand dug well" dataDxfId="1023" totalsRowDxfId="1022" dataCellStyle="Percent">
      <calculatedColumnFormula>WWWW[[#This Row],['#_Constructed/existing protected hand dug well]]-WWWW[[#This Row],['#_Non-functional protected hand dug well]]</calculatedColumnFormula>
    </tableColumn>
    <tableColumn id="30" xr3:uid="{00000000-0010-0000-0000-00001E000000}" name="Functional tube wells/boreholes/handpumps (including non-cluster partners)" dataDxfId="1021" totalsRowDxfId="1020" dataCellStyle="Percent">
      <calculatedColumnFormula>(WWWW[[#This Row],['#_Constructed/Existing tube wells/boreholes/handpumps_WASH_agency]]+WWWW[[#This Row],['#_Non-Cluster partner water tube-wells/boreholes/handpumps]])-WWWW[[#This Row],['#_Non-functional tube wells/boreholes/handpumps]]</calculatedColumnFormula>
    </tableColumn>
    <tableColumn id="33" xr3:uid="{00000000-0010-0000-0000-000021000000}" name="Functional storage tank with gravity fed reticulation system" dataDxfId="1019" totalsRowDxfId="1018" dataCellStyle="Percent">
      <calculatedColumnFormula>WWWW[[#This Row],['#_Constructed/Existingwater storage tank with gravity fed reticulation system]]-WWWW[[#This Row],['#_Non-functional storage tank gravity fed reticulation system]]</calculatedColumnFormula>
    </tableColumn>
    <tableColumn id="38" xr3:uid="{00000000-0010-0000-0000-000026000000}" name="Liters_Water boating or water trucking" dataDxfId="1017" totalsRowDxfId="1016" dataCellStyle="Percent">
      <calculatedColumnFormula>(WWWW[[#This Row],['#_Water_Liters_supplied_by_Water boating or water trucking]]/90)/15</calculatedColumnFormula>
    </tableColumn>
    <tableColumn id="52" xr3:uid="{00000000-0010-0000-0000-000034000000}" name="Liters_Constructed water distribution system from river" dataDxfId="1015" totalsRowDxfId="1014" dataCellStyle="Percent">
      <calculatedColumnFormula>WWWW[[#This Row],['#_Water_Liters_from_Constructed/Existing water distribution system from river or natural spring]]/90/15</calculatedColumnFormula>
    </tableColumn>
    <tableColumn id="135" xr3:uid="{53A54C77-5AA1-4800-AEE0-CC19BE365CD9}" name="# People access to functional water points or water provision supported by WASH partners in TLS/CFS_HRP5" dataDxfId="1013" totalsRowDxfId="1012" dataCellStyle="Percent">
      <calculatedColumnFormula>IF(WWWW[[#This Row],['#_of water points in TLS/CFS]]*500&gt;WWWW[[#This Row],[Total PoP ]],WWWW[[#This Row],[Total PoP ]],WWWW[[#This Row],['#_of water points in TLS/CFS]]*500)</calculatedColumnFormula>
    </tableColumn>
    <tableColumn id="142" xr3:uid="{8F58250D-2990-476B-86BF-B519893DA5FE}" name="# People access to functional water points or water provision supported by WASH partners in THF_HRP6" dataDxfId="1011" totalsRowDxfId="1010" dataCellStyle="Percent">
      <calculatedColumnFormula>IF(WWWW[[#This Row],['#_of water points in THF]]*500&gt;WWWW[[#This Row],[Total PoP ]],WWWW[[#This Row],[Total PoP ]],WWWW[[#This Row],['#_of water points in THF]]*500)</calculatedColumnFormula>
    </tableColumn>
    <tableColumn id="34" xr3:uid="{00000000-0010-0000-0000-000022000000}" name="Access to safe drinking water for Camp" dataDxfId="1009" totalsRowDxfId="1008" dataCellStyle="Percent">
      <calculatedColumnFormula>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calculatedColumnFormula>
    </tableColumn>
    <tableColumn id="35" xr3:uid="{00000000-0010-0000-0000-000023000000}" name="Access to safe drinking water for Village" dataDxfId="1007" totalsRowDxfId="1006" dataCellStyle="Percent">
      <calculatedColumnFormula>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calculatedColumnFormula>
    </tableColumn>
    <tableColumn id="36" xr3:uid="{00000000-0010-0000-0000-000024000000}" name="%Equitable and continuous access to sufficient quantity of safe drinking water" dataDxfId="1005" totalsRowDxfId="1004" dataCellStyle="Percent">
      <calculatedColumnFormula>IF(WWWW[[#This Row],[Location Type 1]]="Village",WWWW[[#This Row],[Access to safe drinking water for Village]],WWWW[[#This Row],[Access to safe drinking water for Camp]])</calculatedColumnFormula>
    </tableColumn>
    <tableColumn id="89" xr3:uid="{00000000-0010-0000-0000-000059000000}" name="# people with equitable and continuous access to sufficient quantity of safe drinking water" dataDxfId="1003" totalsRowDxfId="1002">
      <calculatedColumnFormula>WWWW[[#This Row],[%Equitable and continuous access to sufficient quantity of safe drinking water]]*WWWW[[#This Row],[Total PoP ]]</calculatedColumnFormula>
    </tableColumn>
    <tableColumn id="37" xr3:uid="{00000000-0010-0000-0000-000025000000}" name="% Access to unimproved water points" dataDxfId="1001" totalsRowDxfId="1000" dataCellStyle="Percent">
      <calculatedColumnFormula>IF((WWWW[[#This Row],['#_Constructed/Existing protected/fenced ponds]]*250)/WWWW[[#This Row],[Total PoP ]]&gt;1,1,(WWWW[[#This Row],['#_Constructed/Existing protected/fenced ponds]]*250)/WWWW[[#This Row],[Total PoP ]])</calculatedColumnFormula>
    </tableColumn>
    <tableColumn id="16" xr3:uid="{00000000-0010-0000-0000-000010000000}" name="#People access to unimproved water sources" dataDxfId="999" totalsRowDxfId="998">
      <calculatedColumnFormula>WWWW[[#This Row],[% Access to unimproved water points]]*WWWW[[#This Row],[Total PoP ]]</calculatedColumnFormula>
    </tableColumn>
    <tableColumn id="41" xr3:uid="{00000000-0010-0000-0000-000029000000}" name="% Equitable and continuous access to sufficient quantity of domestic water" dataDxfId="997" totalsRowDxfId="996"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995" totalsRowDxfId="994">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993" totalsRowDxfId="992">
      <calculatedColumnFormula>WWWW[[#This Row],[HRP1]]/500</calculatedColumnFormula>
    </tableColumn>
    <tableColumn id="85" xr3:uid="{00000000-0010-0000-0000-000055000000}" name="%equitable and continuous access to sufficient quantity of safe drinking and domestic water's GAP" dataDxfId="991" totalsRowDxfId="990">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989" totalsRowDxfId="988">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987" totalsRowDxfId="986"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985" totalsRowDxfId="984" dataCellStyle="Percent">
      <calculatedColumnFormula>ROUND(IF(WWWW[[#This Row],[Total PoP ]]&lt;500,1,WWWW[[#This Row],[Total PoP ]]/500),0)</calculatedColumnFormula>
    </tableColumn>
    <tableColumn id="66" xr3:uid="{00000000-0010-0000-0000-000042000000}" name="# of Functioning latrine" dataDxfId="983" totalsRowDxfId="982" dataCellStyle="Percent">
      <calculatedColumnFormula>(WWWW[[#This Row],['#_Constructed latrines_by_WASHAgencies]]+WWWW[[#This Row],['#_Non Cluster partner latrines]])-WWWW[[#This Row],['#_Non-functional latrines]]</calculatedColumnFormula>
    </tableColumn>
    <tableColumn id="21" xr3:uid="{F4052D35-6786-4305-B493-888B73799200}" name="% people access to functioning Latrine" dataDxfId="981" totalsRowDxfId="980" dataCellStyle="Percent">
      <calculatedColumnFormula>WWWW[[#This Row],[HRP2]]/WWWW[[#This Row],[Total PoP ]]</calculatedColumnFormula>
    </tableColumn>
    <tableColumn id="18" xr3:uid="{00000000-0010-0000-0000-000012000000}" name="HRP2" dataDxfId="979" totalsRowDxfId="978">
      <calculatedColumnFormula>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calculatedColumnFormula>
    </tableColumn>
    <tableColumn id="70" xr3:uid="{00000000-0010-0000-0000-000046000000}" name="# people access to continuous sanitation services desluding" dataDxfId="977" totalsRowDxfId="976" dataCellStyle="Comma">
      <calculatedColumnFormula>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calculatedColumnFormula>
    </tableColumn>
    <tableColumn id="12" xr3:uid="{00000000-0010-0000-0000-00000C000000}" name="# students access to functioning school latrines_HRP5" dataDxfId="975" totalsRowDxfId="974" dataCellStyle="Percent">
      <calculatedColumnFormula>IF(WWWW[[#This Row],['# of functional latrines in TLS/CFS supported by WASH partners during the reporting period]]*50&gt;WWWW[[#This Row],['#_students at TLS_CFS]],WWWW[[#This Row],['#_students at TLS_CFS]],(WWWW[[#This Row],['# of functional latrines in TLS/CFS supported by WASH partners during the reporting period]]*50))</calculatedColumnFormula>
    </tableColumn>
    <tableColumn id="99" xr3:uid="{1FEA533B-AECC-4BF9-AE0A-4BBB1A46CEAF}" name="# People access to functioning latrines in THF_HRP6" dataDxfId="973" totalsRowDxfId="972" dataCellStyle="Percent">
      <calculatedColumnFormula>IF(WWWW[[#This Row],['# of functional latrines in THF supported by WASH partners during the reporting period2]]="",0,WWWW[[#This Row],['# of functional latrines in THF supported by WASH partners during the reporting period2]]*50)</calculatedColumnFormula>
    </tableColumn>
    <tableColumn id="73" xr3:uid="{00000000-0010-0000-0000-000049000000}" name="Total required Latrines" dataDxfId="971" totalsRowDxfId="970" dataCellStyle="Percent">
      <calculatedColumnFormula>ROUND(IF(WWWW[[#This Row],[Location Type 1]]="camp",WWWW[[#This Row],[Total PoP ]]/20,IF(WWWW[[#This Row],[Location Type 1]]="Temporary Location",WWWW[[#This Row],[Total PoP ]]/50,(WWWW[[#This Row],[Total PoP ]]/6))),0)</calculatedColumnFormula>
    </tableColumn>
    <tableColumn id="49" xr3:uid="{00000000-0010-0000-0000-000031000000}" name="# potential required new latrines" dataDxfId="969" totalsRowDxfId="968" dataCellStyle="Percent">
      <calculatedColumnFormula>IF(WWWW[[#This Row],[Total required Latrines]]-(WWWW[[#This Row],['#_Constructed latrines_by_WASHAgencies]]+WWWW[[#This Row],['#_Non Cluster partner latrines]])&lt;0,0,WWWW[[#This Row],[Total required Latrines]]-(WWWW[[#This Row],['#_Constructed latrines_by_WASHAgencies]]+WWWW[[#This Row],['#_Non Cluster partner latrines]]))</calculatedColumnFormula>
    </tableColumn>
    <tableColumn id="48" xr3:uid="{00000000-0010-0000-0000-000030000000}" name="% of Latrine Gap" dataDxfId="967" totalsRowDxfId="966">
      <calculatedColumnFormula>1-WWWW[[#This Row],[% people access to functioning Latrine]]</calculatedColumnFormula>
    </tableColumn>
    <tableColumn id="76" xr3:uid="{00000000-0010-0000-0000-00004C000000}" name="% Latrines requiring  repairs" dataDxfId="965" totalsRowDxfId="964" dataCellStyle="Percent">
      <calculatedColumnFormula>IF(OR(WWWW[[#This Row],['#_Non-functional latrines]]="",WWWW[[#This Row],['#_Non-functional latrines]]=0),0,WWWW[[#This Row],['#_Non-functional latrines]]/(WWWW[[#This Row],['#_Constructed latrines_by_WASHAgencies]]+WWWW[[#This Row],['#_Non Cluster partner latrines]]))</calculatedColumnFormula>
    </tableColumn>
    <tableColumn id="54" xr3:uid="{00000000-0010-0000-0000-000036000000}" name="# people reached by regular dedicated hygiene promotion_5" dataDxfId="963" totalsRowDxfId="962">
      <calculatedColumnFormula>IF(500*(WWWW[[#This Row],['#_male hygiene promoters]]+WWWW[[#This Row],['#_female hygiene promoters]])&gt;WWWW[[#This Row],[Total PoP ]],WWWW[[#This Row],[Total PoP ]],500*(WWWW[[#This Row],['#_male hygiene promoters]]+WWWW[[#This Row],['#_female hygiene promoters]]))</calculatedColumnFormula>
    </tableColumn>
    <tableColumn id="40" xr3:uid="{00000000-0010-0000-0000-000028000000}" name="# People with access to soap" dataDxfId="961" totalsRowDxfId="960" dataCellStyle="Percent">
      <calculatedColumnFormula>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calculatedColumnFormula>
    </tableColumn>
    <tableColumn id="47" xr3:uid="{00000000-0010-0000-0000-00002F000000}" name="# People with access to Sanity Pads" dataDxfId="959" totalsRowDxfId="958" dataCellStyle="Percent">
      <calculatedColumnFormula>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calculatedColumnFormula>
    </tableColumn>
    <tableColumn id="95" xr3:uid="{00000000-0010-0000-0000-00005F000000}" name="# People received regular supply of hygiene items_6" dataDxfId="957" totalsRowDxfId="956"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955" totalsRowDxfId="954"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953" totalsRowDxfId="952">
      <calculatedColumnFormula>IF(WWWW[[#This Row],[HRP3]]/WWWW[[#This Row],[Total PoP ]]&gt;1,1,WWWW[[#This Row],[HRP3]]/WWWW[[#This Row],[Total PoP ]])</calculatedColumnFormula>
    </tableColumn>
    <tableColumn id="72" xr3:uid="{00000000-0010-0000-0000-000048000000}" name="Hygiene Gap%" dataDxfId="951" totalsRowDxfId="950" dataCellStyle="Percent">
      <calculatedColumnFormula>1-WWWW[[#This Row],[Hygiene Coverage%]]</calculatedColumnFormula>
    </tableColumn>
    <tableColumn id="96" xr3:uid="{00000000-0010-0000-0000-000060000000}" name="%people reached by regular dedicated hygiene promotion" dataDxfId="949" totalsRowDxfId="948" dataCellStyle="Percent">
      <calculatedColumnFormula>WWWW[[#This Row],['# people reached by regular dedicated hygiene promotion_5]]/WWWW[[#This Row],[Total PoP ]]</calculatedColumnFormula>
    </tableColumn>
    <tableColumn id="55" xr3:uid="{00000000-0010-0000-0000-000037000000}" name="%HH with access to soap" dataDxfId="947" totalsRowDxfId="946" dataCellStyle="Percent">
      <calculatedColumnFormula>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calculatedColumnFormula>
    </tableColumn>
    <tableColumn id="56" xr3:uid="{00000000-0010-0000-0000-000038000000}" name="% of HH with access to Sanitary Pad" dataDxfId="945" totalsRowDxfId="944" dataCellStyle="Percent">
      <calculatedColumnFormula>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calculatedColumnFormula>
    </tableColumn>
    <tableColumn id="67" xr3:uid="{00000000-0010-0000-0000-000043000000}" name="# Functional hand washing stations during reporting period" dataDxfId="943" totalsRowDxfId="942" dataCellStyle="Percent">
      <calculatedColumnFormula>WWWW[[#This Row],['#_Constructed/Existing hand washing stations]]-WWWW[[#This Row],['#_Non-Functional_hand_washing_stations]]</calculatedColumnFormula>
    </tableColumn>
    <tableColumn id="57" xr3:uid="{00000000-0010-0000-0000-000039000000}" name="#HH with access to Hand Washing Station" dataDxfId="941" totalsRowDxfId="940">
      <calculatedColumnFormula>IF(WWWW[[#This Row],['# Functional hand washing stations during reporting period]]*20&gt;WWWW[[#This Row],[Total HH]],WWWW[[#This Row],[Total HH]],WWWW[[#This Row],['# Functional hand washing stations during reporting period]]*20)</calculatedColumnFormula>
    </tableColumn>
    <tableColumn id="71" xr3:uid="{00000000-0010-0000-0000-000047000000}" name="# of hand washing stations with soap in TLS" dataDxfId="939" totalsRowDxfId="938">
      <calculatedColumnFormula>IF(WWWW[[#This Row],[Is sufficient soap available for TLS? (Yes/No)]]="yes",WWWW[[#This Row],['#_Constructed/Existing hand washing stations at TLS/CFS/THF]],0)</calculatedColumnFormula>
    </tableColumn>
    <tableColumn id="22" xr3:uid="{1493D209-8D39-48AA-8346-47078D7BAB87}" name="# People access to Handwashing Station" dataDxfId="937" totalsRowDxfId="936">
      <calculatedColumnFormula>IF(WWWW[[#This Row],['# Functional hand washing stations during reporting period]]*100&gt;WWWW[[#This Row],[Total PoP ]],WWWW[[#This Row],[Total PoP ]],WWWW[[#This Row],['# Functional hand washing stations during reporting period]]*100)</calculatedColumnFormula>
    </tableColumn>
    <tableColumn id="31" xr3:uid="{FD8C69C6-3D27-4A27-BCF4-02830740C127}" name="Sites with TLS" dataDxfId="935" totalsRowDxfId="934">
      <calculatedColumnFormula>IF(OR(WWWW[[#This Row],['#_students at TLS_CFS]]="",WWWW[[#This Row],['#_students at TLS_CFS]]=0),"No","Yes")</calculatedColumnFormula>
    </tableColumn>
    <tableColumn id="90" xr3:uid="{84404C5D-D04E-44F3-A1BB-13066D574A08}" name="%_of_affected_people_surveyed_who_report_feeling_informed_about_the_different_WASH_services_available_to_them2" dataDxfId="933" totalsRowDxfId="932" dataCellStyle="Percent">
      <calculatedColumnFormula>IF(WWWW[[#This Row],['#_of_affected_people_surveyed_who_report_feeling_informed_about_the_different_WASH_services_available_to_them]]="","",WWWW[[#This Row],['#_of_affected_people_surveyed_who_report_feeling_informed_about_the_different_WASH_services_available_to_them]]/WWWW[[#This Row],[Total PoP ]])</calculatedColumnFormula>
    </tableColumn>
    <tableColumn id="138" xr3:uid="{D2E8727C-D400-42EC-927D-BF8DF766C3B5}" name="HRP4" dataDxfId="931" totalsRowDxfId="930" dataCellStyle="Percent">
      <calculatedColumnFormula>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calculatedColumnFormula>
    </tableColumn>
    <tableColumn id="139" xr3:uid="{D29A4F7B-10CF-4208-8675-3A9C881225BC}" name="HRP5" dataDxfId="929" totalsRowDxfId="928" dataCellStyle="Comma">
      <calculatedColumnFormula>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calculatedColumnFormula>
    </tableColumn>
    <tableColumn id="144" xr3:uid="{833A5B75-4755-41B5-A6AF-5D65116817B8}" name="HRP6" dataDxfId="927" totalsRowDxfId="926" dataCellStyle="Comma">
      <calculatedColumnFormula>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calculatedColumnFormula>
    </tableColumn>
    <tableColumn id="58" xr3:uid="{00000000-0010-0000-0000-00003A000000}" name="CCCM Management" dataDxfId="925" totalsRowDxfId="924" dataCellStyle="Percent">
      <calculatedColumnFormula>VLOOKUP(WWWW[[#This Row],[Site Name]],SiteDB6[[Site Name]:[CCCM Management]],6,FALSE)</calculatedColumnFormula>
    </tableColumn>
    <tableColumn id="81" xr3:uid="{00000000-0010-0000-0000-000051000000}" name="CCCM Focal Agency" dataDxfId="923" totalsRowDxfId="922" dataCellStyle="Percent">
      <calculatedColumnFormula>VLOOKUP(WWWW[[#This Row],[Site Name]],SiteDB6[[Site Name]:[CCCM Focal Agency]],7,FALSE)</calculatedColumnFormula>
    </tableColumn>
    <tableColumn id="80" xr3:uid="{00000000-0010-0000-0000-000050000000}" name="Location Type 1" dataDxfId="921" totalsRowDxfId="920" dataCellStyle="Percent">
      <calculatedColumnFormula>VLOOKUP(WWWW[[#This Row],[Site Name]],SiteDB6[[Site Name]:[Location Type 1]],9,FALSE)</calculatedColumnFormula>
    </tableColumn>
    <tableColumn id="45" xr3:uid="{00000000-0010-0000-0000-00002D000000}" name="Type of accommodation" dataDxfId="919" totalsRowDxfId="918" dataCellStyle="Percent">
      <calculatedColumnFormula>VLOOKUP(WWWW[[#This Row],[Site Name]],SiteDB6[[Site Name]:[Type of Accommodation]],10,FALSE)</calculatedColumnFormula>
    </tableColumn>
    <tableColumn id="46" xr3:uid="{00000000-0010-0000-0000-00002E000000}" name="Ethnic or GCA/NGCA" dataDxfId="917" totalsRowDxfId="916" dataCellStyle="Percent">
      <calculatedColumnFormula>VLOOKUP(WWWW[[#This Row],[Site Name]],SiteDB6[[Site Name]:[Ethnic or GCA/NGCA]],11,FALSE)</calculatedColumnFormula>
    </tableColumn>
    <tableColumn id="60" xr3:uid="{00000000-0010-0000-0000-00003C000000}" name="Lat" dataDxfId="915" totalsRowDxfId="914" dataCellStyle="Percent">
      <calculatedColumnFormula>VLOOKUP(WWWW[[#This Row],[Site Name]],SiteDB6[[Site Name]:[Lat]],12,FALSE)</calculatedColumnFormula>
    </tableColumn>
    <tableColumn id="61" xr3:uid="{00000000-0010-0000-0000-00003D000000}" name="Long" dataDxfId="913" totalsRowDxfId="912" dataCellStyle="Percent">
      <calculatedColumnFormula>VLOOKUP(WWWW[[#This Row],[Site Name]],SiteDB6[[Site Name]:[Long]],13,FALSE)</calculatedColumnFormula>
    </tableColumn>
    <tableColumn id="62" xr3:uid="{00000000-0010-0000-0000-00003E000000}" name="Pcode" dataDxfId="911" totalsRowDxfId="910" dataCellStyle="Percent">
      <calculatedColumnFormula>VLOOKUP(WWWW[[#This Row],[Site Name]],SiteDB6[[Site Name]:[Pcode]],3,FALSE)</calculatedColumnFormula>
    </tableColumn>
    <tableColumn id="63" xr3:uid="{00000000-0010-0000-0000-00003F000000}" name="Covered" dataDxfId="909" totalsRowDxfId="908">
      <calculatedColumnFormula>IF(C7="none","Notcovered","Covered")</calculatedColumnFormula>
    </tableColumn>
    <tableColumn id="64" xr3:uid="{00000000-0010-0000-0000-000040000000}" name="Remark" dataDxfId="907" totalsRowDxfId="906"/>
    <tableColumn id="137" xr3:uid="{4AE3EAE7-838D-448F-9EBF-A5D3F9444C5E}" name="HH" dataDxfId="905" totalsRowDxfId="904" dataCellStyle="Percent">
      <calculatedColumnFormula>VLOOKUP(WWWW[[#This Row],[Site Name]],SiteDB6[[Site Name]:[Pop
(Kachin/Shan-CCCM as of July 2021)]],16,FALSE)</calculatedColumnFormula>
    </tableColumn>
    <tableColumn id="140" xr3:uid="{FCC69DBE-FEAC-4669-A23E-99ECA329EC5D}" name="Population" dataDxfId="903" dataCellStyle="Percent">
      <calculatedColumnFormula>VLOOKUP(WWWW[[#This Row],[Site Name]],SiteDB6[[Site Name]:[Pop
(Kachin/Shan-CCCM as of July 2021)]],17,FALSE)</calculatedColumnFormula>
    </tableColumn>
  </tableColumns>
  <tableStyleInfo name="TableStyleMedium27"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691E84C-CF95-419F-B9C3-8DE05DE946E5}" name="Table3" displayName="Table3" ref="B50:H59" totalsRowShown="0" headerRowDxfId="97" dataDxfId="95" headerRowBorderDxfId="96" tableBorderDxfId="94">
  <tableColumns count="7">
    <tableColumn id="1" xr3:uid="{A98AEB9C-B387-4C61-8145-A507F690BAC6}" name="Gap in WASH covered villages / township" dataDxfId="93"/>
    <tableColumn id="2" xr3:uid="{4BD8682D-5899-4781-A405-54CC3A03F989}" name="Partners " dataDxfId="92"/>
    <tableColumn id="3" xr3:uid="{99302724-D9B0-46A1-809F-4142D45DA7B2}" name="# of villages" dataDxfId="91"/>
    <tableColumn id="4" xr3:uid="{DC50B553-D54C-45DD-B06D-FC13E36C3554}" name="Total population" dataDxfId="90"/>
    <tableColumn id="5" xr3:uid="{9D12971F-D8CC-4D6E-98EC-A4F965AEF1D0}" name=" % _x000a_Water Gap" dataDxfId="89"/>
    <tableColumn id="6" xr3:uid="{24FE1E40-BC66-413E-A0D2-D1D1F440948D}" name=" %_x000a_ Sanitation Gap" dataDxfId="88"/>
    <tableColumn id="7" xr3:uid="{1A9FBEAB-0FF7-4AD2-B477-9562C837DE1A}" name="%  _x000a_Hygiene Gap" dataDxfId="8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12109" displayName="Table712109" ref="B29:H40" totalsRowShown="0" headerRowDxfId="86" dataDxfId="84" headerRowBorderDxfId="85" tableBorderDxfId="83" totalsRowBorderDxfId="82">
  <tableColumns count="7">
    <tableColumn id="1" xr3:uid="{00000000-0010-0000-0500-000001000000}" name="Gap in WASH covered camps / township" dataDxfId="81" totalsRowDxfId="80"/>
    <tableColumn id="2" xr3:uid="{00000000-0010-0000-0500-000002000000}" name="Partners " dataDxfId="79" totalsRowDxfId="78"/>
    <tableColumn id="3" xr3:uid="{00000000-0010-0000-0500-000003000000}" name="# of sites" dataDxfId="77" totalsRowDxfId="76" dataCellStyle="Comma"/>
    <tableColumn id="4" xr3:uid="{00000000-0010-0000-0500-000004000000}" name="Total population" dataDxfId="75" totalsRowDxfId="74" dataCellStyle="Comma"/>
    <tableColumn id="5" xr3:uid="{00000000-0010-0000-0500-000005000000}" name=" % _x000a_Water Gap" dataDxfId="73" totalsRowDxfId="72"/>
    <tableColumn id="6" xr3:uid="{00000000-0010-0000-0500-000006000000}" name=" %_x000a_ Sanitation Gap" dataDxfId="71" totalsRowDxfId="70"/>
    <tableColumn id="7" xr3:uid="{AB1608BD-CBFF-4849-B68E-CA61CA18B396}" name="%  _x000a_Hygiene Gap" dataDxfId="69" totalsRowDxfId="68"/>
  </tableColumns>
  <tableStyleInfo name="TableStyleLight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C552E7B-8ED8-4811-A2CA-52AAD8173847}" name="Table6" displayName="Table6" ref="B41:H46" totalsRowShown="0" headerRowDxfId="67" dataDxfId="65" headerRowBorderDxfId="66" tableBorderDxfId="64" totalsRowBorderDxfId="63">
  <tableColumns count="7">
    <tableColumn id="1" xr3:uid="{698DE567-F73E-4889-A830-67FFCE1B6803}" name="Gap in WASH covered villages / township" dataDxfId="62"/>
    <tableColumn id="2" xr3:uid="{9545AE45-0B30-40F1-9017-7E27D70768AE}" name="Partners " dataDxfId="61"/>
    <tableColumn id="3" xr3:uid="{A628D95F-ABF8-4B91-AC92-76A5D9D7533E}" name="# of villages" dataDxfId="60"/>
    <tableColumn id="4" xr3:uid="{C6D6A6A5-922D-43FD-8D84-E0EB3210DAAA}" name="Total population" dataDxfId="59"/>
    <tableColumn id="5" xr3:uid="{498662AD-6EB1-4CC0-8C46-2F84560E0FFD}" name=" % _x000a_Water GAP" dataDxfId="58"/>
    <tableColumn id="6" xr3:uid="{ABECD877-BBD9-4F1A-A1BA-C2D733E18258}" name=" %_x000a_Sanitation GAP" dataDxfId="57"/>
    <tableColumn id="7" xr3:uid="{31B1CF1B-5248-4EC8-9F42-13E2AD36658C}" name=" %_x000a_Hygiene Gap" dataDxfId="5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X410" totalsRowShown="0" headerRowDxfId="872">
  <autoFilter ref="A2:X410" xr:uid="{2913C69C-5A26-4EDC-84F7-B6A877F0E61F}"/>
  <sortState xmlns:xlrd2="http://schemas.microsoft.com/office/spreadsheetml/2017/richdata2" ref="A3:X410">
    <sortCondition ref="A3:A410"/>
    <sortCondition ref="B3:B410"/>
    <sortCondition ref="C3:C410"/>
  </sortState>
  <tableColumns count="24">
    <tableColumn id="13" xr3:uid="{00000000-0010-0000-0100-00000D000000}" name="State" dataDxfId="871"/>
    <tableColumn id="12" xr3:uid="{00000000-0010-0000-0100-00000C000000}" name="Township" dataDxfId="870"/>
    <tableColumn id="1" xr3:uid="{00000000-0010-0000-0100-000001000000}" name="Site Name" dataDxfId="869"/>
    <tableColumn id="26" xr3:uid="{00000000-0010-0000-0100-00001A000000}" name="open in cccm?" dataDxfId="868"/>
    <tableColumn id="2" xr3:uid="{00000000-0010-0000-0100-000002000000}" name="Pcode" dataDxfId="867"/>
    <tableColumn id="20" xr3:uid="{00000000-0010-0000-0100-000014000000}" name="Vtract" dataDxfId="866"/>
    <tableColumn id="21" xr3:uid="{00000000-0010-0000-0100-000015000000}" name="VillageWard" dataDxfId="865"/>
    <tableColumn id="3" xr3:uid="{00000000-0010-0000-0100-000003000000}" name="CCCM Management" dataDxfId="864"/>
    <tableColumn id="4" xr3:uid="{00000000-0010-0000-0100-000004000000}" name="CCCM Focal Agency" dataDxfId="863"/>
    <tableColumn id="5" xr3:uid="{00000000-0010-0000-0100-000005000000}" name="Location Type" dataDxfId="862"/>
    <tableColumn id="6" xr3:uid="{00000000-0010-0000-0100-000006000000}" name="Location Type 1" dataDxfId="861"/>
    <tableColumn id="7" xr3:uid="{00000000-0010-0000-0100-000007000000}" name="Type of Accommodation" dataDxfId="860"/>
    <tableColumn id="8" xr3:uid="{00000000-0010-0000-0100-000008000000}" name="Ethnic or GCA/NGCA" dataDxfId="859"/>
    <tableColumn id="10" xr3:uid="{00000000-0010-0000-0100-00000A000000}" name="Lat" dataDxfId="858"/>
    <tableColumn id="9" xr3:uid="{00000000-0010-0000-0100-000009000000}" name="Long" dataDxfId="857"/>
    <tableColumn id="11" xr3:uid="{00000000-0010-0000-0100-00000B000000}" name="HRP categories" dataDxfId="856"/>
    <tableColumn id="14" xr3:uid="{00000000-0010-0000-0100-00000E000000}" name="Current 4 W reported list" dataDxfId="855"/>
    <tableColumn id="15" xr3:uid="{00000000-0010-0000-0100-00000F000000}" name="HH_x000a_(Kachin/Shan-CCCM as of July 2021)" dataDxfId="854"/>
    <tableColumn id="16" xr3:uid="{00000000-0010-0000-0100-000010000000}" name="Pop_x000a_(Kachin/Shan-CCCM as of July 2021)" dataDxfId="853"/>
    <tableColumn id="17" xr3:uid="{00000000-0010-0000-0100-000011000000}" name="Updated Date" dataDxfId="852"/>
    <tableColumn id="18" xr3:uid="{00000000-0010-0000-0100-000012000000}" name="Remark" dataDxfId="851"/>
    <tableColumn id="19" xr3:uid="{00000000-0010-0000-0100-000013000000}" name="Site Name_(Old)" dataDxfId="850"/>
    <tableColumn id="24" xr3:uid="{00000000-0010-0000-0100-000018000000}" name="Comments form CCCM" dataDxfId="849"/>
    <tableColumn id="22" xr3:uid="{7F177281-BFF7-4C20-A257-E2A6FD571981}" name="old-Pcode" dataDxfId="84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5F6C50-1B3B-43F8-9EB7-07255A8DFD71}" name="Table7" displayName="Table7" ref="AA24:AI42" totalsRowShown="0" headerRowDxfId="794" dataDxfId="793" headerRowCellStyle="Percent" dataCellStyle="Percent">
  <autoFilter ref="AA24:AI42" xr:uid="{2ED43D13-34A9-43A8-8619-43B0B3B6FE5F}"/>
  <tableColumns count="9">
    <tableColumn id="1" xr3:uid="{1DF98B73-0100-42FA-A4EA-48D006F18ADC}" name="Row Labels" dataDxfId="792" dataCellStyle="Percent"/>
    <tableColumn id="9" xr3:uid="{7D4C4BAD-3118-45B7-9C6A-291564A4DF2C}" name="% Male" dataDxfId="791" dataCellStyle="Percent">
      <calculatedColumnFormula>1-Table7[[#This Row],[% Female]]</calculatedColumnFormula>
    </tableColumn>
    <tableColumn id="2" xr3:uid="{4A59A6D6-3700-4F61-8976-542E92D88FC8}" name="% Female" dataDxfId="790" dataCellStyle="Percent"/>
    <tableColumn id="3" xr3:uid="{7C03B214-F47E-4240-BC01-2C8206074FBE}" name="% CHILDREN  (Age 18&lt;)" dataDxfId="789" dataCellStyle="Percent"/>
    <tableColumn id="4" xr3:uid="{6F2CD890-4F97-4E40-8906-C537A9CC5AA1}" name=" % ADULTS ( Age 18-60)" dataDxfId="788" dataCellStyle="Percent"/>
    <tableColumn id="5" xr3:uid="{ABA85F2F-3F02-4212-A5B3-0040660BA75C}" name="% ELDERS  (Age 60+)" dataDxfId="787" dataCellStyle="Percent"/>
    <tableColumn id="6" xr3:uid="{A3EDBD5C-63BC-41D2-BBC4-1611E28D3582}" name="% of people with disabilities (Age 5 yrs+)" dataDxfId="786" dataCellStyle="Percent"/>
    <tableColumn id="7" xr3:uid="{03BDE777-865E-4371-8C3E-26E780CFAFB5}" name="Column1" dataDxfId="785" dataCellStyle="Percent">
      <calculatedColumnFormula>Table7[[#This Row],[% Female]]*P25</calculatedColumnFormula>
    </tableColumn>
    <tableColumn id="8" xr3:uid="{1B86C093-8C0E-403E-80C6-248E9131E0F9}" name="Column2" dataDxfId="784" dataCellStyle="Percent">
      <calculatedColumnFormula>P25*Table7[[#This Row],[% of people with disabilities (Age 5 yrs+)]]</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636EA56-16F0-4227-8177-7198138D28B0}" name="Table9" displayName="Table9" ref="B1:D74" totalsRowShown="0">
  <autoFilter ref="B1:D74" xr:uid="{C7160497-FB2A-46BE-B598-99BC73E687A1}"/>
  <sortState xmlns:xlrd2="http://schemas.microsoft.com/office/spreadsheetml/2017/richdata2" ref="B57:D62">
    <sortCondition ref="C59:C74"/>
  </sortState>
  <tableColumns count="3">
    <tableColumn id="1" xr3:uid="{943F8942-DCB1-4E92-90EF-25CEB170E0E5}" name="State" dataDxfId="135"/>
    <tableColumn id="2" xr3:uid="{4855DDFF-B12E-434F-91CE-5F24B4B1325E}" name="Acronym" dataDxfId="134"/>
    <tableColumn id="3" xr3:uid="{4A00DAB0-F230-4449-BF42-BCCE59B8C1A0}" name="reporting"/>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7A8EC0E-78B9-4A24-8AAE-8C217AF5087C}" name="Table11" displayName="Table11" ref="B1:D100" totalsRowShown="0" headerRowDxfId="133" dataDxfId="131" headerRowBorderDxfId="132" tableBorderDxfId="130">
  <autoFilter ref="B1:D100" xr:uid="{79D853A1-C55E-4B1A-9554-D1849183AF86}"/>
  <sortState xmlns:xlrd2="http://schemas.microsoft.com/office/spreadsheetml/2017/richdata2" ref="B2:D100">
    <sortCondition ref="D2:D100"/>
    <sortCondition ref="B2:B100"/>
    <sortCondition ref="C2:C100"/>
  </sortState>
  <tableColumns count="3">
    <tableColumn id="1" xr3:uid="{1A8463B7-A8E4-4659-8238-EC6DB12B5BA0}" name="State" dataDxfId="129"/>
    <tableColumn id="2" xr3:uid="{C9741FC6-C582-4A23-9CB1-AD0234F0287C}" name="Acronym" dataDxfId="128"/>
    <tableColumn id="3" xr3:uid="{D43D3176-44EF-4FAF-99A3-2FB89198A86A}" name="reporting" dataDxfId="12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DFDEB21-06E3-475D-BBE7-3C9586890AB8}" name="Table12" displayName="Table12" ref="K2:L47" totalsRowShown="0" headerRowDxfId="126" dataDxfId="124" headerRowBorderDxfId="125">
  <autoFilter ref="K2:L47" xr:uid="{43508913-B5F6-4D3D-8F91-6EE2B881A4D1}"/>
  <sortState xmlns:xlrd2="http://schemas.microsoft.com/office/spreadsheetml/2017/richdata2" ref="K3:L47">
    <sortCondition ref="L2:L47"/>
  </sortState>
  <tableColumns count="2">
    <tableColumn id="1" xr3:uid="{9E25C265-87D2-4573-8EEE-DAC389185E6F}" name="Acronym" dataDxfId="123"/>
    <tableColumn id="2" xr3:uid="{1781BFD7-9D86-4950-8923-AA9879611C4C}" name="Type" dataDxfId="12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E1E8532-1551-46D8-9DA4-D2CE1AF4DFC7}" name="Table1215" displayName="Table1215" ref="K2:L49" totalsRowShown="0" headerRowDxfId="121" dataDxfId="119" headerRowBorderDxfId="120">
  <autoFilter ref="K2:L49" xr:uid="{43508913-B5F6-4D3D-8F91-6EE2B881A4D1}"/>
  <sortState xmlns:xlrd2="http://schemas.microsoft.com/office/spreadsheetml/2017/richdata2" ref="K3:L49">
    <sortCondition ref="K2:K49"/>
  </sortState>
  <tableColumns count="2">
    <tableColumn id="1" xr3:uid="{E856FD35-B31A-4502-80EC-63DA5E9EDBA5}" name="Acronym" dataDxfId="118"/>
    <tableColumn id="2" xr3:uid="{BFD3FB80-39ED-468F-B28B-079838663686}" name="Type" dataDxfId="11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2AB8351-06FD-4E83-B378-84B8BCBED386}" name="Table1114" displayName="Table1114" ref="B1:D108" totalsRowShown="0" headerRowDxfId="116" headerRowBorderDxfId="115" tableBorderDxfId="114">
  <autoFilter ref="B1:D108" xr:uid="{79D853A1-C55E-4B1A-9554-D1849183AF86}"/>
  <sortState xmlns:xlrd2="http://schemas.microsoft.com/office/spreadsheetml/2017/richdata2" ref="B2:D100">
    <sortCondition ref="D2:D100"/>
    <sortCondition ref="B2:B100"/>
    <sortCondition ref="C2:C100"/>
  </sortState>
  <tableColumns count="3">
    <tableColumn id="1" xr3:uid="{FDE3A589-E34F-4EE7-ABFE-810F9230210F}" name="State" dataDxfId="113"/>
    <tableColumn id="2" xr3:uid="{6ADF7C4E-FEC8-46DE-B2DA-52987FAED55C}" name="Acronym" dataDxfId="112"/>
    <tableColumn id="3" xr3:uid="{6BB2C37B-F2DC-40DC-87B6-2D02A0F9B1BB}" name="reporting" dataDxfId="11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711" displayName="Table711" ref="B34:H48" totalsRowShown="0" headerRowDxfId="110" dataDxfId="108" totalsRowDxfId="107" headerRowBorderDxfId="109">
  <autoFilter ref="B34:H48" xr:uid="{00000000-0009-0000-0100-00000A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200-000001000000}" name="Gap in WASH covered camps / township" dataDxfId="106" totalsRowDxfId="105"/>
    <tableColumn id="2" xr3:uid="{00000000-0010-0000-0200-000002000000}" name="Partners " dataDxfId="104"/>
    <tableColumn id="3" xr3:uid="{00000000-0010-0000-0200-000003000000}" name="# of sites" dataDxfId="103" dataCellStyle="Comma"/>
    <tableColumn id="4" xr3:uid="{00000000-0010-0000-0200-000004000000}" name="Total population" dataDxfId="102" dataCellStyle="Comma"/>
    <tableColumn id="5" xr3:uid="{00000000-0010-0000-0200-000005000000}" name=" % _x000a_Water Gap" dataDxfId="101"/>
    <tableColumn id="6" xr3:uid="{00000000-0010-0000-0200-000006000000}" name=" %_x000a_ Sanitation Gap" dataDxfId="100"/>
    <tableColumn id="7" xr3:uid="{43887CA2-2ABC-4266-ACE9-C2109EC04876}" name="%  _x000a_Hygiene Gap" dataDxfId="99" totalsRowDxfId="98"/>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H10" dT="2022-05-05T07:42:08.00" personId="{399628A3-4D26-4987-9D06-9886B04E9F7C}" id="{7CCD1736-E191-40E4-A3B9-9440656E3792}">
    <text>Including the data for AD 2000 extension</text>
  </threadedComment>
  <threadedComment ref="BW63" dT="2022-05-05T08:01:27.18" personId="{399628A3-4D26-4987-9D06-9886B04E9F7C}" id="{9DFE2248-F842-4415-AE9F-2D0D6BB7C151}">
    <text>0 complaint in Q1 2022</text>
  </threadedComment>
  <threadedComment ref="BW80" dT="2022-05-05T08:01:52.51" personId="{399628A3-4D26-4987-9D06-9886B04E9F7C}" id="{166C3F2B-8DD4-4111-B4CB-6E6840E6A666}">
    <text>0 complaint in Q1 2022</text>
  </threadedComment>
  <threadedComment ref="BW104" dT="2022-05-05T08:02:16.43" personId="{399628A3-4D26-4987-9D06-9886B04E9F7C}" id="{0931F8E0-00FD-41AC-A843-55D15D104565}">
    <text>0 complaint in Q1 2022</text>
  </threadedComment>
  <threadedComment ref="BW115" dT="2022-05-05T08:02:00.16" personId="{399628A3-4D26-4987-9D06-9886B04E9F7C}" id="{B2E05BA6-522C-4AA7-A89F-BFEF87C0C98A}">
    <text>0 complaint in Q1 2022</text>
  </threadedComment>
  <threadedComment ref="BW134" dT="2022-05-05T08:02:06.40" personId="{399628A3-4D26-4987-9D06-9886B04E9F7C}" id="{65E04F2E-5A22-49E1-957F-62B3216A4E4A}">
    <text>0 complaint in Q1 2022</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21" Type="http://schemas.openxmlformats.org/officeDocument/2006/relationships/pivotTable" Target="../pivotTables/pivotTable25.xml"/><Relationship Id="rId34" Type="http://schemas.openxmlformats.org/officeDocument/2006/relationships/pivotTable" Target="../pivotTables/pivotTable38.xml"/><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33" Type="http://schemas.openxmlformats.org/officeDocument/2006/relationships/pivotTable" Target="../pivotTables/pivotTable37.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ivotTable" Target="../pivotTables/pivotTable33.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32" Type="http://schemas.openxmlformats.org/officeDocument/2006/relationships/pivotTable" Target="../pivotTables/pivotTable36.xml"/><Relationship Id="rId37" Type="http://schemas.microsoft.com/office/2007/relationships/slicer" Target="../slicers/slicer1.xml"/><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36" Type="http://schemas.openxmlformats.org/officeDocument/2006/relationships/drawing" Target="../drawings/drawing8.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openxmlformats.org/officeDocument/2006/relationships/pivotTable" Target="../pivotTables/pivotTable35.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pivotTable" Target="../pivotTables/pivotTable34.xml"/><Relationship Id="rId35" Type="http://schemas.openxmlformats.org/officeDocument/2006/relationships/printerSettings" Target="../printerSettings/printerSettings9.bin"/><Relationship Id="rId8" Type="http://schemas.openxmlformats.org/officeDocument/2006/relationships/pivotTable" Target="../pivotTables/pivotTable12.xml"/><Relationship Id="rId3"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3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ivotTable" Target="../pivotTables/pivotTable40.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43.xml"/><Relationship Id="rId2" Type="http://schemas.openxmlformats.org/officeDocument/2006/relationships/pivotTable" Target="../pivotTables/pivotTable42.xml"/><Relationship Id="rId1" Type="http://schemas.openxmlformats.org/officeDocument/2006/relationships/pivotTable" Target="../pivotTables/pivotTable41.xml"/><Relationship Id="rId5" Type="http://schemas.openxmlformats.org/officeDocument/2006/relationships/table" Target="../tables/table6.xml"/><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46.xml"/><Relationship Id="rId2" Type="http://schemas.openxmlformats.org/officeDocument/2006/relationships/pivotTable" Target="../pivotTables/pivotTable45.xml"/><Relationship Id="rId1" Type="http://schemas.openxmlformats.org/officeDocument/2006/relationships/pivotTable" Target="../pivotTables/pivotTable44.xml"/><Relationship Id="rId5" Type="http://schemas.openxmlformats.org/officeDocument/2006/relationships/table" Target="../tables/table8.xml"/><Relationship Id="rId4"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10.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12.xml"/></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4.xml"/><Relationship Id="rId1" Type="http://schemas.openxmlformats.org/officeDocument/2006/relationships/pivotTable" Target="../pivotTables/pivotTable47.xml"/></Relationships>
</file>

<file path=xl/worksheets/_rels/sheet19.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6.xml"/><Relationship Id="rId1" Type="http://schemas.openxmlformats.org/officeDocument/2006/relationships/pivotTable" Target="../pivotTables/pivotTable48.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7.xml"/><Relationship Id="rId1" Type="http://schemas.openxmlformats.org/officeDocument/2006/relationships/pivotTable" Target="../pivotTables/pivotTable4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table" Target="../tables/table1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 Id="rId6" Type="http://schemas.openxmlformats.org/officeDocument/2006/relationships/comments" Target="../comments2.xml"/><Relationship Id="rId5" Type="http://schemas.openxmlformats.org/officeDocument/2006/relationships/table" Target="../tables/table3.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topLeftCell="A22" zoomScale="96" zoomScaleNormal="96" workbookViewId="0">
      <selection activeCell="Y15" sqref="Y1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75" customHeight="1" thickTop="1" thickBot="1">
      <c r="B2" s="1143" t="s">
        <v>79</v>
      </c>
      <c r="C2" s="1144"/>
      <c r="D2" s="1144"/>
      <c r="E2" s="1144"/>
      <c r="F2" s="1144"/>
      <c r="G2" s="1144"/>
      <c r="H2" s="1144"/>
      <c r="I2" s="1144"/>
      <c r="J2" s="1144"/>
      <c r="K2" s="1144"/>
      <c r="L2" s="1144"/>
      <c r="M2" s="1144"/>
      <c r="N2" s="1144"/>
      <c r="O2" s="1144"/>
      <c r="P2" s="1144"/>
      <c r="Q2" s="1144"/>
      <c r="R2" s="1144"/>
      <c r="S2" s="1144"/>
      <c r="T2" s="1145"/>
    </row>
    <row r="3" spans="2:20" ht="15" thickTop="1">
      <c r="B3" s="23"/>
      <c r="C3" s="24"/>
      <c r="D3" s="24"/>
      <c r="E3" s="24"/>
      <c r="F3" s="24"/>
      <c r="G3" s="24"/>
      <c r="H3" s="24"/>
      <c r="I3" s="24"/>
      <c r="J3" s="24"/>
      <c r="K3" s="24"/>
      <c r="L3" s="24"/>
      <c r="M3" s="24"/>
      <c r="N3" s="24"/>
      <c r="O3" s="24"/>
      <c r="P3" s="24"/>
      <c r="Q3" s="24"/>
      <c r="R3" s="24"/>
      <c r="S3" s="24"/>
      <c r="T3" s="25"/>
    </row>
    <row r="4" spans="2:20">
      <c r="B4" s="23"/>
      <c r="C4" s="26" t="s">
        <v>80</v>
      </c>
      <c r="D4" s="24"/>
      <c r="E4" s="24"/>
      <c r="F4" s="24"/>
      <c r="G4" s="24"/>
      <c r="H4" s="24"/>
      <c r="I4" s="24"/>
      <c r="J4" s="24"/>
      <c r="K4" s="24"/>
      <c r="L4" s="24"/>
      <c r="M4" s="24"/>
      <c r="N4" s="24"/>
      <c r="O4" s="24"/>
      <c r="P4" s="24"/>
      <c r="Q4" s="24"/>
      <c r="R4" s="24"/>
      <c r="S4" s="24"/>
      <c r="T4" s="25"/>
    </row>
    <row r="5" spans="2:20">
      <c r="B5" s="23"/>
      <c r="C5" s="24"/>
      <c r="D5" s="24" t="s">
        <v>81</v>
      </c>
      <c r="E5" s="24"/>
      <c r="F5" s="24"/>
      <c r="G5" s="24"/>
      <c r="H5" s="24"/>
      <c r="I5" s="24"/>
      <c r="J5" s="24"/>
      <c r="K5" s="24"/>
      <c r="L5" s="24"/>
      <c r="M5" s="24"/>
      <c r="N5" s="24"/>
      <c r="O5" s="24"/>
      <c r="P5" s="24"/>
      <c r="Q5" s="24"/>
      <c r="R5" s="24"/>
      <c r="S5" s="24"/>
      <c r="T5" s="25"/>
    </row>
    <row r="6" spans="2:20">
      <c r="B6" s="23"/>
      <c r="C6" s="24"/>
      <c r="D6" s="24" t="s">
        <v>82</v>
      </c>
      <c r="E6" s="24"/>
      <c r="F6" s="24"/>
      <c r="G6" s="24"/>
      <c r="H6" s="24"/>
      <c r="I6" s="24"/>
      <c r="J6" s="24"/>
      <c r="K6" s="24"/>
      <c r="L6" s="24"/>
      <c r="M6" s="24"/>
      <c r="N6" s="24"/>
      <c r="O6" s="24"/>
      <c r="P6" s="24"/>
      <c r="Q6" s="24"/>
      <c r="R6" s="24"/>
      <c r="S6" s="24"/>
      <c r="T6" s="25"/>
    </row>
    <row r="7" spans="2:20">
      <c r="B7" s="23"/>
      <c r="C7" s="24"/>
      <c r="D7" s="24" t="s">
        <v>83</v>
      </c>
      <c r="E7" s="24"/>
      <c r="F7" s="24"/>
      <c r="G7" s="24"/>
      <c r="H7" s="24"/>
      <c r="I7" s="24"/>
      <c r="J7" s="24"/>
      <c r="K7" s="24"/>
      <c r="L7" s="24"/>
      <c r="M7" s="24"/>
      <c r="N7" s="24"/>
      <c r="O7" s="24"/>
      <c r="P7" s="24"/>
      <c r="Q7" s="24"/>
      <c r="R7" s="24"/>
      <c r="S7" s="24"/>
      <c r="T7" s="25"/>
    </row>
    <row r="8" spans="2:20">
      <c r="B8" s="23"/>
      <c r="C8" s="24"/>
      <c r="D8" s="24" t="s">
        <v>84</v>
      </c>
      <c r="E8" s="24"/>
      <c r="F8" s="24"/>
      <c r="G8" s="24"/>
      <c r="H8" s="24"/>
      <c r="I8" s="24"/>
      <c r="J8" s="24"/>
      <c r="K8" s="24"/>
      <c r="L8" s="24"/>
      <c r="M8" s="24"/>
      <c r="N8" s="24"/>
      <c r="O8" s="24"/>
      <c r="P8" s="24"/>
      <c r="Q8" s="24"/>
      <c r="R8" s="24"/>
      <c r="S8" s="24"/>
      <c r="T8" s="25"/>
    </row>
    <row r="9" spans="2:20">
      <c r="B9" s="23"/>
      <c r="C9" s="24"/>
      <c r="D9" s="24" t="s">
        <v>85</v>
      </c>
      <c r="E9" s="24"/>
      <c r="F9" s="24"/>
      <c r="G9" s="24"/>
      <c r="H9" s="24"/>
      <c r="I9" s="24"/>
      <c r="J9" s="24"/>
      <c r="K9" s="24"/>
      <c r="L9" s="24"/>
      <c r="M9" s="24"/>
      <c r="N9" s="24"/>
      <c r="O9" s="24"/>
      <c r="P9" s="24"/>
      <c r="Q9" s="24"/>
      <c r="R9" s="24"/>
      <c r="S9" s="24"/>
      <c r="T9" s="25"/>
    </row>
    <row r="10" spans="2:20">
      <c r="B10" s="23"/>
      <c r="C10" s="24"/>
      <c r="D10" s="24" t="s">
        <v>86</v>
      </c>
      <c r="E10" s="24"/>
      <c r="F10" s="24"/>
      <c r="G10" s="24"/>
      <c r="H10" s="24"/>
      <c r="I10" s="24"/>
      <c r="J10" s="24"/>
      <c r="K10" s="24"/>
      <c r="L10" s="24"/>
      <c r="M10" s="24"/>
      <c r="N10" s="24"/>
      <c r="O10" s="24"/>
      <c r="P10" s="24"/>
      <c r="Q10" s="24"/>
      <c r="R10" s="24"/>
      <c r="S10" s="24"/>
      <c r="T10" s="25"/>
    </row>
    <row r="11" spans="2:20">
      <c r="B11" s="23"/>
      <c r="C11" s="24"/>
      <c r="D11" s="24" t="s">
        <v>87</v>
      </c>
      <c r="E11" s="24"/>
      <c r="F11" s="24"/>
      <c r="G11" s="24"/>
      <c r="H11" s="24"/>
      <c r="I11" s="24"/>
      <c r="J11" s="24"/>
      <c r="K11" s="24"/>
      <c r="L11" s="24"/>
      <c r="M11" s="24"/>
      <c r="N11" s="24"/>
      <c r="O11" s="24"/>
      <c r="P11" s="24"/>
      <c r="Q11" s="24"/>
      <c r="R11" s="24"/>
      <c r="S11" s="24"/>
      <c r="T11" s="25"/>
    </row>
    <row r="12" spans="2:20">
      <c r="B12" s="23"/>
      <c r="C12" s="24"/>
      <c r="D12" s="24" t="s">
        <v>88</v>
      </c>
      <c r="E12" s="24"/>
      <c r="F12" s="24"/>
      <c r="G12" s="24"/>
      <c r="H12" s="24"/>
      <c r="I12" s="24"/>
      <c r="J12" s="24"/>
      <c r="K12" s="24"/>
      <c r="L12" s="24"/>
      <c r="M12" s="24"/>
      <c r="N12" s="24"/>
      <c r="O12" s="24"/>
      <c r="P12" s="24"/>
      <c r="Q12" s="24"/>
      <c r="R12" s="24"/>
      <c r="S12" s="24"/>
      <c r="T12" s="25"/>
    </row>
    <row r="13" spans="2:20">
      <c r="B13" s="23"/>
      <c r="C13" s="24"/>
      <c r="D13" s="24" t="s">
        <v>89</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90</v>
      </c>
      <c r="D15" s="24"/>
      <c r="E15" s="24"/>
      <c r="F15" s="24"/>
      <c r="G15" s="24"/>
      <c r="H15" s="24"/>
      <c r="I15" s="24"/>
      <c r="J15" s="24"/>
      <c r="K15" s="24"/>
      <c r="L15" s="24"/>
      <c r="M15" s="24"/>
      <c r="N15" s="24"/>
      <c r="O15" s="24"/>
      <c r="P15" s="24"/>
      <c r="Q15" s="24"/>
      <c r="R15" s="24"/>
      <c r="S15" s="24"/>
      <c r="T15" s="25"/>
    </row>
    <row r="16" spans="2:20">
      <c r="B16" s="23"/>
      <c r="C16" s="24"/>
      <c r="D16" s="24" t="s">
        <v>91</v>
      </c>
      <c r="E16" s="24"/>
      <c r="F16" s="24"/>
      <c r="G16" s="24"/>
      <c r="H16" s="24"/>
      <c r="I16" s="24"/>
      <c r="J16" s="24"/>
      <c r="K16" s="24"/>
      <c r="L16" s="24"/>
      <c r="M16" s="24"/>
      <c r="N16" s="24"/>
      <c r="O16" s="24"/>
      <c r="P16" s="24"/>
      <c r="Q16" s="24"/>
      <c r="R16" s="24"/>
      <c r="S16" s="24"/>
      <c r="T16" s="25"/>
    </row>
    <row r="17" spans="2:20">
      <c r="B17" s="23"/>
      <c r="C17" s="24"/>
      <c r="D17" s="24" t="s">
        <v>92</v>
      </c>
      <c r="E17" s="24"/>
      <c r="F17" s="24"/>
      <c r="G17" s="24"/>
      <c r="H17" s="24"/>
      <c r="I17" s="24"/>
      <c r="J17" s="24"/>
      <c r="K17" s="24"/>
      <c r="L17" s="24"/>
      <c r="M17" s="24"/>
      <c r="N17" s="24"/>
      <c r="O17" s="24"/>
      <c r="P17" s="24"/>
      <c r="Q17" s="24"/>
      <c r="R17" s="24"/>
      <c r="S17" s="24"/>
      <c r="T17" s="25"/>
    </row>
    <row r="18" spans="2:20">
      <c r="B18" s="23"/>
      <c r="C18" s="24"/>
      <c r="D18" s="24" t="s">
        <v>93</v>
      </c>
      <c r="E18" s="24"/>
      <c r="F18" s="24"/>
      <c r="G18" s="24"/>
      <c r="H18" s="24"/>
      <c r="I18" s="24"/>
      <c r="J18" s="24"/>
      <c r="K18" s="24"/>
      <c r="L18" s="24"/>
      <c r="M18" s="24"/>
      <c r="N18" s="24"/>
      <c r="O18" s="24"/>
      <c r="P18" s="24"/>
      <c r="Q18" s="24"/>
      <c r="R18" s="24"/>
      <c r="S18" s="24"/>
      <c r="T18" s="25"/>
    </row>
    <row r="19" spans="2:20">
      <c r="B19" s="23"/>
      <c r="C19" s="24"/>
      <c r="D19" s="24" t="s">
        <v>94</v>
      </c>
      <c r="E19" s="24"/>
      <c r="F19" s="24"/>
      <c r="G19" s="24"/>
      <c r="H19" s="24"/>
      <c r="I19" s="24"/>
      <c r="J19" s="24"/>
      <c r="K19" s="24"/>
      <c r="L19" s="24"/>
      <c r="M19" s="24"/>
      <c r="N19" s="24"/>
      <c r="O19" s="24"/>
      <c r="P19" s="24"/>
      <c r="Q19" s="24"/>
      <c r="R19" s="24"/>
      <c r="S19" s="24"/>
      <c r="T19" s="25"/>
    </row>
    <row r="20" spans="2:20">
      <c r="B20" s="23"/>
      <c r="C20" s="24"/>
      <c r="D20" s="24" t="s">
        <v>95</v>
      </c>
      <c r="E20" s="24"/>
      <c r="F20" s="24"/>
      <c r="G20" s="24"/>
      <c r="H20" s="24"/>
      <c r="I20" s="24"/>
      <c r="J20" s="24"/>
      <c r="K20" s="24"/>
      <c r="L20" s="24"/>
      <c r="M20" s="24"/>
      <c r="N20" s="24"/>
      <c r="O20" s="24"/>
      <c r="P20" s="24"/>
      <c r="Q20" s="24"/>
      <c r="R20" s="24"/>
      <c r="S20" s="24"/>
      <c r="T20" s="25"/>
    </row>
    <row r="21" spans="2:20">
      <c r="B21" s="23"/>
      <c r="C21" s="24"/>
      <c r="D21" s="24" t="s">
        <v>96</v>
      </c>
      <c r="E21" s="24"/>
      <c r="F21" s="24"/>
      <c r="G21" s="24"/>
      <c r="H21" s="24"/>
      <c r="I21" s="24"/>
      <c r="J21" s="24"/>
      <c r="K21" s="24"/>
      <c r="L21" s="24"/>
      <c r="M21" s="24"/>
      <c r="N21" s="24"/>
      <c r="O21" s="24"/>
      <c r="P21" s="24"/>
      <c r="Q21" s="24"/>
      <c r="R21" s="24"/>
      <c r="S21" s="24"/>
      <c r="T21" s="25"/>
    </row>
    <row r="22" spans="2:20">
      <c r="B22" s="23"/>
      <c r="C22" s="24"/>
      <c r="D22" s="24" t="s">
        <v>97</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98</v>
      </c>
      <c r="D24" s="24"/>
      <c r="E24" s="24"/>
      <c r="F24" s="24"/>
      <c r="G24" s="24"/>
      <c r="H24" s="24"/>
      <c r="I24" s="24"/>
      <c r="J24" s="24"/>
      <c r="K24" s="24"/>
      <c r="L24" s="24"/>
      <c r="M24" s="24"/>
      <c r="N24" s="24"/>
      <c r="O24" s="24"/>
      <c r="P24" s="24"/>
      <c r="Q24" s="24"/>
      <c r="R24" s="24"/>
      <c r="S24" s="24"/>
      <c r="T24" s="25"/>
    </row>
    <row r="25" spans="2:20">
      <c r="B25" s="23"/>
      <c r="C25" s="24"/>
      <c r="D25" s="24" t="s">
        <v>99</v>
      </c>
      <c r="E25" s="24"/>
      <c r="F25" s="24"/>
      <c r="G25" s="24"/>
      <c r="H25" s="24"/>
      <c r="I25" s="24"/>
      <c r="J25" s="24"/>
      <c r="K25" s="24"/>
      <c r="L25" s="24"/>
      <c r="M25" s="24"/>
      <c r="N25" s="24"/>
      <c r="O25" s="24"/>
      <c r="P25" s="24"/>
      <c r="Q25" s="24"/>
      <c r="R25" s="24"/>
      <c r="S25" s="24"/>
      <c r="T25" s="25"/>
    </row>
    <row r="26" spans="2:20" ht="27" customHeight="1">
      <c r="B26" s="23"/>
      <c r="C26" s="24"/>
      <c r="D26" s="1146" t="s">
        <v>2138</v>
      </c>
      <c r="E26" s="1147"/>
      <c r="F26" s="1147"/>
      <c r="G26" s="1147"/>
      <c r="H26" s="1147"/>
      <c r="I26" s="1147"/>
      <c r="J26" s="1147"/>
      <c r="K26" s="1147"/>
      <c r="L26" s="1147"/>
      <c r="M26" s="1147"/>
      <c r="N26" s="1147"/>
      <c r="O26" s="1147"/>
      <c r="P26" s="1147"/>
      <c r="Q26" s="1147"/>
      <c r="R26" s="1147"/>
      <c r="S26" s="1147"/>
      <c r="T26" s="1148"/>
    </row>
    <row r="27" spans="2:20">
      <c r="B27" s="23"/>
      <c r="C27" s="24"/>
      <c r="D27" s="87" t="s">
        <v>1526</v>
      </c>
      <c r="E27" s="24"/>
      <c r="F27" s="24"/>
      <c r="G27" s="24"/>
      <c r="H27" s="24"/>
      <c r="I27" s="24"/>
      <c r="J27" s="24"/>
      <c r="K27" s="24"/>
      <c r="L27" s="24"/>
      <c r="M27" s="24"/>
      <c r="N27" s="24"/>
      <c r="O27" s="24"/>
      <c r="P27" s="24"/>
      <c r="Q27" s="24"/>
      <c r="R27" s="24"/>
      <c r="S27" s="24"/>
      <c r="T27" s="25"/>
    </row>
    <row r="28" spans="2:20">
      <c r="B28" s="23"/>
      <c r="C28" s="24"/>
      <c r="D28" s="24" t="s">
        <v>100</v>
      </c>
      <c r="E28" s="24"/>
      <c r="F28" s="24"/>
      <c r="G28" s="24"/>
      <c r="H28" s="24"/>
      <c r="I28" s="24"/>
      <c r="J28" s="24"/>
      <c r="K28" s="24"/>
      <c r="L28" s="24"/>
      <c r="M28" s="24"/>
      <c r="N28" s="24"/>
      <c r="O28" s="24"/>
      <c r="P28" s="24"/>
      <c r="Q28" s="24"/>
      <c r="R28" s="24"/>
      <c r="S28" s="24"/>
      <c r="T28" s="25"/>
    </row>
    <row r="29" spans="2:20">
      <c r="B29" s="23"/>
      <c r="C29" s="24"/>
      <c r="D29" s="402" t="s">
        <v>2139</v>
      </c>
      <c r="E29" s="24"/>
      <c r="F29" s="24"/>
      <c r="G29" s="24"/>
      <c r="H29" s="24"/>
      <c r="I29" s="24"/>
      <c r="J29" s="24"/>
      <c r="K29" s="24"/>
      <c r="L29" s="24"/>
      <c r="M29" s="24"/>
      <c r="N29" s="24"/>
      <c r="O29" s="24"/>
      <c r="P29" s="24"/>
      <c r="Q29" s="24"/>
      <c r="R29" s="24"/>
      <c r="S29" s="24"/>
      <c r="T29" s="25"/>
    </row>
    <row r="30" spans="2:20">
      <c r="B30" s="23"/>
      <c r="C30" s="24"/>
      <c r="D30" s="24" t="s">
        <v>101</v>
      </c>
      <c r="E30" s="24"/>
      <c r="F30" s="24"/>
      <c r="G30" s="24"/>
      <c r="H30" s="24"/>
      <c r="I30" s="24"/>
      <c r="J30" s="24"/>
      <c r="K30" s="24"/>
      <c r="L30" s="24"/>
      <c r="M30" s="24"/>
      <c r="N30" s="24"/>
      <c r="O30" s="24"/>
      <c r="P30" s="24"/>
      <c r="Q30" s="24"/>
      <c r="R30" s="24"/>
      <c r="S30" s="24"/>
      <c r="T30" s="25"/>
    </row>
    <row r="31" spans="2:20">
      <c r="B31" s="23"/>
      <c r="C31" s="24"/>
      <c r="D31" s="87" t="s">
        <v>1528</v>
      </c>
      <c r="E31" s="24"/>
      <c r="F31" s="24"/>
      <c r="G31" s="24"/>
      <c r="H31" s="24"/>
      <c r="I31" s="24"/>
      <c r="J31" s="24"/>
      <c r="K31" s="24"/>
      <c r="L31" s="24"/>
      <c r="M31" s="24"/>
      <c r="N31" s="24"/>
      <c r="O31" s="24"/>
      <c r="P31" s="24"/>
      <c r="Q31" s="24"/>
      <c r="R31" s="24"/>
      <c r="S31" s="24"/>
      <c r="T31" s="25"/>
    </row>
    <row r="32" spans="2:20">
      <c r="B32" s="23"/>
      <c r="C32" s="24"/>
      <c r="D32" s="24" t="s">
        <v>102</v>
      </c>
      <c r="E32" s="24"/>
      <c r="F32" s="24"/>
      <c r="G32" s="24"/>
      <c r="H32" s="24"/>
      <c r="I32" s="24"/>
      <c r="J32" s="24"/>
      <c r="K32" s="24"/>
      <c r="L32" s="24"/>
      <c r="M32" s="24"/>
      <c r="N32" s="24"/>
      <c r="O32" s="24"/>
      <c r="P32" s="24"/>
      <c r="Q32" s="24"/>
      <c r="R32" s="24"/>
      <c r="S32" s="24"/>
      <c r="T32" s="25"/>
    </row>
    <row r="33" spans="2:20">
      <c r="B33" s="23"/>
      <c r="C33" s="24"/>
      <c r="D33" s="24" t="s">
        <v>103</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104</v>
      </c>
      <c r="D35" s="24"/>
      <c r="E35" s="24"/>
      <c r="F35" s="24"/>
      <c r="G35" s="24"/>
      <c r="H35" s="24"/>
      <c r="I35" s="24"/>
      <c r="J35" s="24"/>
      <c r="K35" s="24"/>
      <c r="L35" s="24"/>
      <c r="M35" s="24"/>
      <c r="N35" s="24"/>
      <c r="O35" s="24"/>
      <c r="P35" s="24"/>
      <c r="Q35" s="24"/>
      <c r="R35" s="24"/>
      <c r="S35" s="24"/>
      <c r="T35" s="25"/>
    </row>
    <row r="36" spans="2:20">
      <c r="B36" s="23"/>
      <c r="C36" s="24"/>
      <c r="D36" s="24" t="s">
        <v>105</v>
      </c>
      <c r="E36" s="24"/>
      <c r="F36" s="24"/>
      <c r="G36" s="24"/>
      <c r="H36" s="24"/>
      <c r="I36" s="24"/>
      <c r="J36" s="24"/>
      <c r="K36" s="24"/>
      <c r="L36" s="24"/>
      <c r="M36" s="24"/>
      <c r="N36" s="24"/>
      <c r="O36" s="24"/>
      <c r="P36" s="24"/>
      <c r="Q36" s="24"/>
      <c r="R36" s="24"/>
      <c r="S36" s="24"/>
      <c r="T36" s="25"/>
    </row>
    <row r="37" spans="2:20">
      <c r="B37" s="23"/>
      <c r="C37" s="24"/>
      <c r="D37" s="24" t="s">
        <v>106</v>
      </c>
      <c r="E37" s="24"/>
      <c r="F37" s="24"/>
      <c r="G37" s="24"/>
      <c r="H37" s="24"/>
      <c r="I37" s="24"/>
      <c r="J37" s="24"/>
      <c r="K37" s="24"/>
      <c r="L37" s="24"/>
      <c r="M37" s="24"/>
      <c r="N37" s="24"/>
      <c r="O37" s="24"/>
      <c r="P37" s="24"/>
      <c r="Q37" s="24"/>
      <c r="R37" s="24"/>
      <c r="S37" s="24"/>
      <c r="T37" s="25"/>
    </row>
    <row r="38" spans="2:20">
      <c r="B38" s="23"/>
      <c r="C38" s="24"/>
      <c r="D38" s="24" t="s">
        <v>107</v>
      </c>
      <c r="E38" s="24"/>
      <c r="F38" s="24"/>
      <c r="G38" s="24"/>
      <c r="H38" s="24"/>
      <c r="I38" s="24"/>
      <c r="J38" s="24"/>
      <c r="K38" s="24"/>
      <c r="L38" s="24"/>
      <c r="M38" s="24"/>
      <c r="N38" s="24"/>
      <c r="O38" s="24"/>
      <c r="P38" s="24"/>
      <c r="Q38" s="24"/>
      <c r="R38" s="24"/>
      <c r="S38" s="24"/>
      <c r="T38" s="25"/>
    </row>
    <row r="39" spans="2:20">
      <c r="B39" s="23"/>
      <c r="C39" s="24"/>
      <c r="D39" s="24" t="s">
        <v>108</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109</v>
      </c>
      <c r="D41" s="24"/>
      <c r="E41" s="24"/>
      <c r="F41" s="24"/>
      <c r="G41" s="24"/>
      <c r="H41" s="24"/>
      <c r="I41" s="24"/>
      <c r="J41" s="24"/>
      <c r="K41" s="24"/>
      <c r="L41" s="24"/>
      <c r="M41" s="24"/>
      <c r="N41" s="24"/>
      <c r="O41" s="24"/>
      <c r="P41" s="24"/>
      <c r="Q41" s="24"/>
      <c r="R41" s="24"/>
      <c r="S41" s="24"/>
      <c r="T41" s="25"/>
    </row>
    <row r="42" spans="2:20">
      <c r="B42" s="23"/>
      <c r="C42" s="24"/>
      <c r="D42" s="24" t="s">
        <v>110</v>
      </c>
      <c r="E42" s="24"/>
      <c r="F42" s="24"/>
      <c r="G42" s="24"/>
      <c r="H42" s="24"/>
      <c r="I42" s="24"/>
      <c r="J42" s="24"/>
      <c r="K42" s="24"/>
      <c r="L42" s="24"/>
      <c r="M42" s="24"/>
      <c r="N42" s="24"/>
      <c r="O42" s="24"/>
      <c r="P42" s="24"/>
      <c r="Q42" s="24"/>
      <c r="R42" s="24"/>
      <c r="S42" s="24"/>
      <c r="T42" s="25"/>
    </row>
    <row r="43" spans="2:20">
      <c r="B43" s="23"/>
      <c r="C43" s="24"/>
      <c r="D43" s="24" t="s">
        <v>111</v>
      </c>
      <c r="E43" s="24"/>
      <c r="F43" s="24"/>
      <c r="G43" s="24"/>
      <c r="H43" s="24"/>
      <c r="I43" s="24"/>
      <c r="J43" s="24"/>
      <c r="K43" s="24"/>
      <c r="L43" s="24"/>
      <c r="M43" s="24"/>
      <c r="N43" s="24"/>
      <c r="O43" s="24"/>
      <c r="P43" s="24"/>
      <c r="Q43" s="24"/>
      <c r="R43" s="24"/>
      <c r="S43" s="24"/>
      <c r="T43" s="25"/>
    </row>
    <row r="44" spans="2:20">
      <c r="B44" s="23"/>
      <c r="C44" s="24"/>
      <c r="D44" s="24" t="s">
        <v>112</v>
      </c>
      <c r="E44" s="24"/>
      <c r="F44" s="24"/>
      <c r="G44" s="24"/>
      <c r="H44" s="24"/>
      <c r="I44" s="24"/>
      <c r="J44" s="24"/>
      <c r="K44" s="24"/>
      <c r="L44" s="24"/>
      <c r="M44" s="24"/>
      <c r="N44" s="24"/>
      <c r="O44" s="24"/>
      <c r="P44" s="24"/>
      <c r="Q44" s="24"/>
      <c r="R44" s="24"/>
      <c r="S44" s="24"/>
      <c r="T44" s="25"/>
    </row>
    <row r="45" spans="2:20">
      <c r="B45" s="23"/>
      <c r="C45" s="24"/>
      <c r="D45" s="24" t="s">
        <v>113</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582"/>
  <sheetViews>
    <sheetView showGridLines="0" topLeftCell="H289" zoomScale="76" zoomScaleNormal="76" workbookViewId="0">
      <selection activeCell="N295" sqref="N295:O295"/>
    </sheetView>
  </sheetViews>
  <sheetFormatPr defaultColWidth="10.4140625" defaultRowHeight="14.5"/>
  <cols>
    <col min="1" max="1" width="10.4140625" style="94"/>
    <col min="2" max="2" width="15.33203125" style="94" customWidth="1"/>
    <col min="3" max="3" width="19.1640625" style="94" customWidth="1"/>
    <col min="4" max="7" width="10.4140625" style="94"/>
    <col min="8" max="8" width="34.4140625" style="94" bestFit="1" customWidth="1"/>
    <col min="9" max="9" width="25.4140625" style="94" bestFit="1" customWidth="1"/>
    <col min="10" max="10" width="16.5" style="94" customWidth="1"/>
    <col min="11" max="21" width="10.4140625" style="94"/>
    <col min="22" max="22" width="43.6640625" style="94" bestFit="1" customWidth="1"/>
    <col min="23" max="23" width="25.4140625" style="94" bestFit="1" customWidth="1"/>
    <col min="24" max="16384" width="10.4140625" style="94"/>
  </cols>
  <sheetData>
    <row r="2" spans="1:42" s="121" customFormat="1" ht="18.5">
      <c r="A2" s="93" t="s">
        <v>1574</v>
      </c>
      <c r="B2" s="93"/>
      <c r="C2" s="93"/>
      <c r="D2" s="93"/>
      <c r="E2" s="93"/>
      <c r="F2" s="93"/>
      <c r="G2" s="93"/>
      <c r="H2" s="93"/>
      <c r="I2" s="93"/>
      <c r="J2" s="93"/>
      <c r="K2" s="93"/>
      <c r="L2" s="93"/>
      <c r="M2" s="93"/>
      <c r="N2" s="93"/>
      <c r="O2" s="93"/>
      <c r="P2" s="93"/>
      <c r="Q2" s="93"/>
      <c r="R2" s="93"/>
      <c r="S2" s="93"/>
      <c r="T2" s="93"/>
      <c r="U2" s="93"/>
      <c r="V2" s="93"/>
      <c r="W2" s="93"/>
      <c r="X2" s="93"/>
      <c r="Y2" s="93"/>
      <c r="Z2" s="93"/>
    </row>
    <row r="3" spans="1:42">
      <c r="C3" s="95"/>
      <c r="K3" s="95"/>
      <c r="R3" s="95"/>
    </row>
    <row r="4" spans="1:42">
      <c r="C4" s="96"/>
      <c r="D4" s="97"/>
      <c r="E4" s="97"/>
      <c r="F4" s="97"/>
      <c r="G4" s="98"/>
    </row>
    <row r="5" spans="1:42" ht="15.5">
      <c r="B5" s="1067" t="s">
        <v>20</v>
      </c>
      <c r="C5" s="1068" t="s">
        <v>2765</v>
      </c>
      <c r="I5" s="1067" t="s">
        <v>20</v>
      </c>
      <c r="J5" s="1068" t="s">
        <v>2765</v>
      </c>
      <c r="O5" s="492"/>
      <c r="AL5"/>
      <c r="AM5"/>
    </row>
    <row r="6" spans="1:42" ht="15.5">
      <c r="B6" s="1067" t="s">
        <v>34</v>
      </c>
      <c r="C6" s="1068" t="s">
        <v>34</v>
      </c>
      <c r="I6" s="1067" t="s">
        <v>34</v>
      </c>
      <c r="J6" s="1068" t="s">
        <v>34</v>
      </c>
      <c r="O6" s="492"/>
      <c r="AL6" s="363"/>
      <c r="AM6" s="363"/>
      <c r="AN6" s="363"/>
    </row>
    <row r="7" spans="1:42" ht="15.5">
      <c r="B7" s="1075" t="s">
        <v>21</v>
      </c>
      <c r="C7" s="1068" t="s">
        <v>37</v>
      </c>
      <c r="I7" s="1075" t="s">
        <v>21</v>
      </c>
      <c r="J7" s="1068" t="s">
        <v>515</v>
      </c>
      <c r="O7" s="492"/>
      <c r="AL7" s="363"/>
      <c r="AM7" s="363"/>
      <c r="AN7" s="363"/>
    </row>
    <row r="8" spans="1:42" ht="15.5">
      <c r="B8" s="1067" t="s">
        <v>134</v>
      </c>
      <c r="C8" s="1068" t="s">
        <v>1476</v>
      </c>
      <c r="I8" s="1067" t="s">
        <v>134</v>
      </c>
      <c r="J8" s="1068" t="s">
        <v>1476</v>
      </c>
      <c r="O8" s="492"/>
      <c r="AE8" s="151"/>
      <c r="AL8" s="363"/>
      <c r="AM8" s="363"/>
      <c r="AN8" s="363"/>
    </row>
    <row r="9" spans="1:42" s="99" customFormat="1" ht="15.5">
      <c r="B9" s="101"/>
      <c r="C9" s="94"/>
      <c r="D9" s="151" t="s">
        <v>43</v>
      </c>
      <c r="E9" s="94"/>
      <c r="F9" s="94"/>
      <c r="I9" s="363"/>
      <c r="J9" s="94"/>
      <c r="K9" s="151" t="s">
        <v>43</v>
      </c>
      <c r="L9" s="94"/>
      <c r="M9" s="94"/>
      <c r="O9" s="94"/>
      <c r="P9" s="151"/>
      <c r="Q9" s="94"/>
      <c r="R9" s="94"/>
      <c r="S9" s="94"/>
      <c r="AE9"/>
      <c r="AF9"/>
      <c r="AG9"/>
      <c r="AH9" s="400"/>
      <c r="AI9" s="377"/>
      <c r="AJ9" s="377"/>
      <c r="AK9" s="378"/>
      <c r="AL9" s="365"/>
      <c r="AM9" s="365"/>
      <c r="AN9" s="365"/>
      <c r="AO9" s="377"/>
      <c r="AP9" s="377"/>
    </row>
    <row r="10" spans="1:42" s="99" customFormat="1" ht="15.5">
      <c r="B10" s="1069" t="s">
        <v>22</v>
      </c>
      <c r="C10" s="1068" t="s">
        <v>2588</v>
      </c>
      <c r="D10" s="1070" t="s">
        <v>1485</v>
      </c>
      <c r="E10" s="1068" t="s">
        <v>2141</v>
      </c>
      <c r="F10" s="1068" t="s">
        <v>2142</v>
      </c>
      <c r="G10" s="1068" t="s">
        <v>2143</v>
      </c>
      <c r="I10" s="1069" t="s">
        <v>1283</v>
      </c>
      <c r="J10" s="1068" t="s">
        <v>2588</v>
      </c>
      <c r="K10" s="1070" t="s">
        <v>1485</v>
      </c>
      <c r="L10" s="1068" t="s">
        <v>2141</v>
      </c>
      <c r="M10" s="1068" t="s">
        <v>2142</v>
      </c>
      <c r="N10" s="1068" t="s">
        <v>2144</v>
      </c>
      <c r="O10"/>
      <c r="P10"/>
      <c r="Q10"/>
      <c r="R10"/>
      <c r="S10" s="426"/>
      <c r="T10" s="378"/>
      <c r="U10" s="378"/>
      <c r="V10" s="378"/>
      <c r="W10" s="378"/>
      <c r="X10" s="378"/>
      <c r="Y10" s="378"/>
      <c r="Z10" s="378"/>
      <c r="AA10" s="378"/>
      <c r="AB10" s="378"/>
      <c r="AC10" s="378"/>
      <c r="AD10" s="378"/>
      <c r="AE10" s="426"/>
      <c r="AF10" s="426"/>
      <c r="AG10" s="426"/>
      <c r="AH10" s="426"/>
      <c r="AI10" s="426"/>
      <c r="AJ10" s="426"/>
      <c r="AK10" s="378"/>
      <c r="AL10" s="426"/>
      <c r="AM10" s="426"/>
      <c r="AN10" s="426"/>
      <c r="AO10" s="426"/>
      <c r="AP10" s="426"/>
    </row>
    <row r="11" spans="1:42" ht="15.5">
      <c r="B11" s="1071" t="s">
        <v>195</v>
      </c>
      <c r="C11" s="1072">
        <v>8</v>
      </c>
      <c r="D11" s="1073">
        <v>7005</v>
      </c>
      <c r="E11" s="1074">
        <v>0</v>
      </c>
      <c r="F11" s="1074">
        <v>0.23511777301927195</v>
      </c>
      <c r="G11" s="1074">
        <v>0.16002855103497504</v>
      </c>
      <c r="I11" s="1071" t="s">
        <v>534</v>
      </c>
      <c r="J11" s="1072">
        <v>2</v>
      </c>
      <c r="K11" s="1073">
        <v>401</v>
      </c>
      <c r="L11" s="1074">
        <v>0</v>
      </c>
      <c r="M11" s="1074">
        <v>0</v>
      </c>
      <c r="N11" s="1074">
        <v>0</v>
      </c>
      <c r="O11"/>
      <c r="P11"/>
      <c r="Q11"/>
      <c r="R11"/>
      <c r="S11"/>
      <c r="U11" s="159"/>
      <c r="AE11"/>
      <c r="AF11"/>
      <c r="AG11"/>
      <c r="AH11"/>
      <c r="AI11"/>
      <c r="AJ11"/>
      <c r="AL11" s="363"/>
      <c r="AM11" s="363"/>
      <c r="AN11" s="363"/>
      <c r="AO11"/>
      <c r="AP11"/>
    </row>
    <row r="12" spans="1:42" ht="15.5">
      <c r="B12" s="1071" t="s">
        <v>146</v>
      </c>
      <c r="C12" s="1072">
        <v>3</v>
      </c>
      <c r="D12" s="1073">
        <v>2525</v>
      </c>
      <c r="E12" s="1074">
        <v>0.37069306930693069</v>
      </c>
      <c r="F12" s="1074">
        <v>0.28514851485148518</v>
      </c>
      <c r="G12" s="1074">
        <v>8.0792079207920753E-2</v>
      </c>
      <c r="I12" s="1071" t="s">
        <v>519</v>
      </c>
      <c r="J12" s="1072">
        <v>15</v>
      </c>
      <c r="K12" s="1073">
        <v>4714</v>
      </c>
      <c r="L12" s="1074">
        <v>6.2084570782067416E-2</v>
      </c>
      <c r="M12" s="1074">
        <v>8.59142978362325E-2</v>
      </c>
      <c r="N12" s="1074">
        <v>0.21913449299957577</v>
      </c>
      <c r="O12"/>
      <c r="P12"/>
      <c r="Q12"/>
      <c r="R12"/>
      <c r="S12"/>
      <c r="U12" s="363"/>
      <c r="AE12"/>
      <c r="AF12"/>
      <c r="AG12"/>
      <c r="AH12"/>
      <c r="AI12"/>
      <c r="AJ12"/>
      <c r="AL12" s="363"/>
      <c r="AM12" s="363"/>
      <c r="AN12" s="363"/>
      <c r="AO12"/>
      <c r="AP12"/>
    </row>
    <row r="13" spans="1:42" ht="15.5">
      <c r="B13" s="1071" t="s">
        <v>148</v>
      </c>
      <c r="C13" s="1072">
        <v>19</v>
      </c>
      <c r="D13" s="1073">
        <v>3816</v>
      </c>
      <c r="E13" s="1074">
        <v>0.17147099930118792</v>
      </c>
      <c r="F13" s="1074">
        <v>0.33857442348008382</v>
      </c>
      <c r="G13" s="1074">
        <v>0.1632599580712788</v>
      </c>
      <c r="I13" s="1071" t="s">
        <v>960</v>
      </c>
      <c r="J13" s="1072">
        <v>5</v>
      </c>
      <c r="K13" s="1073">
        <v>304</v>
      </c>
      <c r="L13" s="1074">
        <v>0.32565789473684215</v>
      </c>
      <c r="M13" s="1074">
        <v>0</v>
      </c>
      <c r="N13" s="1074">
        <v>1</v>
      </c>
      <c r="O13"/>
      <c r="P13"/>
      <c r="Q13"/>
      <c r="R13"/>
      <c r="S13"/>
      <c r="U13" s="363"/>
      <c r="AB13"/>
      <c r="AE13"/>
      <c r="AF13"/>
      <c r="AG13"/>
      <c r="AH13"/>
      <c r="AI13"/>
      <c r="AJ13"/>
      <c r="AL13" s="363"/>
      <c r="AM13" s="363"/>
      <c r="AN13" s="363"/>
      <c r="AO13"/>
      <c r="AP13"/>
    </row>
    <row r="14" spans="1:42" ht="15.5">
      <c r="B14" s="1071" t="s">
        <v>587</v>
      </c>
      <c r="C14" s="1072">
        <v>1</v>
      </c>
      <c r="D14" s="1073">
        <v>591</v>
      </c>
      <c r="E14" s="1074">
        <v>0</v>
      </c>
      <c r="F14" s="1074">
        <v>0</v>
      </c>
      <c r="G14" s="1074">
        <v>0</v>
      </c>
      <c r="I14" s="1071" t="s">
        <v>961</v>
      </c>
      <c r="J14" s="1072">
        <v>1</v>
      </c>
      <c r="K14" s="1073">
        <v>103</v>
      </c>
      <c r="L14" s="1074">
        <v>0</v>
      </c>
      <c r="M14" s="1074">
        <v>0</v>
      </c>
      <c r="N14" s="1074">
        <v>1</v>
      </c>
      <c r="O14"/>
      <c r="P14"/>
      <c r="Q14"/>
      <c r="R14"/>
      <c r="S14"/>
      <c r="U14" s="363"/>
      <c r="AB14"/>
      <c r="AE14"/>
      <c r="AF14"/>
      <c r="AG14"/>
      <c r="AH14"/>
      <c r="AI14"/>
      <c r="AJ14"/>
      <c r="AL14" s="363"/>
      <c r="AM14" s="363"/>
      <c r="AN14" s="363"/>
      <c r="AO14"/>
      <c r="AP14"/>
    </row>
    <row r="15" spans="1:42" ht="15.5">
      <c r="B15" s="1071" t="s">
        <v>38</v>
      </c>
      <c r="C15" s="1072">
        <v>10</v>
      </c>
      <c r="D15" s="1073">
        <v>12486</v>
      </c>
      <c r="E15" s="1074">
        <v>0.24125687436595644</v>
      </c>
      <c r="F15" s="1074">
        <v>6.7195258689732529E-2</v>
      </c>
      <c r="G15" s="1074">
        <v>0.21520102514816597</v>
      </c>
      <c r="I15" s="1071" t="s">
        <v>963</v>
      </c>
      <c r="J15" s="1072">
        <v>1</v>
      </c>
      <c r="K15" s="1073">
        <v>1674</v>
      </c>
      <c r="L15" s="1074">
        <v>4.4205495818399054E-2</v>
      </c>
      <c r="M15" s="1074">
        <v>0.83273596176821985</v>
      </c>
      <c r="N15" s="1074">
        <v>1</v>
      </c>
      <c r="O15"/>
      <c r="P15"/>
      <c r="Q15"/>
      <c r="R15"/>
      <c r="S15"/>
      <c r="U15" s="363"/>
      <c r="AA15"/>
      <c r="AB15"/>
      <c r="AE15"/>
      <c r="AF15"/>
      <c r="AG15"/>
      <c r="AH15"/>
      <c r="AI15"/>
      <c r="AJ15"/>
      <c r="AL15" s="363"/>
      <c r="AM15" s="363"/>
      <c r="AN15" s="363"/>
      <c r="AO15"/>
      <c r="AP15"/>
    </row>
    <row r="16" spans="1:42" ht="15.5">
      <c r="B16" s="1071" t="s">
        <v>152</v>
      </c>
      <c r="C16" s="1072">
        <v>8</v>
      </c>
      <c r="D16" s="1073">
        <v>1896</v>
      </c>
      <c r="E16" s="1074">
        <v>0</v>
      </c>
      <c r="F16" s="1074">
        <v>0.30432489451476796</v>
      </c>
      <c r="G16" s="1074">
        <v>0.27109704641350207</v>
      </c>
      <c r="I16" s="1071" t="s">
        <v>522</v>
      </c>
      <c r="J16" s="1072">
        <v>2</v>
      </c>
      <c r="K16" s="1073">
        <v>282</v>
      </c>
      <c r="L16" s="1074">
        <v>0</v>
      </c>
      <c r="M16" s="1074">
        <v>0</v>
      </c>
      <c r="N16" s="1074">
        <v>0</v>
      </c>
      <c r="O16"/>
      <c r="P16"/>
      <c r="Q16"/>
      <c r="R16"/>
      <c r="S16"/>
      <c r="U16" s="363"/>
      <c r="AA16"/>
      <c r="AB16"/>
      <c r="AE16"/>
      <c r="AF16"/>
      <c r="AG16"/>
      <c r="AH16"/>
      <c r="AI16"/>
      <c r="AJ16"/>
      <c r="AL16" s="363"/>
      <c r="AM16" s="363"/>
      <c r="AN16" s="363"/>
      <c r="AO16"/>
      <c r="AP16"/>
    </row>
    <row r="17" spans="1:42" ht="15.5">
      <c r="B17" s="1071" t="s">
        <v>157</v>
      </c>
      <c r="C17" s="1072">
        <v>2</v>
      </c>
      <c r="D17" s="1073">
        <v>198</v>
      </c>
      <c r="E17" s="1074">
        <v>0</v>
      </c>
      <c r="F17" s="1074">
        <v>0.15151515151515149</v>
      </c>
      <c r="G17" s="1074">
        <v>0.65656565656565657</v>
      </c>
      <c r="I17" s="1071" t="s">
        <v>525</v>
      </c>
      <c r="J17" s="1072">
        <v>3</v>
      </c>
      <c r="K17" s="1073">
        <v>1149</v>
      </c>
      <c r="L17" s="1074">
        <v>0.18711923411662312</v>
      </c>
      <c r="M17" s="1074">
        <v>0.3037423846823325</v>
      </c>
      <c r="N17" s="1074">
        <v>0.18711923411662312</v>
      </c>
      <c r="O17"/>
      <c r="P17"/>
      <c r="Q17"/>
      <c r="R17"/>
      <c r="S17"/>
      <c r="AA17"/>
      <c r="AB17"/>
      <c r="AE17"/>
      <c r="AF17"/>
      <c r="AG17"/>
      <c r="AH17"/>
      <c r="AI17"/>
      <c r="AJ17"/>
      <c r="AL17" s="363"/>
      <c r="AM17" s="363"/>
      <c r="AN17" s="363"/>
      <c r="AO17"/>
      <c r="AP17"/>
    </row>
    <row r="18" spans="1:42" ht="15.5">
      <c r="B18" s="1071" t="s">
        <v>205</v>
      </c>
      <c r="C18" s="1072">
        <v>19</v>
      </c>
      <c r="D18" s="1073">
        <v>35412</v>
      </c>
      <c r="E18" s="1074">
        <v>0.63948190820437523</v>
      </c>
      <c r="F18" s="1074">
        <v>0.38995255845476107</v>
      </c>
      <c r="G18" s="1074">
        <v>0.46170789562860048</v>
      </c>
      <c r="I18" s="1071" t="s">
        <v>516</v>
      </c>
      <c r="J18" s="1072">
        <v>5</v>
      </c>
      <c r="K18" s="1073">
        <v>1255</v>
      </c>
      <c r="L18" s="1074">
        <v>0</v>
      </c>
      <c r="M18" s="1074">
        <v>0.11155378486055778</v>
      </c>
      <c r="N18" s="1074">
        <v>0.2573705179282868</v>
      </c>
      <c r="O18"/>
      <c r="P18"/>
      <c r="Q18"/>
      <c r="R18"/>
      <c r="S18"/>
      <c r="AA18"/>
      <c r="AB18"/>
      <c r="AE18"/>
      <c r="AF18"/>
      <c r="AG18"/>
      <c r="AL18" s="363"/>
      <c r="AM18" s="363"/>
      <c r="AN18" s="363"/>
      <c r="AO18"/>
      <c r="AP18"/>
    </row>
    <row r="19" spans="1:42" ht="15.5">
      <c r="B19" s="1071" t="s">
        <v>159</v>
      </c>
      <c r="C19" s="1072">
        <v>25</v>
      </c>
      <c r="D19" s="1073">
        <v>11502</v>
      </c>
      <c r="E19" s="1074">
        <v>3.0255607720396482E-2</v>
      </c>
      <c r="F19" s="1074">
        <v>0.28534167970787694</v>
      </c>
      <c r="G19" s="1074">
        <v>0.53268996696226745</v>
      </c>
      <c r="I19" s="1071" t="s">
        <v>536</v>
      </c>
      <c r="J19" s="1072">
        <v>4</v>
      </c>
      <c r="K19" s="1073">
        <v>615</v>
      </c>
      <c r="L19" s="1074">
        <v>0</v>
      </c>
      <c r="M19" s="1074">
        <v>9.2682926829268264E-2</v>
      </c>
      <c r="N19" s="1074">
        <v>0.12520325203252036</v>
      </c>
      <c r="O19"/>
      <c r="P19"/>
      <c r="Q19"/>
      <c r="R19"/>
      <c r="S19"/>
      <c r="AA19"/>
      <c r="AB19"/>
      <c r="AE19"/>
      <c r="AF19"/>
      <c r="AG19"/>
      <c r="AL19"/>
      <c r="AM19"/>
    </row>
    <row r="20" spans="1:42" ht="15.5">
      <c r="B20" s="1071" t="s">
        <v>214</v>
      </c>
      <c r="C20" s="1072">
        <v>3</v>
      </c>
      <c r="D20" s="1073">
        <v>1879</v>
      </c>
      <c r="E20" s="1074">
        <v>0</v>
      </c>
      <c r="F20" s="1074">
        <v>0.74135178286322512</v>
      </c>
      <c r="G20" s="1074">
        <v>0.84034060670569455</v>
      </c>
      <c r="I20" s="1071" t="s">
        <v>1285</v>
      </c>
      <c r="J20" s="1072">
        <v>38</v>
      </c>
      <c r="K20" s="1073">
        <v>10497</v>
      </c>
      <c r="L20" s="1074">
        <v>6.4843923660728442E-2</v>
      </c>
      <c r="M20" s="1074">
        <v>0.22339716109364582</v>
      </c>
      <c r="N20" s="1074">
        <v>0.35524435553015143</v>
      </c>
      <c r="P20" s="420"/>
      <c r="Q20" s="420"/>
      <c r="R20"/>
      <c r="S20"/>
      <c r="T20"/>
      <c r="AA20"/>
      <c r="AB20"/>
      <c r="AE20"/>
      <c r="AF20"/>
      <c r="AG20"/>
      <c r="AL20"/>
      <c r="AM20"/>
    </row>
    <row r="21" spans="1:42" ht="15.5">
      <c r="B21" s="1071" t="s">
        <v>184</v>
      </c>
      <c r="C21" s="1072">
        <v>2</v>
      </c>
      <c r="D21" s="1073">
        <v>676</v>
      </c>
      <c r="E21" s="1074">
        <v>0</v>
      </c>
      <c r="F21" s="1074">
        <v>0</v>
      </c>
      <c r="G21" s="1074">
        <v>0.52218934911242609</v>
      </c>
      <c r="I21"/>
      <c r="J21"/>
      <c r="K21"/>
      <c r="L21"/>
      <c r="M21"/>
      <c r="N21"/>
      <c r="P21" s="420"/>
      <c r="Q21" s="420"/>
      <c r="R21"/>
      <c r="S21"/>
      <c r="T21"/>
      <c r="U21"/>
      <c r="AA21"/>
      <c r="AB21"/>
      <c r="AE21"/>
      <c r="AF21"/>
      <c r="AG21"/>
      <c r="AL21"/>
      <c r="AM21"/>
    </row>
    <row r="22" spans="1:42" ht="15.5">
      <c r="B22" s="1071" t="s">
        <v>863</v>
      </c>
      <c r="C22" s="1072">
        <v>3</v>
      </c>
      <c r="D22" s="1073">
        <v>1277</v>
      </c>
      <c r="E22" s="1074">
        <v>0</v>
      </c>
      <c r="F22" s="1074">
        <v>0.57478465152701652</v>
      </c>
      <c r="G22" s="1074">
        <v>0.47611589663273302</v>
      </c>
      <c r="P22" s="420"/>
      <c r="Q22" s="420"/>
      <c r="R22" s="363"/>
      <c r="AA22"/>
      <c r="AB22"/>
      <c r="AE22"/>
      <c r="AF22"/>
      <c r="AG22"/>
      <c r="AL22"/>
      <c r="AM22"/>
    </row>
    <row r="23" spans="1:42" ht="15.5">
      <c r="B23" s="1071" t="s">
        <v>142</v>
      </c>
      <c r="C23" s="1072">
        <v>25</v>
      </c>
      <c r="D23" s="1073">
        <v>27953</v>
      </c>
      <c r="E23" s="1074">
        <v>0.5149834841817813</v>
      </c>
      <c r="F23" s="1074">
        <v>0.27725110006081632</v>
      </c>
      <c r="G23" s="1074">
        <v>0.43812828676707327</v>
      </c>
      <c r="I23" s="417"/>
      <c r="J23" s="417"/>
      <c r="K23" s="417"/>
      <c r="L23" s="417"/>
      <c r="M23" s="417"/>
      <c r="N23" s="417"/>
      <c r="O23" s="417"/>
      <c r="P23" s="417"/>
      <c r="Q23" s="420"/>
      <c r="R23" s="363"/>
      <c r="AA23"/>
      <c r="AB23"/>
      <c r="AF23"/>
      <c r="AG23"/>
      <c r="AL23"/>
      <c r="AM23"/>
    </row>
    <row r="24" spans="1:42" ht="15.5">
      <c r="B24" s="1071" t="s">
        <v>1285</v>
      </c>
      <c r="C24" s="1072">
        <v>128</v>
      </c>
      <c r="D24" s="1073">
        <v>107216</v>
      </c>
      <c r="E24" s="1074">
        <v>0.39165174352086762</v>
      </c>
      <c r="F24" s="1074">
        <v>0.29914378450977464</v>
      </c>
      <c r="G24" s="1074">
        <v>0.39679711983286081</v>
      </c>
      <c r="I24" s="417"/>
      <c r="J24" s="417"/>
      <c r="K24" s="417"/>
      <c r="L24" s="417"/>
      <c r="M24" s="417"/>
      <c r="N24" s="417"/>
      <c r="O24" s="417"/>
      <c r="P24" s="417"/>
      <c r="Q24" s="420"/>
      <c r="R24" s="363"/>
      <c r="AF24"/>
      <c r="AG24"/>
      <c r="AL24"/>
      <c r="AM24"/>
    </row>
    <row r="25" spans="1:42" ht="15.5">
      <c r="A25" s="420"/>
      <c r="B25"/>
      <c r="C25"/>
      <c r="D25"/>
      <c r="E25"/>
      <c r="F25"/>
      <c r="G25"/>
      <c r="H25" s="420"/>
      <c r="I25" s="417"/>
      <c r="J25" s="417"/>
      <c r="K25" s="417"/>
      <c r="L25" s="417"/>
      <c r="M25" s="417"/>
      <c r="N25" s="417"/>
      <c r="O25" s="417"/>
      <c r="P25" s="417"/>
      <c r="Q25" s="420"/>
      <c r="R25" s="363"/>
      <c r="S25" s="151"/>
      <c r="AA25" s="377"/>
      <c r="AB25" s="377"/>
      <c r="AE25" s="377"/>
      <c r="AF25" s="365"/>
      <c r="AG25" s="365"/>
      <c r="AH25" s="377"/>
      <c r="AI25" s="377"/>
      <c r="AJ25" s="377"/>
      <c r="AK25" s="377"/>
      <c r="AL25" s="365"/>
      <c r="AM25" s="365"/>
      <c r="AN25" s="377"/>
      <c r="AO25" s="377"/>
      <c r="AP25" s="377"/>
    </row>
    <row r="26" spans="1:42" ht="15.5">
      <c r="A26" s="420"/>
      <c r="B26" s="420"/>
      <c r="C26" s="420"/>
      <c r="D26" s="420"/>
      <c r="E26" s="420"/>
      <c r="F26" s="420"/>
      <c r="G26" s="420"/>
      <c r="H26" s="420"/>
      <c r="I26" s="417"/>
      <c r="J26" s="417"/>
      <c r="K26" s="417"/>
      <c r="L26" s="417"/>
      <c r="M26" s="417"/>
      <c r="N26" s="417"/>
      <c r="O26" s="417"/>
      <c r="P26" s="417"/>
      <c r="Q26" s="420"/>
      <c r="R26" s="365"/>
      <c r="S26" s="365"/>
      <c r="T26" s="365"/>
      <c r="U26" s="365"/>
      <c r="AA26" s="377"/>
      <c r="AB26" s="377"/>
      <c r="AC26" s="365"/>
      <c r="AD26" s="365"/>
      <c r="AE26" s="377"/>
      <c r="AF26" s="365"/>
      <c r="AG26" s="365"/>
      <c r="AH26" s="377"/>
      <c r="AI26" s="377"/>
      <c r="AJ26" s="377"/>
      <c r="AK26" s="377"/>
      <c r="AL26" s="365"/>
      <c r="AM26" s="365"/>
      <c r="AN26" s="377"/>
      <c r="AO26" s="377"/>
      <c r="AP26" s="377"/>
    </row>
    <row r="27" spans="1:42" s="104" customFormat="1" ht="18.5">
      <c r="A27" s="416"/>
      <c r="B27" s="507"/>
      <c r="C27" s="507"/>
      <c r="D27" s="508"/>
      <c r="E27" s="509"/>
      <c r="F27" s="509"/>
      <c r="G27" s="509"/>
      <c r="H27" s="418"/>
      <c r="I27" s="417"/>
      <c r="J27" s="417"/>
      <c r="K27" s="417"/>
      <c r="L27" s="417"/>
      <c r="M27" s="417"/>
      <c r="N27" s="417"/>
      <c r="O27" s="417"/>
      <c r="P27" s="417"/>
      <c r="Q27" s="417"/>
      <c r="R27" s="417"/>
      <c r="S27" s="417"/>
      <c r="T27" s="417"/>
      <c r="U27" s="417"/>
      <c r="V27" s="417"/>
      <c r="W27" s="417"/>
      <c r="X27" s="417"/>
      <c r="Y27" s="417"/>
      <c r="Z27" s="417"/>
      <c r="AC27" s="438"/>
      <c r="AF27" s="438"/>
      <c r="AL27" s="438"/>
      <c r="AM27" s="438"/>
    </row>
    <row r="28" spans="1:42" s="104" customFormat="1" ht="18.5">
      <c r="A28" s="416"/>
      <c r="B28" s="507"/>
      <c r="C28" s="507"/>
      <c r="D28" s="508"/>
      <c r="E28" s="509"/>
      <c r="F28" s="509"/>
      <c r="G28" s="509"/>
      <c r="H28" s="418"/>
      <c r="O28" s="417"/>
      <c r="P28" s="417"/>
      <c r="Q28" s="417"/>
      <c r="R28" s="417"/>
      <c r="S28" s="417"/>
      <c r="T28" s="417"/>
      <c r="U28" s="417"/>
      <c r="V28" s="417"/>
      <c r="W28" s="417"/>
      <c r="X28" s="417"/>
      <c r="Y28" s="417"/>
      <c r="Z28" s="417"/>
      <c r="AC28" s="438"/>
      <c r="AF28" s="438"/>
      <c r="AL28" s="438"/>
      <c r="AM28" s="438"/>
    </row>
    <row r="29" spans="1:42" ht="18.5">
      <c r="A29" s="146" t="s">
        <v>1582</v>
      </c>
      <c r="B29" s="413"/>
      <c r="C29" s="413"/>
      <c r="D29" s="413"/>
      <c r="E29" s="413"/>
      <c r="F29" s="413"/>
      <c r="G29" s="413"/>
      <c r="H29" s="413"/>
      <c r="I29" s="414"/>
      <c r="J29" s="415"/>
      <c r="K29" s="415"/>
      <c r="L29" s="415"/>
      <c r="M29" s="102"/>
      <c r="N29" s="102"/>
      <c r="O29" s="102"/>
      <c r="P29" s="102"/>
      <c r="Q29" s="102"/>
      <c r="R29" s="102"/>
      <c r="S29" s="102"/>
      <c r="T29" s="102"/>
      <c r="U29" s="102"/>
      <c r="V29" s="102"/>
      <c r="W29" s="102"/>
      <c r="X29" s="102"/>
      <c r="Y29" s="102"/>
      <c r="Z29" s="102"/>
      <c r="AC29" s="363"/>
      <c r="AF29" s="363"/>
      <c r="AL29" s="363"/>
      <c r="AM29" s="363"/>
    </row>
    <row r="30" spans="1:42" ht="15.5">
      <c r="B30"/>
      <c r="C30"/>
      <c r="D30"/>
      <c r="E30"/>
      <c r="F30"/>
      <c r="G30"/>
      <c r="AC30"/>
      <c r="AF30"/>
      <c r="AL30"/>
      <c r="AM30"/>
    </row>
    <row r="31" spans="1:42" ht="15.5">
      <c r="B31"/>
      <c r="C31"/>
      <c r="D31"/>
      <c r="E31"/>
      <c r="F31"/>
      <c r="R31" s="712"/>
      <c r="S31" s="712"/>
      <c r="AC31"/>
      <c r="AL31"/>
      <c r="AM31"/>
    </row>
    <row r="32" spans="1:42" ht="15.5">
      <c r="B32"/>
      <c r="C32"/>
      <c r="D32"/>
      <c r="E32"/>
      <c r="F32"/>
      <c r="R32" s="420"/>
      <c r="S32" s="420"/>
      <c r="AC32"/>
      <c r="AL32"/>
    </row>
    <row r="33" spans="2:38" ht="15.5">
      <c r="B33" s="1067" t="s">
        <v>20</v>
      </c>
      <c r="C33" s="1068" t="s">
        <v>2765</v>
      </c>
      <c r="I33" s="1067" t="s">
        <v>20</v>
      </c>
      <c r="J33" s="1068" t="s">
        <v>2765</v>
      </c>
      <c r="R33" s="712"/>
      <c r="S33" s="712"/>
      <c r="AC33"/>
      <c r="AL33"/>
    </row>
    <row r="34" spans="2:38" ht="15.5">
      <c r="B34" s="1075" t="s">
        <v>21</v>
      </c>
      <c r="C34" s="1075" t="s">
        <v>37</v>
      </c>
      <c r="I34" s="1075" t="s">
        <v>21</v>
      </c>
      <c r="J34" s="1068" t="s">
        <v>515</v>
      </c>
      <c r="R34" s="712"/>
      <c r="S34" s="712"/>
      <c r="AC34"/>
      <c r="AL34"/>
    </row>
    <row r="35" spans="2:38" ht="15.5">
      <c r="B35" s="1067" t="s">
        <v>34</v>
      </c>
      <c r="C35" s="1068" t="s">
        <v>34</v>
      </c>
      <c r="I35" s="1067" t="s">
        <v>34</v>
      </c>
      <c r="J35" s="1068" t="s">
        <v>34</v>
      </c>
      <c r="AC35"/>
      <c r="AL35"/>
    </row>
    <row r="36" spans="2:38" ht="15.5">
      <c r="B36" s="1067" t="s">
        <v>134</v>
      </c>
      <c r="C36" s="1068" t="s">
        <v>1476</v>
      </c>
      <c r="I36" s="1067" t="s">
        <v>134</v>
      </c>
      <c r="J36" s="1068" t="s">
        <v>1476</v>
      </c>
      <c r="R36"/>
      <c r="S36"/>
      <c r="T36"/>
      <c r="U36"/>
      <c r="V36" s="377"/>
      <c r="W36" s="377"/>
      <c r="X36" s="377"/>
      <c r="Y36" s="377"/>
      <c r="Z36" s="377"/>
      <c r="AA36" s="377"/>
      <c r="AB36" s="377"/>
      <c r="AC36" s="377"/>
      <c r="AD36" s="377"/>
      <c r="AE36" s="377"/>
      <c r="AF36" s="377"/>
      <c r="AG36" s="377"/>
      <c r="AH36" s="377"/>
      <c r="AI36" s="377"/>
      <c r="AJ36" s="377"/>
      <c r="AK36" s="377"/>
      <c r="AL36" s="426"/>
    </row>
    <row r="37" spans="2:38" ht="15.5">
      <c r="R37"/>
      <c r="S37"/>
      <c r="T37"/>
      <c r="U37"/>
      <c r="AL37"/>
    </row>
    <row r="38" spans="2:38" ht="15.5">
      <c r="B38" s="1069" t="s">
        <v>1283</v>
      </c>
      <c r="C38" s="1068" t="s">
        <v>1290</v>
      </c>
      <c r="D38" s="1068" t="s">
        <v>1291</v>
      </c>
      <c r="E38"/>
      <c r="I38" s="1069" t="s">
        <v>1283</v>
      </c>
      <c r="J38" s="1068" t="s">
        <v>1290</v>
      </c>
      <c r="K38" s="1068" t="s">
        <v>1291</v>
      </c>
      <c r="L38"/>
      <c r="R38"/>
      <c r="S38"/>
      <c r="T38"/>
      <c r="U38"/>
      <c r="AL38"/>
    </row>
    <row r="39" spans="2:38" ht="15.5">
      <c r="B39" s="1071" t="s">
        <v>2865</v>
      </c>
      <c r="C39" s="1073">
        <v>48014.333333333336</v>
      </c>
      <c r="D39" s="1073">
        <v>13123.666666666668</v>
      </c>
      <c r="E39"/>
      <c r="I39" s="1071" t="s">
        <v>2865</v>
      </c>
      <c r="J39" s="1073">
        <v>9816.3333333333339</v>
      </c>
      <c r="K39" s="1073">
        <v>680.66666666666663</v>
      </c>
      <c r="L39"/>
    </row>
    <row r="40" spans="2:38" ht="15.5">
      <c r="B40" s="1071" t="s">
        <v>2866</v>
      </c>
      <c r="C40" s="1073">
        <v>17210.333333333336</v>
      </c>
      <c r="D40" s="1073">
        <v>28867.666666666664</v>
      </c>
      <c r="E40"/>
      <c r="I40"/>
      <c r="J40"/>
      <c r="K40"/>
      <c r="P40"/>
      <c r="Q40"/>
      <c r="R40"/>
    </row>
    <row r="41" spans="2:38" ht="15.5">
      <c r="B41"/>
      <c r="C41"/>
      <c r="D41"/>
      <c r="E41" s="101"/>
      <c r="F41" s="101"/>
      <c r="G41" s="101"/>
      <c r="H41" s="101"/>
      <c r="I41"/>
      <c r="J41"/>
      <c r="K41"/>
    </row>
    <row r="42" spans="2:38" ht="15.5">
      <c r="F42" s="101"/>
      <c r="G42" s="101"/>
      <c r="H42" s="101"/>
      <c r="I42"/>
      <c r="J42"/>
      <c r="K42"/>
    </row>
    <row r="46" spans="2:38">
      <c r="B46" s="101"/>
      <c r="C46" s="101"/>
      <c r="D46" s="101"/>
      <c r="F46" s="472"/>
      <c r="G46" s="101"/>
      <c r="H46" s="101"/>
      <c r="J46" s="101"/>
      <c r="K46" s="101"/>
      <c r="L46" s="101"/>
    </row>
    <row r="47" spans="2:38">
      <c r="B47" s="101"/>
      <c r="C47" s="101"/>
      <c r="D47" s="101"/>
      <c r="F47" s="101"/>
      <c r="G47" s="101"/>
      <c r="H47" s="101"/>
      <c r="J47" s="101"/>
      <c r="K47" s="101"/>
      <c r="L47" s="101"/>
    </row>
    <row r="48" spans="2:38" ht="15.5">
      <c r="B48"/>
      <c r="C48"/>
      <c r="D48" s="101"/>
      <c r="E48" s="161" t="s">
        <v>1714</v>
      </c>
      <c r="F48" s="101"/>
      <c r="G48" s="101"/>
      <c r="P48"/>
      <c r="Q48"/>
      <c r="R48" s="101"/>
      <c r="S48" s="161" t="s">
        <v>1714</v>
      </c>
      <c r="T48" s="101"/>
    </row>
    <row r="49" spans="1:39">
      <c r="B49" s="1047" t="s">
        <v>34</v>
      </c>
      <c r="C49" s="1048" t="s">
        <v>34</v>
      </c>
      <c r="D49" s="101"/>
      <c r="F49" s="101"/>
      <c r="G49" s="101"/>
      <c r="P49" s="1047" t="s">
        <v>34</v>
      </c>
      <c r="Q49" s="1048" t="s">
        <v>34</v>
      </c>
      <c r="R49" s="101"/>
      <c r="T49" s="101"/>
    </row>
    <row r="50" spans="1:39">
      <c r="B50" s="1047" t="s">
        <v>134</v>
      </c>
      <c r="C50" s="1048" t="s">
        <v>1476</v>
      </c>
      <c r="D50" s="101"/>
      <c r="F50" s="101"/>
      <c r="G50" s="101"/>
      <c r="P50" s="1047" t="s">
        <v>134</v>
      </c>
      <c r="Q50" s="1048" t="s">
        <v>1476</v>
      </c>
      <c r="R50" s="101"/>
      <c r="T50" s="101"/>
    </row>
    <row r="51" spans="1:39" ht="15" thickBot="1">
      <c r="B51" s="101"/>
      <c r="C51" s="101"/>
      <c r="D51" s="101"/>
      <c r="F51" s="101"/>
      <c r="G51" s="101"/>
      <c r="P51" s="101"/>
      <c r="Q51" s="101"/>
      <c r="R51" s="101"/>
      <c r="S51" s="1230" t="s">
        <v>138</v>
      </c>
      <c r="T51" s="1231"/>
      <c r="W51" s="1232" t="s">
        <v>2167</v>
      </c>
      <c r="X51" s="1233"/>
    </row>
    <row r="52" spans="1:39" ht="16" thickBot="1">
      <c r="B52" s="1049" t="s">
        <v>21</v>
      </c>
      <c r="C52" s="1048" t="s">
        <v>2351</v>
      </c>
      <c r="D52" s="1048" t="s">
        <v>2352</v>
      </c>
      <c r="E52"/>
      <c r="F52"/>
      <c r="G52" s="101"/>
      <c r="H52" s="451" t="s">
        <v>21</v>
      </c>
      <c r="I52" s="408" t="s">
        <v>1480</v>
      </c>
      <c r="J52" s="409" t="s">
        <v>1512</v>
      </c>
      <c r="K52" s="409" t="s">
        <v>1511</v>
      </c>
      <c r="P52" s="1049" t="s">
        <v>21</v>
      </c>
      <c r="Q52" s="1048" t="s">
        <v>2361</v>
      </c>
      <c r="R52" s="1048" t="s">
        <v>2354</v>
      </c>
      <c r="S52"/>
      <c r="T52"/>
      <c r="U52" s="377"/>
      <c r="V52" s="451" t="s">
        <v>21</v>
      </c>
      <c r="W52" s="408" t="s">
        <v>1480</v>
      </c>
      <c r="X52" s="409" t="s">
        <v>1512</v>
      </c>
      <c r="Y52" s="409" t="s">
        <v>2152</v>
      </c>
      <c r="AB52" s="377"/>
      <c r="AC52" s="377"/>
      <c r="AD52" s="377"/>
      <c r="AE52" s="377"/>
      <c r="AF52" s="377"/>
      <c r="AG52" s="377"/>
      <c r="AH52" s="377"/>
      <c r="AI52" s="377"/>
      <c r="AJ52" s="377"/>
      <c r="AK52" s="377"/>
      <c r="AL52" s="377"/>
      <c r="AM52" s="377"/>
    </row>
    <row r="53" spans="1:39" ht="15.5">
      <c r="B53" s="1050" t="s">
        <v>37</v>
      </c>
      <c r="C53" s="1051"/>
      <c r="D53" s="1051"/>
      <c r="E53"/>
      <c r="F53"/>
      <c r="G53" s="101"/>
      <c r="H53" s="115" t="s">
        <v>37</v>
      </c>
      <c r="I53" s="411">
        <f>GETPIVOTDATA("# of sites",$B$10)</f>
        <v>128</v>
      </c>
      <c r="J53" s="411">
        <f>GETPIVOTDATA("[Measures].[Distinct Count of Site Name]",$H$63,"[WWWW].[State]","[WWWW].[State].&amp;[Kachin]")</f>
        <v>37</v>
      </c>
      <c r="K53" s="411">
        <f>I53-J53</f>
        <v>91</v>
      </c>
      <c r="P53" s="1050" t="s">
        <v>37</v>
      </c>
      <c r="Q53" s="1051"/>
      <c r="R53" s="1051"/>
      <c r="S53"/>
      <c r="T53"/>
      <c r="V53" s="115" t="s">
        <v>37</v>
      </c>
      <c r="W53" s="411">
        <f>I53</f>
        <v>128</v>
      </c>
      <c r="X53" s="411">
        <f>GETPIVOTDATA("[Measures].[Distinct Count of Site Name]",$V$61,"[WWWW].[State]","[WWWW].[State].&amp;[Kachin]")</f>
        <v>29</v>
      </c>
      <c r="Y53" s="411">
        <f>W53-X53</f>
        <v>99</v>
      </c>
    </row>
    <row r="54" spans="1:39" ht="15.5">
      <c r="B54" s="1052" t="s">
        <v>2763</v>
      </c>
      <c r="C54" s="1051">
        <v>46</v>
      </c>
      <c r="D54" s="1051">
        <v>31</v>
      </c>
      <c r="E54"/>
      <c r="F54"/>
      <c r="G54" s="101"/>
      <c r="H54" s="116" t="s">
        <v>515</v>
      </c>
      <c r="I54" s="412">
        <f>GETPIVOTDATA("# of sites",$I$10)</f>
        <v>38</v>
      </c>
      <c r="J54" s="412">
        <f>GETPIVOTDATA("[Measures].[Distinct Count of Site Name]",$H$63,"[WWWW].[State]","[WWWW].[State].&amp;[Shan (North)]")</f>
        <v>2</v>
      </c>
      <c r="K54" s="412">
        <f>I54-J54</f>
        <v>36</v>
      </c>
      <c r="P54" s="1052" t="s">
        <v>2763</v>
      </c>
      <c r="Q54" s="1051">
        <v>100</v>
      </c>
      <c r="R54" s="1051">
        <v>71</v>
      </c>
      <c r="S54"/>
      <c r="T54"/>
      <c r="V54" s="116" t="s">
        <v>515</v>
      </c>
      <c r="W54" s="412">
        <v>34</v>
      </c>
      <c r="X54" s="412">
        <v>0</v>
      </c>
      <c r="Y54" s="411">
        <f>W54-X54</f>
        <v>34</v>
      </c>
    </row>
    <row r="55" spans="1:39" ht="16" thickBot="1">
      <c r="B55" s="1052" t="s">
        <v>2764</v>
      </c>
      <c r="C55" s="1051">
        <v>140</v>
      </c>
      <c r="D55" s="1051">
        <v>99</v>
      </c>
      <c r="E55"/>
      <c r="F55"/>
      <c r="G55" s="101"/>
      <c r="H55" s="115"/>
      <c r="I55" s="411"/>
      <c r="J55" s="411"/>
      <c r="K55" s="411"/>
      <c r="P55" s="1052" t="s">
        <v>2764</v>
      </c>
      <c r="Q55" s="1051">
        <v>181</v>
      </c>
      <c r="R55" s="1051">
        <v>163</v>
      </c>
      <c r="S55"/>
      <c r="T55"/>
      <c r="V55" s="115"/>
      <c r="W55" s="411"/>
      <c r="X55" s="411"/>
      <c r="Y55" s="411"/>
    </row>
    <row r="56" spans="1:39" ht="16" thickBot="1">
      <c r="B56" s="1052" t="s">
        <v>2765</v>
      </c>
      <c r="C56" s="1051">
        <v>56</v>
      </c>
      <c r="D56" s="1051">
        <v>55</v>
      </c>
      <c r="E56"/>
      <c r="F56"/>
      <c r="H56" s="407" t="s">
        <v>1285</v>
      </c>
      <c r="I56" s="450">
        <f>SUM(I53:I55)</f>
        <v>166</v>
      </c>
      <c r="J56" s="450">
        <f>SUM(J53:J55)</f>
        <v>39</v>
      </c>
      <c r="K56" s="450">
        <f>I56-J56</f>
        <v>127</v>
      </c>
      <c r="P56" s="1052" t="s">
        <v>2765</v>
      </c>
      <c r="Q56" s="1051">
        <v>274</v>
      </c>
      <c r="R56" s="1051">
        <v>265</v>
      </c>
      <c r="S56"/>
      <c r="T56"/>
    </row>
    <row r="57" spans="1:39" ht="15" thickBot="1">
      <c r="A57" s="101"/>
      <c r="B57" s="1050" t="s">
        <v>1489</v>
      </c>
      <c r="C57" s="1051">
        <v>242</v>
      </c>
      <c r="D57" s="1051">
        <v>185</v>
      </c>
      <c r="P57" s="1050" t="s">
        <v>1489</v>
      </c>
      <c r="Q57" s="1051">
        <v>555</v>
      </c>
      <c r="R57" s="1051">
        <v>499</v>
      </c>
    </row>
    <row r="58" spans="1:39" ht="16" thickBot="1">
      <c r="A58" s="101"/>
      <c r="B58" s="1050" t="s">
        <v>515</v>
      </c>
      <c r="C58" s="1051"/>
      <c r="D58" s="1051"/>
      <c r="P58" s="1050" t="s">
        <v>515</v>
      </c>
      <c r="Q58" s="1051"/>
      <c r="R58" s="1051"/>
      <c r="V58" s="426" t="s">
        <v>34</v>
      </c>
      <c r="W58" s="420" t="s" vm="1">
        <v>34</v>
      </c>
      <c r="Y58" s="955" t="s">
        <v>37</v>
      </c>
      <c r="Z58" s="409" t="s">
        <v>2153</v>
      </c>
      <c r="AA58" s="410" t="s">
        <v>2154</v>
      </c>
    </row>
    <row r="59" spans="1:39" ht="16" thickBot="1">
      <c r="A59" s="101"/>
      <c r="B59" s="1052" t="s">
        <v>2763</v>
      </c>
      <c r="C59" s="1051"/>
      <c r="D59" s="1051"/>
      <c r="H59"/>
      <c r="I59"/>
      <c r="P59" s="1052" t="s">
        <v>2763</v>
      </c>
      <c r="Q59" s="1051"/>
      <c r="R59" s="1051"/>
      <c r="V59" s="426" t="s">
        <v>2282</v>
      </c>
      <c r="W59" s="420" t="s" vm="3">
        <v>1284</v>
      </c>
      <c r="Y59" s="953" t="s">
        <v>2763</v>
      </c>
      <c r="Z59" s="411">
        <f>GETPIVOTDATA("Sum of #_Household water samples tested for fecal coliform",$P$52,"Reporting Period","2022_Q1","State","Kachin")</f>
        <v>100</v>
      </c>
      <c r="AA59" s="411">
        <f>GETPIVOTDATA("Sum of #_Household passed",$P$52,"Reporting Period","2022_Q1","State","Kachin")</f>
        <v>71</v>
      </c>
    </row>
    <row r="60" spans="1:39" ht="16" thickBot="1">
      <c r="A60" s="101"/>
      <c r="B60" s="1052" t="s">
        <v>2764</v>
      </c>
      <c r="C60" s="1051"/>
      <c r="D60" s="1051"/>
      <c r="H60" s="426" t="s">
        <v>34</v>
      </c>
      <c r="I60" s="420" t="s" vm="1">
        <v>34</v>
      </c>
      <c r="K60" s="409" t="s">
        <v>37</v>
      </c>
      <c r="L60" s="409" t="s">
        <v>2151</v>
      </c>
      <c r="M60" s="410" t="s">
        <v>2353</v>
      </c>
      <c r="P60" s="1052" t="s">
        <v>2764</v>
      </c>
      <c r="Q60" s="1051"/>
      <c r="R60" s="1051"/>
      <c r="Y60" s="954" t="s">
        <v>2764</v>
      </c>
      <c r="Z60" s="412">
        <f>GETPIVOTDATA("Sum of #_Household water samples tested for fecal coliform",$P$52,"Reporting Period","2022_Q2","State","Kachin")</f>
        <v>181</v>
      </c>
      <c r="AA60" s="449">
        <f>GETPIVOTDATA("Sum of #_Household passed",$P$52,"Reporting Period","2022_Q2","State","Kachin")</f>
        <v>163</v>
      </c>
    </row>
    <row r="61" spans="1:39" ht="15.5">
      <c r="A61" s="101"/>
      <c r="B61" s="1052" t="s">
        <v>2765</v>
      </c>
      <c r="C61" s="1051">
        <v>8</v>
      </c>
      <c r="D61" s="1051"/>
      <c r="H61" s="426" t="s">
        <v>2425</v>
      </c>
      <c r="I61" s="420" t="s" vm="2">
        <v>1284</v>
      </c>
      <c r="K61" s="411" t="s">
        <v>2763</v>
      </c>
      <c r="L61" s="411">
        <f>GETPIVOTDATA("Sum of #_Water sources tested for fecal coliform ",$B$52,"Reporting Period","2022_Q1","State","Kachin")</f>
        <v>46</v>
      </c>
      <c r="M61" s="411">
        <f>GETPIVOTDATA("Sum of #_Water sources passed",$B$52,"Reporting Period","2022_Q1","State","Kachin")</f>
        <v>31</v>
      </c>
      <c r="P61" s="1052" t="s">
        <v>2765</v>
      </c>
      <c r="Q61" s="1051"/>
      <c r="R61" s="1051"/>
      <c r="V61" s="426" t="s">
        <v>1283</v>
      </c>
      <c r="W61" t="s">
        <v>2426</v>
      </c>
      <c r="Y61" s="1076" t="s">
        <v>2765</v>
      </c>
      <c r="Z61" s="94">
        <f>GETPIVOTDATA("Sum of #_Household water samples tested for fecal coliform",$P$52,"Reporting Period","2022_Q3","State","Kachin")</f>
        <v>274</v>
      </c>
      <c r="AA61" s="94">
        <f>GETPIVOTDATA("Sum of #_Household passed",$P$52,"Reporting Period","2022_Q3","State","Kachin")</f>
        <v>265</v>
      </c>
    </row>
    <row r="62" spans="1:39" ht="16" thickBot="1">
      <c r="A62" s="101"/>
      <c r="B62" s="1050" t="s">
        <v>2086</v>
      </c>
      <c r="C62" s="1051">
        <v>8</v>
      </c>
      <c r="D62" s="1051"/>
      <c r="K62" s="412" t="s">
        <v>2764</v>
      </c>
      <c r="L62" s="412">
        <f>GETPIVOTDATA("Sum of #_Water sources tested for fecal coliform ",$B$52,"Reporting Period","2022_Q2","State","Kachin")</f>
        <v>140</v>
      </c>
      <c r="M62" s="449">
        <f>GETPIVOTDATA("Sum of #_Water sources passed",$B$52,"Reporting Period","2022_Q2","State","Kachin")</f>
        <v>99</v>
      </c>
      <c r="P62" s="1050" t="s">
        <v>2086</v>
      </c>
      <c r="Q62" s="1051"/>
      <c r="R62" s="1051"/>
      <c r="V62" s="491" t="s">
        <v>37</v>
      </c>
      <c r="W62" s="419">
        <v>29</v>
      </c>
    </row>
    <row r="63" spans="1:39" ht="16" thickBot="1">
      <c r="A63" s="101"/>
      <c r="B63" s="1050" t="s">
        <v>1285</v>
      </c>
      <c r="C63" s="1051">
        <v>250</v>
      </c>
      <c r="D63" s="1051">
        <v>185</v>
      </c>
      <c r="H63" s="426" t="s">
        <v>1283</v>
      </c>
      <c r="I63" t="s">
        <v>2426</v>
      </c>
      <c r="J63"/>
      <c r="K63" s="1076" t="s">
        <v>2765</v>
      </c>
      <c r="L63" s="94">
        <f>GETPIVOTDATA("Sum of #_Water sources tested for fecal coliform ",$B$52,"Reporting Period","2022_Q3","State","Kachin")</f>
        <v>56</v>
      </c>
      <c r="M63" s="94">
        <f>GETPIVOTDATA("Sum of #_Water sources passed",$B$52,"Reporting Period","2022_Q3","State","Kachin")</f>
        <v>55</v>
      </c>
      <c r="P63" s="1050" t="s">
        <v>1285</v>
      </c>
      <c r="Q63" s="1051">
        <v>555</v>
      </c>
      <c r="R63" s="1051">
        <v>499</v>
      </c>
      <c r="V63" s="491" t="s">
        <v>1285</v>
      </c>
      <c r="W63" s="419">
        <v>29</v>
      </c>
      <c r="Y63" s="955" t="s">
        <v>515</v>
      </c>
      <c r="Z63" s="409" t="s">
        <v>2153</v>
      </c>
      <c r="AA63" s="410" t="s">
        <v>2154</v>
      </c>
    </row>
    <row r="64" spans="1:39" ht="16" thickBot="1">
      <c r="A64" s="101"/>
      <c r="B64" s="101"/>
      <c r="C64" s="101"/>
      <c r="D64" s="101"/>
      <c r="H64" s="491" t="s">
        <v>37</v>
      </c>
      <c r="I64" s="419">
        <v>37</v>
      </c>
      <c r="J64"/>
      <c r="K64" s="450"/>
      <c r="L64" s="450">
        <f>SUM(L61:L62)</f>
        <v>186</v>
      </c>
      <c r="M64" s="450">
        <f>SUM(M61:M62)</f>
        <v>130</v>
      </c>
      <c r="P64"/>
      <c r="Q64"/>
      <c r="R64"/>
      <c r="V64"/>
      <c r="W64"/>
      <c r="Y64" s="953" t="s">
        <v>2763</v>
      </c>
      <c r="Z64" s="956">
        <f>GETPIVOTDATA("Sum of #_Household water samples tested for fecal coliform",$P$52,"Reporting Period","2022_Q1","State","Shan (North)")</f>
        <v>0</v>
      </c>
      <c r="AA64" s="957">
        <f>GETPIVOTDATA("Sum of #_Household passed",$P$52,"Reporting Period","2022_Q1","State","Shan (North)")</f>
        <v>0</v>
      </c>
    </row>
    <row r="65" spans="1:27" ht="16" thickBot="1">
      <c r="A65" s="101"/>
      <c r="B65" s="101"/>
      <c r="C65" s="101"/>
      <c r="D65" s="101"/>
      <c r="H65" s="491" t="s">
        <v>515</v>
      </c>
      <c r="I65" s="419">
        <v>2</v>
      </c>
      <c r="J65"/>
      <c r="P65"/>
      <c r="Q65"/>
      <c r="R65"/>
      <c r="Y65" s="954" t="s">
        <v>2764</v>
      </c>
      <c r="Z65" s="958">
        <f>GETPIVOTDATA("Sum of #_Household water samples tested for fecal coliform",$P$52,"Reporting Period","2022_Q2","State","Shan (North)")</f>
        <v>0</v>
      </c>
      <c r="AA65" s="958">
        <f>GETPIVOTDATA("Sum of #_Household passed",$P$52,"Reporting Period","2022_Q2","State","Shan (North)")</f>
        <v>0</v>
      </c>
    </row>
    <row r="66" spans="1:27" ht="16" thickBot="1">
      <c r="A66" s="101"/>
      <c r="B66" s="101"/>
      <c r="C66" s="101"/>
      <c r="D66" s="101"/>
      <c r="H66" s="491" t="s">
        <v>1285</v>
      </c>
      <c r="I66" s="419">
        <v>39</v>
      </c>
      <c r="J66"/>
      <c r="K66" s="116" t="s">
        <v>515</v>
      </c>
      <c r="L66" s="409" t="s">
        <v>2151</v>
      </c>
      <c r="M66" s="410" t="s">
        <v>2353</v>
      </c>
      <c r="P66"/>
      <c r="Q66"/>
      <c r="R66"/>
      <c r="Y66" s="1076" t="s">
        <v>2765</v>
      </c>
      <c r="Z66" s="94">
        <v>0</v>
      </c>
      <c r="AA66" s="94">
        <v>0</v>
      </c>
    </row>
    <row r="67" spans="1:27">
      <c r="A67" s="101"/>
      <c r="B67" s="101"/>
      <c r="C67" s="101"/>
      <c r="D67" s="101"/>
      <c r="H67" s="692"/>
      <c r="I67" s="692"/>
      <c r="J67" s="101"/>
      <c r="K67" s="953" t="s">
        <v>2763</v>
      </c>
      <c r="L67" s="411">
        <f>GETPIVOTDATA("Sum of #_Water sources tested for fecal coliform ",$B$52,"Reporting Period","2022_Q1","State","Shan (North)")</f>
        <v>0</v>
      </c>
      <c r="M67" s="411">
        <f>GETPIVOTDATA("Sum of #_Water sources passed",$B$52,"Reporting Period","2022_Q1","State","Shan (North)")</f>
        <v>0</v>
      </c>
    </row>
    <row r="68" spans="1:27">
      <c r="A68" s="101"/>
      <c r="B68" s="101"/>
      <c r="C68" s="101"/>
      <c r="D68" s="101"/>
      <c r="E68" s="101"/>
      <c r="F68" s="101"/>
      <c r="G68" s="101"/>
      <c r="H68" s="692"/>
      <c r="I68" s="692"/>
      <c r="J68" s="101"/>
      <c r="K68" s="954" t="s">
        <v>2764</v>
      </c>
      <c r="L68" s="412">
        <f>GETPIVOTDATA("Sum of #_Water sources tested for fecal coliform ",$B$52,"Reporting Period","2022_Q2","State","Shan (North)")</f>
        <v>0</v>
      </c>
      <c r="M68" s="449">
        <f>GETPIVOTDATA("Sum of #_Water sources passed",$B$52,"Reporting Period","2022_Q2","State","Shan (North)")</f>
        <v>0</v>
      </c>
    </row>
    <row r="69" spans="1:27" ht="15" thickBot="1">
      <c r="A69" s="101"/>
      <c r="B69" s="101"/>
      <c r="C69" s="101"/>
      <c r="D69" s="101"/>
      <c r="E69" s="101"/>
      <c r="F69" s="101"/>
      <c r="G69" s="101"/>
      <c r="H69" s="692"/>
      <c r="I69" s="692"/>
      <c r="J69" s="101"/>
      <c r="K69" s="1076" t="s">
        <v>2765</v>
      </c>
      <c r="L69" s="94">
        <f>GETPIVOTDATA("Sum of #_Water sources tested for fecal coliform ",$B$52,"Reporting Period","2022_Q3","State","Shan (North)")</f>
        <v>8</v>
      </c>
      <c r="M69" s="94">
        <f>GETPIVOTDATA("Sum of #_Water sources passed",$B$52,"Reporting Period","2022_Q3","State","Shan (North)")</f>
        <v>0</v>
      </c>
    </row>
    <row r="70" spans="1:27" ht="15" thickBot="1">
      <c r="A70" s="101"/>
      <c r="B70" s="101"/>
      <c r="C70" s="101"/>
      <c r="D70" s="101"/>
      <c r="E70" s="101"/>
      <c r="F70" s="101"/>
      <c r="G70" s="101"/>
      <c r="H70" s="101"/>
      <c r="I70" s="101"/>
      <c r="J70" s="101"/>
      <c r="K70" s="450"/>
      <c r="L70" s="450">
        <f>SUM(L67:L68)</f>
        <v>0</v>
      </c>
      <c r="M70" s="450">
        <f>SUM(M67:M68)</f>
        <v>0</v>
      </c>
    </row>
    <row r="71" spans="1:27" ht="15.5">
      <c r="A71" s="101"/>
      <c r="B71" s="101"/>
      <c r="C71" s="101"/>
      <c r="D71" s="101"/>
      <c r="E71" s="97"/>
      <c r="F71" s="97"/>
      <c r="G71" s="98"/>
      <c r="H71"/>
      <c r="I71"/>
      <c r="J71"/>
      <c r="K71" s="377"/>
      <c r="L71" s="377"/>
      <c r="M71" s="377"/>
      <c r="N71" s="377"/>
      <c r="O71" s="377"/>
    </row>
    <row r="72" spans="1:27" s="104" customFormat="1" ht="15.5">
      <c r="B72" s="105"/>
      <c r="C72" s="106"/>
      <c r="D72" s="106"/>
      <c r="E72" s="107"/>
      <c r="F72" s="107"/>
      <c r="G72" s="108"/>
      <c r="H72"/>
      <c r="I72"/>
      <c r="J72"/>
    </row>
    <row r="73" spans="1:27" s="104" customFormat="1" ht="15.5">
      <c r="B73" s="105"/>
      <c r="C73" s="106"/>
      <c r="D73" s="106"/>
      <c r="E73" s="107"/>
      <c r="F73" s="107"/>
      <c r="G73" s="108"/>
      <c r="H73"/>
      <c r="I73"/>
      <c r="J73"/>
    </row>
    <row r="74" spans="1:27" s="104" customFormat="1" ht="15.5">
      <c r="B74" s="105"/>
      <c r="C74" s="106"/>
      <c r="D74" s="106"/>
      <c r="E74" s="107"/>
      <c r="F74" s="107"/>
      <c r="G74" s="108"/>
      <c r="H74"/>
      <c r="I74"/>
      <c r="J74"/>
    </row>
    <row r="75" spans="1:27" s="104" customFormat="1" ht="15.5">
      <c r="B75" s="1067" t="s">
        <v>20</v>
      </c>
      <c r="C75" s="1068" t="s">
        <v>2765</v>
      </c>
      <c r="D75" s="106"/>
      <c r="E75" s="107"/>
      <c r="F75" s="107"/>
      <c r="G75" s="108"/>
      <c r="H75"/>
      <c r="I75"/>
      <c r="J75"/>
      <c r="M75" s="382"/>
      <c r="N75" s="382"/>
      <c r="O75" s="106"/>
    </row>
    <row r="76" spans="1:27" s="104" customFormat="1" ht="15.5">
      <c r="B76" s="1067" t="s">
        <v>34</v>
      </c>
      <c r="C76" s="1068" t="s">
        <v>34</v>
      </c>
      <c r="D76" s="101"/>
      <c r="E76" s="107"/>
      <c r="F76" s="107"/>
      <c r="G76" s="108"/>
      <c r="H76"/>
      <c r="I76"/>
      <c r="J76"/>
      <c r="M76" s="382"/>
      <c r="N76" s="382"/>
      <c r="O76" s="383"/>
    </row>
    <row r="77" spans="1:27" s="104" customFormat="1" ht="15.5">
      <c r="B77" s="1069" t="s">
        <v>21</v>
      </c>
      <c r="C77" s="1068" t="s">
        <v>37</v>
      </c>
      <c r="D77" s="101"/>
      <c r="E77" s="107"/>
      <c r="F77" s="107"/>
      <c r="G77" s="108"/>
      <c r="H77"/>
      <c r="I77"/>
      <c r="J77"/>
      <c r="M77" s="384"/>
      <c r="N77" s="382"/>
      <c r="O77" s="383"/>
    </row>
    <row r="78" spans="1:27" s="104" customFormat="1" ht="15.5">
      <c r="B78" s="1067" t="s">
        <v>134</v>
      </c>
      <c r="C78" s="1068" t="s">
        <v>1476</v>
      </c>
      <c r="D78" s="101"/>
      <c r="E78" s="107"/>
      <c r="F78" s="107"/>
      <c r="G78" s="108"/>
      <c r="H78"/>
      <c r="I78"/>
      <c r="J78"/>
      <c r="M78" s="382"/>
      <c r="N78" s="382"/>
      <c r="O78" s="383"/>
    </row>
    <row r="79" spans="1:27" s="104" customFormat="1" ht="15.5">
      <c r="B79" s="379"/>
      <c r="C79" s="101"/>
      <c r="D79" s="101"/>
      <c r="E79" s="107"/>
      <c r="F79" s="107"/>
      <c r="G79" s="108"/>
      <c r="H79"/>
      <c r="I79"/>
      <c r="J79"/>
      <c r="M79" s="385"/>
      <c r="N79" s="383"/>
      <c r="O79" s="383"/>
    </row>
    <row r="80" spans="1:27" s="104" customFormat="1" ht="15.5">
      <c r="B80" s="1077" t="s">
        <v>21</v>
      </c>
      <c r="C80" s="1068" t="s">
        <v>2145</v>
      </c>
      <c r="D80" s="1068" t="s">
        <v>2141</v>
      </c>
      <c r="E80"/>
      <c r="F80" s="107"/>
      <c r="G80" s="108"/>
      <c r="H80"/>
      <c r="I80"/>
      <c r="J80"/>
      <c r="M80" s="367"/>
      <c r="N80" s="367"/>
      <c r="O80" s="367"/>
    </row>
    <row r="81" spans="2:16" s="104" customFormat="1" ht="15.5">
      <c r="B81" s="1071" t="s">
        <v>195</v>
      </c>
      <c r="C81" s="1074">
        <v>1</v>
      </c>
      <c r="D81" s="1074">
        <v>0</v>
      </c>
      <c r="E81"/>
      <c r="F81" s="107"/>
      <c r="G81" s="108"/>
      <c r="M81" s="367"/>
      <c r="N81" s="367"/>
      <c r="O81" s="367"/>
    </row>
    <row r="82" spans="2:16" s="104" customFormat="1" ht="15.5">
      <c r="B82" s="1071" t="s">
        <v>146</v>
      </c>
      <c r="C82" s="1074">
        <v>0.62930693069306931</v>
      </c>
      <c r="D82" s="1074">
        <v>0.37069306930693069</v>
      </c>
      <c r="E82"/>
      <c r="F82" s="107"/>
      <c r="G82" s="108"/>
      <c r="M82" s="367"/>
      <c r="N82" s="367"/>
      <c r="O82" s="367"/>
    </row>
    <row r="83" spans="2:16" s="104" customFormat="1" ht="15.5">
      <c r="B83" s="1071" t="s">
        <v>148</v>
      </c>
      <c r="C83" s="1074">
        <v>0.82852900069881208</v>
      </c>
      <c r="D83" s="1074">
        <v>0.17147099930118792</v>
      </c>
      <c r="E83"/>
      <c r="F83" s="107"/>
      <c r="G83" s="108"/>
      <c r="M83" s="367"/>
      <c r="N83" s="367"/>
      <c r="O83" s="367"/>
    </row>
    <row r="84" spans="2:16" s="104" customFormat="1" ht="15.5">
      <c r="B84" s="1071" t="s">
        <v>38</v>
      </c>
      <c r="C84" s="1074">
        <v>0.75874312563404356</v>
      </c>
      <c r="D84" s="1074">
        <v>0.24125687436595644</v>
      </c>
      <c r="E84"/>
      <c r="F84" s="107"/>
      <c r="G84" s="108"/>
      <c r="M84"/>
      <c r="N84"/>
      <c r="O84"/>
    </row>
    <row r="85" spans="2:16" s="104" customFormat="1" ht="15.5">
      <c r="B85" s="1071" t="s">
        <v>152</v>
      </c>
      <c r="C85" s="1074">
        <v>1</v>
      </c>
      <c r="D85" s="1074">
        <v>0</v>
      </c>
      <c r="E85"/>
      <c r="F85" s="107"/>
      <c r="G85" s="108"/>
      <c r="M85"/>
      <c r="N85"/>
      <c r="O85"/>
    </row>
    <row r="86" spans="2:16" s="104" customFormat="1" ht="15.5">
      <c r="B86" s="1071" t="s">
        <v>157</v>
      </c>
      <c r="C86" s="1074">
        <v>1</v>
      </c>
      <c r="D86" s="1074">
        <v>0</v>
      </c>
      <c r="E86"/>
      <c r="F86" s="107"/>
      <c r="G86" s="108"/>
      <c r="M86"/>
      <c r="N86"/>
      <c r="O86"/>
    </row>
    <row r="87" spans="2:16" s="104" customFormat="1" ht="15.5">
      <c r="B87" s="1071" t="s">
        <v>205</v>
      </c>
      <c r="C87" s="1074">
        <v>0.36051809179562483</v>
      </c>
      <c r="D87" s="1074">
        <v>0.63948190820437523</v>
      </c>
      <c r="E87"/>
      <c r="F87" s="107"/>
      <c r="G87" s="108"/>
      <c r="M87"/>
      <c r="N87"/>
      <c r="O87"/>
    </row>
    <row r="88" spans="2:16" s="104" customFormat="1" ht="15.5">
      <c r="B88" s="1071" t="s">
        <v>159</v>
      </c>
      <c r="C88" s="1074">
        <v>0.96974439227960352</v>
      </c>
      <c r="D88" s="1074">
        <v>3.0255607720396482E-2</v>
      </c>
      <c r="E88"/>
      <c r="F88" s="107"/>
      <c r="G88" s="108"/>
      <c r="M88"/>
      <c r="N88"/>
      <c r="O88"/>
    </row>
    <row r="89" spans="2:16" s="104" customFormat="1" ht="15.5">
      <c r="B89" s="1071" t="s">
        <v>214</v>
      </c>
      <c r="C89" s="1074">
        <v>1</v>
      </c>
      <c r="D89" s="1074">
        <v>0</v>
      </c>
      <c r="E89"/>
      <c r="F89" s="107"/>
      <c r="G89" s="108"/>
      <c r="M89"/>
      <c r="N89"/>
      <c r="O89"/>
    </row>
    <row r="90" spans="2:16" s="104" customFormat="1" ht="15.5">
      <c r="B90" s="1071" t="s">
        <v>184</v>
      </c>
      <c r="C90" s="1074">
        <v>1</v>
      </c>
      <c r="D90" s="1074">
        <v>0</v>
      </c>
      <c r="E90"/>
      <c r="F90" s="107"/>
      <c r="G90" s="108"/>
    </row>
    <row r="91" spans="2:16" s="104" customFormat="1" ht="15.5">
      <c r="B91" s="1071" t="s">
        <v>863</v>
      </c>
      <c r="C91" s="1074">
        <v>1</v>
      </c>
      <c r="D91" s="1074">
        <v>0</v>
      </c>
      <c r="E91"/>
      <c r="F91" s="107"/>
      <c r="G91" s="108"/>
      <c r="M91"/>
      <c r="N91"/>
      <c r="O91"/>
    </row>
    <row r="92" spans="2:16" s="104" customFormat="1" ht="15.5">
      <c r="B92" s="1071" t="s">
        <v>142</v>
      </c>
      <c r="C92" s="1074">
        <v>0.4850165158182187</v>
      </c>
      <c r="D92" s="1074">
        <v>0.5149834841817813</v>
      </c>
      <c r="E92"/>
      <c r="F92" s="107"/>
      <c r="G92" s="108"/>
      <c r="M92"/>
      <c r="N92"/>
      <c r="O92"/>
    </row>
    <row r="93" spans="2:16" s="104" customFormat="1" ht="15.5">
      <c r="B93" s="1071" t="s">
        <v>587</v>
      </c>
      <c r="C93" s="1074">
        <v>1</v>
      </c>
      <c r="D93" s="1074">
        <v>0</v>
      </c>
      <c r="E93" s="107"/>
      <c r="F93" s="107"/>
      <c r="G93" s="108"/>
      <c r="M93"/>
      <c r="N93"/>
      <c r="O93"/>
    </row>
    <row r="94" spans="2:16" s="104" customFormat="1" ht="15.5">
      <c r="B94"/>
      <c r="C94"/>
      <c r="D94"/>
      <c r="E94" s="107"/>
      <c r="F94" s="107"/>
      <c r="G94" s="108"/>
    </row>
    <row r="95" spans="2:16" s="104" customFormat="1" ht="15.5">
      <c r="B95"/>
      <c r="C95"/>
      <c r="D95"/>
      <c r="E95" s="107"/>
      <c r="F95" s="107"/>
      <c r="G95" s="108"/>
      <c r="K95" s="452"/>
      <c r="L95" s="452"/>
      <c r="M95" s="106"/>
    </row>
    <row r="96" spans="2:16" s="104" customFormat="1" ht="15.5">
      <c r="B96" s="1067" t="s">
        <v>20</v>
      </c>
      <c r="C96" s="1068" t="s">
        <v>2765</v>
      </c>
      <c r="D96" s="106"/>
      <c r="E96" s="107"/>
      <c r="F96" s="107"/>
      <c r="G96" s="108"/>
      <c r="I96" s="420"/>
      <c r="J96" s="420"/>
      <c r="K96" s="420"/>
      <c r="L96" s="420"/>
      <c r="M96" s="420"/>
      <c r="N96" s="420"/>
      <c r="O96" s="420"/>
      <c r="P96" s="420"/>
    </row>
    <row r="97" spans="2:25" s="104" customFormat="1" ht="15.5">
      <c r="B97" s="1067" t="s">
        <v>34</v>
      </c>
      <c r="C97" s="1068" t="s">
        <v>34</v>
      </c>
      <c r="D97" s="101"/>
      <c r="E97" s="107"/>
      <c r="F97" s="107"/>
      <c r="G97" s="108"/>
      <c r="I97" s="420"/>
      <c r="J97" s="420"/>
      <c r="K97" s="420"/>
      <c r="L97" s="420"/>
      <c r="M97" s="420"/>
      <c r="N97" s="420"/>
      <c r="O97" s="420"/>
      <c r="P97" s="420"/>
    </row>
    <row r="98" spans="2:25" s="104" customFormat="1" ht="15.5">
      <c r="B98" s="1078" t="s">
        <v>21</v>
      </c>
      <c r="C98" s="1078" t="s">
        <v>515</v>
      </c>
      <c r="D98" s="101"/>
      <c r="E98" s="107"/>
      <c r="F98" s="107"/>
      <c r="G98" s="108"/>
      <c r="I98" s="420"/>
      <c r="J98" s="420"/>
      <c r="K98" s="420"/>
      <c r="L98" s="420"/>
      <c r="M98" s="420"/>
      <c r="N98" s="420"/>
      <c r="O98" s="420"/>
      <c r="P98" s="420"/>
    </row>
    <row r="99" spans="2:25" s="104" customFormat="1" ht="15.5">
      <c r="B99" s="1067" t="s">
        <v>134</v>
      </c>
      <c r="C99" s="1068" t="s">
        <v>1476</v>
      </c>
      <c r="D99" s="101"/>
      <c r="E99" s="107"/>
      <c r="F99" s="107"/>
      <c r="G99" s="108"/>
      <c r="I99" s="420"/>
      <c r="J99" s="420"/>
      <c r="K99" s="420"/>
      <c r="L99" s="420"/>
      <c r="M99" s="420"/>
      <c r="N99" s="420"/>
      <c r="O99" s="420"/>
      <c r="P99" s="420"/>
    </row>
    <row r="100" spans="2:25" s="104" customFormat="1" ht="15.5">
      <c r="B100" s="380"/>
      <c r="C100" s="101"/>
      <c r="D100" s="101"/>
      <c r="E100" s="107"/>
      <c r="F100" s="107"/>
      <c r="G100" s="108"/>
      <c r="I100" s="420"/>
      <c r="J100" s="420"/>
      <c r="K100" s="420"/>
      <c r="L100" s="420"/>
      <c r="M100" s="420"/>
      <c r="N100" s="420"/>
      <c r="O100" s="420"/>
      <c r="P100" s="420"/>
    </row>
    <row r="101" spans="2:25" s="104" customFormat="1" ht="15.5">
      <c r="B101" s="1077" t="s">
        <v>21</v>
      </c>
      <c r="C101" s="1068" t="s">
        <v>2145</v>
      </c>
      <c r="D101" s="1068" t="s">
        <v>2141</v>
      </c>
      <c r="E101" s="107"/>
      <c r="F101" s="107"/>
      <c r="G101" s="108"/>
      <c r="I101" s="420"/>
      <c r="J101" s="420"/>
      <c r="K101" s="420"/>
      <c r="L101" s="420"/>
      <c r="M101" s="420"/>
      <c r="N101" s="420"/>
      <c r="O101" s="420"/>
      <c r="P101" s="420"/>
    </row>
    <row r="102" spans="2:25" s="104" customFormat="1" ht="15.5">
      <c r="B102" s="1071" t="s">
        <v>534</v>
      </c>
      <c r="C102" s="1074">
        <v>1</v>
      </c>
      <c r="D102" s="1074">
        <v>0</v>
      </c>
      <c r="E102" s="107"/>
      <c r="F102" s="107"/>
      <c r="G102" s="108"/>
      <c r="I102" s="420"/>
      <c r="J102" s="420"/>
      <c r="K102" s="420"/>
      <c r="L102" s="420"/>
      <c r="M102" s="420"/>
      <c r="N102" s="420"/>
      <c r="O102" s="420"/>
      <c r="P102" s="420"/>
    </row>
    <row r="103" spans="2:25" s="104" customFormat="1" ht="15.5">
      <c r="B103" s="1071" t="s">
        <v>519</v>
      </c>
      <c r="C103" s="1074">
        <v>0.93791542921793258</v>
      </c>
      <c r="D103" s="1074">
        <v>6.2084570782067416E-2</v>
      </c>
      <c r="E103" s="107"/>
      <c r="F103" s="107"/>
      <c r="G103" s="108"/>
      <c r="J103"/>
      <c r="K103"/>
      <c r="L103"/>
      <c r="M103"/>
      <c r="N103"/>
      <c r="O103"/>
      <c r="P103"/>
    </row>
    <row r="104" spans="2:25" s="104" customFormat="1" ht="15.5">
      <c r="B104" s="1071" t="s">
        <v>961</v>
      </c>
      <c r="C104" s="1074">
        <v>1</v>
      </c>
      <c r="D104" s="1074">
        <v>0</v>
      </c>
      <c r="E104" s="107"/>
      <c r="F104" s="107"/>
      <c r="G104" s="108"/>
      <c r="J104"/>
      <c r="K104"/>
      <c r="L104"/>
      <c r="M104"/>
      <c r="N104"/>
      <c r="O104"/>
      <c r="P104"/>
    </row>
    <row r="105" spans="2:25" s="104" customFormat="1" ht="15.5">
      <c r="B105" s="1071" t="s">
        <v>522</v>
      </c>
      <c r="C105" s="1074">
        <v>1</v>
      </c>
      <c r="D105" s="1074">
        <v>0</v>
      </c>
      <c r="E105" s="107"/>
      <c r="F105" s="107"/>
      <c r="G105" s="108"/>
      <c r="J105"/>
      <c r="K105"/>
      <c r="L105"/>
      <c r="M105"/>
      <c r="N105"/>
      <c r="O105"/>
      <c r="P105"/>
    </row>
    <row r="106" spans="2:25" s="104" customFormat="1" ht="15.5">
      <c r="B106" s="1071" t="s">
        <v>525</v>
      </c>
      <c r="C106" s="1074">
        <v>0.81288076588337688</v>
      </c>
      <c r="D106" s="1074">
        <v>0.18711923411662312</v>
      </c>
      <c r="E106" s="107"/>
      <c r="F106" s="107"/>
      <c r="G106" s="108"/>
      <c r="J106"/>
      <c r="K106"/>
      <c r="L106"/>
      <c r="M106"/>
      <c r="N106"/>
      <c r="O106"/>
      <c r="P106"/>
    </row>
    <row r="107" spans="2:25" s="104" customFormat="1" ht="15.5">
      <c r="B107" s="1071" t="s">
        <v>516</v>
      </c>
      <c r="C107" s="1074">
        <v>1</v>
      </c>
      <c r="D107" s="1074">
        <v>0</v>
      </c>
      <c r="E107" s="107"/>
      <c r="F107" s="107"/>
      <c r="G107" s="108"/>
      <c r="J107"/>
      <c r="K107"/>
      <c r="L107"/>
      <c r="M107"/>
      <c r="T107"/>
      <c r="U107"/>
      <c r="V107"/>
      <c r="W107"/>
      <c r="X107"/>
      <c r="Y107"/>
    </row>
    <row r="108" spans="2:25" s="104" customFormat="1" ht="15.5">
      <c r="B108" s="1071" t="s">
        <v>536</v>
      </c>
      <c r="C108" s="1074">
        <v>1</v>
      </c>
      <c r="D108" s="1074">
        <v>0</v>
      </c>
      <c r="E108" s="107"/>
      <c r="F108" s="107"/>
      <c r="G108" s="108"/>
      <c r="J108"/>
      <c r="K108"/>
      <c r="L108"/>
      <c r="M108"/>
      <c r="T108"/>
      <c r="U108"/>
      <c r="V108"/>
    </row>
    <row r="109" spans="2:25" s="104" customFormat="1" ht="15.5">
      <c r="B109" s="1071" t="s">
        <v>963</v>
      </c>
      <c r="C109" s="1074">
        <v>0.95579450418160095</v>
      </c>
      <c r="D109" s="1074">
        <v>4.4205495818399054E-2</v>
      </c>
      <c r="E109" s="107"/>
      <c r="F109" s="107"/>
      <c r="G109" s="108"/>
      <c r="J109"/>
      <c r="K109"/>
      <c r="L109"/>
      <c r="M109"/>
      <c r="T109"/>
      <c r="U109"/>
      <c r="V109"/>
    </row>
    <row r="110" spans="2:25" s="104" customFormat="1" ht="15.5">
      <c r="B110" s="1071" t="s">
        <v>960</v>
      </c>
      <c r="C110" s="1074">
        <v>0.67434210526315785</v>
      </c>
      <c r="D110" s="1074">
        <v>0.32565789473684215</v>
      </c>
      <c r="E110" s="107"/>
      <c r="F110" s="107"/>
      <c r="G110" s="108"/>
      <c r="K110"/>
      <c r="L110"/>
      <c r="M110"/>
      <c r="T110"/>
      <c r="U110"/>
      <c r="V110"/>
    </row>
    <row r="111" spans="2:25" s="104" customFormat="1" ht="15.5">
      <c r="B111"/>
      <c r="C111"/>
      <c r="D111"/>
      <c r="E111" s="107"/>
      <c r="F111" s="107"/>
      <c r="G111" s="108"/>
      <c r="K111"/>
      <c r="L111"/>
      <c r="M111"/>
      <c r="T111"/>
      <c r="U111"/>
    </row>
    <row r="112" spans="2:25" s="104" customFormat="1" ht="15.5">
      <c r="B112" s="105"/>
      <c r="C112" s="106"/>
      <c r="D112" s="106"/>
      <c r="E112" s="107"/>
      <c r="F112" s="107"/>
      <c r="G112" s="108"/>
      <c r="T112"/>
      <c r="U112"/>
    </row>
    <row r="113" spans="1:37" s="120" customFormat="1" ht="18.5">
      <c r="A113" s="92" t="s">
        <v>1583</v>
      </c>
      <c r="B113" s="92"/>
      <c r="C113" s="117"/>
      <c r="D113" s="118"/>
      <c r="E113" s="118"/>
      <c r="F113" s="118"/>
      <c r="G113" s="119"/>
      <c r="H113" s="92"/>
      <c r="I113" s="92"/>
      <c r="J113" s="92"/>
      <c r="K113" s="92"/>
      <c r="L113" s="92"/>
      <c r="M113" s="92"/>
      <c r="N113" s="92"/>
      <c r="O113" s="92"/>
      <c r="P113" s="92"/>
      <c r="Q113" s="92"/>
      <c r="R113" s="92"/>
      <c r="S113" s="92"/>
      <c r="T113" s="92"/>
      <c r="U113" s="92"/>
      <c r="V113" s="92"/>
      <c r="W113" s="92"/>
      <c r="X113" s="92"/>
      <c r="Y113" s="92"/>
      <c r="Z113" s="92"/>
    </row>
    <row r="114" spans="1:37">
      <c r="C114" s="96"/>
      <c r="D114" s="97"/>
      <c r="E114" s="97"/>
      <c r="F114" s="97"/>
      <c r="G114" s="98"/>
    </row>
    <row r="115" spans="1:37" ht="15.5">
      <c r="C115" s="1067" t="s">
        <v>20</v>
      </c>
      <c r="D115" s="1068" t="s">
        <v>2765</v>
      </c>
      <c r="F115" s="97"/>
      <c r="G115" s="98"/>
      <c r="J115" s="1067" t="s">
        <v>20</v>
      </c>
      <c r="K115" s="1068" t="s">
        <v>2765</v>
      </c>
      <c r="L115"/>
      <c r="O115" s="1067" t="s">
        <v>20</v>
      </c>
      <c r="P115" s="1068" t="s">
        <v>2765</v>
      </c>
      <c r="X115" s="1067" t="s">
        <v>20</v>
      </c>
      <c r="Y115" s="1068" t="s">
        <v>2765</v>
      </c>
      <c r="AI115" s="1047" t="s">
        <v>20</v>
      </c>
      <c r="AJ115" s="1048" t="s">
        <v>2763</v>
      </c>
    </row>
    <row r="116" spans="1:37" ht="29">
      <c r="C116" s="1069" t="s">
        <v>21</v>
      </c>
      <c r="D116" s="1068" t="s">
        <v>37</v>
      </c>
      <c r="E116" s="97"/>
      <c r="J116" s="1079" t="s">
        <v>21</v>
      </c>
      <c r="K116" s="1079" t="s">
        <v>515</v>
      </c>
      <c r="L116" s="458"/>
      <c r="O116" s="1069" t="s">
        <v>21</v>
      </c>
      <c r="P116" s="1068" t="s">
        <v>37</v>
      </c>
      <c r="Q116" s="97"/>
      <c r="X116" s="1069" t="s">
        <v>21</v>
      </c>
      <c r="Y116" s="1068" t="s">
        <v>515</v>
      </c>
      <c r="Z116" s="97"/>
      <c r="AI116" s="1049" t="s">
        <v>21</v>
      </c>
      <c r="AJ116" s="1048" t="s">
        <v>37</v>
      </c>
      <c r="AK116" s="97"/>
    </row>
    <row r="117" spans="1:37" ht="15.5">
      <c r="C117" s="1067" t="s">
        <v>34</v>
      </c>
      <c r="D117" s="1068" t="s">
        <v>34</v>
      </c>
      <c r="H117" s="94">
        <v>97507</v>
      </c>
      <c r="J117" s="1067" t="s">
        <v>34</v>
      </c>
      <c r="K117" s="1068" t="s">
        <v>34</v>
      </c>
      <c r="L117" s="420"/>
      <c r="O117" s="1067" t="s">
        <v>34</v>
      </c>
      <c r="P117" s="1068" t="s">
        <v>34</v>
      </c>
      <c r="X117" s="1067" t="s">
        <v>34</v>
      </c>
      <c r="Y117" s="1068" t="s">
        <v>34</v>
      </c>
      <c r="AI117" s="1047" t="s">
        <v>34</v>
      </c>
      <c r="AJ117" s="1048" t="s">
        <v>34</v>
      </c>
    </row>
    <row r="118" spans="1:37" ht="15.5">
      <c r="C118" s="1067" t="s">
        <v>134</v>
      </c>
      <c r="D118" s="1068" t="s">
        <v>1476</v>
      </c>
      <c r="H118" s="94">
        <f>H117/20</f>
        <v>4875.3500000000004</v>
      </c>
      <c r="J118" s="1067" t="s">
        <v>134</v>
      </c>
      <c r="K118" s="1068" t="s">
        <v>1476</v>
      </c>
      <c r="L118" s="420"/>
      <c r="O118" s="1067" t="s">
        <v>134</v>
      </c>
      <c r="P118" s="1068" t="s">
        <v>1476</v>
      </c>
      <c r="X118" s="1067" t="s">
        <v>134</v>
      </c>
      <c r="Y118" s="1068" t="s">
        <v>1476</v>
      </c>
      <c r="AI118" s="1047" t="s">
        <v>134</v>
      </c>
      <c r="AJ118" s="1048" t="s">
        <v>1284</v>
      </c>
    </row>
    <row r="119" spans="1:37" s="99" customFormat="1">
      <c r="C119" s="94"/>
      <c r="D119" s="94"/>
      <c r="E119" s="94"/>
      <c r="F119" s="101"/>
      <c r="G119" s="101"/>
      <c r="H119" s="94"/>
      <c r="I119" s="94"/>
      <c r="J119" s="94"/>
      <c r="K119" s="94"/>
      <c r="L119" s="94"/>
      <c r="M119" s="94"/>
      <c r="O119" s="94"/>
      <c r="P119" s="94"/>
      <c r="Q119" s="94"/>
      <c r="R119" s="94"/>
      <c r="S119" s="94"/>
      <c r="U119" s="94"/>
      <c r="V119" s="94"/>
      <c r="W119" s="94"/>
      <c r="X119" s="94"/>
      <c r="Y119" s="94"/>
      <c r="Z119" s="94"/>
      <c r="AC119" s="94"/>
      <c r="AD119" s="94"/>
      <c r="AI119" s="94"/>
      <c r="AJ119" s="94"/>
      <c r="AK119" s="94"/>
    </row>
    <row r="120" spans="1:37" ht="15.5">
      <c r="C120" s="1068"/>
      <c r="D120" s="1067" t="s">
        <v>1477</v>
      </c>
      <c r="E120" s="1068"/>
      <c r="F120"/>
      <c r="G120"/>
      <c r="J120" s="1068"/>
      <c r="K120" s="1067" t="s">
        <v>1477</v>
      </c>
      <c r="L120"/>
      <c r="M120"/>
      <c r="O120" s="1067" t="s">
        <v>1283</v>
      </c>
      <c r="P120" s="1068" t="s">
        <v>2363</v>
      </c>
      <c r="Q120" s="1068" t="s">
        <v>2364</v>
      </c>
      <c r="U120"/>
      <c r="X120" s="1067" t="s">
        <v>1283</v>
      </c>
      <c r="Y120" s="1068" t="s">
        <v>2363</v>
      </c>
      <c r="Z120" s="1068" t="s">
        <v>2364</v>
      </c>
      <c r="AA120" s="377"/>
      <c r="AB120" s="377"/>
      <c r="AC120" s="377"/>
      <c r="AD120" s="377"/>
      <c r="AI120" s="1047" t="s">
        <v>1283</v>
      </c>
      <c r="AJ120" s="1048" t="s">
        <v>2666</v>
      </c>
      <c r="AK120" s="1048" t="s">
        <v>2665</v>
      </c>
    </row>
    <row r="121" spans="1:37" ht="15.5">
      <c r="C121" s="1067" t="s">
        <v>1478</v>
      </c>
      <c r="D121" s="1068" t="s">
        <v>1508</v>
      </c>
      <c r="E121" s="1068" t="s">
        <v>1509</v>
      </c>
      <c r="F121"/>
      <c r="G121"/>
      <c r="J121" s="1067" t="s">
        <v>1478</v>
      </c>
      <c r="K121" s="1068" t="s">
        <v>1508</v>
      </c>
      <c r="L121"/>
      <c r="M121"/>
      <c r="O121" s="1071" t="s">
        <v>1508</v>
      </c>
      <c r="P121" s="1073">
        <v>39086</v>
      </c>
      <c r="Q121" s="1073">
        <v>22052</v>
      </c>
      <c r="R121" s="377"/>
      <c r="S121" s="377"/>
      <c r="T121" s="377"/>
      <c r="U121" s="426"/>
      <c r="V121" s="377"/>
      <c r="W121" s="377"/>
      <c r="X121" s="1071" t="s">
        <v>1508</v>
      </c>
      <c r="Y121" s="1073">
        <v>8152</v>
      </c>
      <c r="Z121" s="1073">
        <v>2345</v>
      </c>
      <c r="AA121" s="377"/>
      <c r="AB121" s="377"/>
      <c r="AC121" s="377"/>
      <c r="AD121" s="377"/>
      <c r="AI121" s="1050" t="s">
        <v>195</v>
      </c>
      <c r="AJ121" s="1051">
        <v>286</v>
      </c>
      <c r="AK121" s="1051">
        <v>335</v>
      </c>
    </row>
    <row r="122" spans="1:37" ht="15.5">
      <c r="B122" s="494" t="s">
        <v>128</v>
      </c>
      <c r="C122" s="1071" t="s">
        <v>1506</v>
      </c>
      <c r="D122" s="1072">
        <v>3059</v>
      </c>
      <c r="E122" s="1072">
        <v>2589</v>
      </c>
      <c r="F122"/>
      <c r="G122"/>
      <c r="J122" s="1071" t="s">
        <v>1506</v>
      </c>
      <c r="K122" s="1072">
        <v>807</v>
      </c>
      <c r="L122"/>
      <c r="M122"/>
      <c r="O122" s="1071" t="s">
        <v>1509</v>
      </c>
      <c r="P122" s="1073">
        <v>36057</v>
      </c>
      <c r="Q122" s="1073">
        <v>10021</v>
      </c>
      <c r="U122"/>
      <c r="X122"/>
      <c r="Y122"/>
      <c r="Z122"/>
      <c r="AI122" s="1050" t="s">
        <v>146</v>
      </c>
      <c r="AJ122" s="1051">
        <v>129</v>
      </c>
      <c r="AK122" s="1051">
        <v>130</v>
      </c>
    </row>
    <row r="123" spans="1:37" ht="15.5">
      <c r="C123" s="1071" t="s">
        <v>2100</v>
      </c>
      <c r="D123" s="1072">
        <v>63</v>
      </c>
      <c r="E123" s="1072"/>
      <c r="F123"/>
      <c r="G123"/>
      <c r="J123" s="1071" t="s">
        <v>2100</v>
      </c>
      <c r="K123" s="1072"/>
      <c r="L123"/>
      <c r="M123"/>
      <c r="O123"/>
      <c r="P123"/>
      <c r="Q123"/>
      <c r="U123"/>
      <c r="AI123" s="1050" t="s">
        <v>148</v>
      </c>
      <c r="AJ123" s="1051">
        <v>191</v>
      </c>
      <c r="AK123" s="1051">
        <v>192</v>
      </c>
    </row>
    <row r="124" spans="1:37" ht="15.5">
      <c r="C124" s="1071" t="s">
        <v>2101</v>
      </c>
      <c r="D124" s="1072">
        <v>494</v>
      </c>
      <c r="E124" s="1072"/>
      <c r="F124"/>
      <c r="G124"/>
      <c r="J124" s="1071" t="s">
        <v>2101</v>
      </c>
      <c r="K124" s="1072">
        <v>20</v>
      </c>
      <c r="L124"/>
      <c r="M124"/>
      <c r="O124"/>
      <c r="P124"/>
      <c r="Q124"/>
      <c r="U124"/>
      <c r="AI124" s="1050" t="s">
        <v>587</v>
      </c>
      <c r="AJ124" s="1051">
        <v>12</v>
      </c>
      <c r="AK124" s="1051">
        <v>29</v>
      </c>
    </row>
    <row r="125" spans="1:37" ht="15.5">
      <c r="C125" s="1071" t="s">
        <v>2102</v>
      </c>
      <c r="D125" s="1072">
        <v>663</v>
      </c>
      <c r="E125" s="1072">
        <v>1055</v>
      </c>
      <c r="F125"/>
      <c r="G125"/>
      <c r="J125" s="1071" t="s">
        <v>2102</v>
      </c>
      <c r="K125" s="1072">
        <v>121</v>
      </c>
      <c r="L125"/>
      <c r="M125"/>
      <c r="O125"/>
      <c r="P125"/>
      <c r="Q125"/>
      <c r="U125"/>
      <c r="AI125" s="1050" t="s">
        <v>38</v>
      </c>
      <c r="AJ125" s="1051">
        <v>1015</v>
      </c>
      <c r="AK125" s="1051">
        <v>590</v>
      </c>
    </row>
    <row r="126" spans="1:37" ht="15.5">
      <c r="B126" s="101" t="s">
        <v>1853</v>
      </c>
      <c r="C126" s="1071" t="s">
        <v>2103</v>
      </c>
      <c r="D126" s="1072">
        <v>2403</v>
      </c>
      <c r="E126" s="1072">
        <v>3793</v>
      </c>
      <c r="F126"/>
      <c r="G126"/>
      <c r="J126" s="1071" t="s">
        <v>2103</v>
      </c>
      <c r="K126" s="1072">
        <v>1066</v>
      </c>
      <c r="L126"/>
      <c r="M126"/>
      <c r="O126"/>
      <c r="P126" s="653"/>
      <c r="Q126"/>
      <c r="U126"/>
      <c r="AI126" s="1050" t="s">
        <v>152</v>
      </c>
      <c r="AJ126" s="1051">
        <v>70</v>
      </c>
      <c r="AK126" s="1051">
        <v>76</v>
      </c>
    </row>
    <row r="127" spans="1:37" ht="15.5">
      <c r="B127" s="101"/>
      <c r="C127" s="1071" t="s">
        <v>2104</v>
      </c>
      <c r="D127" s="1072">
        <v>2477</v>
      </c>
      <c r="E127" s="1072">
        <v>3793</v>
      </c>
      <c r="F127"/>
      <c r="G127"/>
      <c r="J127" s="1071" t="s">
        <v>2104</v>
      </c>
      <c r="K127" s="1072">
        <v>1082</v>
      </c>
      <c r="L127" s="420"/>
      <c r="M127" s="420"/>
      <c r="N127" s="420"/>
      <c r="O127"/>
      <c r="P127"/>
      <c r="Q127"/>
      <c r="R127"/>
      <c r="U127"/>
      <c r="AI127" s="1050" t="s">
        <v>157</v>
      </c>
      <c r="AJ127" s="1051">
        <v>12</v>
      </c>
      <c r="AK127" s="1051">
        <v>9</v>
      </c>
    </row>
    <row r="128" spans="1:37" ht="15.5">
      <c r="B128" s="101"/>
      <c r="C128" s="1071" t="s">
        <v>2223</v>
      </c>
      <c r="D128" s="1072">
        <v>74</v>
      </c>
      <c r="E128" s="1072"/>
      <c r="F128"/>
      <c r="G128"/>
      <c r="J128" s="1071" t="s">
        <v>2223</v>
      </c>
      <c r="K128" s="1072">
        <v>16</v>
      </c>
      <c r="L128" s="420"/>
      <c r="M128" s="420"/>
      <c r="N128" s="420"/>
      <c r="O128"/>
      <c r="P128"/>
      <c r="Q128"/>
      <c r="R128"/>
      <c r="S128"/>
      <c r="T128"/>
      <c r="U128"/>
      <c r="AI128" s="1050" t="s">
        <v>205</v>
      </c>
      <c r="AJ128" s="1051">
        <v>1003</v>
      </c>
      <c r="AK128" s="1051">
        <v>1308</v>
      </c>
    </row>
    <row r="129" spans="1:37" ht="16" thickBot="1">
      <c r="B129" s="101"/>
      <c r="C129" s="96"/>
      <c r="D129" s="98"/>
      <c r="E129" s="98"/>
      <c r="F129" s="101"/>
      <c r="G129" s="101"/>
      <c r="M129" s="420"/>
      <c r="N129" s="101" t="s">
        <v>1524</v>
      </c>
      <c r="O129" s="100">
        <f>K131</f>
        <v>1066</v>
      </c>
      <c r="AI129" s="1050" t="s">
        <v>159</v>
      </c>
      <c r="AJ129" s="1051">
        <v>441</v>
      </c>
      <c r="AK129" s="1051">
        <v>549</v>
      </c>
    </row>
    <row r="130" spans="1:37" ht="15.5">
      <c r="B130" s="122" t="s">
        <v>37</v>
      </c>
      <c r="C130" s="123" t="s">
        <v>1508</v>
      </c>
      <c r="D130" s="124" t="s">
        <v>1509</v>
      </c>
      <c r="F130" s="101" t="s">
        <v>1524</v>
      </c>
      <c r="G130" s="110">
        <f>GETPIVOTDATA("Sum of # Existing functional latrines",$C$120,"Ethnic or GCA/NGCA","# in GCA (20:1)")+GETPIVOTDATA("Sum of # Existing functional latrines",$C$120,"Ethnic or GCA/NGCA","# in NGCA (20:1)")</f>
        <v>6196</v>
      </c>
      <c r="J130" s="131" t="s">
        <v>515</v>
      </c>
      <c r="K130" s="123" t="s">
        <v>1508</v>
      </c>
      <c r="L130" s="420"/>
      <c r="M130" s="420"/>
      <c r="N130" s="101" t="s">
        <v>2225</v>
      </c>
      <c r="O130" s="100">
        <f>GETPIVOTDATA("  Total # of latrine",$J$120,"Ethnic or GCA/NGCA","# in GCA (20:1)")-O129</f>
        <v>16</v>
      </c>
      <c r="AI130" s="1050" t="s">
        <v>173</v>
      </c>
      <c r="AJ130" s="1051">
        <v>12</v>
      </c>
      <c r="AK130" s="1051">
        <v>14</v>
      </c>
    </row>
    <row r="131" spans="1:37" ht="15.5">
      <c r="A131" s="493" t="s">
        <v>2107</v>
      </c>
      <c r="B131" s="125" t="s">
        <v>1290</v>
      </c>
      <c r="C131" s="126">
        <f>GETPIVOTDATA("Sum of # Existing functional latrines",$C$120,"Ethnic or GCA/NGCA","# in GCA (20:1)")</f>
        <v>2403</v>
      </c>
      <c r="D131" s="127">
        <f>GETPIVOTDATA("Sum of # Existing functional latrines",$C$120,"Ethnic or GCA/NGCA","# in NGCA (20:1)")</f>
        <v>3793</v>
      </c>
      <c r="F131" s="101" t="s">
        <v>2224</v>
      </c>
      <c r="G131" s="110">
        <f>GETPIVOTDATA("Sum of #_Non-functional latrines",$C$120,"Ethnic or GCA/NGCA","# in GCA (20:1)")+GETPIVOTDATA("Sum of #_Non-functional latrines",$C$120,"Ethnic or GCA/NGCA","# in NGCA (20:1)")</f>
        <v>74</v>
      </c>
      <c r="J131" s="125" t="s">
        <v>1290</v>
      </c>
      <c r="K131" s="126">
        <f>GETPIVOTDATA("Sum of # Existing functional latrines",$J$120,"Ethnic or GCA/NGCA","# in GCA (20:1)")</f>
        <v>1066</v>
      </c>
      <c r="L131" s="420"/>
      <c r="M131" s="420"/>
      <c r="N131" s="101"/>
      <c r="O131" s="100"/>
      <c r="AI131" s="1050" t="s">
        <v>214</v>
      </c>
      <c r="AJ131" s="1051">
        <v>27</v>
      </c>
      <c r="AK131" s="1051">
        <v>94</v>
      </c>
    </row>
    <row r="132" spans="1:37" ht="15.5">
      <c r="A132" s="493" t="s">
        <v>2106</v>
      </c>
      <c r="B132" s="125" t="s">
        <v>1519</v>
      </c>
      <c r="C132" s="126">
        <f>GETPIVOTDATA("# latrines (target)",$C$120,"Ethnic or GCA/NGCA","# in GCA (20:1)")-GETPIVOTDATA("Sum of # Existing functional latrines",$C$120,"Ethnic or GCA/NGCA","# in GCA (20:1)")</f>
        <v>656</v>
      </c>
      <c r="D132" s="127">
        <f>IF(GETPIVOTDATA("# latrines (target)",$C$120,"Ethnic or GCA/NGCA","# in NGCA (20:1)")-GETPIVOTDATA("Sum of # Existing functional latrines",$C$120,"Ethnic or GCA/NGCA","# in NGCA (20:1)")&lt;0,0,GETPIVOTDATA("# latrines (target)",$C$120,"Ethnic or GCA/NGCA","# in NGCA (20:1)")-GETPIVOTDATA("Sum of # Existing functional latrines",$C$120,"Ethnic or GCA/NGCA","# in NGCA (20:1)"))</f>
        <v>0</v>
      </c>
      <c r="F132" s="101" t="s">
        <v>2105</v>
      </c>
      <c r="G132" s="110">
        <f>SUM(C135:D135)</f>
        <v>63</v>
      </c>
      <c r="J132" s="125" t="s">
        <v>1519</v>
      </c>
      <c r="K132" s="126">
        <f>GETPIVOTDATA("  Total # of latrine",$J$120,"Ethnic or GCA/NGCA","# in GCA (20:1)")-GETPIVOTDATA("Sum of # Existing functional latrines",$J$120,"Ethnic or GCA/NGCA","# in GCA (20:1)")</f>
        <v>16</v>
      </c>
      <c r="L132" s="420"/>
      <c r="M132" s="420"/>
      <c r="N132" s="420"/>
      <c r="O132" s="420"/>
      <c r="AI132" s="1050" t="s">
        <v>184</v>
      </c>
      <c r="AJ132" s="1051">
        <v>155</v>
      </c>
      <c r="AK132" s="1051">
        <v>43</v>
      </c>
    </row>
    <row r="133" spans="1:37" ht="29">
      <c r="B133" s="125" t="s">
        <v>1520</v>
      </c>
      <c r="C133" s="126">
        <f>GETPIVOTDATA("# handed over",$C$120,"Ethnic or GCA/NGCA","# in GCA (20:1)")</f>
        <v>663</v>
      </c>
      <c r="D133" s="127">
        <f>GETPIVOTDATA("# handed over",$C$120,"Ethnic or GCA/NGCA","# in NGCA (20:1)")</f>
        <v>1055</v>
      </c>
      <c r="F133" s="101" t="s">
        <v>1525</v>
      </c>
      <c r="G133" s="101">
        <f>SUM(C136:D136)</f>
        <v>494</v>
      </c>
      <c r="J133" s="125" t="s">
        <v>1520</v>
      </c>
      <c r="K133" s="126">
        <f>GETPIVOTDATA("# handed over",$J$120,"Ethnic or GCA/NGCA","# in GCA (20:1)")</f>
        <v>121</v>
      </c>
      <c r="L133" s="420"/>
      <c r="M133" s="420"/>
      <c r="N133" s="420"/>
      <c r="O133" s="420"/>
      <c r="AI133" s="1050" t="s">
        <v>863</v>
      </c>
      <c r="AJ133" s="1051">
        <v>0</v>
      </c>
      <c r="AK133" s="1051">
        <v>62</v>
      </c>
    </row>
    <row r="134" spans="1:37" ht="29">
      <c r="B134" s="125" t="s">
        <v>1521</v>
      </c>
      <c r="C134" s="126">
        <f>GETPIVOTDATA("# latrines (target)",$C$120,"Ethnic or GCA/NGCA","# in GCA (20:1)")-GETPIVOTDATA("# handed over",$C$120,"Ethnic or GCA/NGCA","# in GCA (20:1)")</f>
        <v>2396</v>
      </c>
      <c r="D134" s="127">
        <f>D131-D133</f>
        <v>2738</v>
      </c>
      <c r="G134" s="101"/>
      <c r="H134" s="101"/>
      <c r="J134" s="125" t="s">
        <v>1521</v>
      </c>
      <c r="K134" s="126">
        <f>GETPIVOTDATA("  Total # of latrine",$J$120,"Ethnic or GCA/NGCA","# in GCA (20:1)")-GETPIVOTDATA("# handed over",$J$120,"Ethnic or GCA/NGCA","# in GCA (20:1)")</f>
        <v>961</v>
      </c>
      <c r="L134" s="420"/>
      <c r="M134" s="420"/>
      <c r="N134" s="420"/>
      <c r="O134" s="420"/>
      <c r="AI134" s="1050" t="s">
        <v>142</v>
      </c>
      <c r="AJ134" s="1051">
        <v>2106</v>
      </c>
      <c r="AK134" s="1051">
        <v>1725</v>
      </c>
    </row>
    <row r="135" spans="1:37" ht="43.5">
      <c r="B135" s="125" t="s">
        <v>2100</v>
      </c>
      <c r="C135" s="126">
        <f>GETPIVOTDATA("# Operation &amp; maintenance of latrines",$C$120,"Ethnic or GCA/NGCA","# in GCA (20:1)")</f>
        <v>63</v>
      </c>
      <c r="D135" s="127">
        <f>GETPIVOTDATA("# Operation &amp; maintenance of latrines",$C$120,"Ethnic or GCA/NGCA","# in NGCA (20:1)")</f>
        <v>0</v>
      </c>
      <c r="G135" s="101"/>
      <c r="J135" s="125" t="s">
        <v>2108</v>
      </c>
      <c r="K135" s="126">
        <f>GETPIVOTDATA("# Operation &amp; maintenance of latrines",$J$120,"Ethnic or GCA/NGCA","# in GCA (20:1)")</f>
        <v>0</v>
      </c>
      <c r="L135" s="420"/>
      <c r="M135" s="420"/>
      <c r="N135" s="420"/>
      <c r="O135" s="420"/>
      <c r="AI135" s="1047" t="s">
        <v>20</v>
      </c>
      <c r="AJ135" s="1048" t="s">
        <v>2763</v>
      </c>
    </row>
    <row r="136" spans="1:37" ht="29">
      <c r="B136" s="125" t="s">
        <v>1507</v>
      </c>
      <c r="C136" s="126">
        <f>GETPIVOTDATA("# latrines desludged",$C$120,"Ethnic or GCA/NGCA","# in GCA (20:1)")</f>
        <v>494</v>
      </c>
      <c r="D136" s="127">
        <f>GETPIVOTDATA("# latrines desludged",$C$120,"Ethnic or GCA/NGCA","# in NGCA (20:1)")</f>
        <v>0</v>
      </c>
      <c r="G136" s="101"/>
      <c r="J136" s="125" t="s">
        <v>1507</v>
      </c>
      <c r="K136" s="126">
        <f>GETPIVOTDATA("# Latrines desludged",$J$120,"Ethnic or GCA/NGCA","# in GCA (20:1)")</f>
        <v>20</v>
      </c>
      <c r="L136" s="420"/>
      <c r="M136" s="420"/>
      <c r="N136" s="420"/>
      <c r="O136" s="420"/>
      <c r="AI136" s="1049" t="s">
        <v>21</v>
      </c>
      <c r="AJ136" s="1048" t="s">
        <v>515</v>
      </c>
      <c r="AK136" s="97"/>
    </row>
    <row r="137" spans="1:37" ht="16" thickBot="1">
      <c r="B137" s="128" t="s">
        <v>1506</v>
      </c>
      <c r="C137" s="129">
        <f>GETPIVOTDATA("# latrines (target)",$C$120,"Ethnic or GCA/NGCA","# in GCA (20:1)")</f>
        <v>3059</v>
      </c>
      <c r="D137" s="130">
        <f>GETPIVOTDATA("# latrines (target)",$C$120,"Ethnic or GCA/NGCA","# in NGCA (20:1)")</f>
        <v>2589</v>
      </c>
      <c r="G137" s="101"/>
      <c r="J137" s="128" t="s">
        <v>1506</v>
      </c>
      <c r="K137" s="129">
        <f>GETPIVOTDATA("# latrines (target)",$J$120,"Ethnic or GCA/NGCA","# in GCA (20:1)")</f>
        <v>807</v>
      </c>
      <c r="L137" s="420"/>
      <c r="M137" s="420"/>
      <c r="N137" s="420"/>
      <c r="O137" s="420"/>
      <c r="AI137" s="1047" t="s">
        <v>34</v>
      </c>
      <c r="AJ137" s="1048" t="s">
        <v>34</v>
      </c>
    </row>
    <row r="138" spans="1:37" ht="15.5">
      <c r="B138" s="101"/>
      <c r="C138" s="132"/>
      <c r="D138" s="133"/>
      <c r="E138" s="133"/>
      <c r="G138" s="101"/>
      <c r="K138" s="420"/>
      <c r="L138" s="420"/>
      <c r="M138" s="420"/>
      <c r="N138" s="420"/>
      <c r="O138" s="420"/>
      <c r="Q138" s="101"/>
      <c r="R138" s="101"/>
      <c r="S138" s="132"/>
      <c r="T138" s="133"/>
      <c r="U138" s="133"/>
      <c r="AI138" s="1047" t="s">
        <v>134</v>
      </c>
      <c r="AJ138" s="1048" t="s">
        <v>1284</v>
      </c>
    </row>
    <row r="139" spans="1:37" ht="15.5">
      <c r="B139" s="101"/>
      <c r="C139" s="132"/>
      <c r="D139" s="133"/>
      <c r="E139" s="133"/>
      <c r="G139" s="101"/>
      <c r="K139" s="420"/>
      <c r="L139" s="420"/>
      <c r="M139" s="420"/>
      <c r="N139" s="420"/>
      <c r="O139" s="420"/>
      <c r="Q139" s="101"/>
      <c r="R139" s="101"/>
      <c r="S139" s="132"/>
      <c r="T139" s="133"/>
      <c r="U139" s="133"/>
    </row>
    <row r="140" spans="1:37" ht="15.5">
      <c r="B140" s="101"/>
      <c r="C140" s="132"/>
      <c r="D140" s="133"/>
      <c r="E140" s="133"/>
      <c r="G140" s="101"/>
      <c r="K140" s="420"/>
      <c r="L140" s="420"/>
      <c r="M140" s="420"/>
      <c r="N140" s="420"/>
      <c r="O140" s="420"/>
      <c r="Q140" s="101"/>
      <c r="R140" s="101"/>
      <c r="S140" s="132"/>
      <c r="T140" s="133"/>
      <c r="U140" s="133"/>
      <c r="AI140" s="1047" t="s">
        <v>1283</v>
      </c>
      <c r="AJ140" s="1048" t="s">
        <v>2666</v>
      </c>
      <c r="AK140" s="1048" t="s">
        <v>2665</v>
      </c>
    </row>
    <row r="141" spans="1:37">
      <c r="B141" s="101"/>
      <c r="C141" s="96"/>
      <c r="D141" s="98"/>
      <c r="E141" s="98"/>
      <c r="F141" s="101"/>
      <c r="G141" s="101"/>
      <c r="J141" s="101"/>
      <c r="K141" s="101"/>
      <c r="L141" s="101"/>
      <c r="Q141" s="101"/>
      <c r="R141" s="101"/>
      <c r="S141" s="101"/>
      <c r="AI141" s="1050" t="s">
        <v>534</v>
      </c>
      <c r="AJ141" s="1051">
        <v>48</v>
      </c>
      <c r="AK141" s="1051">
        <v>20</v>
      </c>
    </row>
    <row r="142" spans="1:37">
      <c r="B142" s="101"/>
      <c r="C142" s="96"/>
      <c r="D142" s="98"/>
      <c r="E142" s="98"/>
      <c r="F142" s="101"/>
      <c r="G142" s="101"/>
      <c r="J142" s="101"/>
      <c r="K142" s="101"/>
      <c r="L142" s="101"/>
      <c r="Q142" s="101"/>
      <c r="R142" s="101"/>
      <c r="S142" s="101"/>
      <c r="AI142" s="1050" t="s">
        <v>519</v>
      </c>
      <c r="AJ142" s="1051">
        <v>685</v>
      </c>
      <c r="AK142" s="1051">
        <v>473</v>
      </c>
    </row>
    <row r="143" spans="1:37">
      <c r="B143" s="101"/>
      <c r="C143" s="96"/>
      <c r="D143" s="98"/>
      <c r="E143" s="98"/>
      <c r="F143" s="101"/>
      <c r="G143" s="101"/>
      <c r="J143" s="101"/>
      <c r="K143" s="101"/>
      <c r="L143" s="101"/>
      <c r="Q143" s="101"/>
      <c r="R143" s="101"/>
      <c r="S143" s="101"/>
      <c r="AI143" s="1050" t="s">
        <v>961</v>
      </c>
      <c r="AJ143" s="1051">
        <v>23</v>
      </c>
      <c r="AK143" s="1051">
        <v>5</v>
      </c>
    </row>
    <row r="144" spans="1:37">
      <c r="B144" s="101"/>
      <c r="C144" s="96"/>
      <c r="D144" s="98"/>
      <c r="E144" s="98"/>
      <c r="F144" s="101"/>
      <c r="G144" s="101"/>
      <c r="J144" s="101"/>
      <c r="K144" s="101"/>
      <c r="L144" s="101"/>
      <c r="Q144" s="101"/>
      <c r="R144" s="101"/>
      <c r="S144" s="101"/>
      <c r="AI144" s="1050" t="s">
        <v>962</v>
      </c>
      <c r="AJ144" s="1051">
        <v>641</v>
      </c>
      <c r="AK144" s="1051">
        <v>257</v>
      </c>
    </row>
    <row r="145" spans="2:37">
      <c r="B145" s="101"/>
      <c r="C145" s="96"/>
      <c r="D145" s="98"/>
      <c r="E145" s="98"/>
      <c r="F145" s="101"/>
      <c r="G145" s="101"/>
      <c r="J145" s="101"/>
      <c r="K145" s="101"/>
      <c r="L145" s="101"/>
      <c r="Q145" s="101"/>
      <c r="R145" s="101"/>
      <c r="S145" s="101"/>
      <c r="AI145" s="1050" t="s">
        <v>522</v>
      </c>
      <c r="AJ145" s="1051">
        <v>26</v>
      </c>
      <c r="AK145" s="1051">
        <v>14</v>
      </c>
    </row>
    <row r="146" spans="2:37">
      <c r="B146" s="101"/>
      <c r="C146" s="96"/>
      <c r="D146" s="98"/>
      <c r="E146" s="98"/>
      <c r="F146" s="101"/>
      <c r="G146" s="101"/>
      <c r="J146" s="101"/>
      <c r="K146" s="101"/>
      <c r="L146" s="101"/>
      <c r="Q146" s="101"/>
      <c r="R146" s="101"/>
      <c r="S146" s="101"/>
      <c r="AI146" s="1050" t="s">
        <v>525</v>
      </c>
      <c r="AJ146" s="1051">
        <v>40</v>
      </c>
      <c r="AK146" s="1051">
        <v>47</v>
      </c>
    </row>
    <row r="147" spans="2:37">
      <c r="B147" s="101"/>
      <c r="C147" s="96"/>
      <c r="D147" s="98"/>
      <c r="E147" s="98"/>
      <c r="F147" s="101"/>
      <c r="G147" s="101"/>
      <c r="J147" s="101"/>
      <c r="K147" s="101"/>
      <c r="L147" s="101"/>
      <c r="Q147" s="101"/>
      <c r="R147" s="101"/>
      <c r="S147" s="101"/>
      <c r="AI147" s="1050" t="s">
        <v>516</v>
      </c>
      <c r="AJ147" s="1051">
        <v>54</v>
      </c>
      <c r="AK147" s="1051">
        <v>49</v>
      </c>
    </row>
    <row r="148" spans="2:37">
      <c r="B148" s="101"/>
      <c r="C148" s="96"/>
      <c r="D148" s="98"/>
      <c r="E148" s="98"/>
      <c r="F148" s="101"/>
      <c r="G148" s="101"/>
      <c r="J148" s="101"/>
      <c r="K148" s="101"/>
      <c r="L148" s="101"/>
      <c r="Q148" s="101"/>
      <c r="R148" s="101"/>
      <c r="S148" s="101"/>
      <c r="AI148" s="1050" t="s">
        <v>536</v>
      </c>
      <c r="AJ148" s="1051">
        <v>42</v>
      </c>
      <c r="AK148" s="1051">
        <v>32</v>
      </c>
    </row>
    <row r="149" spans="2:37" ht="15.5">
      <c r="B149" s="1067" t="s">
        <v>20</v>
      </c>
      <c r="C149" s="1068" t="s">
        <v>2765</v>
      </c>
      <c r="D149" s="98"/>
      <c r="E149" s="98"/>
      <c r="F149" s="101"/>
      <c r="G149" s="101"/>
      <c r="J149" s="101"/>
      <c r="K149" s="101"/>
      <c r="L149" s="101"/>
      <c r="Q149" s="101"/>
      <c r="R149" s="101"/>
      <c r="S149" s="101"/>
      <c r="AI149"/>
      <c r="AJ149"/>
      <c r="AK149"/>
    </row>
    <row r="150" spans="2:37" ht="15.5">
      <c r="B150" s="1067" t="s">
        <v>34</v>
      </c>
      <c r="C150" s="1068" t="s">
        <v>34</v>
      </c>
      <c r="D150" s="98"/>
      <c r="E150" s="98"/>
      <c r="F150" s="101"/>
      <c r="G150" s="101"/>
      <c r="J150" s="101"/>
      <c r="K150" s="101"/>
      <c r="L150" s="101"/>
      <c r="Q150" s="101"/>
      <c r="R150" s="101"/>
      <c r="S150" s="101"/>
      <c r="AI150"/>
      <c r="AJ150"/>
      <c r="AK150"/>
    </row>
    <row r="151" spans="2:37" ht="15.5">
      <c r="B151" s="1067" t="s">
        <v>134</v>
      </c>
      <c r="C151" s="1068" t="s">
        <v>1476</v>
      </c>
      <c r="AI151"/>
      <c r="AJ151"/>
      <c r="AK151"/>
    </row>
    <row r="152" spans="2:37" ht="15.5">
      <c r="AI152"/>
      <c r="AJ152"/>
      <c r="AK152"/>
    </row>
    <row r="153" spans="2:37" ht="15.5">
      <c r="B153" s="1067" t="s">
        <v>2109</v>
      </c>
      <c r="C153" s="1067" t="s">
        <v>1477</v>
      </c>
      <c r="D153" s="1068"/>
      <c r="E153" s="1068"/>
      <c r="F153" s="1068"/>
      <c r="G153"/>
      <c r="AI153"/>
      <c r="AJ153"/>
      <c r="AK153"/>
    </row>
    <row r="154" spans="2:37" ht="15.5">
      <c r="B154" s="1067" t="s">
        <v>21</v>
      </c>
      <c r="C154" s="1068" t="s">
        <v>137</v>
      </c>
      <c r="D154" s="1068" t="s">
        <v>140</v>
      </c>
      <c r="E154" s="1068" t="s">
        <v>136</v>
      </c>
      <c r="F154" s="1068" t="s">
        <v>904</v>
      </c>
      <c r="G154"/>
      <c r="AI154"/>
      <c r="AJ154"/>
    </row>
    <row r="155" spans="2:37" ht="15.5">
      <c r="B155" s="1071" t="s">
        <v>37</v>
      </c>
      <c r="C155" s="1072">
        <v>103</v>
      </c>
      <c r="D155" s="1072">
        <v>9</v>
      </c>
      <c r="E155" s="1072">
        <v>7</v>
      </c>
      <c r="F155" s="1072">
        <v>9</v>
      </c>
      <c r="G155"/>
      <c r="AI155"/>
      <c r="AJ155"/>
    </row>
    <row r="156" spans="2:37" ht="15.5">
      <c r="B156" s="1071" t="s">
        <v>515</v>
      </c>
      <c r="C156" s="1072">
        <v>14</v>
      </c>
      <c r="D156" s="1072">
        <v>14</v>
      </c>
      <c r="E156" s="1072">
        <v>6</v>
      </c>
      <c r="F156" s="1072">
        <v>4</v>
      </c>
      <c r="G156"/>
      <c r="AI156"/>
      <c r="AJ156"/>
    </row>
    <row r="157" spans="2:37" ht="15.5">
      <c r="B157"/>
      <c r="C157"/>
      <c r="D157"/>
      <c r="E157"/>
      <c r="F157"/>
      <c r="G157"/>
      <c r="AI157"/>
      <c r="AJ157"/>
    </row>
    <row r="158" spans="2:37" ht="15.5">
      <c r="B158" s="101"/>
      <c r="C158" s="101"/>
      <c r="D158" s="101"/>
      <c r="E158" s="101"/>
      <c r="F158" s="101"/>
      <c r="G158" s="101"/>
      <c r="Q158" s="101"/>
      <c r="R158" s="101"/>
      <c r="S158" s="101"/>
      <c r="AI158"/>
      <c r="AJ158"/>
    </row>
    <row r="159" spans="2:37" ht="15.5">
      <c r="B159" s="134"/>
      <c r="C159" s="134" t="s">
        <v>137</v>
      </c>
      <c r="D159" s="134" t="s">
        <v>140</v>
      </c>
      <c r="E159" s="134" t="s">
        <v>904</v>
      </c>
      <c r="F159" s="134" t="s">
        <v>186</v>
      </c>
      <c r="AI159"/>
      <c r="AJ159"/>
    </row>
    <row r="160" spans="2:37">
      <c r="B160" s="135" t="s">
        <v>37</v>
      </c>
      <c r="C160" s="136">
        <f>GETPIVOTDATA("Is there constructed surface water drainage system?
",$B$153,"State","Kachin","Is there constructed surface water drainage system?
","Functional")</f>
        <v>103</v>
      </c>
      <c r="D160" s="136">
        <f>GETPIVOTDATA("Is there constructed surface water drainage system?
",$B$153,"State","Kachin","Is there constructed surface water drainage system?
","NA")</f>
        <v>9</v>
      </c>
      <c r="E160" s="136">
        <f>GETPIVOTDATA("Is there constructed surface water drainage system?
",$B$153,"State","Kachin","Is there constructed surface water drainage system?
","Not_Functional")</f>
        <v>9</v>
      </c>
      <c r="F160" s="136">
        <f>GETPIVOTDATA("Is there constructed surface water drainage system?
",$B$153,"State","Kachin","Is there constructed surface water drainage system?
","No")</f>
        <v>7</v>
      </c>
    </row>
    <row r="161" spans="2:11">
      <c r="B161" s="135"/>
      <c r="C161" s="136"/>
      <c r="D161" s="136"/>
      <c r="E161" s="136"/>
      <c r="F161" s="136"/>
    </row>
    <row r="162" spans="2:11">
      <c r="B162" s="135" t="s">
        <v>515</v>
      </c>
      <c r="C162" s="136">
        <f>GETPIVOTDATA("Is there constructed surface water drainage system?
",$B$153,"State","Shan (North)","Is there constructed surface water drainage system?
","Functional")</f>
        <v>14</v>
      </c>
      <c r="D162" s="136">
        <f>GETPIVOTDATA("Is there constructed surface water drainage system?
",$B$153,"State","Shan (North)","Is there constructed surface water drainage system?
","NA")</f>
        <v>14</v>
      </c>
      <c r="E162" s="136">
        <f>GETPIVOTDATA("Is there constructed surface water drainage system?
",$B$153,"State","Shan (North)","Is there constructed surface water drainage system?
","Not_Functional")</f>
        <v>4</v>
      </c>
      <c r="F162" s="136">
        <f>GETPIVOTDATA("Is there constructed surface water drainage system?
",$B$153,"State","Shan (North)","Is there constructed surface water drainage system?
","No")</f>
        <v>6</v>
      </c>
    </row>
    <row r="163" spans="2:11">
      <c r="B163" s="132"/>
      <c r="C163" s="133"/>
      <c r="D163" s="133"/>
      <c r="E163" s="133"/>
      <c r="F163" s="133"/>
    </row>
    <row r="164" spans="2:11">
      <c r="B164" s="132"/>
      <c r="C164" s="133"/>
      <c r="D164" s="133"/>
      <c r="E164" s="133"/>
      <c r="F164" s="133"/>
    </row>
    <row r="165" spans="2:11">
      <c r="B165" s="1067" t="s">
        <v>20</v>
      </c>
      <c r="C165" s="1068" t="s">
        <v>2765</v>
      </c>
    </row>
    <row r="166" spans="2:11">
      <c r="B166" s="1067" t="s">
        <v>34</v>
      </c>
      <c r="C166" s="1068" t="s">
        <v>34</v>
      </c>
    </row>
    <row r="167" spans="2:11">
      <c r="B167" s="1067" t="s">
        <v>134</v>
      </c>
      <c r="C167" s="1068" t="s">
        <v>1476</v>
      </c>
    </row>
    <row r="169" spans="2:11" ht="15.5">
      <c r="B169" s="1067" t="s">
        <v>2110</v>
      </c>
      <c r="C169" s="1067" t="s">
        <v>1477</v>
      </c>
      <c r="D169" s="1068"/>
      <c r="E169" s="1068"/>
      <c r="F169"/>
      <c r="G169"/>
      <c r="H169" s="101"/>
      <c r="I169" s="101"/>
      <c r="J169" s="101"/>
      <c r="K169" s="101"/>
    </row>
    <row r="170" spans="2:11" ht="15.5">
      <c r="B170" s="1067" t="s">
        <v>21</v>
      </c>
      <c r="C170" s="1068" t="s">
        <v>140</v>
      </c>
      <c r="D170" s="1068" t="s">
        <v>136</v>
      </c>
      <c r="E170" s="1068" t="s">
        <v>41</v>
      </c>
      <c r="F170"/>
      <c r="G170"/>
      <c r="H170" s="101"/>
      <c r="I170" s="101"/>
      <c r="J170" s="101"/>
      <c r="K170" s="101"/>
    </row>
    <row r="171" spans="2:11" ht="15.5">
      <c r="B171" s="1071" t="s">
        <v>37</v>
      </c>
      <c r="C171" s="1072">
        <v>8</v>
      </c>
      <c r="D171" s="1072">
        <v>6</v>
      </c>
      <c r="E171" s="1072">
        <v>114</v>
      </c>
      <c r="F171"/>
      <c r="G171"/>
      <c r="H171" s="101"/>
      <c r="I171" s="101"/>
      <c r="J171" s="101"/>
      <c r="K171" s="101"/>
    </row>
    <row r="172" spans="2:11" ht="15.5">
      <c r="B172" s="1071" t="s">
        <v>515</v>
      </c>
      <c r="C172" s="1072">
        <v>14</v>
      </c>
      <c r="D172" s="1072">
        <v>6</v>
      </c>
      <c r="E172" s="1072">
        <v>18</v>
      </c>
      <c r="F172"/>
      <c r="G172"/>
      <c r="H172" s="101"/>
      <c r="I172" s="101"/>
      <c r="J172" s="101"/>
      <c r="K172" s="101"/>
    </row>
    <row r="173" spans="2:11" ht="15.5">
      <c r="B173"/>
      <c r="C173"/>
      <c r="D173"/>
      <c r="E173"/>
      <c r="F173"/>
      <c r="G173"/>
      <c r="H173" s="101"/>
      <c r="I173" s="101"/>
      <c r="J173" s="101"/>
      <c r="K173" s="101"/>
    </row>
    <row r="174" spans="2:11">
      <c r="B174" s="101"/>
      <c r="C174" s="101"/>
      <c r="D174" s="101"/>
      <c r="E174" s="101"/>
      <c r="F174" s="101"/>
      <c r="G174" s="101"/>
      <c r="H174" s="101"/>
      <c r="I174" s="101"/>
    </row>
    <row r="175" spans="2:11">
      <c r="B175" s="143" t="s">
        <v>1283</v>
      </c>
      <c r="C175" s="387" t="s">
        <v>140</v>
      </c>
      <c r="D175" s="387" t="s">
        <v>136</v>
      </c>
      <c r="E175" s="387" t="s">
        <v>41</v>
      </c>
    </row>
    <row r="176" spans="2:11">
      <c r="B176" s="139" t="s">
        <v>37</v>
      </c>
      <c r="C176" s="141">
        <f>GETPIVOTDATA("Is there provision of solid waste management equipment?",$B$169,"State","Kachin","Is there provision of solid waste management equipment?","NA")</f>
        <v>8</v>
      </c>
      <c r="D176" s="140">
        <f>GETPIVOTDATA("Is there provision of solid waste management equipment?",$B$169,"State","Kachin","Is there provision of solid waste management equipment?","No")</f>
        <v>6</v>
      </c>
      <c r="E176" s="141">
        <f>GETPIVOTDATA("Is there provision of solid waste management equipment?",$B$169,"State","Kachin","Is there provision of solid waste management equipment?","Yes")</f>
        <v>114</v>
      </c>
    </row>
    <row r="177" spans="2:35">
      <c r="B177" s="137"/>
      <c r="C177" s="142"/>
      <c r="D177" s="138"/>
      <c r="E177" s="142"/>
    </row>
    <row r="178" spans="2:35">
      <c r="B178" s="139" t="s">
        <v>515</v>
      </c>
      <c r="C178" s="141">
        <f>GETPIVOTDATA("Is there provision of solid waste management equipment?",$B$169,"State","Shan (North)","Is there provision of solid waste management equipment?","NA")</f>
        <v>14</v>
      </c>
      <c r="D178" s="140">
        <f>GETPIVOTDATA("Is there provision of solid waste management equipment?",$B$169,"State","Shan (North)","Is there provision of solid waste management equipment?","No")</f>
        <v>6</v>
      </c>
      <c r="E178" s="141">
        <f>GETPIVOTDATA("Is there provision of solid waste management equipment?",$B$169,"State","Shan (North)","Is there provision of solid waste management equipment?","Yes")</f>
        <v>18</v>
      </c>
    </row>
    <row r="182" spans="2:35" ht="15.5">
      <c r="B182" s="1067" t="s">
        <v>20</v>
      </c>
      <c r="C182" s="1068" t="s">
        <v>2765</v>
      </c>
      <c r="D182" s="106"/>
      <c r="V182" s="420"/>
      <c r="W182" s="420"/>
      <c r="X182" s="420"/>
      <c r="Y182" s="420"/>
      <c r="Z182" s="420"/>
      <c r="AA182" s="420"/>
      <c r="AB182" s="420"/>
      <c r="AC182" s="420"/>
      <c r="AD182" s="420"/>
      <c r="AE182" s="420"/>
      <c r="AF182" s="420"/>
      <c r="AG182" s="420"/>
      <c r="AH182" s="420"/>
    </row>
    <row r="183" spans="2:35" ht="15.5">
      <c r="B183" s="1067" t="s">
        <v>34</v>
      </c>
      <c r="C183" s="1068" t="s">
        <v>34</v>
      </c>
      <c r="D183" s="101"/>
      <c r="J183" s="1067" t="s">
        <v>20</v>
      </c>
      <c r="K183" s="1068" t="s">
        <v>2765</v>
      </c>
      <c r="L183" s="106"/>
      <c r="V183" s="420"/>
      <c r="W183" s="420"/>
      <c r="X183" s="420"/>
      <c r="Y183" s="420"/>
      <c r="Z183" s="420"/>
      <c r="AA183" s="420"/>
      <c r="AB183" s="420"/>
      <c r="AC183" s="420"/>
      <c r="AD183" s="420"/>
      <c r="AE183" s="420"/>
      <c r="AF183" s="420"/>
      <c r="AG183" s="420"/>
      <c r="AH183" s="420"/>
      <c r="AI183" s="106"/>
    </row>
    <row r="184" spans="2:35" ht="15.5">
      <c r="B184" s="1080" t="s">
        <v>21</v>
      </c>
      <c r="C184" s="1081" t="s">
        <v>37</v>
      </c>
      <c r="D184" s="101"/>
      <c r="J184" s="1067" t="s">
        <v>34</v>
      </c>
      <c r="K184" s="1068" t="s">
        <v>34</v>
      </c>
      <c r="L184" s="101"/>
      <c r="V184" s="420"/>
      <c r="W184" s="420"/>
      <c r="X184" s="420"/>
      <c r="Y184" s="420"/>
      <c r="Z184" s="420"/>
      <c r="AA184" s="420"/>
      <c r="AB184" s="420"/>
      <c r="AC184" s="420"/>
      <c r="AD184" s="420"/>
      <c r="AE184" s="420"/>
      <c r="AF184" s="420"/>
      <c r="AG184" s="420"/>
      <c r="AH184" s="420"/>
      <c r="AI184" s="101"/>
    </row>
    <row r="185" spans="2:35" ht="15.5">
      <c r="B185" s="1067" t="s">
        <v>134</v>
      </c>
      <c r="C185" s="1068" t="s">
        <v>1476</v>
      </c>
      <c r="D185" s="101"/>
      <c r="J185" s="1080" t="s">
        <v>21</v>
      </c>
      <c r="K185" s="1081" t="s">
        <v>515</v>
      </c>
      <c r="L185" s="101"/>
      <c r="V185" s="420"/>
      <c r="W185" s="420"/>
      <c r="X185" s="420"/>
      <c r="Y185" s="420"/>
      <c r="Z185" s="420"/>
      <c r="AA185" s="420"/>
      <c r="AB185" s="420"/>
      <c r="AC185" s="420"/>
      <c r="AD185" s="420"/>
      <c r="AE185" s="420"/>
      <c r="AF185" s="420"/>
      <c r="AG185" s="420"/>
      <c r="AH185" s="420"/>
      <c r="AI185" s="101"/>
    </row>
    <row r="186" spans="2:35" ht="15.5">
      <c r="B186" s="381"/>
      <c r="C186" s="101"/>
      <c r="D186" s="101"/>
      <c r="J186" s="1067" t="s">
        <v>134</v>
      </c>
      <c r="K186" s="1068" t="s">
        <v>1476</v>
      </c>
      <c r="L186" s="101"/>
      <c r="V186" s="420"/>
      <c r="W186" s="420"/>
      <c r="X186" s="420"/>
      <c r="Y186" s="420"/>
      <c r="Z186" s="420"/>
      <c r="AA186" s="420"/>
      <c r="AB186" s="420"/>
      <c r="AC186" s="420"/>
      <c r="AD186" s="420"/>
      <c r="AE186" s="420"/>
      <c r="AF186" s="420"/>
      <c r="AG186" s="420"/>
      <c r="AH186" s="420"/>
      <c r="AI186" s="101"/>
    </row>
    <row r="187" spans="2:35" ht="15.5">
      <c r="B187" s="1077" t="s">
        <v>21</v>
      </c>
      <c r="C187" s="1068" t="s">
        <v>2148</v>
      </c>
      <c r="D187" s="1068" t="s">
        <v>2147</v>
      </c>
      <c r="J187" s="381"/>
      <c r="K187" s="101"/>
      <c r="L187" s="101"/>
      <c r="V187" s="420"/>
      <c r="W187" s="420"/>
      <c r="X187" s="420"/>
      <c r="Y187" s="420"/>
      <c r="Z187" s="420"/>
      <c r="AA187" s="420"/>
      <c r="AB187" s="420"/>
      <c r="AC187" s="420"/>
      <c r="AD187" s="420"/>
      <c r="AE187" s="420"/>
      <c r="AF187" s="420"/>
      <c r="AG187" s="420"/>
      <c r="AH187" s="420"/>
      <c r="AI187" s="101"/>
    </row>
    <row r="188" spans="2:35" ht="15.5">
      <c r="B188" s="1071" t="s">
        <v>195</v>
      </c>
      <c r="C188" s="1074">
        <v>0.76488222698072805</v>
      </c>
      <c r="D188" s="1074">
        <v>0.23511777301927195</v>
      </c>
      <c r="J188" s="1077" t="s">
        <v>21</v>
      </c>
      <c r="K188" s="1068" t="s">
        <v>2146</v>
      </c>
      <c r="L188" s="1068" t="s">
        <v>2147</v>
      </c>
      <c r="V188" s="420"/>
      <c r="W188" s="420"/>
      <c r="X188" s="420"/>
      <c r="Y188" s="420"/>
      <c r="Z188" s="420"/>
      <c r="AA188" s="420"/>
      <c r="AB188" s="420"/>
      <c r="AC188" s="420"/>
      <c r="AD188" s="420"/>
      <c r="AE188" s="420"/>
      <c r="AF188" s="420"/>
      <c r="AG188" s="420"/>
      <c r="AH188" s="420"/>
      <c r="AI188"/>
    </row>
    <row r="189" spans="2:35" ht="15.5">
      <c r="B189" s="1071" t="s">
        <v>146</v>
      </c>
      <c r="C189" s="1074">
        <v>0.71485148514851482</v>
      </c>
      <c r="D189" s="1074">
        <v>0.28514851485148518</v>
      </c>
      <c r="J189" s="1071" t="s">
        <v>534</v>
      </c>
      <c r="K189" s="1074">
        <v>1</v>
      </c>
      <c r="L189" s="1074">
        <v>0</v>
      </c>
      <c r="V189" s="420"/>
      <c r="W189" s="420"/>
      <c r="X189" s="420"/>
      <c r="Y189" s="420"/>
      <c r="Z189" s="420"/>
      <c r="AA189" s="420"/>
      <c r="AB189" s="420"/>
      <c r="AC189" s="420"/>
      <c r="AD189" s="420"/>
      <c r="AE189" s="420"/>
      <c r="AF189" s="420"/>
      <c r="AG189" s="420"/>
      <c r="AH189" s="420"/>
      <c r="AI189"/>
    </row>
    <row r="190" spans="2:35" ht="15.5">
      <c r="B190" s="1071" t="s">
        <v>148</v>
      </c>
      <c r="C190" s="1074">
        <v>0.66142557651991618</v>
      </c>
      <c r="D190" s="1074">
        <v>0.33857442348008382</v>
      </c>
      <c r="J190" s="1071" t="s">
        <v>519</v>
      </c>
      <c r="K190" s="1074">
        <v>0.9140857021637675</v>
      </c>
      <c r="L190" s="1074">
        <v>8.59142978362325E-2</v>
      </c>
      <c r="V190" s="420"/>
      <c r="W190" s="420"/>
      <c r="X190" s="420"/>
      <c r="Y190" s="420"/>
      <c r="Z190" s="420"/>
      <c r="AA190" s="420"/>
      <c r="AB190" s="420"/>
      <c r="AC190" s="420"/>
      <c r="AD190" s="420"/>
      <c r="AE190" s="420"/>
      <c r="AF190" s="420"/>
      <c r="AG190" s="420"/>
      <c r="AH190" s="420"/>
      <c r="AI190"/>
    </row>
    <row r="191" spans="2:35" ht="15.5">
      <c r="B191" s="1071" t="s">
        <v>38</v>
      </c>
      <c r="C191" s="1074">
        <v>0.93280474131026747</v>
      </c>
      <c r="D191" s="1074">
        <v>6.7195258689732529E-2</v>
      </c>
      <c r="J191" s="1071" t="s">
        <v>961</v>
      </c>
      <c r="K191" s="1074">
        <v>1</v>
      </c>
      <c r="L191" s="1074">
        <v>0</v>
      </c>
      <c r="V191" s="420"/>
      <c r="W191" s="420"/>
      <c r="X191" s="420"/>
      <c r="Y191" s="420"/>
      <c r="Z191" s="420"/>
      <c r="AA191" s="420"/>
      <c r="AB191" s="420"/>
      <c r="AC191" s="420"/>
      <c r="AD191" s="420"/>
      <c r="AE191" s="420"/>
      <c r="AF191" s="420"/>
      <c r="AG191" s="420"/>
      <c r="AH191" s="420"/>
      <c r="AI191"/>
    </row>
    <row r="192" spans="2:35" ht="15.5">
      <c r="B192" s="1071" t="s">
        <v>152</v>
      </c>
      <c r="C192" s="1074">
        <v>0.69567510548523204</v>
      </c>
      <c r="D192" s="1074">
        <v>0.30432489451476796</v>
      </c>
      <c r="J192" s="1071" t="s">
        <v>522</v>
      </c>
      <c r="K192" s="1074">
        <v>1</v>
      </c>
      <c r="L192" s="1074">
        <v>0</v>
      </c>
      <c r="V192" s="420"/>
      <c r="W192" s="420"/>
      <c r="X192"/>
      <c r="Y192" s="420"/>
      <c r="Z192" s="420"/>
      <c r="AA192" s="420"/>
      <c r="AB192" s="420"/>
      <c r="AC192" s="420"/>
      <c r="AD192" s="420"/>
      <c r="AE192" s="420"/>
      <c r="AF192" s="420"/>
      <c r="AG192" s="420"/>
      <c r="AH192" s="420"/>
      <c r="AI192"/>
    </row>
    <row r="193" spans="1:35" ht="15.5">
      <c r="B193" s="1071" t="s">
        <v>157</v>
      </c>
      <c r="C193" s="1074">
        <v>0.84848484848484851</v>
      </c>
      <c r="D193" s="1074">
        <v>0.15151515151515149</v>
      </c>
      <c r="J193" s="1071" t="s">
        <v>525</v>
      </c>
      <c r="K193" s="1074">
        <v>0.6962576153176675</v>
      </c>
      <c r="L193" s="1074">
        <v>0.3037423846823325</v>
      </c>
      <c r="V193" s="420"/>
      <c r="W193" s="420"/>
      <c r="X193" s="420"/>
      <c r="Y193" s="420"/>
      <c r="Z193" s="420"/>
      <c r="AA193" s="420"/>
      <c r="AB193" s="420"/>
      <c r="AC193" s="420"/>
      <c r="AD193" s="420"/>
      <c r="AE193" s="420"/>
      <c r="AF193" s="420"/>
      <c r="AG193" s="420"/>
      <c r="AH193" s="420"/>
      <c r="AI193"/>
    </row>
    <row r="194" spans="1:35" ht="15.5">
      <c r="B194" s="1071" t="s">
        <v>205</v>
      </c>
      <c r="C194" s="1074">
        <v>0.61004744154523893</v>
      </c>
      <c r="D194" s="1074">
        <v>0.38995255845476107</v>
      </c>
      <c r="J194" s="1071" t="s">
        <v>516</v>
      </c>
      <c r="K194" s="1074">
        <v>0.88844621513944222</v>
      </c>
      <c r="L194" s="1074">
        <v>0.11155378486055778</v>
      </c>
      <c r="V194"/>
      <c r="W194"/>
      <c r="X194"/>
    </row>
    <row r="195" spans="1:35">
      <c r="B195" s="1071" t="s">
        <v>159</v>
      </c>
      <c r="C195" s="1074">
        <v>0.71465832029212306</v>
      </c>
      <c r="D195" s="1074">
        <v>0.28534167970787694</v>
      </c>
      <c r="J195" s="1071" t="s">
        <v>536</v>
      </c>
      <c r="K195" s="1074">
        <v>0.90731707317073174</v>
      </c>
      <c r="L195" s="1074">
        <v>9.2682926829268264E-2</v>
      </c>
    </row>
    <row r="196" spans="1:35">
      <c r="B196" s="1071" t="s">
        <v>214</v>
      </c>
      <c r="C196" s="1074">
        <v>0.25864821713677488</v>
      </c>
      <c r="D196" s="1074">
        <v>0.74135178286322512</v>
      </c>
      <c r="J196" s="1071" t="s">
        <v>963</v>
      </c>
      <c r="K196" s="1074">
        <v>0.16726403823178015</v>
      </c>
      <c r="L196" s="1074">
        <v>0.83273596176821985</v>
      </c>
    </row>
    <row r="197" spans="1:35" ht="15.5">
      <c r="B197" s="1071" t="s">
        <v>184</v>
      </c>
      <c r="C197" s="1074">
        <v>1</v>
      </c>
      <c r="D197" s="1074">
        <v>0</v>
      </c>
      <c r="J197" s="1071" t="s">
        <v>960</v>
      </c>
      <c r="K197" s="1074">
        <v>1</v>
      </c>
      <c r="L197" s="1074">
        <v>0</v>
      </c>
      <c r="M197"/>
      <c r="N197"/>
    </row>
    <row r="198" spans="1:35" ht="15.5">
      <c r="B198" s="1071" t="s">
        <v>863</v>
      </c>
      <c r="C198" s="1074">
        <v>0.42521534847298353</v>
      </c>
      <c r="D198" s="1074">
        <v>0.57478465152701652</v>
      </c>
      <c r="L198"/>
      <c r="M198"/>
      <c r="N198"/>
    </row>
    <row r="199" spans="1:35" ht="15.5">
      <c r="B199" s="1071" t="s">
        <v>142</v>
      </c>
      <c r="C199" s="1074">
        <v>0.72274889993918368</v>
      </c>
      <c r="D199" s="1074">
        <v>0.27725110006081632</v>
      </c>
      <c r="L199"/>
      <c r="M199"/>
      <c r="N199"/>
    </row>
    <row r="200" spans="1:35" ht="15.5">
      <c r="B200" s="1071" t="s">
        <v>587</v>
      </c>
      <c r="C200" s="1074">
        <v>1</v>
      </c>
      <c r="D200" s="1074">
        <v>0</v>
      </c>
      <c r="L200"/>
      <c r="M200"/>
      <c r="N200"/>
    </row>
    <row r="201" spans="1:35" ht="15.5">
      <c r="B201"/>
      <c r="C201"/>
      <c r="D201"/>
      <c r="L201"/>
      <c r="M201"/>
      <c r="N201"/>
    </row>
    <row r="202" spans="1:35" ht="15.5">
      <c r="B202" s="96"/>
      <c r="C202" s="97"/>
      <c r="D202" s="97"/>
      <c r="L202"/>
      <c r="M202"/>
      <c r="N202"/>
    </row>
    <row r="203" spans="1:35" ht="15.5">
      <c r="L203"/>
      <c r="M203"/>
      <c r="N203"/>
    </row>
    <row r="204" spans="1:35" ht="15.5">
      <c r="B204" s="101"/>
      <c r="C204" s="101"/>
      <c r="D204" s="101"/>
      <c r="S204"/>
      <c r="T204"/>
    </row>
    <row r="205" spans="1:35" ht="18.5">
      <c r="A205" s="147" t="s">
        <v>1584</v>
      </c>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35" ht="15.5">
      <c r="S206"/>
      <c r="T206"/>
    </row>
    <row r="208" spans="1:35">
      <c r="B208" s="1067" t="s">
        <v>20</v>
      </c>
      <c r="C208" s="1068" t="s">
        <v>2765</v>
      </c>
      <c r="D208" s="101"/>
      <c r="G208" s="1067" t="s">
        <v>20</v>
      </c>
      <c r="H208" s="1068" t="s">
        <v>2765</v>
      </c>
      <c r="I208" s="101"/>
    </row>
    <row r="209" spans="2:42">
      <c r="B209" s="1067" t="s">
        <v>34</v>
      </c>
      <c r="C209" s="1068" t="s">
        <v>34</v>
      </c>
      <c r="G209" s="1067" t="s">
        <v>34</v>
      </c>
      <c r="H209" s="1068" t="s">
        <v>34</v>
      </c>
      <c r="M209" s="98"/>
    </row>
    <row r="210" spans="2:42" ht="15.5">
      <c r="B210" s="1067" t="s">
        <v>134</v>
      </c>
      <c r="C210" s="1068" t="s">
        <v>1476</v>
      </c>
      <c r="D210" s="101"/>
      <c r="G210" s="1067" t="s">
        <v>134</v>
      </c>
      <c r="H210" s="1068" t="s">
        <v>1476</v>
      </c>
      <c r="I210" s="101"/>
      <c r="L210" s="420"/>
    </row>
    <row r="211" spans="2:42" ht="15.5">
      <c r="L211" s="420"/>
    </row>
    <row r="212" spans="2:42">
      <c r="B212" s="1067" t="s">
        <v>1283</v>
      </c>
      <c r="C212" s="1068" t="s">
        <v>1482</v>
      </c>
      <c r="D212" s="1068" t="s">
        <v>1501</v>
      </c>
      <c r="E212" s="1068" t="s">
        <v>1483</v>
      </c>
      <c r="G212" s="1067" t="s">
        <v>1283</v>
      </c>
      <c r="H212" s="1068" t="s">
        <v>2367</v>
      </c>
      <c r="I212" s="1068" t="s">
        <v>1482</v>
      </c>
      <c r="J212" s="1068" t="s">
        <v>1501</v>
      </c>
      <c r="K212" s="1068" t="s">
        <v>1483</v>
      </c>
      <c r="L212" s="1068" t="s">
        <v>2119</v>
      </c>
      <c r="M212" s="1068" t="s">
        <v>2355</v>
      </c>
    </row>
    <row r="213" spans="2:42">
      <c r="B213" s="1071" t="s">
        <v>37</v>
      </c>
      <c r="C213" s="1082">
        <v>20791.2</v>
      </c>
      <c r="D213" s="1072">
        <v>62921</v>
      </c>
      <c r="E213" s="1082">
        <v>10663</v>
      </c>
      <c r="G213" s="1071" t="s">
        <v>515</v>
      </c>
      <c r="H213" s="1072">
        <v>10497</v>
      </c>
      <c r="I213" s="1082">
        <v>2130</v>
      </c>
      <c r="J213" s="1072">
        <v>6768</v>
      </c>
      <c r="K213" s="1082">
        <v>1262</v>
      </c>
      <c r="L213" s="1072"/>
      <c r="M213" s="1072"/>
    </row>
    <row r="214" spans="2:42">
      <c r="B214" s="1071" t="s">
        <v>1285</v>
      </c>
      <c r="C214" s="1082">
        <v>20791.2</v>
      </c>
      <c r="D214" s="1072">
        <v>62921</v>
      </c>
      <c r="E214" s="1082">
        <v>10663</v>
      </c>
      <c r="G214" s="1071" t="s">
        <v>1285</v>
      </c>
      <c r="H214" s="1072">
        <v>10497</v>
      </c>
      <c r="I214" s="1082">
        <v>2130</v>
      </c>
      <c r="J214" s="1072">
        <v>6768</v>
      </c>
      <c r="K214" s="1082">
        <v>1262</v>
      </c>
      <c r="L214" s="1072"/>
      <c r="M214" s="1072"/>
    </row>
    <row r="215" spans="2:42" ht="15.5">
      <c r="B215"/>
      <c r="C215"/>
      <c r="D215"/>
      <c r="E215"/>
    </row>
    <row r="216" spans="2:42" ht="15.5">
      <c r="B216"/>
      <c r="C216"/>
      <c r="D216"/>
      <c r="E216"/>
      <c r="F216"/>
      <c r="G216"/>
      <c r="J216" s="112"/>
      <c r="K216" s="112"/>
    </row>
    <row r="217" spans="2:42" ht="15.5">
      <c r="C217" s="111" t="s">
        <v>37</v>
      </c>
      <c r="D217" s="97"/>
      <c r="E217"/>
      <c r="F217"/>
      <c r="H217" s="111" t="s">
        <v>1479</v>
      </c>
      <c r="K217" s="512" t="s">
        <v>2257</v>
      </c>
      <c r="L217" s="693" t="s">
        <v>2644</v>
      </c>
      <c r="Q217" s="103"/>
      <c r="R217" s="103"/>
    </row>
    <row r="218" spans="2:42">
      <c r="B218" s="109" t="s">
        <v>24</v>
      </c>
      <c r="C218" s="94">
        <f>GETPIVOTDATA("Sum of Total HH",$B$212,"State","Kachin")</f>
        <v>20791.2</v>
      </c>
      <c r="G218" s="109" t="s">
        <v>24</v>
      </c>
      <c r="H218" s="94">
        <f>GETPIVOTDATA("Sum of Total HH",$G$212,"State","Shan (North)")</f>
        <v>2130</v>
      </c>
      <c r="K218" s="626" t="s">
        <v>2369</v>
      </c>
      <c r="L218" s="103">
        <f>GETPIVOTDATA("Sum of Total PoP ",$G$212,"State","Shan (North)")*29%</f>
        <v>3044.1299999999997</v>
      </c>
    </row>
    <row r="220" spans="2:42">
      <c r="C220" s="111" t="s">
        <v>34</v>
      </c>
      <c r="D220" s="111" t="s">
        <v>1291</v>
      </c>
      <c r="H220" s="111" t="s">
        <v>34</v>
      </c>
      <c r="I220" s="111" t="s">
        <v>1291</v>
      </c>
      <c r="L220" s="111" t="s">
        <v>34</v>
      </c>
      <c r="M220" s="111" t="s">
        <v>1291</v>
      </c>
    </row>
    <row r="221" spans="2:42" s="864" customFormat="1" ht="53.5" customHeight="1">
      <c r="B221" s="862" t="s">
        <v>1484</v>
      </c>
      <c r="C221" s="863">
        <f>GETPIVOTDATA("Sum of # people reached by regular dedicated hygiene promotion_5",$B$212,"State","Kachin")/5</f>
        <v>12584.2</v>
      </c>
      <c r="D221" s="863">
        <f>$C$218-C221</f>
        <v>8207</v>
      </c>
      <c r="G221" s="862" t="s">
        <v>1484</v>
      </c>
      <c r="H221" s="865">
        <f>GETPIVOTDATA("Sum of # people reached by regular dedicated hygiene promotion_5",$G$212,"State","Shan (North)")/5</f>
        <v>1353.6</v>
      </c>
      <c r="I221" s="865">
        <f>$H$218-H221</f>
        <v>776.40000000000009</v>
      </c>
      <c r="K221" s="867" t="s">
        <v>2867</v>
      </c>
      <c r="L221" s="866">
        <f>GETPIVOTDATA("Sum of # of affected women and girls receiving a sufficient quantity of sanitary pads from direct distribution or from MHM room facilities",$G$212,"State","Shan (North)")</f>
        <v>0</v>
      </c>
      <c r="M221" s="866">
        <f>IF(L218-L221&lt;0,0,L218-L221)</f>
        <v>3044.1299999999997</v>
      </c>
    </row>
    <row r="222" spans="2:42" ht="15.5">
      <c r="B222" s="109" t="s">
        <v>1279</v>
      </c>
      <c r="C222" s="112">
        <f>GETPIVOTDATA("Sum of #HH with access to Hand Washing Station",$B$212,"State","Kachin")</f>
        <v>10663</v>
      </c>
      <c r="D222" s="112">
        <f>$C$218-C222</f>
        <v>10128.200000000001</v>
      </c>
      <c r="G222" s="109" t="s">
        <v>1279</v>
      </c>
      <c r="H222" s="103">
        <f>GETPIVOTDATA("Sum of #HH with access to Hand Washing Station",$G$212,"State","Shan (North)")</f>
        <v>1262</v>
      </c>
      <c r="I222" s="103">
        <f>$H$218-H222</f>
        <v>868</v>
      </c>
      <c r="K222" s="420"/>
      <c r="L222"/>
      <c r="M222" s="106"/>
    </row>
    <row r="223" spans="2:42" ht="15.5">
      <c r="G223" s="632" t="s">
        <v>2422</v>
      </c>
      <c r="H223" s="94">
        <f>GETPIVOTDATA("Sum of #_households that received standard amount of soap for this quarter",$G$212,"State","Shan (North)")</f>
        <v>0</v>
      </c>
      <c r="I223" s="94">
        <f>H218-H223</f>
        <v>2130</v>
      </c>
      <c r="J223" s="377"/>
      <c r="K223" s="426"/>
      <c r="L223" s="426"/>
      <c r="M223" s="394"/>
      <c r="N223" s="377"/>
      <c r="O223" s="377"/>
      <c r="P223" s="377"/>
      <c r="Q223" s="377"/>
      <c r="R223" s="377"/>
      <c r="S223" s="377"/>
      <c r="T223" s="377"/>
      <c r="U223" s="377"/>
      <c r="V223" s="377"/>
      <c r="W223" s="377"/>
      <c r="X223" s="377"/>
      <c r="Y223" s="377"/>
      <c r="Z223" s="377"/>
      <c r="AA223" s="377"/>
      <c r="AB223" s="377"/>
      <c r="AC223" s="377"/>
      <c r="AD223" s="377"/>
      <c r="AE223" s="377"/>
      <c r="AF223" s="377"/>
      <c r="AG223" s="377"/>
      <c r="AH223" s="377"/>
      <c r="AI223" s="377"/>
      <c r="AJ223" s="377"/>
      <c r="AK223" s="377"/>
      <c r="AL223" s="377"/>
      <c r="AM223" s="377"/>
      <c r="AN223" s="377"/>
      <c r="AO223" s="377"/>
      <c r="AP223" s="377"/>
    </row>
    <row r="224" spans="2:42" ht="15.5">
      <c r="G224" s="694" t="s">
        <v>2645</v>
      </c>
      <c r="H224" s="94">
        <f>GETPIVOTDATA("Sum of # of affected women and girls receiving a sufficient quantity of sanitary pads from direct distribution or from MHM room facilities",$G$212,"State","Shan (North)")</f>
        <v>0</v>
      </c>
      <c r="I224" s="103">
        <f>L218-H224</f>
        <v>3044.1299999999997</v>
      </c>
      <c r="K224" s="426"/>
      <c r="L224" s="426"/>
      <c r="M224" s="394"/>
      <c r="N224" s="377"/>
      <c r="O224" s="377"/>
      <c r="P224" s="377"/>
      <c r="Q224" s="377"/>
      <c r="R224" s="377"/>
      <c r="S224" s="377"/>
      <c r="T224" s="377"/>
      <c r="U224" s="377"/>
      <c r="V224" s="377"/>
      <c r="W224" s="377"/>
      <c r="X224" s="377"/>
      <c r="Y224" s="377"/>
      <c r="Z224" s="377"/>
      <c r="AA224" s="377"/>
      <c r="AB224" s="377"/>
      <c r="AC224" s="377"/>
      <c r="AD224" s="377"/>
      <c r="AE224" s="377"/>
      <c r="AF224" s="377"/>
      <c r="AG224" s="377"/>
      <c r="AH224" s="377"/>
      <c r="AI224" s="377"/>
      <c r="AJ224" s="377"/>
      <c r="AK224" s="377"/>
      <c r="AL224" s="377"/>
      <c r="AM224" s="377"/>
      <c r="AN224" s="377"/>
      <c r="AO224" s="377"/>
      <c r="AP224" s="377"/>
    </row>
    <row r="225" spans="2:42" ht="15.5">
      <c r="K225" s="420"/>
      <c r="L225" s="363"/>
      <c r="M225" s="106"/>
    </row>
    <row r="226" spans="2:42" ht="15.5">
      <c r="K226" s="420"/>
      <c r="L226" s="420"/>
      <c r="M226" s="394"/>
      <c r="N226" s="377"/>
      <c r="R226" s="377"/>
      <c r="S226" s="377"/>
      <c r="T226" s="377"/>
      <c r="U226" s="377"/>
      <c r="V226" s="377"/>
      <c r="W226" s="377"/>
      <c r="X226" s="377"/>
      <c r="Y226" s="377"/>
      <c r="Z226" s="377"/>
      <c r="AA226" s="377"/>
      <c r="AB226" s="377"/>
      <c r="AC226" s="377"/>
      <c r="AD226" s="377"/>
      <c r="AE226" s="377"/>
      <c r="AF226" s="377"/>
      <c r="AG226" s="377"/>
      <c r="AH226" s="377"/>
      <c r="AI226" s="377"/>
      <c r="AJ226" s="377"/>
      <c r="AK226" s="377"/>
      <c r="AL226" s="377"/>
      <c r="AM226" s="377"/>
      <c r="AN226" s="377"/>
      <c r="AO226" s="377"/>
      <c r="AP226" s="377"/>
    </row>
    <row r="227" spans="2:42" ht="15.5">
      <c r="H227" s="420"/>
      <c r="I227" s="420"/>
      <c r="K227" s="420"/>
      <c r="L227" s="420"/>
      <c r="M227" s="394"/>
      <c r="N227" s="377"/>
      <c r="R227" s="377"/>
      <c r="S227" s="377"/>
      <c r="T227" s="377"/>
      <c r="U227" s="377"/>
      <c r="V227" s="377"/>
      <c r="W227" s="377"/>
      <c r="X227" s="377"/>
      <c r="Y227" s="377"/>
      <c r="Z227" s="377"/>
      <c r="AA227" s="377"/>
      <c r="AB227" s="377"/>
      <c r="AC227" s="377"/>
      <c r="AD227" s="377"/>
      <c r="AE227" s="377"/>
      <c r="AF227" s="377"/>
      <c r="AG227" s="377"/>
      <c r="AH227" s="377"/>
      <c r="AI227" s="377"/>
      <c r="AJ227" s="377"/>
      <c r="AK227" s="377"/>
      <c r="AL227" s="377"/>
      <c r="AM227" s="377"/>
      <c r="AN227" s="377"/>
      <c r="AO227" s="377"/>
      <c r="AP227" s="377"/>
    </row>
    <row r="228" spans="2:42" ht="15.5">
      <c r="H228" s="420"/>
      <c r="I228" s="420"/>
      <c r="K228" s="420"/>
      <c r="L228" s="420"/>
      <c r="M228" s="394"/>
      <c r="N228" s="377"/>
      <c r="R228" s="377"/>
      <c r="S228" s="377"/>
      <c r="T228" s="377"/>
      <c r="U228" s="377"/>
      <c r="V228" s="377"/>
      <c r="W228" s="377"/>
      <c r="X228" s="377"/>
      <c r="Y228" s="377"/>
      <c r="Z228" s="377"/>
      <c r="AA228" s="377"/>
      <c r="AB228" s="377"/>
      <c r="AC228" s="377"/>
      <c r="AD228" s="377"/>
      <c r="AE228" s="377"/>
      <c r="AF228" s="377"/>
      <c r="AG228" s="377"/>
      <c r="AH228" s="377"/>
      <c r="AI228" s="377"/>
      <c r="AJ228" s="377"/>
      <c r="AK228" s="377"/>
      <c r="AL228" s="377"/>
      <c r="AM228" s="377"/>
      <c r="AN228" s="377"/>
      <c r="AO228" s="377"/>
      <c r="AP228" s="377"/>
    </row>
    <row r="229" spans="2:42" ht="15.5">
      <c r="H229" s="426"/>
      <c r="I229" s="420"/>
      <c r="K229" s="420"/>
      <c r="L229" s="420"/>
      <c r="M229" s="394"/>
      <c r="N229" s="377"/>
      <c r="R229" s="377"/>
      <c r="S229" s="377"/>
      <c r="T229" s="377"/>
      <c r="U229" s="377"/>
      <c r="V229" s="377"/>
      <c r="W229" s="377"/>
      <c r="X229" s="377"/>
      <c r="Y229" s="377"/>
      <c r="Z229" s="377"/>
      <c r="AA229" s="377"/>
      <c r="AB229" s="377"/>
      <c r="AC229" s="377"/>
      <c r="AD229" s="377"/>
      <c r="AE229" s="377"/>
      <c r="AF229" s="377"/>
      <c r="AG229" s="377"/>
      <c r="AH229" s="377"/>
      <c r="AI229" s="377"/>
      <c r="AJ229" s="377"/>
      <c r="AK229" s="377"/>
      <c r="AL229" s="377"/>
      <c r="AM229" s="377"/>
      <c r="AN229" s="377"/>
      <c r="AO229" s="377"/>
      <c r="AP229" s="377"/>
    </row>
    <row r="230" spans="2:42" ht="15.5">
      <c r="H230" s="420"/>
      <c r="I230" s="420"/>
      <c r="K230" s="420"/>
      <c r="L230" s="363"/>
      <c r="M230" s="106"/>
    </row>
    <row r="231" spans="2:42" ht="15.5">
      <c r="H231" s="420"/>
      <c r="I231" s="420"/>
      <c r="K231" s="420"/>
      <c r="L231" s="363"/>
      <c r="M231" s="106"/>
    </row>
    <row r="232" spans="2:42" ht="15.5">
      <c r="B232"/>
      <c r="C232"/>
      <c r="D232"/>
      <c r="E232"/>
      <c r="F232"/>
      <c r="G232"/>
      <c r="K232" s="420"/>
      <c r="L232" s="363"/>
      <c r="M232" s="106"/>
    </row>
    <row r="233" spans="2:42" ht="15.5">
      <c r="B233"/>
      <c r="C233"/>
      <c r="D233"/>
      <c r="E233"/>
      <c r="F233"/>
      <c r="G233"/>
      <c r="I233" s="420"/>
      <c r="J233" s="420"/>
      <c r="K233" s="420"/>
      <c r="L233" s="363"/>
      <c r="M233" s="106"/>
    </row>
    <row r="234" spans="2:42" ht="15.5">
      <c r="B234" s="1067" t="s">
        <v>20</v>
      </c>
      <c r="C234" s="1068" t="s">
        <v>2765</v>
      </c>
      <c r="D234" s="101"/>
      <c r="F234" s="363"/>
      <c r="J234" s="420"/>
      <c r="K234" s="420"/>
      <c r="L234" s="363"/>
      <c r="M234" s="106"/>
    </row>
    <row r="235" spans="2:42" ht="15.5">
      <c r="B235" s="1067" t="s">
        <v>34</v>
      </c>
      <c r="C235" s="1068" t="s">
        <v>34</v>
      </c>
      <c r="F235" s="363"/>
      <c r="J235" s="420"/>
      <c r="K235" s="628"/>
      <c r="L235" s="103"/>
      <c r="M235" s="627"/>
    </row>
    <row r="236" spans="2:42" ht="15.5">
      <c r="B236" s="1067" t="s">
        <v>134</v>
      </c>
      <c r="C236" s="1068" t="s">
        <v>1476</v>
      </c>
      <c r="D236" s="101"/>
      <c r="F236" s="363"/>
      <c r="G236" s="512" t="s">
        <v>2256</v>
      </c>
      <c r="H236" s="513" t="s">
        <v>2260</v>
      </c>
      <c r="I236" s="511" t="s">
        <v>2255</v>
      </c>
      <c r="K236" s="512" t="s">
        <v>2257</v>
      </c>
      <c r="L236" s="693" t="s">
        <v>2640</v>
      </c>
      <c r="M236" s="693" t="s">
        <v>2641</v>
      </c>
    </row>
    <row r="237" spans="2:42" ht="15.5">
      <c r="F237" s="420"/>
      <c r="G237" s="626" t="s">
        <v>2368</v>
      </c>
      <c r="H237" s="103">
        <f>GETPIVOTDATA("Sum of Total HH",$B$238,"State","Kachin","Ethnic or GCA/NGCA","GCA")*25%</f>
        <v>2936</v>
      </c>
      <c r="I237" s="94">
        <f>GETPIVOTDATA("Sum of Total HH",$B$238,"State","Kachin","Ethnic or GCA/NGCA","NGCA")</f>
        <v>9047.2000000000007</v>
      </c>
      <c r="K237" s="626" t="s">
        <v>2369</v>
      </c>
      <c r="L237" s="103">
        <f>GETPIVOTDATA("Sum of Total PoP ",$B$238,"State","Kachin","Ethnic or GCA/NGCA","GCA")*29%</f>
        <v>17730.02</v>
      </c>
      <c r="M237" s="627">
        <f>GETPIVOTDATA("Sum of Total PoP ",$B$238,"State","Kachin","Ethnic or GCA/NGCA","NGCA")*29%</f>
        <v>13362.619999999999</v>
      </c>
    </row>
    <row r="238" spans="2:42" ht="15.5">
      <c r="B238" s="1067" t="s">
        <v>1283</v>
      </c>
      <c r="C238" s="1068" t="s">
        <v>1482</v>
      </c>
      <c r="D238" s="1068" t="s">
        <v>2367</v>
      </c>
      <c r="E238"/>
      <c r="F238"/>
      <c r="G238"/>
      <c r="H238"/>
      <c r="J238" s="377"/>
      <c r="O238" s="377"/>
      <c r="P238" s="377"/>
      <c r="U238" s="377"/>
      <c r="V238" s="377"/>
      <c r="W238" s="377"/>
      <c r="X238" s="377"/>
      <c r="Y238" s="377"/>
      <c r="Z238" s="377"/>
      <c r="AA238" s="377"/>
      <c r="AB238" s="377"/>
      <c r="AC238" s="377"/>
      <c r="AD238" s="377"/>
      <c r="AE238" s="377"/>
      <c r="AF238" s="377"/>
      <c r="AG238" s="377"/>
      <c r="AH238" s="377"/>
      <c r="AI238" s="377"/>
      <c r="AJ238" s="377"/>
      <c r="AK238" s="377"/>
      <c r="AL238" s="377"/>
      <c r="AM238" s="377"/>
      <c r="AN238" s="377"/>
      <c r="AO238" s="377"/>
      <c r="AP238" s="377"/>
    </row>
    <row r="239" spans="2:42" ht="15.5">
      <c r="B239" s="1071" t="s">
        <v>37</v>
      </c>
      <c r="C239" s="1082"/>
      <c r="D239" s="1072"/>
      <c r="E239"/>
      <c r="F239"/>
      <c r="G239"/>
      <c r="H239" s="111" t="s">
        <v>34</v>
      </c>
      <c r="I239" s="111" t="s">
        <v>1291</v>
      </c>
      <c r="L239" s="111" t="s">
        <v>34</v>
      </c>
      <c r="M239" s="111" t="s">
        <v>1291</v>
      </c>
      <c r="O239" s="587" t="s">
        <v>2356</v>
      </c>
    </row>
    <row r="240" spans="2:42" ht="15.5">
      <c r="B240" s="1083" t="s">
        <v>44</v>
      </c>
      <c r="C240" s="1082">
        <v>11744</v>
      </c>
      <c r="D240" s="1072">
        <v>61138</v>
      </c>
      <c r="E240"/>
      <c r="F240"/>
      <c r="G240" s="868" t="s">
        <v>2868</v>
      </c>
      <c r="H240">
        <f>GETPIVOTDATA("Sum of #_households that received standard amount of soap for this quarter",$B$250,"State","Kachin","Ethnic or GCA/NGCA","GCA")</f>
        <v>1843</v>
      </c>
      <c r="I240" s="112">
        <f>IF(H237-H240&lt;-1,0,H237-H240)</f>
        <v>1093</v>
      </c>
      <c r="K240" s="693" t="s">
        <v>2642</v>
      </c>
      <c r="L240" s="112">
        <f>GETPIVOTDATA("Sum of # of affected women and girls receiving a sufficient quantity of sanitary pads from direct distribution or from MHM room facilities",$B$250,"State","Kachin","Ethnic or GCA/NGCA","GCA")</f>
        <v>1654</v>
      </c>
      <c r="M240" s="112">
        <f>L237-L240</f>
        <v>16076.02</v>
      </c>
    </row>
    <row r="241" spans="2:13" ht="15.5">
      <c r="B241" s="1083" t="s">
        <v>590</v>
      </c>
      <c r="C241" s="1082">
        <v>9047.2000000000007</v>
      </c>
      <c r="D241" s="1072">
        <v>46078</v>
      </c>
      <c r="E241"/>
      <c r="F241"/>
      <c r="G241" s="868" t="s">
        <v>2869</v>
      </c>
      <c r="H241">
        <f>GETPIVOTDATA("Sum of #_households that received standard amount of soap for this quarter",$B$250,"State","Kachin","Ethnic or GCA/NGCA","NGCA")</f>
        <v>0</v>
      </c>
      <c r="I241" s="112">
        <f>I237-H241</f>
        <v>9047.2000000000007</v>
      </c>
      <c r="K241" s="693" t="s">
        <v>2643</v>
      </c>
      <c r="L241" s="112">
        <f>GETPIVOTDATA("Sum of # of affected women and girls receiving a sufficient quantity of sanitary pads from direct distribution or from MHM room facilities",$B$250,"State","Kachin","Ethnic or GCA/NGCA","NGCA")</f>
        <v>0</v>
      </c>
      <c r="M241" s="112">
        <f>M237-L241</f>
        <v>13362.619999999999</v>
      </c>
    </row>
    <row r="242" spans="2:13" ht="15.5">
      <c r="B242" s="1071" t="s">
        <v>1489</v>
      </c>
      <c r="C242" s="1082">
        <v>20791.2</v>
      </c>
      <c r="D242" s="1072">
        <v>107216</v>
      </c>
      <c r="E242"/>
      <c r="F242"/>
      <c r="G242"/>
      <c r="H242"/>
      <c r="K242" s="420"/>
      <c r="L242" s="420"/>
      <c r="M242" s="106"/>
    </row>
    <row r="243" spans="2:13" ht="15.5">
      <c r="B243" s="1071" t="s">
        <v>1285</v>
      </c>
      <c r="C243" s="1082">
        <v>20791.2</v>
      </c>
      <c r="D243" s="1072">
        <v>107216</v>
      </c>
      <c r="E243" s="510"/>
      <c r="F243" s="420"/>
      <c r="G243" s="420"/>
      <c r="K243" s="420"/>
      <c r="L243" s="420"/>
      <c r="M243" s="106"/>
    </row>
    <row r="244" spans="2:13" ht="15.5">
      <c r="B244"/>
      <c r="C244"/>
      <c r="D244"/>
      <c r="E244" s="510"/>
      <c r="F244" s="420"/>
      <c r="G244" s="420"/>
      <c r="K244" s="420"/>
      <c r="L244" s="420"/>
      <c r="M244" s="106"/>
    </row>
    <row r="245" spans="2:13" ht="15.5">
      <c r="B245"/>
      <c r="C245"/>
      <c r="D245"/>
      <c r="E245" s="510"/>
      <c r="F245" s="420"/>
      <c r="G245" s="420"/>
      <c r="K245" s="420"/>
      <c r="L245" s="420"/>
      <c r="M245" s="106"/>
    </row>
    <row r="246" spans="2:13" ht="15.5">
      <c r="B246" s="1067" t="s">
        <v>20</v>
      </c>
      <c r="C246" s="1068" t="s">
        <v>2765</v>
      </c>
      <c r="D246" s="101"/>
      <c r="E246" s="510"/>
      <c r="F246" s="420"/>
      <c r="G246" s="420"/>
      <c r="K246" s="420"/>
      <c r="L246" s="420"/>
      <c r="M246" s="106"/>
    </row>
    <row r="247" spans="2:13" ht="15.5">
      <c r="B247" s="1067" t="s">
        <v>34</v>
      </c>
      <c r="C247" s="1068" t="s">
        <v>34</v>
      </c>
      <c r="E247" s="510"/>
      <c r="F247" s="420"/>
      <c r="G247" s="420"/>
      <c r="K247" s="420"/>
      <c r="L247" s="420"/>
      <c r="M247" s="106"/>
    </row>
    <row r="248" spans="2:13" ht="15.5">
      <c r="B248" s="1067" t="s">
        <v>134</v>
      </c>
      <c r="C248" s="1068" t="s">
        <v>1476</v>
      </c>
      <c r="D248" s="101"/>
      <c r="E248" s="510"/>
      <c r="F248" s="420"/>
      <c r="K248" s="420"/>
      <c r="L248" s="420"/>
      <c r="M248" s="106"/>
    </row>
    <row r="249" spans="2:13" ht="15.5">
      <c r="E249" s="510"/>
      <c r="F249" s="420"/>
      <c r="K249" s="420"/>
      <c r="L249" s="420"/>
      <c r="M249" s="106"/>
    </row>
    <row r="250" spans="2:13" ht="15.5">
      <c r="B250" s="1067" t="s">
        <v>1283</v>
      </c>
      <c r="C250" s="1068" t="s">
        <v>2119</v>
      </c>
      <c r="D250" s="1068" t="s">
        <v>2355</v>
      </c>
      <c r="E250" s="510"/>
      <c r="F250" s="420"/>
      <c r="K250" s="420"/>
      <c r="L250" s="420"/>
      <c r="M250" s="106"/>
    </row>
    <row r="251" spans="2:13" ht="15.5">
      <c r="B251" s="1071" t="s">
        <v>37</v>
      </c>
      <c r="C251" s="1072"/>
      <c r="D251" s="1072"/>
      <c r="E251" s="510"/>
      <c r="F251" s="420"/>
      <c r="K251" s="420"/>
      <c r="L251" s="420"/>
      <c r="M251" s="106"/>
    </row>
    <row r="252" spans="2:13" ht="15.5">
      <c r="B252" s="1083" t="s">
        <v>44</v>
      </c>
      <c r="C252" s="1072">
        <v>1843</v>
      </c>
      <c r="D252" s="1072">
        <v>1654</v>
      </c>
      <c r="E252" s="510"/>
      <c r="F252" s="420"/>
      <c r="K252" s="420"/>
      <c r="L252" s="420"/>
      <c r="M252" s="106"/>
    </row>
    <row r="253" spans="2:13" ht="15.5">
      <c r="B253" s="1083" t="s">
        <v>590</v>
      </c>
      <c r="C253" s="1072"/>
      <c r="D253" s="1072"/>
      <c r="E253" s="510"/>
      <c r="F253" s="420"/>
      <c r="K253" s="420"/>
      <c r="L253" s="420"/>
      <c r="M253" s="106"/>
    </row>
    <row r="254" spans="2:13" ht="15.5">
      <c r="B254" s="1071" t="s">
        <v>1489</v>
      </c>
      <c r="C254" s="1072">
        <v>1843</v>
      </c>
      <c r="D254" s="1072">
        <v>1654</v>
      </c>
      <c r="E254" s="510"/>
      <c r="F254" s="420"/>
      <c r="G254" s="420"/>
      <c r="K254" s="420"/>
      <c r="L254" s="420"/>
      <c r="M254" s="106"/>
    </row>
    <row r="255" spans="2:13" ht="15.5">
      <c r="B255"/>
      <c r="C255"/>
      <c r="D255"/>
      <c r="F255" s="420"/>
      <c r="G255" s="420"/>
      <c r="K255" s="420"/>
      <c r="L255" s="420"/>
      <c r="M255" s="106"/>
    </row>
    <row r="256" spans="2:13" ht="15.5">
      <c r="K256" s="420"/>
      <c r="L256" s="420"/>
      <c r="M256" s="106"/>
    </row>
    <row r="257" spans="2:13" ht="15.5">
      <c r="K257" s="420"/>
      <c r="L257" s="420"/>
      <c r="M257" s="106"/>
    </row>
    <row r="258" spans="2:13" ht="15.5">
      <c r="F258" s="363"/>
      <c r="G258" s="420"/>
      <c r="H258" s="420"/>
      <c r="I258" s="420"/>
      <c r="K258" s="420"/>
      <c r="L258" s="420"/>
      <c r="M258" s="106"/>
    </row>
    <row r="259" spans="2:13" ht="15.5">
      <c r="B259"/>
      <c r="C259"/>
      <c r="D259"/>
      <c r="K259" s="363"/>
      <c r="L259" s="363"/>
      <c r="M259" s="106"/>
    </row>
    <row r="260" spans="2:13" ht="15.5">
      <c r="B260"/>
      <c r="C260"/>
      <c r="D260"/>
      <c r="K260" s="363"/>
      <c r="L260" s="363"/>
      <c r="M260" s="106"/>
    </row>
    <row r="261" spans="2:13">
      <c r="K261" s="1067" t="s">
        <v>20</v>
      </c>
      <c r="L261" s="1068" t="s">
        <v>2765</v>
      </c>
    </row>
    <row r="262" spans="2:13">
      <c r="B262" s="1067" t="s">
        <v>20</v>
      </c>
      <c r="C262" s="1068" t="s">
        <v>2765</v>
      </c>
      <c r="D262" s="106"/>
      <c r="K262" s="1067" t="s">
        <v>34</v>
      </c>
      <c r="L262" s="1068" t="s">
        <v>34</v>
      </c>
      <c r="M262" s="101"/>
    </row>
    <row r="263" spans="2:13">
      <c r="B263" s="1067" t="s">
        <v>34</v>
      </c>
      <c r="C263" s="1068" t="s">
        <v>34</v>
      </c>
      <c r="D263" s="101"/>
      <c r="K263" s="1080" t="s">
        <v>21</v>
      </c>
      <c r="L263" s="1081" t="s">
        <v>515</v>
      </c>
      <c r="M263" s="101"/>
    </row>
    <row r="264" spans="2:13">
      <c r="B264" s="1080" t="s">
        <v>21</v>
      </c>
      <c r="C264" s="1081" t="s">
        <v>37</v>
      </c>
      <c r="D264" s="101"/>
      <c r="K264" s="1067" t="s">
        <v>134</v>
      </c>
      <c r="L264" s="1068" t="s">
        <v>1476</v>
      </c>
      <c r="M264" s="101"/>
    </row>
    <row r="265" spans="2:13">
      <c r="B265" s="1067" t="s">
        <v>134</v>
      </c>
      <c r="C265" s="1068" t="s">
        <v>1476</v>
      </c>
      <c r="D265" s="101"/>
      <c r="K265" s="381"/>
      <c r="L265" s="101"/>
      <c r="M265" s="101"/>
    </row>
    <row r="266" spans="2:13">
      <c r="B266" s="381"/>
      <c r="C266" s="101"/>
      <c r="D266" s="101"/>
      <c r="K266" s="1077" t="s">
        <v>21</v>
      </c>
      <c r="L266" s="1068" t="s">
        <v>2149</v>
      </c>
      <c r="M266" s="1068" t="s">
        <v>2144</v>
      </c>
    </row>
    <row r="267" spans="2:13">
      <c r="B267" s="1077" t="s">
        <v>21</v>
      </c>
      <c r="C267" s="1068" t="s">
        <v>2149</v>
      </c>
      <c r="D267" s="1068" t="s">
        <v>2144</v>
      </c>
      <c r="K267" s="1071" t="s">
        <v>534</v>
      </c>
      <c r="L267" s="1074">
        <v>1</v>
      </c>
      <c r="M267" s="1074">
        <v>0</v>
      </c>
    </row>
    <row r="268" spans="2:13">
      <c r="B268" s="1071" t="s">
        <v>195</v>
      </c>
      <c r="C268" s="1074">
        <v>0.83997144896502496</v>
      </c>
      <c r="D268" s="1074">
        <v>0.16002855103497504</v>
      </c>
      <c r="K268" s="1071" t="s">
        <v>519</v>
      </c>
      <c r="L268" s="1074">
        <v>0.78086550700042423</v>
      </c>
      <c r="M268" s="1074">
        <v>0.21913449299957577</v>
      </c>
    </row>
    <row r="269" spans="2:13">
      <c r="B269" s="1071" t="s">
        <v>146</v>
      </c>
      <c r="C269" s="1074">
        <v>0.91920792079207925</v>
      </c>
      <c r="D269" s="1074">
        <v>8.0792079207920753E-2</v>
      </c>
      <c r="K269" s="1071" t="s">
        <v>961</v>
      </c>
      <c r="L269" s="1074">
        <v>0</v>
      </c>
      <c r="M269" s="1074">
        <v>1</v>
      </c>
    </row>
    <row r="270" spans="2:13">
      <c r="B270" s="1071" t="s">
        <v>148</v>
      </c>
      <c r="C270" s="1074">
        <v>0.8367400419287212</v>
      </c>
      <c r="D270" s="1074">
        <v>0.1632599580712788</v>
      </c>
      <c r="K270" s="1071" t="s">
        <v>522</v>
      </c>
      <c r="L270" s="1074">
        <v>1</v>
      </c>
      <c r="M270" s="1074">
        <v>0</v>
      </c>
    </row>
    <row r="271" spans="2:13">
      <c r="B271" s="1071" t="s">
        <v>38</v>
      </c>
      <c r="C271" s="1074">
        <v>0.78479897485183403</v>
      </c>
      <c r="D271" s="1074">
        <v>0.21520102514816597</v>
      </c>
      <c r="K271" s="1071" t="s">
        <v>525</v>
      </c>
      <c r="L271" s="1074">
        <v>0.81288076588337688</v>
      </c>
      <c r="M271" s="1074">
        <v>0.18711923411662312</v>
      </c>
    </row>
    <row r="272" spans="2:13">
      <c r="B272" s="1071" t="s">
        <v>152</v>
      </c>
      <c r="C272" s="1074">
        <v>0.72890295358649793</v>
      </c>
      <c r="D272" s="1074">
        <v>0.27109704641350207</v>
      </c>
      <c r="K272" s="1071" t="s">
        <v>516</v>
      </c>
      <c r="L272" s="1074">
        <v>0.7426294820717132</v>
      </c>
      <c r="M272" s="1074">
        <v>0.2573705179282868</v>
      </c>
    </row>
    <row r="273" spans="1:26">
      <c r="B273" s="1071" t="s">
        <v>157</v>
      </c>
      <c r="C273" s="1074">
        <v>0.34343434343434343</v>
      </c>
      <c r="D273" s="1074">
        <v>0.65656565656565657</v>
      </c>
      <c r="K273" s="1071" t="s">
        <v>536</v>
      </c>
      <c r="L273" s="1074">
        <v>0.87479674796747964</v>
      </c>
      <c r="M273" s="1074">
        <v>0.12520325203252036</v>
      </c>
    </row>
    <row r="274" spans="1:26">
      <c r="B274" s="1071" t="s">
        <v>205</v>
      </c>
      <c r="C274" s="1074">
        <v>0.53829210437139952</v>
      </c>
      <c r="D274" s="1074">
        <v>0.46170789562860048</v>
      </c>
      <c r="K274" s="1071" t="s">
        <v>963</v>
      </c>
      <c r="L274" s="1074">
        <v>0</v>
      </c>
      <c r="M274" s="1074">
        <v>1</v>
      </c>
    </row>
    <row r="275" spans="1:26">
      <c r="B275" s="1071" t="s">
        <v>159</v>
      </c>
      <c r="C275" s="1074">
        <v>0.46731003303773255</v>
      </c>
      <c r="D275" s="1074">
        <v>0.53268996696226745</v>
      </c>
      <c r="K275" s="1071" t="s">
        <v>960</v>
      </c>
      <c r="L275" s="1074">
        <v>0</v>
      </c>
      <c r="M275" s="1074">
        <v>1</v>
      </c>
    </row>
    <row r="276" spans="1:26" ht="15.5">
      <c r="B276" s="1071" t="s">
        <v>214</v>
      </c>
      <c r="C276" s="1074">
        <v>0.15965939329430548</v>
      </c>
      <c r="D276" s="1074">
        <v>0.84034060670569455</v>
      </c>
      <c r="K276"/>
      <c r="L276"/>
      <c r="M276"/>
    </row>
    <row r="277" spans="1:26" ht="15.5">
      <c r="B277" s="1071" t="s">
        <v>184</v>
      </c>
      <c r="C277" s="1074">
        <v>0.47781065088757396</v>
      </c>
      <c r="D277" s="1074">
        <v>0.52218934911242609</v>
      </c>
      <c r="K277"/>
      <c r="L277"/>
      <c r="M277"/>
    </row>
    <row r="278" spans="1:26" ht="15.5">
      <c r="B278" s="1071" t="s">
        <v>863</v>
      </c>
      <c r="C278" s="1074">
        <v>0.52388410336726698</v>
      </c>
      <c r="D278" s="1074">
        <v>0.47611589663273302</v>
      </c>
      <c r="K278"/>
      <c r="L278"/>
      <c r="M278"/>
    </row>
    <row r="279" spans="1:26" ht="15.5">
      <c r="B279" s="1071" t="s">
        <v>142</v>
      </c>
      <c r="C279" s="1074">
        <v>0.56187171323292673</v>
      </c>
      <c r="D279" s="1074">
        <v>0.43812828676707327</v>
      </c>
      <c r="K279"/>
      <c r="L279"/>
      <c r="M279"/>
    </row>
    <row r="280" spans="1:26" ht="15.5">
      <c r="B280" s="1071" t="s">
        <v>587</v>
      </c>
      <c r="C280" s="1074">
        <v>1</v>
      </c>
      <c r="D280" s="1074">
        <v>0</v>
      </c>
      <c r="K280"/>
      <c r="L280"/>
      <c r="M280"/>
    </row>
    <row r="281" spans="1:26" ht="15.5">
      <c r="B281"/>
      <c r="C281"/>
      <c r="D281"/>
    </row>
    <row r="282" spans="1:26" ht="15.5">
      <c r="B282" s="101"/>
      <c r="C282" s="101"/>
      <c r="D282" s="101"/>
      <c r="K282"/>
      <c r="L282"/>
      <c r="M282"/>
      <c r="U282"/>
      <c r="V282"/>
      <c r="W282"/>
    </row>
    <row r="283" spans="1:26" ht="15.5">
      <c r="B283" s="101"/>
      <c r="C283" s="101"/>
      <c r="D283" s="101"/>
      <c r="K283"/>
      <c r="L283"/>
      <c r="M283"/>
      <c r="U283"/>
      <c r="V283"/>
      <c r="W283"/>
    </row>
    <row r="284" spans="1:26" ht="15.5">
      <c r="B284" s="101"/>
      <c r="C284" s="101"/>
      <c r="D284" s="101"/>
      <c r="K284" s="403"/>
      <c r="L284" s="404"/>
      <c r="M284" s="404"/>
      <c r="U284" s="363"/>
      <c r="V284" s="363"/>
      <c r="W284" s="363"/>
    </row>
    <row r="285" spans="1:26" ht="15.5">
      <c r="B285" s="101"/>
      <c r="C285" s="101"/>
      <c r="D285" s="101"/>
      <c r="K285" s="403"/>
      <c r="L285" s="404"/>
      <c r="M285" s="404"/>
      <c r="U285" s="363"/>
      <c r="V285" s="363"/>
      <c r="W285" s="363"/>
    </row>
    <row r="286" spans="1:26" ht="15.5">
      <c r="B286" s="101"/>
      <c r="C286" s="101"/>
      <c r="D286" s="101"/>
      <c r="K286" s="403"/>
      <c r="L286" s="404"/>
      <c r="M286" s="404"/>
      <c r="U286" s="363"/>
      <c r="V286" s="363"/>
      <c r="W286" s="363"/>
    </row>
    <row r="287" spans="1:26" ht="15.5">
      <c r="B287" s="101"/>
      <c r="C287" s="101"/>
      <c r="D287" s="101"/>
      <c r="K287" s="403"/>
      <c r="L287" s="404"/>
      <c r="M287" s="404"/>
      <c r="U287" s="363"/>
      <c r="V287" s="363"/>
      <c r="W287" s="363"/>
    </row>
    <row r="288" spans="1:26" ht="18.5">
      <c r="A288" s="148" t="s">
        <v>1290</v>
      </c>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2:16">
      <c r="B289" s="101"/>
      <c r="C289" s="101"/>
      <c r="D289" s="101"/>
    </row>
    <row r="290" spans="2:16" ht="15.5">
      <c r="B290" s="101"/>
      <c r="C290" s="101"/>
      <c r="D290" s="101"/>
      <c r="M290"/>
      <c r="N290"/>
    </row>
    <row r="291" spans="2:16">
      <c r="C291" s="1067" t="s">
        <v>20</v>
      </c>
      <c r="D291" s="1068" t="s">
        <v>2765</v>
      </c>
      <c r="M291" s="1139" t="s">
        <v>20</v>
      </c>
      <c r="N291" s="1140" t="s">
        <v>2765</v>
      </c>
    </row>
    <row r="292" spans="2:16">
      <c r="C292" s="1081" t="s">
        <v>21</v>
      </c>
      <c r="D292" s="1068" t="s">
        <v>37</v>
      </c>
      <c r="H292" s="1067" t="s">
        <v>20</v>
      </c>
      <c r="I292" s="1068" t="s">
        <v>2765</v>
      </c>
    </row>
    <row r="293" spans="2:16">
      <c r="H293" s="1081" t="s">
        <v>21</v>
      </c>
      <c r="I293" s="1081" t="s">
        <v>515</v>
      </c>
      <c r="M293" s="1139" t="s">
        <v>1480</v>
      </c>
      <c r="N293" s="1139" t="s">
        <v>1477</v>
      </c>
      <c r="O293" s="1140"/>
    </row>
    <row r="294" spans="2:16" ht="15.5">
      <c r="C294" s="1067" t="s">
        <v>1480</v>
      </c>
      <c r="D294" s="1067" t="s">
        <v>1477</v>
      </c>
      <c r="E294" s="1068"/>
      <c r="M294" s="1031" t="s">
        <v>1283</v>
      </c>
      <c r="N294" s="1140" t="s">
        <v>34</v>
      </c>
      <c r="O294" s="1140" t="s">
        <v>1291</v>
      </c>
      <c r="P294"/>
    </row>
    <row r="295" spans="2:16" ht="15.5">
      <c r="C295" s="1067" t="s">
        <v>1283</v>
      </c>
      <c r="D295" s="1068" t="s">
        <v>34</v>
      </c>
      <c r="E295" s="1068" t="s">
        <v>1291</v>
      </c>
      <c r="H295" s="1067" t="s">
        <v>1480</v>
      </c>
      <c r="I295" s="1067" t="s">
        <v>1477</v>
      </c>
      <c r="J295" s="1068"/>
      <c r="M295" s="1141" t="s">
        <v>37</v>
      </c>
      <c r="N295" s="1142">
        <v>128</v>
      </c>
      <c r="O295" s="1142">
        <v>21</v>
      </c>
      <c r="P295"/>
    </row>
    <row r="296" spans="2:16" ht="15.5">
      <c r="C296" s="1071" t="s">
        <v>43</v>
      </c>
      <c r="D296" s="1072"/>
      <c r="E296" s="1072"/>
      <c r="H296" s="1067" t="s">
        <v>1283</v>
      </c>
      <c r="I296" s="1068" t="s">
        <v>34</v>
      </c>
      <c r="J296" s="1068" t="s">
        <v>1291</v>
      </c>
      <c r="M296" s="1141" t="s">
        <v>515</v>
      </c>
      <c r="N296" s="1142">
        <v>38</v>
      </c>
      <c r="O296" s="1142">
        <v>5</v>
      </c>
      <c r="P296"/>
    </row>
    <row r="297" spans="2:16" ht="15.5">
      <c r="C297" s="1083" t="s">
        <v>755</v>
      </c>
      <c r="D297" s="1072">
        <v>1</v>
      </c>
      <c r="E297" s="1072"/>
      <c r="H297" s="1071" t="s">
        <v>43</v>
      </c>
      <c r="I297" s="1072">
        <v>35</v>
      </c>
      <c r="J297" s="1072">
        <v>3</v>
      </c>
      <c r="M297"/>
      <c r="N297"/>
      <c r="O297"/>
      <c r="P297"/>
    </row>
    <row r="298" spans="2:16" ht="15.5">
      <c r="C298" s="1083" t="s">
        <v>43</v>
      </c>
      <c r="D298" s="1072">
        <v>107</v>
      </c>
      <c r="E298" s="1072">
        <v>3</v>
      </c>
      <c r="H298" s="1071" t="s">
        <v>1099</v>
      </c>
      <c r="I298" s="1072">
        <v>1</v>
      </c>
      <c r="J298" s="1072"/>
      <c r="M298"/>
      <c r="N298"/>
      <c r="O298"/>
      <c r="P298"/>
    </row>
    <row r="299" spans="2:16" ht="15.5">
      <c r="C299" s="1083" t="s">
        <v>588</v>
      </c>
      <c r="D299" s="1072">
        <v>5</v>
      </c>
      <c r="E299" s="1072">
        <v>11</v>
      </c>
      <c r="H299" s="1071" t="s">
        <v>620</v>
      </c>
      <c r="I299" s="1072">
        <v>2</v>
      </c>
      <c r="J299" s="1072">
        <v>2</v>
      </c>
      <c r="M299"/>
      <c r="N299"/>
      <c r="O299"/>
      <c r="P299"/>
    </row>
    <row r="300" spans="2:16" ht="15.5">
      <c r="C300" s="1083" t="s">
        <v>572</v>
      </c>
      <c r="D300" s="1072">
        <v>1</v>
      </c>
      <c r="E300" s="1072"/>
      <c r="H300"/>
      <c r="I300"/>
      <c r="J300"/>
      <c r="M300"/>
      <c r="N300"/>
      <c r="O300"/>
      <c r="P300"/>
    </row>
    <row r="301" spans="2:16" ht="15.5">
      <c r="C301" s="1083" t="s">
        <v>2608</v>
      </c>
      <c r="D301" s="1072">
        <v>1</v>
      </c>
      <c r="E301" s="1072">
        <v>7</v>
      </c>
      <c r="H301"/>
      <c r="I301"/>
      <c r="J301"/>
      <c r="M301"/>
      <c r="N301"/>
      <c r="O301"/>
      <c r="P301"/>
    </row>
    <row r="302" spans="2:16" ht="15.5">
      <c r="C302" s="1071" t="s">
        <v>1099</v>
      </c>
      <c r="D302" s="1072"/>
      <c r="E302" s="1072"/>
      <c r="M302"/>
      <c r="N302"/>
      <c r="O302"/>
      <c r="P302"/>
    </row>
    <row r="303" spans="2:16" ht="15.5">
      <c r="C303" s="1083" t="s">
        <v>43</v>
      </c>
      <c r="D303" s="1072">
        <v>8</v>
      </c>
      <c r="E303" s="1072"/>
      <c r="M303"/>
      <c r="N303"/>
      <c r="O303"/>
      <c r="P303"/>
    </row>
    <row r="304" spans="2:16" ht="15.5">
      <c r="C304" s="1083" t="s">
        <v>588</v>
      </c>
      <c r="D304" s="1072">
        <v>3</v>
      </c>
      <c r="E304" s="1072"/>
      <c r="M304"/>
      <c r="N304"/>
      <c r="O304"/>
      <c r="P304"/>
    </row>
    <row r="305" spans="1:26" ht="15.5">
      <c r="C305" s="1083" t="s">
        <v>584</v>
      </c>
      <c r="D305" s="1072">
        <v>1</v>
      </c>
      <c r="E305" s="1072"/>
      <c r="M305"/>
      <c r="N305"/>
      <c r="O305"/>
      <c r="P305"/>
    </row>
    <row r="306" spans="1:26" ht="15.5">
      <c r="C306" s="1083" t="s">
        <v>826</v>
      </c>
      <c r="D306" s="1072">
        <v>1</v>
      </c>
      <c r="E306" s="1072"/>
      <c r="N306"/>
      <c r="O306"/>
      <c r="P306"/>
    </row>
    <row r="307" spans="1:26" ht="15.5">
      <c r="C307"/>
      <c r="D307"/>
      <c r="E307"/>
    </row>
    <row r="308" spans="1:26" ht="15.5">
      <c r="C308"/>
      <c r="D308"/>
      <c r="E308"/>
    </row>
    <row r="309" spans="1:26" ht="15.5">
      <c r="C309"/>
      <c r="D309"/>
      <c r="E309"/>
    </row>
    <row r="312" spans="1:26" ht="18.5">
      <c r="A312" s="149" t="s">
        <v>1585</v>
      </c>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row>
    <row r="315" spans="1:26">
      <c r="C315" s="1067" t="s">
        <v>20</v>
      </c>
      <c r="D315" s="1068" t="s">
        <v>2765</v>
      </c>
    </row>
    <row r="316" spans="1:26">
      <c r="C316" s="1067" t="s">
        <v>34</v>
      </c>
      <c r="D316" s="1068" t="s">
        <v>1291</v>
      </c>
    </row>
    <row r="318" spans="1:26">
      <c r="C318" s="1067" t="s">
        <v>21</v>
      </c>
      <c r="D318" s="1067" t="s">
        <v>22</v>
      </c>
      <c r="E318" s="1067" t="s">
        <v>23</v>
      </c>
      <c r="F318" s="1067" t="s">
        <v>29</v>
      </c>
      <c r="G318" s="1068" t="s">
        <v>1480</v>
      </c>
      <c r="H318" s="1068" t="s">
        <v>1513</v>
      </c>
      <c r="I318" s="1068" t="s">
        <v>1514</v>
      </c>
      <c r="J318" s="1068" t="s">
        <v>1515</v>
      </c>
      <c r="K318" s="1068" t="s">
        <v>1516</v>
      </c>
      <c r="L318" s="1068" t="s">
        <v>1517</v>
      </c>
    </row>
    <row r="319" spans="1:26">
      <c r="C319" s="1068" t="s">
        <v>37</v>
      </c>
      <c r="D319" s="1068" t="s">
        <v>195</v>
      </c>
      <c r="E319" s="1068" t="s">
        <v>3030</v>
      </c>
      <c r="F319" s="1068" t="s">
        <v>43</v>
      </c>
      <c r="G319" s="1072">
        <v>1</v>
      </c>
      <c r="H319" s="1073">
        <v>12</v>
      </c>
      <c r="I319" s="1073">
        <v>60</v>
      </c>
      <c r="J319" s="1074">
        <v>1</v>
      </c>
      <c r="K319" s="1074">
        <v>1</v>
      </c>
      <c r="L319" s="1074">
        <v>1</v>
      </c>
    </row>
    <row r="320" spans="1:26">
      <c r="C320" s="1068"/>
      <c r="D320" s="1068"/>
      <c r="E320" s="1068" t="s">
        <v>3020</v>
      </c>
      <c r="F320" s="1068" t="s">
        <v>2608</v>
      </c>
      <c r="G320" s="1072">
        <v>1</v>
      </c>
      <c r="H320" s="1073">
        <v>181</v>
      </c>
      <c r="I320" s="1073">
        <v>906</v>
      </c>
      <c r="J320" s="1074">
        <v>1</v>
      </c>
      <c r="K320" s="1074">
        <v>1</v>
      </c>
      <c r="L320" s="1074">
        <v>1</v>
      </c>
    </row>
    <row r="321" spans="3:12">
      <c r="C321" s="1068"/>
      <c r="D321" s="1068" t="s">
        <v>146</v>
      </c>
      <c r="E321" s="1068" t="s">
        <v>3023</v>
      </c>
      <c r="F321" s="1068" t="s">
        <v>2608</v>
      </c>
      <c r="G321" s="1072">
        <v>1</v>
      </c>
      <c r="H321" s="1073">
        <v>57</v>
      </c>
      <c r="I321" s="1073">
        <v>264</v>
      </c>
      <c r="J321" s="1074">
        <v>1</v>
      </c>
      <c r="K321" s="1074">
        <v>0</v>
      </c>
      <c r="L321" s="1074">
        <v>1</v>
      </c>
    </row>
    <row r="322" spans="3:12">
      <c r="C322" s="1068"/>
      <c r="D322" s="1068" t="s">
        <v>148</v>
      </c>
      <c r="E322" s="1068" t="s">
        <v>257</v>
      </c>
      <c r="F322" s="1068" t="s">
        <v>588</v>
      </c>
      <c r="G322" s="1072">
        <v>1</v>
      </c>
      <c r="H322" s="1073">
        <v>3</v>
      </c>
      <c r="I322" s="1073">
        <v>15</v>
      </c>
      <c r="J322" s="1074">
        <v>0</v>
      </c>
      <c r="K322" s="1074">
        <v>1</v>
      </c>
      <c r="L322" s="1074">
        <v>1</v>
      </c>
    </row>
    <row r="323" spans="3:12">
      <c r="C323" s="1068"/>
      <c r="D323" s="1068"/>
      <c r="E323" s="1068" t="s">
        <v>3021</v>
      </c>
      <c r="F323" s="1068" t="s">
        <v>43</v>
      </c>
      <c r="G323" s="1072">
        <v>1</v>
      </c>
      <c r="H323" s="1073">
        <v>95</v>
      </c>
      <c r="I323" s="1073">
        <v>472</v>
      </c>
      <c r="J323" s="1074">
        <v>1</v>
      </c>
      <c r="K323" s="1074">
        <v>1</v>
      </c>
      <c r="L323" s="1074">
        <v>1</v>
      </c>
    </row>
    <row r="324" spans="3:12">
      <c r="C324" s="1068"/>
      <c r="D324" s="1068" t="s">
        <v>38</v>
      </c>
      <c r="E324" s="1068" t="s">
        <v>3025</v>
      </c>
      <c r="F324" s="1068" t="s">
        <v>2608</v>
      </c>
      <c r="G324" s="1072">
        <v>1</v>
      </c>
      <c r="H324" s="1073">
        <v>67</v>
      </c>
      <c r="I324" s="1073">
        <v>308</v>
      </c>
      <c r="J324" s="1074">
        <v>1</v>
      </c>
      <c r="K324" s="1074">
        <v>1</v>
      </c>
      <c r="L324" s="1074">
        <v>1</v>
      </c>
    </row>
    <row r="325" spans="3:12">
      <c r="C325" s="1068"/>
      <c r="D325" s="1068" t="s">
        <v>152</v>
      </c>
      <c r="E325" s="1068" t="s">
        <v>1546</v>
      </c>
      <c r="F325" s="1068" t="s">
        <v>588</v>
      </c>
      <c r="G325" s="1072">
        <v>1</v>
      </c>
      <c r="H325" s="1073">
        <v>6</v>
      </c>
      <c r="I325" s="1073">
        <v>32</v>
      </c>
      <c r="J325" s="1074">
        <v>1</v>
      </c>
      <c r="K325" s="1074">
        <v>1</v>
      </c>
      <c r="L325" s="1074">
        <v>1</v>
      </c>
    </row>
    <row r="326" spans="3:12">
      <c r="C326" s="1068"/>
      <c r="D326" s="1068" t="s">
        <v>157</v>
      </c>
      <c r="E326" s="1068" t="s">
        <v>3026</v>
      </c>
      <c r="F326" s="1068" t="s">
        <v>2608</v>
      </c>
      <c r="G326" s="1072">
        <v>1</v>
      </c>
      <c r="H326" s="1073">
        <v>27</v>
      </c>
      <c r="I326" s="1073">
        <v>126</v>
      </c>
      <c r="J326" s="1074">
        <v>1</v>
      </c>
      <c r="K326" s="1074">
        <v>1</v>
      </c>
      <c r="L326" s="1074">
        <v>1</v>
      </c>
    </row>
    <row r="327" spans="3:12">
      <c r="C327" s="1068"/>
      <c r="D327" s="1068"/>
      <c r="E327" s="1068" t="s">
        <v>3027</v>
      </c>
      <c r="F327" s="1068" t="s">
        <v>2608</v>
      </c>
      <c r="G327" s="1072">
        <v>1</v>
      </c>
      <c r="H327" s="1073">
        <v>15</v>
      </c>
      <c r="I327" s="1073">
        <v>71</v>
      </c>
      <c r="J327" s="1074">
        <v>1</v>
      </c>
      <c r="K327" s="1074">
        <v>1</v>
      </c>
      <c r="L327" s="1074">
        <v>1</v>
      </c>
    </row>
    <row r="328" spans="3:12">
      <c r="C328" s="1068"/>
      <c r="D328" s="1068" t="s">
        <v>205</v>
      </c>
      <c r="E328" s="1068" t="s">
        <v>3022</v>
      </c>
      <c r="F328" s="1068" t="s">
        <v>2608</v>
      </c>
      <c r="G328" s="1072">
        <v>1</v>
      </c>
      <c r="H328" s="1073">
        <v>223</v>
      </c>
      <c r="I328" s="1073">
        <v>1067</v>
      </c>
      <c r="J328" s="1074">
        <v>1</v>
      </c>
      <c r="K328" s="1074">
        <v>1</v>
      </c>
      <c r="L328" s="1074">
        <v>1</v>
      </c>
    </row>
    <row r="329" spans="3:12">
      <c r="C329" s="1068"/>
      <c r="D329" s="1068"/>
      <c r="E329" s="1068" t="s">
        <v>3019</v>
      </c>
      <c r="F329" s="1068" t="s">
        <v>2608</v>
      </c>
      <c r="G329" s="1072">
        <v>1</v>
      </c>
      <c r="H329" s="1073">
        <v>15</v>
      </c>
      <c r="I329" s="1073">
        <v>101</v>
      </c>
      <c r="J329" s="1074">
        <v>1</v>
      </c>
      <c r="K329" s="1074">
        <v>1</v>
      </c>
      <c r="L329" s="1074">
        <v>1</v>
      </c>
    </row>
    <row r="330" spans="3:12">
      <c r="C330" s="1068"/>
      <c r="D330" s="1068" t="s">
        <v>159</v>
      </c>
      <c r="E330" s="1068" t="s">
        <v>2235</v>
      </c>
      <c r="F330" s="1068" t="s">
        <v>43</v>
      </c>
      <c r="G330" s="1072">
        <v>1</v>
      </c>
      <c r="H330" s="1073">
        <v>26</v>
      </c>
      <c r="I330" s="1073">
        <v>147</v>
      </c>
      <c r="J330" s="1074">
        <v>1</v>
      </c>
      <c r="K330" s="1074">
        <v>1</v>
      </c>
      <c r="L330" s="1074">
        <v>1</v>
      </c>
    </row>
    <row r="331" spans="3:12">
      <c r="C331" s="1068"/>
      <c r="D331" s="1068" t="s">
        <v>184</v>
      </c>
      <c r="E331" s="1068" t="s">
        <v>2114</v>
      </c>
      <c r="F331" s="1068" t="s">
        <v>588</v>
      </c>
      <c r="G331" s="1072">
        <v>1</v>
      </c>
      <c r="H331" s="1073">
        <v>31</v>
      </c>
      <c r="I331" s="1073">
        <v>171</v>
      </c>
      <c r="J331" s="1074">
        <v>1</v>
      </c>
      <c r="K331" s="1074">
        <v>1</v>
      </c>
      <c r="L331" s="1074">
        <v>1</v>
      </c>
    </row>
    <row r="332" spans="3:12">
      <c r="C332" s="1068"/>
      <c r="D332" s="1068" t="s">
        <v>142</v>
      </c>
      <c r="E332" s="1068" t="s">
        <v>778</v>
      </c>
      <c r="F332" s="1068" t="s">
        <v>588</v>
      </c>
      <c r="G332" s="1072">
        <v>1</v>
      </c>
      <c r="H332" s="1073">
        <v>45</v>
      </c>
      <c r="I332" s="1073">
        <v>247</v>
      </c>
      <c r="J332" s="1074">
        <v>1</v>
      </c>
      <c r="K332" s="1074">
        <v>1</v>
      </c>
      <c r="L332" s="1074">
        <v>1</v>
      </c>
    </row>
    <row r="333" spans="3:12">
      <c r="C333" s="1068"/>
      <c r="D333" s="1068"/>
      <c r="E333" s="1068" t="s">
        <v>2774</v>
      </c>
      <c r="F333" s="1068" t="s">
        <v>588</v>
      </c>
      <c r="G333" s="1072">
        <v>1</v>
      </c>
      <c r="H333" s="1073">
        <v>12</v>
      </c>
      <c r="I333" s="1073">
        <v>80</v>
      </c>
      <c r="J333" s="1074">
        <v>1</v>
      </c>
      <c r="K333" s="1074">
        <v>1</v>
      </c>
      <c r="L333" s="1074">
        <v>1</v>
      </c>
    </row>
    <row r="334" spans="3:12">
      <c r="C334" s="1068"/>
      <c r="D334" s="1068"/>
      <c r="E334" s="1068" t="s">
        <v>2775</v>
      </c>
      <c r="F334" s="1068" t="s">
        <v>588</v>
      </c>
      <c r="G334" s="1072">
        <v>1</v>
      </c>
      <c r="H334" s="1073">
        <v>27</v>
      </c>
      <c r="I334" s="1073">
        <v>139</v>
      </c>
      <c r="J334" s="1074">
        <v>1</v>
      </c>
      <c r="K334" s="1074">
        <v>1</v>
      </c>
      <c r="L334" s="1074">
        <v>1</v>
      </c>
    </row>
    <row r="335" spans="3:12">
      <c r="C335" s="1068"/>
      <c r="D335" s="1068"/>
      <c r="E335" s="1068" t="s">
        <v>2777</v>
      </c>
      <c r="F335" s="1068" t="s">
        <v>588</v>
      </c>
      <c r="G335" s="1072">
        <v>1</v>
      </c>
      <c r="H335" s="1073">
        <v>40</v>
      </c>
      <c r="I335" s="1073">
        <v>220</v>
      </c>
      <c r="J335" s="1074">
        <v>1</v>
      </c>
      <c r="K335" s="1074">
        <v>1</v>
      </c>
      <c r="L335" s="1074">
        <v>1</v>
      </c>
    </row>
    <row r="336" spans="3:12">
      <c r="C336" s="1068"/>
      <c r="D336" s="1068"/>
      <c r="E336" s="1068" t="s">
        <v>2780</v>
      </c>
      <c r="F336" s="1068" t="s">
        <v>588</v>
      </c>
      <c r="G336" s="1072">
        <v>1</v>
      </c>
      <c r="H336" s="1073">
        <v>45</v>
      </c>
      <c r="I336" s="1073">
        <v>247</v>
      </c>
      <c r="J336" s="1074">
        <v>1</v>
      </c>
      <c r="K336" s="1074">
        <v>1</v>
      </c>
      <c r="L336" s="1074">
        <v>1</v>
      </c>
    </row>
    <row r="337" spans="3:12">
      <c r="C337" s="1068"/>
      <c r="D337" s="1068"/>
      <c r="E337" s="1068" t="s">
        <v>2781</v>
      </c>
      <c r="F337" s="1068" t="s">
        <v>588</v>
      </c>
      <c r="G337" s="1072">
        <v>1</v>
      </c>
      <c r="H337" s="1073">
        <v>48</v>
      </c>
      <c r="I337" s="1073">
        <v>240</v>
      </c>
      <c r="J337" s="1074">
        <v>1</v>
      </c>
      <c r="K337" s="1074">
        <v>1</v>
      </c>
      <c r="L337" s="1074">
        <v>1</v>
      </c>
    </row>
    <row r="338" spans="3:12">
      <c r="C338" s="1068"/>
      <c r="D338" s="1068"/>
      <c r="E338" s="1068" t="s">
        <v>2782</v>
      </c>
      <c r="F338" s="1068" t="s">
        <v>588</v>
      </c>
      <c r="G338" s="1072">
        <v>1</v>
      </c>
      <c r="H338" s="1073">
        <v>34</v>
      </c>
      <c r="I338" s="1073">
        <v>189</v>
      </c>
      <c r="J338" s="1074">
        <v>1</v>
      </c>
      <c r="K338" s="1074">
        <v>1</v>
      </c>
      <c r="L338" s="1074">
        <v>1</v>
      </c>
    </row>
    <row r="339" spans="3:12">
      <c r="C339" s="1068"/>
      <c r="D339" s="1068"/>
      <c r="E339" s="1068" t="s">
        <v>2783</v>
      </c>
      <c r="F339" s="1068" t="s">
        <v>588</v>
      </c>
      <c r="G339" s="1072">
        <v>1</v>
      </c>
      <c r="H339" s="1073">
        <v>12</v>
      </c>
      <c r="I339" s="1073">
        <v>59</v>
      </c>
      <c r="J339" s="1074">
        <v>1</v>
      </c>
      <c r="K339" s="1074">
        <v>1</v>
      </c>
      <c r="L339" s="1074">
        <v>1</v>
      </c>
    </row>
    <row r="340" spans="3:12">
      <c r="C340" s="1068" t="s">
        <v>1489</v>
      </c>
      <c r="D340" s="1068"/>
      <c r="E340" s="1068"/>
      <c r="F340" s="1068"/>
      <c r="G340" s="1072">
        <v>21</v>
      </c>
      <c r="H340" s="1073">
        <v>1021</v>
      </c>
      <c r="I340" s="1073">
        <v>5161</v>
      </c>
      <c r="J340" s="1074">
        <v>0.95238095238095233</v>
      </c>
      <c r="K340" s="1074">
        <v>0.95238095238095233</v>
      </c>
      <c r="L340" s="1074">
        <v>1</v>
      </c>
    </row>
    <row r="341" spans="3:12">
      <c r="C341" s="1068" t="s">
        <v>515</v>
      </c>
      <c r="D341" s="1068" t="s">
        <v>556</v>
      </c>
      <c r="E341" s="1068" t="s">
        <v>557</v>
      </c>
      <c r="F341" s="1068" t="s">
        <v>588</v>
      </c>
      <c r="G341" s="1072">
        <v>1</v>
      </c>
      <c r="H341" s="1073">
        <v>37</v>
      </c>
      <c r="I341" s="1073">
        <v>120</v>
      </c>
      <c r="J341" s="1074">
        <v>1</v>
      </c>
      <c r="K341" s="1074">
        <v>1</v>
      </c>
      <c r="L341" s="1074">
        <v>1</v>
      </c>
    </row>
    <row r="342" spans="3:12">
      <c r="C342" s="1068"/>
      <c r="D342" s="1068" t="s">
        <v>963</v>
      </c>
      <c r="E342" s="1068" t="s">
        <v>2603</v>
      </c>
      <c r="F342" s="1068" t="s">
        <v>588</v>
      </c>
      <c r="G342" s="1072">
        <v>1</v>
      </c>
      <c r="H342" s="1073">
        <v>34</v>
      </c>
      <c r="I342" s="1073">
        <v>170</v>
      </c>
      <c r="J342" s="1074">
        <v>1</v>
      </c>
      <c r="K342" s="1074">
        <v>1</v>
      </c>
      <c r="L342" s="1074">
        <v>1</v>
      </c>
    </row>
    <row r="343" spans="3:12">
      <c r="C343" s="1068"/>
      <c r="D343" s="1068"/>
      <c r="E343" s="1068" t="s">
        <v>2606</v>
      </c>
      <c r="F343" s="1068" t="s">
        <v>3009</v>
      </c>
      <c r="G343" s="1072">
        <v>1</v>
      </c>
      <c r="H343" s="1073">
        <v>219</v>
      </c>
      <c r="I343" s="1073">
        <v>653</v>
      </c>
      <c r="J343" s="1074">
        <v>1</v>
      </c>
      <c r="K343" s="1074">
        <v>1</v>
      </c>
      <c r="L343" s="1074">
        <v>1</v>
      </c>
    </row>
    <row r="344" spans="3:12">
      <c r="C344" s="1068"/>
      <c r="D344" s="1068"/>
      <c r="E344" s="1068" t="s">
        <v>2605</v>
      </c>
      <c r="F344" s="1068" t="s">
        <v>3009</v>
      </c>
      <c r="G344" s="1072">
        <v>1</v>
      </c>
      <c r="H344" s="1073">
        <v>657</v>
      </c>
      <c r="I344" s="1073">
        <v>2786</v>
      </c>
      <c r="J344" s="1074">
        <v>1</v>
      </c>
      <c r="K344" s="1074">
        <v>1</v>
      </c>
      <c r="L344" s="1074">
        <v>1</v>
      </c>
    </row>
    <row r="345" spans="3:12">
      <c r="C345" s="1068"/>
      <c r="D345" s="1068" t="s">
        <v>960</v>
      </c>
      <c r="E345" s="1068" t="s">
        <v>2696</v>
      </c>
      <c r="F345" s="1068" t="s">
        <v>2608</v>
      </c>
      <c r="G345" s="1072">
        <v>1</v>
      </c>
      <c r="H345" s="1073">
        <v>142</v>
      </c>
      <c r="I345" s="1073">
        <v>504</v>
      </c>
      <c r="J345" s="1074">
        <v>1</v>
      </c>
      <c r="K345" s="1074">
        <v>1</v>
      </c>
      <c r="L345" s="1074">
        <v>1</v>
      </c>
    </row>
    <row r="346" spans="3:12">
      <c r="C346" s="1068" t="s">
        <v>2086</v>
      </c>
      <c r="D346" s="1068"/>
      <c r="E346" s="1068"/>
      <c r="F346" s="1068"/>
      <c r="G346" s="1072">
        <v>5</v>
      </c>
      <c r="H346" s="1073">
        <v>1089</v>
      </c>
      <c r="I346" s="1073">
        <v>4233</v>
      </c>
      <c r="J346" s="1074">
        <v>1</v>
      </c>
      <c r="K346" s="1074">
        <v>1</v>
      </c>
      <c r="L346" s="1074">
        <v>1</v>
      </c>
    </row>
    <row r="347" spans="3:12" ht="15.5">
      <c r="C347"/>
      <c r="D347"/>
      <c r="E347"/>
      <c r="F347"/>
      <c r="G347"/>
      <c r="H347"/>
      <c r="I347"/>
      <c r="J347"/>
      <c r="K347"/>
      <c r="L347"/>
    </row>
    <row r="348" spans="3:12" ht="15.5">
      <c r="C348"/>
      <c r="D348"/>
      <c r="E348"/>
      <c r="F348"/>
      <c r="G348"/>
      <c r="H348"/>
      <c r="I348"/>
      <c r="J348"/>
      <c r="K348"/>
      <c r="L348"/>
    </row>
    <row r="349" spans="3:12" ht="15.5">
      <c r="C349"/>
      <c r="D349"/>
      <c r="E349"/>
      <c r="F349"/>
      <c r="G349"/>
      <c r="H349"/>
      <c r="I349"/>
      <c r="J349"/>
      <c r="K349"/>
      <c r="L349"/>
    </row>
    <row r="350" spans="3:12" ht="15.5">
      <c r="C350"/>
      <c r="D350"/>
      <c r="E350"/>
      <c r="F350"/>
      <c r="G350"/>
      <c r="H350"/>
      <c r="I350"/>
      <c r="J350"/>
      <c r="K350"/>
      <c r="L350"/>
    </row>
    <row r="351" spans="3:12" ht="15.5">
      <c r="C351"/>
      <c r="D351"/>
      <c r="E351"/>
      <c r="F351"/>
      <c r="G351"/>
      <c r="H351"/>
      <c r="I351"/>
      <c r="J351"/>
      <c r="K351"/>
      <c r="L351"/>
    </row>
    <row r="352" spans="3:12" ht="15.5">
      <c r="C352"/>
      <c r="D352"/>
      <c r="E352"/>
      <c r="F352"/>
      <c r="G352"/>
      <c r="H352"/>
      <c r="I352"/>
      <c r="J352"/>
      <c r="K352"/>
      <c r="L352"/>
    </row>
    <row r="353" spans="1:25" ht="15.5">
      <c r="C353"/>
      <c r="D353"/>
      <c r="E353"/>
      <c r="F353"/>
      <c r="G353"/>
      <c r="H353"/>
      <c r="I353"/>
      <c r="J353"/>
      <c r="K353"/>
      <c r="L353"/>
    </row>
    <row r="354" spans="1:25" ht="15.5">
      <c r="C354"/>
      <c r="D354"/>
      <c r="E354"/>
      <c r="F354"/>
      <c r="G354"/>
      <c r="H354"/>
      <c r="I354"/>
      <c r="J354"/>
      <c r="K354"/>
      <c r="L354"/>
    </row>
    <row r="355" spans="1:25" ht="15.5">
      <c r="C355"/>
      <c r="D355"/>
      <c r="E355"/>
      <c r="F355"/>
      <c r="G355"/>
      <c r="H355"/>
      <c r="I355"/>
      <c r="J355"/>
      <c r="K355"/>
      <c r="L355"/>
    </row>
    <row r="356" spans="1:25" ht="15.5">
      <c r="C356"/>
      <c r="D356"/>
      <c r="E356"/>
      <c r="F356"/>
      <c r="G356"/>
      <c r="H356"/>
      <c r="I356"/>
      <c r="J356"/>
      <c r="K356"/>
      <c r="L356"/>
    </row>
    <row r="357" spans="1:25" ht="15.5">
      <c r="C357"/>
      <c r="D357"/>
      <c r="E357"/>
      <c r="F357"/>
      <c r="G357"/>
      <c r="H357"/>
      <c r="I357"/>
      <c r="J357"/>
      <c r="K357"/>
      <c r="L357"/>
    </row>
    <row r="358" spans="1:25" ht="15.5">
      <c r="C358"/>
      <c r="D358"/>
      <c r="E358"/>
      <c r="F358"/>
      <c r="G358"/>
      <c r="H358"/>
      <c r="I358"/>
      <c r="J358"/>
      <c r="K358"/>
      <c r="L358"/>
    </row>
    <row r="359" spans="1:25" ht="15.5">
      <c r="C359"/>
      <c r="D359"/>
      <c r="E359"/>
      <c r="F359"/>
      <c r="G359"/>
      <c r="H359"/>
      <c r="I359"/>
      <c r="J359"/>
      <c r="K359"/>
      <c r="L359"/>
    </row>
    <row r="360" spans="1:25" ht="15.5">
      <c r="C360"/>
      <c r="D360"/>
      <c r="E360"/>
      <c r="F360"/>
      <c r="G360"/>
      <c r="H360"/>
      <c r="I360"/>
      <c r="J360"/>
      <c r="K360"/>
      <c r="L360"/>
    </row>
    <row r="361" spans="1:25" ht="15.5">
      <c r="C361"/>
      <c r="D361"/>
      <c r="E361"/>
      <c r="F361"/>
      <c r="G361"/>
      <c r="H361"/>
      <c r="I361"/>
      <c r="J361"/>
      <c r="K361"/>
      <c r="L361"/>
    </row>
    <row r="362" spans="1:25" ht="15.5">
      <c r="C362"/>
      <c r="D362"/>
      <c r="E362"/>
      <c r="F362"/>
      <c r="G362"/>
      <c r="H362"/>
      <c r="I362"/>
      <c r="J362"/>
      <c r="K362"/>
      <c r="L362"/>
    </row>
    <row r="363" spans="1:25" ht="18.5">
      <c r="A363" s="150" t="s">
        <v>1518</v>
      </c>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row>
    <row r="364" spans="1:25">
      <c r="C364" s="101"/>
      <c r="D364" s="101"/>
      <c r="E364" s="101"/>
      <c r="F364" s="101"/>
      <c r="G364" s="101"/>
      <c r="H364" s="101"/>
      <c r="I364" s="101"/>
      <c r="J364" s="101"/>
      <c r="K364" s="101"/>
    </row>
    <row r="365" spans="1:25">
      <c r="C365" s="101"/>
      <c r="D365" s="101"/>
      <c r="E365" s="101"/>
      <c r="F365" s="101"/>
      <c r="G365" s="101"/>
      <c r="H365" s="101"/>
      <c r="I365" s="101"/>
      <c r="J365" s="101"/>
      <c r="K365" s="101"/>
    </row>
    <row r="366" spans="1:25">
      <c r="C366" s="101"/>
      <c r="D366" s="101"/>
      <c r="E366" s="101"/>
      <c r="F366" s="101"/>
      <c r="G366" s="101"/>
      <c r="H366" s="101"/>
      <c r="I366" s="101"/>
      <c r="J366" s="101"/>
      <c r="K366" s="101"/>
    </row>
    <row r="367" spans="1:25">
      <c r="C367" s="1067" t="s">
        <v>20</v>
      </c>
      <c r="D367" s="1068" t="s">
        <v>2765</v>
      </c>
      <c r="F367" s="101"/>
      <c r="G367" s="101"/>
      <c r="H367" s="101"/>
      <c r="I367" s="101"/>
      <c r="J367" s="101"/>
      <c r="K367" s="101"/>
    </row>
    <row r="368" spans="1:25">
      <c r="C368" s="1067" t="s">
        <v>34</v>
      </c>
      <c r="D368" s="1068" t="s">
        <v>34</v>
      </c>
      <c r="F368" s="101"/>
      <c r="G368" s="101"/>
      <c r="H368" s="101"/>
      <c r="I368" s="101"/>
      <c r="J368" s="101"/>
      <c r="K368" s="101"/>
    </row>
    <row r="369" spans="3:11">
      <c r="C369" s="405"/>
      <c r="F369" s="101"/>
      <c r="G369" s="101"/>
      <c r="H369" s="101"/>
      <c r="I369" s="101"/>
      <c r="J369" s="101"/>
      <c r="K369" s="101"/>
    </row>
    <row r="370" spans="3:11" s="395" customFormat="1" ht="130.5">
      <c r="C370" s="1077" t="s">
        <v>21</v>
      </c>
      <c r="D370" s="1084" t="s">
        <v>2873</v>
      </c>
      <c r="E370" s="1084" t="s">
        <v>2123</v>
      </c>
      <c r="F370" s="1084" t="s">
        <v>2124</v>
      </c>
      <c r="G370" s="1084" t="s">
        <v>2874</v>
      </c>
      <c r="H370" s="1084" t="s">
        <v>2872</v>
      </c>
      <c r="I370" s="1084" t="s">
        <v>2366</v>
      </c>
      <c r="J370" s="397"/>
      <c r="K370" s="397"/>
    </row>
    <row r="371" spans="3:11">
      <c r="C371" s="1071" t="s">
        <v>37</v>
      </c>
      <c r="D371" s="1073">
        <v>299</v>
      </c>
      <c r="E371" s="1073">
        <v>34</v>
      </c>
      <c r="F371" s="1073">
        <v>120</v>
      </c>
      <c r="G371" s="1073">
        <v>38</v>
      </c>
      <c r="H371" s="1073">
        <v>2</v>
      </c>
      <c r="I371" s="1073">
        <v>33</v>
      </c>
      <c r="J371" s="101"/>
      <c r="K371" s="101"/>
    </row>
    <row r="372" spans="3:11">
      <c r="C372" s="1071" t="s">
        <v>515</v>
      </c>
      <c r="D372" s="1073">
        <v>11</v>
      </c>
      <c r="E372" s="1073">
        <v>54</v>
      </c>
      <c r="F372" s="1073">
        <v>25</v>
      </c>
      <c r="G372" s="1073">
        <v>6</v>
      </c>
      <c r="H372" s="1073"/>
      <c r="I372" s="1073"/>
      <c r="J372" s="101"/>
      <c r="K372" s="101"/>
    </row>
    <row r="373" spans="3:11" ht="15.5">
      <c r="C373"/>
      <c r="D373"/>
      <c r="E373"/>
      <c r="F373"/>
      <c r="G373"/>
      <c r="H373"/>
      <c r="I373"/>
      <c r="J373" s="101"/>
      <c r="K373" s="101"/>
    </row>
    <row r="374" spans="3:11" ht="15.5">
      <c r="C374"/>
      <c r="D374"/>
      <c r="E374"/>
      <c r="F374"/>
      <c r="G374"/>
      <c r="H374"/>
      <c r="I374"/>
      <c r="J374" s="101"/>
      <c r="K374" s="101"/>
    </row>
    <row r="375" spans="3:11" ht="15" thickBot="1">
      <c r="C375" s="406"/>
      <c r="D375" s="101"/>
      <c r="E375" s="101"/>
      <c r="F375" s="101"/>
      <c r="G375" s="101"/>
      <c r="H375" s="101"/>
      <c r="I375" s="101"/>
      <c r="J375" s="101"/>
      <c r="K375" s="101"/>
    </row>
    <row r="376" spans="3:11" s="395" customFormat="1" ht="87.5" thickBot="1">
      <c r="C376" s="396" t="s">
        <v>21</v>
      </c>
      <c r="D376" s="392" t="s">
        <v>2365</v>
      </c>
      <c r="E376" s="392" t="s">
        <v>2125</v>
      </c>
      <c r="F376" s="392" t="s">
        <v>2870</v>
      </c>
      <c r="G376" s="392" t="s">
        <v>2871</v>
      </c>
      <c r="H376" s="392" t="s">
        <v>2875</v>
      </c>
      <c r="I376" s="393" t="s">
        <v>2876</v>
      </c>
      <c r="J376" s="397"/>
    </row>
    <row r="377" spans="3:11">
      <c r="C377" s="115" t="s">
        <v>37</v>
      </c>
      <c r="D377" s="869">
        <f>GETPIVOTDATA(" # of hand washing stations with soap in TLS",$C$370,"State","Kachin")</f>
        <v>120</v>
      </c>
      <c r="E377" s="869">
        <f>GETPIVOTDATA(" #_Hygiene Promotion activities (sessions) in TLS?",$C$370,"State","Kachin")</f>
        <v>34</v>
      </c>
      <c r="F377" s="869">
        <f>GETPIVOTDATA("  functional latrines in TLS/CFS supported by WASH partners during the reporting period",$C$370,"State","Kachin")</f>
        <v>299</v>
      </c>
      <c r="G377" s="869">
        <f>GETPIVOTDATA(" #_of water points in TLS/CFS",$C$370,"State","Kachin")</f>
        <v>38</v>
      </c>
      <c r="H377" s="869">
        <f>GETPIVOTDATA("Sum of #_of water points in THF",$C$370,"State","Kachin")</f>
        <v>2</v>
      </c>
      <c r="I377" s="869">
        <f>GETPIVOTDATA("Sum of # of functional latrines in THF supported by WASH partners during the reporting period2",$C$370,"State","Kachin")</f>
        <v>33</v>
      </c>
      <c r="J377" s="101"/>
    </row>
    <row r="378" spans="3:11">
      <c r="C378" s="115" t="s">
        <v>515</v>
      </c>
      <c r="D378" s="870">
        <f>GETPIVOTDATA(" # of hand washing stations with soap in TLS",$C$370,"State","Shan (North)")</f>
        <v>25</v>
      </c>
      <c r="E378" s="870">
        <f>GETPIVOTDATA(" #_Hygiene Promotion activities (sessions) in TLS?",$C$370,"State","Shan (North)")</f>
        <v>54</v>
      </c>
      <c r="F378" s="870">
        <f>GETPIVOTDATA("  functional latrines in TLS/CFS supported by WASH partners during the reporting period",$C$370,"State","Shan (North)")</f>
        <v>11</v>
      </c>
      <c r="G378" s="870">
        <f>GETPIVOTDATA(" #_of water points in TLS/CFS",$C$370,"State","Shan (North)")</f>
        <v>6</v>
      </c>
      <c r="H378" s="870">
        <f>GETPIVOTDATA("Sum of #_of water points in THF",$C$370,"State","Shan (North)")</f>
        <v>0</v>
      </c>
      <c r="I378" s="871">
        <f>GETPIVOTDATA("Sum of # of functional latrines in THF supported by WASH partners during the reporting period2",$C$370,"State","Shan (North)")</f>
        <v>0</v>
      </c>
      <c r="J378" s="101"/>
    </row>
    <row r="379" spans="3:11">
      <c r="C379" s="101"/>
      <c r="D379" s="101"/>
      <c r="E379" s="101"/>
      <c r="F379" s="101"/>
      <c r="G379" s="101"/>
      <c r="H379" s="101"/>
      <c r="I379" s="101"/>
      <c r="J379" s="101"/>
      <c r="K379" s="101"/>
    </row>
    <row r="380" spans="3:11">
      <c r="C380" s="101"/>
      <c r="D380" s="101"/>
      <c r="E380" s="101"/>
      <c r="F380" s="101"/>
      <c r="G380" s="101"/>
      <c r="H380" s="101"/>
      <c r="I380" s="101"/>
      <c r="J380" s="101"/>
      <c r="K380" s="101"/>
    </row>
    <row r="381" spans="3:11">
      <c r="C381" s="101"/>
      <c r="D381" s="101"/>
      <c r="E381" s="101"/>
      <c r="F381" s="101"/>
      <c r="G381" s="101"/>
      <c r="H381" s="101"/>
      <c r="I381" s="101"/>
      <c r="J381" s="101"/>
      <c r="K381" s="101"/>
    </row>
    <row r="382" spans="3:11">
      <c r="C382" s="101"/>
      <c r="D382" s="101"/>
      <c r="E382" s="101"/>
      <c r="F382" s="101"/>
      <c r="G382" s="101"/>
      <c r="H382" s="101"/>
      <c r="I382" s="101"/>
      <c r="J382" s="101"/>
      <c r="K382" s="101"/>
    </row>
    <row r="383" spans="3:11">
      <c r="C383" s="101"/>
      <c r="D383" s="101"/>
      <c r="E383" s="101"/>
      <c r="F383" s="101"/>
      <c r="G383" s="101"/>
      <c r="H383" s="101"/>
      <c r="I383" s="101"/>
      <c r="J383" s="101"/>
      <c r="K383" s="101"/>
    </row>
    <row r="384" spans="3:11">
      <c r="C384" s="101"/>
      <c r="D384" s="101"/>
      <c r="E384" s="101"/>
      <c r="F384" s="101"/>
      <c r="G384" s="101"/>
      <c r="H384" s="101"/>
      <c r="I384" s="101"/>
      <c r="J384" s="101"/>
      <c r="K384" s="101"/>
    </row>
    <row r="385" spans="1:25">
      <c r="C385" s="101"/>
      <c r="D385" s="101"/>
      <c r="E385" s="101"/>
      <c r="F385" s="101"/>
      <c r="G385" s="101"/>
      <c r="H385" s="101"/>
      <c r="I385" s="101"/>
      <c r="J385" s="101"/>
      <c r="K385" s="101"/>
    </row>
    <row r="386" spans="1:25">
      <c r="C386" s="101"/>
      <c r="D386" s="101"/>
      <c r="E386" s="101"/>
      <c r="F386" s="101"/>
      <c r="G386" s="101"/>
      <c r="H386" s="101"/>
      <c r="I386" s="101"/>
      <c r="J386" s="101"/>
      <c r="K386" s="101"/>
    </row>
    <row r="387" spans="1:25">
      <c r="C387" s="101"/>
      <c r="D387" s="101"/>
      <c r="E387" s="101"/>
      <c r="F387" s="101"/>
      <c r="G387" s="101"/>
      <c r="H387" s="101"/>
      <c r="I387" s="101"/>
      <c r="J387" s="101"/>
      <c r="K387" s="101"/>
    </row>
    <row r="388" spans="1:25">
      <c r="C388" s="101"/>
      <c r="D388" s="101"/>
      <c r="E388" s="101"/>
      <c r="F388" s="101"/>
      <c r="G388" s="101"/>
      <c r="H388" s="101"/>
      <c r="I388" s="101"/>
      <c r="J388" s="101"/>
      <c r="K388" s="101"/>
    </row>
    <row r="389" spans="1:25">
      <c r="C389" s="101"/>
      <c r="D389" s="101"/>
      <c r="E389" s="101"/>
      <c r="F389" s="101"/>
      <c r="G389" s="101"/>
      <c r="H389" s="101"/>
      <c r="I389" s="101"/>
      <c r="J389" s="101"/>
      <c r="K389" s="101"/>
    </row>
    <row r="390" spans="1:25">
      <c r="C390" s="101"/>
      <c r="D390" s="101"/>
      <c r="E390" s="101"/>
      <c r="F390" s="101"/>
      <c r="G390" s="101"/>
      <c r="H390" s="101"/>
      <c r="I390" s="101"/>
      <c r="J390" s="101"/>
      <c r="K390" s="101"/>
    </row>
    <row r="391" spans="1:25">
      <c r="C391" s="101"/>
      <c r="D391" s="101"/>
      <c r="E391" s="101"/>
      <c r="F391" s="101"/>
      <c r="G391" s="101"/>
      <c r="H391" s="101"/>
      <c r="I391" s="101"/>
      <c r="J391" s="101"/>
      <c r="K391" s="101"/>
    </row>
    <row r="392" spans="1:25">
      <c r="C392" s="101"/>
      <c r="D392" s="101"/>
      <c r="E392" s="101"/>
      <c r="F392" s="101"/>
      <c r="G392" s="101"/>
      <c r="H392" s="101"/>
      <c r="I392" s="101"/>
      <c r="J392" s="101"/>
      <c r="K392" s="101"/>
    </row>
    <row r="393" spans="1:25">
      <c r="C393" s="101"/>
      <c r="D393" s="101"/>
      <c r="E393" s="101"/>
      <c r="F393" s="101"/>
      <c r="G393" s="101"/>
      <c r="H393" s="101"/>
      <c r="I393" s="101"/>
      <c r="J393" s="101"/>
      <c r="K393" s="101"/>
    </row>
    <row r="394" spans="1:25">
      <c r="C394" s="101"/>
      <c r="D394" s="101"/>
      <c r="E394" s="101"/>
      <c r="F394" s="101"/>
      <c r="G394" s="101"/>
      <c r="H394" s="101"/>
      <c r="I394" s="101"/>
      <c r="J394" s="101"/>
      <c r="K394" s="101"/>
    </row>
    <row r="395" spans="1:25">
      <c r="C395" s="101"/>
      <c r="D395" s="101"/>
      <c r="E395" s="101"/>
      <c r="F395" s="101"/>
      <c r="G395" s="101"/>
      <c r="H395" s="101"/>
      <c r="I395" s="101"/>
      <c r="J395" s="101"/>
      <c r="K395" s="101"/>
    </row>
    <row r="396" spans="1:25">
      <c r="C396" s="101"/>
      <c r="D396" s="101"/>
      <c r="E396" s="101"/>
      <c r="F396" s="101"/>
      <c r="G396" s="101"/>
      <c r="H396" s="101"/>
      <c r="I396" s="101"/>
      <c r="J396" s="101"/>
      <c r="K396" s="101"/>
    </row>
    <row r="397" spans="1:25">
      <c r="C397" s="101"/>
      <c r="D397" s="101"/>
      <c r="E397" s="101"/>
      <c r="F397" s="101"/>
      <c r="G397" s="101"/>
      <c r="H397" s="101"/>
      <c r="I397" s="101"/>
      <c r="J397" s="101"/>
      <c r="K397" s="101"/>
    </row>
    <row r="398" spans="1:25" s="497" customFormat="1" ht="18.5">
      <c r="A398" s="495" t="s">
        <v>2226</v>
      </c>
      <c r="B398" s="496"/>
      <c r="C398" s="496"/>
      <c r="D398" s="496"/>
      <c r="E398" s="496"/>
      <c r="F398" s="496"/>
      <c r="G398" s="496"/>
      <c r="H398" s="496"/>
      <c r="I398" s="496"/>
      <c r="J398" s="496"/>
      <c r="K398" s="496"/>
      <c r="L398" s="496"/>
      <c r="M398" s="496"/>
      <c r="N398" s="496"/>
      <c r="O398" s="496"/>
      <c r="P398" s="496"/>
      <c r="Q398" s="496"/>
      <c r="R398" s="496"/>
      <c r="S398" s="496"/>
      <c r="T398" s="496"/>
      <c r="U398" s="496"/>
      <c r="V398" s="496"/>
      <c r="W398" s="496"/>
      <c r="X398" s="496"/>
      <c r="Y398" s="496"/>
    </row>
    <row r="399" spans="1:25" ht="15.5">
      <c r="C399"/>
      <c r="D399"/>
      <c r="E399" s="101"/>
      <c r="F399" s="101"/>
      <c r="G399" s="101"/>
      <c r="H399" s="101"/>
      <c r="I399" s="101"/>
      <c r="J399" s="101"/>
      <c r="K399" s="101"/>
    </row>
    <row r="400" spans="1:25">
      <c r="C400" s="1047" t="s">
        <v>34</v>
      </c>
      <c r="D400" s="1048" t="s">
        <v>34</v>
      </c>
      <c r="E400" s="101"/>
      <c r="F400" s="101"/>
      <c r="G400" s="101"/>
      <c r="H400" s="101"/>
      <c r="I400" s="101"/>
      <c r="J400" s="101"/>
      <c r="K400" s="101"/>
    </row>
    <row r="401" spans="3:42">
      <c r="C401" s="1047" t="s">
        <v>134</v>
      </c>
      <c r="D401" s="1048" t="s">
        <v>1476</v>
      </c>
      <c r="F401" s="101"/>
      <c r="G401" s="101"/>
      <c r="H401" s="101"/>
      <c r="I401" s="101"/>
      <c r="J401" s="101"/>
      <c r="K401" s="101"/>
    </row>
    <row r="402" spans="3:42">
      <c r="C402" s="1047" t="s">
        <v>21</v>
      </c>
      <c r="D402" s="1048" t="s">
        <v>37</v>
      </c>
      <c r="F402" s="101"/>
      <c r="G402" s="101"/>
      <c r="H402" s="101"/>
      <c r="I402" s="101"/>
      <c r="J402" s="101"/>
      <c r="K402" s="101"/>
    </row>
    <row r="403" spans="3:42">
      <c r="F403" s="101"/>
      <c r="G403" s="101"/>
      <c r="H403" s="101"/>
      <c r="I403" s="101"/>
      <c r="J403" s="101"/>
      <c r="K403" s="101"/>
    </row>
    <row r="404" spans="3:42" ht="15.5">
      <c r="C404" s="1048"/>
      <c r="D404" s="1047" t="s">
        <v>1477</v>
      </c>
      <c r="E404" s="1048"/>
      <c r="F404" s="1048"/>
      <c r="G404"/>
      <c r="H404" s="101"/>
      <c r="I404" s="101"/>
      <c r="J404" s="101"/>
      <c r="K404" s="101"/>
    </row>
    <row r="405" spans="3:42" ht="15.5">
      <c r="C405" s="1047" t="s">
        <v>1478</v>
      </c>
      <c r="D405" s="1048" t="s">
        <v>2763</v>
      </c>
      <c r="E405" s="1048" t="s">
        <v>2764</v>
      </c>
      <c r="F405" s="1048" t="s">
        <v>2765</v>
      </c>
      <c r="G405"/>
      <c r="H405" s="498"/>
      <c r="I405" s="498"/>
      <c r="J405" s="498"/>
      <c r="K405" s="498"/>
      <c r="L405" s="377"/>
      <c r="M405" s="377"/>
      <c r="N405" s="377"/>
      <c r="O405" s="377"/>
      <c r="P405" s="377"/>
      <c r="Q405" s="377"/>
      <c r="R405" s="377"/>
      <c r="S405" s="377"/>
      <c r="T405" s="377"/>
      <c r="U405" s="377"/>
      <c r="V405" s="377"/>
      <c r="W405" s="377"/>
      <c r="X405" s="377"/>
      <c r="Y405" s="377"/>
      <c r="Z405" s="377"/>
      <c r="AA405" s="377"/>
      <c r="AB405" s="377"/>
      <c r="AC405" s="377"/>
      <c r="AD405" s="377"/>
      <c r="AE405" s="377"/>
      <c r="AF405" s="377"/>
      <c r="AG405" s="377"/>
      <c r="AH405" s="377"/>
      <c r="AI405" s="377"/>
      <c r="AJ405" s="377"/>
      <c r="AK405" s="377"/>
      <c r="AL405" s="377"/>
      <c r="AM405" s="377"/>
      <c r="AN405" s="377"/>
      <c r="AO405" s="377"/>
      <c r="AP405" s="377"/>
    </row>
    <row r="406" spans="3:42" ht="15.5">
      <c r="C406" s="1050" t="s">
        <v>2230</v>
      </c>
      <c r="D406" s="1053">
        <v>0.91302402761184143</v>
      </c>
      <c r="E406" s="1053">
        <v>0.80333333333333357</v>
      </c>
      <c r="F406" s="1053">
        <v>0.83241379310344832</v>
      </c>
      <c r="G406"/>
      <c r="H406" s="771">
        <f>AVERAGE(D406:G406)</f>
        <v>0.8495903846828744</v>
      </c>
      <c r="I406" s="101"/>
      <c r="J406" s="101"/>
      <c r="K406" s="101"/>
    </row>
    <row r="407" spans="3:42" ht="15.5">
      <c r="C407" s="1050" t="s">
        <v>2231</v>
      </c>
      <c r="D407" s="1053">
        <v>0.89170506912442404</v>
      </c>
      <c r="E407" s="1053">
        <v>0.8036585365853659</v>
      </c>
      <c r="F407" s="1053">
        <v>0.80821428571428577</v>
      </c>
      <c r="G407"/>
      <c r="H407" s="771">
        <f>AVERAGE(D407:G407)</f>
        <v>0.83452596380802524</v>
      </c>
      <c r="I407" s="101"/>
      <c r="J407" s="101"/>
      <c r="K407" s="101"/>
    </row>
    <row r="408" spans="3:42" ht="15.5">
      <c r="C408" s="1050" t="s">
        <v>2232</v>
      </c>
      <c r="D408" s="1053">
        <v>0.73531249999999981</v>
      </c>
      <c r="E408" s="1053">
        <v>0.33873239436619729</v>
      </c>
      <c r="F408" s="1053">
        <v>0.81264705882352939</v>
      </c>
      <c r="G408"/>
      <c r="H408" s="771">
        <f>AVERAGE(D408:G408)</f>
        <v>0.62889731772990887</v>
      </c>
      <c r="I408" s="101"/>
      <c r="J408" s="101"/>
      <c r="K408" s="101"/>
    </row>
    <row r="409" spans="3:42" ht="15.5">
      <c r="C409" s="1050" t="s">
        <v>2254</v>
      </c>
      <c r="D409" s="1053">
        <v>0.23460921737679713</v>
      </c>
      <c r="E409" s="1053">
        <v>8.9258899888097043E-2</v>
      </c>
      <c r="F409" s="1053">
        <v>9.2514516630750374E-2</v>
      </c>
      <c r="G409"/>
      <c r="H409" s="771">
        <f>AVERAGE(E409:G409)</f>
        <v>9.0886708259423715E-2</v>
      </c>
      <c r="I409" s="101"/>
      <c r="J409" s="101"/>
      <c r="K409" s="101"/>
    </row>
    <row r="410" spans="3:42">
      <c r="C410" s="101"/>
      <c r="D410" s="101"/>
      <c r="E410" s="101"/>
      <c r="F410" s="101"/>
      <c r="G410" s="101"/>
      <c r="H410" s="101"/>
      <c r="I410" s="101"/>
      <c r="J410" s="101"/>
      <c r="K410" s="101"/>
    </row>
    <row r="411" spans="3:42">
      <c r="C411" s="101"/>
      <c r="D411" s="101"/>
      <c r="E411" s="101"/>
      <c r="F411" s="101"/>
      <c r="G411" s="101"/>
      <c r="H411" s="101"/>
      <c r="I411" s="101"/>
      <c r="J411" s="101"/>
      <c r="K411" s="101"/>
    </row>
    <row r="412" spans="3:42">
      <c r="C412" s="101"/>
      <c r="D412" s="101"/>
      <c r="E412" s="101"/>
      <c r="F412" s="101"/>
      <c r="G412" s="101"/>
      <c r="H412" s="101"/>
      <c r="I412" s="101"/>
      <c r="J412" s="101"/>
      <c r="K412" s="101"/>
    </row>
    <row r="413" spans="3:42">
      <c r="C413" s="101"/>
      <c r="D413" s="101"/>
      <c r="E413" s="101"/>
      <c r="F413" s="101"/>
      <c r="G413" s="101"/>
      <c r="H413" s="101"/>
      <c r="I413" s="101"/>
      <c r="J413" s="101"/>
      <c r="K413" s="101"/>
    </row>
    <row r="414" spans="3:42">
      <c r="C414" s="951"/>
      <c r="D414" s="951"/>
      <c r="E414" s="101"/>
      <c r="F414" s="101"/>
      <c r="G414" s="101"/>
      <c r="H414" s="101"/>
      <c r="I414" s="101"/>
      <c r="J414" s="101"/>
      <c r="K414" s="101"/>
    </row>
    <row r="415" spans="3:42">
      <c r="C415" s="1047" t="s">
        <v>34</v>
      </c>
      <c r="D415" s="1048" t="s">
        <v>34</v>
      </c>
      <c r="E415" s="101"/>
      <c r="F415" s="101"/>
      <c r="G415" s="101"/>
      <c r="H415" s="101"/>
      <c r="I415" s="101"/>
      <c r="J415" s="101"/>
      <c r="K415" s="101"/>
    </row>
    <row r="416" spans="3:42">
      <c r="C416" s="1047" t="s">
        <v>134</v>
      </c>
      <c r="D416" s="1048" t="s">
        <v>1476</v>
      </c>
      <c r="F416" s="101"/>
      <c r="G416" s="101"/>
      <c r="H416" s="101"/>
      <c r="I416" s="101"/>
      <c r="J416" s="101"/>
      <c r="K416" s="101"/>
    </row>
    <row r="417" spans="3:11">
      <c r="C417" s="1047" t="s">
        <v>21</v>
      </c>
      <c r="D417" s="1048" t="s">
        <v>515</v>
      </c>
      <c r="F417" s="101"/>
      <c r="G417" s="101"/>
      <c r="H417" s="101"/>
      <c r="I417" s="101"/>
      <c r="J417" s="101"/>
      <c r="K417" s="101"/>
    </row>
    <row r="418" spans="3:11">
      <c r="F418" s="101"/>
      <c r="G418" s="101"/>
      <c r="H418" s="101"/>
      <c r="I418" s="101"/>
      <c r="J418" s="101"/>
      <c r="K418" s="101"/>
    </row>
    <row r="419" spans="3:11">
      <c r="C419" s="1048"/>
      <c r="D419" s="1047" t="s">
        <v>1477</v>
      </c>
      <c r="E419" s="1048"/>
      <c r="F419" s="1048"/>
      <c r="G419" s="101"/>
      <c r="H419" s="498"/>
      <c r="I419" s="498"/>
      <c r="J419" s="498"/>
      <c r="K419" s="498"/>
    </row>
    <row r="420" spans="3:11">
      <c r="C420" s="1047" t="s">
        <v>1478</v>
      </c>
      <c r="D420" s="1048" t="s">
        <v>2763</v>
      </c>
      <c r="E420" s="1048" t="s">
        <v>2764</v>
      </c>
      <c r="F420" s="1048" t="s">
        <v>2765</v>
      </c>
      <c r="G420" s="101"/>
      <c r="H420" s="101"/>
      <c r="I420" s="101"/>
      <c r="J420" s="101"/>
      <c r="K420" s="101"/>
    </row>
    <row r="421" spans="3:11">
      <c r="C421" s="1050" t="s">
        <v>2230</v>
      </c>
      <c r="D421" s="1053"/>
      <c r="E421" s="1053"/>
      <c r="F421" s="1053"/>
      <c r="G421" s="101"/>
      <c r="H421" s="101"/>
      <c r="I421" s="101"/>
      <c r="J421" s="101"/>
      <c r="K421" s="101"/>
    </row>
    <row r="422" spans="3:11">
      <c r="C422" s="1050" t="s">
        <v>2231</v>
      </c>
      <c r="D422" s="1053"/>
      <c r="E422" s="1053"/>
      <c r="F422" s="1053"/>
      <c r="G422" s="101"/>
      <c r="H422" s="101"/>
      <c r="I422" s="101"/>
      <c r="J422" s="101"/>
      <c r="K422" s="101"/>
    </row>
    <row r="423" spans="3:11">
      <c r="C423" s="1050" t="s">
        <v>2232</v>
      </c>
      <c r="D423" s="1053"/>
      <c r="E423" s="1053"/>
      <c r="F423" s="1053"/>
      <c r="G423" s="101"/>
      <c r="H423" s="101"/>
      <c r="I423" s="101"/>
      <c r="J423" s="101"/>
      <c r="K423" s="101"/>
    </row>
    <row r="424" spans="3:11">
      <c r="C424" s="1050" t="s">
        <v>2254</v>
      </c>
      <c r="D424" s="1053" t="e">
        <v>#DIV/0!</v>
      </c>
      <c r="E424" s="1053" t="e">
        <v>#DIV/0!</v>
      </c>
      <c r="F424" s="1053" t="e">
        <v>#DIV/0!</v>
      </c>
      <c r="G424" s="101"/>
      <c r="H424" s="101"/>
      <c r="I424" s="101"/>
      <c r="J424" s="101"/>
      <c r="K424" s="101"/>
    </row>
    <row r="425" spans="3:11">
      <c r="C425" s="101"/>
      <c r="D425" s="101"/>
      <c r="E425" s="101"/>
      <c r="F425" s="101"/>
      <c r="G425" s="101"/>
      <c r="H425" s="101"/>
      <c r="I425" s="101"/>
      <c r="J425" s="101"/>
      <c r="K425" s="101"/>
    </row>
    <row r="426" spans="3:11">
      <c r="C426" s="101"/>
      <c r="D426" s="101"/>
      <c r="E426" s="101"/>
      <c r="F426" s="101"/>
      <c r="G426" s="101"/>
      <c r="H426" s="101"/>
      <c r="I426" s="101"/>
      <c r="J426" s="101"/>
      <c r="K426" s="101"/>
    </row>
    <row r="427" spans="3:11">
      <c r="C427" s="101"/>
      <c r="D427" s="101"/>
      <c r="E427" s="101"/>
      <c r="F427" s="101"/>
      <c r="G427" s="101"/>
      <c r="H427" s="101"/>
      <c r="I427" s="101"/>
      <c r="J427" s="101"/>
      <c r="K427" s="101"/>
    </row>
    <row r="428" spans="3:11" ht="15.5">
      <c r="C428"/>
      <c r="D428"/>
      <c r="E428" s="101"/>
      <c r="F428" s="101"/>
      <c r="G428" s="101"/>
      <c r="H428" s="101"/>
      <c r="I428" s="101"/>
      <c r="J428" s="101"/>
      <c r="K428" s="101"/>
    </row>
    <row r="429" spans="3:11" ht="15.5">
      <c r="C429"/>
      <c r="D429"/>
      <c r="E429" s="101"/>
      <c r="F429" s="101"/>
      <c r="G429" s="101"/>
      <c r="H429" s="101"/>
      <c r="I429" s="101"/>
      <c r="J429" s="101"/>
      <c r="K429" s="101"/>
    </row>
    <row r="430" spans="3:11">
      <c r="C430" s="1047" t="s">
        <v>34</v>
      </c>
      <c r="D430" s="1048" t="s">
        <v>34</v>
      </c>
      <c r="F430" s="101"/>
      <c r="G430" s="101"/>
      <c r="H430" s="101"/>
      <c r="I430" s="101"/>
      <c r="J430" s="101"/>
      <c r="K430" s="101"/>
    </row>
    <row r="431" spans="3:11">
      <c r="C431" s="1047" t="s">
        <v>134</v>
      </c>
      <c r="D431" s="1048" t="s">
        <v>1476</v>
      </c>
      <c r="F431" s="101"/>
      <c r="G431" s="101"/>
      <c r="H431" s="101"/>
      <c r="I431" s="101"/>
      <c r="J431" s="101"/>
      <c r="K431" s="101"/>
    </row>
    <row r="432" spans="3:11">
      <c r="F432" s="101"/>
      <c r="G432" s="101"/>
      <c r="H432" s="101"/>
      <c r="I432" s="101"/>
      <c r="J432" s="101"/>
      <c r="K432" s="101"/>
    </row>
    <row r="433" spans="3:11" ht="15.5">
      <c r="C433" s="1048"/>
      <c r="D433" s="1048"/>
      <c r="E433" s="1047" t="s">
        <v>20</v>
      </c>
      <c r="F433" s="1048"/>
      <c r="G433" s="1048"/>
      <c r="H433"/>
      <c r="I433" s="498"/>
      <c r="J433" s="498"/>
      <c r="K433" s="498"/>
    </row>
    <row r="434" spans="3:11" ht="15.5">
      <c r="C434" s="1047" t="s">
        <v>21</v>
      </c>
      <c r="D434" s="1047" t="s">
        <v>1478</v>
      </c>
      <c r="E434" s="1048" t="s">
        <v>2763</v>
      </c>
      <c r="F434" s="1048" t="s">
        <v>2764</v>
      </c>
      <c r="G434" s="1048" t="s">
        <v>2765</v>
      </c>
      <c r="H434"/>
      <c r="I434" s="101"/>
      <c r="J434" s="101"/>
      <c r="K434" s="101"/>
    </row>
    <row r="435" spans="3:11" ht="15.5">
      <c r="C435" s="1048" t="s">
        <v>37</v>
      </c>
      <c r="D435" s="1048" t="s">
        <v>2227</v>
      </c>
      <c r="E435" s="1053">
        <v>0.91302402761184143</v>
      </c>
      <c r="F435" s="1053">
        <v>0.80333333333333357</v>
      </c>
      <c r="G435" s="1053">
        <v>0.83241379310344821</v>
      </c>
      <c r="H435"/>
      <c r="I435" s="101"/>
      <c r="J435" s="101"/>
      <c r="K435" s="101"/>
    </row>
    <row r="436" spans="3:11" ht="15.5">
      <c r="C436" s="1048"/>
      <c r="D436" s="1048" t="s">
        <v>2228</v>
      </c>
      <c r="E436" s="1053">
        <v>0.89170506912442404</v>
      </c>
      <c r="F436" s="1053">
        <v>0.8036585365853659</v>
      </c>
      <c r="G436" s="1053">
        <v>0.80821428571428566</v>
      </c>
      <c r="H436"/>
      <c r="I436" s="101"/>
      <c r="J436" s="101"/>
      <c r="K436" s="101"/>
    </row>
    <row r="437" spans="3:11" ht="15.5">
      <c r="C437" s="1048"/>
      <c r="D437" s="1048" t="s">
        <v>2229</v>
      </c>
      <c r="E437" s="1053">
        <v>0.73531249999999981</v>
      </c>
      <c r="F437" s="1053">
        <v>0.33873239436619729</v>
      </c>
      <c r="G437" s="1053">
        <v>0.81264705882352939</v>
      </c>
      <c r="H437"/>
      <c r="I437" s="101"/>
      <c r="J437" s="101"/>
      <c r="K437" s="101"/>
    </row>
    <row r="438" spans="3:11" ht="15.5">
      <c r="C438" s="1048"/>
      <c r="D438" s="1048" t="s">
        <v>2253</v>
      </c>
      <c r="E438" s="1053">
        <v>0.23460921737679713</v>
      </c>
      <c r="F438" s="1053">
        <v>8.9258899888097043E-2</v>
      </c>
      <c r="G438" s="1053">
        <v>9.2514516630750346E-2</v>
      </c>
      <c r="H438"/>
      <c r="I438" s="101"/>
      <c r="J438" s="101"/>
      <c r="K438" s="101"/>
    </row>
    <row r="439" spans="3:11" ht="15.5">
      <c r="C439" s="1048" t="s">
        <v>515</v>
      </c>
      <c r="D439" s="1048" t="s">
        <v>2227</v>
      </c>
      <c r="E439" s="1053"/>
      <c r="F439" s="1053"/>
      <c r="G439" s="1053"/>
      <c r="H439"/>
      <c r="I439" s="101"/>
      <c r="J439" s="101"/>
      <c r="K439" s="101"/>
    </row>
    <row r="440" spans="3:11" ht="15.5">
      <c r="C440" s="1048"/>
      <c r="D440" s="1048" t="s">
        <v>2228</v>
      </c>
      <c r="E440" s="1053"/>
      <c r="F440" s="1053"/>
      <c r="G440" s="1053"/>
      <c r="H440"/>
      <c r="I440" s="101"/>
      <c r="J440" s="101"/>
      <c r="K440" s="101"/>
    </row>
    <row r="441" spans="3:11" ht="15.5">
      <c r="C441" s="1048"/>
      <c r="D441" s="1048" t="s">
        <v>2229</v>
      </c>
      <c r="E441" s="1053"/>
      <c r="F441" s="1053"/>
      <c r="G441" s="1053"/>
      <c r="H441"/>
      <c r="I441" s="101"/>
      <c r="J441" s="101"/>
      <c r="K441" s="101"/>
    </row>
    <row r="442" spans="3:11" ht="15.5">
      <c r="C442" s="1048"/>
      <c r="D442" s="1048" t="s">
        <v>2253</v>
      </c>
      <c r="E442" s="1053" t="e">
        <v>#DIV/0!</v>
      </c>
      <c r="F442" s="1053" t="e">
        <v>#DIV/0!</v>
      </c>
      <c r="G442" s="1053" t="e">
        <v>#DIV/0!</v>
      </c>
      <c r="H442"/>
      <c r="I442" s="101"/>
      <c r="J442" s="101"/>
      <c r="K442" s="101"/>
    </row>
    <row r="443" spans="3:11" ht="15.5">
      <c r="C443"/>
      <c r="D443"/>
      <c r="E443"/>
      <c r="F443"/>
      <c r="G443"/>
      <c r="H443"/>
      <c r="I443" s="101"/>
      <c r="J443" s="101"/>
      <c r="K443" s="101"/>
    </row>
    <row r="444" spans="3:11" ht="15.5">
      <c r="C444"/>
      <c r="D444"/>
      <c r="E444"/>
      <c r="F444"/>
      <c r="G444"/>
      <c r="H444"/>
      <c r="I444" s="101"/>
      <c r="J444" s="101"/>
      <c r="K444" s="101"/>
    </row>
    <row r="445" spans="3:11" ht="15.5">
      <c r="C445"/>
      <c r="D445"/>
      <c r="E445"/>
      <c r="F445"/>
      <c r="G445"/>
      <c r="H445"/>
      <c r="I445" s="101"/>
      <c r="J445" s="101"/>
      <c r="K445" s="101"/>
    </row>
    <row r="446" spans="3:11" ht="15.5">
      <c r="C446"/>
      <c r="D446"/>
      <c r="E446"/>
      <c r="F446"/>
      <c r="G446"/>
      <c r="H446"/>
      <c r="I446" s="101"/>
      <c r="J446" s="101"/>
      <c r="K446" s="101"/>
    </row>
    <row r="447" spans="3:11" ht="15.5">
      <c r="C447"/>
      <c r="D447"/>
      <c r="E447"/>
      <c r="F447"/>
      <c r="G447"/>
      <c r="H447" s="101"/>
      <c r="I447" s="101"/>
      <c r="J447" s="101"/>
      <c r="K447" s="101"/>
    </row>
    <row r="448" spans="3:11" ht="15.5">
      <c r="C448"/>
      <c r="D448"/>
      <c r="E448"/>
      <c r="F448"/>
      <c r="G448"/>
      <c r="H448" s="101"/>
      <c r="I448" s="101"/>
      <c r="J448" s="101"/>
      <c r="K448" s="101"/>
    </row>
    <row r="449" spans="3:11" ht="15.5">
      <c r="C449"/>
      <c r="D449"/>
      <c r="E449"/>
      <c r="F449"/>
      <c r="G449"/>
      <c r="H449" s="101"/>
      <c r="I449" s="101"/>
      <c r="J449" s="101"/>
      <c r="K449" s="101"/>
    </row>
    <row r="450" spans="3:11">
      <c r="C450" s="101"/>
      <c r="D450" s="101"/>
      <c r="E450" s="101"/>
      <c r="F450" s="101"/>
      <c r="G450" s="101"/>
      <c r="H450" s="101"/>
      <c r="I450" s="101"/>
      <c r="J450" s="101"/>
      <c r="K450" s="101"/>
    </row>
    <row r="451" spans="3:11">
      <c r="C451" s="101"/>
      <c r="D451" s="101"/>
      <c r="E451" s="101"/>
      <c r="F451" s="101"/>
      <c r="G451" s="101"/>
      <c r="H451" s="101"/>
      <c r="I451" s="101"/>
      <c r="J451" s="101"/>
      <c r="K451" s="101"/>
    </row>
    <row r="452" spans="3:11">
      <c r="C452" s="101"/>
      <c r="D452" s="101"/>
      <c r="E452" s="101"/>
      <c r="F452" s="101"/>
      <c r="G452" s="101"/>
      <c r="H452" s="101"/>
      <c r="I452" s="101"/>
      <c r="J452" s="101"/>
      <c r="K452" s="101"/>
    </row>
    <row r="453" spans="3:11">
      <c r="C453" s="101"/>
      <c r="D453" s="101"/>
      <c r="E453" s="101"/>
      <c r="F453" s="101"/>
      <c r="G453" s="101"/>
      <c r="H453" s="101"/>
      <c r="I453" s="101"/>
      <c r="J453" s="101"/>
      <c r="K453" s="101"/>
    </row>
    <row r="454" spans="3:11">
      <c r="C454" s="101"/>
      <c r="D454" s="101"/>
      <c r="E454" s="101"/>
      <c r="F454" s="101"/>
      <c r="G454" s="101"/>
      <c r="H454" s="101"/>
      <c r="I454" s="101"/>
      <c r="J454" s="101"/>
      <c r="K454" s="101"/>
    </row>
    <row r="455" spans="3:11">
      <c r="C455" s="101"/>
      <c r="D455" s="101"/>
      <c r="E455" s="101"/>
      <c r="F455" s="101"/>
      <c r="G455" s="101"/>
      <c r="H455" s="101"/>
      <c r="I455" s="101"/>
      <c r="J455" s="101"/>
      <c r="K455" s="101"/>
    </row>
    <row r="456" spans="3:11">
      <c r="C456" s="101"/>
      <c r="D456" s="101"/>
      <c r="E456" s="101"/>
      <c r="F456" s="101"/>
      <c r="G456" s="101"/>
      <c r="H456" s="101"/>
      <c r="I456" s="101"/>
      <c r="J456" s="101"/>
      <c r="K456" s="101"/>
    </row>
    <row r="457" spans="3:11">
      <c r="C457" s="101"/>
      <c r="D457" s="101"/>
      <c r="E457" s="101"/>
      <c r="F457" s="101"/>
      <c r="G457" s="101"/>
      <c r="H457" s="101"/>
      <c r="I457" s="101"/>
      <c r="J457" s="101"/>
      <c r="K457" s="101"/>
    </row>
    <row r="458" spans="3:11">
      <c r="C458" s="101"/>
      <c r="D458" s="101"/>
      <c r="E458" s="101"/>
      <c r="F458" s="101"/>
      <c r="G458" s="101"/>
      <c r="H458" s="101"/>
      <c r="I458" s="101"/>
      <c r="J458" s="101"/>
      <c r="K458" s="101"/>
    </row>
    <row r="459" spans="3:11">
      <c r="C459" s="101"/>
      <c r="D459" s="101"/>
      <c r="E459" s="101"/>
      <c r="F459" s="101"/>
      <c r="G459" s="101"/>
      <c r="H459" s="101"/>
      <c r="I459" s="101"/>
      <c r="J459" s="101"/>
      <c r="K459" s="101"/>
    </row>
    <row r="460" spans="3:11">
      <c r="C460" s="101"/>
      <c r="D460" s="101"/>
      <c r="E460" s="101"/>
      <c r="F460" s="101"/>
      <c r="G460" s="101"/>
      <c r="H460" s="101"/>
      <c r="I460" s="101"/>
      <c r="J460" s="101"/>
      <c r="K460" s="101"/>
    </row>
    <row r="461" spans="3:11">
      <c r="C461" s="101"/>
      <c r="D461" s="101"/>
      <c r="E461" s="101"/>
      <c r="F461" s="101"/>
      <c r="G461" s="101"/>
      <c r="H461" s="101"/>
      <c r="I461" s="101"/>
      <c r="J461" s="101"/>
      <c r="K461" s="101"/>
    </row>
    <row r="462" spans="3:11">
      <c r="C462" s="101"/>
      <c r="D462" s="101"/>
      <c r="E462" s="101"/>
      <c r="F462" s="101"/>
      <c r="G462" s="101"/>
      <c r="H462" s="101"/>
      <c r="I462" s="101"/>
      <c r="J462" s="101"/>
      <c r="K462" s="101"/>
    </row>
    <row r="463" spans="3:11">
      <c r="C463" s="101"/>
      <c r="D463" s="101"/>
      <c r="E463" s="101"/>
      <c r="F463" s="101"/>
      <c r="G463" s="101"/>
      <c r="H463" s="101"/>
      <c r="I463" s="101"/>
      <c r="J463" s="101"/>
      <c r="K463" s="101"/>
    </row>
    <row r="464" spans="3:11">
      <c r="C464" s="101"/>
      <c r="D464" s="101"/>
      <c r="E464" s="101"/>
      <c r="F464" s="101"/>
      <c r="G464" s="101"/>
      <c r="H464" s="101"/>
      <c r="I464" s="101"/>
      <c r="J464" s="101"/>
      <c r="K464" s="101"/>
    </row>
    <row r="465" spans="3:11">
      <c r="C465" s="101"/>
      <c r="D465" s="101"/>
      <c r="E465" s="101"/>
      <c r="F465" s="101"/>
      <c r="G465" s="101"/>
      <c r="H465" s="101"/>
      <c r="I465" s="101"/>
      <c r="J465" s="101"/>
      <c r="K465" s="101"/>
    </row>
    <row r="466" spans="3:11">
      <c r="C466" s="101"/>
      <c r="D466" s="101"/>
      <c r="E466" s="101"/>
      <c r="F466" s="101"/>
      <c r="G466" s="101"/>
      <c r="H466" s="101"/>
      <c r="I466" s="101"/>
      <c r="J466" s="101"/>
      <c r="K466" s="101"/>
    </row>
    <row r="467" spans="3:11">
      <c r="C467" s="101"/>
      <c r="D467" s="101"/>
      <c r="E467" s="101"/>
      <c r="F467" s="101"/>
      <c r="G467" s="101"/>
      <c r="H467" s="101"/>
      <c r="I467" s="101"/>
      <c r="J467" s="101"/>
      <c r="K467" s="101"/>
    </row>
    <row r="468" spans="3:11">
      <c r="C468" s="101"/>
      <c r="D468" s="101"/>
      <c r="E468" s="101"/>
      <c r="F468" s="101"/>
      <c r="G468" s="101"/>
      <c r="H468" s="101"/>
      <c r="I468" s="101"/>
      <c r="J468" s="101"/>
      <c r="K468" s="101"/>
    </row>
    <row r="469" spans="3:11">
      <c r="C469" s="101"/>
      <c r="D469" s="101"/>
      <c r="E469" s="101"/>
      <c r="F469" s="101"/>
      <c r="G469" s="101"/>
      <c r="H469" s="101"/>
      <c r="I469" s="101"/>
      <c r="J469" s="101"/>
      <c r="K469" s="101"/>
    </row>
    <row r="470" spans="3:11">
      <c r="C470" s="101"/>
      <c r="D470" s="101"/>
      <c r="E470" s="101"/>
      <c r="F470" s="101"/>
      <c r="G470" s="101"/>
      <c r="H470" s="101"/>
      <c r="I470" s="101"/>
      <c r="J470" s="101"/>
      <c r="K470" s="101"/>
    </row>
    <row r="471" spans="3:11">
      <c r="C471" s="101"/>
      <c r="D471" s="101"/>
      <c r="E471" s="101"/>
      <c r="F471" s="101"/>
      <c r="G471" s="101"/>
      <c r="H471" s="101"/>
      <c r="I471" s="101"/>
      <c r="J471" s="101"/>
      <c r="K471" s="101"/>
    </row>
    <row r="472" spans="3:11">
      <c r="C472" s="101"/>
      <c r="D472" s="101"/>
      <c r="E472" s="101"/>
      <c r="F472" s="101"/>
      <c r="G472" s="101"/>
      <c r="H472" s="101"/>
      <c r="I472" s="101"/>
      <c r="J472" s="101"/>
      <c r="K472" s="101"/>
    </row>
    <row r="473" spans="3:11">
      <c r="C473" s="101"/>
      <c r="D473" s="101"/>
      <c r="E473" s="101"/>
      <c r="F473" s="101"/>
      <c r="G473" s="101"/>
      <c r="H473" s="101"/>
      <c r="I473" s="101"/>
      <c r="J473" s="101"/>
      <c r="K473" s="101"/>
    </row>
    <row r="474" spans="3:11">
      <c r="C474" s="101"/>
      <c r="D474" s="101"/>
      <c r="E474" s="101"/>
      <c r="F474" s="101"/>
      <c r="G474" s="101"/>
      <c r="H474" s="101"/>
      <c r="I474" s="101"/>
      <c r="J474" s="101"/>
      <c r="K474" s="101"/>
    </row>
    <row r="475" spans="3:11">
      <c r="C475" s="101"/>
      <c r="D475" s="101"/>
      <c r="E475" s="101"/>
      <c r="F475" s="101"/>
      <c r="G475" s="101"/>
      <c r="H475" s="101"/>
      <c r="I475" s="101"/>
      <c r="J475" s="101"/>
      <c r="K475" s="101"/>
    </row>
    <row r="476" spans="3:11">
      <c r="C476" s="101"/>
      <c r="D476" s="101"/>
      <c r="E476" s="101"/>
      <c r="F476" s="101"/>
      <c r="G476" s="101"/>
      <c r="H476" s="101"/>
      <c r="I476" s="101"/>
      <c r="J476" s="101"/>
      <c r="K476" s="101"/>
    </row>
    <row r="477" spans="3:11">
      <c r="C477" s="101"/>
      <c r="D477" s="101"/>
      <c r="E477" s="101"/>
      <c r="F477" s="101"/>
      <c r="G477" s="101"/>
      <c r="H477" s="101"/>
      <c r="I477" s="101"/>
      <c r="J477" s="101"/>
      <c r="K477" s="101"/>
    </row>
    <row r="478" spans="3:11">
      <c r="C478" s="101"/>
      <c r="D478" s="101"/>
      <c r="E478" s="101"/>
      <c r="F478" s="101"/>
      <c r="G478" s="101"/>
      <c r="H478" s="101"/>
      <c r="I478" s="101"/>
      <c r="J478" s="101"/>
      <c r="K478" s="101"/>
    </row>
    <row r="479" spans="3:11">
      <c r="C479" s="101"/>
      <c r="D479" s="101"/>
      <c r="E479" s="101"/>
      <c r="F479" s="101"/>
      <c r="G479" s="101"/>
      <c r="H479" s="101"/>
      <c r="I479" s="101"/>
      <c r="J479" s="101"/>
      <c r="K479" s="101"/>
    </row>
    <row r="480" spans="3:11">
      <c r="C480" s="101"/>
      <c r="D480" s="101"/>
      <c r="E480" s="101"/>
      <c r="F480" s="101"/>
      <c r="G480" s="101"/>
      <c r="H480" s="101"/>
      <c r="I480" s="101"/>
      <c r="J480" s="101"/>
      <c r="K480" s="101"/>
    </row>
    <row r="481" spans="3:11">
      <c r="C481" s="101"/>
      <c r="D481" s="101"/>
      <c r="E481" s="101"/>
      <c r="F481" s="101"/>
      <c r="G481" s="101"/>
      <c r="H481" s="101"/>
      <c r="I481" s="101"/>
      <c r="J481" s="101"/>
      <c r="K481" s="101"/>
    </row>
    <row r="482" spans="3:11">
      <c r="C482" s="101"/>
      <c r="D482" s="101"/>
      <c r="E482" s="101"/>
      <c r="F482" s="101"/>
      <c r="G482" s="101"/>
      <c r="H482" s="101"/>
      <c r="I482" s="101"/>
      <c r="J482" s="101"/>
      <c r="K482" s="101"/>
    </row>
    <row r="483" spans="3:11">
      <c r="C483" s="101"/>
      <c r="D483" s="101"/>
      <c r="E483" s="101"/>
      <c r="F483" s="101"/>
      <c r="G483" s="101"/>
      <c r="H483" s="101"/>
      <c r="I483" s="101"/>
      <c r="J483" s="101"/>
      <c r="K483" s="101"/>
    </row>
    <row r="484" spans="3:11">
      <c r="C484" s="101"/>
      <c r="D484" s="101"/>
      <c r="E484" s="101"/>
      <c r="F484" s="101"/>
      <c r="G484" s="101"/>
      <c r="H484" s="101"/>
      <c r="I484" s="101"/>
      <c r="J484" s="101"/>
      <c r="K484" s="101"/>
    </row>
    <row r="485" spans="3:11">
      <c r="C485" s="101"/>
      <c r="D485" s="101"/>
      <c r="E485" s="101"/>
      <c r="F485" s="101"/>
      <c r="G485" s="101"/>
      <c r="H485" s="101"/>
      <c r="I485" s="101"/>
      <c r="J485" s="101"/>
      <c r="K485" s="101"/>
    </row>
    <row r="486" spans="3:11">
      <c r="C486" s="101"/>
      <c r="D486" s="101"/>
      <c r="E486" s="101"/>
      <c r="F486" s="101"/>
      <c r="G486" s="101"/>
      <c r="H486" s="101"/>
      <c r="I486" s="101"/>
      <c r="J486" s="101"/>
      <c r="K486" s="101"/>
    </row>
    <row r="487" spans="3:11">
      <c r="C487" s="101"/>
      <c r="D487" s="101"/>
      <c r="E487" s="101"/>
      <c r="F487" s="101"/>
      <c r="G487" s="101"/>
      <c r="H487" s="101"/>
      <c r="I487" s="101"/>
      <c r="J487" s="101"/>
      <c r="K487" s="101"/>
    </row>
    <row r="488" spans="3:11">
      <c r="C488" s="101"/>
      <c r="D488" s="101"/>
      <c r="E488" s="101"/>
      <c r="F488" s="101"/>
      <c r="G488" s="101"/>
      <c r="H488" s="101"/>
      <c r="I488" s="101"/>
      <c r="J488" s="101"/>
      <c r="K488" s="101"/>
    </row>
    <row r="489" spans="3:11">
      <c r="C489" s="101"/>
      <c r="D489" s="101"/>
      <c r="E489" s="101"/>
      <c r="F489" s="101"/>
      <c r="G489" s="101"/>
      <c r="H489" s="101"/>
      <c r="I489" s="101"/>
      <c r="J489" s="101"/>
      <c r="K489" s="101"/>
    </row>
    <row r="490" spans="3:11">
      <c r="C490" s="101"/>
      <c r="D490" s="101"/>
      <c r="E490" s="101"/>
      <c r="F490" s="101"/>
      <c r="G490" s="101"/>
      <c r="H490" s="101"/>
      <c r="I490" s="101"/>
      <c r="J490" s="101"/>
      <c r="K490" s="101"/>
    </row>
    <row r="491" spans="3:11">
      <c r="C491" s="101"/>
      <c r="D491" s="101"/>
      <c r="E491" s="101"/>
      <c r="F491" s="101"/>
      <c r="G491" s="101"/>
      <c r="H491" s="101"/>
      <c r="I491" s="101"/>
      <c r="J491" s="101"/>
      <c r="K491" s="101"/>
    </row>
    <row r="492" spans="3:11">
      <c r="C492" s="101"/>
      <c r="D492" s="101"/>
      <c r="E492" s="101"/>
      <c r="F492" s="101"/>
      <c r="G492" s="101"/>
      <c r="H492" s="101"/>
      <c r="I492" s="101"/>
      <c r="J492" s="101"/>
      <c r="K492" s="101"/>
    </row>
    <row r="493" spans="3:11">
      <c r="C493" s="101"/>
      <c r="D493" s="101"/>
      <c r="E493" s="101"/>
      <c r="F493" s="101"/>
      <c r="G493" s="101"/>
      <c r="H493" s="101"/>
      <c r="I493" s="101"/>
      <c r="J493" s="101"/>
      <c r="K493" s="101"/>
    </row>
    <row r="494" spans="3:11">
      <c r="C494" s="101"/>
      <c r="D494" s="101"/>
      <c r="E494" s="101"/>
      <c r="F494" s="101"/>
      <c r="G494" s="101"/>
      <c r="H494" s="101"/>
      <c r="I494" s="101"/>
      <c r="J494" s="101"/>
      <c r="K494" s="101"/>
    </row>
    <row r="495" spans="3:11">
      <c r="C495" s="101"/>
      <c r="D495" s="101"/>
      <c r="E495" s="101"/>
      <c r="F495" s="101"/>
      <c r="G495" s="101"/>
      <c r="H495" s="101"/>
      <c r="I495" s="101"/>
      <c r="J495" s="101"/>
      <c r="K495" s="101"/>
    </row>
    <row r="496" spans="3:11">
      <c r="C496" s="101"/>
      <c r="D496" s="101"/>
      <c r="E496" s="101"/>
      <c r="F496" s="101"/>
      <c r="G496" s="101"/>
      <c r="H496" s="101"/>
      <c r="I496" s="101"/>
      <c r="J496" s="101"/>
      <c r="K496" s="101"/>
    </row>
    <row r="497" spans="3:11">
      <c r="C497" s="101"/>
      <c r="D497" s="101"/>
      <c r="E497" s="101"/>
      <c r="F497" s="101"/>
      <c r="G497" s="101"/>
      <c r="H497" s="101"/>
      <c r="I497" s="101"/>
      <c r="J497" s="101"/>
      <c r="K497" s="101"/>
    </row>
    <row r="498" spans="3:11">
      <c r="C498" s="101"/>
      <c r="D498" s="101"/>
      <c r="E498" s="101"/>
      <c r="F498" s="101"/>
      <c r="G498" s="101"/>
      <c r="H498" s="101"/>
      <c r="I498" s="101"/>
      <c r="J498" s="101"/>
      <c r="K498" s="101"/>
    </row>
    <row r="499" spans="3:11">
      <c r="C499" s="101"/>
      <c r="D499" s="101"/>
      <c r="E499" s="101"/>
      <c r="F499" s="101"/>
      <c r="G499" s="101"/>
      <c r="H499" s="101"/>
      <c r="I499" s="101"/>
      <c r="J499" s="101"/>
      <c r="K499" s="101"/>
    </row>
    <row r="500" spans="3:11">
      <c r="C500" s="101"/>
      <c r="D500" s="101"/>
      <c r="E500" s="101"/>
      <c r="F500" s="101"/>
      <c r="G500" s="101"/>
      <c r="H500" s="101"/>
      <c r="I500" s="101"/>
      <c r="J500" s="101"/>
      <c r="K500" s="101"/>
    </row>
    <row r="501" spans="3:11">
      <c r="C501" s="101"/>
      <c r="D501" s="101"/>
      <c r="E501" s="101"/>
      <c r="F501" s="101"/>
      <c r="G501" s="101"/>
      <c r="H501" s="101"/>
      <c r="I501" s="101"/>
      <c r="J501" s="101"/>
      <c r="K501" s="101"/>
    </row>
    <row r="502" spans="3:11">
      <c r="C502" s="101"/>
      <c r="D502" s="101"/>
      <c r="E502" s="101"/>
      <c r="F502" s="101"/>
      <c r="G502" s="101"/>
      <c r="H502" s="101"/>
      <c r="I502" s="101"/>
      <c r="J502" s="101"/>
      <c r="K502" s="101"/>
    </row>
    <row r="503" spans="3:11">
      <c r="C503" s="101"/>
      <c r="D503" s="101"/>
      <c r="E503" s="101"/>
      <c r="F503" s="101"/>
      <c r="G503" s="101"/>
      <c r="H503" s="101"/>
      <c r="I503" s="101"/>
      <c r="J503" s="101"/>
      <c r="K503" s="101"/>
    </row>
    <row r="504" spans="3:11">
      <c r="C504" s="101"/>
      <c r="D504" s="101"/>
      <c r="E504" s="101"/>
      <c r="F504" s="101"/>
      <c r="G504" s="101"/>
      <c r="H504" s="101"/>
      <c r="I504" s="101"/>
      <c r="J504" s="101"/>
      <c r="K504" s="101"/>
    </row>
    <row r="505" spans="3:11">
      <c r="C505" s="101"/>
      <c r="D505" s="101"/>
      <c r="E505" s="101"/>
      <c r="F505" s="101"/>
      <c r="G505" s="101"/>
      <c r="H505" s="101"/>
      <c r="I505" s="101"/>
      <c r="J505" s="101"/>
      <c r="K505" s="101"/>
    </row>
    <row r="506" spans="3:11">
      <c r="C506" s="101"/>
      <c r="D506" s="101"/>
      <c r="E506" s="101"/>
      <c r="F506" s="101"/>
      <c r="G506" s="101"/>
      <c r="H506" s="101"/>
      <c r="I506" s="101"/>
      <c r="J506" s="101"/>
      <c r="K506" s="101"/>
    </row>
    <row r="507" spans="3:11">
      <c r="C507" s="101"/>
      <c r="D507" s="101"/>
      <c r="E507" s="101"/>
      <c r="F507" s="101"/>
      <c r="G507" s="101"/>
      <c r="H507" s="101"/>
      <c r="I507" s="101"/>
      <c r="J507" s="101"/>
      <c r="K507" s="101"/>
    </row>
    <row r="508" spans="3:11">
      <c r="C508" s="101"/>
      <c r="D508" s="101"/>
      <c r="E508" s="101"/>
      <c r="F508" s="101"/>
      <c r="G508" s="101"/>
      <c r="H508" s="101"/>
      <c r="I508" s="101"/>
      <c r="J508" s="101"/>
      <c r="K508" s="101"/>
    </row>
    <row r="509" spans="3:11">
      <c r="C509" s="101"/>
      <c r="D509" s="101"/>
      <c r="E509" s="101"/>
      <c r="F509" s="101"/>
      <c r="G509" s="101"/>
      <c r="H509" s="101"/>
      <c r="I509" s="101"/>
      <c r="J509" s="101"/>
      <c r="K509" s="101"/>
    </row>
    <row r="510" spans="3:11">
      <c r="C510" s="101"/>
      <c r="D510" s="101"/>
      <c r="E510" s="101"/>
      <c r="F510" s="101"/>
      <c r="G510" s="101"/>
      <c r="H510" s="101"/>
      <c r="I510" s="101"/>
      <c r="J510" s="101"/>
      <c r="K510" s="101"/>
    </row>
    <row r="511" spans="3:11">
      <c r="C511" s="101"/>
      <c r="D511" s="101"/>
      <c r="E511" s="101"/>
      <c r="F511" s="101"/>
      <c r="G511" s="101"/>
      <c r="H511" s="101"/>
      <c r="I511" s="101"/>
      <c r="J511" s="101"/>
      <c r="K511" s="101"/>
    </row>
    <row r="512" spans="3:11">
      <c r="C512" s="101"/>
      <c r="D512" s="101"/>
      <c r="E512" s="101"/>
      <c r="F512" s="101"/>
      <c r="G512" s="101"/>
      <c r="H512" s="101"/>
      <c r="I512" s="101"/>
      <c r="J512" s="101"/>
      <c r="K512" s="101"/>
    </row>
    <row r="513" spans="3:11">
      <c r="C513" s="101"/>
      <c r="D513" s="101"/>
      <c r="E513" s="101"/>
      <c r="F513" s="101"/>
      <c r="G513" s="101"/>
      <c r="H513" s="101"/>
      <c r="I513" s="101"/>
      <c r="J513" s="101"/>
      <c r="K513" s="101"/>
    </row>
    <row r="514" spans="3:11">
      <c r="C514" s="101"/>
      <c r="D514" s="101"/>
      <c r="E514" s="101"/>
      <c r="F514" s="101"/>
      <c r="G514" s="101"/>
      <c r="H514" s="101"/>
      <c r="I514" s="101"/>
      <c r="J514" s="101"/>
      <c r="K514" s="101"/>
    </row>
    <row r="515" spans="3:11">
      <c r="C515" s="101"/>
      <c r="D515" s="101"/>
      <c r="E515" s="101"/>
      <c r="F515" s="101"/>
      <c r="G515" s="101"/>
      <c r="H515" s="101"/>
      <c r="I515" s="101"/>
      <c r="J515" s="101"/>
      <c r="K515" s="101"/>
    </row>
    <row r="516" spans="3:11">
      <c r="C516" s="101"/>
      <c r="D516" s="101"/>
      <c r="E516" s="101"/>
      <c r="F516" s="101"/>
      <c r="G516" s="101"/>
      <c r="H516" s="101"/>
      <c r="I516" s="101"/>
      <c r="J516" s="101"/>
      <c r="K516" s="101"/>
    </row>
    <row r="517" spans="3:11">
      <c r="C517" s="101"/>
      <c r="D517" s="101"/>
      <c r="E517" s="101"/>
      <c r="F517" s="101"/>
      <c r="G517" s="101"/>
      <c r="H517" s="101"/>
      <c r="I517" s="101"/>
      <c r="J517" s="101"/>
      <c r="K517" s="101"/>
    </row>
    <row r="518" spans="3:11">
      <c r="C518" s="101"/>
      <c r="D518" s="101"/>
      <c r="E518" s="101"/>
      <c r="F518" s="101"/>
      <c r="G518" s="101"/>
      <c r="H518" s="101"/>
      <c r="I518" s="101"/>
      <c r="J518" s="101"/>
      <c r="K518" s="101"/>
    </row>
    <row r="519" spans="3:11">
      <c r="C519" s="101"/>
      <c r="D519" s="101"/>
      <c r="E519" s="101"/>
      <c r="F519" s="101"/>
      <c r="G519" s="101"/>
      <c r="H519" s="101"/>
      <c r="I519" s="101"/>
      <c r="J519" s="101"/>
      <c r="K519" s="101"/>
    </row>
    <row r="520" spans="3:11">
      <c r="C520" s="101"/>
      <c r="D520" s="101"/>
      <c r="E520" s="101"/>
      <c r="F520" s="101"/>
      <c r="G520" s="101"/>
      <c r="H520" s="101"/>
      <c r="I520" s="101"/>
      <c r="J520" s="101"/>
      <c r="K520" s="101"/>
    </row>
    <row r="521" spans="3:11">
      <c r="C521" s="101"/>
      <c r="D521" s="101"/>
      <c r="E521" s="101"/>
      <c r="F521" s="101"/>
      <c r="G521" s="101"/>
      <c r="H521" s="101"/>
      <c r="I521" s="101"/>
      <c r="J521" s="101"/>
      <c r="K521" s="101"/>
    </row>
    <row r="522" spans="3:11">
      <c r="C522" s="101"/>
      <c r="D522" s="101"/>
      <c r="E522" s="101"/>
      <c r="F522" s="101"/>
      <c r="G522" s="101"/>
      <c r="H522" s="101"/>
      <c r="I522" s="101"/>
      <c r="J522" s="101"/>
      <c r="K522" s="101"/>
    </row>
    <row r="523" spans="3:11">
      <c r="C523" s="101"/>
      <c r="D523" s="101"/>
      <c r="E523" s="101"/>
      <c r="F523" s="101"/>
      <c r="G523" s="101"/>
      <c r="H523" s="101"/>
      <c r="I523" s="101"/>
      <c r="J523" s="101"/>
      <c r="K523" s="101"/>
    </row>
    <row r="524" spans="3:11">
      <c r="C524" s="101"/>
      <c r="D524" s="101"/>
      <c r="E524" s="101"/>
      <c r="F524" s="101"/>
      <c r="G524" s="101"/>
      <c r="H524" s="101"/>
      <c r="I524" s="101"/>
      <c r="J524" s="101"/>
      <c r="K524" s="101"/>
    </row>
    <row r="525" spans="3:11">
      <c r="C525" s="101"/>
      <c r="D525" s="101"/>
      <c r="E525" s="101"/>
      <c r="F525" s="101"/>
      <c r="G525" s="101"/>
      <c r="H525" s="101"/>
      <c r="I525" s="101"/>
      <c r="J525" s="101"/>
      <c r="K525" s="101"/>
    </row>
    <row r="526" spans="3:11">
      <c r="C526" s="101"/>
      <c r="D526" s="101"/>
      <c r="E526" s="101"/>
      <c r="F526" s="101"/>
      <c r="G526" s="101"/>
      <c r="H526" s="101"/>
      <c r="I526" s="101"/>
      <c r="J526" s="101"/>
      <c r="K526" s="101"/>
    </row>
    <row r="527" spans="3:11">
      <c r="C527" s="101"/>
      <c r="D527" s="101"/>
      <c r="E527" s="101"/>
      <c r="F527" s="101"/>
      <c r="G527" s="101"/>
      <c r="H527" s="101"/>
      <c r="I527" s="101"/>
      <c r="J527" s="101"/>
      <c r="K527" s="101"/>
    </row>
    <row r="528" spans="3:11">
      <c r="C528" s="101"/>
      <c r="D528" s="101"/>
      <c r="E528" s="101"/>
      <c r="F528" s="101"/>
      <c r="G528" s="101"/>
      <c r="H528" s="101"/>
      <c r="I528" s="101"/>
      <c r="J528" s="101"/>
      <c r="K528" s="101"/>
    </row>
    <row r="529" spans="3:11">
      <c r="C529" s="101"/>
      <c r="D529" s="101"/>
      <c r="E529" s="101"/>
      <c r="F529" s="101"/>
      <c r="G529" s="101"/>
      <c r="H529" s="101"/>
      <c r="I529" s="101"/>
      <c r="J529" s="101"/>
      <c r="K529" s="101"/>
    </row>
    <row r="530" spans="3:11">
      <c r="C530" s="101"/>
      <c r="D530" s="101"/>
      <c r="E530" s="101"/>
      <c r="F530" s="101"/>
      <c r="G530" s="101"/>
      <c r="H530" s="101"/>
      <c r="I530" s="101"/>
      <c r="J530" s="101"/>
      <c r="K530" s="101"/>
    </row>
    <row r="531" spans="3:11">
      <c r="C531" s="101"/>
      <c r="D531" s="101"/>
      <c r="E531" s="101"/>
      <c r="F531" s="101"/>
      <c r="G531" s="101"/>
      <c r="H531" s="101"/>
      <c r="I531" s="101"/>
      <c r="J531" s="101"/>
      <c r="K531" s="101"/>
    </row>
    <row r="532" spans="3:11">
      <c r="C532" s="101"/>
      <c r="D532" s="101"/>
      <c r="E532" s="101"/>
      <c r="F532" s="101"/>
      <c r="G532" s="101"/>
      <c r="H532" s="101"/>
      <c r="I532" s="101"/>
      <c r="J532" s="101"/>
      <c r="K532" s="101"/>
    </row>
    <row r="533" spans="3:11">
      <c r="C533" s="101"/>
      <c r="D533" s="101"/>
      <c r="E533" s="101"/>
      <c r="F533" s="101"/>
      <c r="G533" s="101"/>
      <c r="H533" s="101"/>
      <c r="I533" s="101"/>
      <c r="J533" s="101"/>
      <c r="K533" s="101"/>
    </row>
    <row r="534" spans="3:11">
      <c r="C534" s="101"/>
      <c r="D534" s="101"/>
      <c r="E534" s="101"/>
      <c r="F534" s="101"/>
      <c r="G534" s="101"/>
      <c r="H534" s="101"/>
      <c r="I534" s="101"/>
      <c r="J534" s="101"/>
      <c r="K534" s="101"/>
    </row>
    <row r="535" spans="3:11">
      <c r="C535" s="101"/>
      <c r="D535" s="101"/>
      <c r="E535" s="101"/>
      <c r="F535" s="101"/>
      <c r="G535" s="101"/>
      <c r="H535" s="101"/>
      <c r="I535" s="101"/>
      <c r="J535" s="101"/>
      <c r="K535" s="101"/>
    </row>
    <row r="536" spans="3:11">
      <c r="C536" s="101"/>
      <c r="D536" s="101"/>
      <c r="E536" s="101"/>
      <c r="F536" s="101"/>
      <c r="G536" s="101"/>
      <c r="H536" s="101"/>
      <c r="I536" s="101"/>
      <c r="J536" s="101"/>
      <c r="K536" s="101"/>
    </row>
    <row r="537" spans="3:11">
      <c r="C537" s="101"/>
      <c r="D537" s="101"/>
      <c r="E537" s="101"/>
      <c r="F537" s="101"/>
      <c r="G537" s="101"/>
      <c r="H537" s="101"/>
      <c r="I537" s="101"/>
      <c r="J537" s="101"/>
      <c r="K537" s="101"/>
    </row>
    <row r="538" spans="3:11">
      <c r="C538" s="101"/>
      <c r="D538" s="101"/>
      <c r="E538" s="101"/>
      <c r="F538" s="101"/>
      <c r="G538" s="101"/>
      <c r="H538" s="101"/>
      <c r="I538" s="101"/>
      <c r="J538" s="101"/>
      <c r="K538" s="101"/>
    </row>
    <row r="539" spans="3:11">
      <c r="C539" s="101"/>
      <c r="D539" s="101"/>
      <c r="E539" s="101"/>
      <c r="F539" s="101"/>
      <c r="G539" s="101"/>
      <c r="H539" s="101"/>
    </row>
    <row r="540" spans="3:11">
      <c r="C540" s="101"/>
      <c r="D540" s="101"/>
      <c r="E540" s="101"/>
      <c r="F540" s="101"/>
      <c r="G540" s="101"/>
      <c r="H540" s="101"/>
    </row>
    <row r="541" spans="3:11">
      <c r="C541" s="101"/>
      <c r="D541" s="101"/>
      <c r="E541" s="101"/>
      <c r="F541" s="101"/>
      <c r="G541" s="101"/>
      <c r="H541" s="101"/>
    </row>
    <row r="542" spans="3:11">
      <c r="C542" s="101"/>
      <c r="D542" s="101"/>
      <c r="E542" s="101"/>
      <c r="F542" s="101"/>
      <c r="G542" s="101"/>
      <c r="H542" s="101"/>
    </row>
    <row r="543" spans="3:11">
      <c r="C543" s="101"/>
      <c r="D543" s="101"/>
      <c r="E543" s="101"/>
      <c r="F543" s="101"/>
      <c r="G543" s="101"/>
      <c r="H543" s="101"/>
    </row>
    <row r="544" spans="3:11">
      <c r="C544" s="101"/>
      <c r="D544" s="101"/>
      <c r="E544" s="101"/>
      <c r="F544" s="101"/>
      <c r="G544" s="101"/>
      <c r="H544" s="101"/>
    </row>
    <row r="545" spans="3:8">
      <c r="C545" s="101"/>
      <c r="D545" s="101"/>
      <c r="E545" s="101"/>
      <c r="F545" s="101"/>
      <c r="G545" s="101"/>
      <c r="H545" s="101"/>
    </row>
    <row r="546" spans="3:8">
      <c r="C546" s="101"/>
      <c r="D546" s="101"/>
      <c r="E546" s="101"/>
      <c r="F546" s="101"/>
      <c r="G546" s="101"/>
      <c r="H546" s="101"/>
    </row>
    <row r="547" spans="3:8">
      <c r="C547" s="101"/>
      <c r="D547" s="101"/>
      <c r="E547" s="101"/>
      <c r="F547" s="101"/>
      <c r="G547" s="101"/>
      <c r="H547" s="101"/>
    </row>
    <row r="548" spans="3:8">
      <c r="C548" s="101"/>
      <c r="D548" s="101"/>
      <c r="E548" s="101"/>
      <c r="F548" s="101"/>
      <c r="G548" s="101"/>
      <c r="H548" s="101"/>
    </row>
    <row r="549" spans="3:8">
      <c r="C549" s="101"/>
      <c r="D549" s="101"/>
      <c r="E549" s="101"/>
      <c r="F549" s="101"/>
      <c r="G549" s="101"/>
      <c r="H549" s="101"/>
    </row>
    <row r="550" spans="3:8">
      <c r="C550" s="101"/>
      <c r="D550" s="101"/>
      <c r="E550" s="101"/>
      <c r="F550" s="101"/>
      <c r="G550" s="101"/>
      <c r="H550" s="101"/>
    </row>
    <row r="551" spans="3:8">
      <c r="C551" s="101"/>
      <c r="D551" s="101"/>
      <c r="E551" s="101"/>
      <c r="F551" s="101"/>
      <c r="G551" s="101"/>
      <c r="H551" s="101"/>
    </row>
    <row r="552" spans="3:8">
      <c r="C552" s="101"/>
      <c r="D552" s="101"/>
      <c r="E552" s="101"/>
      <c r="F552" s="101"/>
      <c r="G552" s="101"/>
      <c r="H552" s="101"/>
    </row>
    <row r="553" spans="3:8">
      <c r="C553" s="101"/>
      <c r="D553" s="101"/>
      <c r="E553" s="101"/>
      <c r="F553" s="101"/>
      <c r="G553" s="101"/>
      <c r="H553" s="101"/>
    </row>
    <row r="554" spans="3:8">
      <c r="C554" s="101"/>
      <c r="D554" s="101"/>
      <c r="E554" s="101"/>
      <c r="F554" s="101"/>
      <c r="G554" s="101"/>
      <c r="H554" s="101"/>
    </row>
    <row r="555" spans="3:8">
      <c r="C555" s="101"/>
      <c r="D555" s="101"/>
      <c r="E555" s="101"/>
      <c r="F555" s="101"/>
      <c r="G555" s="101"/>
      <c r="H555" s="101"/>
    </row>
    <row r="556" spans="3:8">
      <c r="C556" s="101"/>
      <c r="D556" s="101"/>
      <c r="E556" s="101"/>
      <c r="F556" s="101"/>
      <c r="G556" s="101"/>
      <c r="H556" s="101"/>
    </row>
    <row r="557" spans="3:8">
      <c r="C557" s="101"/>
      <c r="D557" s="101"/>
      <c r="E557" s="101"/>
      <c r="F557" s="101"/>
      <c r="G557" s="101"/>
      <c r="H557" s="101"/>
    </row>
    <row r="558" spans="3:8">
      <c r="C558" s="101"/>
      <c r="D558" s="101"/>
      <c r="E558" s="101"/>
      <c r="F558" s="101"/>
      <c r="G558" s="101"/>
      <c r="H558" s="101"/>
    </row>
    <row r="559" spans="3:8">
      <c r="C559" s="101"/>
      <c r="D559" s="101"/>
      <c r="E559" s="101"/>
      <c r="F559" s="101"/>
      <c r="G559" s="101"/>
      <c r="H559" s="101"/>
    </row>
    <row r="560" spans="3:8">
      <c r="C560" s="101"/>
      <c r="D560" s="101"/>
      <c r="E560" s="101"/>
      <c r="F560" s="101"/>
      <c r="G560" s="101"/>
      <c r="H560" s="101"/>
    </row>
    <row r="561" spans="3:8">
      <c r="C561" s="101"/>
      <c r="D561" s="101"/>
      <c r="E561" s="101"/>
      <c r="F561" s="101"/>
      <c r="G561" s="101"/>
      <c r="H561" s="101"/>
    </row>
    <row r="562" spans="3:8">
      <c r="C562" s="101"/>
      <c r="D562" s="101"/>
      <c r="E562" s="101"/>
      <c r="F562" s="101"/>
      <c r="G562" s="101"/>
      <c r="H562" s="101"/>
    </row>
    <row r="563" spans="3:8">
      <c r="C563" s="101"/>
      <c r="D563" s="101"/>
      <c r="E563" s="101"/>
      <c r="F563" s="101"/>
      <c r="G563" s="101"/>
      <c r="H563" s="101"/>
    </row>
    <row r="564" spans="3:8">
      <c r="C564" s="101"/>
      <c r="D564" s="101"/>
      <c r="E564" s="101"/>
      <c r="F564" s="101"/>
      <c r="G564" s="101"/>
      <c r="H564" s="101"/>
    </row>
    <row r="565" spans="3:8">
      <c r="C565" s="101"/>
      <c r="D565" s="101"/>
      <c r="E565" s="101"/>
      <c r="F565" s="101"/>
      <c r="G565" s="101"/>
      <c r="H565" s="101"/>
    </row>
    <row r="566" spans="3:8">
      <c r="C566" s="101"/>
      <c r="D566" s="101"/>
      <c r="E566" s="101"/>
      <c r="F566" s="101"/>
      <c r="G566" s="101"/>
      <c r="H566" s="101"/>
    </row>
    <row r="567" spans="3:8">
      <c r="C567" s="101"/>
      <c r="D567" s="101"/>
      <c r="E567" s="101"/>
      <c r="F567" s="101"/>
      <c r="G567" s="101"/>
      <c r="H567" s="101"/>
    </row>
    <row r="568" spans="3:8">
      <c r="C568" s="101"/>
      <c r="D568" s="101"/>
      <c r="E568" s="101"/>
      <c r="F568" s="101"/>
      <c r="G568" s="101"/>
      <c r="H568" s="101"/>
    </row>
    <row r="569" spans="3:8">
      <c r="C569" s="101"/>
      <c r="D569" s="101"/>
      <c r="E569" s="101"/>
      <c r="F569" s="101"/>
      <c r="G569" s="101"/>
      <c r="H569" s="101"/>
    </row>
    <row r="570" spans="3:8">
      <c r="C570" s="101"/>
      <c r="D570" s="101"/>
      <c r="E570" s="101"/>
      <c r="F570" s="101"/>
      <c r="G570" s="101"/>
      <c r="H570" s="101"/>
    </row>
    <row r="571" spans="3:8">
      <c r="C571" s="101"/>
      <c r="D571" s="101"/>
      <c r="E571" s="101"/>
      <c r="F571" s="101"/>
      <c r="G571" s="101"/>
      <c r="H571" s="101"/>
    </row>
    <row r="572" spans="3:8">
      <c r="C572" s="101"/>
      <c r="D572" s="101"/>
      <c r="E572" s="101"/>
      <c r="F572" s="101"/>
      <c r="G572" s="101"/>
      <c r="H572" s="101"/>
    </row>
    <row r="573" spans="3:8">
      <c r="C573" s="101"/>
      <c r="D573" s="101"/>
      <c r="E573" s="101"/>
      <c r="F573" s="101"/>
      <c r="G573" s="101"/>
      <c r="H573" s="101"/>
    </row>
    <row r="574" spans="3:8">
      <c r="C574" s="101"/>
      <c r="D574" s="101"/>
      <c r="E574" s="101"/>
      <c r="F574" s="101"/>
      <c r="G574" s="101"/>
      <c r="H574" s="101"/>
    </row>
    <row r="575" spans="3:8">
      <c r="C575" s="101"/>
      <c r="D575" s="101"/>
      <c r="E575" s="101"/>
      <c r="F575" s="101"/>
      <c r="G575" s="101"/>
      <c r="H575" s="101"/>
    </row>
    <row r="576" spans="3:8">
      <c r="C576" s="101"/>
      <c r="D576" s="101"/>
      <c r="E576" s="101"/>
      <c r="F576" s="101"/>
      <c r="G576" s="101"/>
      <c r="H576" s="101"/>
    </row>
    <row r="577" spans="3:8">
      <c r="C577" s="101"/>
      <c r="D577" s="101"/>
      <c r="E577" s="101"/>
      <c r="F577" s="101"/>
      <c r="G577" s="101"/>
      <c r="H577" s="101"/>
    </row>
    <row r="578" spans="3:8">
      <c r="C578" s="101"/>
      <c r="D578" s="101"/>
      <c r="E578" s="101"/>
      <c r="F578" s="101"/>
      <c r="G578" s="101"/>
      <c r="H578" s="101"/>
    </row>
    <row r="579" spans="3:8">
      <c r="C579" s="101"/>
      <c r="D579" s="101"/>
      <c r="E579" s="101"/>
      <c r="F579" s="101"/>
      <c r="G579" s="101"/>
      <c r="H579" s="101"/>
    </row>
    <row r="580" spans="3:8">
      <c r="C580" s="101"/>
      <c r="D580" s="101"/>
      <c r="E580" s="101"/>
      <c r="F580" s="101"/>
      <c r="G580" s="101"/>
      <c r="H580" s="101"/>
    </row>
    <row r="581" spans="3:8">
      <c r="C581" s="101"/>
      <c r="D581" s="101"/>
      <c r="E581" s="101"/>
      <c r="F581" s="101"/>
      <c r="G581" s="101"/>
      <c r="H581" s="101"/>
    </row>
    <row r="582" spans="3:8">
      <c r="C582" s="101"/>
      <c r="D582" s="101"/>
      <c r="E582" s="101"/>
      <c r="F582" s="101"/>
      <c r="G582" s="101"/>
      <c r="H582" s="101"/>
    </row>
    <row r="583" spans="3:8">
      <c r="C583" s="101"/>
      <c r="D583" s="101"/>
      <c r="E583" s="101"/>
      <c r="F583" s="101"/>
      <c r="G583" s="101"/>
      <c r="H583" s="101"/>
    </row>
    <row r="584" spans="3:8">
      <c r="C584" s="101"/>
      <c r="D584" s="101"/>
      <c r="E584" s="101"/>
      <c r="F584" s="101"/>
      <c r="G584" s="101"/>
      <c r="H584" s="101"/>
    </row>
    <row r="585" spans="3:8">
      <c r="C585" s="101"/>
      <c r="D585" s="101"/>
      <c r="E585" s="101"/>
      <c r="F585" s="101"/>
      <c r="G585" s="101"/>
      <c r="H585" s="101"/>
    </row>
    <row r="586" spans="3:8">
      <c r="C586" s="101"/>
      <c r="D586" s="101"/>
      <c r="E586" s="101"/>
      <c r="F586" s="101"/>
      <c r="G586" s="101"/>
      <c r="H586" s="101"/>
    </row>
    <row r="587" spans="3:8">
      <c r="C587" s="101"/>
      <c r="D587" s="101"/>
      <c r="E587" s="101"/>
      <c r="F587" s="101"/>
      <c r="G587" s="101"/>
      <c r="H587" s="101"/>
    </row>
    <row r="588" spans="3:8">
      <c r="C588" s="101"/>
      <c r="D588" s="101"/>
      <c r="E588" s="101"/>
      <c r="F588" s="101"/>
      <c r="G588" s="101"/>
      <c r="H588" s="101"/>
    </row>
    <row r="589" spans="3:8">
      <c r="C589" s="101"/>
      <c r="D589" s="101"/>
      <c r="E589" s="101"/>
      <c r="F589" s="101"/>
      <c r="G589" s="101"/>
      <c r="H589" s="101"/>
    </row>
    <row r="590" spans="3:8">
      <c r="C590" s="101"/>
      <c r="D590" s="101"/>
      <c r="E590" s="101"/>
      <c r="F590" s="101"/>
      <c r="G590" s="101"/>
      <c r="H590" s="101"/>
    </row>
    <row r="591" spans="3:8">
      <c r="C591" s="101"/>
      <c r="D591" s="101"/>
      <c r="E591" s="101"/>
      <c r="F591" s="101"/>
      <c r="G591" s="101"/>
      <c r="H591" s="101"/>
    </row>
    <row r="592" spans="3:8">
      <c r="C592" s="101"/>
      <c r="D592" s="101"/>
      <c r="E592" s="101"/>
      <c r="F592" s="101"/>
      <c r="G592" s="101"/>
      <c r="H592" s="101"/>
    </row>
    <row r="593" spans="3:8">
      <c r="C593" s="101"/>
      <c r="D593" s="101"/>
      <c r="E593" s="101"/>
      <c r="F593" s="101"/>
      <c r="G593" s="101"/>
      <c r="H593" s="101"/>
    </row>
    <row r="594" spans="3:8">
      <c r="C594" s="101"/>
      <c r="D594" s="101"/>
      <c r="E594" s="101"/>
      <c r="F594" s="101"/>
      <c r="G594" s="101"/>
      <c r="H594" s="101"/>
    </row>
    <row r="595" spans="3:8">
      <c r="C595" s="101"/>
      <c r="D595" s="101"/>
      <c r="E595" s="101"/>
      <c r="F595" s="101"/>
      <c r="G595" s="101"/>
      <c r="H595" s="101"/>
    </row>
    <row r="596" spans="3:8">
      <c r="C596" s="101"/>
      <c r="D596" s="101"/>
      <c r="E596" s="101"/>
      <c r="F596" s="101"/>
      <c r="G596" s="101"/>
      <c r="H596" s="101"/>
    </row>
    <row r="597" spans="3:8">
      <c r="C597" s="101"/>
      <c r="D597" s="101"/>
      <c r="E597" s="101"/>
      <c r="F597" s="101"/>
      <c r="G597" s="101"/>
      <c r="H597" s="101"/>
    </row>
    <row r="598" spans="3:8">
      <c r="C598" s="101"/>
      <c r="D598" s="101"/>
      <c r="E598" s="101"/>
      <c r="F598" s="101"/>
      <c r="G598" s="101"/>
      <c r="H598" s="101"/>
    </row>
    <row r="599" spans="3:8">
      <c r="C599" s="101"/>
      <c r="D599" s="101"/>
      <c r="E599" s="101"/>
      <c r="F599" s="101"/>
      <c r="G599" s="101"/>
      <c r="H599" s="101"/>
    </row>
    <row r="600" spans="3:8">
      <c r="C600" s="101"/>
      <c r="D600" s="101"/>
      <c r="E600" s="101"/>
      <c r="F600" s="101"/>
      <c r="G600" s="101"/>
      <c r="H600" s="101"/>
    </row>
    <row r="601" spans="3:8">
      <c r="C601" s="101"/>
      <c r="D601" s="101"/>
      <c r="E601" s="101"/>
      <c r="F601" s="101"/>
      <c r="G601" s="101"/>
      <c r="H601" s="101"/>
    </row>
    <row r="602" spans="3:8">
      <c r="C602" s="101"/>
      <c r="D602" s="101"/>
      <c r="E602" s="101"/>
      <c r="F602" s="101"/>
      <c r="G602" s="101"/>
      <c r="H602" s="101"/>
    </row>
    <row r="603" spans="3:8">
      <c r="C603" s="101"/>
      <c r="D603" s="101"/>
      <c r="E603" s="101"/>
      <c r="F603" s="101"/>
      <c r="G603" s="101"/>
      <c r="H603" s="101"/>
    </row>
    <row r="604" spans="3:8">
      <c r="C604" s="101"/>
      <c r="D604" s="101"/>
      <c r="E604" s="101"/>
      <c r="F604" s="101"/>
      <c r="G604" s="101"/>
      <c r="H604" s="101"/>
    </row>
    <row r="605" spans="3:8">
      <c r="C605" s="101"/>
      <c r="D605" s="101"/>
      <c r="E605" s="101"/>
      <c r="F605" s="101"/>
      <c r="G605" s="101"/>
      <c r="H605" s="101"/>
    </row>
    <row r="606" spans="3:8">
      <c r="C606" s="101"/>
      <c r="D606" s="101"/>
      <c r="E606" s="101"/>
      <c r="F606" s="101"/>
      <c r="G606" s="101"/>
      <c r="H606" s="101"/>
    </row>
    <row r="607" spans="3:8">
      <c r="C607" s="101"/>
      <c r="D607" s="101"/>
      <c r="E607" s="101"/>
      <c r="F607" s="101"/>
      <c r="G607" s="101"/>
      <c r="H607" s="101"/>
    </row>
    <row r="608" spans="3:8">
      <c r="C608" s="101"/>
      <c r="D608" s="101"/>
      <c r="E608" s="101"/>
      <c r="F608" s="101"/>
      <c r="G608" s="101"/>
      <c r="H608" s="101"/>
    </row>
    <row r="609" spans="3:8">
      <c r="C609" s="101"/>
      <c r="D609" s="101"/>
      <c r="E609" s="101"/>
      <c r="F609" s="101"/>
      <c r="G609" s="101"/>
      <c r="H609" s="101"/>
    </row>
    <row r="610" spans="3:8">
      <c r="C610" s="101"/>
      <c r="D610" s="101"/>
      <c r="E610" s="101"/>
      <c r="F610" s="101"/>
      <c r="G610" s="101"/>
      <c r="H610" s="101"/>
    </row>
    <row r="611" spans="3:8">
      <c r="C611" s="101"/>
      <c r="D611" s="101"/>
      <c r="E611" s="101"/>
      <c r="F611" s="101"/>
      <c r="G611" s="101"/>
      <c r="H611" s="101"/>
    </row>
    <row r="612" spans="3:8">
      <c r="C612" s="101"/>
      <c r="D612" s="101"/>
      <c r="E612" s="101"/>
      <c r="F612" s="101"/>
      <c r="G612" s="101"/>
      <c r="H612" s="101"/>
    </row>
    <row r="613" spans="3:8">
      <c r="C613" s="101"/>
      <c r="D613" s="101"/>
      <c r="E613" s="101"/>
      <c r="F613" s="101"/>
      <c r="G613" s="101"/>
      <c r="H613" s="101"/>
    </row>
    <row r="614" spans="3:8">
      <c r="C614" s="101"/>
      <c r="D614" s="101"/>
      <c r="E614" s="101"/>
      <c r="F614" s="101"/>
      <c r="G614" s="101"/>
      <c r="H614" s="101"/>
    </row>
    <row r="615" spans="3:8">
      <c r="C615" s="101"/>
      <c r="D615" s="101"/>
      <c r="E615" s="101"/>
      <c r="F615" s="101"/>
      <c r="G615" s="101"/>
      <c r="H615" s="101"/>
    </row>
    <row r="616" spans="3:8">
      <c r="C616" s="101"/>
      <c r="D616" s="101"/>
      <c r="E616" s="101"/>
      <c r="F616" s="101"/>
      <c r="G616" s="101"/>
      <c r="H616" s="101"/>
    </row>
    <row r="617" spans="3:8">
      <c r="C617" s="101"/>
      <c r="D617" s="101"/>
      <c r="E617" s="101"/>
      <c r="F617" s="101"/>
      <c r="G617" s="101"/>
      <c r="H617" s="101"/>
    </row>
    <row r="618" spans="3:8">
      <c r="C618" s="101"/>
      <c r="D618" s="101"/>
      <c r="E618" s="101"/>
      <c r="F618" s="101"/>
      <c r="G618" s="101"/>
      <c r="H618" s="101"/>
    </row>
    <row r="619" spans="3:8">
      <c r="C619" s="101"/>
      <c r="D619" s="101"/>
      <c r="E619" s="101"/>
      <c r="F619" s="101"/>
      <c r="G619" s="101"/>
      <c r="H619" s="101"/>
    </row>
    <row r="620" spans="3:8">
      <c r="C620" s="101"/>
      <c r="D620" s="101"/>
      <c r="E620" s="101"/>
      <c r="F620" s="101"/>
      <c r="G620" s="101"/>
      <c r="H620" s="101"/>
    </row>
    <row r="621" spans="3:8">
      <c r="C621" s="101"/>
      <c r="D621" s="101"/>
      <c r="E621" s="101"/>
      <c r="F621" s="101"/>
      <c r="G621" s="101"/>
      <c r="H621" s="101"/>
    </row>
    <row r="622" spans="3:8">
      <c r="C622" s="101"/>
      <c r="D622" s="101"/>
      <c r="E622" s="101"/>
      <c r="F622" s="101"/>
      <c r="G622" s="101"/>
      <c r="H622" s="101"/>
    </row>
    <row r="623" spans="3:8">
      <c r="C623" s="101"/>
      <c r="D623" s="101"/>
      <c r="E623" s="101"/>
      <c r="F623" s="101"/>
      <c r="G623" s="101"/>
      <c r="H623" s="101"/>
    </row>
    <row r="624" spans="3:8">
      <c r="C624" s="101"/>
      <c r="D624" s="101"/>
      <c r="E624" s="101"/>
      <c r="F624" s="101"/>
      <c r="G624" s="101"/>
      <c r="H624" s="101"/>
    </row>
    <row r="625" spans="3:8">
      <c r="C625" s="101"/>
      <c r="D625" s="101"/>
      <c r="E625" s="101"/>
      <c r="F625" s="101"/>
      <c r="G625" s="101"/>
      <c r="H625" s="101"/>
    </row>
    <row r="626" spans="3:8">
      <c r="C626" s="101"/>
      <c r="D626" s="101"/>
      <c r="E626" s="101"/>
      <c r="F626" s="101"/>
      <c r="G626" s="101"/>
      <c r="H626" s="101"/>
    </row>
    <row r="627" spans="3:8">
      <c r="C627" s="101"/>
      <c r="D627" s="101"/>
      <c r="E627" s="101"/>
      <c r="F627" s="101"/>
      <c r="G627" s="101"/>
      <c r="H627" s="101"/>
    </row>
    <row r="628" spans="3:8">
      <c r="C628" s="101"/>
      <c r="D628" s="101"/>
      <c r="E628" s="101"/>
      <c r="F628" s="101"/>
      <c r="G628" s="101"/>
      <c r="H628" s="101"/>
    </row>
    <row r="629" spans="3:8">
      <c r="C629" s="101"/>
      <c r="D629" s="101"/>
      <c r="E629" s="101"/>
      <c r="F629" s="101"/>
      <c r="G629" s="101"/>
      <c r="H629" s="101"/>
    </row>
    <row r="630" spans="3:8">
      <c r="C630" s="101"/>
      <c r="D630" s="101"/>
      <c r="E630" s="101"/>
      <c r="F630" s="101"/>
      <c r="G630" s="101"/>
      <c r="H630" s="101"/>
    </row>
    <row r="631" spans="3:8">
      <c r="C631" s="101"/>
      <c r="D631" s="101"/>
      <c r="E631" s="101"/>
      <c r="F631" s="101"/>
      <c r="G631" s="101"/>
      <c r="H631" s="101"/>
    </row>
    <row r="632" spans="3:8">
      <c r="C632" s="101"/>
      <c r="D632" s="101"/>
      <c r="E632" s="101"/>
      <c r="F632" s="101"/>
      <c r="G632" s="101"/>
      <c r="H632" s="101"/>
    </row>
    <row r="633" spans="3:8">
      <c r="C633" s="101"/>
      <c r="D633" s="101"/>
      <c r="E633" s="101"/>
      <c r="F633" s="101"/>
      <c r="G633" s="101"/>
      <c r="H633" s="101"/>
    </row>
    <row r="634" spans="3:8">
      <c r="C634" s="101"/>
      <c r="D634" s="101"/>
      <c r="E634" s="101"/>
      <c r="F634" s="101"/>
      <c r="G634" s="101"/>
      <c r="H634" s="101"/>
    </row>
    <row r="635" spans="3:8">
      <c r="C635" s="101"/>
      <c r="D635" s="101"/>
      <c r="E635" s="101"/>
      <c r="F635" s="101"/>
      <c r="G635" s="101"/>
      <c r="H635" s="101"/>
    </row>
    <row r="636" spans="3:8">
      <c r="C636" s="101"/>
      <c r="D636" s="101"/>
      <c r="E636" s="101"/>
      <c r="F636" s="101"/>
      <c r="G636" s="101"/>
      <c r="H636" s="101"/>
    </row>
    <row r="637" spans="3:8">
      <c r="C637" s="101"/>
      <c r="D637" s="101"/>
      <c r="E637" s="101"/>
      <c r="F637" s="101"/>
      <c r="G637" s="101"/>
      <c r="H637" s="101"/>
    </row>
    <row r="638" spans="3:8">
      <c r="C638" s="101"/>
      <c r="D638" s="101"/>
      <c r="E638" s="101"/>
      <c r="F638" s="101"/>
      <c r="G638" s="101"/>
      <c r="H638" s="101"/>
    </row>
    <row r="639" spans="3:8">
      <c r="C639" s="101"/>
      <c r="D639" s="101"/>
      <c r="E639" s="101"/>
      <c r="F639" s="101"/>
      <c r="G639" s="101"/>
      <c r="H639" s="101"/>
    </row>
    <row r="640" spans="3:8">
      <c r="C640" s="101"/>
      <c r="D640" s="101"/>
      <c r="E640" s="101"/>
      <c r="F640" s="101"/>
      <c r="G640" s="101"/>
      <c r="H640" s="101"/>
    </row>
    <row r="641" spans="3:8">
      <c r="C641" s="101"/>
      <c r="D641" s="101"/>
      <c r="E641" s="101"/>
      <c r="F641" s="101"/>
      <c r="G641" s="101"/>
      <c r="H641" s="101"/>
    </row>
    <row r="642" spans="3:8">
      <c r="C642" s="101"/>
      <c r="D642" s="101"/>
      <c r="E642" s="101"/>
      <c r="F642" s="101"/>
      <c r="G642" s="101"/>
      <c r="H642" s="101"/>
    </row>
    <row r="643" spans="3:8">
      <c r="C643" s="101"/>
      <c r="D643" s="101"/>
      <c r="E643" s="101"/>
      <c r="F643" s="101"/>
      <c r="G643" s="101"/>
      <c r="H643" s="101"/>
    </row>
    <row r="644" spans="3:8">
      <c r="C644" s="101"/>
      <c r="D644" s="101"/>
      <c r="E644" s="101"/>
      <c r="F644" s="101"/>
      <c r="G644" s="101"/>
      <c r="H644" s="101"/>
    </row>
    <row r="645" spans="3:8">
      <c r="C645" s="101"/>
      <c r="D645" s="101"/>
      <c r="E645" s="101"/>
      <c r="F645" s="101"/>
      <c r="G645" s="101"/>
      <c r="H645" s="101"/>
    </row>
    <row r="646" spans="3:8">
      <c r="C646" s="101"/>
      <c r="D646" s="101"/>
      <c r="E646" s="101"/>
      <c r="F646" s="101"/>
      <c r="G646" s="101"/>
      <c r="H646" s="101"/>
    </row>
    <row r="647" spans="3:8">
      <c r="C647" s="101"/>
      <c r="D647" s="101"/>
      <c r="E647" s="101"/>
      <c r="F647" s="101"/>
      <c r="G647" s="101"/>
      <c r="H647" s="101"/>
    </row>
    <row r="648" spans="3:8">
      <c r="C648" s="101"/>
      <c r="D648" s="101"/>
      <c r="E648" s="101"/>
      <c r="F648" s="101"/>
      <c r="G648" s="101"/>
      <c r="H648" s="101"/>
    </row>
    <row r="649" spans="3:8">
      <c r="C649" s="101"/>
      <c r="D649" s="101"/>
      <c r="E649" s="101"/>
      <c r="F649" s="101"/>
      <c r="G649" s="101"/>
      <c r="H649" s="101"/>
    </row>
    <row r="650" spans="3:8">
      <c r="C650" s="101"/>
      <c r="D650" s="101"/>
      <c r="E650" s="101"/>
      <c r="F650" s="101"/>
      <c r="G650" s="101"/>
      <c r="H650" s="101"/>
    </row>
    <row r="651" spans="3:8">
      <c r="C651" s="101"/>
      <c r="D651" s="101"/>
      <c r="E651" s="101"/>
      <c r="F651" s="101"/>
      <c r="G651" s="101"/>
      <c r="H651" s="101"/>
    </row>
    <row r="652" spans="3:8">
      <c r="C652" s="101"/>
      <c r="D652" s="101"/>
      <c r="E652" s="101"/>
      <c r="F652" s="101"/>
      <c r="G652" s="101"/>
      <c r="H652" s="101"/>
    </row>
    <row r="653" spans="3:8">
      <c r="C653" s="101"/>
      <c r="D653" s="101"/>
      <c r="E653" s="101"/>
      <c r="F653" s="101"/>
      <c r="G653" s="101"/>
      <c r="H653" s="101"/>
    </row>
    <row r="654" spans="3:8">
      <c r="C654" s="101"/>
      <c r="D654" s="101"/>
      <c r="E654" s="101"/>
      <c r="F654" s="101"/>
      <c r="G654" s="101"/>
      <c r="H654" s="101"/>
    </row>
    <row r="655" spans="3:8">
      <c r="C655" s="101"/>
      <c r="D655" s="101"/>
      <c r="E655" s="101"/>
      <c r="F655" s="101"/>
      <c r="G655" s="101"/>
      <c r="H655" s="101"/>
    </row>
    <row r="656" spans="3:8">
      <c r="C656" s="101"/>
      <c r="D656" s="101"/>
      <c r="E656" s="101"/>
      <c r="F656" s="101"/>
      <c r="G656" s="101"/>
      <c r="H656" s="101"/>
    </row>
    <row r="657" spans="3:8">
      <c r="C657" s="101"/>
      <c r="D657" s="101"/>
      <c r="E657" s="101"/>
      <c r="F657" s="101"/>
      <c r="G657" s="101"/>
      <c r="H657" s="101"/>
    </row>
    <row r="658" spans="3:8">
      <c r="C658" s="101"/>
      <c r="D658" s="101"/>
      <c r="E658" s="101"/>
      <c r="F658" s="101"/>
      <c r="G658" s="101"/>
      <c r="H658" s="101"/>
    </row>
    <row r="659" spans="3:8">
      <c r="C659" s="101"/>
      <c r="D659" s="101"/>
      <c r="E659" s="101"/>
      <c r="F659" s="101"/>
      <c r="G659" s="101"/>
      <c r="H659" s="101"/>
    </row>
    <row r="660" spans="3:8">
      <c r="C660" s="101"/>
      <c r="D660" s="101"/>
      <c r="E660" s="101"/>
      <c r="F660" s="101"/>
      <c r="G660" s="101"/>
      <c r="H660" s="101"/>
    </row>
    <row r="661" spans="3:8">
      <c r="C661" s="101"/>
      <c r="D661" s="101"/>
      <c r="E661" s="101"/>
      <c r="F661" s="101"/>
      <c r="G661" s="101"/>
      <c r="H661" s="101"/>
    </row>
    <row r="662" spans="3:8">
      <c r="C662" s="101"/>
      <c r="D662" s="101"/>
      <c r="E662" s="101"/>
      <c r="F662" s="101"/>
      <c r="G662" s="101"/>
      <c r="H662" s="101"/>
    </row>
    <row r="663" spans="3:8">
      <c r="C663" s="101"/>
      <c r="D663" s="101"/>
      <c r="E663" s="101"/>
      <c r="F663" s="101"/>
      <c r="G663" s="101"/>
      <c r="H663" s="101"/>
    </row>
    <row r="664" spans="3:8">
      <c r="C664" s="101"/>
      <c r="D664" s="101"/>
      <c r="E664" s="101"/>
      <c r="F664" s="101"/>
      <c r="G664" s="101"/>
      <c r="H664" s="101"/>
    </row>
    <row r="665" spans="3:8">
      <c r="C665" s="101"/>
      <c r="D665" s="101"/>
      <c r="E665" s="101"/>
      <c r="F665" s="101"/>
      <c r="G665" s="101"/>
      <c r="H665" s="101"/>
    </row>
    <row r="666" spans="3:8">
      <c r="C666" s="101"/>
      <c r="D666" s="101"/>
      <c r="E666" s="101"/>
      <c r="F666" s="101"/>
      <c r="G666" s="101"/>
      <c r="H666" s="101"/>
    </row>
    <row r="667" spans="3:8">
      <c r="C667" s="101"/>
      <c r="D667" s="101"/>
      <c r="E667" s="101"/>
      <c r="F667" s="101"/>
      <c r="G667" s="101"/>
      <c r="H667" s="101"/>
    </row>
    <row r="668" spans="3:8">
      <c r="C668" s="101"/>
      <c r="D668" s="101"/>
      <c r="E668" s="101"/>
      <c r="F668" s="101"/>
      <c r="G668" s="101"/>
      <c r="H668" s="101"/>
    </row>
    <row r="669" spans="3:8">
      <c r="C669" s="101"/>
      <c r="D669" s="101"/>
      <c r="E669" s="101"/>
      <c r="F669" s="101"/>
      <c r="G669" s="101"/>
      <c r="H669" s="101"/>
    </row>
    <row r="670" spans="3:8">
      <c r="C670" s="101"/>
      <c r="D670" s="101"/>
      <c r="E670" s="101"/>
      <c r="F670" s="101"/>
      <c r="G670" s="101"/>
      <c r="H670" s="101"/>
    </row>
    <row r="671" spans="3:8">
      <c r="C671" s="101"/>
      <c r="D671" s="101"/>
      <c r="E671" s="101"/>
      <c r="F671" s="101"/>
      <c r="G671" s="101"/>
      <c r="H671" s="101"/>
    </row>
    <row r="672" spans="3:8">
      <c r="C672" s="101"/>
      <c r="D672" s="101"/>
      <c r="E672" s="101"/>
      <c r="F672" s="101"/>
      <c r="G672" s="101"/>
      <c r="H672" s="101"/>
    </row>
    <row r="673" spans="3:8">
      <c r="C673" s="101"/>
      <c r="D673" s="101"/>
      <c r="E673" s="101"/>
      <c r="F673" s="101"/>
      <c r="G673" s="101"/>
      <c r="H673" s="101"/>
    </row>
    <row r="674" spans="3:8">
      <c r="C674" s="101"/>
      <c r="D674" s="101"/>
      <c r="E674" s="101"/>
      <c r="F674" s="101"/>
      <c r="G674" s="101"/>
      <c r="H674" s="101"/>
    </row>
    <row r="675" spans="3:8">
      <c r="C675" s="101"/>
      <c r="D675" s="101"/>
      <c r="E675" s="101"/>
      <c r="F675" s="101"/>
      <c r="G675" s="101"/>
      <c r="H675" s="101"/>
    </row>
    <row r="676" spans="3:8">
      <c r="C676" s="101"/>
      <c r="D676" s="101"/>
      <c r="E676" s="101"/>
      <c r="F676" s="101"/>
      <c r="G676" s="101"/>
      <c r="H676" s="101"/>
    </row>
    <row r="677" spans="3:8">
      <c r="C677" s="101"/>
      <c r="D677" s="101"/>
      <c r="E677" s="101"/>
      <c r="F677" s="101"/>
      <c r="G677" s="101"/>
      <c r="H677" s="101"/>
    </row>
    <row r="678" spans="3:8">
      <c r="C678" s="101"/>
      <c r="D678" s="101"/>
      <c r="E678" s="101"/>
      <c r="F678" s="101"/>
      <c r="G678" s="101"/>
      <c r="H678" s="101"/>
    </row>
    <row r="679" spans="3:8">
      <c r="C679" s="101"/>
      <c r="D679" s="101"/>
      <c r="E679" s="101"/>
      <c r="F679" s="101"/>
      <c r="G679" s="101"/>
      <c r="H679" s="101"/>
    </row>
    <row r="680" spans="3:8">
      <c r="C680" s="101"/>
      <c r="D680" s="101"/>
      <c r="E680" s="101"/>
      <c r="F680" s="101"/>
      <c r="G680" s="101"/>
      <c r="H680" s="101"/>
    </row>
    <row r="681" spans="3:8">
      <c r="C681" s="101"/>
      <c r="D681" s="101"/>
      <c r="E681" s="101"/>
      <c r="F681" s="101"/>
      <c r="G681" s="101"/>
      <c r="H681" s="101"/>
    </row>
    <row r="682" spans="3:8">
      <c r="C682" s="101"/>
      <c r="D682" s="101"/>
      <c r="E682" s="101"/>
      <c r="F682" s="101"/>
      <c r="G682" s="101"/>
      <c r="H682" s="101"/>
    </row>
    <row r="683" spans="3:8">
      <c r="C683" s="101"/>
      <c r="D683" s="101"/>
      <c r="E683" s="101"/>
      <c r="F683" s="101"/>
      <c r="G683" s="101"/>
      <c r="H683" s="101"/>
    </row>
    <row r="684" spans="3:8">
      <c r="C684" s="101"/>
      <c r="D684" s="101"/>
      <c r="E684" s="101"/>
      <c r="F684" s="101"/>
      <c r="G684" s="101"/>
      <c r="H684" s="101"/>
    </row>
    <row r="685" spans="3:8">
      <c r="C685" s="101"/>
      <c r="D685" s="101"/>
      <c r="E685" s="101"/>
      <c r="F685" s="101"/>
      <c r="G685" s="101"/>
      <c r="H685" s="101"/>
    </row>
    <row r="686" spans="3:8">
      <c r="C686" s="101"/>
      <c r="D686" s="101"/>
      <c r="E686" s="101"/>
      <c r="F686" s="101"/>
      <c r="G686" s="101"/>
      <c r="H686" s="101"/>
    </row>
    <row r="687" spans="3:8">
      <c r="C687" s="101"/>
      <c r="D687" s="101"/>
      <c r="E687" s="101"/>
      <c r="F687" s="101"/>
      <c r="G687" s="101"/>
      <c r="H687" s="101"/>
    </row>
    <row r="688" spans="3:8">
      <c r="C688" s="101"/>
      <c r="D688" s="101"/>
      <c r="E688" s="101"/>
      <c r="F688" s="101"/>
      <c r="G688" s="101"/>
      <c r="H688" s="101"/>
    </row>
    <row r="689" spans="3:8">
      <c r="C689" s="101"/>
      <c r="D689" s="101"/>
      <c r="E689" s="101"/>
      <c r="F689" s="101"/>
      <c r="G689" s="101"/>
      <c r="H689" s="101"/>
    </row>
    <row r="690" spans="3:8">
      <c r="C690" s="101"/>
      <c r="D690" s="101"/>
      <c r="E690" s="101"/>
      <c r="F690" s="101"/>
      <c r="G690" s="101"/>
      <c r="H690" s="101"/>
    </row>
    <row r="691" spans="3:8">
      <c r="C691" s="101"/>
      <c r="D691" s="101"/>
      <c r="E691" s="101"/>
      <c r="F691" s="101"/>
      <c r="G691" s="101"/>
      <c r="H691" s="101"/>
    </row>
    <row r="692" spans="3:8">
      <c r="C692" s="101"/>
      <c r="D692" s="101"/>
      <c r="E692" s="101"/>
      <c r="F692" s="101"/>
      <c r="G692" s="101"/>
      <c r="H692" s="101"/>
    </row>
    <row r="693" spans="3:8">
      <c r="C693" s="101"/>
      <c r="D693" s="101"/>
      <c r="E693" s="101"/>
      <c r="F693" s="101"/>
      <c r="G693" s="101"/>
      <c r="H693" s="101"/>
    </row>
    <row r="694" spans="3:8">
      <c r="C694" s="101"/>
      <c r="D694" s="101"/>
      <c r="E694" s="101"/>
      <c r="F694" s="101"/>
      <c r="G694" s="101"/>
      <c r="H694" s="101"/>
    </row>
    <row r="695" spans="3:8">
      <c r="C695" s="101"/>
      <c r="D695" s="101"/>
      <c r="E695" s="101"/>
      <c r="F695" s="101"/>
      <c r="G695" s="101"/>
      <c r="H695" s="101"/>
    </row>
    <row r="696" spans="3:8">
      <c r="C696" s="101"/>
      <c r="D696" s="101"/>
      <c r="E696" s="101"/>
      <c r="F696" s="101"/>
      <c r="G696" s="101"/>
      <c r="H696" s="101"/>
    </row>
    <row r="697" spans="3:8">
      <c r="C697" s="101"/>
      <c r="D697" s="101"/>
      <c r="E697" s="101"/>
      <c r="F697" s="101"/>
      <c r="G697" s="101"/>
      <c r="H697" s="101"/>
    </row>
    <row r="698" spans="3:8">
      <c r="C698" s="101"/>
      <c r="D698" s="101"/>
      <c r="E698" s="101"/>
      <c r="F698" s="101"/>
      <c r="G698" s="101"/>
      <c r="H698" s="101"/>
    </row>
    <row r="699" spans="3:8">
      <c r="C699" s="101"/>
      <c r="D699" s="101"/>
      <c r="E699" s="101"/>
      <c r="F699" s="101"/>
      <c r="G699" s="101"/>
      <c r="H699" s="101"/>
    </row>
    <row r="700" spans="3:8">
      <c r="C700" s="101"/>
      <c r="D700" s="101"/>
      <c r="E700" s="101"/>
      <c r="F700" s="101"/>
      <c r="G700" s="101"/>
      <c r="H700" s="101"/>
    </row>
    <row r="701" spans="3:8">
      <c r="C701" s="101"/>
      <c r="D701" s="101"/>
      <c r="E701" s="101"/>
      <c r="F701" s="101"/>
      <c r="G701" s="101"/>
      <c r="H701" s="101"/>
    </row>
    <row r="702" spans="3:8">
      <c r="C702" s="101"/>
      <c r="D702" s="101"/>
      <c r="E702" s="101"/>
      <c r="F702" s="101"/>
      <c r="G702" s="101"/>
      <c r="H702" s="101"/>
    </row>
    <row r="703" spans="3:8">
      <c r="C703" s="101"/>
      <c r="D703" s="101"/>
      <c r="E703" s="101"/>
      <c r="F703" s="101"/>
      <c r="G703" s="101"/>
      <c r="H703" s="101"/>
    </row>
    <row r="704" spans="3:8">
      <c r="C704" s="101"/>
      <c r="D704" s="101"/>
      <c r="E704" s="101"/>
      <c r="F704" s="101"/>
      <c r="G704" s="101"/>
      <c r="H704" s="101"/>
    </row>
    <row r="705" spans="3:8">
      <c r="C705" s="101"/>
      <c r="D705" s="101"/>
      <c r="E705" s="101"/>
      <c r="F705" s="101"/>
      <c r="G705" s="101"/>
      <c r="H705" s="101"/>
    </row>
    <row r="706" spans="3:8">
      <c r="C706" s="101"/>
      <c r="D706" s="101"/>
      <c r="E706" s="101"/>
      <c r="F706" s="101"/>
      <c r="G706" s="101"/>
      <c r="H706" s="101"/>
    </row>
    <row r="707" spans="3:8">
      <c r="C707" s="101"/>
      <c r="D707" s="101"/>
      <c r="E707" s="101"/>
      <c r="F707" s="101"/>
      <c r="G707" s="101"/>
      <c r="H707" s="101"/>
    </row>
    <row r="708" spans="3:8">
      <c r="C708" s="101"/>
      <c r="D708" s="101"/>
      <c r="E708" s="101"/>
      <c r="F708" s="101"/>
      <c r="G708" s="101"/>
      <c r="H708" s="101"/>
    </row>
    <row r="709" spans="3:8">
      <c r="C709" s="101"/>
      <c r="D709" s="101"/>
      <c r="E709" s="101"/>
      <c r="F709" s="101"/>
      <c r="G709" s="101"/>
      <c r="H709" s="101"/>
    </row>
    <row r="710" spans="3:8">
      <c r="C710" s="101"/>
      <c r="D710" s="101"/>
      <c r="E710" s="101"/>
      <c r="F710" s="101"/>
      <c r="G710" s="101"/>
      <c r="H710" s="101"/>
    </row>
    <row r="711" spans="3:8">
      <c r="C711" s="101"/>
      <c r="D711" s="101"/>
      <c r="E711" s="101"/>
      <c r="F711" s="101"/>
      <c r="G711" s="101"/>
      <c r="H711" s="101"/>
    </row>
    <row r="712" spans="3:8">
      <c r="C712" s="101"/>
      <c r="D712" s="101"/>
      <c r="E712" s="101"/>
      <c r="F712" s="101"/>
      <c r="G712" s="101"/>
      <c r="H712" s="101"/>
    </row>
    <row r="713" spans="3:8">
      <c r="C713" s="101"/>
      <c r="D713" s="101"/>
      <c r="E713" s="101"/>
      <c r="F713" s="101"/>
      <c r="G713" s="101"/>
      <c r="H713" s="101"/>
    </row>
    <row r="714" spans="3:8">
      <c r="C714" s="101"/>
      <c r="D714" s="101"/>
      <c r="E714" s="101"/>
      <c r="F714" s="101"/>
      <c r="G714" s="101"/>
      <c r="H714" s="101"/>
    </row>
    <row r="715" spans="3:8">
      <c r="C715" s="101"/>
      <c r="D715" s="101"/>
      <c r="E715" s="101"/>
      <c r="F715" s="101"/>
      <c r="G715" s="101"/>
      <c r="H715" s="101"/>
    </row>
    <row r="716" spans="3:8">
      <c r="C716" s="101"/>
      <c r="D716" s="101"/>
      <c r="E716" s="101"/>
      <c r="F716" s="101"/>
      <c r="G716" s="101"/>
      <c r="H716" s="101"/>
    </row>
    <row r="717" spans="3:8">
      <c r="C717" s="101"/>
      <c r="D717" s="101"/>
      <c r="E717" s="101"/>
      <c r="F717" s="101"/>
      <c r="G717" s="101"/>
      <c r="H717" s="101"/>
    </row>
    <row r="718" spans="3:8">
      <c r="C718" s="101"/>
      <c r="D718" s="101"/>
      <c r="E718" s="101"/>
      <c r="F718" s="101"/>
      <c r="G718" s="101"/>
      <c r="H718" s="101"/>
    </row>
    <row r="719" spans="3:8">
      <c r="C719" s="101"/>
      <c r="D719" s="101"/>
      <c r="E719" s="101"/>
      <c r="F719" s="101"/>
      <c r="G719" s="101"/>
      <c r="H719" s="101"/>
    </row>
    <row r="720" spans="3:8">
      <c r="C720" s="101"/>
      <c r="D720" s="101"/>
      <c r="E720" s="101"/>
      <c r="F720" s="101"/>
      <c r="G720" s="101"/>
      <c r="H720" s="101"/>
    </row>
    <row r="721" spans="3:8">
      <c r="C721" s="101"/>
      <c r="D721" s="101"/>
      <c r="E721" s="101"/>
      <c r="F721" s="101"/>
      <c r="G721" s="101"/>
      <c r="H721" s="101"/>
    </row>
    <row r="722" spans="3:8">
      <c r="C722" s="101"/>
      <c r="D722" s="101"/>
      <c r="E722" s="101"/>
      <c r="F722" s="101"/>
      <c r="G722" s="101"/>
      <c r="H722" s="101"/>
    </row>
    <row r="723" spans="3:8">
      <c r="C723" s="101"/>
      <c r="D723" s="101"/>
      <c r="E723" s="101"/>
      <c r="F723" s="101"/>
      <c r="G723" s="101"/>
      <c r="H723" s="101"/>
    </row>
    <row r="724" spans="3:8">
      <c r="C724" s="101"/>
      <c r="D724" s="101"/>
      <c r="E724" s="101"/>
      <c r="F724" s="101"/>
      <c r="G724" s="101"/>
      <c r="H724" s="101"/>
    </row>
    <row r="725" spans="3:8">
      <c r="C725" s="101"/>
      <c r="D725" s="101"/>
      <c r="E725" s="101"/>
      <c r="F725" s="101"/>
      <c r="G725" s="101"/>
      <c r="H725" s="101"/>
    </row>
    <row r="726" spans="3:8">
      <c r="C726" s="101"/>
      <c r="D726" s="101"/>
      <c r="E726" s="101"/>
      <c r="F726" s="101"/>
      <c r="G726" s="101"/>
      <c r="H726" s="101"/>
    </row>
    <row r="727" spans="3:8">
      <c r="C727" s="101"/>
      <c r="D727" s="101"/>
      <c r="E727" s="101"/>
      <c r="F727" s="101"/>
      <c r="G727" s="101"/>
      <c r="H727" s="101"/>
    </row>
    <row r="728" spans="3:8">
      <c r="C728" s="101"/>
      <c r="D728" s="101"/>
      <c r="E728" s="101"/>
      <c r="F728" s="101"/>
      <c r="G728" s="101"/>
      <c r="H728" s="101"/>
    </row>
    <row r="729" spans="3:8">
      <c r="C729" s="101"/>
      <c r="D729" s="101"/>
      <c r="E729" s="101"/>
      <c r="F729" s="101"/>
      <c r="G729" s="101"/>
      <c r="H729" s="101"/>
    </row>
    <row r="730" spans="3:8">
      <c r="C730" s="101"/>
      <c r="D730" s="101"/>
      <c r="E730" s="101"/>
      <c r="F730" s="101"/>
      <c r="G730" s="101"/>
      <c r="H730" s="101"/>
    </row>
    <row r="731" spans="3:8">
      <c r="C731" s="101"/>
      <c r="D731" s="101"/>
      <c r="E731" s="101"/>
      <c r="F731" s="101"/>
      <c r="G731" s="101"/>
      <c r="H731" s="101"/>
    </row>
    <row r="732" spans="3:8">
      <c r="C732" s="101"/>
      <c r="D732" s="101"/>
      <c r="E732" s="101"/>
      <c r="F732" s="101"/>
      <c r="G732" s="101"/>
      <c r="H732" s="101"/>
    </row>
    <row r="733" spans="3:8">
      <c r="C733" s="101"/>
      <c r="D733" s="101"/>
      <c r="E733" s="101"/>
      <c r="F733" s="101"/>
      <c r="G733" s="101"/>
      <c r="H733" s="101"/>
    </row>
    <row r="734" spans="3:8">
      <c r="C734" s="101"/>
      <c r="D734" s="101"/>
      <c r="E734" s="101"/>
      <c r="F734" s="101"/>
      <c r="G734" s="101"/>
      <c r="H734" s="101"/>
    </row>
    <row r="735" spans="3:8">
      <c r="C735" s="101"/>
      <c r="D735" s="101"/>
      <c r="E735" s="101"/>
      <c r="F735" s="101"/>
      <c r="G735" s="101"/>
      <c r="H735" s="101"/>
    </row>
    <row r="736" spans="3:8">
      <c r="C736" s="101"/>
      <c r="D736" s="101"/>
      <c r="E736" s="101"/>
      <c r="F736" s="101"/>
      <c r="G736" s="101"/>
      <c r="H736" s="101"/>
    </row>
    <row r="737" spans="3:8">
      <c r="C737" s="101"/>
      <c r="D737" s="101"/>
      <c r="E737" s="101"/>
      <c r="F737" s="101"/>
      <c r="G737" s="101"/>
      <c r="H737" s="101"/>
    </row>
    <row r="738" spans="3:8">
      <c r="C738" s="101"/>
      <c r="D738" s="101"/>
      <c r="E738" s="101"/>
      <c r="F738" s="101"/>
      <c r="G738" s="101"/>
      <c r="H738" s="101"/>
    </row>
    <row r="739" spans="3:8">
      <c r="C739" s="101"/>
      <c r="D739" s="101"/>
      <c r="E739" s="101"/>
      <c r="F739" s="101"/>
      <c r="G739" s="101"/>
      <c r="H739" s="101"/>
    </row>
    <row r="740" spans="3:8">
      <c r="C740" s="101"/>
      <c r="D740" s="101"/>
      <c r="E740" s="101"/>
      <c r="F740" s="101"/>
      <c r="G740" s="101"/>
      <c r="H740" s="101"/>
    </row>
    <row r="741" spans="3:8">
      <c r="C741" s="101"/>
      <c r="D741" s="101"/>
      <c r="E741" s="101"/>
      <c r="F741" s="101"/>
      <c r="G741" s="101"/>
      <c r="H741" s="101"/>
    </row>
    <row r="742" spans="3:8">
      <c r="C742" s="101"/>
      <c r="D742" s="101"/>
      <c r="E742" s="101"/>
      <c r="F742" s="101"/>
      <c r="G742" s="101"/>
      <c r="H742" s="101"/>
    </row>
    <row r="743" spans="3:8">
      <c r="C743" s="101"/>
      <c r="D743" s="101"/>
      <c r="E743" s="101"/>
      <c r="F743" s="101"/>
      <c r="G743" s="101"/>
      <c r="H743" s="101"/>
    </row>
    <row r="744" spans="3:8">
      <c r="C744" s="101"/>
      <c r="D744" s="101"/>
      <c r="E744" s="101"/>
      <c r="F744" s="101"/>
      <c r="G744" s="101"/>
      <c r="H744" s="101"/>
    </row>
    <row r="745" spans="3:8">
      <c r="C745" s="101"/>
      <c r="D745" s="101"/>
      <c r="E745" s="101"/>
      <c r="F745" s="101"/>
      <c r="G745" s="101"/>
      <c r="H745" s="101"/>
    </row>
    <row r="746" spans="3:8">
      <c r="C746" s="101"/>
      <c r="D746" s="101"/>
      <c r="E746" s="101"/>
      <c r="F746" s="101"/>
      <c r="G746" s="101"/>
      <c r="H746" s="101"/>
    </row>
    <row r="747" spans="3:8">
      <c r="C747" s="101"/>
      <c r="D747" s="101"/>
      <c r="E747" s="101"/>
      <c r="F747" s="101"/>
      <c r="G747" s="101"/>
      <c r="H747" s="101"/>
    </row>
    <row r="748" spans="3:8">
      <c r="C748" s="101"/>
      <c r="D748" s="101"/>
      <c r="E748" s="101"/>
      <c r="F748" s="101"/>
      <c r="G748" s="101"/>
      <c r="H748" s="101"/>
    </row>
    <row r="749" spans="3:8">
      <c r="C749" s="101"/>
      <c r="D749" s="101"/>
      <c r="E749" s="101"/>
      <c r="F749" s="101"/>
      <c r="G749" s="101"/>
      <c r="H749" s="101"/>
    </row>
    <row r="750" spans="3:8">
      <c r="C750" s="101"/>
      <c r="D750" s="101"/>
      <c r="E750" s="101"/>
      <c r="F750" s="101"/>
      <c r="G750" s="101"/>
      <c r="H750" s="101"/>
    </row>
    <row r="751" spans="3:8">
      <c r="C751" s="101"/>
      <c r="D751" s="101"/>
      <c r="E751" s="101"/>
      <c r="F751" s="101"/>
      <c r="G751" s="101"/>
      <c r="H751" s="101"/>
    </row>
    <row r="752" spans="3:8">
      <c r="C752" s="101"/>
      <c r="D752" s="101"/>
      <c r="E752" s="101"/>
      <c r="F752" s="101"/>
      <c r="G752" s="101"/>
      <c r="H752" s="101"/>
    </row>
    <row r="753" spans="3:8">
      <c r="C753" s="101"/>
      <c r="D753" s="101"/>
      <c r="E753" s="101"/>
      <c r="F753" s="101"/>
      <c r="G753" s="101"/>
      <c r="H753" s="101"/>
    </row>
    <row r="754" spans="3:8">
      <c r="C754" s="101"/>
      <c r="D754" s="101"/>
      <c r="E754" s="101"/>
      <c r="F754" s="101"/>
      <c r="G754" s="101"/>
      <c r="H754" s="101"/>
    </row>
    <row r="755" spans="3:8">
      <c r="C755" s="101"/>
      <c r="D755" s="101"/>
      <c r="E755" s="101"/>
      <c r="F755" s="101"/>
      <c r="G755" s="101"/>
      <c r="H755" s="101"/>
    </row>
    <row r="756" spans="3:8">
      <c r="C756" s="101"/>
      <c r="D756" s="101"/>
      <c r="E756" s="101"/>
      <c r="F756" s="101"/>
      <c r="G756" s="101"/>
      <c r="H756" s="101"/>
    </row>
    <row r="757" spans="3:8">
      <c r="C757" s="101"/>
      <c r="D757" s="101"/>
      <c r="E757" s="101"/>
      <c r="F757" s="101"/>
      <c r="G757" s="101"/>
      <c r="H757" s="101"/>
    </row>
    <row r="758" spans="3:8">
      <c r="C758" s="101"/>
      <c r="D758" s="101"/>
      <c r="E758" s="101"/>
      <c r="F758" s="101"/>
      <c r="G758" s="101"/>
      <c r="H758" s="101"/>
    </row>
    <row r="759" spans="3:8">
      <c r="C759" s="101"/>
      <c r="D759" s="101"/>
      <c r="E759" s="101"/>
      <c r="F759" s="101"/>
      <c r="G759" s="101"/>
      <c r="H759" s="101"/>
    </row>
    <row r="760" spans="3:8">
      <c r="C760" s="101"/>
      <c r="D760" s="101"/>
      <c r="E760" s="101"/>
      <c r="F760" s="101"/>
      <c r="G760" s="101"/>
      <c r="H760" s="101"/>
    </row>
    <row r="761" spans="3:8">
      <c r="C761" s="101"/>
      <c r="D761" s="101"/>
      <c r="E761" s="101"/>
      <c r="F761" s="101"/>
      <c r="G761" s="101"/>
      <c r="H761" s="101"/>
    </row>
    <row r="762" spans="3:8">
      <c r="C762" s="101"/>
      <c r="D762" s="101"/>
      <c r="E762" s="101"/>
      <c r="F762" s="101"/>
      <c r="G762" s="101"/>
      <c r="H762" s="101"/>
    </row>
    <row r="763" spans="3:8">
      <c r="C763" s="101"/>
      <c r="D763" s="101"/>
      <c r="E763" s="101"/>
      <c r="F763" s="101"/>
      <c r="G763" s="101"/>
      <c r="H763" s="101"/>
    </row>
    <row r="764" spans="3:8">
      <c r="C764" s="101"/>
      <c r="D764" s="101"/>
      <c r="E764" s="101"/>
      <c r="F764" s="101"/>
      <c r="G764" s="101"/>
      <c r="H764" s="101"/>
    </row>
    <row r="765" spans="3:8">
      <c r="C765" s="101"/>
      <c r="D765" s="101"/>
      <c r="E765" s="101"/>
      <c r="F765" s="101"/>
      <c r="G765" s="101"/>
      <c r="H765" s="101"/>
    </row>
    <row r="766" spans="3:8">
      <c r="C766" s="101"/>
      <c r="D766" s="101"/>
      <c r="E766" s="101"/>
      <c r="F766" s="101"/>
      <c r="G766" s="101"/>
      <c r="H766" s="101"/>
    </row>
    <row r="767" spans="3:8">
      <c r="C767" s="101"/>
      <c r="D767" s="101"/>
      <c r="E767" s="101"/>
      <c r="F767" s="101"/>
      <c r="G767" s="101"/>
      <c r="H767" s="101"/>
    </row>
    <row r="768" spans="3:8">
      <c r="C768" s="101"/>
      <c r="D768" s="101"/>
      <c r="E768" s="101"/>
      <c r="F768" s="101"/>
      <c r="G768" s="101"/>
      <c r="H768" s="101"/>
    </row>
    <row r="769" spans="3:8">
      <c r="C769" s="101"/>
      <c r="D769" s="101"/>
      <c r="E769" s="101"/>
      <c r="F769" s="101"/>
      <c r="G769" s="101"/>
      <c r="H769" s="101"/>
    </row>
    <row r="770" spans="3:8">
      <c r="C770" s="101"/>
      <c r="D770" s="101"/>
      <c r="E770" s="101"/>
      <c r="F770" s="101"/>
      <c r="G770" s="101"/>
      <c r="H770" s="101"/>
    </row>
    <row r="771" spans="3:8">
      <c r="C771" s="101"/>
      <c r="D771" s="101"/>
      <c r="E771" s="101"/>
      <c r="F771" s="101"/>
      <c r="G771" s="101"/>
      <c r="H771" s="101"/>
    </row>
    <row r="772" spans="3:8">
      <c r="C772" s="101"/>
      <c r="D772" s="101"/>
      <c r="E772" s="101"/>
      <c r="F772" s="101"/>
      <c r="G772" s="101"/>
      <c r="H772" s="101"/>
    </row>
    <row r="773" spans="3:8">
      <c r="C773" s="101"/>
      <c r="D773" s="101"/>
      <c r="E773" s="101"/>
      <c r="F773" s="101"/>
      <c r="G773" s="101"/>
      <c r="H773" s="101"/>
    </row>
    <row r="774" spans="3:8">
      <c r="C774" s="101"/>
      <c r="D774" s="101"/>
      <c r="E774" s="101"/>
      <c r="F774" s="101"/>
      <c r="G774" s="101"/>
      <c r="H774" s="101"/>
    </row>
    <row r="775" spans="3:8">
      <c r="C775" s="101"/>
      <c r="D775" s="101"/>
      <c r="E775" s="101"/>
      <c r="F775" s="101"/>
      <c r="G775" s="101"/>
      <c r="H775" s="101"/>
    </row>
    <row r="776" spans="3:8">
      <c r="C776" s="101"/>
      <c r="D776" s="101"/>
      <c r="E776" s="101"/>
      <c r="F776" s="101"/>
      <c r="G776" s="101"/>
      <c r="H776" s="101"/>
    </row>
    <row r="777" spans="3:8">
      <c r="C777" s="101"/>
      <c r="D777" s="101"/>
      <c r="E777" s="101"/>
      <c r="F777" s="101"/>
      <c r="G777" s="101"/>
      <c r="H777" s="101"/>
    </row>
    <row r="778" spans="3:8">
      <c r="C778" s="101"/>
      <c r="D778" s="101"/>
      <c r="E778" s="101"/>
      <c r="F778" s="101"/>
      <c r="G778" s="101"/>
      <c r="H778" s="101"/>
    </row>
    <row r="779" spans="3:8">
      <c r="C779" s="101"/>
      <c r="D779" s="101"/>
      <c r="E779" s="101"/>
      <c r="F779" s="101"/>
      <c r="G779" s="101"/>
      <c r="H779" s="101"/>
    </row>
    <row r="780" spans="3:8">
      <c r="C780" s="101"/>
      <c r="D780" s="101"/>
      <c r="E780" s="101"/>
      <c r="F780" s="101"/>
      <c r="G780" s="101"/>
      <c r="H780" s="101"/>
    </row>
    <row r="781" spans="3:8">
      <c r="C781" s="101"/>
      <c r="D781" s="101"/>
      <c r="E781" s="101"/>
      <c r="F781" s="101"/>
      <c r="G781" s="101"/>
      <c r="H781" s="101"/>
    </row>
    <row r="782" spans="3:8">
      <c r="C782" s="101"/>
      <c r="D782" s="101"/>
      <c r="E782" s="101"/>
      <c r="F782" s="101"/>
      <c r="G782" s="101"/>
      <c r="H782" s="101"/>
    </row>
    <row r="783" spans="3:8">
      <c r="C783" s="101"/>
      <c r="D783" s="101"/>
      <c r="E783" s="101"/>
      <c r="F783" s="101"/>
      <c r="G783" s="101"/>
      <c r="H783" s="101"/>
    </row>
    <row r="784" spans="3:8">
      <c r="C784" s="101"/>
      <c r="D784" s="101"/>
      <c r="E784" s="101"/>
      <c r="F784" s="101"/>
      <c r="G784" s="101"/>
      <c r="H784" s="101"/>
    </row>
    <row r="785" spans="3:8">
      <c r="C785" s="101"/>
      <c r="D785" s="101"/>
      <c r="E785" s="101"/>
      <c r="F785" s="101"/>
      <c r="G785" s="101"/>
      <c r="H785" s="101"/>
    </row>
    <row r="786" spans="3:8">
      <c r="C786" s="101"/>
      <c r="D786" s="101"/>
      <c r="E786" s="101"/>
      <c r="F786" s="101"/>
      <c r="G786" s="101"/>
      <c r="H786" s="101"/>
    </row>
    <row r="787" spans="3:8">
      <c r="C787" s="101"/>
      <c r="D787" s="101"/>
      <c r="E787" s="101"/>
      <c r="F787" s="101"/>
      <c r="G787" s="101"/>
      <c r="H787" s="101"/>
    </row>
    <row r="788" spans="3:8">
      <c r="C788" s="101"/>
      <c r="D788" s="101"/>
      <c r="E788" s="101"/>
      <c r="F788" s="101"/>
      <c r="G788" s="101"/>
      <c r="H788" s="101"/>
    </row>
    <row r="789" spans="3:8">
      <c r="C789" s="101"/>
      <c r="D789" s="101"/>
      <c r="E789" s="101"/>
      <c r="F789" s="101"/>
      <c r="G789" s="101"/>
      <c r="H789" s="101"/>
    </row>
    <row r="790" spans="3:8">
      <c r="C790" s="101"/>
      <c r="D790" s="101"/>
      <c r="E790" s="101"/>
      <c r="F790" s="101"/>
      <c r="G790" s="101"/>
      <c r="H790" s="101"/>
    </row>
    <row r="791" spans="3:8">
      <c r="C791" s="101"/>
      <c r="D791" s="101"/>
      <c r="E791" s="101"/>
      <c r="F791" s="101"/>
      <c r="G791" s="101"/>
      <c r="H791" s="101"/>
    </row>
    <row r="792" spans="3:8">
      <c r="C792" s="101"/>
      <c r="D792" s="101"/>
      <c r="E792" s="101"/>
      <c r="F792" s="101"/>
      <c r="G792" s="101"/>
      <c r="H792" s="101"/>
    </row>
    <row r="793" spans="3:8">
      <c r="C793" s="101"/>
      <c r="D793" s="101"/>
      <c r="E793" s="101"/>
      <c r="F793" s="101"/>
      <c r="G793" s="101"/>
      <c r="H793" s="101"/>
    </row>
    <row r="794" spans="3:8">
      <c r="C794" s="101"/>
      <c r="D794" s="101"/>
      <c r="E794" s="101"/>
      <c r="F794" s="101"/>
      <c r="G794" s="101"/>
      <c r="H794" s="101"/>
    </row>
    <row r="795" spans="3:8">
      <c r="C795" s="101"/>
      <c r="D795" s="101"/>
      <c r="E795" s="101"/>
      <c r="F795" s="101"/>
      <c r="G795" s="101"/>
      <c r="H795" s="101"/>
    </row>
    <row r="796" spans="3:8">
      <c r="C796" s="101"/>
      <c r="D796" s="101"/>
      <c r="E796" s="101"/>
      <c r="F796" s="101"/>
      <c r="G796" s="101"/>
      <c r="H796" s="101"/>
    </row>
    <row r="797" spans="3:8">
      <c r="C797" s="101"/>
      <c r="D797" s="101"/>
      <c r="E797" s="101"/>
      <c r="F797" s="101"/>
      <c r="G797" s="101"/>
      <c r="H797" s="101"/>
    </row>
    <row r="798" spans="3:8">
      <c r="C798" s="101"/>
      <c r="D798" s="101"/>
      <c r="E798" s="101"/>
      <c r="F798" s="101"/>
      <c r="G798" s="101"/>
      <c r="H798" s="101"/>
    </row>
    <row r="799" spans="3:8">
      <c r="C799" s="101"/>
      <c r="D799" s="101"/>
      <c r="E799" s="101"/>
      <c r="F799" s="101"/>
      <c r="G799" s="101"/>
      <c r="H799" s="101"/>
    </row>
    <row r="800" spans="3:8">
      <c r="C800" s="101"/>
      <c r="D800" s="101"/>
      <c r="E800" s="101"/>
      <c r="F800" s="101"/>
      <c r="G800" s="101"/>
      <c r="H800" s="101"/>
    </row>
    <row r="801" spans="3:8">
      <c r="C801" s="101"/>
      <c r="D801" s="101"/>
      <c r="E801" s="101"/>
      <c r="F801" s="101"/>
      <c r="G801" s="101"/>
      <c r="H801" s="101"/>
    </row>
    <row r="802" spans="3:8">
      <c r="C802" s="101"/>
      <c r="D802" s="101"/>
      <c r="E802" s="101"/>
      <c r="F802" s="101"/>
      <c r="G802" s="101"/>
      <c r="H802" s="101"/>
    </row>
    <row r="803" spans="3:8">
      <c r="C803" s="101"/>
      <c r="D803" s="101"/>
      <c r="E803" s="101"/>
      <c r="F803" s="101"/>
      <c r="G803" s="101"/>
      <c r="H803" s="101"/>
    </row>
    <row r="804" spans="3:8">
      <c r="C804" s="101"/>
      <c r="D804" s="101"/>
      <c r="E804" s="101"/>
      <c r="F804" s="101"/>
      <c r="G804" s="101"/>
      <c r="H804" s="101"/>
    </row>
    <row r="805" spans="3:8">
      <c r="C805" s="101"/>
      <c r="D805" s="101"/>
      <c r="E805" s="101"/>
      <c r="F805" s="101"/>
      <c r="G805" s="101"/>
      <c r="H805" s="101"/>
    </row>
    <row r="806" spans="3:8">
      <c r="C806" s="101"/>
      <c r="D806" s="101"/>
      <c r="E806" s="101"/>
      <c r="F806" s="101"/>
      <c r="G806" s="101"/>
      <c r="H806" s="101"/>
    </row>
    <row r="807" spans="3:8">
      <c r="C807" s="101"/>
      <c r="D807" s="101"/>
      <c r="E807" s="101"/>
      <c r="F807" s="101"/>
      <c r="G807" s="101"/>
      <c r="H807" s="101"/>
    </row>
    <row r="808" spans="3:8">
      <c r="C808" s="101"/>
      <c r="D808" s="101"/>
      <c r="E808" s="101"/>
      <c r="F808" s="101"/>
      <c r="G808" s="101"/>
      <c r="H808" s="101"/>
    </row>
    <row r="809" spans="3:8">
      <c r="C809" s="101"/>
      <c r="D809" s="101"/>
      <c r="E809" s="101"/>
      <c r="F809" s="101"/>
      <c r="G809" s="101"/>
      <c r="H809" s="101"/>
    </row>
    <row r="810" spans="3:8">
      <c r="C810" s="101"/>
      <c r="D810" s="101"/>
      <c r="E810" s="101"/>
      <c r="F810" s="101"/>
      <c r="G810" s="101"/>
      <c r="H810" s="101"/>
    </row>
    <row r="811" spans="3:8">
      <c r="C811" s="101"/>
      <c r="D811" s="101"/>
      <c r="E811" s="101"/>
      <c r="F811" s="101"/>
      <c r="G811" s="101"/>
      <c r="H811" s="101"/>
    </row>
    <row r="812" spans="3:8">
      <c r="C812" s="101"/>
      <c r="D812" s="101"/>
      <c r="E812" s="101"/>
      <c r="F812" s="101"/>
      <c r="G812" s="101"/>
      <c r="H812" s="101"/>
    </row>
    <row r="813" spans="3:8">
      <c r="C813" s="101"/>
      <c r="D813" s="101"/>
      <c r="E813" s="101"/>
      <c r="F813" s="101"/>
      <c r="G813" s="101"/>
      <c r="H813" s="101"/>
    </row>
    <row r="814" spans="3:8">
      <c r="C814" s="101"/>
      <c r="D814" s="101"/>
      <c r="E814" s="101"/>
      <c r="F814" s="101"/>
      <c r="G814" s="101"/>
      <c r="H814" s="101"/>
    </row>
    <row r="815" spans="3:8">
      <c r="C815" s="101"/>
      <c r="D815" s="101"/>
      <c r="E815" s="101"/>
      <c r="F815" s="101"/>
      <c r="G815" s="101"/>
      <c r="H815" s="101"/>
    </row>
    <row r="816" spans="3:8">
      <c r="C816" s="101"/>
      <c r="D816" s="101"/>
      <c r="E816" s="101"/>
      <c r="F816" s="101"/>
      <c r="G816" s="101"/>
      <c r="H816" s="101"/>
    </row>
    <row r="817" spans="3:8">
      <c r="C817" s="101"/>
      <c r="D817" s="101"/>
      <c r="E817" s="101"/>
      <c r="F817" s="101"/>
      <c r="G817" s="101"/>
      <c r="H817" s="101"/>
    </row>
    <row r="818" spans="3:8">
      <c r="C818" s="101"/>
      <c r="D818" s="101"/>
      <c r="E818" s="101"/>
      <c r="F818" s="101"/>
      <c r="G818" s="101"/>
      <c r="H818" s="101"/>
    </row>
    <row r="819" spans="3:8">
      <c r="C819" s="101"/>
      <c r="D819" s="101"/>
      <c r="E819" s="101"/>
      <c r="F819" s="101"/>
      <c r="G819" s="101"/>
      <c r="H819" s="101"/>
    </row>
    <row r="820" spans="3:8">
      <c r="C820" s="101"/>
      <c r="D820" s="101"/>
      <c r="E820" s="101"/>
      <c r="F820" s="101"/>
      <c r="G820" s="101"/>
      <c r="H820" s="101"/>
    </row>
    <row r="821" spans="3:8">
      <c r="C821" s="101"/>
      <c r="D821" s="101"/>
      <c r="E821" s="101"/>
      <c r="F821" s="101"/>
      <c r="G821" s="101"/>
      <c r="H821" s="101"/>
    </row>
    <row r="822" spans="3:8">
      <c r="C822" s="101"/>
      <c r="D822" s="101"/>
      <c r="E822" s="101"/>
      <c r="F822" s="101"/>
      <c r="G822" s="101"/>
      <c r="H822" s="101"/>
    </row>
    <row r="823" spans="3:8">
      <c r="C823" s="101"/>
      <c r="D823" s="101"/>
      <c r="E823" s="101"/>
      <c r="F823" s="101"/>
      <c r="G823" s="101"/>
      <c r="H823" s="101"/>
    </row>
    <row r="824" spans="3:8">
      <c r="C824" s="101"/>
      <c r="D824" s="101"/>
      <c r="E824" s="101"/>
      <c r="F824" s="101"/>
      <c r="G824" s="101"/>
      <c r="H824" s="101"/>
    </row>
    <row r="825" spans="3:8">
      <c r="C825" s="101"/>
      <c r="D825" s="101"/>
      <c r="E825" s="101"/>
      <c r="F825" s="101"/>
      <c r="G825" s="101"/>
      <c r="H825" s="101"/>
    </row>
    <row r="826" spans="3:8">
      <c r="C826" s="101"/>
      <c r="D826" s="101"/>
      <c r="E826" s="101"/>
      <c r="F826" s="101"/>
      <c r="G826" s="101"/>
      <c r="H826" s="101"/>
    </row>
    <row r="827" spans="3:8">
      <c r="C827" s="101"/>
      <c r="D827" s="101"/>
      <c r="E827" s="101"/>
      <c r="F827" s="101"/>
      <c r="G827" s="101"/>
      <c r="H827" s="101"/>
    </row>
    <row r="828" spans="3:8">
      <c r="C828" s="101"/>
      <c r="D828" s="101"/>
      <c r="E828" s="101"/>
      <c r="F828" s="101"/>
      <c r="G828" s="101"/>
      <c r="H828" s="101"/>
    </row>
    <row r="829" spans="3:8">
      <c r="C829" s="101"/>
      <c r="D829" s="101"/>
      <c r="E829" s="101"/>
      <c r="F829" s="101"/>
      <c r="G829" s="101"/>
      <c r="H829" s="101"/>
    </row>
    <row r="830" spans="3:8">
      <c r="C830" s="101"/>
      <c r="D830" s="101"/>
      <c r="E830" s="101"/>
      <c r="F830" s="101"/>
      <c r="G830" s="101"/>
      <c r="H830" s="101"/>
    </row>
    <row r="831" spans="3:8">
      <c r="C831" s="101"/>
      <c r="D831" s="101"/>
      <c r="E831" s="101"/>
      <c r="F831" s="101"/>
      <c r="G831" s="101"/>
      <c r="H831" s="101"/>
    </row>
    <row r="832" spans="3:8">
      <c r="C832" s="101"/>
      <c r="D832" s="101"/>
      <c r="E832" s="101"/>
      <c r="F832" s="101"/>
      <c r="G832" s="101"/>
      <c r="H832" s="101"/>
    </row>
    <row r="833" spans="3:8">
      <c r="C833" s="101"/>
      <c r="D833" s="101"/>
      <c r="E833" s="101"/>
      <c r="F833" s="101"/>
      <c r="G833" s="101"/>
      <c r="H833" s="101"/>
    </row>
    <row r="834" spans="3:8">
      <c r="C834" s="101"/>
      <c r="D834" s="101"/>
      <c r="E834" s="101"/>
      <c r="F834" s="101"/>
      <c r="G834" s="101"/>
      <c r="H834" s="101"/>
    </row>
    <row r="835" spans="3:8">
      <c r="C835" s="101"/>
      <c r="D835" s="101"/>
      <c r="E835" s="101"/>
      <c r="F835" s="101"/>
      <c r="G835" s="101"/>
      <c r="H835" s="101"/>
    </row>
    <row r="836" spans="3:8">
      <c r="C836" s="101"/>
      <c r="D836" s="101"/>
      <c r="E836" s="101"/>
      <c r="F836" s="101"/>
      <c r="G836" s="101"/>
      <c r="H836" s="101"/>
    </row>
    <row r="837" spans="3:8">
      <c r="C837" s="101"/>
      <c r="D837" s="101"/>
      <c r="E837" s="101"/>
      <c r="F837" s="101"/>
      <c r="G837" s="101"/>
      <c r="H837" s="101"/>
    </row>
    <row r="838" spans="3:8">
      <c r="C838" s="101"/>
      <c r="D838" s="101"/>
      <c r="E838" s="101"/>
      <c r="F838" s="101"/>
      <c r="G838" s="101"/>
      <c r="H838" s="101"/>
    </row>
    <row r="839" spans="3:8">
      <c r="C839" s="101"/>
      <c r="D839" s="101"/>
      <c r="E839" s="101"/>
      <c r="F839" s="101"/>
      <c r="G839" s="101"/>
      <c r="H839" s="101"/>
    </row>
    <row r="840" spans="3:8">
      <c r="C840" s="101"/>
      <c r="D840" s="101"/>
      <c r="E840" s="101"/>
      <c r="F840" s="101"/>
      <c r="G840" s="101"/>
      <c r="H840" s="101"/>
    </row>
    <row r="841" spans="3:8">
      <c r="C841" s="101"/>
      <c r="D841" s="101"/>
      <c r="E841" s="101"/>
      <c r="F841" s="101"/>
      <c r="G841" s="101"/>
      <c r="H841" s="101"/>
    </row>
    <row r="842" spans="3:8">
      <c r="C842" s="101"/>
      <c r="D842" s="101"/>
      <c r="E842" s="101"/>
      <c r="F842" s="101"/>
      <c r="G842" s="101"/>
      <c r="H842" s="101"/>
    </row>
    <row r="843" spans="3:8">
      <c r="C843" s="101"/>
      <c r="D843" s="101"/>
      <c r="E843" s="101"/>
      <c r="F843" s="101"/>
      <c r="G843" s="101"/>
      <c r="H843" s="101"/>
    </row>
    <row r="844" spans="3:8">
      <c r="C844" s="101"/>
      <c r="D844" s="101"/>
      <c r="E844" s="101"/>
      <c r="F844" s="101"/>
      <c r="G844" s="101"/>
      <c r="H844" s="101"/>
    </row>
    <row r="845" spans="3:8">
      <c r="C845" s="101"/>
      <c r="D845" s="101"/>
      <c r="E845" s="101"/>
      <c r="F845" s="101"/>
      <c r="G845" s="101"/>
      <c r="H845" s="101"/>
    </row>
    <row r="846" spans="3:8">
      <c r="C846" s="101"/>
      <c r="D846" s="101"/>
      <c r="E846" s="101"/>
      <c r="F846" s="101"/>
      <c r="G846" s="101"/>
      <c r="H846" s="101"/>
    </row>
    <row r="847" spans="3:8">
      <c r="C847" s="101"/>
      <c r="D847" s="101"/>
      <c r="E847" s="101"/>
      <c r="F847" s="101"/>
      <c r="G847" s="101"/>
      <c r="H847" s="101"/>
    </row>
    <row r="848" spans="3:8">
      <c r="C848" s="101"/>
      <c r="D848" s="101"/>
      <c r="E848" s="101"/>
      <c r="F848" s="101"/>
      <c r="G848" s="101"/>
      <c r="H848" s="101"/>
    </row>
    <row r="849" spans="3:8">
      <c r="C849" s="101"/>
      <c r="D849" s="101"/>
      <c r="E849" s="101"/>
      <c r="F849" s="101"/>
      <c r="G849" s="101"/>
      <c r="H849" s="101"/>
    </row>
    <row r="850" spans="3:8">
      <c r="C850" s="101"/>
      <c r="D850" s="101"/>
      <c r="E850" s="101"/>
      <c r="F850" s="101"/>
      <c r="G850" s="101"/>
      <c r="H850" s="101"/>
    </row>
    <row r="851" spans="3:8">
      <c r="C851" s="101"/>
      <c r="D851" s="101"/>
      <c r="E851" s="101"/>
      <c r="F851" s="101"/>
      <c r="G851" s="101"/>
      <c r="H851" s="101"/>
    </row>
    <row r="852" spans="3:8">
      <c r="C852" s="101"/>
      <c r="D852" s="101"/>
      <c r="E852" s="101"/>
      <c r="F852" s="101"/>
      <c r="G852" s="101"/>
      <c r="H852" s="101"/>
    </row>
    <row r="853" spans="3:8">
      <c r="C853" s="101"/>
      <c r="D853" s="101"/>
      <c r="E853" s="101"/>
      <c r="F853" s="101"/>
      <c r="G853" s="101"/>
      <c r="H853" s="101"/>
    </row>
    <row r="854" spans="3:8">
      <c r="C854" s="101"/>
      <c r="D854" s="101"/>
      <c r="E854" s="101"/>
      <c r="F854" s="101"/>
      <c r="G854" s="101"/>
      <c r="H854" s="101"/>
    </row>
    <row r="855" spans="3:8">
      <c r="C855" s="101"/>
      <c r="D855" s="101"/>
      <c r="E855" s="101"/>
      <c r="F855" s="101"/>
      <c r="G855" s="101"/>
      <c r="H855" s="101"/>
    </row>
    <row r="856" spans="3:8">
      <c r="C856" s="101"/>
      <c r="D856" s="101"/>
      <c r="E856" s="101"/>
      <c r="F856" s="101"/>
      <c r="G856" s="101"/>
      <c r="H856" s="101"/>
    </row>
    <row r="857" spans="3:8">
      <c r="C857" s="101"/>
      <c r="D857" s="101"/>
      <c r="E857" s="101"/>
      <c r="F857" s="101"/>
      <c r="G857" s="101"/>
      <c r="H857" s="101"/>
    </row>
    <row r="858" spans="3:8">
      <c r="C858" s="101"/>
      <c r="D858" s="101"/>
      <c r="E858" s="101"/>
      <c r="F858" s="101"/>
      <c r="G858" s="101"/>
      <c r="H858" s="101"/>
    </row>
    <row r="859" spans="3:8">
      <c r="C859" s="101"/>
      <c r="D859" s="101"/>
      <c r="E859" s="101"/>
      <c r="F859" s="101"/>
      <c r="G859" s="101"/>
      <c r="H859" s="101"/>
    </row>
    <row r="860" spans="3:8">
      <c r="C860" s="101"/>
      <c r="D860" s="101"/>
      <c r="E860" s="101"/>
      <c r="F860" s="101"/>
      <c r="G860" s="101"/>
      <c r="H860" s="101"/>
    </row>
    <row r="861" spans="3:8">
      <c r="C861" s="101"/>
      <c r="D861" s="101"/>
      <c r="E861" s="101"/>
      <c r="F861" s="101"/>
      <c r="G861" s="101"/>
      <c r="H861" s="101"/>
    </row>
    <row r="862" spans="3:8">
      <c r="C862" s="101"/>
      <c r="D862" s="101"/>
      <c r="E862" s="101"/>
      <c r="F862" s="101"/>
      <c r="G862" s="101"/>
      <c r="H862" s="101"/>
    </row>
    <row r="863" spans="3:8">
      <c r="C863" s="101"/>
      <c r="D863" s="101"/>
      <c r="E863" s="101"/>
      <c r="F863" s="101"/>
      <c r="G863" s="101"/>
      <c r="H863" s="101"/>
    </row>
    <row r="864" spans="3:8">
      <c r="C864" s="101"/>
      <c r="D864" s="101"/>
      <c r="E864" s="101"/>
      <c r="F864" s="101"/>
      <c r="G864" s="101"/>
      <c r="H864" s="101"/>
    </row>
    <row r="865" spans="3:8">
      <c r="C865" s="101"/>
      <c r="D865" s="101"/>
      <c r="E865" s="101"/>
      <c r="F865" s="101"/>
      <c r="G865" s="101"/>
      <c r="H865" s="101"/>
    </row>
    <row r="866" spans="3:8">
      <c r="C866" s="101"/>
      <c r="D866" s="101"/>
      <c r="E866" s="101"/>
      <c r="F866" s="101"/>
      <c r="G866" s="101"/>
      <c r="H866" s="101"/>
    </row>
    <row r="867" spans="3:8">
      <c r="C867" s="101"/>
      <c r="D867" s="101"/>
      <c r="E867" s="101"/>
      <c r="F867" s="101"/>
      <c r="G867" s="101"/>
      <c r="H867" s="101"/>
    </row>
    <row r="868" spans="3:8">
      <c r="C868" s="101"/>
      <c r="D868" s="101"/>
      <c r="E868" s="101"/>
      <c r="F868" s="101"/>
      <c r="G868" s="101"/>
      <c r="H868" s="101"/>
    </row>
    <row r="869" spans="3:8">
      <c r="C869" s="101"/>
      <c r="D869" s="101"/>
      <c r="E869" s="101"/>
      <c r="F869" s="101"/>
      <c r="G869" s="101"/>
      <c r="H869" s="101"/>
    </row>
    <row r="870" spans="3:8">
      <c r="C870" s="101"/>
      <c r="D870" s="101"/>
      <c r="E870" s="101"/>
      <c r="F870" s="101"/>
      <c r="G870" s="101"/>
      <c r="H870" s="101"/>
    </row>
    <row r="871" spans="3:8">
      <c r="C871" s="101"/>
      <c r="D871" s="101"/>
      <c r="E871" s="101"/>
      <c r="F871" s="101"/>
      <c r="G871" s="101"/>
      <c r="H871" s="101"/>
    </row>
    <row r="872" spans="3:8">
      <c r="C872" s="101"/>
      <c r="D872" s="101"/>
      <c r="E872" s="101"/>
      <c r="F872" s="101"/>
      <c r="G872" s="101"/>
      <c r="H872" s="101"/>
    </row>
    <row r="873" spans="3:8">
      <c r="C873" s="101"/>
      <c r="D873" s="101"/>
      <c r="E873" s="101"/>
      <c r="F873" s="101"/>
      <c r="G873" s="101"/>
      <c r="H873" s="101"/>
    </row>
    <row r="874" spans="3:8">
      <c r="C874" s="101"/>
      <c r="D874" s="101"/>
      <c r="E874" s="101"/>
      <c r="F874" s="101"/>
      <c r="G874" s="101"/>
      <c r="H874" s="101"/>
    </row>
    <row r="875" spans="3:8">
      <c r="C875" s="101"/>
      <c r="D875" s="101"/>
      <c r="E875" s="101"/>
      <c r="F875" s="101"/>
      <c r="G875" s="101"/>
      <c r="H875" s="101"/>
    </row>
    <row r="876" spans="3:8">
      <c r="C876" s="101"/>
      <c r="D876" s="101"/>
      <c r="E876" s="101"/>
      <c r="F876" s="101"/>
      <c r="G876" s="101"/>
      <c r="H876" s="101"/>
    </row>
    <row r="877" spans="3:8">
      <c r="C877" s="101"/>
      <c r="D877" s="101"/>
      <c r="E877" s="101"/>
      <c r="F877" s="101"/>
      <c r="G877" s="101"/>
      <c r="H877" s="101"/>
    </row>
    <row r="878" spans="3:8">
      <c r="C878" s="101"/>
      <c r="D878" s="101"/>
      <c r="E878" s="101"/>
      <c r="F878" s="101"/>
      <c r="G878" s="101"/>
      <c r="H878" s="101"/>
    </row>
    <row r="879" spans="3:8">
      <c r="C879" s="101"/>
      <c r="D879" s="101"/>
      <c r="E879" s="101"/>
      <c r="F879" s="101"/>
      <c r="G879" s="101"/>
      <c r="H879" s="101"/>
    </row>
    <row r="880" spans="3:8">
      <c r="C880" s="101"/>
      <c r="D880" s="101"/>
      <c r="E880" s="101"/>
      <c r="F880" s="101"/>
      <c r="G880" s="101"/>
      <c r="H880" s="101"/>
    </row>
    <row r="881" spans="3:8">
      <c r="C881" s="101"/>
      <c r="D881" s="101"/>
      <c r="E881" s="101"/>
      <c r="F881" s="101"/>
      <c r="G881" s="101"/>
      <c r="H881" s="101"/>
    </row>
    <row r="882" spans="3:8">
      <c r="C882" s="101"/>
      <c r="D882" s="101"/>
      <c r="E882" s="101"/>
      <c r="F882" s="101"/>
      <c r="G882" s="101"/>
      <c r="H882" s="101"/>
    </row>
    <row r="883" spans="3:8">
      <c r="C883" s="101"/>
      <c r="D883" s="101"/>
      <c r="E883" s="101"/>
      <c r="F883" s="101"/>
      <c r="G883" s="101"/>
      <c r="H883" s="101"/>
    </row>
    <row r="884" spans="3:8">
      <c r="C884" s="101"/>
      <c r="D884" s="101"/>
      <c r="E884" s="101"/>
      <c r="F884" s="101"/>
      <c r="G884" s="101"/>
      <c r="H884" s="101"/>
    </row>
    <row r="885" spans="3:8">
      <c r="C885" s="101"/>
      <c r="D885" s="101"/>
      <c r="E885" s="101"/>
      <c r="F885" s="101"/>
      <c r="G885" s="101"/>
      <c r="H885" s="101"/>
    </row>
    <row r="886" spans="3:8">
      <c r="C886" s="101"/>
      <c r="D886" s="101"/>
      <c r="E886" s="101"/>
      <c r="F886" s="101"/>
      <c r="G886" s="101"/>
      <c r="H886" s="101"/>
    </row>
    <row r="887" spans="3:8">
      <c r="C887" s="101"/>
      <c r="D887" s="101"/>
      <c r="E887" s="101"/>
      <c r="F887" s="101"/>
      <c r="G887" s="101"/>
      <c r="H887" s="101"/>
    </row>
    <row r="888" spans="3:8">
      <c r="C888" s="101"/>
      <c r="D888" s="101"/>
      <c r="E888" s="101"/>
      <c r="F888" s="101"/>
      <c r="G888" s="101"/>
      <c r="H888" s="101"/>
    </row>
    <row r="889" spans="3:8">
      <c r="C889" s="101"/>
      <c r="D889" s="101"/>
      <c r="E889" s="101"/>
      <c r="F889" s="101"/>
      <c r="G889" s="101"/>
      <c r="H889" s="101"/>
    </row>
    <row r="890" spans="3:8">
      <c r="C890" s="101"/>
      <c r="D890" s="101"/>
      <c r="E890" s="101"/>
      <c r="F890" s="101"/>
      <c r="G890" s="101"/>
      <c r="H890" s="101"/>
    </row>
    <row r="891" spans="3:8">
      <c r="C891" s="101"/>
      <c r="D891" s="101"/>
      <c r="E891" s="101"/>
      <c r="F891" s="101"/>
      <c r="G891" s="101"/>
      <c r="H891" s="101"/>
    </row>
    <row r="892" spans="3:8">
      <c r="C892" s="101"/>
      <c r="D892" s="101"/>
      <c r="E892" s="101"/>
      <c r="F892" s="101"/>
      <c r="G892" s="101"/>
      <c r="H892" s="101"/>
    </row>
    <row r="893" spans="3:8">
      <c r="C893" s="101"/>
      <c r="D893" s="101"/>
      <c r="E893" s="101"/>
      <c r="F893" s="101"/>
      <c r="G893" s="101"/>
      <c r="H893" s="101"/>
    </row>
    <row r="894" spans="3:8">
      <c r="C894" s="101"/>
      <c r="D894" s="101"/>
      <c r="E894" s="101"/>
      <c r="F894" s="101"/>
      <c r="G894" s="101"/>
      <c r="H894" s="101"/>
    </row>
    <row r="895" spans="3:8">
      <c r="C895" s="101"/>
      <c r="D895" s="101"/>
      <c r="E895" s="101"/>
      <c r="F895" s="101"/>
      <c r="G895" s="101"/>
      <c r="H895" s="101"/>
    </row>
    <row r="896" spans="3:8">
      <c r="C896" s="101"/>
      <c r="D896" s="101"/>
      <c r="E896" s="101"/>
      <c r="F896" s="101"/>
      <c r="G896" s="101"/>
      <c r="H896" s="101"/>
    </row>
    <row r="897" spans="3:8">
      <c r="C897" s="101"/>
      <c r="D897" s="101"/>
      <c r="E897" s="101"/>
      <c r="F897" s="101"/>
      <c r="G897" s="101"/>
      <c r="H897" s="101"/>
    </row>
    <row r="898" spans="3:8">
      <c r="C898" s="101"/>
      <c r="D898" s="101"/>
      <c r="E898" s="101"/>
      <c r="F898" s="101"/>
      <c r="G898" s="101"/>
      <c r="H898" s="101"/>
    </row>
    <row r="899" spans="3:8">
      <c r="C899" s="101"/>
      <c r="D899" s="101"/>
      <c r="E899" s="101"/>
      <c r="F899" s="101"/>
      <c r="G899" s="101"/>
      <c r="H899" s="101"/>
    </row>
    <row r="900" spans="3:8">
      <c r="C900" s="101"/>
      <c r="D900" s="101"/>
      <c r="E900" s="101"/>
      <c r="F900" s="101"/>
      <c r="G900" s="101"/>
      <c r="H900" s="101"/>
    </row>
    <row r="901" spans="3:8">
      <c r="C901" s="101"/>
      <c r="D901" s="101"/>
      <c r="E901" s="101"/>
      <c r="F901" s="101"/>
      <c r="G901" s="101"/>
      <c r="H901" s="101"/>
    </row>
    <row r="902" spans="3:8">
      <c r="C902" s="101"/>
      <c r="D902" s="101"/>
      <c r="E902" s="101"/>
      <c r="F902" s="101"/>
      <c r="G902" s="101"/>
      <c r="H902" s="101"/>
    </row>
    <row r="903" spans="3:8">
      <c r="C903" s="101"/>
      <c r="D903" s="101"/>
      <c r="E903" s="101"/>
      <c r="F903" s="101"/>
      <c r="G903" s="101"/>
      <c r="H903" s="101"/>
    </row>
    <row r="904" spans="3:8">
      <c r="C904" s="101"/>
      <c r="D904" s="101"/>
      <c r="E904" s="101"/>
      <c r="F904" s="101"/>
      <c r="G904" s="101"/>
      <c r="H904" s="101"/>
    </row>
    <row r="905" spans="3:8">
      <c r="C905" s="101"/>
      <c r="D905" s="101"/>
      <c r="E905" s="101"/>
      <c r="F905" s="101"/>
      <c r="G905" s="101"/>
      <c r="H905" s="101"/>
    </row>
    <row r="906" spans="3:8">
      <c r="C906" s="101"/>
      <c r="D906" s="101"/>
      <c r="E906" s="101"/>
      <c r="F906" s="101"/>
      <c r="G906" s="101"/>
      <c r="H906" s="101"/>
    </row>
    <row r="907" spans="3:8">
      <c r="C907" s="101"/>
      <c r="D907" s="101"/>
      <c r="E907" s="101"/>
      <c r="F907" s="101"/>
      <c r="G907" s="101"/>
      <c r="H907" s="101"/>
    </row>
    <row r="908" spans="3:8">
      <c r="C908" s="101"/>
      <c r="D908" s="101"/>
      <c r="E908" s="101"/>
      <c r="F908" s="101"/>
      <c r="G908" s="101"/>
      <c r="H908" s="101"/>
    </row>
    <row r="909" spans="3:8">
      <c r="C909" s="101"/>
      <c r="D909" s="101"/>
      <c r="E909" s="101"/>
      <c r="F909" s="101"/>
      <c r="G909" s="101"/>
      <c r="H909" s="101"/>
    </row>
    <row r="910" spans="3:8">
      <c r="C910" s="101"/>
      <c r="D910" s="101"/>
      <c r="E910" s="101"/>
      <c r="F910" s="101"/>
      <c r="G910" s="101"/>
      <c r="H910" s="101"/>
    </row>
    <row r="911" spans="3:8">
      <c r="C911" s="101"/>
      <c r="D911" s="101"/>
      <c r="E911" s="101"/>
      <c r="F911" s="101"/>
      <c r="G911" s="101"/>
      <c r="H911" s="101"/>
    </row>
    <row r="912" spans="3:8">
      <c r="C912" s="101"/>
      <c r="D912" s="101"/>
      <c r="E912" s="101"/>
      <c r="F912" s="101"/>
      <c r="G912" s="101"/>
      <c r="H912" s="101"/>
    </row>
    <row r="913" spans="3:8">
      <c r="C913" s="101"/>
      <c r="D913" s="101"/>
      <c r="E913" s="101"/>
      <c r="F913" s="101"/>
      <c r="G913" s="101"/>
      <c r="H913" s="101"/>
    </row>
    <row r="914" spans="3:8">
      <c r="C914" s="101"/>
      <c r="D914" s="101"/>
      <c r="E914" s="101"/>
      <c r="F914" s="101"/>
      <c r="G914" s="101"/>
      <c r="H914" s="101"/>
    </row>
    <row r="915" spans="3:8">
      <c r="C915" s="101"/>
      <c r="D915" s="101"/>
      <c r="E915" s="101"/>
      <c r="F915" s="101"/>
      <c r="G915" s="101"/>
      <c r="H915" s="101"/>
    </row>
    <row r="916" spans="3:8">
      <c r="C916" s="101"/>
      <c r="D916" s="101"/>
      <c r="E916" s="101"/>
      <c r="F916" s="101"/>
      <c r="G916" s="101"/>
      <c r="H916" s="101"/>
    </row>
    <row r="917" spans="3:8">
      <c r="C917" s="101"/>
      <c r="D917" s="101"/>
      <c r="E917" s="101"/>
      <c r="F917" s="101"/>
      <c r="G917" s="101"/>
      <c r="H917" s="101"/>
    </row>
    <row r="918" spans="3:8">
      <c r="C918" s="101"/>
      <c r="D918" s="101"/>
      <c r="E918" s="101"/>
      <c r="F918" s="101"/>
      <c r="G918" s="101"/>
      <c r="H918" s="101"/>
    </row>
    <row r="919" spans="3:8">
      <c r="C919" s="101"/>
      <c r="D919" s="101"/>
      <c r="E919" s="101"/>
      <c r="F919" s="101"/>
      <c r="G919" s="101"/>
      <c r="H919" s="101"/>
    </row>
    <row r="920" spans="3:8">
      <c r="C920" s="101"/>
      <c r="D920" s="101"/>
      <c r="E920" s="101"/>
      <c r="F920" s="101"/>
      <c r="G920" s="101"/>
      <c r="H920" s="101"/>
    </row>
    <row r="921" spans="3:8">
      <c r="C921" s="101"/>
      <c r="D921" s="101"/>
      <c r="E921" s="101"/>
      <c r="F921" s="101"/>
      <c r="G921" s="101"/>
      <c r="H921" s="101"/>
    </row>
    <row r="922" spans="3:8">
      <c r="C922" s="101"/>
      <c r="D922" s="101"/>
      <c r="E922" s="101"/>
      <c r="F922" s="101"/>
      <c r="G922" s="101"/>
      <c r="H922" s="101"/>
    </row>
    <row r="923" spans="3:8">
      <c r="C923" s="101"/>
      <c r="D923" s="101"/>
      <c r="E923" s="101"/>
      <c r="F923" s="101"/>
      <c r="G923" s="101"/>
      <c r="H923" s="101"/>
    </row>
    <row r="924" spans="3:8">
      <c r="C924" s="101"/>
      <c r="D924" s="101"/>
      <c r="E924" s="101"/>
      <c r="F924" s="101"/>
      <c r="G924" s="101"/>
      <c r="H924" s="101"/>
    </row>
    <row r="925" spans="3:8">
      <c r="C925" s="101"/>
      <c r="D925" s="101"/>
      <c r="E925" s="101"/>
      <c r="F925" s="101"/>
      <c r="G925" s="101"/>
      <c r="H925" s="101"/>
    </row>
    <row r="926" spans="3:8">
      <c r="C926" s="101"/>
      <c r="D926" s="101"/>
      <c r="E926" s="101"/>
      <c r="F926" s="101"/>
      <c r="G926" s="101"/>
      <c r="H926" s="101"/>
    </row>
    <row r="927" spans="3:8">
      <c r="C927" s="101"/>
      <c r="D927" s="101"/>
      <c r="E927" s="101"/>
      <c r="F927" s="101"/>
      <c r="G927" s="101"/>
      <c r="H927" s="101"/>
    </row>
    <row r="928" spans="3:8">
      <c r="C928" s="101"/>
      <c r="D928" s="101"/>
      <c r="E928" s="101"/>
      <c r="F928" s="101"/>
      <c r="G928" s="101"/>
      <c r="H928" s="101"/>
    </row>
    <row r="929" spans="3:8">
      <c r="C929" s="101"/>
      <c r="D929" s="101"/>
      <c r="E929" s="101"/>
      <c r="F929" s="101"/>
      <c r="G929" s="101"/>
      <c r="H929" s="101"/>
    </row>
    <row r="930" spans="3:8">
      <c r="C930" s="101"/>
      <c r="D930" s="101"/>
      <c r="E930" s="101"/>
      <c r="F930" s="101"/>
      <c r="G930" s="101"/>
      <c r="H930" s="101"/>
    </row>
    <row r="931" spans="3:8">
      <c r="C931" s="101"/>
      <c r="D931" s="101"/>
      <c r="E931" s="101"/>
      <c r="F931" s="101"/>
      <c r="G931" s="101"/>
      <c r="H931" s="101"/>
    </row>
    <row r="932" spans="3:8">
      <c r="C932" s="101"/>
      <c r="D932" s="101"/>
      <c r="E932" s="101"/>
      <c r="F932" s="101"/>
      <c r="G932" s="101"/>
      <c r="H932" s="101"/>
    </row>
    <row r="933" spans="3:8">
      <c r="C933" s="101"/>
      <c r="D933" s="101"/>
      <c r="E933" s="101"/>
      <c r="F933" s="101"/>
      <c r="G933" s="101"/>
      <c r="H933" s="101"/>
    </row>
    <row r="934" spans="3:8">
      <c r="C934" s="101"/>
      <c r="D934" s="101"/>
      <c r="E934" s="101"/>
      <c r="F934" s="101"/>
      <c r="G934" s="101"/>
      <c r="H934" s="101"/>
    </row>
    <row r="935" spans="3:8">
      <c r="C935" s="101"/>
      <c r="D935" s="101"/>
      <c r="E935" s="101"/>
      <c r="F935" s="101"/>
      <c r="G935" s="101"/>
      <c r="H935" s="101"/>
    </row>
    <row r="936" spans="3:8">
      <c r="C936" s="101"/>
      <c r="D936" s="101"/>
      <c r="E936" s="101"/>
      <c r="F936" s="101"/>
      <c r="G936" s="101"/>
      <c r="H936" s="101"/>
    </row>
    <row r="937" spans="3:8">
      <c r="C937" s="101"/>
      <c r="D937" s="101"/>
      <c r="E937" s="101"/>
      <c r="F937" s="101"/>
      <c r="G937" s="101"/>
      <c r="H937" s="101"/>
    </row>
    <row r="938" spans="3:8">
      <c r="C938" s="101"/>
      <c r="D938" s="101"/>
      <c r="E938" s="101"/>
      <c r="F938" s="101"/>
      <c r="G938" s="101"/>
      <c r="H938" s="101"/>
    </row>
    <row r="939" spans="3:8">
      <c r="C939" s="101"/>
      <c r="D939" s="101"/>
      <c r="E939" s="101"/>
      <c r="F939" s="101"/>
      <c r="G939" s="101"/>
      <c r="H939" s="101"/>
    </row>
    <row r="940" spans="3:8">
      <c r="C940" s="101"/>
      <c r="D940" s="101"/>
      <c r="E940" s="101"/>
      <c r="F940" s="101"/>
      <c r="G940" s="101"/>
      <c r="H940" s="101"/>
    </row>
    <row r="941" spans="3:8">
      <c r="C941" s="101"/>
      <c r="D941" s="101"/>
      <c r="E941" s="101"/>
      <c r="F941" s="101"/>
      <c r="G941" s="101"/>
      <c r="H941" s="101"/>
    </row>
    <row r="942" spans="3:8">
      <c r="C942" s="101"/>
      <c r="D942" s="101"/>
      <c r="E942" s="101"/>
      <c r="F942" s="101"/>
      <c r="G942" s="101"/>
      <c r="H942" s="101"/>
    </row>
    <row r="943" spans="3:8">
      <c r="C943" s="101"/>
      <c r="D943" s="101"/>
      <c r="E943" s="101"/>
      <c r="F943" s="101"/>
      <c r="G943" s="101"/>
      <c r="H943" s="101"/>
    </row>
    <row r="944" spans="3:8">
      <c r="C944" s="101"/>
      <c r="D944" s="101"/>
      <c r="E944" s="101"/>
      <c r="F944" s="101"/>
      <c r="G944" s="101"/>
      <c r="H944" s="101"/>
    </row>
    <row r="945" spans="3:8">
      <c r="C945" s="101"/>
      <c r="D945" s="101"/>
      <c r="E945" s="101"/>
      <c r="F945" s="101"/>
      <c r="G945" s="101"/>
      <c r="H945" s="101"/>
    </row>
    <row r="946" spans="3:8">
      <c r="C946" s="101"/>
      <c r="D946" s="101"/>
      <c r="E946" s="101"/>
      <c r="F946" s="101"/>
      <c r="G946" s="101"/>
      <c r="H946" s="101"/>
    </row>
    <row r="947" spans="3:8">
      <c r="C947" s="101"/>
      <c r="D947" s="101"/>
      <c r="E947" s="101"/>
      <c r="F947" s="101"/>
      <c r="G947" s="101"/>
      <c r="H947" s="101"/>
    </row>
    <row r="948" spans="3:8">
      <c r="C948" s="101"/>
      <c r="D948" s="101"/>
      <c r="E948" s="101"/>
      <c r="F948" s="101"/>
      <c r="G948" s="101"/>
      <c r="H948" s="101"/>
    </row>
    <row r="949" spans="3:8">
      <c r="C949" s="101"/>
      <c r="D949" s="101"/>
      <c r="E949" s="101"/>
      <c r="F949" s="101"/>
      <c r="G949" s="101"/>
      <c r="H949" s="101"/>
    </row>
    <row r="950" spans="3:8">
      <c r="C950" s="101"/>
      <c r="D950" s="101"/>
      <c r="E950" s="101"/>
      <c r="F950" s="101"/>
      <c r="G950" s="101"/>
      <c r="H950" s="101"/>
    </row>
    <row r="951" spans="3:8">
      <c r="C951" s="101"/>
      <c r="D951" s="101"/>
      <c r="E951" s="101"/>
      <c r="F951" s="101"/>
      <c r="G951" s="101"/>
      <c r="H951" s="101"/>
    </row>
    <row r="952" spans="3:8">
      <c r="C952" s="101"/>
      <c r="D952" s="101"/>
      <c r="E952" s="101"/>
      <c r="F952" s="101"/>
      <c r="G952" s="101"/>
      <c r="H952" s="101"/>
    </row>
    <row r="953" spans="3:8">
      <c r="C953" s="101"/>
      <c r="D953" s="101"/>
      <c r="E953" s="101"/>
      <c r="F953" s="101"/>
      <c r="G953" s="101"/>
      <c r="H953" s="101"/>
    </row>
    <row r="954" spans="3:8">
      <c r="C954" s="101"/>
      <c r="D954" s="101"/>
      <c r="E954" s="101"/>
      <c r="F954" s="101"/>
      <c r="G954" s="101"/>
      <c r="H954" s="101"/>
    </row>
    <row r="955" spans="3:8">
      <c r="C955" s="101"/>
      <c r="D955" s="101"/>
      <c r="E955" s="101"/>
      <c r="F955" s="101"/>
      <c r="G955" s="101"/>
      <c r="H955" s="101"/>
    </row>
    <row r="956" spans="3:8">
      <c r="C956" s="101"/>
      <c r="D956" s="101"/>
      <c r="E956" s="101"/>
      <c r="F956" s="101"/>
      <c r="G956" s="101"/>
      <c r="H956" s="101"/>
    </row>
    <row r="957" spans="3:8">
      <c r="C957" s="101"/>
      <c r="D957" s="101"/>
      <c r="E957" s="101"/>
      <c r="F957" s="101"/>
      <c r="G957" s="101"/>
      <c r="H957" s="101"/>
    </row>
    <row r="958" spans="3:8">
      <c r="C958" s="101"/>
      <c r="D958" s="101"/>
      <c r="E958" s="101"/>
      <c r="F958" s="101"/>
      <c r="G958" s="101"/>
      <c r="H958" s="101"/>
    </row>
    <row r="959" spans="3:8">
      <c r="C959" s="101"/>
      <c r="D959" s="101"/>
      <c r="E959" s="101"/>
      <c r="F959" s="101"/>
      <c r="G959" s="101"/>
      <c r="H959" s="101"/>
    </row>
    <row r="960" spans="3:8">
      <c r="C960" s="101"/>
      <c r="D960" s="101"/>
      <c r="E960" s="101"/>
      <c r="F960" s="101"/>
      <c r="G960" s="101"/>
      <c r="H960" s="101"/>
    </row>
    <row r="961" spans="3:8">
      <c r="C961" s="101"/>
      <c r="D961" s="101"/>
      <c r="E961" s="101"/>
      <c r="F961" s="101"/>
      <c r="G961" s="101"/>
      <c r="H961" s="101"/>
    </row>
    <row r="962" spans="3:8">
      <c r="C962" s="101"/>
      <c r="D962" s="101"/>
      <c r="E962" s="101"/>
      <c r="F962" s="101"/>
      <c r="G962" s="101"/>
      <c r="H962" s="101"/>
    </row>
    <row r="963" spans="3:8">
      <c r="C963" s="101"/>
      <c r="D963" s="101"/>
      <c r="E963" s="101"/>
      <c r="F963" s="101"/>
      <c r="G963" s="101"/>
      <c r="H963" s="101"/>
    </row>
    <row r="964" spans="3:8">
      <c r="C964" s="101"/>
      <c r="D964" s="101"/>
      <c r="E964" s="101"/>
      <c r="F964" s="101"/>
      <c r="G964" s="101"/>
      <c r="H964" s="101"/>
    </row>
    <row r="965" spans="3:8">
      <c r="C965" s="101"/>
      <c r="D965" s="101"/>
      <c r="E965" s="101"/>
      <c r="F965" s="101"/>
      <c r="G965" s="101"/>
      <c r="H965" s="101"/>
    </row>
    <row r="966" spans="3:8">
      <c r="C966" s="101"/>
      <c r="D966" s="101"/>
      <c r="E966" s="101"/>
      <c r="F966" s="101"/>
      <c r="G966" s="101"/>
      <c r="H966" s="101"/>
    </row>
    <row r="967" spans="3:8">
      <c r="C967" s="101"/>
      <c r="D967" s="101"/>
      <c r="E967" s="101"/>
      <c r="F967" s="101"/>
      <c r="G967" s="101"/>
      <c r="H967" s="101"/>
    </row>
    <row r="968" spans="3:8">
      <c r="C968" s="101"/>
      <c r="D968" s="101"/>
      <c r="E968" s="101"/>
      <c r="F968" s="101"/>
      <c r="G968" s="101"/>
      <c r="H968" s="101"/>
    </row>
    <row r="969" spans="3:8">
      <c r="C969" s="101"/>
      <c r="D969" s="101"/>
      <c r="E969" s="101"/>
      <c r="F969" s="101"/>
      <c r="G969" s="101"/>
      <c r="H969" s="101"/>
    </row>
    <row r="970" spans="3:8">
      <c r="C970" s="101"/>
      <c r="D970" s="101"/>
      <c r="E970" s="101"/>
      <c r="F970" s="101"/>
      <c r="G970" s="101"/>
      <c r="H970" s="101"/>
    </row>
    <row r="971" spans="3:8">
      <c r="C971" s="101"/>
      <c r="D971" s="101"/>
      <c r="E971" s="101"/>
      <c r="F971" s="101"/>
      <c r="G971" s="101"/>
      <c r="H971" s="101"/>
    </row>
    <row r="972" spans="3:8">
      <c r="C972" s="101"/>
      <c r="D972" s="101"/>
      <c r="E972" s="101"/>
      <c r="F972" s="101"/>
      <c r="G972" s="101"/>
      <c r="H972" s="101"/>
    </row>
    <row r="973" spans="3:8">
      <c r="C973" s="101"/>
      <c r="D973" s="101"/>
      <c r="E973" s="101"/>
      <c r="F973" s="101"/>
      <c r="G973" s="101"/>
      <c r="H973" s="101"/>
    </row>
    <row r="974" spans="3:8">
      <c r="C974" s="101"/>
      <c r="D974" s="101"/>
      <c r="E974" s="101"/>
      <c r="F974" s="101"/>
      <c r="G974" s="101"/>
      <c r="H974" s="101"/>
    </row>
    <row r="975" spans="3:8">
      <c r="C975" s="101"/>
      <c r="D975" s="101"/>
      <c r="E975" s="101"/>
      <c r="F975" s="101"/>
      <c r="G975" s="101"/>
      <c r="H975" s="101"/>
    </row>
    <row r="976" spans="3:8">
      <c r="C976" s="101"/>
      <c r="D976" s="101"/>
      <c r="E976" s="101"/>
      <c r="F976" s="101"/>
      <c r="G976" s="101"/>
      <c r="H976" s="101"/>
    </row>
    <row r="977" spans="3:8">
      <c r="C977" s="101"/>
      <c r="D977" s="101"/>
      <c r="E977" s="101"/>
      <c r="F977" s="101"/>
      <c r="G977" s="101"/>
      <c r="H977" s="101"/>
    </row>
    <row r="978" spans="3:8">
      <c r="C978" s="101"/>
      <c r="D978" s="101"/>
      <c r="E978" s="101"/>
      <c r="F978" s="101"/>
      <c r="G978" s="101"/>
      <c r="H978" s="101"/>
    </row>
    <row r="979" spans="3:8">
      <c r="C979" s="101"/>
      <c r="D979" s="101"/>
      <c r="E979" s="101"/>
      <c r="F979" s="101"/>
      <c r="G979" s="101"/>
      <c r="H979" s="101"/>
    </row>
    <row r="980" spans="3:8">
      <c r="C980" s="101"/>
      <c r="D980" s="101"/>
      <c r="E980" s="101"/>
      <c r="F980" s="101"/>
      <c r="G980" s="101"/>
      <c r="H980" s="101"/>
    </row>
    <row r="981" spans="3:8">
      <c r="C981" s="101"/>
      <c r="D981" s="101"/>
      <c r="E981" s="101"/>
      <c r="F981" s="101"/>
      <c r="G981" s="101"/>
      <c r="H981" s="101"/>
    </row>
    <row r="982" spans="3:8">
      <c r="C982" s="101"/>
      <c r="D982" s="101"/>
      <c r="E982" s="101"/>
      <c r="F982" s="101"/>
      <c r="G982" s="101"/>
      <c r="H982" s="101"/>
    </row>
    <row r="983" spans="3:8">
      <c r="C983" s="101"/>
      <c r="D983" s="101"/>
      <c r="E983" s="101"/>
      <c r="F983" s="101"/>
      <c r="G983" s="101"/>
      <c r="H983" s="101"/>
    </row>
    <row r="984" spans="3:8">
      <c r="C984" s="101"/>
      <c r="D984" s="101"/>
      <c r="E984" s="101"/>
      <c r="F984" s="101"/>
      <c r="G984" s="101"/>
      <c r="H984" s="101"/>
    </row>
    <row r="985" spans="3:8">
      <c r="C985" s="101"/>
      <c r="D985" s="101"/>
      <c r="E985" s="101"/>
      <c r="F985" s="101"/>
      <c r="G985" s="101"/>
      <c r="H985" s="101"/>
    </row>
    <row r="986" spans="3:8">
      <c r="C986" s="101"/>
      <c r="D986" s="101"/>
      <c r="E986" s="101"/>
      <c r="F986" s="101"/>
      <c r="G986" s="101"/>
      <c r="H986" s="101"/>
    </row>
    <row r="987" spans="3:8">
      <c r="C987" s="101"/>
      <c r="D987" s="101"/>
      <c r="E987" s="101"/>
      <c r="F987" s="101"/>
      <c r="G987" s="101"/>
      <c r="H987" s="101"/>
    </row>
    <row r="988" spans="3:8">
      <c r="C988" s="101"/>
      <c r="D988" s="101"/>
      <c r="E988" s="101"/>
      <c r="F988" s="101"/>
      <c r="G988" s="101"/>
      <c r="H988" s="101"/>
    </row>
    <row r="989" spans="3:8">
      <c r="C989" s="101"/>
      <c r="D989" s="101"/>
      <c r="E989" s="101"/>
      <c r="F989" s="101"/>
      <c r="G989" s="101"/>
      <c r="H989" s="101"/>
    </row>
    <row r="990" spans="3:8">
      <c r="C990" s="101"/>
      <c r="D990" s="101"/>
      <c r="E990" s="101"/>
      <c r="F990" s="101"/>
      <c r="G990" s="101"/>
      <c r="H990" s="101"/>
    </row>
    <row r="991" spans="3:8">
      <c r="C991" s="101"/>
      <c r="D991" s="101"/>
      <c r="E991" s="101"/>
      <c r="F991" s="101"/>
      <c r="G991" s="101"/>
      <c r="H991" s="101"/>
    </row>
    <row r="992" spans="3:8">
      <c r="C992" s="101"/>
      <c r="D992" s="101"/>
      <c r="E992" s="101"/>
      <c r="F992" s="101"/>
      <c r="G992" s="101"/>
      <c r="H992" s="101"/>
    </row>
    <row r="993" spans="3:8">
      <c r="C993" s="101"/>
      <c r="D993" s="101"/>
      <c r="E993" s="101"/>
      <c r="F993" s="101"/>
      <c r="G993" s="101"/>
      <c r="H993" s="101"/>
    </row>
    <row r="994" spans="3:8">
      <c r="C994" s="101"/>
      <c r="D994" s="101"/>
      <c r="E994" s="101"/>
      <c r="F994" s="101"/>
      <c r="G994" s="101"/>
      <c r="H994" s="101"/>
    </row>
    <row r="995" spans="3:8">
      <c r="C995" s="101"/>
      <c r="D995" s="101"/>
      <c r="E995" s="101"/>
      <c r="F995" s="101"/>
      <c r="G995" s="101"/>
      <c r="H995" s="101"/>
    </row>
    <row r="996" spans="3:8">
      <c r="C996" s="101"/>
      <c r="D996" s="101"/>
      <c r="E996" s="101"/>
      <c r="F996" s="101"/>
      <c r="G996" s="101"/>
      <c r="H996" s="101"/>
    </row>
    <row r="997" spans="3:8">
      <c r="C997" s="101"/>
      <c r="D997" s="101"/>
      <c r="E997" s="101"/>
      <c r="F997" s="101"/>
      <c r="G997" s="101"/>
      <c r="H997" s="101"/>
    </row>
    <row r="998" spans="3:8">
      <c r="C998" s="101"/>
      <c r="D998" s="101"/>
      <c r="E998" s="101"/>
      <c r="F998" s="101"/>
      <c r="G998" s="101"/>
      <c r="H998" s="101"/>
    </row>
    <row r="999" spans="3:8">
      <c r="C999" s="101"/>
      <c r="D999" s="101"/>
      <c r="E999" s="101"/>
      <c r="F999" s="101"/>
      <c r="G999" s="101"/>
      <c r="H999" s="101"/>
    </row>
    <row r="1000" spans="3:8">
      <c r="C1000" s="101"/>
      <c r="D1000" s="101"/>
      <c r="E1000" s="101"/>
      <c r="F1000" s="101"/>
      <c r="G1000" s="101"/>
      <c r="H1000" s="101"/>
    </row>
    <row r="1001" spans="3:8">
      <c r="C1001" s="101"/>
      <c r="D1001" s="101"/>
      <c r="E1001" s="101"/>
      <c r="F1001" s="101"/>
      <c r="G1001" s="101"/>
      <c r="H1001" s="101"/>
    </row>
    <row r="1002" spans="3:8">
      <c r="C1002" s="101"/>
      <c r="D1002" s="101"/>
      <c r="E1002" s="101"/>
      <c r="F1002" s="101"/>
      <c r="G1002" s="101"/>
      <c r="H1002" s="101"/>
    </row>
    <row r="1003" spans="3:8">
      <c r="C1003" s="101"/>
      <c r="D1003" s="101"/>
      <c r="E1003" s="101"/>
      <c r="F1003" s="101"/>
      <c r="G1003" s="101"/>
      <c r="H1003" s="101"/>
    </row>
    <row r="1004" spans="3:8">
      <c r="C1004" s="101"/>
      <c r="D1004" s="101"/>
      <c r="E1004" s="101"/>
      <c r="F1004" s="101"/>
      <c r="G1004" s="101"/>
      <c r="H1004" s="101"/>
    </row>
    <row r="1005" spans="3:8">
      <c r="C1005" s="101"/>
      <c r="D1005" s="101"/>
      <c r="E1005" s="101"/>
      <c r="F1005" s="101"/>
      <c r="G1005" s="101"/>
      <c r="H1005" s="101"/>
    </row>
    <row r="1006" spans="3:8">
      <c r="C1006" s="101"/>
      <c r="D1006" s="101"/>
      <c r="E1006" s="101"/>
      <c r="F1006" s="101"/>
      <c r="G1006" s="101"/>
      <c r="H1006" s="101"/>
    </row>
    <row r="1007" spans="3:8">
      <c r="C1007" s="101"/>
      <c r="D1007" s="101"/>
      <c r="E1007" s="101"/>
      <c r="F1007" s="101"/>
      <c r="G1007" s="101"/>
      <c r="H1007" s="101"/>
    </row>
    <row r="1008" spans="3:8">
      <c r="C1008" s="101"/>
      <c r="D1008" s="101"/>
      <c r="E1008" s="101"/>
      <c r="F1008" s="101"/>
      <c r="G1008" s="101"/>
      <c r="H1008" s="101"/>
    </row>
    <row r="1009" spans="3:8">
      <c r="C1009" s="101"/>
      <c r="D1009" s="101"/>
      <c r="E1009" s="101"/>
      <c r="F1009" s="101"/>
      <c r="G1009" s="101"/>
      <c r="H1009" s="101"/>
    </row>
    <row r="1010" spans="3:8">
      <c r="C1010" s="101"/>
      <c r="D1010" s="101"/>
      <c r="E1010" s="101"/>
      <c r="F1010" s="101"/>
      <c r="G1010" s="101"/>
      <c r="H1010" s="101"/>
    </row>
    <row r="1011" spans="3:8">
      <c r="C1011" s="101"/>
      <c r="D1011" s="101"/>
      <c r="E1011" s="101"/>
      <c r="F1011" s="101"/>
      <c r="G1011" s="101"/>
      <c r="H1011" s="101"/>
    </row>
    <row r="1012" spans="3:8">
      <c r="C1012" s="101"/>
      <c r="D1012" s="101"/>
      <c r="E1012" s="101"/>
      <c r="F1012" s="101"/>
      <c r="G1012" s="101"/>
      <c r="H1012" s="101"/>
    </row>
    <row r="1013" spans="3:8">
      <c r="C1013" s="101"/>
      <c r="D1013" s="101"/>
      <c r="E1013" s="101"/>
      <c r="F1013" s="101"/>
      <c r="G1013" s="101"/>
      <c r="H1013" s="101"/>
    </row>
    <row r="1014" spans="3:8">
      <c r="C1014" s="101"/>
      <c r="D1014" s="101"/>
      <c r="E1014" s="101"/>
      <c r="F1014" s="101"/>
      <c r="G1014" s="101"/>
      <c r="H1014" s="101"/>
    </row>
    <row r="1015" spans="3:8">
      <c r="C1015" s="101"/>
      <c r="D1015" s="101"/>
      <c r="E1015" s="101"/>
      <c r="F1015" s="101"/>
      <c r="G1015" s="101"/>
      <c r="H1015" s="101"/>
    </row>
    <row r="1016" spans="3:8">
      <c r="C1016" s="101"/>
      <c r="D1016" s="101"/>
      <c r="E1016" s="101"/>
      <c r="F1016" s="101"/>
      <c r="G1016" s="101"/>
      <c r="H1016" s="101"/>
    </row>
    <row r="1017" spans="3:8">
      <c r="C1017" s="101"/>
      <c r="D1017" s="101"/>
      <c r="E1017" s="101"/>
      <c r="F1017" s="101"/>
      <c r="G1017" s="101"/>
      <c r="H1017" s="101"/>
    </row>
    <row r="1018" spans="3:8">
      <c r="C1018" s="101"/>
      <c r="D1018" s="101"/>
      <c r="E1018" s="101"/>
      <c r="F1018" s="101"/>
      <c r="G1018" s="101"/>
      <c r="H1018" s="101"/>
    </row>
    <row r="1019" spans="3:8">
      <c r="C1019" s="101"/>
      <c r="D1019" s="101"/>
      <c r="E1019" s="101"/>
      <c r="F1019" s="101"/>
      <c r="G1019" s="101"/>
      <c r="H1019" s="101"/>
    </row>
    <row r="1020" spans="3:8">
      <c r="C1020" s="101"/>
      <c r="D1020" s="101"/>
      <c r="E1020" s="101"/>
      <c r="F1020" s="101"/>
      <c r="G1020" s="101"/>
      <c r="H1020" s="101"/>
    </row>
    <row r="1021" spans="3:8">
      <c r="C1021" s="101"/>
      <c r="D1021" s="101"/>
      <c r="E1021" s="101"/>
      <c r="F1021" s="101"/>
      <c r="G1021" s="101"/>
      <c r="H1021" s="101"/>
    </row>
    <row r="1022" spans="3:8">
      <c r="C1022" s="101"/>
      <c r="D1022" s="101"/>
      <c r="E1022" s="101"/>
      <c r="F1022" s="101"/>
      <c r="G1022" s="101"/>
      <c r="H1022" s="101"/>
    </row>
    <row r="1023" spans="3:8">
      <c r="C1023" s="101"/>
      <c r="D1023" s="101"/>
      <c r="E1023" s="101"/>
      <c r="F1023" s="101"/>
      <c r="G1023" s="101"/>
      <c r="H1023" s="101"/>
    </row>
    <row r="1024" spans="3:8">
      <c r="C1024" s="101"/>
      <c r="D1024" s="101"/>
      <c r="E1024" s="101"/>
      <c r="F1024" s="101"/>
      <c r="G1024" s="101"/>
      <c r="H1024" s="101"/>
    </row>
    <row r="1025" spans="3:8">
      <c r="C1025" s="101"/>
      <c r="D1025" s="101"/>
      <c r="E1025" s="101"/>
      <c r="F1025" s="101"/>
      <c r="G1025" s="101"/>
      <c r="H1025" s="101"/>
    </row>
    <row r="1026" spans="3:8">
      <c r="C1026" s="101"/>
      <c r="D1026" s="101"/>
      <c r="E1026" s="101"/>
      <c r="F1026" s="101"/>
      <c r="G1026" s="101"/>
      <c r="H1026" s="101"/>
    </row>
    <row r="1027" spans="3:8">
      <c r="C1027" s="101"/>
      <c r="D1027" s="101"/>
      <c r="E1027" s="101"/>
      <c r="F1027" s="101"/>
      <c r="G1027" s="101"/>
      <c r="H1027" s="101"/>
    </row>
    <row r="1028" spans="3:8">
      <c r="C1028" s="101"/>
      <c r="D1028" s="101"/>
      <c r="E1028" s="101"/>
      <c r="F1028" s="101"/>
      <c r="G1028" s="101"/>
      <c r="H1028" s="101"/>
    </row>
    <row r="1029" spans="3:8">
      <c r="C1029" s="101"/>
      <c r="D1029" s="101"/>
      <c r="E1029" s="101"/>
      <c r="F1029" s="101"/>
      <c r="G1029" s="101"/>
      <c r="H1029" s="101"/>
    </row>
    <row r="1030" spans="3:8">
      <c r="C1030" s="101"/>
      <c r="D1030" s="101"/>
      <c r="E1030" s="101"/>
      <c r="F1030" s="101"/>
      <c r="G1030" s="101"/>
      <c r="H1030" s="101"/>
    </row>
    <row r="1031" spans="3:8">
      <c r="C1031" s="101"/>
      <c r="D1031" s="101"/>
      <c r="E1031" s="101"/>
      <c r="F1031" s="101"/>
      <c r="G1031" s="101"/>
      <c r="H1031" s="101"/>
    </row>
    <row r="1032" spans="3:8">
      <c r="C1032" s="101"/>
      <c r="D1032" s="101"/>
      <c r="E1032" s="101"/>
      <c r="F1032" s="101"/>
      <c r="G1032" s="101"/>
      <c r="H1032" s="101"/>
    </row>
    <row r="1033" spans="3:8">
      <c r="C1033" s="101"/>
      <c r="D1033" s="101"/>
      <c r="E1033" s="101"/>
      <c r="F1033" s="101"/>
      <c r="G1033" s="101"/>
      <c r="H1033" s="101"/>
    </row>
    <row r="1034" spans="3:8">
      <c r="C1034" s="101"/>
      <c r="D1034" s="101"/>
      <c r="E1034" s="101"/>
      <c r="F1034" s="101"/>
      <c r="G1034" s="101"/>
      <c r="H1034" s="101"/>
    </row>
    <row r="1035" spans="3:8">
      <c r="C1035" s="101"/>
      <c r="D1035" s="101"/>
      <c r="E1035" s="101"/>
      <c r="F1035" s="101"/>
      <c r="G1035" s="101"/>
      <c r="H1035" s="101"/>
    </row>
    <row r="1036" spans="3:8">
      <c r="C1036" s="101"/>
      <c r="D1036" s="101"/>
      <c r="E1036" s="101"/>
      <c r="F1036" s="101"/>
      <c r="G1036" s="101"/>
      <c r="H1036" s="101"/>
    </row>
    <row r="1037" spans="3:8">
      <c r="C1037" s="101"/>
      <c r="D1037" s="101"/>
      <c r="E1037" s="101"/>
      <c r="F1037" s="101"/>
      <c r="G1037" s="101"/>
      <c r="H1037" s="101"/>
    </row>
    <row r="1038" spans="3:8">
      <c r="C1038" s="101"/>
      <c r="D1038" s="101"/>
      <c r="E1038" s="101"/>
      <c r="F1038" s="101"/>
      <c r="G1038" s="101"/>
      <c r="H1038" s="101"/>
    </row>
    <row r="1039" spans="3:8">
      <c r="C1039" s="101"/>
      <c r="D1039" s="101"/>
      <c r="E1039" s="101"/>
      <c r="F1039" s="101"/>
      <c r="G1039" s="101"/>
      <c r="H1039" s="101"/>
    </row>
    <row r="1040" spans="3:8">
      <c r="C1040" s="101"/>
      <c r="D1040" s="101"/>
      <c r="E1040" s="101"/>
      <c r="F1040" s="101"/>
      <c r="G1040" s="101"/>
      <c r="H1040" s="101"/>
    </row>
    <row r="1041" spans="3:8">
      <c r="C1041" s="101"/>
      <c r="D1041" s="101"/>
      <c r="E1041" s="101"/>
      <c r="F1041" s="101"/>
      <c r="G1041" s="101"/>
      <c r="H1041" s="101"/>
    </row>
    <row r="1042" spans="3:8">
      <c r="C1042" s="101"/>
      <c r="D1042" s="101"/>
      <c r="E1042" s="101"/>
      <c r="F1042" s="101"/>
      <c r="G1042" s="101"/>
      <c r="H1042" s="101"/>
    </row>
    <row r="1043" spans="3:8">
      <c r="C1043" s="101"/>
      <c r="D1043" s="101"/>
      <c r="E1043" s="101"/>
      <c r="F1043" s="101"/>
      <c r="G1043" s="101"/>
      <c r="H1043" s="101"/>
    </row>
    <row r="1044" spans="3:8">
      <c r="C1044" s="101"/>
      <c r="D1044" s="101"/>
      <c r="E1044" s="101"/>
      <c r="F1044" s="101"/>
      <c r="G1044" s="101"/>
      <c r="H1044" s="101"/>
    </row>
    <row r="1045" spans="3:8">
      <c r="C1045" s="101"/>
      <c r="D1045" s="101"/>
      <c r="E1045" s="101"/>
      <c r="F1045" s="101"/>
      <c r="G1045" s="101"/>
      <c r="H1045" s="101"/>
    </row>
    <row r="1046" spans="3:8">
      <c r="C1046" s="101"/>
      <c r="D1046" s="101"/>
      <c r="E1046" s="101"/>
      <c r="F1046" s="101"/>
      <c r="G1046" s="101"/>
      <c r="H1046" s="101"/>
    </row>
    <row r="1047" spans="3:8">
      <c r="C1047" s="101"/>
      <c r="D1047" s="101"/>
      <c r="E1047" s="101"/>
      <c r="F1047" s="101"/>
      <c r="G1047" s="101"/>
      <c r="H1047" s="101"/>
    </row>
    <row r="1048" spans="3:8">
      <c r="C1048" s="101"/>
      <c r="D1048" s="101"/>
      <c r="E1048" s="101"/>
      <c r="F1048" s="101"/>
      <c r="G1048" s="101"/>
      <c r="H1048" s="101"/>
    </row>
    <row r="1049" spans="3:8">
      <c r="C1049" s="101"/>
      <c r="D1049" s="101"/>
      <c r="E1049" s="101"/>
      <c r="F1049" s="101"/>
      <c r="G1049" s="101"/>
      <c r="H1049" s="101"/>
    </row>
    <row r="1050" spans="3:8">
      <c r="C1050" s="101"/>
      <c r="D1050" s="101"/>
      <c r="E1050" s="101"/>
      <c r="F1050" s="101"/>
      <c r="G1050" s="101"/>
      <c r="H1050" s="101"/>
    </row>
    <row r="1051" spans="3:8">
      <c r="C1051" s="101"/>
      <c r="D1051" s="101"/>
      <c r="E1051" s="101"/>
      <c r="F1051" s="101"/>
      <c r="G1051" s="101"/>
      <c r="H1051" s="101"/>
    </row>
    <row r="1052" spans="3:8">
      <c r="C1052" s="101"/>
      <c r="D1052" s="101"/>
      <c r="E1052" s="101"/>
      <c r="F1052" s="101"/>
      <c r="G1052" s="101"/>
      <c r="H1052" s="101"/>
    </row>
    <row r="1053" spans="3:8">
      <c r="C1053" s="101"/>
      <c r="D1053" s="101"/>
      <c r="E1053" s="101"/>
      <c r="F1053" s="101"/>
      <c r="G1053" s="101"/>
      <c r="H1053" s="101"/>
    </row>
    <row r="1054" spans="3:8">
      <c r="C1054" s="101"/>
      <c r="D1054" s="101"/>
      <c r="E1054" s="101"/>
      <c r="F1054" s="101"/>
      <c r="G1054" s="101"/>
      <c r="H1054" s="101"/>
    </row>
    <row r="1055" spans="3:8">
      <c r="C1055" s="101"/>
      <c r="D1055" s="101"/>
      <c r="E1055" s="101"/>
      <c r="F1055" s="101"/>
      <c r="G1055" s="101"/>
      <c r="H1055" s="101"/>
    </row>
    <row r="1056" spans="3:8">
      <c r="C1056" s="101"/>
      <c r="D1056" s="101"/>
      <c r="E1056" s="101"/>
      <c r="F1056" s="101"/>
      <c r="G1056" s="101"/>
      <c r="H1056" s="101"/>
    </row>
    <row r="1057" spans="3:8">
      <c r="C1057" s="101"/>
      <c r="D1057" s="101"/>
      <c r="E1057" s="101"/>
      <c r="F1057" s="101"/>
      <c r="G1057" s="101"/>
      <c r="H1057" s="101"/>
    </row>
    <row r="1058" spans="3:8">
      <c r="C1058" s="101"/>
      <c r="D1058" s="101"/>
      <c r="E1058" s="101"/>
      <c r="F1058" s="101"/>
      <c r="G1058" s="101"/>
      <c r="H1058" s="101"/>
    </row>
    <row r="1059" spans="3:8">
      <c r="C1059" s="101"/>
      <c r="D1059" s="101"/>
      <c r="E1059" s="101"/>
      <c r="F1059" s="101"/>
      <c r="G1059" s="101"/>
      <c r="H1059" s="101"/>
    </row>
    <row r="1060" spans="3:8">
      <c r="C1060" s="101"/>
      <c r="D1060" s="101"/>
      <c r="E1060" s="101"/>
      <c r="F1060" s="101"/>
      <c r="G1060" s="101"/>
      <c r="H1060" s="101"/>
    </row>
    <row r="1061" spans="3:8">
      <c r="C1061" s="101"/>
      <c r="D1061" s="101"/>
      <c r="E1061" s="101"/>
      <c r="F1061" s="101"/>
      <c r="G1061" s="101"/>
      <c r="H1061" s="101"/>
    </row>
    <row r="1062" spans="3:8">
      <c r="C1062" s="101"/>
      <c r="D1062" s="101"/>
      <c r="E1062" s="101"/>
      <c r="F1062" s="101"/>
      <c r="G1062" s="101"/>
      <c r="H1062" s="101"/>
    </row>
    <row r="1063" spans="3:8">
      <c r="C1063" s="101"/>
      <c r="D1063" s="101"/>
      <c r="E1063" s="101"/>
      <c r="F1063" s="101"/>
      <c r="G1063" s="101"/>
      <c r="H1063" s="101"/>
    </row>
    <row r="1064" spans="3:8">
      <c r="C1064" s="101"/>
      <c r="D1064" s="101"/>
      <c r="E1064" s="101"/>
      <c r="F1064" s="101"/>
      <c r="G1064" s="101"/>
      <c r="H1064" s="101"/>
    </row>
    <row r="1065" spans="3:8">
      <c r="C1065" s="101"/>
      <c r="D1065" s="101"/>
      <c r="E1065" s="101"/>
      <c r="F1065" s="101"/>
      <c r="G1065" s="101"/>
      <c r="H1065" s="101"/>
    </row>
    <row r="1066" spans="3:8">
      <c r="C1066" s="101"/>
      <c r="D1066" s="101"/>
      <c r="E1066" s="101"/>
      <c r="F1066" s="101"/>
      <c r="G1066" s="101"/>
      <c r="H1066" s="101"/>
    </row>
    <row r="1067" spans="3:8">
      <c r="C1067" s="101"/>
      <c r="D1067" s="101"/>
      <c r="E1067" s="101"/>
      <c r="F1067" s="101"/>
      <c r="G1067" s="101"/>
      <c r="H1067" s="101"/>
    </row>
    <row r="1068" spans="3:8">
      <c r="C1068" s="101"/>
      <c r="D1068" s="101"/>
      <c r="E1068" s="101"/>
      <c r="F1068" s="101"/>
      <c r="G1068" s="101"/>
      <c r="H1068" s="101"/>
    </row>
    <row r="1069" spans="3:8">
      <c r="C1069" s="101"/>
      <c r="D1069" s="101"/>
      <c r="E1069" s="101"/>
      <c r="F1069" s="101"/>
      <c r="G1069" s="101"/>
      <c r="H1069" s="101"/>
    </row>
    <row r="1070" spans="3:8">
      <c r="C1070" s="101"/>
      <c r="D1070" s="101"/>
      <c r="E1070" s="101"/>
      <c r="F1070" s="101"/>
      <c r="G1070" s="101"/>
      <c r="H1070" s="101"/>
    </row>
    <row r="1071" spans="3:8">
      <c r="C1071" s="101"/>
      <c r="D1071" s="101"/>
      <c r="E1071" s="101"/>
      <c r="F1071" s="101"/>
      <c r="G1071" s="101"/>
      <c r="H1071" s="101"/>
    </row>
    <row r="1072" spans="3:8">
      <c r="C1072" s="101"/>
      <c r="D1072" s="101"/>
      <c r="E1072" s="101"/>
      <c r="F1072" s="101"/>
      <c r="G1072" s="101"/>
      <c r="H1072" s="101"/>
    </row>
    <row r="1073" spans="3:8">
      <c r="C1073" s="101"/>
      <c r="D1073" s="101"/>
      <c r="E1073" s="101"/>
      <c r="F1073" s="101"/>
      <c r="G1073" s="101"/>
      <c r="H1073" s="101"/>
    </row>
    <row r="1074" spans="3:8">
      <c r="C1074" s="101"/>
      <c r="D1074" s="101"/>
      <c r="E1074" s="101"/>
      <c r="F1074" s="101"/>
      <c r="G1074" s="101"/>
      <c r="H1074" s="101"/>
    </row>
    <row r="1075" spans="3:8">
      <c r="C1075" s="101"/>
      <c r="D1075" s="101"/>
      <c r="E1075" s="101"/>
      <c r="F1075" s="101"/>
      <c r="G1075" s="101"/>
      <c r="H1075" s="101"/>
    </row>
    <row r="1076" spans="3:8">
      <c r="C1076" s="101"/>
      <c r="D1076" s="101"/>
      <c r="E1076" s="101"/>
      <c r="F1076" s="101"/>
      <c r="G1076" s="101"/>
      <c r="H1076" s="101"/>
    </row>
    <row r="1077" spans="3:8">
      <c r="C1077" s="101"/>
      <c r="D1077" s="101"/>
      <c r="E1077" s="101"/>
      <c r="F1077" s="101"/>
      <c r="G1077" s="101"/>
      <c r="H1077" s="101"/>
    </row>
    <row r="1078" spans="3:8">
      <c r="C1078" s="101"/>
      <c r="D1078" s="101"/>
      <c r="E1078" s="101"/>
      <c r="F1078" s="101"/>
      <c r="G1078" s="101"/>
      <c r="H1078" s="101"/>
    </row>
    <row r="1079" spans="3:8">
      <c r="C1079" s="101"/>
      <c r="D1079" s="101"/>
      <c r="E1079" s="101"/>
      <c r="F1079" s="101"/>
      <c r="G1079" s="101"/>
      <c r="H1079" s="101"/>
    </row>
    <row r="1080" spans="3:8">
      <c r="C1080" s="101"/>
      <c r="D1080" s="101"/>
      <c r="E1080" s="101"/>
      <c r="F1080" s="101"/>
      <c r="G1080" s="101"/>
      <c r="H1080" s="101"/>
    </row>
    <row r="1081" spans="3:8">
      <c r="C1081" s="101"/>
      <c r="D1081" s="101"/>
      <c r="E1081" s="101"/>
      <c r="F1081" s="101"/>
      <c r="G1081" s="101"/>
      <c r="H1081" s="101"/>
    </row>
    <row r="1082" spans="3:8">
      <c r="C1082" s="101"/>
      <c r="D1082" s="101"/>
      <c r="E1082" s="101"/>
      <c r="F1082" s="101"/>
      <c r="G1082" s="101"/>
      <c r="H1082" s="101"/>
    </row>
    <row r="1083" spans="3:8">
      <c r="C1083" s="101"/>
      <c r="D1083" s="101"/>
      <c r="E1083" s="101"/>
      <c r="F1083" s="101"/>
      <c r="G1083" s="101"/>
      <c r="H1083" s="101"/>
    </row>
    <row r="1084" spans="3:8">
      <c r="C1084" s="101"/>
      <c r="D1084" s="101"/>
      <c r="E1084" s="101"/>
      <c r="F1084" s="101"/>
      <c r="G1084" s="101"/>
      <c r="H1084" s="101"/>
    </row>
    <row r="1085" spans="3:8">
      <c r="C1085" s="101"/>
      <c r="D1085" s="101"/>
      <c r="E1085" s="101"/>
      <c r="F1085" s="101"/>
      <c r="G1085" s="101"/>
      <c r="H1085" s="101"/>
    </row>
    <row r="1086" spans="3:8">
      <c r="C1086" s="101"/>
      <c r="D1086" s="101"/>
      <c r="E1086" s="101"/>
      <c r="F1086" s="101"/>
      <c r="G1086" s="101"/>
      <c r="H1086" s="101"/>
    </row>
    <row r="1087" spans="3:8">
      <c r="C1087" s="101"/>
      <c r="D1087" s="101"/>
      <c r="E1087" s="101"/>
      <c r="F1087" s="101"/>
      <c r="G1087" s="101"/>
      <c r="H1087" s="101"/>
    </row>
    <row r="1088" spans="3:8">
      <c r="C1088" s="101"/>
      <c r="D1088" s="101"/>
      <c r="E1088" s="101"/>
      <c r="F1088" s="101"/>
      <c r="G1088" s="101"/>
      <c r="H1088" s="101"/>
    </row>
    <row r="1089" spans="3:8">
      <c r="C1089" s="101"/>
      <c r="D1089" s="101"/>
      <c r="E1089" s="101"/>
      <c r="F1089" s="101"/>
      <c r="G1089" s="101"/>
      <c r="H1089" s="101"/>
    </row>
    <row r="1090" spans="3:8">
      <c r="C1090" s="101"/>
      <c r="D1090" s="101"/>
      <c r="E1090" s="101"/>
      <c r="F1090" s="101"/>
      <c r="G1090" s="101"/>
      <c r="H1090" s="101"/>
    </row>
    <row r="1091" spans="3:8">
      <c r="C1091" s="101"/>
      <c r="D1091" s="101"/>
      <c r="E1091" s="101"/>
      <c r="F1091" s="101"/>
      <c r="G1091" s="101"/>
      <c r="H1091" s="101"/>
    </row>
    <row r="1092" spans="3:8">
      <c r="C1092" s="101"/>
      <c r="D1092" s="101"/>
      <c r="E1092" s="101"/>
      <c r="F1092" s="101"/>
      <c r="G1092" s="101"/>
      <c r="H1092" s="101"/>
    </row>
    <row r="1093" spans="3:8">
      <c r="C1093" s="101"/>
      <c r="D1093" s="101"/>
      <c r="E1093" s="101"/>
      <c r="F1093" s="101"/>
      <c r="G1093" s="101"/>
      <c r="H1093" s="101"/>
    </row>
    <row r="1094" spans="3:8">
      <c r="C1094" s="101"/>
      <c r="D1094" s="101"/>
      <c r="E1094" s="101"/>
      <c r="F1094" s="101"/>
      <c r="G1094" s="101"/>
      <c r="H1094" s="101"/>
    </row>
    <row r="1095" spans="3:8">
      <c r="C1095" s="101"/>
      <c r="D1095" s="101"/>
      <c r="E1095" s="101"/>
      <c r="F1095" s="101"/>
      <c r="G1095" s="101"/>
      <c r="H1095" s="101"/>
    </row>
    <row r="1096" spans="3:8">
      <c r="C1096" s="101"/>
      <c r="D1096" s="101"/>
      <c r="E1096" s="101"/>
      <c r="F1096" s="101"/>
      <c r="G1096" s="101"/>
      <c r="H1096" s="101"/>
    </row>
    <row r="1097" spans="3:8">
      <c r="C1097" s="101"/>
      <c r="D1097" s="101"/>
      <c r="E1097" s="101"/>
      <c r="F1097" s="101"/>
      <c r="G1097" s="101"/>
      <c r="H1097" s="101"/>
    </row>
    <row r="1098" spans="3:8">
      <c r="C1098" s="101"/>
      <c r="D1098" s="101"/>
      <c r="E1098" s="101"/>
      <c r="F1098" s="101"/>
      <c r="G1098" s="101"/>
      <c r="H1098" s="101"/>
    </row>
    <row r="1099" spans="3:8">
      <c r="C1099" s="101"/>
      <c r="D1099" s="101"/>
      <c r="E1099" s="101"/>
      <c r="F1099" s="101"/>
      <c r="G1099" s="101"/>
      <c r="H1099" s="101"/>
    </row>
    <row r="1100" spans="3:8">
      <c r="C1100" s="101"/>
      <c r="D1100" s="101"/>
      <c r="E1100" s="101"/>
      <c r="F1100" s="101"/>
      <c r="G1100" s="101"/>
      <c r="H1100" s="101"/>
    </row>
    <row r="1101" spans="3:8">
      <c r="C1101" s="101"/>
      <c r="D1101" s="101"/>
      <c r="E1101" s="101"/>
      <c r="F1101" s="101"/>
      <c r="G1101" s="101"/>
      <c r="H1101" s="101"/>
    </row>
    <row r="1102" spans="3:8">
      <c r="C1102" s="101"/>
      <c r="D1102" s="101"/>
      <c r="E1102" s="101"/>
      <c r="F1102" s="101"/>
      <c r="G1102" s="101"/>
      <c r="H1102" s="101"/>
    </row>
    <row r="1103" spans="3:8">
      <c r="C1103" s="101"/>
      <c r="D1103" s="101"/>
      <c r="E1103" s="101"/>
      <c r="F1103" s="101"/>
      <c r="G1103" s="101"/>
      <c r="H1103" s="101"/>
    </row>
    <row r="1104" spans="3:8">
      <c r="C1104" s="101"/>
      <c r="D1104" s="101"/>
      <c r="E1104" s="101"/>
      <c r="F1104" s="101"/>
      <c r="G1104" s="101"/>
      <c r="H1104" s="101"/>
    </row>
    <row r="1105" spans="3:8">
      <c r="C1105" s="101"/>
      <c r="D1105" s="101"/>
      <c r="E1105" s="101"/>
      <c r="F1105" s="101"/>
      <c r="G1105" s="101"/>
      <c r="H1105" s="101"/>
    </row>
    <row r="1106" spans="3:8">
      <c r="C1106" s="101"/>
      <c r="D1106" s="101"/>
      <c r="E1106" s="101"/>
      <c r="F1106" s="101"/>
      <c r="G1106" s="101"/>
      <c r="H1106" s="101"/>
    </row>
    <row r="1107" spans="3:8">
      <c r="C1107" s="101"/>
      <c r="D1107" s="101"/>
      <c r="E1107" s="101"/>
      <c r="F1107" s="101"/>
      <c r="G1107" s="101"/>
      <c r="H1107" s="101"/>
    </row>
    <row r="1108" spans="3:8">
      <c r="C1108" s="101"/>
      <c r="D1108" s="101"/>
      <c r="E1108" s="101"/>
      <c r="F1108" s="101"/>
      <c r="G1108" s="101"/>
      <c r="H1108" s="101"/>
    </row>
    <row r="1109" spans="3:8">
      <c r="C1109" s="101"/>
      <c r="D1109" s="101"/>
      <c r="E1109" s="101"/>
      <c r="F1109" s="101"/>
      <c r="G1109" s="101"/>
      <c r="H1109" s="101"/>
    </row>
    <row r="1110" spans="3:8">
      <c r="C1110" s="101"/>
      <c r="D1110" s="101"/>
      <c r="E1110" s="101"/>
      <c r="F1110" s="101"/>
      <c r="G1110" s="101"/>
      <c r="H1110" s="101"/>
    </row>
    <row r="1111" spans="3:8">
      <c r="C1111" s="101"/>
      <c r="D1111" s="101"/>
      <c r="E1111" s="101"/>
      <c r="F1111" s="101"/>
      <c r="G1111" s="101"/>
      <c r="H1111" s="101"/>
    </row>
    <row r="1112" spans="3:8">
      <c r="C1112" s="101"/>
      <c r="D1112" s="101"/>
      <c r="E1112" s="101"/>
      <c r="F1112" s="101"/>
      <c r="G1112" s="101"/>
      <c r="H1112" s="101"/>
    </row>
    <row r="1113" spans="3:8">
      <c r="C1113" s="101"/>
      <c r="D1113" s="101"/>
      <c r="E1113" s="101"/>
      <c r="F1113" s="101"/>
      <c r="G1113" s="101"/>
      <c r="H1113" s="101"/>
    </row>
    <row r="1114" spans="3:8">
      <c r="C1114" s="101"/>
      <c r="D1114" s="101"/>
      <c r="E1114" s="101"/>
      <c r="F1114" s="101"/>
      <c r="G1114" s="101"/>
      <c r="H1114" s="101"/>
    </row>
    <row r="1115" spans="3:8">
      <c r="C1115" s="101"/>
      <c r="D1115" s="101"/>
      <c r="E1115" s="101"/>
      <c r="F1115" s="101"/>
      <c r="G1115" s="101"/>
      <c r="H1115" s="101"/>
    </row>
    <row r="1116" spans="3:8">
      <c r="C1116" s="101"/>
      <c r="D1116" s="101"/>
      <c r="E1116" s="101"/>
      <c r="F1116" s="101"/>
      <c r="G1116" s="101"/>
      <c r="H1116" s="101"/>
    </row>
    <row r="1117" spans="3:8">
      <c r="C1117" s="101"/>
      <c r="D1117" s="101"/>
      <c r="E1117" s="101"/>
      <c r="F1117" s="101"/>
      <c r="G1117" s="101"/>
      <c r="H1117" s="101"/>
    </row>
    <row r="1118" spans="3:8">
      <c r="C1118" s="101"/>
      <c r="D1118" s="101"/>
      <c r="E1118" s="101"/>
      <c r="F1118" s="101"/>
      <c r="G1118" s="101"/>
      <c r="H1118" s="101"/>
    </row>
    <row r="1119" spans="3:8">
      <c r="C1119" s="101"/>
      <c r="D1119" s="101"/>
      <c r="E1119" s="101"/>
      <c r="F1119" s="101"/>
      <c r="G1119" s="101"/>
      <c r="H1119" s="101"/>
    </row>
    <row r="1120" spans="3:8">
      <c r="C1120" s="101"/>
      <c r="D1120" s="101"/>
      <c r="E1120" s="101"/>
      <c r="F1120" s="101"/>
      <c r="G1120" s="101"/>
      <c r="H1120" s="101"/>
    </row>
    <row r="1121" spans="3:8">
      <c r="C1121" s="101"/>
      <c r="D1121" s="101"/>
      <c r="E1121" s="101"/>
      <c r="F1121" s="101"/>
      <c r="G1121" s="101"/>
      <c r="H1121" s="101"/>
    </row>
    <row r="1122" spans="3:8">
      <c r="C1122" s="101"/>
      <c r="D1122" s="101"/>
      <c r="E1122" s="101"/>
      <c r="F1122" s="101"/>
      <c r="G1122" s="101"/>
      <c r="H1122" s="101"/>
    </row>
    <row r="1123" spans="3:8">
      <c r="C1123" s="101"/>
      <c r="D1123" s="101"/>
      <c r="E1123" s="101"/>
      <c r="F1123" s="101"/>
      <c r="G1123" s="101"/>
      <c r="H1123" s="101"/>
    </row>
    <row r="1124" spans="3:8">
      <c r="C1124" s="101"/>
      <c r="D1124" s="101"/>
      <c r="E1124" s="101"/>
      <c r="F1124" s="101"/>
      <c r="G1124" s="101"/>
      <c r="H1124" s="101"/>
    </row>
    <row r="1125" spans="3:8">
      <c r="C1125" s="101"/>
      <c r="D1125" s="101"/>
      <c r="E1125" s="101"/>
      <c r="F1125" s="101"/>
      <c r="G1125" s="101"/>
      <c r="H1125" s="101"/>
    </row>
    <row r="1126" spans="3:8">
      <c r="C1126" s="101"/>
      <c r="D1126" s="101"/>
      <c r="E1126" s="101"/>
      <c r="F1126" s="101"/>
      <c r="G1126" s="101"/>
      <c r="H1126" s="101"/>
    </row>
    <row r="1127" spans="3:8">
      <c r="C1127" s="101"/>
      <c r="D1127" s="101"/>
      <c r="E1127" s="101"/>
      <c r="F1127" s="101"/>
      <c r="G1127" s="101"/>
      <c r="H1127" s="101"/>
    </row>
    <row r="1128" spans="3:8">
      <c r="C1128" s="101"/>
      <c r="D1128" s="101"/>
      <c r="E1128" s="101"/>
      <c r="F1128" s="101"/>
      <c r="G1128" s="101"/>
      <c r="H1128" s="101"/>
    </row>
    <row r="1129" spans="3:8">
      <c r="C1129" s="101"/>
      <c r="D1129" s="101"/>
      <c r="E1129" s="101"/>
      <c r="F1129" s="101"/>
      <c r="G1129" s="101"/>
      <c r="H1129" s="101"/>
    </row>
    <row r="1130" spans="3:8">
      <c r="C1130" s="101"/>
      <c r="D1130" s="101"/>
      <c r="E1130" s="101"/>
      <c r="F1130" s="101"/>
      <c r="G1130" s="101"/>
      <c r="H1130" s="101"/>
    </row>
    <row r="1131" spans="3:8">
      <c r="C1131" s="101"/>
      <c r="D1131" s="101"/>
      <c r="E1131" s="101"/>
      <c r="F1131" s="101"/>
      <c r="G1131" s="101"/>
      <c r="H1131" s="101"/>
    </row>
    <row r="1132" spans="3:8">
      <c r="C1132" s="101"/>
      <c r="D1132" s="101"/>
      <c r="E1132" s="101"/>
      <c r="F1132" s="101"/>
      <c r="G1132" s="101"/>
      <c r="H1132" s="101"/>
    </row>
    <row r="1133" spans="3:8">
      <c r="C1133" s="101"/>
      <c r="D1133" s="101"/>
      <c r="E1133" s="101"/>
      <c r="F1133" s="101"/>
      <c r="G1133" s="101"/>
      <c r="H1133" s="101"/>
    </row>
    <row r="1134" spans="3:8">
      <c r="C1134" s="101"/>
      <c r="D1134" s="101"/>
      <c r="E1134" s="101"/>
      <c r="F1134" s="101"/>
      <c r="G1134" s="101"/>
      <c r="H1134" s="101"/>
    </row>
    <row r="1135" spans="3:8">
      <c r="C1135" s="101"/>
      <c r="D1135" s="101"/>
      <c r="E1135" s="101"/>
      <c r="F1135" s="101"/>
      <c r="G1135" s="101"/>
      <c r="H1135" s="101"/>
    </row>
    <row r="1136" spans="3:8">
      <c r="C1136" s="101"/>
      <c r="D1136" s="101"/>
      <c r="E1136" s="101"/>
      <c r="F1136" s="101"/>
      <c r="G1136" s="101"/>
      <c r="H1136" s="101"/>
    </row>
    <row r="1137" spans="3:8">
      <c r="C1137" s="101"/>
      <c r="D1137" s="101"/>
      <c r="E1137" s="101"/>
      <c r="F1137" s="101"/>
      <c r="G1137" s="101"/>
      <c r="H1137" s="101"/>
    </row>
    <row r="1138" spans="3:8">
      <c r="C1138" s="101"/>
      <c r="D1138" s="101"/>
      <c r="E1138" s="101"/>
      <c r="F1138" s="101"/>
      <c r="G1138" s="101"/>
      <c r="H1138" s="101"/>
    </row>
    <row r="1139" spans="3:8">
      <c r="C1139" s="101"/>
      <c r="D1139" s="101"/>
      <c r="E1139" s="101"/>
      <c r="F1139" s="101"/>
      <c r="G1139" s="101"/>
      <c r="H1139" s="101"/>
    </row>
    <row r="1140" spans="3:8">
      <c r="C1140" s="101"/>
      <c r="D1140" s="101"/>
      <c r="E1140" s="101"/>
      <c r="F1140" s="101"/>
      <c r="G1140" s="101"/>
      <c r="H1140" s="101"/>
    </row>
    <row r="1141" spans="3:8">
      <c r="C1141" s="101"/>
      <c r="D1141" s="101"/>
      <c r="E1141" s="101"/>
      <c r="F1141" s="101"/>
      <c r="G1141" s="101"/>
      <c r="H1141" s="101"/>
    </row>
    <row r="1142" spans="3:8">
      <c r="C1142" s="101"/>
      <c r="D1142" s="101"/>
      <c r="E1142" s="101"/>
      <c r="F1142" s="101"/>
      <c r="G1142" s="101"/>
      <c r="H1142" s="101"/>
    </row>
    <row r="1143" spans="3:8">
      <c r="C1143" s="101"/>
      <c r="D1143" s="101"/>
      <c r="E1143" s="101"/>
      <c r="F1143" s="101"/>
      <c r="G1143" s="101"/>
      <c r="H1143" s="101"/>
    </row>
    <row r="1144" spans="3:8">
      <c r="C1144" s="101"/>
      <c r="D1144" s="101"/>
      <c r="E1144" s="101"/>
      <c r="F1144" s="101"/>
      <c r="G1144" s="101"/>
      <c r="H1144" s="101"/>
    </row>
    <row r="1145" spans="3:8">
      <c r="C1145" s="101"/>
      <c r="D1145" s="101"/>
      <c r="E1145" s="101"/>
      <c r="F1145" s="101"/>
      <c r="G1145" s="101"/>
      <c r="H1145" s="101"/>
    </row>
    <row r="1146" spans="3:8">
      <c r="C1146" s="101"/>
      <c r="D1146" s="101"/>
      <c r="E1146" s="101"/>
      <c r="F1146" s="101"/>
      <c r="G1146" s="101"/>
      <c r="H1146" s="101"/>
    </row>
    <row r="1147" spans="3:8">
      <c r="C1147" s="101"/>
      <c r="D1147" s="101"/>
      <c r="E1147" s="101"/>
      <c r="F1147" s="101"/>
      <c r="G1147" s="101"/>
      <c r="H1147" s="101"/>
    </row>
    <row r="1148" spans="3:8">
      <c r="C1148" s="101"/>
      <c r="D1148" s="101"/>
      <c r="E1148" s="101"/>
      <c r="F1148" s="101"/>
      <c r="G1148" s="101"/>
      <c r="H1148" s="101"/>
    </row>
    <row r="1149" spans="3:8">
      <c r="C1149" s="101"/>
      <c r="D1149" s="101"/>
      <c r="E1149" s="101"/>
      <c r="F1149" s="101"/>
      <c r="G1149" s="101"/>
      <c r="H1149" s="101"/>
    </row>
    <row r="1150" spans="3:8">
      <c r="C1150" s="101"/>
      <c r="D1150" s="101"/>
      <c r="E1150" s="101"/>
      <c r="F1150" s="101"/>
      <c r="G1150" s="101"/>
      <c r="H1150" s="101"/>
    </row>
    <row r="1151" spans="3:8">
      <c r="C1151" s="101"/>
      <c r="D1151" s="101"/>
      <c r="E1151" s="101"/>
      <c r="F1151" s="101"/>
      <c r="G1151" s="101"/>
      <c r="H1151" s="101"/>
    </row>
    <row r="1152" spans="3:8">
      <c r="C1152" s="101"/>
      <c r="D1152" s="101"/>
      <c r="E1152" s="101"/>
      <c r="F1152" s="101"/>
      <c r="G1152" s="101"/>
      <c r="H1152" s="101"/>
    </row>
    <row r="1153" spans="3:8">
      <c r="C1153" s="101"/>
      <c r="D1153" s="101"/>
      <c r="E1153" s="101"/>
      <c r="F1153" s="101"/>
      <c r="G1153" s="101"/>
      <c r="H1153" s="101"/>
    </row>
    <row r="1154" spans="3:8">
      <c r="C1154" s="101"/>
      <c r="D1154" s="101"/>
      <c r="E1154" s="101"/>
      <c r="F1154" s="101"/>
      <c r="G1154" s="101"/>
      <c r="H1154" s="101"/>
    </row>
    <row r="1155" spans="3:8">
      <c r="C1155" s="101"/>
      <c r="D1155" s="101"/>
      <c r="E1155" s="101"/>
      <c r="F1155" s="101"/>
      <c r="G1155" s="101"/>
      <c r="H1155" s="101"/>
    </row>
    <row r="1156" spans="3:8">
      <c r="C1156" s="101"/>
      <c r="D1156" s="101"/>
      <c r="E1156" s="101"/>
      <c r="F1156" s="101"/>
      <c r="G1156" s="101"/>
      <c r="H1156" s="101"/>
    </row>
    <row r="1157" spans="3:8">
      <c r="C1157" s="101"/>
      <c r="D1157" s="101"/>
      <c r="E1157" s="101"/>
      <c r="F1157" s="101"/>
      <c r="G1157" s="101"/>
      <c r="H1157" s="101"/>
    </row>
    <row r="1158" spans="3:8">
      <c r="C1158" s="101"/>
      <c r="D1158" s="101"/>
      <c r="E1158" s="101"/>
      <c r="F1158" s="101"/>
      <c r="G1158" s="101"/>
      <c r="H1158" s="101"/>
    </row>
    <row r="1159" spans="3:8">
      <c r="C1159" s="101"/>
      <c r="D1159" s="101"/>
      <c r="E1159" s="101"/>
      <c r="F1159" s="101"/>
      <c r="G1159" s="101"/>
      <c r="H1159" s="101"/>
    </row>
    <row r="1160" spans="3:8">
      <c r="C1160" s="101"/>
      <c r="D1160" s="101"/>
      <c r="E1160" s="101"/>
      <c r="F1160" s="101"/>
      <c r="G1160" s="101"/>
      <c r="H1160" s="101"/>
    </row>
    <row r="1161" spans="3:8">
      <c r="C1161" s="101"/>
      <c r="D1161" s="101"/>
      <c r="E1161" s="101"/>
      <c r="F1161" s="101"/>
      <c r="G1161" s="101"/>
      <c r="H1161" s="101"/>
    </row>
    <row r="1162" spans="3:8">
      <c r="C1162" s="101"/>
      <c r="D1162" s="101"/>
      <c r="E1162" s="101"/>
      <c r="F1162" s="101"/>
      <c r="G1162" s="101"/>
      <c r="H1162" s="101"/>
    </row>
    <row r="1163" spans="3:8">
      <c r="C1163" s="101"/>
      <c r="D1163" s="101"/>
      <c r="E1163" s="101"/>
      <c r="F1163" s="101"/>
      <c r="G1163" s="101"/>
      <c r="H1163" s="101"/>
    </row>
    <row r="1164" spans="3:8">
      <c r="C1164" s="101"/>
      <c r="D1164" s="101"/>
      <c r="E1164" s="101"/>
      <c r="F1164" s="101"/>
      <c r="G1164" s="101"/>
      <c r="H1164" s="101"/>
    </row>
    <row r="1165" spans="3:8">
      <c r="C1165" s="101"/>
      <c r="D1165" s="101"/>
      <c r="E1165" s="101"/>
      <c r="F1165" s="101"/>
      <c r="G1165" s="101"/>
      <c r="H1165" s="101"/>
    </row>
    <row r="1166" spans="3:8">
      <c r="C1166" s="101"/>
      <c r="D1166" s="101"/>
      <c r="E1166" s="101"/>
      <c r="F1166" s="101"/>
      <c r="G1166" s="101"/>
      <c r="H1166" s="101"/>
    </row>
    <row r="1167" spans="3:8">
      <c r="C1167" s="101"/>
      <c r="D1167" s="101"/>
      <c r="E1167" s="101"/>
      <c r="F1167" s="101"/>
      <c r="G1167" s="101"/>
      <c r="H1167" s="101"/>
    </row>
    <row r="1168" spans="3:8">
      <c r="C1168" s="101"/>
      <c r="D1168" s="101"/>
      <c r="E1168" s="101"/>
      <c r="F1168" s="101"/>
      <c r="G1168" s="101"/>
      <c r="H1168" s="101"/>
    </row>
    <row r="1169" spans="3:8">
      <c r="C1169" s="101"/>
      <c r="D1169" s="101"/>
      <c r="E1169" s="101"/>
      <c r="F1169" s="101"/>
      <c r="G1169" s="101"/>
      <c r="H1169" s="101"/>
    </row>
    <row r="1170" spans="3:8">
      <c r="C1170" s="101"/>
      <c r="D1170" s="101"/>
      <c r="E1170" s="101"/>
      <c r="F1170" s="101"/>
      <c r="G1170" s="101"/>
      <c r="H1170" s="101"/>
    </row>
    <row r="1171" spans="3:8">
      <c r="C1171" s="101"/>
      <c r="D1171" s="101"/>
      <c r="E1171" s="101"/>
      <c r="F1171" s="101"/>
      <c r="G1171" s="101"/>
      <c r="H1171" s="101"/>
    </row>
    <row r="1172" spans="3:8">
      <c r="C1172" s="101"/>
      <c r="D1172" s="101"/>
      <c r="E1172" s="101"/>
      <c r="F1172" s="101"/>
      <c r="G1172" s="101"/>
      <c r="H1172" s="101"/>
    </row>
    <row r="1173" spans="3:8">
      <c r="C1173" s="101"/>
      <c r="D1173" s="101"/>
      <c r="E1173" s="101"/>
      <c r="F1173" s="101"/>
      <c r="G1173" s="101"/>
      <c r="H1173" s="101"/>
    </row>
    <row r="1174" spans="3:8">
      <c r="C1174" s="101"/>
      <c r="D1174" s="101"/>
      <c r="E1174" s="101"/>
      <c r="F1174" s="101"/>
      <c r="G1174" s="101"/>
      <c r="H1174" s="101"/>
    </row>
    <row r="1175" spans="3:8">
      <c r="C1175" s="101"/>
      <c r="D1175" s="101"/>
      <c r="E1175" s="101"/>
      <c r="F1175" s="101"/>
      <c r="G1175" s="101"/>
      <c r="H1175" s="101"/>
    </row>
    <row r="1176" spans="3:8">
      <c r="C1176" s="101"/>
      <c r="D1176" s="101"/>
      <c r="E1176" s="101"/>
      <c r="F1176" s="101"/>
      <c r="G1176" s="101"/>
      <c r="H1176" s="101"/>
    </row>
    <row r="1177" spans="3:8">
      <c r="C1177" s="101"/>
      <c r="D1177" s="101"/>
      <c r="E1177" s="101"/>
      <c r="F1177" s="101"/>
      <c r="G1177" s="101"/>
      <c r="H1177" s="101"/>
    </row>
    <row r="1178" spans="3:8">
      <c r="C1178" s="101"/>
      <c r="D1178" s="101"/>
      <c r="E1178" s="101"/>
      <c r="F1178" s="101"/>
      <c r="G1178" s="101"/>
      <c r="H1178" s="101"/>
    </row>
    <row r="1179" spans="3:8">
      <c r="C1179" s="101"/>
      <c r="D1179" s="101"/>
      <c r="E1179" s="101"/>
      <c r="F1179" s="101"/>
      <c r="G1179" s="101"/>
      <c r="H1179" s="101"/>
    </row>
    <row r="1180" spans="3:8">
      <c r="C1180" s="101"/>
      <c r="D1180" s="101"/>
      <c r="E1180" s="101"/>
      <c r="F1180" s="101"/>
      <c r="G1180" s="101"/>
      <c r="H1180" s="101"/>
    </row>
    <row r="1181" spans="3:8">
      <c r="C1181" s="101"/>
      <c r="D1181" s="101"/>
      <c r="E1181" s="101"/>
      <c r="F1181" s="101"/>
      <c r="G1181" s="101"/>
      <c r="H1181" s="101"/>
    </row>
    <row r="1182" spans="3:8">
      <c r="C1182" s="101"/>
      <c r="D1182" s="101"/>
      <c r="E1182" s="101"/>
      <c r="F1182" s="101"/>
      <c r="G1182" s="101"/>
      <c r="H1182" s="101"/>
    </row>
    <row r="1183" spans="3:8">
      <c r="C1183" s="101"/>
      <c r="D1183" s="101"/>
      <c r="E1183" s="101"/>
      <c r="F1183" s="101"/>
      <c r="G1183" s="101"/>
      <c r="H1183" s="101"/>
    </row>
    <row r="1184" spans="3:8">
      <c r="C1184" s="101"/>
      <c r="D1184" s="101"/>
      <c r="E1184" s="101"/>
      <c r="F1184" s="101"/>
      <c r="G1184" s="101"/>
      <c r="H1184" s="101"/>
    </row>
    <row r="1185" spans="3:8">
      <c r="C1185" s="101"/>
      <c r="D1185" s="101"/>
      <c r="E1185" s="101"/>
      <c r="F1185" s="101"/>
      <c r="G1185" s="101"/>
      <c r="H1185" s="101"/>
    </row>
    <row r="1186" spans="3:8">
      <c r="C1186" s="101"/>
      <c r="D1186" s="101"/>
      <c r="E1186" s="101"/>
      <c r="F1186" s="101"/>
      <c r="G1186" s="101"/>
      <c r="H1186" s="101"/>
    </row>
    <row r="1187" spans="3:8">
      <c r="C1187" s="101"/>
      <c r="D1187" s="101"/>
      <c r="E1187" s="101"/>
      <c r="F1187" s="101"/>
      <c r="G1187" s="101"/>
      <c r="H1187" s="101"/>
    </row>
    <row r="1188" spans="3:8">
      <c r="C1188" s="101"/>
      <c r="D1188" s="101"/>
      <c r="E1188" s="101"/>
      <c r="F1188" s="101"/>
      <c r="G1188" s="101"/>
      <c r="H1188" s="101"/>
    </row>
    <row r="1189" spans="3:8">
      <c r="C1189" s="101"/>
      <c r="D1189" s="101"/>
      <c r="E1189" s="101"/>
      <c r="F1189" s="101"/>
      <c r="G1189" s="101"/>
      <c r="H1189" s="101"/>
    </row>
    <row r="1190" spans="3:8">
      <c r="C1190" s="101"/>
      <c r="D1190" s="101"/>
      <c r="E1190" s="101"/>
      <c r="F1190" s="101"/>
      <c r="G1190" s="101"/>
      <c r="H1190" s="101"/>
    </row>
    <row r="1191" spans="3:8">
      <c r="C1191" s="101"/>
      <c r="D1191" s="101"/>
      <c r="E1191" s="101"/>
      <c r="F1191" s="101"/>
      <c r="G1191" s="101"/>
      <c r="H1191" s="101"/>
    </row>
    <row r="1192" spans="3:8">
      <c r="C1192" s="101"/>
      <c r="D1192" s="101"/>
      <c r="E1192" s="101"/>
      <c r="F1192" s="101"/>
      <c r="G1192" s="101"/>
      <c r="H1192" s="101"/>
    </row>
    <row r="1193" spans="3:8">
      <c r="C1193" s="101"/>
      <c r="D1193" s="101"/>
      <c r="E1193" s="101"/>
      <c r="F1193" s="101"/>
      <c r="G1193" s="101"/>
      <c r="H1193" s="101"/>
    </row>
    <row r="1194" spans="3:8">
      <c r="C1194" s="101"/>
      <c r="D1194" s="101"/>
      <c r="E1194" s="101"/>
      <c r="F1194" s="101"/>
      <c r="G1194" s="101"/>
      <c r="H1194" s="101"/>
    </row>
    <row r="1195" spans="3:8">
      <c r="C1195" s="101"/>
      <c r="D1195" s="101"/>
      <c r="E1195" s="101"/>
      <c r="F1195" s="101"/>
      <c r="G1195" s="101"/>
      <c r="H1195" s="101"/>
    </row>
    <row r="1196" spans="3:8">
      <c r="C1196" s="101"/>
      <c r="D1196" s="101"/>
      <c r="E1196" s="101"/>
      <c r="F1196" s="101"/>
      <c r="G1196" s="101"/>
      <c r="H1196" s="101"/>
    </row>
    <row r="1197" spans="3:8">
      <c r="C1197" s="101"/>
      <c r="D1197" s="101"/>
      <c r="E1197" s="101"/>
      <c r="F1197" s="101"/>
      <c r="G1197" s="101"/>
      <c r="H1197" s="101"/>
    </row>
    <row r="1198" spans="3:8">
      <c r="C1198" s="101"/>
      <c r="D1198" s="101"/>
      <c r="E1198" s="101"/>
      <c r="F1198" s="101"/>
      <c r="G1198" s="101"/>
      <c r="H1198" s="101"/>
    </row>
    <row r="1199" spans="3:8">
      <c r="C1199" s="101"/>
      <c r="D1199" s="101"/>
      <c r="E1199" s="101"/>
      <c r="F1199" s="101"/>
      <c r="G1199" s="101"/>
      <c r="H1199" s="101"/>
    </row>
    <row r="1200" spans="3:8">
      <c r="C1200" s="101"/>
      <c r="D1200" s="101"/>
      <c r="E1200" s="101"/>
      <c r="F1200" s="101"/>
      <c r="G1200" s="101"/>
      <c r="H1200" s="101"/>
    </row>
    <row r="1201" spans="3:8">
      <c r="C1201" s="101"/>
      <c r="D1201" s="101"/>
      <c r="E1201" s="101"/>
      <c r="F1201" s="101"/>
      <c r="G1201" s="101"/>
      <c r="H1201" s="101"/>
    </row>
    <row r="1202" spans="3:8">
      <c r="C1202" s="101"/>
      <c r="D1202" s="101"/>
      <c r="E1202" s="101"/>
      <c r="F1202" s="101"/>
      <c r="G1202" s="101"/>
      <c r="H1202" s="101"/>
    </row>
    <row r="1203" spans="3:8">
      <c r="C1203" s="101"/>
      <c r="D1203" s="101"/>
      <c r="E1203" s="101"/>
      <c r="F1203" s="101"/>
      <c r="G1203" s="101"/>
      <c r="H1203" s="101"/>
    </row>
    <row r="1204" spans="3:8">
      <c r="C1204" s="101"/>
      <c r="D1204" s="101"/>
      <c r="E1204" s="101"/>
      <c r="F1204" s="101"/>
      <c r="G1204" s="101"/>
      <c r="H1204" s="101"/>
    </row>
    <row r="1205" spans="3:8">
      <c r="C1205" s="101"/>
      <c r="D1205" s="101"/>
      <c r="E1205" s="101"/>
      <c r="F1205" s="101"/>
      <c r="G1205" s="101"/>
      <c r="H1205" s="101"/>
    </row>
    <row r="1206" spans="3:8">
      <c r="C1206" s="101"/>
      <c r="D1206" s="101"/>
      <c r="E1206" s="101"/>
      <c r="F1206" s="101"/>
      <c r="G1206" s="101"/>
      <c r="H1206" s="101"/>
    </row>
    <row r="1207" spans="3:8">
      <c r="C1207" s="101"/>
      <c r="D1207" s="101"/>
      <c r="E1207" s="101"/>
      <c r="F1207" s="101"/>
      <c r="G1207" s="101"/>
      <c r="H1207" s="101"/>
    </row>
    <row r="1208" spans="3:8">
      <c r="C1208" s="101"/>
      <c r="D1208" s="101"/>
      <c r="E1208" s="101"/>
      <c r="F1208" s="101"/>
      <c r="G1208" s="101"/>
      <c r="H1208" s="101"/>
    </row>
    <row r="1209" spans="3:8">
      <c r="C1209" s="101"/>
      <c r="D1209" s="101"/>
      <c r="E1209" s="101"/>
      <c r="F1209" s="101"/>
      <c r="G1209" s="101"/>
      <c r="H1209" s="101"/>
    </row>
    <row r="1210" spans="3:8">
      <c r="C1210" s="101"/>
      <c r="D1210" s="101"/>
      <c r="E1210" s="101"/>
      <c r="F1210" s="101"/>
      <c r="G1210" s="101"/>
      <c r="H1210" s="101"/>
    </row>
    <row r="1211" spans="3:8">
      <c r="C1211" s="101"/>
      <c r="D1211" s="101"/>
      <c r="E1211" s="101"/>
      <c r="F1211" s="101"/>
      <c r="G1211" s="101"/>
      <c r="H1211" s="101"/>
    </row>
    <row r="1212" spans="3:8">
      <c r="C1212" s="101"/>
      <c r="D1212" s="101"/>
      <c r="E1212" s="101"/>
      <c r="F1212" s="101"/>
      <c r="G1212" s="101"/>
      <c r="H1212" s="101"/>
    </row>
    <row r="1213" spans="3:8">
      <c r="C1213" s="101"/>
      <c r="D1213" s="101"/>
      <c r="E1213" s="101"/>
      <c r="F1213" s="101"/>
      <c r="G1213" s="101"/>
      <c r="H1213" s="101"/>
    </row>
    <row r="1214" spans="3:8">
      <c r="C1214" s="101"/>
      <c r="D1214" s="101"/>
      <c r="E1214" s="101"/>
      <c r="F1214" s="101"/>
      <c r="G1214" s="101"/>
      <c r="H1214" s="101"/>
    </row>
    <row r="1215" spans="3:8">
      <c r="C1215" s="101"/>
      <c r="D1215" s="101"/>
      <c r="E1215" s="101"/>
      <c r="F1215" s="101"/>
      <c r="G1215" s="101"/>
      <c r="H1215" s="101"/>
    </row>
    <row r="1216" spans="3:8">
      <c r="C1216" s="101"/>
      <c r="D1216" s="101"/>
      <c r="E1216" s="101"/>
      <c r="F1216" s="101"/>
      <c r="G1216" s="101"/>
      <c r="H1216" s="101"/>
    </row>
    <row r="1217" spans="3:8">
      <c r="C1217" s="101"/>
      <c r="D1217" s="101"/>
      <c r="E1217" s="101"/>
      <c r="F1217" s="101"/>
      <c r="G1217" s="101"/>
      <c r="H1217" s="101"/>
    </row>
    <row r="1218" spans="3:8">
      <c r="C1218" s="101"/>
      <c r="D1218" s="101"/>
      <c r="E1218" s="101"/>
      <c r="F1218" s="101"/>
      <c r="G1218" s="101"/>
      <c r="H1218" s="101"/>
    </row>
    <row r="1219" spans="3:8">
      <c r="C1219" s="101"/>
      <c r="D1219" s="101"/>
      <c r="E1219" s="101"/>
      <c r="F1219" s="101"/>
      <c r="G1219" s="101"/>
      <c r="H1219" s="101"/>
    </row>
    <row r="1220" spans="3:8">
      <c r="C1220" s="101"/>
      <c r="D1220" s="101"/>
      <c r="E1220" s="101"/>
      <c r="F1220" s="101"/>
      <c r="G1220" s="101"/>
      <c r="H1220" s="101"/>
    </row>
    <row r="1221" spans="3:8">
      <c r="C1221" s="101"/>
      <c r="D1221" s="101"/>
      <c r="E1221" s="101"/>
      <c r="F1221" s="101"/>
      <c r="G1221" s="101"/>
      <c r="H1221" s="101"/>
    </row>
    <row r="1222" spans="3:8">
      <c r="C1222" s="101"/>
      <c r="D1222" s="101"/>
      <c r="E1222" s="101"/>
      <c r="F1222" s="101"/>
      <c r="G1222" s="101"/>
      <c r="H1222" s="101"/>
    </row>
    <row r="1223" spans="3:8">
      <c r="C1223" s="101"/>
      <c r="D1223" s="101"/>
      <c r="E1223" s="101"/>
      <c r="F1223" s="101"/>
      <c r="G1223" s="101"/>
      <c r="H1223" s="101"/>
    </row>
    <row r="1224" spans="3:8">
      <c r="C1224" s="101"/>
      <c r="D1224" s="101"/>
      <c r="E1224" s="101"/>
      <c r="F1224" s="101"/>
      <c r="G1224" s="101"/>
      <c r="H1224" s="101"/>
    </row>
    <row r="1225" spans="3:8">
      <c r="C1225" s="101"/>
      <c r="D1225" s="101"/>
      <c r="E1225" s="101"/>
      <c r="F1225" s="101"/>
      <c r="G1225" s="101"/>
      <c r="H1225" s="101"/>
    </row>
    <row r="1226" spans="3:8">
      <c r="C1226" s="101"/>
      <c r="D1226" s="101"/>
      <c r="E1226" s="101"/>
      <c r="F1226" s="101"/>
      <c r="G1226" s="101"/>
      <c r="H1226" s="101"/>
    </row>
    <row r="1227" spans="3:8">
      <c r="C1227" s="101"/>
      <c r="D1227" s="101"/>
      <c r="E1227" s="101"/>
      <c r="F1227" s="101"/>
      <c r="G1227" s="101"/>
      <c r="H1227" s="101"/>
    </row>
    <row r="1228" spans="3:8">
      <c r="C1228" s="101"/>
      <c r="D1228" s="101"/>
      <c r="E1228" s="101"/>
      <c r="F1228" s="101"/>
      <c r="G1228" s="101"/>
      <c r="H1228" s="101"/>
    </row>
    <row r="1229" spans="3:8">
      <c r="C1229" s="101"/>
      <c r="D1229" s="101"/>
      <c r="E1229" s="101"/>
      <c r="F1229" s="101"/>
      <c r="G1229" s="101"/>
      <c r="H1229" s="101"/>
    </row>
    <row r="1230" spans="3:8">
      <c r="C1230" s="101"/>
      <c r="D1230" s="101"/>
      <c r="E1230" s="101"/>
      <c r="F1230" s="101"/>
      <c r="G1230" s="101"/>
      <c r="H1230" s="101"/>
    </row>
    <row r="1231" spans="3:8">
      <c r="C1231" s="101"/>
      <c r="D1231" s="101"/>
      <c r="E1231" s="101"/>
      <c r="F1231" s="101"/>
      <c r="G1231" s="101"/>
      <c r="H1231" s="101"/>
    </row>
    <row r="1232" spans="3:8">
      <c r="C1232" s="101"/>
      <c r="D1232" s="101"/>
      <c r="E1232" s="101"/>
      <c r="F1232" s="101"/>
      <c r="G1232" s="101"/>
      <c r="H1232" s="101"/>
    </row>
    <row r="1233" spans="3:8">
      <c r="C1233" s="101"/>
      <c r="D1233" s="101"/>
      <c r="E1233" s="101"/>
      <c r="F1233" s="101"/>
      <c r="G1233" s="101"/>
      <c r="H1233" s="101"/>
    </row>
    <row r="1234" spans="3:8">
      <c r="C1234" s="101"/>
      <c r="D1234" s="101"/>
      <c r="E1234" s="101"/>
      <c r="F1234" s="101"/>
      <c r="G1234" s="101"/>
      <c r="H1234" s="101"/>
    </row>
    <row r="1235" spans="3:8">
      <c r="C1235" s="101"/>
      <c r="D1235" s="101"/>
      <c r="E1235" s="101"/>
      <c r="F1235" s="101"/>
      <c r="G1235" s="101"/>
      <c r="H1235" s="101"/>
    </row>
    <row r="1236" spans="3:8">
      <c r="C1236" s="101"/>
      <c r="D1236" s="101"/>
      <c r="E1236" s="101"/>
      <c r="F1236" s="101"/>
      <c r="G1236" s="101"/>
      <c r="H1236" s="101"/>
    </row>
    <row r="1237" spans="3:8">
      <c r="C1237" s="101"/>
      <c r="D1237" s="101"/>
      <c r="E1237" s="101"/>
      <c r="F1237" s="101"/>
      <c r="G1237" s="101"/>
      <c r="H1237" s="101"/>
    </row>
    <row r="1238" spans="3:8">
      <c r="C1238" s="101"/>
      <c r="D1238" s="101"/>
      <c r="E1238" s="101"/>
      <c r="F1238" s="101"/>
      <c r="G1238" s="101"/>
      <c r="H1238" s="101"/>
    </row>
    <row r="1239" spans="3:8">
      <c r="C1239" s="101"/>
      <c r="D1239" s="101"/>
      <c r="E1239" s="101"/>
      <c r="F1239" s="101"/>
      <c r="G1239" s="101"/>
      <c r="H1239" s="101"/>
    </row>
    <row r="1240" spans="3:8">
      <c r="C1240" s="101"/>
      <c r="D1240" s="101"/>
      <c r="E1240" s="101"/>
      <c r="F1240" s="101"/>
      <c r="G1240" s="101"/>
      <c r="H1240" s="101"/>
    </row>
    <row r="1241" spans="3:8">
      <c r="C1241" s="101"/>
      <c r="D1241" s="101"/>
      <c r="E1241" s="101"/>
      <c r="F1241" s="101"/>
      <c r="G1241" s="101"/>
      <c r="H1241" s="101"/>
    </row>
    <row r="1242" spans="3:8">
      <c r="C1242" s="101"/>
      <c r="D1242" s="101"/>
      <c r="E1242" s="101"/>
      <c r="F1242" s="101"/>
      <c r="G1242" s="101"/>
      <c r="H1242" s="101"/>
    </row>
    <row r="1243" spans="3:8">
      <c r="C1243" s="101"/>
      <c r="D1243" s="101"/>
      <c r="E1243" s="101"/>
      <c r="F1243" s="101"/>
      <c r="G1243" s="101"/>
      <c r="H1243" s="101"/>
    </row>
    <row r="1244" spans="3:8">
      <c r="C1244" s="101"/>
      <c r="D1244" s="101"/>
      <c r="E1244" s="101"/>
      <c r="F1244" s="101"/>
      <c r="G1244" s="101"/>
      <c r="H1244" s="101"/>
    </row>
    <row r="1245" spans="3:8">
      <c r="C1245" s="101"/>
      <c r="D1245" s="101"/>
      <c r="E1245" s="101"/>
      <c r="F1245" s="101"/>
      <c r="G1245" s="101"/>
      <c r="H1245" s="101"/>
    </row>
    <row r="1246" spans="3:8">
      <c r="C1246" s="101"/>
      <c r="D1246" s="101"/>
      <c r="E1246" s="101"/>
      <c r="F1246" s="101"/>
      <c r="G1246" s="101"/>
      <c r="H1246" s="101"/>
    </row>
    <row r="1247" spans="3:8">
      <c r="C1247" s="101"/>
      <c r="D1247" s="101"/>
      <c r="E1247" s="101"/>
      <c r="F1247" s="101"/>
      <c r="G1247" s="101"/>
      <c r="H1247" s="101"/>
    </row>
    <row r="1248" spans="3:8">
      <c r="C1248" s="101"/>
      <c r="D1248" s="101"/>
      <c r="E1248" s="101"/>
      <c r="F1248" s="101"/>
      <c r="G1248" s="101"/>
      <c r="H1248" s="101"/>
    </row>
    <row r="1249" spans="3:8">
      <c r="C1249" s="101"/>
      <c r="D1249" s="101"/>
      <c r="E1249" s="101"/>
      <c r="F1249" s="101"/>
      <c r="G1249" s="101"/>
      <c r="H1249" s="101"/>
    </row>
    <row r="1250" spans="3:8">
      <c r="C1250" s="101"/>
      <c r="D1250" s="101"/>
      <c r="E1250" s="101"/>
      <c r="F1250" s="101"/>
      <c r="G1250" s="101"/>
      <c r="H1250" s="101"/>
    </row>
    <row r="1251" spans="3:8">
      <c r="C1251" s="101"/>
      <c r="D1251" s="101"/>
      <c r="E1251" s="101"/>
      <c r="F1251" s="101"/>
      <c r="G1251" s="101"/>
      <c r="H1251" s="101"/>
    </row>
    <row r="1252" spans="3:8">
      <c r="C1252" s="101"/>
      <c r="D1252" s="101"/>
      <c r="E1252" s="101"/>
      <c r="F1252" s="101"/>
      <c r="G1252" s="101"/>
      <c r="H1252" s="101"/>
    </row>
    <row r="1253" spans="3:8">
      <c r="C1253" s="101"/>
      <c r="D1253" s="101"/>
      <c r="E1253" s="101"/>
      <c r="F1253" s="101"/>
      <c r="G1253" s="101"/>
      <c r="H1253" s="101"/>
    </row>
    <row r="1254" spans="3:8">
      <c r="C1254" s="101"/>
      <c r="D1254" s="101"/>
      <c r="E1254" s="101"/>
      <c r="F1254" s="101"/>
      <c r="G1254" s="101"/>
      <c r="H1254" s="101"/>
    </row>
    <row r="1255" spans="3:8">
      <c r="C1255" s="101"/>
      <c r="D1255" s="101"/>
      <c r="E1255" s="101"/>
      <c r="F1255" s="101"/>
      <c r="G1255" s="101"/>
      <c r="H1255" s="101"/>
    </row>
    <row r="1256" spans="3:8">
      <c r="C1256" s="101"/>
      <c r="D1256" s="101"/>
      <c r="E1256" s="101"/>
      <c r="F1256" s="101"/>
      <c r="G1256" s="101"/>
      <c r="H1256" s="101"/>
    </row>
    <row r="1257" spans="3:8">
      <c r="C1257" s="101"/>
      <c r="D1257" s="101"/>
      <c r="E1257" s="101"/>
      <c r="F1257" s="101"/>
      <c r="G1257" s="101"/>
      <c r="H1257" s="101"/>
    </row>
    <row r="1258" spans="3:8">
      <c r="C1258" s="101"/>
      <c r="D1258" s="101"/>
      <c r="E1258" s="101"/>
      <c r="F1258" s="101"/>
      <c r="G1258" s="101"/>
      <c r="H1258" s="101"/>
    </row>
    <row r="1259" spans="3:8">
      <c r="C1259" s="101"/>
      <c r="D1259" s="101"/>
      <c r="E1259" s="101"/>
      <c r="F1259" s="101"/>
      <c r="G1259" s="101"/>
      <c r="H1259" s="101"/>
    </row>
    <row r="1260" spans="3:8">
      <c r="C1260" s="101"/>
      <c r="D1260" s="101"/>
      <c r="E1260" s="101"/>
      <c r="F1260" s="101"/>
      <c r="G1260" s="101"/>
      <c r="H1260" s="101"/>
    </row>
    <row r="1261" spans="3:8">
      <c r="C1261" s="101"/>
      <c r="D1261" s="101"/>
      <c r="E1261" s="101"/>
      <c r="F1261" s="101"/>
      <c r="G1261" s="101"/>
      <c r="H1261" s="101"/>
    </row>
    <row r="1262" spans="3:8">
      <c r="C1262" s="101"/>
      <c r="D1262" s="101"/>
      <c r="E1262" s="101"/>
      <c r="F1262" s="101"/>
      <c r="G1262" s="101"/>
      <c r="H1262" s="101"/>
    </row>
    <row r="1263" spans="3:8">
      <c r="C1263" s="101"/>
      <c r="D1263" s="101"/>
      <c r="E1263" s="101"/>
      <c r="F1263" s="101"/>
      <c r="G1263" s="101"/>
      <c r="H1263" s="101"/>
    </row>
    <row r="1264" spans="3:8">
      <c r="C1264" s="101"/>
      <c r="D1264" s="101"/>
      <c r="E1264" s="101"/>
      <c r="F1264" s="101"/>
      <c r="G1264" s="101"/>
      <c r="H1264" s="101"/>
    </row>
    <row r="1265" spans="3:8">
      <c r="C1265" s="101"/>
      <c r="D1265" s="101"/>
      <c r="E1265" s="101"/>
      <c r="F1265" s="101"/>
      <c r="G1265" s="101"/>
      <c r="H1265" s="101"/>
    </row>
    <row r="1266" spans="3:8">
      <c r="C1266" s="101"/>
      <c r="D1266" s="101"/>
      <c r="E1266" s="101"/>
      <c r="F1266" s="101"/>
      <c r="G1266" s="101"/>
      <c r="H1266" s="101"/>
    </row>
    <row r="1267" spans="3:8">
      <c r="C1267" s="101"/>
      <c r="D1267" s="101"/>
      <c r="E1267" s="101"/>
      <c r="F1267" s="101"/>
      <c r="G1267" s="101"/>
      <c r="H1267" s="101"/>
    </row>
    <row r="1268" spans="3:8">
      <c r="C1268" s="101"/>
      <c r="D1268" s="101"/>
      <c r="E1268" s="101"/>
      <c r="F1268" s="101"/>
      <c r="G1268" s="101"/>
      <c r="H1268" s="101"/>
    </row>
    <row r="1269" spans="3:8">
      <c r="C1269" s="101"/>
      <c r="D1269" s="101"/>
      <c r="E1269" s="101"/>
      <c r="F1269" s="101"/>
      <c r="G1269" s="101"/>
      <c r="H1269" s="101"/>
    </row>
    <row r="1270" spans="3:8">
      <c r="C1270" s="101"/>
      <c r="D1270" s="101"/>
      <c r="E1270" s="101"/>
      <c r="F1270" s="101"/>
      <c r="G1270" s="101"/>
      <c r="H1270" s="101"/>
    </row>
    <row r="1271" spans="3:8">
      <c r="C1271" s="101"/>
      <c r="D1271" s="101"/>
      <c r="E1271" s="101"/>
      <c r="F1271" s="101"/>
      <c r="G1271" s="101"/>
      <c r="H1271" s="101"/>
    </row>
    <row r="1272" spans="3:8">
      <c r="C1272" s="101"/>
      <c r="D1272" s="101"/>
      <c r="E1272" s="101"/>
      <c r="F1272" s="101"/>
      <c r="G1272" s="101"/>
      <c r="H1272" s="101"/>
    </row>
    <row r="1273" spans="3:8">
      <c r="C1273" s="101"/>
      <c r="D1273" s="101"/>
      <c r="E1273" s="101"/>
      <c r="F1273" s="101"/>
      <c r="G1273" s="101"/>
      <c r="H1273" s="101"/>
    </row>
    <row r="1274" spans="3:8">
      <c r="C1274" s="101"/>
      <c r="D1274" s="101"/>
      <c r="E1274" s="101"/>
      <c r="F1274" s="101"/>
      <c r="G1274" s="101"/>
      <c r="H1274" s="101"/>
    </row>
    <row r="1275" spans="3:8">
      <c r="C1275" s="101"/>
      <c r="D1275" s="101"/>
      <c r="E1275" s="101"/>
      <c r="F1275" s="101"/>
      <c r="G1275" s="101"/>
      <c r="H1275" s="101"/>
    </row>
    <row r="1276" spans="3:8">
      <c r="C1276" s="101"/>
      <c r="D1276" s="101"/>
      <c r="E1276" s="101"/>
      <c r="F1276" s="101"/>
      <c r="G1276" s="101"/>
      <c r="H1276" s="101"/>
    </row>
    <row r="1277" spans="3:8">
      <c r="C1277" s="101"/>
      <c r="D1277" s="101"/>
      <c r="E1277" s="101"/>
      <c r="F1277" s="101"/>
      <c r="G1277" s="101"/>
      <c r="H1277" s="101"/>
    </row>
    <row r="1278" spans="3:8">
      <c r="C1278" s="101"/>
      <c r="D1278" s="101"/>
      <c r="E1278" s="101"/>
      <c r="F1278" s="101"/>
      <c r="G1278" s="101"/>
      <c r="H1278" s="101"/>
    </row>
    <row r="1279" spans="3:8">
      <c r="C1279" s="101"/>
      <c r="D1279" s="101"/>
      <c r="E1279" s="101"/>
      <c r="F1279" s="101"/>
      <c r="G1279" s="101"/>
      <c r="H1279" s="101"/>
    </row>
    <row r="1280" spans="3:8">
      <c r="C1280" s="101"/>
      <c r="D1280" s="101"/>
      <c r="E1280" s="101"/>
      <c r="F1280" s="101"/>
      <c r="G1280" s="101"/>
      <c r="H1280" s="101"/>
    </row>
    <row r="1281" spans="3:8">
      <c r="C1281" s="101"/>
      <c r="D1281" s="101"/>
      <c r="E1281" s="101"/>
      <c r="F1281" s="101"/>
      <c r="G1281" s="101"/>
      <c r="H1281" s="101"/>
    </row>
    <row r="1282" spans="3:8">
      <c r="C1282" s="101"/>
      <c r="D1282" s="101"/>
      <c r="E1282" s="101"/>
      <c r="F1282" s="101"/>
      <c r="G1282" s="101"/>
      <c r="H1282" s="101"/>
    </row>
    <row r="1283" spans="3:8">
      <c r="C1283" s="101"/>
      <c r="D1283" s="101"/>
      <c r="E1283" s="101"/>
      <c r="F1283" s="101"/>
      <c r="G1283" s="101"/>
      <c r="H1283" s="101"/>
    </row>
    <row r="1284" spans="3:8">
      <c r="C1284" s="101"/>
      <c r="D1284" s="101"/>
      <c r="E1284" s="101"/>
      <c r="F1284" s="101"/>
      <c r="G1284" s="101"/>
      <c r="H1284" s="101"/>
    </row>
    <row r="1285" spans="3:8">
      <c r="C1285" s="101"/>
      <c r="D1285" s="101"/>
      <c r="E1285" s="101"/>
      <c r="F1285" s="101"/>
      <c r="G1285" s="101"/>
      <c r="H1285" s="101"/>
    </row>
    <row r="1286" spans="3:8">
      <c r="C1286" s="101"/>
      <c r="D1286" s="101"/>
      <c r="E1286" s="101"/>
      <c r="F1286" s="101"/>
      <c r="G1286" s="101"/>
      <c r="H1286" s="101"/>
    </row>
    <row r="1287" spans="3:8">
      <c r="C1287" s="101"/>
      <c r="D1287" s="101"/>
      <c r="E1287" s="101"/>
      <c r="F1287" s="101"/>
      <c r="G1287" s="101"/>
      <c r="H1287" s="101"/>
    </row>
    <row r="1288" spans="3:8">
      <c r="C1288" s="101"/>
      <c r="D1288" s="101"/>
      <c r="E1288" s="101"/>
      <c r="F1288" s="101"/>
      <c r="G1288" s="101"/>
      <c r="H1288" s="101"/>
    </row>
    <row r="1289" spans="3:8">
      <c r="C1289" s="101"/>
      <c r="D1289" s="101"/>
      <c r="E1289" s="101"/>
      <c r="F1289" s="101"/>
      <c r="G1289" s="101"/>
      <c r="H1289" s="101"/>
    </row>
    <row r="1290" spans="3:8">
      <c r="C1290" s="101"/>
      <c r="D1290" s="101"/>
      <c r="E1290" s="101"/>
      <c r="F1290" s="101"/>
      <c r="G1290" s="101"/>
      <c r="H1290" s="101"/>
    </row>
    <row r="1291" spans="3:8">
      <c r="C1291" s="101"/>
      <c r="D1291" s="101"/>
      <c r="E1291" s="101"/>
      <c r="F1291" s="101"/>
      <c r="G1291" s="101"/>
      <c r="H1291" s="101"/>
    </row>
    <row r="1292" spans="3:8">
      <c r="C1292" s="101"/>
      <c r="D1292" s="101"/>
      <c r="E1292" s="101"/>
      <c r="F1292" s="101"/>
      <c r="G1292" s="101"/>
      <c r="H1292" s="101"/>
    </row>
    <row r="1293" spans="3:8">
      <c r="C1293" s="101"/>
      <c r="D1293" s="101"/>
      <c r="E1293" s="101"/>
      <c r="F1293" s="101"/>
      <c r="G1293" s="101"/>
      <c r="H1293" s="101"/>
    </row>
    <row r="1294" spans="3:8">
      <c r="C1294" s="101"/>
      <c r="D1294" s="101"/>
      <c r="E1294" s="101"/>
      <c r="F1294" s="101"/>
      <c r="G1294" s="101"/>
      <c r="H1294" s="101"/>
    </row>
    <row r="1295" spans="3:8">
      <c r="C1295" s="101"/>
      <c r="D1295" s="101"/>
      <c r="E1295" s="101"/>
      <c r="F1295" s="101"/>
      <c r="G1295" s="101"/>
      <c r="H1295" s="101"/>
    </row>
    <row r="1296" spans="3:8">
      <c r="C1296" s="101"/>
      <c r="D1296" s="101"/>
      <c r="E1296" s="101"/>
      <c r="F1296" s="101"/>
      <c r="G1296" s="101"/>
      <c r="H1296" s="101"/>
    </row>
    <row r="1297" spans="3:8">
      <c r="C1297" s="101"/>
      <c r="D1297" s="101"/>
      <c r="E1297" s="101"/>
      <c r="F1297" s="101"/>
      <c r="G1297" s="101"/>
      <c r="H1297" s="101"/>
    </row>
    <row r="1298" spans="3:8">
      <c r="C1298" s="101"/>
      <c r="D1298" s="101"/>
      <c r="E1298" s="101"/>
      <c r="F1298" s="101"/>
      <c r="G1298" s="101"/>
      <c r="H1298" s="101"/>
    </row>
    <row r="1299" spans="3:8">
      <c r="C1299" s="101"/>
      <c r="D1299" s="101"/>
      <c r="E1299" s="101"/>
      <c r="F1299" s="101"/>
      <c r="G1299" s="101"/>
      <c r="H1299" s="101"/>
    </row>
    <row r="1300" spans="3:8">
      <c r="C1300" s="101"/>
      <c r="D1300" s="101"/>
      <c r="E1300" s="101"/>
      <c r="F1300" s="101"/>
      <c r="G1300" s="101"/>
      <c r="H1300" s="101"/>
    </row>
    <row r="1301" spans="3:8">
      <c r="C1301" s="101"/>
      <c r="D1301" s="101"/>
      <c r="E1301" s="101"/>
      <c r="F1301" s="101"/>
      <c r="G1301" s="101"/>
      <c r="H1301" s="101"/>
    </row>
    <row r="1302" spans="3:8">
      <c r="C1302" s="101"/>
      <c r="D1302" s="101"/>
      <c r="E1302" s="101"/>
      <c r="F1302" s="101"/>
      <c r="G1302" s="101"/>
      <c r="H1302" s="101"/>
    </row>
    <row r="1303" spans="3:8">
      <c r="C1303" s="101"/>
      <c r="D1303" s="101"/>
      <c r="E1303" s="101"/>
      <c r="F1303" s="101"/>
      <c r="G1303" s="101"/>
      <c r="H1303" s="101"/>
    </row>
    <row r="1304" spans="3:8">
      <c r="C1304" s="101"/>
      <c r="D1304" s="101"/>
      <c r="E1304" s="101"/>
      <c r="F1304" s="101"/>
      <c r="G1304" s="101"/>
      <c r="H1304" s="101"/>
    </row>
    <row r="1305" spans="3:8">
      <c r="C1305" s="101"/>
      <c r="D1305" s="101"/>
      <c r="E1305" s="101"/>
      <c r="F1305" s="101"/>
      <c r="G1305" s="101"/>
      <c r="H1305" s="101"/>
    </row>
    <row r="1306" spans="3:8">
      <c r="C1306" s="101"/>
      <c r="D1306" s="101"/>
      <c r="E1306" s="101"/>
      <c r="F1306" s="101"/>
      <c r="G1306" s="101"/>
      <c r="H1306" s="101"/>
    </row>
    <row r="1307" spans="3:8">
      <c r="C1307" s="101"/>
      <c r="D1307" s="101"/>
      <c r="E1307" s="101"/>
      <c r="F1307" s="101"/>
      <c r="G1307" s="101"/>
      <c r="H1307" s="101"/>
    </row>
    <row r="1308" spans="3:8">
      <c r="C1308" s="101"/>
      <c r="D1308" s="101"/>
      <c r="E1308" s="101"/>
      <c r="F1308" s="101"/>
      <c r="G1308" s="101"/>
      <c r="H1308" s="101"/>
    </row>
    <row r="1309" spans="3:8">
      <c r="C1309" s="101"/>
      <c r="D1309" s="101"/>
      <c r="E1309" s="101"/>
      <c r="F1309" s="101"/>
      <c r="G1309" s="101"/>
      <c r="H1309" s="101"/>
    </row>
    <row r="1310" spans="3:8">
      <c r="C1310" s="101"/>
      <c r="D1310" s="101"/>
      <c r="E1310" s="101"/>
      <c r="F1310" s="101"/>
      <c r="G1310" s="101"/>
      <c r="H1310" s="101"/>
    </row>
    <row r="1311" spans="3:8">
      <c r="C1311" s="101"/>
      <c r="D1311" s="101"/>
      <c r="E1311" s="101"/>
      <c r="F1311" s="101"/>
      <c r="G1311" s="101"/>
      <c r="H1311" s="101"/>
    </row>
    <row r="1312" spans="3:8">
      <c r="C1312" s="101"/>
      <c r="D1312" s="101"/>
      <c r="E1312" s="101"/>
      <c r="F1312" s="101"/>
      <c r="G1312" s="101"/>
      <c r="H1312" s="101"/>
    </row>
    <row r="1313" spans="3:8">
      <c r="C1313" s="101"/>
      <c r="D1313" s="101"/>
      <c r="E1313" s="101"/>
      <c r="F1313" s="101"/>
      <c r="G1313" s="101"/>
      <c r="H1313" s="101"/>
    </row>
    <row r="1314" spans="3:8">
      <c r="C1314" s="101"/>
      <c r="D1314" s="101"/>
      <c r="E1314" s="101"/>
      <c r="F1314" s="101"/>
      <c r="G1314" s="101"/>
      <c r="H1314" s="101"/>
    </row>
    <row r="1315" spans="3:8">
      <c r="C1315" s="101"/>
      <c r="D1315" s="101"/>
      <c r="E1315" s="101"/>
      <c r="F1315" s="101"/>
      <c r="G1315" s="101"/>
      <c r="H1315" s="101"/>
    </row>
    <row r="1316" spans="3:8">
      <c r="C1316" s="101"/>
      <c r="D1316" s="101"/>
      <c r="E1316" s="101"/>
      <c r="F1316" s="101"/>
      <c r="G1316" s="101"/>
      <c r="H1316" s="101"/>
    </row>
    <row r="1317" spans="3:8">
      <c r="C1317" s="101"/>
      <c r="D1317" s="101"/>
      <c r="E1317" s="101"/>
      <c r="F1317" s="101"/>
      <c r="G1317" s="101"/>
      <c r="H1317" s="101"/>
    </row>
    <row r="1318" spans="3:8">
      <c r="C1318" s="101"/>
      <c r="D1318" s="101"/>
      <c r="E1318" s="101"/>
      <c r="F1318" s="101"/>
      <c r="G1318" s="101"/>
      <c r="H1318" s="101"/>
    </row>
    <row r="1319" spans="3:8">
      <c r="C1319" s="101"/>
      <c r="D1319" s="101"/>
      <c r="E1319" s="101"/>
      <c r="F1319" s="101"/>
      <c r="G1319" s="101"/>
      <c r="H1319" s="101"/>
    </row>
    <row r="1320" spans="3:8">
      <c r="C1320" s="101"/>
      <c r="D1320" s="101"/>
      <c r="E1320" s="101"/>
      <c r="F1320" s="101"/>
      <c r="G1320" s="101"/>
      <c r="H1320" s="101"/>
    </row>
    <row r="1321" spans="3:8">
      <c r="C1321" s="101"/>
      <c r="D1321" s="101"/>
      <c r="E1321" s="101"/>
      <c r="F1321" s="101"/>
      <c r="G1321" s="101"/>
      <c r="H1321" s="101"/>
    </row>
    <row r="1322" spans="3:8">
      <c r="C1322" s="101"/>
      <c r="D1322" s="101"/>
      <c r="E1322" s="101"/>
      <c r="F1322" s="101"/>
      <c r="G1322" s="101"/>
      <c r="H1322" s="101"/>
    </row>
    <row r="1323" spans="3:8">
      <c r="C1323" s="101"/>
      <c r="D1323" s="101"/>
      <c r="E1323" s="101"/>
      <c r="F1323" s="101"/>
      <c r="G1323" s="101"/>
      <c r="H1323" s="101"/>
    </row>
    <row r="1324" spans="3:8">
      <c r="C1324" s="101"/>
      <c r="D1324" s="101"/>
      <c r="E1324" s="101"/>
      <c r="F1324" s="101"/>
      <c r="G1324" s="101"/>
      <c r="H1324" s="101"/>
    </row>
    <row r="1325" spans="3:8">
      <c r="C1325" s="101"/>
      <c r="D1325" s="101"/>
      <c r="E1325" s="101"/>
      <c r="F1325" s="101"/>
      <c r="G1325" s="101"/>
      <c r="H1325" s="101"/>
    </row>
    <row r="1326" spans="3:8">
      <c r="C1326" s="101"/>
      <c r="D1326" s="101"/>
      <c r="E1326" s="101"/>
      <c r="F1326" s="101"/>
      <c r="G1326" s="101"/>
      <c r="H1326" s="101"/>
    </row>
    <row r="1327" spans="3:8">
      <c r="C1327" s="101"/>
      <c r="D1327" s="101"/>
      <c r="E1327" s="101"/>
      <c r="F1327" s="101"/>
      <c r="G1327" s="101"/>
      <c r="H1327" s="101"/>
    </row>
    <row r="1328" spans="3:8">
      <c r="C1328" s="101"/>
      <c r="D1328" s="101"/>
      <c r="E1328" s="101"/>
      <c r="F1328" s="101"/>
      <c r="G1328" s="101"/>
      <c r="H1328" s="101"/>
    </row>
    <row r="1329" spans="3:8">
      <c r="C1329" s="101"/>
      <c r="D1329" s="101"/>
      <c r="E1329" s="101"/>
      <c r="F1329" s="101"/>
      <c r="G1329" s="101"/>
      <c r="H1329" s="101"/>
    </row>
    <row r="1330" spans="3:8">
      <c r="C1330" s="101"/>
      <c r="D1330" s="101"/>
      <c r="E1330" s="101"/>
      <c r="F1330" s="101"/>
      <c r="G1330" s="101"/>
      <c r="H1330" s="101"/>
    </row>
    <row r="1331" spans="3:8">
      <c r="C1331" s="101"/>
      <c r="D1331" s="101"/>
      <c r="E1331" s="101"/>
      <c r="F1331" s="101"/>
      <c r="G1331" s="101"/>
      <c r="H1331" s="101"/>
    </row>
    <row r="1332" spans="3:8">
      <c r="C1332" s="101"/>
      <c r="D1332" s="101"/>
      <c r="E1332" s="101"/>
      <c r="F1332" s="101"/>
      <c r="G1332" s="101"/>
      <c r="H1332" s="101"/>
    </row>
    <row r="1333" spans="3:8">
      <c r="C1333" s="101"/>
      <c r="D1333" s="101"/>
      <c r="E1333" s="101"/>
      <c r="F1333" s="101"/>
      <c r="G1333" s="101"/>
      <c r="H1333" s="101"/>
    </row>
    <row r="1334" spans="3:8">
      <c r="C1334" s="101"/>
      <c r="D1334" s="101"/>
      <c r="E1334" s="101"/>
      <c r="F1334" s="101"/>
      <c r="G1334" s="101"/>
      <c r="H1334" s="101"/>
    </row>
    <row r="1335" spans="3:8">
      <c r="C1335" s="101"/>
      <c r="D1335" s="101"/>
      <c r="E1335" s="101"/>
      <c r="F1335" s="101"/>
      <c r="G1335" s="101"/>
      <c r="H1335" s="101"/>
    </row>
    <row r="1336" spans="3:8">
      <c r="C1336" s="101"/>
      <c r="D1336" s="101"/>
      <c r="E1336" s="101"/>
      <c r="F1336" s="101"/>
      <c r="G1336" s="101"/>
      <c r="H1336" s="101"/>
    </row>
    <row r="1337" spans="3:8">
      <c r="C1337" s="101"/>
      <c r="D1337" s="101"/>
      <c r="E1337" s="101"/>
      <c r="F1337" s="101"/>
      <c r="G1337" s="101"/>
      <c r="H1337" s="101"/>
    </row>
    <row r="1338" spans="3:8">
      <c r="C1338" s="101"/>
      <c r="D1338" s="101"/>
      <c r="E1338" s="101"/>
      <c r="F1338" s="101"/>
      <c r="G1338" s="101"/>
      <c r="H1338" s="101"/>
    </row>
    <row r="1339" spans="3:8">
      <c r="C1339" s="101"/>
      <c r="D1339" s="101"/>
      <c r="E1339" s="101"/>
      <c r="F1339" s="101"/>
      <c r="G1339" s="101"/>
      <c r="H1339" s="101"/>
    </row>
    <row r="1340" spans="3:8">
      <c r="C1340" s="101"/>
      <c r="D1340" s="101"/>
      <c r="E1340" s="101"/>
      <c r="F1340" s="101"/>
      <c r="G1340" s="101"/>
      <c r="H1340" s="101"/>
    </row>
    <row r="1341" spans="3:8">
      <c r="C1341" s="101"/>
      <c r="D1341" s="101"/>
      <c r="E1341" s="101"/>
      <c r="F1341" s="101"/>
      <c r="G1341" s="101"/>
      <c r="H1341" s="101"/>
    </row>
    <row r="1342" spans="3:8">
      <c r="C1342" s="101"/>
      <c r="D1342" s="101"/>
      <c r="E1342" s="101"/>
      <c r="F1342" s="101"/>
      <c r="G1342" s="101"/>
      <c r="H1342" s="101"/>
    </row>
    <row r="1343" spans="3:8">
      <c r="C1343" s="101"/>
      <c r="D1343" s="101"/>
      <c r="E1343" s="101"/>
      <c r="F1343" s="101"/>
      <c r="G1343" s="101"/>
      <c r="H1343" s="101"/>
    </row>
    <row r="1344" spans="3:8">
      <c r="C1344" s="101"/>
      <c r="D1344" s="101"/>
      <c r="E1344" s="101"/>
      <c r="F1344" s="101"/>
      <c r="G1344" s="101"/>
      <c r="H1344" s="101"/>
    </row>
    <row r="1345" spans="3:8">
      <c r="C1345" s="101"/>
      <c r="D1345" s="101"/>
      <c r="E1345" s="101"/>
      <c r="F1345" s="101"/>
      <c r="G1345" s="101"/>
      <c r="H1345" s="101"/>
    </row>
    <row r="1346" spans="3:8">
      <c r="C1346" s="101"/>
      <c r="D1346" s="101"/>
      <c r="E1346" s="101"/>
      <c r="F1346" s="101"/>
      <c r="G1346" s="101"/>
      <c r="H1346" s="101"/>
    </row>
    <row r="1347" spans="3:8">
      <c r="C1347" s="101"/>
      <c r="D1347" s="101"/>
      <c r="E1347" s="101"/>
      <c r="F1347" s="101"/>
      <c r="G1347" s="101"/>
      <c r="H1347" s="101"/>
    </row>
    <row r="1348" spans="3:8">
      <c r="C1348" s="101"/>
      <c r="D1348" s="101"/>
      <c r="E1348" s="101"/>
      <c r="F1348" s="101"/>
      <c r="G1348" s="101"/>
      <c r="H1348" s="101"/>
    </row>
    <row r="1349" spans="3:8">
      <c r="C1349" s="101"/>
      <c r="D1349" s="101"/>
      <c r="E1349" s="101"/>
      <c r="F1349" s="101"/>
      <c r="G1349" s="101"/>
      <c r="H1349" s="101"/>
    </row>
    <row r="1350" spans="3:8">
      <c r="C1350" s="101"/>
      <c r="D1350" s="101"/>
      <c r="E1350" s="101"/>
      <c r="F1350" s="101"/>
      <c r="G1350" s="101"/>
      <c r="H1350" s="101"/>
    </row>
    <row r="1351" spans="3:8">
      <c r="C1351" s="101"/>
      <c r="D1351" s="101"/>
      <c r="E1351" s="101"/>
      <c r="F1351" s="101"/>
      <c r="G1351" s="101"/>
      <c r="H1351" s="101"/>
    </row>
    <row r="1352" spans="3:8">
      <c r="C1352" s="101"/>
      <c r="D1352" s="101"/>
      <c r="E1352" s="101"/>
      <c r="F1352" s="101"/>
      <c r="G1352" s="101"/>
      <c r="H1352" s="101"/>
    </row>
    <row r="1353" spans="3:8">
      <c r="C1353" s="101"/>
      <c r="D1353" s="101"/>
      <c r="E1353" s="101"/>
      <c r="F1353" s="101"/>
      <c r="G1353" s="101"/>
      <c r="H1353" s="101"/>
    </row>
    <row r="1354" spans="3:8">
      <c r="C1354" s="101"/>
      <c r="D1354" s="101"/>
      <c r="E1354" s="101"/>
      <c r="F1354" s="101"/>
      <c r="G1354" s="101"/>
      <c r="H1354" s="101"/>
    </row>
    <row r="1355" spans="3:8">
      <c r="C1355" s="101"/>
      <c r="D1355" s="101"/>
      <c r="E1355" s="101"/>
      <c r="F1355" s="101"/>
      <c r="G1355" s="101"/>
      <c r="H1355" s="101"/>
    </row>
    <row r="1356" spans="3:8">
      <c r="C1356" s="101"/>
      <c r="D1356" s="101"/>
      <c r="E1356" s="101"/>
      <c r="F1356" s="101"/>
      <c r="G1356" s="101"/>
      <c r="H1356" s="101"/>
    </row>
    <row r="1357" spans="3:8">
      <c r="C1357" s="101"/>
      <c r="D1357" s="101"/>
      <c r="E1357" s="101"/>
      <c r="F1357" s="101"/>
      <c r="G1357" s="101"/>
      <c r="H1357" s="101"/>
    </row>
    <row r="1358" spans="3:8">
      <c r="C1358" s="101"/>
      <c r="D1358" s="101"/>
      <c r="E1358" s="101"/>
      <c r="F1358" s="101"/>
      <c r="G1358" s="101"/>
      <c r="H1358" s="101"/>
    </row>
    <row r="1359" spans="3:8">
      <c r="C1359" s="101"/>
      <c r="D1359" s="101"/>
      <c r="E1359" s="101"/>
      <c r="F1359" s="101"/>
      <c r="G1359" s="101"/>
      <c r="H1359" s="101"/>
    </row>
    <row r="1360" spans="3:8">
      <c r="C1360" s="101"/>
      <c r="D1360" s="101"/>
      <c r="E1360" s="101"/>
      <c r="F1360" s="101"/>
      <c r="G1360" s="101"/>
      <c r="H1360" s="101"/>
    </row>
    <row r="1361" spans="3:8">
      <c r="C1361" s="101"/>
      <c r="D1361" s="101"/>
      <c r="E1361" s="101"/>
      <c r="F1361" s="101"/>
      <c r="G1361" s="101"/>
      <c r="H1361" s="101"/>
    </row>
    <row r="1362" spans="3:8">
      <c r="C1362" s="101"/>
      <c r="D1362" s="101"/>
      <c r="E1362" s="101"/>
      <c r="F1362" s="101"/>
      <c r="G1362" s="101"/>
      <c r="H1362" s="101"/>
    </row>
    <row r="1363" spans="3:8">
      <c r="C1363" s="101"/>
      <c r="D1363" s="101"/>
      <c r="E1363" s="101"/>
      <c r="F1363" s="101"/>
      <c r="G1363" s="101"/>
      <c r="H1363" s="101"/>
    </row>
    <row r="1364" spans="3:8">
      <c r="C1364" s="101"/>
      <c r="D1364" s="101"/>
      <c r="E1364" s="101"/>
      <c r="F1364" s="101"/>
      <c r="G1364" s="101"/>
      <c r="H1364" s="101"/>
    </row>
    <row r="1365" spans="3:8">
      <c r="C1365" s="101"/>
      <c r="D1365" s="101"/>
      <c r="E1365" s="101"/>
      <c r="F1365" s="101"/>
      <c r="G1365" s="101"/>
      <c r="H1365" s="101"/>
    </row>
    <row r="1366" spans="3:8">
      <c r="C1366" s="101"/>
      <c r="D1366" s="101"/>
      <c r="E1366" s="101"/>
      <c r="F1366" s="101"/>
      <c r="G1366" s="101"/>
      <c r="H1366" s="101"/>
    </row>
    <row r="1367" spans="3:8">
      <c r="C1367" s="101"/>
      <c r="D1367" s="101"/>
      <c r="E1367" s="101"/>
      <c r="F1367" s="101"/>
      <c r="G1367" s="101"/>
      <c r="H1367" s="101"/>
    </row>
    <row r="1368" spans="3:8">
      <c r="C1368" s="101"/>
      <c r="D1368" s="101"/>
      <c r="E1368" s="101"/>
      <c r="F1368" s="101"/>
      <c r="G1368" s="101"/>
      <c r="H1368" s="101"/>
    </row>
    <row r="1369" spans="3:8">
      <c r="C1369" s="101"/>
      <c r="D1369" s="101"/>
      <c r="E1369" s="101"/>
      <c r="F1369" s="101"/>
      <c r="G1369" s="101"/>
      <c r="H1369" s="101"/>
    </row>
    <row r="1370" spans="3:8">
      <c r="C1370" s="101"/>
      <c r="D1370" s="101"/>
      <c r="E1370" s="101"/>
      <c r="F1370" s="101"/>
      <c r="G1370" s="101"/>
      <c r="H1370" s="101"/>
    </row>
    <row r="1371" spans="3:8">
      <c r="C1371" s="101"/>
      <c r="D1371" s="101"/>
      <c r="E1371" s="101"/>
      <c r="F1371" s="101"/>
      <c r="G1371" s="101"/>
      <c r="H1371" s="101"/>
    </row>
    <row r="1372" spans="3:8">
      <c r="C1372" s="101"/>
      <c r="D1372" s="101"/>
      <c r="E1372" s="101"/>
      <c r="F1372" s="101"/>
      <c r="G1372" s="101"/>
      <c r="H1372" s="101"/>
    </row>
    <row r="1373" spans="3:8">
      <c r="C1373" s="101"/>
      <c r="D1373" s="101"/>
      <c r="E1373" s="101"/>
      <c r="F1373" s="101"/>
      <c r="G1373" s="101"/>
      <c r="H1373" s="101"/>
    </row>
    <row r="1374" spans="3:8">
      <c r="C1374" s="101"/>
      <c r="D1374" s="101"/>
      <c r="E1374" s="101"/>
      <c r="F1374" s="101"/>
      <c r="G1374" s="101"/>
      <c r="H1374" s="101"/>
    </row>
    <row r="1375" spans="3:8">
      <c r="C1375" s="101"/>
      <c r="D1375" s="101"/>
      <c r="E1375" s="101"/>
      <c r="F1375" s="101"/>
      <c r="G1375" s="101"/>
      <c r="H1375" s="101"/>
    </row>
    <row r="1376" spans="3:8">
      <c r="C1376" s="101"/>
      <c r="D1376" s="101"/>
      <c r="E1376" s="101"/>
      <c r="F1376" s="101"/>
      <c r="G1376" s="101"/>
      <c r="H1376" s="101"/>
    </row>
    <row r="1377" spans="3:8">
      <c r="C1377" s="101"/>
      <c r="D1377" s="101"/>
      <c r="E1377" s="101"/>
      <c r="F1377" s="101"/>
      <c r="G1377" s="101"/>
      <c r="H1377" s="101"/>
    </row>
    <row r="1378" spans="3:8">
      <c r="C1378" s="101"/>
      <c r="D1378" s="101"/>
      <c r="E1378" s="101"/>
      <c r="F1378" s="101"/>
      <c r="G1378" s="101"/>
      <c r="H1378" s="101"/>
    </row>
    <row r="1379" spans="3:8">
      <c r="C1379" s="101"/>
      <c r="D1379" s="101"/>
      <c r="E1379" s="101"/>
      <c r="F1379" s="101"/>
      <c r="G1379" s="101"/>
      <c r="H1379" s="101"/>
    </row>
    <row r="1380" spans="3:8">
      <c r="C1380" s="101"/>
      <c r="D1380" s="101"/>
      <c r="E1380" s="101"/>
      <c r="F1380" s="101"/>
      <c r="G1380" s="101"/>
      <c r="H1380" s="101"/>
    </row>
    <row r="1381" spans="3:8">
      <c r="C1381" s="101"/>
      <c r="D1381" s="101"/>
      <c r="E1381" s="101"/>
      <c r="F1381" s="101"/>
      <c r="G1381" s="101"/>
      <c r="H1381" s="101"/>
    </row>
    <row r="1382" spans="3:8">
      <c r="C1382" s="101"/>
      <c r="D1382" s="101"/>
      <c r="E1382" s="101"/>
      <c r="F1382" s="101"/>
      <c r="G1382" s="101"/>
      <c r="H1382" s="101"/>
    </row>
    <row r="1383" spans="3:8">
      <c r="C1383" s="101"/>
      <c r="D1383" s="101"/>
      <c r="E1383" s="101"/>
      <c r="F1383" s="101"/>
      <c r="G1383" s="101"/>
      <c r="H1383" s="101"/>
    </row>
    <row r="1384" spans="3:8">
      <c r="C1384" s="101"/>
      <c r="D1384" s="101"/>
      <c r="E1384" s="101"/>
      <c r="F1384" s="101"/>
      <c r="G1384" s="101"/>
      <c r="H1384" s="101"/>
    </row>
    <row r="1385" spans="3:8">
      <c r="C1385" s="101"/>
      <c r="D1385" s="101"/>
      <c r="E1385" s="101"/>
      <c r="F1385" s="101"/>
      <c r="G1385" s="101"/>
      <c r="H1385" s="101"/>
    </row>
    <row r="1386" spans="3:8">
      <c r="C1386" s="101"/>
      <c r="D1386" s="101"/>
      <c r="E1386" s="101"/>
      <c r="F1386" s="101"/>
      <c r="G1386" s="101"/>
      <c r="H1386" s="101"/>
    </row>
    <row r="1387" spans="3:8">
      <c r="C1387" s="101"/>
      <c r="D1387" s="101"/>
      <c r="E1387" s="101"/>
      <c r="F1387" s="101"/>
      <c r="G1387" s="101"/>
      <c r="H1387" s="101"/>
    </row>
    <row r="1388" spans="3:8">
      <c r="C1388" s="101"/>
      <c r="D1388" s="101"/>
      <c r="E1388" s="101"/>
      <c r="F1388" s="101"/>
      <c r="G1388" s="101"/>
      <c r="H1388" s="101"/>
    </row>
    <row r="1389" spans="3:8">
      <c r="C1389" s="101"/>
      <c r="D1389" s="101"/>
      <c r="E1389" s="101"/>
      <c r="F1389" s="101"/>
      <c r="G1389" s="101"/>
      <c r="H1389" s="101"/>
    </row>
    <row r="1390" spans="3:8">
      <c r="C1390" s="101"/>
      <c r="D1390" s="101"/>
      <c r="E1390" s="101"/>
      <c r="F1390" s="101"/>
      <c r="G1390" s="101"/>
      <c r="H1390" s="101"/>
    </row>
    <row r="1391" spans="3:8">
      <c r="C1391" s="101"/>
      <c r="D1391" s="101"/>
      <c r="E1391" s="101"/>
      <c r="F1391" s="101"/>
      <c r="G1391" s="101"/>
      <c r="H1391" s="101"/>
    </row>
    <row r="1392" spans="3:8">
      <c r="C1392" s="101"/>
      <c r="D1392" s="101"/>
      <c r="E1392" s="101"/>
      <c r="F1392" s="101"/>
      <c r="G1392" s="101"/>
      <c r="H1392" s="101"/>
    </row>
    <row r="1393" spans="3:8">
      <c r="C1393" s="101"/>
      <c r="D1393" s="101"/>
      <c r="E1393" s="101"/>
      <c r="F1393" s="101"/>
      <c r="G1393" s="101"/>
      <c r="H1393" s="101"/>
    </row>
    <row r="1394" spans="3:8">
      <c r="C1394" s="101"/>
      <c r="D1394" s="101"/>
      <c r="E1394" s="101"/>
      <c r="F1394" s="101"/>
      <c r="G1394" s="101"/>
      <c r="H1394" s="101"/>
    </row>
    <row r="1395" spans="3:8">
      <c r="C1395" s="101"/>
      <c r="D1395" s="101"/>
      <c r="E1395" s="101"/>
      <c r="F1395" s="101"/>
      <c r="G1395" s="101"/>
      <c r="H1395" s="101"/>
    </row>
    <row r="1396" spans="3:8">
      <c r="C1396" s="101"/>
      <c r="D1396" s="101"/>
      <c r="E1396" s="101"/>
      <c r="F1396" s="101"/>
      <c r="G1396" s="101"/>
      <c r="H1396" s="101"/>
    </row>
    <row r="1397" spans="3:8">
      <c r="C1397" s="101"/>
      <c r="D1397" s="101"/>
      <c r="E1397" s="101"/>
      <c r="F1397" s="101"/>
      <c r="G1397" s="101"/>
      <c r="H1397" s="101"/>
    </row>
    <row r="1398" spans="3:8">
      <c r="C1398" s="101"/>
      <c r="D1398" s="101"/>
      <c r="E1398" s="101"/>
      <c r="F1398" s="101"/>
      <c r="G1398" s="101"/>
      <c r="H1398" s="101"/>
    </row>
    <row r="1399" spans="3:8">
      <c r="C1399" s="101"/>
      <c r="D1399" s="101"/>
      <c r="E1399" s="101"/>
      <c r="F1399" s="101"/>
      <c r="G1399" s="101"/>
      <c r="H1399" s="101"/>
    </row>
    <row r="1400" spans="3:8">
      <c r="C1400" s="101"/>
      <c r="D1400" s="101"/>
      <c r="E1400" s="101"/>
      <c r="F1400" s="101"/>
      <c r="G1400" s="101"/>
      <c r="H1400" s="101"/>
    </row>
    <row r="1401" spans="3:8">
      <c r="C1401" s="101"/>
      <c r="D1401" s="101"/>
      <c r="E1401" s="101"/>
      <c r="F1401" s="101"/>
      <c r="G1401" s="101"/>
      <c r="H1401" s="101"/>
    </row>
    <row r="1402" spans="3:8">
      <c r="C1402" s="101"/>
      <c r="D1402" s="101"/>
      <c r="E1402" s="101"/>
      <c r="F1402" s="101"/>
      <c r="G1402" s="101"/>
      <c r="H1402" s="101"/>
    </row>
    <row r="1403" spans="3:8">
      <c r="C1403" s="101"/>
      <c r="D1403" s="101"/>
      <c r="E1403" s="101"/>
      <c r="F1403" s="101"/>
      <c r="G1403" s="101"/>
      <c r="H1403" s="101"/>
    </row>
    <row r="1404" spans="3:8">
      <c r="C1404" s="101"/>
      <c r="D1404" s="101"/>
      <c r="E1404" s="101"/>
      <c r="F1404" s="101"/>
      <c r="G1404" s="101"/>
      <c r="H1404" s="101"/>
    </row>
    <row r="1405" spans="3:8">
      <c r="C1405" s="101"/>
      <c r="D1405" s="101"/>
      <c r="E1405" s="101"/>
      <c r="F1405" s="101"/>
      <c r="G1405" s="101"/>
      <c r="H1405" s="101"/>
    </row>
    <row r="1406" spans="3:8">
      <c r="C1406" s="101"/>
      <c r="D1406" s="101"/>
      <c r="E1406" s="101"/>
      <c r="F1406" s="101"/>
      <c r="G1406" s="101"/>
      <c r="H1406" s="101"/>
    </row>
    <row r="1407" spans="3:8">
      <c r="C1407" s="101"/>
      <c r="D1407" s="101"/>
      <c r="E1407" s="101"/>
      <c r="F1407" s="101"/>
      <c r="G1407" s="101"/>
      <c r="H1407" s="101"/>
    </row>
    <row r="1408" spans="3:8">
      <c r="C1408" s="101"/>
      <c r="D1408" s="101"/>
      <c r="E1408" s="101"/>
      <c r="F1408" s="101"/>
      <c r="G1408" s="101"/>
      <c r="H1408" s="101"/>
    </row>
    <row r="1409" spans="3:8">
      <c r="C1409" s="101"/>
      <c r="D1409" s="101"/>
      <c r="E1409" s="101"/>
      <c r="F1409" s="101"/>
      <c r="G1409" s="101"/>
      <c r="H1409" s="101"/>
    </row>
    <row r="1410" spans="3:8">
      <c r="C1410" s="101"/>
      <c r="D1410" s="101"/>
      <c r="E1410" s="101"/>
      <c r="F1410" s="101"/>
      <c r="G1410" s="101"/>
      <c r="H1410" s="101"/>
    </row>
    <row r="1411" spans="3:8">
      <c r="C1411" s="101"/>
      <c r="D1411" s="101"/>
      <c r="E1411" s="101"/>
      <c r="F1411" s="101"/>
      <c r="G1411" s="101"/>
      <c r="H1411" s="101"/>
    </row>
    <row r="1412" spans="3:8">
      <c r="C1412" s="101"/>
      <c r="D1412" s="101"/>
      <c r="E1412" s="101"/>
      <c r="F1412" s="101"/>
      <c r="G1412" s="101"/>
      <c r="H1412" s="101"/>
    </row>
    <row r="1413" spans="3:8">
      <c r="C1413" s="101"/>
      <c r="D1413" s="101"/>
      <c r="E1413" s="101"/>
      <c r="F1413" s="101"/>
      <c r="G1413" s="101"/>
      <c r="H1413" s="101"/>
    </row>
    <row r="1414" spans="3:8">
      <c r="C1414" s="101"/>
      <c r="D1414" s="101"/>
      <c r="E1414" s="101"/>
      <c r="F1414" s="101"/>
      <c r="G1414" s="101"/>
      <c r="H1414" s="101"/>
    </row>
    <row r="1415" spans="3:8">
      <c r="C1415" s="101"/>
      <c r="D1415" s="101"/>
      <c r="E1415" s="101"/>
      <c r="F1415" s="101"/>
      <c r="G1415" s="101"/>
      <c r="H1415" s="101"/>
    </row>
    <row r="1416" spans="3:8">
      <c r="C1416" s="101"/>
      <c r="D1416" s="101"/>
      <c r="E1416" s="101"/>
      <c r="F1416" s="101"/>
      <c r="G1416" s="101"/>
      <c r="H1416" s="101"/>
    </row>
    <row r="1417" spans="3:8">
      <c r="C1417" s="101"/>
      <c r="D1417" s="101"/>
      <c r="E1417" s="101"/>
      <c r="F1417" s="101"/>
      <c r="G1417" s="101"/>
      <c r="H1417" s="101"/>
    </row>
    <row r="1418" spans="3:8">
      <c r="C1418" s="101"/>
      <c r="D1418" s="101"/>
      <c r="E1418" s="101"/>
      <c r="F1418" s="101"/>
      <c r="G1418" s="101"/>
      <c r="H1418" s="101"/>
    </row>
    <row r="1419" spans="3:8">
      <c r="C1419" s="101"/>
      <c r="D1419" s="101"/>
      <c r="E1419" s="101"/>
      <c r="F1419" s="101"/>
      <c r="G1419" s="101"/>
      <c r="H1419" s="101"/>
    </row>
    <row r="1420" spans="3:8">
      <c r="C1420" s="101"/>
      <c r="D1420" s="101"/>
      <c r="E1420" s="101"/>
      <c r="F1420" s="101"/>
      <c r="G1420" s="101"/>
      <c r="H1420" s="101"/>
    </row>
    <row r="1421" spans="3:8">
      <c r="C1421" s="101"/>
      <c r="D1421" s="101"/>
      <c r="E1421" s="101"/>
      <c r="F1421" s="101"/>
      <c r="G1421" s="101"/>
      <c r="H1421" s="101"/>
    </row>
    <row r="1422" spans="3:8">
      <c r="C1422" s="101"/>
      <c r="D1422" s="101"/>
      <c r="E1422" s="101"/>
      <c r="F1422" s="101"/>
      <c r="G1422" s="101"/>
      <c r="H1422" s="101"/>
    </row>
    <row r="1423" spans="3:8">
      <c r="C1423" s="101"/>
      <c r="D1423" s="101"/>
      <c r="E1423" s="101"/>
      <c r="F1423" s="101"/>
      <c r="G1423" s="101"/>
      <c r="H1423" s="101"/>
    </row>
    <row r="1424" spans="3:8">
      <c r="C1424" s="101"/>
      <c r="D1424" s="101"/>
      <c r="E1424" s="101"/>
      <c r="F1424" s="101"/>
      <c r="G1424" s="101"/>
      <c r="H1424" s="101"/>
    </row>
    <row r="1425" spans="3:8">
      <c r="C1425" s="101"/>
      <c r="D1425" s="101"/>
      <c r="E1425" s="101"/>
      <c r="F1425" s="101"/>
      <c r="G1425" s="101"/>
      <c r="H1425" s="101"/>
    </row>
    <row r="1426" spans="3:8">
      <c r="C1426" s="101"/>
      <c r="D1426" s="101"/>
      <c r="E1426" s="101"/>
      <c r="F1426" s="101"/>
      <c r="G1426" s="101"/>
      <c r="H1426" s="101"/>
    </row>
    <row r="1427" spans="3:8">
      <c r="C1427" s="101"/>
      <c r="D1427" s="101"/>
      <c r="E1427" s="101"/>
      <c r="F1427" s="101"/>
      <c r="G1427" s="101"/>
      <c r="H1427" s="101"/>
    </row>
    <row r="1428" spans="3:8">
      <c r="C1428" s="101"/>
      <c r="D1428" s="101"/>
      <c r="E1428" s="101"/>
      <c r="F1428" s="101"/>
      <c r="G1428" s="101"/>
      <c r="H1428" s="101"/>
    </row>
    <row r="1429" spans="3:8">
      <c r="C1429" s="101"/>
      <c r="D1429" s="101"/>
      <c r="E1429" s="101"/>
      <c r="F1429" s="101"/>
      <c r="G1429" s="101"/>
      <c r="H1429" s="101"/>
    </row>
    <row r="1430" spans="3:8">
      <c r="C1430" s="101"/>
      <c r="D1430" s="101"/>
      <c r="E1430" s="101"/>
      <c r="F1430" s="101"/>
      <c r="G1430" s="101"/>
      <c r="H1430" s="101"/>
    </row>
    <row r="1431" spans="3:8">
      <c r="C1431" s="101"/>
      <c r="D1431" s="101"/>
      <c r="E1431" s="101"/>
      <c r="F1431" s="101"/>
      <c r="G1431" s="101"/>
      <c r="H1431" s="101"/>
    </row>
    <row r="1432" spans="3:8">
      <c r="C1432" s="101"/>
      <c r="D1432" s="101"/>
      <c r="E1432" s="101"/>
      <c r="F1432" s="101"/>
      <c r="G1432" s="101"/>
      <c r="H1432" s="101"/>
    </row>
    <row r="1433" spans="3:8">
      <c r="C1433" s="101"/>
      <c r="D1433" s="101"/>
      <c r="E1433" s="101"/>
      <c r="F1433" s="101"/>
      <c r="G1433" s="101"/>
      <c r="H1433" s="101"/>
    </row>
    <row r="1434" spans="3:8">
      <c r="C1434" s="101"/>
      <c r="D1434" s="101"/>
      <c r="E1434" s="101"/>
      <c r="F1434" s="101"/>
      <c r="G1434" s="101"/>
      <c r="H1434" s="101"/>
    </row>
    <row r="1435" spans="3:8">
      <c r="C1435" s="101"/>
      <c r="D1435" s="101"/>
      <c r="E1435" s="101"/>
      <c r="F1435" s="101"/>
      <c r="G1435" s="101"/>
      <c r="H1435" s="101"/>
    </row>
    <row r="1436" spans="3:8">
      <c r="C1436" s="101"/>
      <c r="D1436" s="101"/>
      <c r="E1436" s="101"/>
      <c r="F1436" s="101"/>
      <c r="G1436" s="101"/>
      <c r="H1436" s="101"/>
    </row>
    <row r="1437" spans="3:8">
      <c r="C1437" s="101"/>
      <c r="D1437" s="101"/>
      <c r="E1437" s="101"/>
      <c r="F1437" s="101"/>
      <c r="G1437" s="101"/>
      <c r="H1437" s="101"/>
    </row>
    <row r="1438" spans="3:8">
      <c r="C1438" s="101"/>
      <c r="D1438" s="101"/>
      <c r="E1438" s="101"/>
      <c r="F1438" s="101"/>
      <c r="G1438" s="101"/>
      <c r="H1438" s="101"/>
    </row>
    <row r="1439" spans="3:8">
      <c r="C1439" s="101"/>
      <c r="D1439" s="101"/>
      <c r="E1439" s="101"/>
      <c r="F1439" s="101"/>
      <c r="G1439" s="101"/>
      <c r="H1439" s="101"/>
    </row>
    <row r="1440" spans="3:8">
      <c r="C1440" s="101"/>
      <c r="D1440" s="101"/>
      <c r="E1440" s="101"/>
      <c r="F1440" s="101"/>
      <c r="G1440" s="101"/>
      <c r="H1440" s="101"/>
    </row>
    <row r="1441" spans="3:8">
      <c r="C1441" s="101"/>
      <c r="D1441" s="101"/>
      <c r="E1441" s="101"/>
      <c r="F1441" s="101"/>
      <c r="G1441" s="101"/>
      <c r="H1441" s="101"/>
    </row>
    <row r="1442" spans="3:8">
      <c r="C1442" s="101"/>
      <c r="D1442" s="101"/>
      <c r="E1442" s="101"/>
      <c r="F1442" s="101"/>
      <c r="G1442" s="101"/>
      <c r="H1442" s="101"/>
    </row>
    <row r="1443" spans="3:8">
      <c r="C1443" s="101"/>
      <c r="D1443" s="101"/>
      <c r="E1443" s="101"/>
      <c r="F1443" s="101"/>
      <c r="G1443" s="101"/>
      <c r="H1443" s="101"/>
    </row>
    <row r="1444" spans="3:8">
      <c r="C1444" s="101"/>
      <c r="D1444" s="101"/>
      <c r="E1444" s="101"/>
      <c r="F1444" s="101"/>
      <c r="G1444" s="101"/>
      <c r="H1444" s="101"/>
    </row>
    <row r="1445" spans="3:8">
      <c r="C1445" s="101"/>
      <c r="D1445" s="101"/>
      <c r="E1445" s="101"/>
      <c r="F1445" s="101"/>
      <c r="G1445" s="101"/>
      <c r="H1445" s="101"/>
    </row>
    <row r="1446" spans="3:8">
      <c r="C1446" s="101"/>
      <c r="D1446" s="101"/>
      <c r="E1446" s="101"/>
      <c r="F1446" s="101"/>
      <c r="G1446" s="101"/>
      <c r="H1446" s="101"/>
    </row>
    <row r="1447" spans="3:8">
      <c r="C1447" s="101"/>
      <c r="D1447" s="101"/>
      <c r="E1447" s="101"/>
      <c r="F1447" s="101"/>
      <c r="G1447" s="101"/>
      <c r="H1447" s="101"/>
    </row>
    <row r="1448" spans="3:8">
      <c r="C1448" s="101"/>
      <c r="D1448" s="101"/>
      <c r="E1448" s="101"/>
      <c r="F1448" s="101"/>
      <c r="G1448" s="101"/>
      <c r="H1448" s="101"/>
    </row>
    <row r="1449" spans="3:8">
      <c r="C1449" s="101"/>
      <c r="D1449" s="101"/>
      <c r="E1449" s="101"/>
      <c r="F1449" s="101"/>
      <c r="G1449" s="101"/>
      <c r="H1449" s="101"/>
    </row>
    <row r="1450" spans="3:8">
      <c r="C1450" s="101"/>
      <c r="D1450" s="101"/>
      <c r="E1450" s="101"/>
      <c r="F1450" s="101"/>
      <c r="G1450" s="101"/>
      <c r="H1450" s="101"/>
    </row>
    <row r="1451" spans="3:8">
      <c r="C1451" s="101"/>
      <c r="D1451" s="101"/>
      <c r="E1451" s="101"/>
      <c r="F1451" s="101"/>
      <c r="G1451" s="101"/>
      <c r="H1451" s="101"/>
    </row>
    <row r="1452" spans="3:8">
      <c r="C1452" s="101"/>
      <c r="D1452" s="101"/>
      <c r="E1452" s="101"/>
      <c r="F1452" s="101"/>
      <c r="G1452" s="101"/>
      <c r="H1452" s="101"/>
    </row>
    <row r="1453" spans="3:8">
      <c r="C1453" s="101"/>
      <c r="D1453" s="101"/>
      <c r="E1453" s="101"/>
      <c r="F1453" s="101"/>
      <c r="G1453" s="101"/>
      <c r="H1453" s="101"/>
    </row>
    <row r="1454" spans="3:8">
      <c r="C1454" s="101"/>
      <c r="D1454" s="101"/>
      <c r="E1454" s="101"/>
      <c r="F1454" s="101"/>
      <c r="G1454" s="101"/>
      <c r="H1454" s="101"/>
    </row>
    <row r="1455" spans="3:8">
      <c r="C1455" s="101"/>
      <c r="D1455" s="101"/>
      <c r="E1455" s="101"/>
      <c r="F1455" s="101"/>
      <c r="G1455" s="101"/>
      <c r="H1455" s="101"/>
    </row>
    <row r="1456" spans="3:8">
      <c r="C1456" s="101"/>
      <c r="D1456" s="101"/>
      <c r="E1456" s="101"/>
      <c r="F1456" s="101"/>
      <c r="G1456" s="101"/>
      <c r="H1456" s="101"/>
    </row>
    <row r="1457" spans="3:8">
      <c r="C1457" s="101"/>
      <c r="D1457" s="101"/>
      <c r="E1457" s="101"/>
      <c r="F1457" s="101"/>
      <c r="G1457" s="101"/>
      <c r="H1457" s="101"/>
    </row>
    <row r="1458" spans="3:8">
      <c r="C1458" s="101"/>
      <c r="D1458" s="101"/>
      <c r="E1458" s="101"/>
      <c r="F1458" s="101"/>
      <c r="G1458" s="101"/>
      <c r="H1458" s="101"/>
    </row>
    <row r="1459" spans="3:8">
      <c r="C1459" s="101"/>
      <c r="D1459" s="101"/>
      <c r="E1459" s="101"/>
      <c r="F1459" s="101"/>
      <c r="G1459" s="101"/>
      <c r="H1459" s="101"/>
    </row>
    <row r="1460" spans="3:8">
      <c r="C1460" s="101"/>
      <c r="D1460" s="101"/>
      <c r="E1460" s="101"/>
      <c r="F1460" s="101"/>
      <c r="G1460" s="101"/>
      <c r="H1460" s="101"/>
    </row>
    <row r="1461" spans="3:8">
      <c r="C1461" s="101"/>
      <c r="D1461" s="101"/>
      <c r="E1461" s="101"/>
      <c r="F1461" s="101"/>
      <c r="G1461" s="101"/>
      <c r="H1461" s="101"/>
    </row>
    <row r="1462" spans="3:8">
      <c r="C1462" s="101"/>
      <c r="D1462" s="101"/>
      <c r="E1462" s="101"/>
      <c r="F1462" s="101"/>
      <c r="G1462" s="101"/>
      <c r="H1462" s="101"/>
    </row>
    <row r="1463" spans="3:8">
      <c r="C1463" s="101"/>
      <c r="D1463" s="101"/>
      <c r="E1463" s="101"/>
      <c r="F1463" s="101"/>
      <c r="G1463" s="101"/>
      <c r="H1463" s="101"/>
    </row>
    <row r="1464" spans="3:8">
      <c r="C1464" s="101"/>
      <c r="D1464" s="101"/>
      <c r="E1464" s="101"/>
      <c r="F1464" s="101"/>
      <c r="G1464" s="101"/>
      <c r="H1464" s="101"/>
    </row>
    <row r="1465" spans="3:8">
      <c r="C1465" s="101"/>
      <c r="D1465" s="101"/>
      <c r="E1465" s="101"/>
      <c r="F1465" s="101"/>
      <c r="G1465" s="101"/>
      <c r="H1465" s="101"/>
    </row>
    <row r="1466" spans="3:8">
      <c r="C1466" s="101"/>
      <c r="D1466" s="101"/>
      <c r="E1466" s="101"/>
      <c r="F1466" s="101"/>
      <c r="G1466" s="101"/>
      <c r="H1466" s="101"/>
    </row>
    <row r="1467" spans="3:8">
      <c r="C1467" s="101"/>
      <c r="D1467" s="101"/>
      <c r="E1467" s="101"/>
      <c r="F1467" s="101"/>
      <c r="G1467" s="101"/>
      <c r="H1467" s="101"/>
    </row>
    <row r="1468" spans="3:8">
      <c r="C1468" s="101"/>
      <c r="D1468" s="101"/>
      <c r="E1468" s="101"/>
      <c r="F1468" s="101"/>
      <c r="G1468" s="101"/>
      <c r="H1468" s="101"/>
    </row>
    <row r="1469" spans="3:8">
      <c r="C1469" s="101"/>
      <c r="D1469" s="101"/>
      <c r="E1469" s="101"/>
      <c r="F1469" s="101"/>
      <c r="G1469" s="101"/>
      <c r="H1469" s="101"/>
    </row>
    <row r="1470" spans="3:8">
      <c r="C1470" s="101"/>
      <c r="D1470" s="101"/>
      <c r="E1470" s="101"/>
      <c r="F1470" s="101"/>
      <c r="G1470" s="101"/>
      <c r="H1470" s="101"/>
    </row>
    <row r="1471" spans="3:8">
      <c r="C1471" s="101"/>
      <c r="D1471" s="101"/>
      <c r="E1471" s="101"/>
      <c r="F1471" s="101"/>
      <c r="G1471" s="101"/>
      <c r="H1471" s="101"/>
    </row>
    <row r="1472" spans="3:8">
      <c r="C1472" s="101"/>
      <c r="D1472" s="101"/>
      <c r="E1472" s="101"/>
      <c r="F1472" s="101"/>
      <c r="G1472" s="101"/>
      <c r="H1472" s="101"/>
    </row>
    <row r="1473" spans="3:8">
      <c r="C1473" s="101"/>
      <c r="D1473" s="101"/>
      <c r="E1473" s="101"/>
      <c r="F1473" s="101"/>
      <c r="G1473" s="101"/>
      <c r="H1473" s="101"/>
    </row>
    <row r="1474" spans="3:8">
      <c r="C1474" s="101"/>
      <c r="D1474" s="101"/>
      <c r="E1474" s="101"/>
      <c r="F1474" s="101"/>
      <c r="G1474" s="101"/>
      <c r="H1474" s="101"/>
    </row>
    <row r="1475" spans="3:8">
      <c r="C1475" s="101"/>
      <c r="D1475" s="101"/>
      <c r="E1475" s="101"/>
      <c r="F1475" s="101"/>
      <c r="G1475" s="101"/>
      <c r="H1475" s="101"/>
    </row>
    <row r="1476" spans="3:8">
      <c r="C1476" s="101"/>
      <c r="D1476" s="101"/>
      <c r="E1476" s="101"/>
      <c r="F1476" s="101"/>
      <c r="G1476" s="101"/>
      <c r="H1476" s="101"/>
    </row>
    <row r="1477" spans="3:8">
      <c r="C1477" s="101"/>
      <c r="D1477" s="101"/>
      <c r="E1477" s="101"/>
      <c r="F1477" s="101"/>
      <c r="G1477" s="101"/>
      <c r="H1477" s="101"/>
    </row>
    <row r="1478" spans="3:8">
      <c r="C1478" s="101"/>
      <c r="D1478" s="101"/>
      <c r="E1478" s="101"/>
      <c r="F1478" s="101"/>
      <c r="G1478" s="101"/>
      <c r="H1478" s="101"/>
    </row>
    <row r="1479" spans="3:8">
      <c r="C1479" s="101"/>
      <c r="D1479" s="101"/>
      <c r="E1479" s="101"/>
      <c r="F1479" s="101"/>
      <c r="G1479" s="101"/>
      <c r="H1479" s="101"/>
    </row>
    <row r="1480" spans="3:8">
      <c r="C1480" s="101"/>
      <c r="D1480" s="101"/>
      <c r="E1480" s="101"/>
      <c r="F1480" s="101"/>
      <c r="G1480" s="101"/>
      <c r="H1480" s="101"/>
    </row>
    <row r="1481" spans="3:8">
      <c r="C1481" s="101"/>
      <c r="D1481" s="101"/>
      <c r="E1481" s="101"/>
      <c r="F1481" s="101"/>
      <c r="G1481" s="101"/>
      <c r="H1481" s="101"/>
    </row>
    <row r="1482" spans="3:8">
      <c r="C1482" s="101"/>
      <c r="D1482" s="101"/>
      <c r="E1482" s="101"/>
      <c r="F1482" s="101"/>
      <c r="G1482" s="101"/>
      <c r="H1482" s="101"/>
    </row>
    <row r="1483" spans="3:8">
      <c r="C1483" s="101"/>
      <c r="D1483" s="101"/>
      <c r="E1483" s="101"/>
      <c r="F1483" s="101"/>
      <c r="G1483" s="101"/>
      <c r="H1483" s="101"/>
    </row>
    <row r="1484" spans="3:8">
      <c r="C1484" s="101"/>
      <c r="D1484" s="101"/>
      <c r="E1484" s="101"/>
      <c r="F1484" s="101"/>
      <c r="G1484" s="101"/>
      <c r="H1484" s="101"/>
    </row>
    <row r="1485" spans="3:8">
      <c r="C1485" s="101"/>
      <c r="D1485" s="101"/>
      <c r="E1485" s="101"/>
      <c r="F1485" s="101"/>
      <c r="G1485" s="101"/>
      <c r="H1485" s="101"/>
    </row>
    <row r="1486" spans="3:8">
      <c r="C1486" s="101"/>
      <c r="D1486" s="101"/>
      <c r="E1486" s="101"/>
      <c r="F1486" s="101"/>
      <c r="G1486" s="101"/>
      <c r="H1486" s="101"/>
    </row>
    <row r="1487" spans="3:8">
      <c r="C1487" s="101"/>
      <c r="D1487" s="101"/>
      <c r="E1487" s="101"/>
      <c r="F1487" s="101"/>
      <c r="G1487" s="101"/>
      <c r="H1487" s="101"/>
    </row>
    <row r="1488" spans="3:8">
      <c r="C1488" s="101"/>
      <c r="D1488" s="101"/>
      <c r="E1488" s="101"/>
      <c r="F1488" s="101"/>
      <c r="G1488" s="101"/>
      <c r="H1488" s="101"/>
    </row>
    <row r="1489" spans="3:8">
      <c r="C1489" s="101"/>
      <c r="D1489" s="101"/>
      <c r="E1489" s="101"/>
      <c r="F1489" s="101"/>
      <c r="G1489" s="101"/>
      <c r="H1489" s="101"/>
    </row>
    <row r="1490" spans="3:8">
      <c r="C1490" s="101"/>
      <c r="D1490" s="101"/>
      <c r="E1490" s="101"/>
      <c r="F1490" s="101"/>
      <c r="G1490" s="101"/>
      <c r="H1490" s="101"/>
    </row>
    <row r="1491" spans="3:8">
      <c r="C1491" s="101"/>
      <c r="D1491" s="101"/>
      <c r="E1491" s="101"/>
      <c r="F1491" s="101"/>
      <c r="G1491" s="101"/>
      <c r="H1491" s="101"/>
    </row>
    <row r="1492" spans="3:8">
      <c r="C1492" s="101"/>
      <c r="D1492" s="101"/>
      <c r="E1492" s="101"/>
      <c r="F1492" s="101"/>
      <c r="G1492" s="101"/>
      <c r="H1492" s="101"/>
    </row>
    <row r="1493" spans="3:8">
      <c r="C1493" s="101"/>
      <c r="D1493" s="101"/>
      <c r="E1493" s="101"/>
      <c r="F1493" s="101"/>
      <c r="G1493" s="101"/>
      <c r="H1493" s="101"/>
    </row>
    <row r="1494" spans="3:8">
      <c r="C1494" s="101"/>
      <c r="D1494" s="101"/>
      <c r="E1494" s="101"/>
      <c r="F1494" s="101"/>
      <c r="G1494" s="101"/>
      <c r="H1494" s="101"/>
    </row>
    <row r="1495" spans="3:8">
      <c r="C1495" s="101"/>
      <c r="D1495" s="101"/>
      <c r="E1495" s="101"/>
      <c r="F1495" s="101"/>
      <c r="G1495" s="101"/>
      <c r="H1495" s="101"/>
    </row>
    <row r="1496" spans="3:8">
      <c r="C1496" s="101"/>
      <c r="D1496" s="101"/>
      <c r="E1496" s="101"/>
      <c r="F1496" s="101"/>
      <c r="G1496" s="101"/>
      <c r="H1496" s="101"/>
    </row>
    <row r="1497" spans="3:8">
      <c r="C1497" s="101"/>
      <c r="D1497" s="101"/>
      <c r="E1497" s="101"/>
      <c r="F1497" s="101"/>
      <c r="G1497" s="101"/>
      <c r="H1497" s="101"/>
    </row>
    <row r="1498" spans="3:8">
      <c r="C1498" s="101"/>
      <c r="D1498" s="101"/>
      <c r="E1498" s="101"/>
      <c r="F1498" s="101"/>
      <c r="G1498" s="101"/>
      <c r="H1498" s="101"/>
    </row>
    <row r="1499" spans="3:8">
      <c r="C1499" s="101"/>
      <c r="D1499" s="101"/>
      <c r="E1499" s="101"/>
      <c r="F1499" s="101"/>
      <c r="G1499" s="101"/>
      <c r="H1499" s="101"/>
    </row>
    <row r="1500" spans="3:8">
      <c r="C1500" s="101"/>
      <c r="D1500" s="101"/>
      <c r="E1500" s="101"/>
      <c r="F1500" s="101"/>
      <c r="G1500" s="101"/>
      <c r="H1500" s="101"/>
    </row>
    <row r="1501" spans="3:8">
      <c r="C1501" s="101"/>
      <c r="D1501" s="101"/>
      <c r="E1501" s="101"/>
      <c r="F1501" s="101"/>
      <c r="G1501" s="101"/>
      <c r="H1501" s="101"/>
    </row>
    <row r="1502" spans="3:8">
      <c r="C1502" s="101"/>
      <c r="D1502" s="101"/>
      <c r="E1502" s="101"/>
      <c r="F1502" s="101"/>
      <c r="G1502" s="101"/>
      <c r="H1502" s="101"/>
    </row>
    <row r="1503" spans="3:8">
      <c r="C1503" s="101"/>
      <c r="D1503" s="101"/>
      <c r="E1503" s="101"/>
      <c r="F1503" s="101"/>
      <c r="G1503" s="101"/>
      <c r="H1503" s="101"/>
    </row>
    <row r="1504" spans="3:8">
      <c r="C1504" s="101"/>
      <c r="D1504" s="101"/>
      <c r="E1504" s="101"/>
      <c r="F1504" s="101"/>
      <c r="G1504" s="101"/>
      <c r="H1504" s="101"/>
    </row>
    <row r="1505" spans="3:8">
      <c r="C1505" s="101"/>
      <c r="D1505" s="101"/>
      <c r="E1505" s="101"/>
      <c r="F1505" s="101"/>
      <c r="G1505" s="101"/>
      <c r="H1505" s="101"/>
    </row>
    <row r="1506" spans="3:8">
      <c r="C1506" s="101"/>
      <c r="D1506" s="101"/>
      <c r="E1506" s="101"/>
      <c r="F1506" s="101"/>
      <c r="G1506" s="101"/>
      <c r="H1506" s="101"/>
    </row>
    <row r="1507" spans="3:8">
      <c r="C1507" s="101"/>
      <c r="D1507" s="101"/>
      <c r="E1507" s="101"/>
      <c r="F1507" s="101"/>
      <c r="G1507" s="101"/>
      <c r="H1507" s="101"/>
    </row>
    <row r="1508" spans="3:8">
      <c r="C1508" s="101"/>
      <c r="D1508" s="101"/>
      <c r="E1508" s="101"/>
      <c r="F1508" s="101"/>
      <c r="G1508" s="101"/>
      <c r="H1508" s="101"/>
    </row>
    <row r="1509" spans="3:8">
      <c r="C1509" s="101"/>
      <c r="D1509" s="101"/>
      <c r="E1509" s="101"/>
      <c r="F1509" s="101"/>
      <c r="G1509" s="101"/>
      <c r="H1509" s="101"/>
    </row>
    <row r="1510" spans="3:8">
      <c r="C1510" s="101"/>
      <c r="D1510" s="101"/>
      <c r="E1510" s="101"/>
      <c r="F1510" s="101"/>
      <c r="G1510" s="101"/>
      <c r="H1510" s="101"/>
    </row>
    <row r="1511" spans="3:8">
      <c r="C1511" s="101"/>
      <c r="D1511" s="101"/>
      <c r="E1511" s="101"/>
      <c r="F1511" s="101"/>
      <c r="G1511" s="101"/>
      <c r="H1511" s="101"/>
    </row>
    <row r="1512" spans="3:8">
      <c r="C1512" s="101"/>
      <c r="D1512" s="101"/>
      <c r="E1512" s="101"/>
      <c r="F1512" s="101"/>
      <c r="G1512" s="101"/>
      <c r="H1512" s="101"/>
    </row>
    <row r="1513" spans="3:8">
      <c r="C1513" s="101"/>
      <c r="D1513" s="101"/>
      <c r="E1513" s="101"/>
      <c r="F1513" s="101"/>
      <c r="G1513" s="101"/>
      <c r="H1513" s="101"/>
    </row>
    <row r="1514" spans="3:8">
      <c r="C1514" s="101"/>
      <c r="D1514" s="101"/>
      <c r="E1514" s="101"/>
      <c r="F1514" s="101"/>
      <c r="G1514" s="101"/>
      <c r="H1514" s="101"/>
    </row>
    <row r="1515" spans="3:8">
      <c r="C1515" s="101"/>
      <c r="D1515" s="101"/>
      <c r="E1515" s="101"/>
      <c r="F1515" s="101"/>
      <c r="G1515" s="101"/>
      <c r="H1515" s="101"/>
    </row>
    <row r="1516" spans="3:8">
      <c r="C1516" s="101"/>
      <c r="D1516" s="101"/>
      <c r="E1516" s="101"/>
      <c r="F1516" s="101"/>
      <c r="G1516" s="101"/>
      <c r="H1516" s="101"/>
    </row>
    <row r="1517" spans="3:8">
      <c r="C1517" s="101"/>
      <c r="D1517" s="101"/>
      <c r="E1517" s="101"/>
      <c r="F1517" s="101"/>
      <c r="G1517" s="101"/>
      <c r="H1517" s="101"/>
    </row>
    <row r="1518" spans="3:8">
      <c r="C1518" s="101"/>
      <c r="D1518" s="101"/>
      <c r="E1518" s="101"/>
      <c r="F1518" s="101"/>
      <c r="G1518" s="101"/>
      <c r="H1518" s="101"/>
    </row>
    <row r="1519" spans="3:8">
      <c r="C1519" s="101"/>
      <c r="D1519" s="101"/>
      <c r="E1519" s="101"/>
      <c r="F1519" s="101"/>
      <c r="G1519" s="101"/>
      <c r="H1519" s="101"/>
    </row>
    <row r="1520" spans="3:8">
      <c r="C1520" s="101"/>
      <c r="D1520" s="101"/>
      <c r="E1520" s="101"/>
      <c r="F1520" s="101"/>
      <c r="G1520" s="101"/>
      <c r="H1520" s="101"/>
    </row>
    <row r="1521" spans="3:8">
      <c r="C1521" s="101"/>
      <c r="D1521" s="101"/>
      <c r="E1521" s="101"/>
      <c r="F1521" s="101"/>
      <c r="G1521" s="101"/>
      <c r="H1521" s="101"/>
    </row>
    <row r="1522" spans="3:8">
      <c r="C1522" s="101"/>
      <c r="D1522" s="101"/>
      <c r="E1522" s="101"/>
      <c r="F1522" s="101"/>
      <c r="G1522" s="101"/>
      <c r="H1522" s="101"/>
    </row>
    <row r="1523" spans="3:8">
      <c r="C1523" s="101"/>
      <c r="D1523" s="101"/>
      <c r="E1523" s="101"/>
      <c r="F1523" s="101"/>
      <c r="G1523" s="101"/>
      <c r="H1523" s="101"/>
    </row>
    <row r="1524" spans="3:8">
      <c r="C1524" s="101"/>
      <c r="D1524" s="101"/>
      <c r="E1524" s="101"/>
      <c r="F1524" s="101"/>
      <c r="G1524" s="101"/>
      <c r="H1524" s="101"/>
    </row>
    <row r="1525" spans="3:8">
      <c r="C1525" s="101"/>
      <c r="D1525" s="101"/>
      <c r="E1525" s="101"/>
      <c r="F1525" s="101"/>
      <c r="G1525" s="101"/>
      <c r="H1525" s="101"/>
    </row>
    <row r="1526" spans="3:8">
      <c r="C1526" s="101"/>
      <c r="D1526" s="101"/>
      <c r="E1526" s="101"/>
      <c r="F1526" s="101"/>
      <c r="G1526" s="101"/>
      <c r="H1526" s="101"/>
    </row>
    <row r="1527" spans="3:8">
      <c r="C1527" s="101"/>
      <c r="D1527" s="101"/>
      <c r="E1527" s="101"/>
      <c r="F1527" s="101"/>
      <c r="G1527" s="101"/>
      <c r="H1527" s="101"/>
    </row>
    <row r="1528" spans="3:8">
      <c r="C1528" s="101"/>
      <c r="D1528" s="101"/>
      <c r="E1528" s="101"/>
      <c r="F1528" s="101"/>
      <c r="G1528" s="101"/>
      <c r="H1528" s="101"/>
    </row>
    <row r="1529" spans="3:8">
      <c r="C1529" s="101"/>
      <c r="D1529" s="101"/>
      <c r="E1529" s="101"/>
      <c r="F1529" s="101"/>
      <c r="G1529" s="101"/>
      <c r="H1529" s="101"/>
    </row>
    <row r="1530" spans="3:8">
      <c r="C1530" s="101"/>
      <c r="D1530" s="101"/>
      <c r="E1530" s="101"/>
      <c r="F1530" s="101"/>
      <c r="G1530" s="101"/>
      <c r="H1530" s="101"/>
    </row>
    <row r="1531" spans="3:8">
      <c r="C1531" s="101"/>
      <c r="D1531" s="101"/>
      <c r="E1531" s="101"/>
      <c r="F1531" s="101"/>
      <c r="G1531" s="101"/>
      <c r="H1531" s="101"/>
    </row>
    <row r="1532" spans="3:8">
      <c r="C1532" s="101"/>
      <c r="D1532" s="101"/>
      <c r="E1532" s="101"/>
      <c r="F1532" s="101"/>
      <c r="G1532" s="101"/>
      <c r="H1532" s="101"/>
    </row>
    <row r="1533" spans="3:8">
      <c r="C1533" s="101"/>
      <c r="D1533" s="101"/>
      <c r="E1533" s="101"/>
      <c r="F1533" s="101"/>
      <c r="G1533" s="101"/>
      <c r="H1533" s="101"/>
    </row>
    <row r="1534" spans="3:8">
      <c r="C1534" s="101"/>
      <c r="D1534" s="101"/>
      <c r="E1534" s="101"/>
      <c r="F1534" s="101"/>
      <c r="G1534" s="101"/>
      <c r="H1534" s="101"/>
    </row>
    <row r="1535" spans="3:8">
      <c r="C1535" s="101"/>
      <c r="D1535" s="101"/>
      <c r="E1535" s="101"/>
      <c r="F1535" s="101"/>
      <c r="G1535" s="101"/>
      <c r="H1535" s="101"/>
    </row>
    <row r="1536" spans="3:8">
      <c r="C1536" s="101"/>
      <c r="D1536" s="101"/>
      <c r="E1536" s="101"/>
      <c r="F1536" s="101"/>
      <c r="G1536" s="101"/>
      <c r="H1536" s="101"/>
    </row>
    <row r="1537" spans="3:8">
      <c r="C1537" s="101"/>
      <c r="D1537" s="101"/>
      <c r="E1537" s="101"/>
      <c r="F1537" s="101"/>
      <c r="G1537" s="101"/>
      <c r="H1537" s="101"/>
    </row>
    <row r="1538" spans="3:8">
      <c r="C1538" s="101"/>
      <c r="D1538" s="101"/>
      <c r="E1538" s="101"/>
      <c r="F1538" s="101"/>
      <c r="G1538" s="101"/>
      <c r="H1538" s="101"/>
    </row>
    <row r="1539" spans="3:8">
      <c r="C1539" s="101"/>
      <c r="D1539" s="101"/>
      <c r="E1539" s="101"/>
      <c r="F1539" s="101"/>
      <c r="G1539" s="101"/>
      <c r="H1539" s="101"/>
    </row>
    <row r="1540" spans="3:8">
      <c r="C1540" s="101"/>
      <c r="D1540" s="101"/>
      <c r="E1540" s="101"/>
      <c r="F1540" s="101"/>
      <c r="G1540" s="101"/>
      <c r="H1540" s="101"/>
    </row>
    <row r="1541" spans="3:8">
      <c r="C1541" s="101"/>
      <c r="D1541" s="101"/>
      <c r="E1541" s="101"/>
      <c r="F1541" s="101"/>
      <c r="G1541" s="101"/>
      <c r="H1541" s="101"/>
    </row>
    <row r="1542" spans="3:8">
      <c r="C1542" s="101"/>
      <c r="D1542" s="101"/>
      <c r="E1542" s="101"/>
      <c r="F1542" s="101"/>
      <c r="G1542" s="101"/>
      <c r="H1542" s="101"/>
    </row>
    <row r="1543" spans="3:8">
      <c r="C1543" s="101"/>
      <c r="D1543" s="101"/>
      <c r="E1543" s="101"/>
      <c r="F1543" s="101"/>
      <c r="G1543" s="101"/>
      <c r="H1543" s="101"/>
    </row>
    <row r="1544" spans="3:8">
      <c r="C1544" s="101"/>
      <c r="D1544" s="101"/>
      <c r="E1544" s="101"/>
      <c r="F1544" s="101"/>
      <c r="G1544" s="101"/>
      <c r="H1544" s="101"/>
    </row>
    <row r="1545" spans="3:8">
      <c r="C1545" s="101"/>
      <c r="D1545" s="101"/>
      <c r="E1545" s="101"/>
      <c r="F1545" s="101"/>
      <c r="G1545" s="101"/>
      <c r="H1545" s="101"/>
    </row>
    <row r="1546" spans="3:8">
      <c r="C1546" s="101"/>
      <c r="D1546" s="101"/>
      <c r="E1546" s="101"/>
      <c r="F1546" s="101"/>
      <c r="G1546" s="101"/>
      <c r="H1546" s="101"/>
    </row>
    <row r="1547" spans="3:8">
      <c r="C1547" s="101"/>
      <c r="D1547" s="101"/>
      <c r="E1547" s="101"/>
      <c r="F1547" s="101"/>
      <c r="G1547" s="101"/>
      <c r="H1547" s="101"/>
    </row>
    <row r="1548" spans="3:8">
      <c r="C1548" s="101"/>
      <c r="D1548" s="101"/>
      <c r="E1548" s="101"/>
      <c r="F1548" s="101"/>
      <c r="G1548" s="101"/>
      <c r="H1548" s="101"/>
    </row>
    <row r="1549" spans="3:8">
      <c r="C1549" s="101"/>
      <c r="D1549" s="101"/>
      <c r="E1549" s="101"/>
      <c r="F1549" s="101"/>
      <c r="G1549" s="101"/>
      <c r="H1549" s="101"/>
    </row>
    <row r="1550" spans="3:8">
      <c r="C1550" s="101"/>
      <c r="D1550" s="101"/>
      <c r="E1550" s="101"/>
      <c r="F1550" s="101"/>
      <c r="G1550" s="101"/>
      <c r="H1550" s="101"/>
    </row>
    <row r="1551" spans="3:8">
      <c r="C1551" s="101"/>
      <c r="D1551" s="101"/>
      <c r="E1551" s="101"/>
      <c r="F1551" s="101"/>
      <c r="G1551" s="101"/>
      <c r="H1551" s="101"/>
    </row>
    <row r="1552" spans="3:8">
      <c r="C1552" s="101"/>
      <c r="D1552" s="101"/>
      <c r="E1552" s="101"/>
      <c r="F1552" s="101"/>
      <c r="G1552" s="101"/>
      <c r="H1552" s="101"/>
    </row>
    <row r="1553" spans="3:8">
      <c r="C1553" s="101"/>
      <c r="D1553" s="101"/>
      <c r="E1553" s="101"/>
      <c r="F1553" s="101"/>
      <c r="G1553" s="101"/>
      <c r="H1553" s="101"/>
    </row>
    <row r="1554" spans="3:8">
      <c r="C1554" s="101"/>
      <c r="D1554" s="101"/>
      <c r="E1554" s="101"/>
      <c r="F1554" s="101"/>
      <c r="G1554" s="101"/>
      <c r="H1554" s="101"/>
    </row>
    <row r="1555" spans="3:8">
      <c r="C1555" s="101"/>
      <c r="D1555" s="101"/>
      <c r="E1555" s="101"/>
      <c r="F1555" s="101"/>
      <c r="G1555" s="101"/>
      <c r="H1555" s="101"/>
    </row>
    <row r="1556" spans="3:8">
      <c r="C1556" s="101"/>
      <c r="D1556" s="101"/>
      <c r="E1556" s="101"/>
      <c r="F1556" s="101"/>
      <c r="G1556" s="101"/>
      <c r="H1556" s="101"/>
    </row>
    <row r="1557" spans="3:8">
      <c r="C1557" s="101"/>
      <c r="D1557" s="101"/>
      <c r="E1557" s="101"/>
      <c r="F1557" s="101"/>
      <c r="G1557" s="101"/>
      <c r="H1557" s="101"/>
    </row>
    <row r="1558" spans="3:8">
      <c r="C1558" s="101"/>
      <c r="D1558" s="101"/>
      <c r="E1558" s="101"/>
      <c r="F1558" s="101"/>
      <c r="G1558" s="101"/>
      <c r="H1558" s="101"/>
    </row>
    <row r="1559" spans="3:8">
      <c r="C1559" s="101"/>
      <c r="D1559" s="101"/>
      <c r="E1559" s="101"/>
      <c r="F1559" s="101"/>
      <c r="G1559" s="101"/>
      <c r="H1559" s="101"/>
    </row>
    <row r="1560" spans="3:8">
      <c r="C1560" s="101"/>
      <c r="D1560" s="101"/>
      <c r="E1560" s="101"/>
      <c r="F1560" s="101"/>
      <c r="G1560" s="101"/>
      <c r="H1560" s="101"/>
    </row>
    <row r="1561" spans="3:8">
      <c r="C1561" s="101"/>
      <c r="D1561" s="101"/>
      <c r="E1561" s="101"/>
      <c r="F1561" s="101"/>
      <c r="G1561" s="101"/>
      <c r="H1561" s="101"/>
    </row>
    <row r="1562" spans="3:8">
      <c r="C1562" s="101"/>
      <c r="D1562" s="101"/>
      <c r="E1562" s="101"/>
      <c r="F1562" s="101"/>
      <c r="G1562" s="101"/>
      <c r="H1562" s="101"/>
    </row>
    <row r="1563" spans="3:8">
      <c r="C1563" s="101"/>
      <c r="D1563" s="101"/>
      <c r="E1563" s="101"/>
      <c r="F1563" s="101"/>
      <c r="G1563" s="101"/>
      <c r="H1563" s="101"/>
    </row>
    <row r="1564" spans="3:8">
      <c r="C1564" s="101"/>
      <c r="D1564" s="101"/>
      <c r="E1564" s="101"/>
      <c r="F1564" s="101"/>
      <c r="G1564" s="101"/>
      <c r="H1564" s="101"/>
    </row>
    <row r="1565" spans="3:8">
      <c r="C1565" s="101"/>
      <c r="D1565" s="101"/>
      <c r="E1565" s="101"/>
      <c r="F1565" s="101"/>
      <c r="G1565" s="101"/>
      <c r="H1565" s="101"/>
    </row>
    <row r="1566" spans="3:8">
      <c r="C1566" s="101"/>
      <c r="D1566" s="101"/>
      <c r="E1566" s="101"/>
      <c r="F1566" s="101"/>
      <c r="G1566" s="101"/>
      <c r="H1566" s="101"/>
    </row>
    <row r="1567" spans="3:8">
      <c r="C1567" s="101"/>
      <c r="D1567" s="101"/>
      <c r="E1567" s="101"/>
      <c r="F1567" s="101"/>
      <c r="G1567" s="101"/>
      <c r="H1567" s="101"/>
    </row>
    <row r="1568" spans="3:8">
      <c r="C1568" s="101"/>
      <c r="D1568" s="101"/>
      <c r="E1568" s="101"/>
      <c r="F1568" s="101"/>
      <c r="G1568" s="101"/>
      <c r="H1568" s="101"/>
    </row>
    <row r="1569" spans="3:8">
      <c r="C1569" s="101"/>
      <c r="D1569" s="101"/>
      <c r="E1569" s="101"/>
      <c r="F1569" s="101"/>
      <c r="G1569" s="101"/>
      <c r="H1569" s="101"/>
    </row>
    <row r="1570" spans="3:8">
      <c r="C1570" s="101"/>
      <c r="D1570" s="101"/>
      <c r="E1570" s="101"/>
      <c r="F1570" s="101"/>
      <c r="G1570" s="101"/>
      <c r="H1570" s="101"/>
    </row>
    <row r="1571" spans="3:8">
      <c r="C1571" s="101"/>
      <c r="D1571" s="101"/>
      <c r="E1571" s="101"/>
      <c r="F1571" s="101"/>
      <c r="G1571" s="101"/>
      <c r="H1571" s="101"/>
    </row>
    <row r="1572" spans="3:8">
      <c r="C1572" s="101"/>
      <c r="D1572" s="101"/>
      <c r="E1572" s="101"/>
      <c r="F1572" s="101"/>
      <c r="G1572" s="101"/>
      <c r="H1572" s="101"/>
    </row>
    <row r="1573" spans="3:8">
      <c r="C1573" s="101"/>
      <c r="D1573" s="101"/>
      <c r="E1573" s="101"/>
      <c r="F1573" s="101"/>
      <c r="G1573" s="101"/>
      <c r="H1573" s="101"/>
    </row>
    <row r="1574" spans="3:8">
      <c r="C1574" s="101"/>
      <c r="D1574" s="101"/>
      <c r="E1574" s="101"/>
      <c r="F1574" s="101"/>
      <c r="G1574" s="101"/>
      <c r="H1574" s="101"/>
    </row>
    <row r="1575" spans="3:8">
      <c r="C1575" s="101"/>
      <c r="D1575" s="101"/>
      <c r="E1575" s="101"/>
      <c r="F1575" s="101"/>
      <c r="G1575" s="101"/>
      <c r="H1575" s="101"/>
    </row>
    <row r="1576" spans="3:8">
      <c r="C1576" s="101"/>
      <c r="D1576" s="101"/>
      <c r="E1576" s="101"/>
      <c r="F1576" s="101"/>
      <c r="G1576" s="101"/>
      <c r="H1576" s="101"/>
    </row>
    <row r="1577" spans="3:8">
      <c r="C1577" s="101"/>
      <c r="D1577" s="101"/>
      <c r="E1577" s="101"/>
      <c r="F1577" s="101"/>
      <c r="G1577" s="101"/>
      <c r="H1577" s="101"/>
    </row>
    <row r="1578" spans="3:8">
      <c r="C1578" s="101"/>
      <c r="D1578" s="101"/>
      <c r="E1578" s="101"/>
      <c r="F1578" s="101"/>
      <c r="G1578" s="101"/>
      <c r="H1578" s="101"/>
    </row>
    <row r="1579" spans="3:8">
      <c r="C1579" s="101"/>
      <c r="D1579" s="101"/>
      <c r="E1579" s="101"/>
      <c r="F1579" s="101"/>
      <c r="G1579" s="101"/>
      <c r="H1579" s="101"/>
    </row>
    <row r="1580" spans="3:8">
      <c r="C1580" s="101"/>
      <c r="D1580" s="101"/>
      <c r="E1580" s="101"/>
      <c r="F1580" s="101"/>
      <c r="G1580" s="101"/>
      <c r="H1580" s="101"/>
    </row>
    <row r="1581" spans="3:8">
      <c r="C1581" s="101"/>
      <c r="D1581" s="101"/>
      <c r="E1581" s="101"/>
      <c r="F1581" s="101"/>
      <c r="G1581" s="101"/>
      <c r="H1581" s="101"/>
    </row>
    <row r="1582" spans="3:8">
      <c r="C1582" s="101"/>
      <c r="D1582" s="101"/>
      <c r="E1582" s="101"/>
      <c r="F1582" s="101"/>
      <c r="G1582" s="101"/>
      <c r="H1582" s="101"/>
    </row>
    <row r="1583" spans="3:8">
      <c r="C1583" s="101"/>
      <c r="D1583" s="101"/>
      <c r="E1583" s="101"/>
      <c r="F1583" s="101"/>
      <c r="G1583" s="101"/>
      <c r="H1583" s="101"/>
    </row>
    <row r="1584" spans="3:8">
      <c r="C1584" s="101"/>
      <c r="D1584" s="101"/>
      <c r="E1584" s="101"/>
      <c r="F1584" s="101"/>
      <c r="G1584" s="101"/>
      <c r="H1584" s="101"/>
    </row>
    <row r="1585" spans="3:8">
      <c r="C1585" s="101"/>
      <c r="D1585" s="101"/>
      <c r="E1585" s="101"/>
      <c r="F1585" s="101"/>
      <c r="G1585" s="101"/>
      <c r="H1585" s="101"/>
    </row>
    <row r="1586" spans="3:8">
      <c r="C1586" s="101"/>
      <c r="D1586" s="101"/>
      <c r="E1586" s="101"/>
      <c r="F1586" s="101"/>
      <c r="G1586" s="101"/>
      <c r="H1586" s="101"/>
    </row>
    <row r="1587" spans="3:8">
      <c r="C1587" s="101"/>
      <c r="D1587" s="101"/>
      <c r="E1587" s="101"/>
      <c r="F1587" s="101"/>
      <c r="G1587" s="101"/>
      <c r="H1587" s="101"/>
    </row>
    <row r="1588" spans="3:8">
      <c r="C1588" s="101"/>
      <c r="D1588" s="101"/>
      <c r="E1588" s="101"/>
      <c r="F1588" s="101"/>
      <c r="G1588" s="101"/>
      <c r="H1588" s="101"/>
    </row>
    <row r="1589" spans="3:8">
      <c r="C1589" s="101"/>
      <c r="D1589" s="101"/>
      <c r="E1589" s="101"/>
      <c r="F1589" s="101"/>
      <c r="G1589" s="101"/>
      <c r="H1589" s="101"/>
    </row>
    <row r="1590" spans="3:8">
      <c r="C1590" s="101"/>
      <c r="D1590" s="101"/>
      <c r="E1590" s="101"/>
      <c r="F1590" s="101"/>
      <c r="G1590" s="101"/>
      <c r="H1590" s="101"/>
    </row>
    <row r="1591" spans="3:8">
      <c r="C1591" s="101"/>
      <c r="D1591" s="101"/>
      <c r="E1591" s="101"/>
      <c r="F1591" s="101"/>
      <c r="G1591" s="101"/>
      <c r="H1591" s="101"/>
    </row>
    <row r="1592" spans="3:8">
      <c r="C1592" s="101"/>
      <c r="D1592" s="101"/>
      <c r="E1592" s="101"/>
      <c r="F1592" s="101"/>
      <c r="G1592" s="101"/>
      <c r="H1592" s="101"/>
    </row>
    <row r="1593" spans="3:8">
      <c r="C1593" s="101"/>
      <c r="D1593" s="101"/>
      <c r="E1593" s="101"/>
      <c r="F1593" s="101"/>
      <c r="G1593" s="101"/>
      <c r="H1593" s="101"/>
    </row>
    <row r="1594" spans="3:8">
      <c r="C1594" s="101"/>
      <c r="D1594" s="101"/>
      <c r="E1594" s="101"/>
      <c r="F1594" s="101"/>
      <c r="G1594" s="101"/>
      <c r="H1594" s="101"/>
    </row>
    <row r="1595" spans="3:8">
      <c r="C1595" s="101"/>
      <c r="D1595" s="101"/>
      <c r="E1595" s="101"/>
      <c r="F1595" s="101"/>
      <c r="G1595" s="101"/>
      <c r="H1595" s="101"/>
    </row>
    <row r="1596" spans="3:8">
      <c r="C1596" s="101"/>
      <c r="D1596" s="101"/>
      <c r="E1596" s="101"/>
      <c r="F1596" s="101"/>
      <c r="G1596" s="101"/>
      <c r="H1596" s="101"/>
    </row>
    <row r="1597" spans="3:8">
      <c r="C1597" s="101"/>
      <c r="D1597" s="101"/>
      <c r="E1597" s="101"/>
      <c r="F1597" s="101"/>
      <c r="G1597" s="101"/>
      <c r="H1597" s="101"/>
    </row>
    <row r="1598" spans="3:8">
      <c r="C1598" s="101"/>
      <c r="D1598" s="101"/>
      <c r="E1598" s="101"/>
      <c r="F1598" s="101"/>
      <c r="G1598" s="101"/>
      <c r="H1598" s="101"/>
    </row>
    <row r="1599" spans="3:8">
      <c r="C1599" s="101"/>
      <c r="D1599" s="101"/>
      <c r="E1599" s="101"/>
      <c r="F1599" s="101"/>
      <c r="G1599" s="101"/>
      <c r="H1599" s="101"/>
    </row>
    <row r="1600" spans="3:8">
      <c r="C1600" s="101"/>
      <c r="D1600" s="101"/>
      <c r="E1600" s="101"/>
      <c r="F1600" s="101"/>
      <c r="G1600" s="101"/>
      <c r="H1600" s="101"/>
    </row>
    <row r="1601" spans="3:8">
      <c r="C1601" s="101"/>
      <c r="D1601" s="101"/>
      <c r="E1601" s="101"/>
      <c r="F1601" s="101"/>
      <c r="G1601" s="101"/>
      <c r="H1601" s="101"/>
    </row>
    <row r="1602" spans="3:8">
      <c r="C1602" s="101"/>
      <c r="D1602" s="101"/>
      <c r="E1602" s="101"/>
      <c r="F1602" s="101"/>
      <c r="G1602" s="101"/>
      <c r="H1602" s="101"/>
    </row>
    <row r="1603" spans="3:8">
      <c r="C1603" s="101"/>
      <c r="D1603" s="101"/>
      <c r="E1603" s="101"/>
      <c r="F1603" s="101"/>
      <c r="G1603" s="101"/>
      <c r="H1603" s="101"/>
    </row>
    <row r="1604" spans="3:8">
      <c r="C1604" s="101"/>
      <c r="D1604" s="101"/>
      <c r="E1604" s="101"/>
      <c r="F1604" s="101"/>
      <c r="G1604" s="101"/>
      <c r="H1604" s="101"/>
    </row>
    <row r="1605" spans="3:8">
      <c r="C1605" s="101"/>
      <c r="D1605" s="101"/>
      <c r="E1605" s="101"/>
      <c r="F1605" s="101"/>
      <c r="G1605" s="101"/>
      <c r="H1605" s="101"/>
    </row>
    <row r="1606" spans="3:8">
      <c r="C1606" s="101"/>
      <c r="D1606" s="101"/>
      <c r="E1606" s="101"/>
      <c r="F1606" s="101"/>
      <c r="G1606" s="101"/>
      <c r="H1606" s="101"/>
    </row>
    <row r="1607" spans="3:8">
      <c r="C1607" s="101"/>
      <c r="D1607" s="101"/>
      <c r="E1607" s="101"/>
      <c r="F1607" s="101"/>
      <c r="G1607" s="101"/>
      <c r="H1607" s="101"/>
    </row>
    <row r="1608" spans="3:8">
      <c r="C1608" s="101"/>
      <c r="D1608" s="101"/>
      <c r="E1608" s="101"/>
      <c r="F1608" s="101"/>
      <c r="G1608" s="101"/>
      <c r="H1608" s="101"/>
    </row>
    <row r="1609" spans="3:8">
      <c r="C1609" s="101"/>
      <c r="D1609" s="101"/>
      <c r="E1609" s="101"/>
      <c r="F1609" s="101"/>
      <c r="G1609" s="101"/>
      <c r="H1609" s="101"/>
    </row>
    <row r="1610" spans="3:8">
      <c r="C1610" s="101"/>
      <c r="D1610" s="101"/>
      <c r="E1610" s="101"/>
      <c r="F1610" s="101"/>
      <c r="G1610" s="101"/>
      <c r="H1610" s="101"/>
    </row>
    <row r="1611" spans="3:8">
      <c r="C1611" s="101"/>
      <c r="D1611" s="101"/>
      <c r="E1611" s="101"/>
      <c r="F1611" s="101"/>
      <c r="G1611" s="101"/>
      <c r="H1611" s="101"/>
    </row>
    <row r="1612" spans="3:8">
      <c r="C1612" s="101"/>
      <c r="D1612" s="101"/>
      <c r="E1612" s="101"/>
      <c r="F1612" s="101"/>
      <c r="G1612" s="101"/>
      <c r="H1612" s="101"/>
    </row>
    <row r="1613" spans="3:8">
      <c r="C1613" s="101"/>
      <c r="D1613" s="101"/>
      <c r="E1613" s="101"/>
      <c r="F1613" s="101"/>
      <c r="G1613" s="101"/>
      <c r="H1613" s="101"/>
    </row>
    <row r="1614" spans="3:8">
      <c r="C1614" s="101"/>
      <c r="D1614" s="101"/>
      <c r="E1614" s="101"/>
      <c r="F1614" s="101"/>
      <c r="G1614" s="101"/>
      <c r="H1614" s="101"/>
    </row>
    <row r="1615" spans="3:8">
      <c r="C1615" s="101"/>
      <c r="D1615" s="101"/>
      <c r="E1615" s="101"/>
      <c r="F1615" s="101"/>
      <c r="G1615" s="101"/>
      <c r="H1615" s="101"/>
    </row>
    <row r="1616" spans="3:8">
      <c r="C1616" s="101"/>
      <c r="D1616" s="101"/>
      <c r="E1616" s="101"/>
      <c r="F1616" s="101"/>
      <c r="G1616" s="101"/>
      <c r="H1616" s="101"/>
    </row>
    <row r="1617" spans="3:8">
      <c r="C1617" s="101"/>
      <c r="D1617" s="101"/>
      <c r="E1617" s="101"/>
      <c r="F1617" s="101"/>
      <c r="G1617" s="101"/>
      <c r="H1617" s="101"/>
    </row>
    <row r="1618" spans="3:8">
      <c r="C1618" s="101"/>
      <c r="D1618" s="101"/>
      <c r="E1618" s="101"/>
      <c r="F1618" s="101"/>
      <c r="G1618" s="101"/>
      <c r="H1618" s="101"/>
    </row>
    <row r="1619" spans="3:8">
      <c r="C1619" s="101"/>
      <c r="D1619" s="101"/>
      <c r="E1619" s="101"/>
      <c r="F1619" s="101"/>
      <c r="G1619" s="101"/>
      <c r="H1619" s="101"/>
    </row>
    <row r="1620" spans="3:8">
      <c r="C1620" s="101"/>
      <c r="D1620" s="101"/>
      <c r="E1620" s="101"/>
      <c r="F1620" s="101"/>
      <c r="G1620" s="101"/>
      <c r="H1620" s="101"/>
    </row>
    <row r="1621" spans="3:8">
      <c r="C1621" s="101"/>
      <c r="D1621" s="101"/>
      <c r="E1621" s="101"/>
      <c r="F1621" s="101"/>
      <c r="G1621" s="101"/>
      <c r="H1621" s="101"/>
    </row>
    <row r="1622" spans="3:8">
      <c r="C1622" s="101"/>
      <c r="D1622" s="101"/>
      <c r="E1622" s="101"/>
      <c r="F1622" s="101"/>
      <c r="G1622" s="101"/>
      <c r="H1622" s="101"/>
    </row>
    <row r="1623" spans="3:8">
      <c r="C1623" s="101"/>
      <c r="D1623" s="101"/>
      <c r="E1623" s="101"/>
      <c r="F1623" s="101"/>
      <c r="G1623" s="101"/>
      <c r="H1623" s="101"/>
    </row>
    <row r="1624" spans="3:8">
      <c r="C1624" s="101"/>
      <c r="D1624" s="101"/>
      <c r="E1624" s="101"/>
      <c r="F1624" s="101"/>
      <c r="G1624" s="101"/>
      <c r="H1624" s="101"/>
    </row>
    <row r="1625" spans="3:8">
      <c r="C1625" s="101"/>
      <c r="D1625" s="101"/>
      <c r="E1625" s="101"/>
      <c r="F1625" s="101"/>
      <c r="G1625" s="101"/>
      <c r="H1625" s="101"/>
    </row>
    <row r="1626" spans="3:8">
      <c r="C1626" s="101"/>
      <c r="D1626" s="101"/>
      <c r="E1626" s="101"/>
      <c r="F1626" s="101"/>
      <c r="G1626" s="101"/>
      <c r="H1626" s="101"/>
    </row>
    <row r="1627" spans="3:8">
      <c r="C1627" s="101"/>
      <c r="D1627" s="101"/>
      <c r="E1627" s="101"/>
      <c r="F1627" s="101"/>
      <c r="G1627" s="101"/>
      <c r="H1627" s="101"/>
    </row>
    <row r="1628" spans="3:8">
      <c r="C1628" s="101"/>
      <c r="D1628" s="101"/>
      <c r="E1628" s="101"/>
      <c r="F1628" s="101"/>
      <c r="G1628" s="101"/>
      <c r="H1628" s="101"/>
    </row>
    <row r="1629" spans="3:8">
      <c r="C1629" s="101"/>
      <c r="D1629" s="101"/>
      <c r="E1629" s="101"/>
      <c r="F1629" s="101"/>
      <c r="G1629" s="101"/>
      <c r="H1629" s="101"/>
    </row>
    <row r="1630" spans="3:8">
      <c r="C1630" s="101"/>
      <c r="D1630" s="101"/>
      <c r="E1630" s="101"/>
      <c r="F1630" s="101"/>
      <c r="G1630" s="101"/>
      <c r="H1630" s="101"/>
    </row>
    <row r="1631" spans="3:8">
      <c r="C1631" s="101"/>
      <c r="D1631" s="101"/>
      <c r="E1631" s="101"/>
      <c r="F1631" s="101"/>
      <c r="G1631" s="101"/>
      <c r="H1631" s="101"/>
    </row>
    <row r="1632" spans="3:8">
      <c r="C1632" s="101"/>
      <c r="D1632" s="101"/>
      <c r="E1632" s="101"/>
      <c r="F1632" s="101"/>
      <c r="G1632" s="101"/>
      <c r="H1632" s="101"/>
    </row>
    <row r="1633" spans="3:8">
      <c r="C1633" s="101"/>
      <c r="D1633" s="101"/>
      <c r="E1633" s="101"/>
      <c r="F1633" s="101"/>
      <c r="G1633" s="101"/>
      <c r="H1633" s="101"/>
    </row>
    <row r="1634" spans="3:8">
      <c r="C1634" s="101"/>
      <c r="D1634" s="101"/>
      <c r="E1634" s="101"/>
      <c r="F1634" s="101"/>
      <c r="G1634" s="101"/>
      <c r="H1634" s="101"/>
    </row>
    <row r="1635" spans="3:8">
      <c r="C1635" s="101"/>
      <c r="D1635" s="101"/>
      <c r="E1635" s="101"/>
      <c r="F1635" s="101"/>
      <c r="G1635" s="101"/>
      <c r="H1635" s="101"/>
    </row>
    <row r="1636" spans="3:8">
      <c r="C1636" s="101"/>
      <c r="D1636" s="101"/>
      <c r="E1636" s="101"/>
      <c r="F1636" s="101"/>
      <c r="G1636" s="101"/>
      <c r="H1636" s="101"/>
    </row>
    <row r="1637" spans="3:8">
      <c r="C1637" s="101"/>
      <c r="D1637" s="101"/>
      <c r="E1637" s="101"/>
      <c r="F1637" s="101"/>
      <c r="G1637" s="101"/>
      <c r="H1637" s="101"/>
    </row>
    <row r="1638" spans="3:8">
      <c r="C1638" s="101"/>
      <c r="D1638" s="101"/>
      <c r="E1638" s="101"/>
      <c r="F1638" s="101"/>
      <c r="G1638" s="101"/>
      <c r="H1638" s="101"/>
    </row>
    <row r="1639" spans="3:8">
      <c r="C1639" s="101"/>
      <c r="D1639" s="101"/>
      <c r="E1639" s="101"/>
      <c r="F1639" s="101"/>
      <c r="G1639" s="101"/>
      <c r="H1639" s="101"/>
    </row>
    <row r="1640" spans="3:8">
      <c r="C1640" s="101"/>
      <c r="D1640" s="101"/>
      <c r="E1640" s="101"/>
      <c r="F1640" s="101"/>
      <c r="G1640" s="101"/>
      <c r="H1640" s="101"/>
    </row>
    <row r="1641" spans="3:8">
      <c r="C1641" s="101"/>
      <c r="D1641" s="101"/>
      <c r="E1641" s="101"/>
      <c r="F1641" s="101"/>
      <c r="G1641" s="101"/>
      <c r="H1641" s="101"/>
    </row>
    <row r="1642" spans="3:8">
      <c r="C1642" s="101"/>
      <c r="D1642" s="101"/>
      <c r="E1642" s="101"/>
      <c r="F1642" s="101"/>
      <c r="G1642" s="101"/>
      <c r="H1642" s="101"/>
    </row>
    <row r="1643" spans="3:8">
      <c r="C1643" s="101"/>
      <c r="D1643" s="101"/>
      <c r="E1643" s="101"/>
      <c r="F1643" s="101"/>
      <c r="G1643" s="101"/>
      <c r="H1643" s="101"/>
    </row>
    <row r="1644" spans="3:8">
      <c r="C1644" s="101"/>
      <c r="D1644" s="101"/>
      <c r="E1644" s="101"/>
      <c r="F1644" s="101"/>
      <c r="G1644" s="101"/>
      <c r="H1644" s="101"/>
    </row>
    <row r="1645" spans="3:8">
      <c r="C1645" s="101"/>
      <c r="D1645" s="101"/>
      <c r="E1645" s="101"/>
      <c r="F1645" s="101"/>
      <c r="G1645" s="101"/>
      <c r="H1645" s="101"/>
    </row>
    <row r="1646" spans="3:8">
      <c r="C1646" s="101"/>
      <c r="D1646" s="101"/>
      <c r="E1646" s="101"/>
      <c r="F1646" s="101"/>
      <c r="G1646" s="101"/>
      <c r="H1646" s="101"/>
    </row>
    <row r="1647" spans="3:8">
      <c r="C1647" s="101"/>
      <c r="D1647" s="101"/>
      <c r="E1647" s="101"/>
      <c r="F1647" s="101"/>
      <c r="G1647" s="101"/>
      <c r="H1647" s="101"/>
    </row>
    <row r="1648" spans="3:8">
      <c r="C1648" s="101"/>
      <c r="D1648" s="101"/>
      <c r="E1648" s="101"/>
      <c r="F1648" s="101"/>
      <c r="G1648" s="101"/>
      <c r="H1648" s="101"/>
    </row>
    <row r="1649" spans="3:8">
      <c r="C1649" s="101"/>
      <c r="D1649" s="101"/>
      <c r="E1649" s="101"/>
      <c r="F1649" s="101"/>
      <c r="G1649" s="101"/>
      <c r="H1649" s="101"/>
    </row>
    <row r="1650" spans="3:8">
      <c r="C1650" s="101"/>
      <c r="D1650" s="101"/>
      <c r="E1650" s="101"/>
      <c r="F1650" s="101"/>
      <c r="G1650" s="101"/>
      <c r="H1650" s="101"/>
    </row>
    <row r="1651" spans="3:8">
      <c r="C1651" s="101"/>
      <c r="D1651" s="101"/>
      <c r="E1651" s="101"/>
      <c r="F1651" s="101"/>
      <c r="G1651" s="101"/>
      <c r="H1651" s="101"/>
    </row>
    <row r="1652" spans="3:8">
      <c r="C1652" s="101"/>
      <c r="D1652" s="101"/>
      <c r="E1652" s="101"/>
      <c r="F1652" s="101"/>
      <c r="G1652" s="101"/>
      <c r="H1652" s="101"/>
    </row>
    <row r="1653" spans="3:8">
      <c r="C1653" s="101"/>
      <c r="D1653" s="101"/>
      <c r="E1653" s="101"/>
      <c r="F1653" s="101"/>
      <c r="G1653" s="101"/>
      <c r="H1653" s="101"/>
    </row>
    <row r="1654" spans="3:8">
      <c r="C1654" s="101"/>
      <c r="D1654" s="101"/>
      <c r="E1654" s="101"/>
      <c r="F1654" s="101"/>
      <c r="G1654" s="101"/>
      <c r="H1654" s="101"/>
    </row>
    <row r="1655" spans="3:8">
      <c r="C1655" s="101"/>
      <c r="D1655" s="101"/>
      <c r="E1655" s="101"/>
      <c r="F1655" s="101"/>
      <c r="G1655" s="101"/>
      <c r="H1655" s="101"/>
    </row>
    <row r="1656" spans="3:8">
      <c r="C1656" s="101"/>
      <c r="D1656" s="101"/>
      <c r="E1656" s="101"/>
      <c r="F1656" s="101"/>
      <c r="G1656" s="101"/>
      <c r="H1656" s="101"/>
    </row>
    <row r="1657" spans="3:8">
      <c r="C1657" s="101"/>
      <c r="D1657" s="101"/>
      <c r="E1657" s="101"/>
      <c r="F1657" s="101"/>
      <c r="G1657" s="101"/>
      <c r="H1657" s="101"/>
    </row>
    <row r="1658" spans="3:8">
      <c r="C1658" s="101"/>
      <c r="D1658" s="101"/>
      <c r="E1658" s="101"/>
      <c r="F1658" s="101"/>
      <c r="G1658" s="101"/>
      <c r="H1658" s="101"/>
    </row>
    <row r="1659" spans="3:8">
      <c r="C1659" s="101"/>
      <c r="D1659" s="101"/>
      <c r="E1659" s="101"/>
      <c r="F1659" s="101"/>
      <c r="G1659" s="101"/>
      <c r="H1659" s="101"/>
    </row>
    <row r="1660" spans="3:8">
      <c r="C1660" s="101"/>
      <c r="D1660" s="101"/>
      <c r="E1660" s="101"/>
      <c r="F1660" s="101"/>
      <c r="G1660" s="101"/>
      <c r="H1660" s="101"/>
    </row>
    <row r="1661" spans="3:8">
      <c r="C1661" s="101"/>
      <c r="D1661" s="101"/>
      <c r="E1661" s="101"/>
      <c r="F1661" s="101"/>
      <c r="G1661" s="101"/>
      <c r="H1661" s="101"/>
    </row>
    <row r="1662" spans="3:8">
      <c r="C1662" s="101"/>
      <c r="D1662" s="101"/>
      <c r="E1662" s="101"/>
      <c r="F1662" s="101"/>
      <c r="G1662" s="101"/>
      <c r="H1662" s="101"/>
    </row>
    <row r="1663" spans="3:8">
      <c r="C1663" s="101"/>
      <c r="D1663" s="101"/>
      <c r="E1663" s="101"/>
      <c r="F1663" s="101"/>
      <c r="G1663" s="101"/>
      <c r="H1663" s="101"/>
    </row>
    <row r="1664" spans="3:8">
      <c r="C1664" s="101"/>
      <c r="D1664" s="101"/>
      <c r="E1664" s="101"/>
      <c r="F1664" s="101"/>
      <c r="G1664" s="101"/>
      <c r="H1664" s="101"/>
    </row>
    <row r="1665" spans="3:8">
      <c r="C1665" s="101"/>
      <c r="D1665" s="101"/>
      <c r="E1665" s="101"/>
      <c r="F1665" s="101"/>
      <c r="G1665" s="101"/>
      <c r="H1665" s="101"/>
    </row>
    <row r="1666" spans="3:8">
      <c r="C1666" s="101"/>
      <c r="D1666" s="101"/>
      <c r="E1666" s="101"/>
      <c r="F1666" s="101"/>
      <c r="G1666" s="101"/>
      <c r="H1666" s="101"/>
    </row>
    <row r="1667" spans="3:8">
      <c r="C1667" s="101"/>
      <c r="D1667" s="101"/>
      <c r="E1667" s="101"/>
      <c r="F1667" s="101"/>
      <c r="G1667" s="101"/>
      <c r="H1667" s="101"/>
    </row>
    <row r="1668" spans="3:8">
      <c r="C1668" s="101"/>
      <c r="D1668" s="101"/>
      <c r="E1668" s="101"/>
      <c r="F1668" s="101"/>
      <c r="G1668" s="101"/>
      <c r="H1668" s="101"/>
    </row>
    <row r="1669" spans="3:8">
      <c r="C1669" s="101"/>
      <c r="D1669" s="101"/>
      <c r="E1669" s="101"/>
      <c r="F1669" s="101"/>
      <c r="G1669" s="101"/>
      <c r="H1669" s="101"/>
    </row>
    <row r="1670" spans="3:8">
      <c r="C1670" s="101"/>
      <c r="D1670" s="101"/>
      <c r="E1670" s="101"/>
      <c r="F1670" s="101"/>
      <c r="G1670" s="101"/>
      <c r="H1670" s="101"/>
    </row>
    <row r="1671" spans="3:8">
      <c r="C1671" s="101"/>
      <c r="D1671" s="101"/>
      <c r="E1671" s="101"/>
      <c r="F1671" s="101"/>
      <c r="G1671" s="101"/>
      <c r="H1671" s="101"/>
    </row>
    <row r="1672" spans="3:8">
      <c r="C1672" s="101"/>
      <c r="D1672" s="101"/>
      <c r="E1672" s="101"/>
      <c r="F1672" s="101"/>
      <c r="G1672" s="101"/>
      <c r="H1672" s="101"/>
    </row>
    <row r="1673" spans="3:8">
      <c r="C1673" s="101"/>
      <c r="D1673" s="101"/>
      <c r="E1673" s="101"/>
      <c r="F1673" s="101"/>
      <c r="G1673" s="101"/>
      <c r="H1673" s="101"/>
    </row>
    <row r="1674" spans="3:8">
      <c r="C1674" s="101"/>
      <c r="D1674" s="101"/>
      <c r="E1674" s="101"/>
      <c r="F1674" s="101"/>
      <c r="G1674" s="101"/>
      <c r="H1674" s="101"/>
    </row>
    <row r="1675" spans="3:8">
      <c r="C1675" s="101"/>
      <c r="D1675" s="101"/>
      <c r="E1675" s="101"/>
      <c r="F1675" s="101"/>
      <c r="G1675" s="101"/>
      <c r="H1675" s="101"/>
    </row>
    <row r="1676" spans="3:8">
      <c r="C1676" s="101"/>
      <c r="D1676" s="101"/>
      <c r="E1676" s="101"/>
      <c r="F1676" s="101"/>
      <c r="G1676" s="101"/>
      <c r="H1676" s="101"/>
    </row>
    <row r="1677" spans="3:8">
      <c r="C1677" s="101"/>
      <c r="D1677" s="101"/>
      <c r="E1677" s="101"/>
      <c r="F1677" s="101"/>
      <c r="G1677" s="101"/>
      <c r="H1677" s="101"/>
    </row>
    <row r="1678" spans="3:8">
      <c r="C1678" s="101"/>
      <c r="D1678" s="101"/>
      <c r="E1678" s="101"/>
      <c r="F1678" s="101"/>
      <c r="G1678" s="101"/>
      <c r="H1678" s="101"/>
    </row>
    <row r="1679" spans="3:8">
      <c r="C1679" s="101"/>
      <c r="D1679" s="101"/>
      <c r="E1679" s="101"/>
      <c r="F1679" s="101"/>
      <c r="G1679" s="101"/>
      <c r="H1679" s="101"/>
    </row>
    <row r="1680" spans="3:8">
      <c r="C1680" s="101"/>
      <c r="D1680" s="101"/>
      <c r="E1680" s="101"/>
      <c r="F1680" s="101"/>
      <c r="G1680" s="101"/>
      <c r="H1680" s="101"/>
    </row>
    <row r="1681" spans="3:8">
      <c r="C1681" s="101"/>
      <c r="D1681" s="101"/>
      <c r="E1681" s="101"/>
      <c r="F1681" s="101"/>
      <c r="G1681" s="101"/>
      <c r="H1681" s="101"/>
    </row>
    <row r="1682" spans="3:8">
      <c r="C1682" s="101"/>
      <c r="D1682" s="101"/>
      <c r="E1682" s="101"/>
      <c r="F1682" s="101"/>
      <c r="G1682" s="101"/>
      <c r="H1682" s="101"/>
    </row>
    <row r="1683" spans="3:8">
      <c r="C1683" s="101"/>
      <c r="D1683" s="101"/>
      <c r="E1683" s="101"/>
      <c r="F1683" s="101"/>
      <c r="G1683" s="101"/>
      <c r="H1683" s="101"/>
    </row>
    <row r="1684" spans="3:8">
      <c r="C1684" s="101"/>
      <c r="D1684" s="101"/>
      <c r="E1684" s="101"/>
      <c r="F1684" s="101"/>
      <c r="G1684" s="101"/>
      <c r="H1684" s="101"/>
    </row>
    <row r="1685" spans="3:8">
      <c r="C1685" s="101"/>
      <c r="D1685" s="101"/>
      <c r="E1685" s="101"/>
      <c r="F1685" s="101"/>
      <c r="G1685" s="101"/>
      <c r="H1685" s="101"/>
    </row>
    <row r="1686" spans="3:8">
      <c r="C1686" s="101"/>
      <c r="D1686" s="101"/>
      <c r="E1686" s="101"/>
      <c r="F1686" s="101"/>
      <c r="G1686" s="101"/>
      <c r="H1686" s="101"/>
    </row>
    <row r="1687" spans="3:8">
      <c r="C1687" s="101"/>
      <c r="D1687" s="101"/>
      <c r="E1687" s="101"/>
      <c r="F1687" s="101"/>
      <c r="G1687" s="101"/>
      <c r="H1687" s="101"/>
    </row>
    <row r="1688" spans="3:8">
      <c r="C1688" s="101"/>
      <c r="D1688" s="101"/>
      <c r="E1688" s="101"/>
      <c r="F1688" s="101"/>
      <c r="G1688" s="101"/>
      <c r="H1688" s="101"/>
    </row>
    <row r="1689" spans="3:8">
      <c r="C1689" s="101"/>
      <c r="D1689" s="101"/>
      <c r="E1689" s="101"/>
      <c r="F1689" s="101"/>
      <c r="G1689" s="101"/>
      <c r="H1689" s="101"/>
    </row>
    <row r="1690" spans="3:8">
      <c r="C1690" s="101"/>
      <c r="D1690" s="101"/>
      <c r="E1690" s="101"/>
      <c r="F1690" s="101"/>
      <c r="G1690" s="101"/>
      <c r="H1690" s="101"/>
    </row>
    <row r="1691" spans="3:8">
      <c r="C1691" s="101"/>
      <c r="D1691" s="101"/>
      <c r="E1691" s="101"/>
      <c r="F1691" s="101"/>
      <c r="G1691" s="101"/>
      <c r="H1691" s="101"/>
    </row>
    <row r="1692" spans="3:8">
      <c r="C1692" s="101"/>
      <c r="D1692" s="101"/>
      <c r="E1692" s="101"/>
      <c r="F1692" s="101"/>
      <c r="G1692" s="101"/>
      <c r="H1692" s="101"/>
    </row>
    <row r="1693" spans="3:8">
      <c r="C1693" s="101"/>
      <c r="D1693" s="101"/>
      <c r="E1693" s="101"/>
      <c r="F1693" s="101"/>
      <c r="G1693" s="101"/>
      <c r="H1693" s="101"/>
    </row>
    <row r="1694" spans="3:8">
      <c r="C1694" s="101"/>
      <c r="D1694" s="101"/>
      <c r="E1694" s="101"/>
      <c r="F1694" s="101"/>
      <c r="G1694" s="101"/>
      <c r="H1694" s="101"/>
    </row>
    <row r="1695" spans="3:8">
      <c r="C1695" s="101"/>
      <c r="D1695" s="101"/>
      <c r="E1695" s="101"/>
      <c r="F1695" s="101"/>
      <c r="G1695" s="101"/>
      <c r="H1695" s="101"/>
    </row>
    <row r="1696" spans="3:8">
      <c r="C1696" s="101"/>
      <c r="D1696" s="101"/>
      <c r="E1696" s="101"/>
      <c r="F1696" s="101"/>
      <c r="G1696" s="101"/>
      <c r="H1696" s="101"/>
    </row>
    <row r="1697" spans="3:8">
      <c r="C1697" s="101"/>
      <c r="D1697" s="101"/>
      <c r="E1697" s="101"/>
      <c r="F1697" s="101"/>
      <c r="G1697" s="101"/>
      <c r="H1697" s="101"/>
    </row>
    <row r="1698" spans="3:8">
      <c r="C1698" s="101"/>
      <c r="D1698" s="101"/>
      <c r="E1698" s="101"/>
      <c r="F1698" s="101"/>
      <c r="G1698" s="101"/>
      <c r="H1698" s="101"/>
    </row>
    <row r="1699" spans="3:8">
      <c r="C1699" s="101"/>
      <c r="D1699" s="101"/>
      <c r="E1699" s="101"/>
      <c r="F1699" s="101"/>
      <c r="G1699" s="101"/>
      <c r="H1699" s="101"/>
    </row>
    <row r="1700" spans="3:8">
      <c r="C1700" s="101"/>
      <c r="D1700" s="101"/>
      <c r="E1700" s="101"/>
      <c r="F1700" s="101"/>
      <c r="G1700" s="101"/>
      <c r="H1700" s="101"/>
    </row>
    <row r="1701" spans="3:8">
      <c r="C1701" s="101"/>
      <c r="D1701" s="101"/>
      <c r="E1701" s="101"/>
      <c r="F1701" s="101"/>
      <c r="G1701" s="101"/>
      <c r="H1701" s="101"/>
    </row>
    <row r="1702" spans="3:8">
      <c r="C1702" s="101"/>
      <c r="D1702" s="101"/>
      <c r="E1702" s="101"/>
      <c r="F1702" s="101"/>
      <c r="G1702" s="101"/>
      <c r="H1702" s="101"/>
    </row>
    <row r="1703" spans="3:8">
      <c r="C1703" s="101"/>
      <c r="D1703" s="101"/>
      <c r="E1703" s="101"/>
      <c r="F1703" s="101"/>
      <c r="G1703" s="101"/>
      <c r="H1703" s="101"/>
    </row>
    <row r="1704" spans="3:8">
      <c r="C1704" s="101"/>
      <c r="D1704" s="101"/>
      <c r="E1704" s="101"/>
      <c r="F1704" s="101"/>
      <c r="G1704" s="101"/>
      <c r="H1704" s="101"/>
    </row>
    <row r="1705" spans="3:8">
      <c r="C1705" s="101"/>
      <c r="D1705" s="101"/>
      <c r="E1705" s="101"/>
      <c r="F1705" s="101"/>
      <c r="G1705" s="101"/>
      <c r="H1705" s="101"/>
    </row>
    <row r="1706" spans="3:8">
      <c r="C1706" s="101"/>
      <c r="D1706" s="101"/>
      <c r="E1706" s="101"/>
      <c r="F1706" s="101"/>
      <c r="G1706" s="101"/>
      <c r="H1706" s="101"/>
    </row>
    <row r="1707" spans="3:8">
      <c r="C1707" s="101"/>
      <c r="D1707" s="101"/>
      <c r="E1707" s="101"/>
      <c r="F1707" s="101"/>
      <c r="G1707" s="101"/>
      <c r="H1707" s="101"/>
    </row>
    <row r="1708" spans="3:8">
      <c r="C1708" s="101"/>
      <c r="D1708" s="101"/>
      <c r="E1708" s="101"/>
      <c r="F1708" s="101"/>
      <c r="G1708" s="101"/>
      <c r="H1708" s="101"/>
    </row>
    <row r="1709" spans="3:8">
      <c r="C1709" s="101"/>
      <c r="D1709" s="101"/>
      <c r="E1709" s="101"/>
      <c r="F1709" s="101"/>
      <c r="G1709" s="101"/>
      <c r="H1709" s="101"/>
    </row>
    <row r="1710" spans="3:8">
      <c r="C1710" s="101"/>
      <c r="D1710" s="101"/>
      <c r="E1710" s="101"/>
      <c r="F1710" s="101"/>
      <c r="G1710" s="101"/>
      <c r="H1710" s="101"/>
    </row>
    <row r="1711" spans="3:8">
      <c r="C1711" s="101"/>
      <c r="D1711" s="101"/>
      <c r="E1711" s="101"/>
      <c r="F1711" s="101"/>
      <c r="G1711" s="101"/>
      <c r="H1711" s="101"/>
    </row>
    <row r="1712" spans="3:8">
      <c r="C1712" s="101"/>
      <c r="D1712" s="101"/>
      <c r="E1712" s="101"/>
      <c r="F1712" s="101"/>
      <c r="G1712" s="101"/>
      <c r="H1712" s="101"/>
    </row>
    <row r="1713" spans="3:8">
      <c r="C1713" s="101"/>
      <c r="D1713" s="101"/>
      <c r="E1713" s="101"/>
      <c r="F1713" s="101"/>
      <c r="G1713" s="101"/>
      <c r="H1713" s="101"/>
    </row>
    <row r="1714" spans="3:8">
      <c r="C1714" s="101"/>
      <c r="D1714" s="101"/>
      <c r="E1714" s="101"/>
      <c r="F1714" s="101"/>
      <c r="G1714" s="101"/>
      <c r="H1714" s="101"/>
    </row>
    <row r="1715" spans="3:8">
      <c r="C1715" s="101"/>
      <c r="D1715" s="101"/>
      <c r="E1715" s="101"/>
      <c r="F1715" s="101"/>
      <c r="G1715" s="101"/>
      <c r="H1715" s="101"/>
    </row>
    <row r="1716" spans="3:8">
      <c r="C1716" s="101"/>
      <c r="D1716" s="101"/>
      <c r="E1716" s="101"/>
      <c r="F1716" s="101"/>
      <c r="G1716" s="101"/>
      <c r="H1716" s="101"/>
    </row>
    <row r="1717" spans="3:8">
      <c r="C1717" s="101"/>
      <c r="D1717" s="101"/>
      <c r="E1717" s="101"/>
      <c r="F1717" s="101"/>
      <c r="G1717" s="101"/>
      <c r="H1717" s="101"/>
    </row>
    <row r="1718" spans="3:8">
      <c r="C1718" s="101"/>
      <c r="D1718" s="101"/>
      <c r="E1718" s="101"/>
      <c r="F1718" s="101"/>
      <c r="G1718" s="101"/>
      <c r="H1718" s="101"/>
    </row>
    <row r="1719" spans="3:8">
      <c r="C1719" s="101"/>
      <c r="D1719" s="101"/>
      <c r="E1719" s="101"/>
      <c r="F1719" s="101"/>
      <c r="G1719" s="101"/>
      <c r="H1719" s="101"/>
    </row>
    <row r="1720" spans="3:8">
      <c r="C1720" s="101"/>
      <c r="D1720" s="101"/>
      <c r="E1720" s="101"/>
      <c r="F1720" s="101"/>
      <c r="G1720" s="101"/>
      <c r="H1720" s="101"/>
    </row>
    <row r="1721" spans="3:8">
      <c r="C1721" s="101"/>
      <c r="D1721" s="101"/>
      <c r="E1721" s="101"/>
      <c r="F1721" s="101"/>
      <c r="G1721" s="101"/>
      <c r="H1721" s="101"/>
    </row>
    <row r="1722" spans="3:8">
      <c r="C1722" s="101"/>
      <c r="D1722" s="101"/>
      <c r="E1722" s="101"/>
      <c r="F1722" s="101"/>
      <c r="G1722" s="101"/>
      <c r="H1722" s="101"/>
    </row>
    <row r="1723" spans="3:8">
      <c r="C1723" s="101"/>
      <c r="D1723" s="101"/>
      <c r="E1723" s="101"/>
      <c r="F1723" s="101"/>
      <c r="G1723" s="101"/>
      <c r="H1723" s="101"/>
    </row>
    <row r="1724" spans="3:8">
      <c r="C1724" s="101"/>
      <c r="D1724" s="101"/>
      <c r="E1724" s="101"/>
      <c r="F1724" s="101"/>
      <c r="G1724" s="101"/>
      <c r="H1724" s="101"/>
    </row>
    <row r="1725" spans="3:8">
      <c r="C1725" s="101"/>
      <c r="D1725" s="101"/>
      <c r="E1725" s="101"/>
      <c r="F1725" s="101"/>
      <c r="G1725" s="101"/>
      <c r="H1725" s="101"/>
    </row>
    <row r="1726" spans="3:8">
      <c r="C1726" s="101"/>
      <c r="D1726" s="101"/>
      <c r="E1726" s="101"/>
      <c r="F1726" s="101"/>
      <c r="G1726" s="101"/>
      <c r="H1726" s="101"/>
    </row>
    <row r="1727" spans="3:8">
      <c r="C1727" s="101"/>
      <c r="D1727" s="101"/>
      <c r="E1727" s="101"/>
      <c r="F1727" s="101"/>
      <c r="G1727" s="101"/>
      <c r="H1727" s="101"/>
    </row>
    <row r="1728" spans="3:8">
      <c r="C1728" s="101"/>
      <c r="D1728" s="101"/>
      <c r="E1728" s="101"/>
      <c r="F1728" s="101"/>
      <c r="G1728" s="101"/>
      <c r="H1728" s="101"/>
    </row>
    <row r="1729" spans="3:8">
      <c r="C1729" s="101"/>
      <c r="D1729" s="101"/>
      <c r="E1729" s="101"/>
      <c r="F1729" s="101"/>
      <c r="G1729" s="101"/>
      <c r="H1729" s="101"/>
    </row>
    <row r="1730" spans="3:8">
      <c r="C1730" s="101"/>
      <c r="D1730" s="101"/>
      <c r="E1730" s="101"/>
      <c r="F1730" s="101"/>
      <c r="G1730" s="101"/>
      <c r="H1730" s="101"/>
    </row>
    <row r="1731" spans="3:8">
      <c r="C1731" s="101"/>
      <c r="D1731" s="101"/>
      <c r="E1731" s="101"/>
      <c r="F1731" s="101"/>
      <c r="G1731" s="101"/>
      <c r="H1731" s="101"/>
    </row>
    <row r="1732" spans="3:8">
      <c r="C1732" s="101"/>
      <c r="D1732" s="101"/>
      <c r="E1732" s="101"/>
      <c r="F1732" s="101"/>
      <c r="G1732" s="101"/>
      <c r="H1732" s="101"/>
    </row>
    <row r="1733" spans="3:8">
      <c r="C1733" s="101"/>
      <c r="D1733" s="101"/>
      <c r="E1733" s="101"/>
      <c r="F1733" s="101"/>
      <c r="G1733" s="101"/>
      <c r="H1733" s="101"/>
    </row>
    <row r="1734" spans="3:8">
      <c r="C1734" s="101"/>
      <c r="D1734" s="101"/>
      <c r="E1734" s="101"/>
      <c r="F1734" s="101"/>
      <c r="G1734" s="101"/>
      <c r="H1734" s="101"/>
    </row>
    <row r="1735" spans="3:8">
      <c r="C1735" s="101"/>
      <c r="D1735" s="101"/>
      <c r="E1735" s="101"/>
      <c r="F1735" s="101"/>
      <c r="G1735" s="101"/>
      <c r="H1735" s="101"/>
    </row>
    <row r="1736" spans="3:8">
      <c r="C1736" s="101"/>
      <c r="D1736" s="101"/>
      <c r="E1736" s="101"/>
      <c r="F1736" s="101"/>
      <c r="G1736" s="101"/>
      <c r="H1736" s="101"/>
    </row>
    <row r="1737" spans="3:8">
      <c r="C1737" s="101"/>
      <c r="D1737" s="101"/>
      <c r="E1737" s="101"/>
      <c r="F1737" s="101"/>
      <c r="G1737" s="101"/>
      <c r="H1737" s="101"/>
    </row>
    <row r="1738" spans="3:8">
      <c r="C1738" s="101"/>
      <c r="D1738" s="101"/>
      <c r="E1738" s="101"/>
      <c r="F1738" s="101"/>
      <c r="G1738" s="101"/>
      <c r="H1738" s="101"/>
    </row>
    <row r="1739" spans="3:8">
      <c r="C1739" s="101"/>
      <c r="D1739" s="101"/>
    </row>
    <row r="1740" spans="3:8">
      <c r="C1740" s="101"/>
      <c r="D1740" s="101"/>
    </row>
    <row r="1741" spans="3:8">
      <c r="C1741" s="101"/>
      <c r="D1741" s="101"/>
    </row>
    <row r="1742" spans="3:8">
      <c r="C1742" s="101"/>
      <c r="D1742" s="101"/>
    </row>
    <row r="1743" spans="3:8">
      <c r="C1743" s="101"/>
      <c r="D1743" s="101"/>
    </row>
    <row r="1744" spans="3:8">
      <c r="C1744" s="101"/>
      <c r="D1744" s="101"/>
    </row>
    <row r="1745" spans="3:4">
      <c r="C1745" s="101"/>
      <c r="D1745" s="101"/>
    </row>
    <row r="1746" spans="3:4">
      <c r="C1746" s="101"/>
      <c r="D1746" s="101"/>
    </row>
    <row r="1747" spans="3:4">
      <c r="C1747" s="101"/>
      <c r="D1747" s="101"/>
    </row>
    <row r="1748" spans="3:4">
      <c r="C1748" s="101"/>
      <c r="D1748" s="101"/>
    </row>
    <row r="1749" spans="3:4">
      <c r="C1749" s="101"/>
      <c r="D1749" s="101"/>
    </row>
    <row r="1750" spans="3:4">
      <c r="C1750" s="101"/>
      <c r="D1750" s="101"/>
    </row>
    <row r="1751" spans="3:4">
      <c r="C1751" s="101"/>
      <c r="D1751" s="101"/>
    </row>
    <row r="1752" spans="3:4">
      <c r="C1752" s="101"/>
      <c r="D1752" s="101"/>
    </row>
    <row r="1753" spans="3:4">
      <c r="C1753" s="101"/>
      <c r="D1753" s="101"/>
    </row>
    <row r="1754" spans="3:4">
      <c r="C1754" s="101"/>
      <c r="D1754" s="101"/>
    </row>
    <row r="1755" spans="3:4">
      <c r="C1755" s="101"/>
      <c r="D1755" s="101"/>
    </row>
    <row r="1756" spans="3:4">
      <c r="C1756" s="101"/>
      <c r="D1756" s="101"/>
    </row>
    <row r="1757" spans="3:4">
      <c r="C1757" s="101"/>
      <c r="D1757" s="101"/>
    </row>
    <row r="1758" spans="3:4">
      <c r="C1758" s="101"/>
      <c r="D1758" s="101"/>
    </row>
    <row r="1759" spans="3:4">
      <c r="C1759" s="101"/>
      <c r="D1759" s="101"/>
    </row>
    <row r="1760" spans="3:4">
      <c r="C1760" s="101"/>
      <c r="D1760" s="101"/>
    </row>
    <row r="1761" spans="3:4">
      <c r="C1761" s="101"/>
      <c r="D1761" s="101"/>
    </row>
    <row r="1762" spans="3:4">
      <c r="C1762" s="101"/>
      <c r="D1762" s="101"/>
    </row>
    <row r="1763" spans="3:4">
      <c r="C1763" s="101"/>
      <c r="D1763" s="101"/>
    </row>
    <row r="1764" spans="3:4">
      <c r="C1764" s="101"/>
      <c r="D1764" s="101"/>
    </row>
    <row r="1765" spans="3:4">
      <c r="C1765" s="101"/>
      <c r="D1765" s="101"/>
    </row>
    <row r="1766" spans="3:4">
      <c r="C1766" s="101"/>
      <c r="D1766" s="101"/>
    </row>
    <row r="1767" spans="3:4">
      <c r="C1767" s="101"/>
      <c r="D1767" s="101"/>
    </row>
    <row r="1768" spans="3:4">
      <c r="C1768" s="101"/>
      <c r="D1768" s="101"/>
    </row>
    <row r="1769" spans="3:4">
      <c r="C1769" s="101"/>
      <c r="D1769" s="101"/>
    </row>
    <row r="1770" spans="3:4">
      <c r="C1770" s="101"/>
      <c r="D1770" s="101"/>
    </row>
    <row r="1771" spans="3:4">
      <c r="C1771" s="101"/>
      <c r="D1771" s="101"/>
    </row>
    <row r="1772" spans="3:4">
      <c r="C1772" s="101"/>
      <c r="D1772" s="101"/>
    </row>
    <row r="1773" spans="3:4">
      <c r="C1773" s="101"/>
      <c r="D1773" s="101"/>
    </row>
    <row r="1774" spans="3:4">
      <c r="C1774" s="101"/>
      <c r="D1774" s="101"/>
    </row>
    <row r="1775" spans="3:4">
      <c r="C1775" s="101"/>
      <c r="D1775" s="101"/>
    </row>
    <row r="1776" spans="3:4">
      <c r="C1776" s="101"/>
      <c r="D1776" s="101"/>
    </row>
    <row r="1777" spans="3:4">
      <c r="C1777" s="101"/>
      <c r="D1777" s="101"/>
    </row>
    <row r="1778" spans="3:4">
      <c r="C1778" s="101"/>
      <c r="D1778" s="101"/>
    </row>
    <row r="1779" spans="3:4">
      <c r="C1779" s="101"/>
      <c r="D1779" s="101"/>
    </row>
    <row r="1780" spans="3:4">
      <c r="C1780" s="101"/>
      <c r="D1780" s="101"/>
    </row>
    <row r="1781" spans="3:4">
      <c r="C1781" s="101"/>
      <c r="D1781" s="101"/>
    </row>
    <row r="1782" spans="3:4">
      <c r="C1782" s="101"/>
      <c r="D1782" s="101"/>
    </row>
    <row r="1783" spans="3:4">
      <c r="C1783" s="101"/>
      <c r="D1783" s="101"/>
    </row>
    <row r="1784" spans="3:4">
      <c r="C1784" s="101"/>
      <c r="D1784" s="101"/>
    </row>
    <row r="1785" spans="3:4">
      <c r="C1785" s="101"/>
      <c r="D1785" s="101"/>
    </row>
    <row r="1786" spans="3:4">
      <c r="C1786" s="101"/>
      <c r="D1786" s="101"/>
    </row>
    <row r="1787" spans="3:4">
      <c r="C1787" s="101"/>
      <c r="D1787" s="101"/>
    </row>
    <row r="1788" spans="3:4">
      <c r="C1788" s="101"/>
      <c r="D1788" s="101"/>
    </row>
    <row r="1789" spans="3:4">
      <c r="C1789" s="101"/>
      <c r="D1789" s="101"/>
    </row>
    <row r="1790" spans="3:4">
      <c r="C1790" s="101"/>
      <c r="D1790" s="101"/>
    </row>
    <row r="1791" spans="3:4">
      <c r="C1791" s="101"/>
      <c r="D1791" s="101"/>
    </row>
    <row r="1792" spans="3:4">
      <c r="C1792" s="101"/>
      <c r="D1792" s="101"/>
    </row>
    <row r="1793" spans="3:4">
      <c r="C1793" s="101"/>
      <c r="D1793" s="101"/>
    </row>
    <row r="1794" spans="3:4">
      <c r="C1794" s="101"/>
      <c r="D1794" s="101"/>
    </row>
    <row r="1795" spans="3:4">
      <c r="C1795" s="101"/>
      <c r="D1795" s="101"/>
    </row>
    <row r="1796" spans="3:4">
      <c r="C1796" s="101"/>
      <c r="D1796" s="101"/>
    </row>
    <row r="1797" spans="3:4">
      <c r="C1797" s="101"/>
      <c r="D1797" s="101"/>
    </row>
    <row r="1798" spans="3:4">
      <c r="C1798" s="101"/>
      <c r="D1798" s="101"/>
    </row>
    <row r="1799" spans="3:4">
      <c r="C1799" s="101"/>
      <c r="D1799" s="101"/>
    </row>
    <row r="1800" spans="3:4">
      <c r="C1800" s="101"/>
      <c r="D1800" s="101"/>
    </row>
    <row r="1801" spans="3:4">
      <c r="C1801" s="101"/>
      <c r="D1801" s="101"/>
    </row>
    <row r="1802" spans="3:4">
      <c r="C1802" s="101"/>
      <c r="D1802" s="101"/>
    </row>
    <row r="1803" spans="3:4">
      <c r="C1803" s="101"/>
      <c r="D1803" s="101"/>
    </row>
    <row r="1804" spans="3:4">
      <c r="C1804" s="101"/>
      <c r="D1804" s="101"/>
    </row>
    <row r="1805" spans="3:4">
      <c r="C1805" s="101"/>
      <c r="D1805" s="101"/>
    </row>
    <row r="1806" spans="3:4">
      <c r="C1806" s="101"/>
      <c r="D1806" s="101"/>
    </row>
    <row r="1807" spans="3:4">
      <c r="C1807" s="101"/>
      <c r="D1807" s="101"/>
    </row>
    <row r="1808" spans="3:4">
      <c r="C1808" s="101"/>
      <c r="D1808" s="101"/>
    </row>
    <row r="1809" spans="3:4">
      <c r="C1809" s="101"/>
      <c r="D1809" s="101"/>
    </row>
    <row r="1810" spans="3:4">
      <c r="C1810" s="101"/>
      <c r="D1810" s="101"/>
    </row>
    <row r="1811" spans="3:4">
      <c r="C1811" s="101"/>
      <c r="D1811" s="101"/>
    </row>
    <row r="1812" spans="3:4">
      <c r="C1812" s="101"/>
      <c r="D1812" s="101"/>
    </row>
    <row r="1813" spans="3:4">
      <c r="C1813" s="101"/>
      <c r="D1813" s="101"/>
    </row>
    <row r="1814" spans="3:4">
      <c r="C1814" s="101"/>
      <c r="D1814" s="101"/>
    </row>
    <row r="1815" spans="3:4">
      <c r="C1815" s="101"/>
      <c r="D1815" s="101"/>
    </row>
    <row r="1816" spans="3:4">
      <c r="C1816" s="101"/>
      <c r="D1816" s="101"/>
    </row>
    <row r="1817" spans="3:4">
      <c r="C1817" s="101"/>
      <c r="D1817" s="101"/>
    </row>
    <row r="1818" spans="3:4">
      <c r="C1818" s="101"/>
      <c r="D1818" s="101"/>
    </row>
    <row r="1819" spans="3:4">
      <c r="C1819" s="101"/>
      <c r="D1819" s="101"/>
    </row>
    <row r="1820" spans="3:4">
      <c r="C1820" s="101"/>
      <c r="D1820" s="101"/>
    </row>
    <row r="1821" spans="3:4">
      <c r="C1821" s="101"/>
      <c r="D1821" s="101"/>
    </row>
    <row r="1822" spans="3:4">
      <c r="C1822" s="101"/>
      <c r="D1822" s="101"/>
    </row>
    <row r="1823" spans="3:4">
      <c r="C1823" s="101"/>
      <c r="D1823" s="101"/>
    </row>
    <row r="1824" spans="3:4">
      <c r="C1824" s="101"/>
      <c r="D1824" s="101"/>
    </row>
    <row r="1825" spans="3:4">
      <c r="C1825" s="101"/>
      <c r="D1825" s="101"/>
    </row>
    <row r="1826" spans="3:4">
      <c r="C1826" s="101"/>
      <c r="D1826" s="101"/>
    </row>
    <row r="1827" spans="3:4">
      <c r="C1827" s="101"/>
      <c r="D1827" s="101"/>
    </row>
    <row r="1828" spans="3:4">
      <c r="C1828" s="101"/>
      <c r="D1828" s="101"/>
    </row>
    <row r="1829" spans="3:4">
      <c r="C1829" s="101"/>
      <c r="D1829" s="101"/>
    </row>
    <row r="1830" spans="3:4">
      <c r="C1830" s="101"/>
      <c r="D1830" s="101"/>
    </row>
    <row r="1831" spans="3:4">
      <c r="C1831" s="101"/>
      <c r="D1831" s="101"/>
    </row>
    <row r="1832" spans="3:4">
      <c r="C1832" s="101"/>
      <c r="D1832" s="101"/>
    </row>
    <row r="1833" spans="3:4">
      <c r="C1833" s="101"/>
      <c r="D1833" s="101"/>
    </row>
    <row r="1834" spans="3:4">
      <c r="C1834" s="101"/>
      <c r="D1834" s="101"/>
    </row>
    <row r="1835" spans="3:4">
      <c r="C1835" s="101"/>
      <c r="D1835" s="101"/>
    </row>
    <row r="1836" spans="3:4">
      <c r="C1836" s="101"/>
      <c r="D1836" s="101"/>
    </row>
    <row r="1837" spans="3:4">
      <c r="C1837" s="101"/>
      <c r="D1837" s="101"/>
    </row>
    <row r="1838" spans="3:4">
      <c r="C1838" s="101"/>
      <c r="D1838" s="101"/>
    </row>
    <row r="1839" spans="3:4">
      <c r="C1839" s="101"/>
      <c r="D1839" s="101"/>
    </row>
    <row r="1840" spans="3:4">
      <c r="C1840" s="101"/>
      <c r="D1840" s="101"/>
    </row>
    <row r="1841" spans="3:4">
      <c r="C1841" s="101"/>
      <c r="D1841" s="101"/>
    </row>
    <row r="1842" spans="3:4">
      <c r="C1842" s="101"/>
      <c r="D1842" s="101"/>
    </row>
    <row r="1843" spans="3:4">
      <c r="C1843" s="101"/>
      <c r="D1843" s="101"/>
    </row>
    <row r="1844" spans="3:4">
      <c r="C1844" s="101"/>
      <c r="D1844" s="101"/>
    </row>
    <row r="1845" spans="3:4">
      <c r="C1845" s="101"/>
      <c r="D1845" s="101"/>
    </row>
    <row r="1846" spans="3:4">
      <c r="C1846" s="101"/>
      <c r="D1846" s="101"/>
    </row>
    <row r="1847" spans="3:4">
      <c r="C1847" s="101"/>
      <c r="D1847" s="101"/>
    </row>
    <row r="1848" spans="3:4">
      <c r="C1848" s="101"/>
      <c r="D1848" s="101"/>
    </row>
    <row r="1849" spans="3:4">
      <c r="C1849" s="101"/>
      <c r="D1849" s="101"/>
    </row>
    <row r="1850" spans="3:4">
      <c r="C1850" s="101"/>
      <c r="D1850" s="101"/>
    </row>
    <row r="1851" spans="3:4">
      <c r="C1851" s="101"/>
      <c r="D1851" s="101"/>
    </row>
    <row r="1852" spans="3:4">
      <c r="C1852" s="101"/>
      <c r="D1852" s="101"/>
    </row>
    <row r="1853" spans="3:4">
      <c r="C1853" s="101"/>
      <c r="D1853" s="101"/>
    </row>
    <row r="1854" spans="3:4">
      <c r="C1854" s="101"/>
      <c r="D1854" s="101"/>
    </row>
    <row r="1855" spans="3:4">
      <c r="C1855" s="101"/>
      <c r="D1855" s="101"/>
    </row>
    <row r="1856" spans="3:4">
      <c r="C1856" s="101"/>
      <c r="D1856" s="101"/>
    </row>
    <row r="1857" spans="3:4">
      <c r="C1857" s="101"/>
      <c r="D1857" s="101"/>
    </row>
    <row r="1858" spans="3:4">
      <c r="C1858" s="101"/>
      <c r="D1858" s="101"/>
    </row>
    <row r="1859" spans="3:4">
      <c r="C1859" s="101"/>
      <c r="D1859" s="101"/>
    </row>
    <row r="1860" spans="3:4">
      <c r="C1860" s="101"/>
      <c r="D1860" s="101"/>
    </row>
    <row r="1861" spans="3:4">
      <c r="C1861" s="101"/>
      <c r="D1861" s="101"/>
    </row>
    <row r="1862" spans="3:4">
      <c r="C1862" s="101"/>
      <c r="D1862" s="101"/>
    </row>
    <row r="1863" spans="3:4">
      <c r="C1863" s="101"/>
      <c r="D1863" s="101"/>
    </row>
    <row r="1864" spans="3:4">
      <c r="C1864" s="101"/>
      <c r="D1864" s="101"/>
    </row>
    <row r="1865" spans="3:4">
      <c r="C1865" s="101"/>
      <c r="D1865" s="101"/>
    </row>
    <row r="1866" spans="3:4">
      <c r="C1866" s="101"/>
      <c r="D1866" s="101"/>
    </row>
    <row r="1867" spans="3:4">
      <c r="C1867" s="101"/>
      <c r="D1867" s="101"/>
    </row>
    <row r="1868" spans="3:4">
      <c r="C1868" s="101"/>
      <c r="D1868" s="101"/>
    </row>
    <row r="1869" spans="3:4">
      <c r="C1869" s="101"/>
      <c r="D1869" s="101"/>
    </row>
    <row r="1870" spans="3:4">
      <c r="C1870" s="101"/>
      <c r="D1870" s="101"/>
    </row>
    <row r="1871" spans="3:4">
      <c r="C1871" s="101"/>
      <c r="D1871" s="101"/>
    </row>
    <row r="1872" spans="3:4">
      <c r="C1872" s="101"/>
      <c r="D1872" s="101"/>
    </row>
    <row r="1873" spans="3:4">
      <c r="C1873" s="101"/>
      <c r="D1873" s="101"/>
    </row>
    <row r="1874" spans="3:4">
      <c r="C1874" s="101"/>
      <c r="D1874" s="101"/>
    </row>
    <row r="1875" spans="3:4">
      <c r="C1875" s="101"/>
      <c r="D1875" s="101"/>
    </row>
    <row r="1876" spans="3:4">
      <c r="C1876" s="101"/>
      <c r="D1876" s="101"/>
    </row>
    <row r="1877" spans="3:4">
      <c r="C1877" s="101"/>
      <c r="D1877" s="101"/>
    </row>
    <row r="1878" spans="3:4">
      <c r="C1878" s="101"/>
      <c r="D1878" s="101"/>
    </row>
    <row r="1879" spans="3:4">
      <c r="C1879" s="101"/>
      <c r="D1879" s="101"/>
    </row>
    <row r="1880" spans="3:4">
      <c r="C1880" s="101"/>
      <c r="D1880" s="101"/>
    </row>
    <row r="1881" spans="3:4">
      <c r="C1881" s="101"/>
      <c r="D1881" s="101"/>
    </row>
    <row r="1882" spans="3:4">
      <c r="C1882" s="101"/>
      <c r="D1882" s="101"/>
    </row>
    <row r="1883" spans="3:4">
      <c r="C1883" s="101"/>
      <c r="D1883" s="101"/>
    </row>
    <row r="1884" spans="3:4">
      <c r="C1884" s="101"/>
      <c r="D1884" s="101"/>
    </row>
    <row r="1885" spans="3:4">
      <c r="C1885" s="101"/>
      <c r="D1885" s="101"/>
    </row>
    <row r="1886" spans="3:4">
      <c r="C1886" s="101"/>
      <c r="D1886" s="101"/>
    </row>
    <row r="1887" spans="3:4">
      <c r="C1887" s="101"/>
      <c r="D1887" s="101"/>
    </row>
    <row r="1888" spans="3:4">
      <c r="C1888" s="101"/>
      <c r="D1888" s="101"/>
    </row>
    <row r="1889" spans="3:4">
      <c r="C1889" s="101"/>
      <c r="D1889" s="101"/>
    </row>
    <row r="1890" spans="3:4">
      <c r="C1890" s="101"/>
      <c r="D1890" s="101"/>
    </row>
    <row r="1891" spans="3:4">
      <c r="C1891" s="101"/>
      <c r="D1891" s="101"/>
    </row>
    <row r="1892" spans="3:4">
      <c r="C1892" s="101"/>
      <c r="D1892" s="101"/>
    </row>
    <row r="1893" spans="3:4">
      <c r="C1893" s="101"/>
      <c r="D1893" s="101"/>
    </row>
    <row r="1894" spans="3:4">
      <c r="C1894" s="101"/>
      <c r="D1894" s="101"/>
    </row>
    <row r="1895" spans="3:4">
      <c r="C1895" s="101"/>
      <c r="D1895" s="101"/>
    </row>
    <row r="1896" spans="3:4">
      <c r="C1896" s="101"/>
      <c r="D1896" s="101"/>
    </row>
    <row r="1897" spans="3:4">
      <c r="C1897" s="101"/>
      <c r="D1897" s="101"/>
    </row>
    <row r="1898" spans="3:4">
      <c r="C1898" s="101"/>
      <c r="D1898" s="101"/>
    </row>
    <row r="1899" spans="3:4">
      <c r="C1899" s="101"/>
      <c r="D1899" s="101"/>
    </row>
    <row r="1900" spans="3:4">
      <c r="C1900" s="101"/>
      <c r="D1900" s="101"/>
    </row>
    <row r="1901" spans="3:4">
      <c r="C1901" s="101"/>
      <c r="D1901" s="101"/>
    </row>
    <row r="1902" spans="3:4">
      <c r="C1902" s="101"/>
      <c r="D1902" s="101"/>
    </row>
    <row r="1903" spans="3:4">
      <c r="C1903" s="101"/>
      <c r="D1903" s="101"/>
    </row>
    <row r="1904" spans="3:4">
      <c r="C1904" s="101"/>
      <c r="D1904" s="101"/>
    </row>
    <row r="1905" spans="3:4">
      <c r="C1905" s="101"/>
      <c r="D1905" s="101"/>
    </row>
    <row r="1906" spans="3:4">
      <c r="C1906" s="101"/>
      <c r="D1906" s="101"/>
    </row>
    <row r="1907" spans="3:4">
      <c r="C1907" s="101"/>
      <c r="D1907" s="101"/>
    </row>
    <row r="1908" spans="3:4">
      <c r="C1908" s="101"/>
      <c r="D1908" s="101"/>
    </row>
    <row r="1909" spans="3:4">
      <c r="C1909" s="101"/>
      <c r="D1909" s="101"/>
    </row>
    <row r="1910" spans="3:4">
      <c r="C1910" s="101"/>
      <c r="D1910" s="101"/>
    </row>
    <row r="1911" spans="3:4">
      <c r="C1911" s="101"/>
      <c r="D1911" s="101"/>
    </row>
    <row r="1912" spans="3:4">
      <c r="C1912" s="101"/>
      <c r="D1912" s="101"/>
    </row>
    <row r="1913" spans="3:4">
      <c r="C1913" s="101"/>
      <c r="D1913" s="101"/>
    </row>
    <row r="1914" spans="3:4">
      <c r="C1914" s="101"/>
      <c r="D1914" s="101"/>
    </row>
    <row r="1915" spans="3:4">
      <c r="C1915" s="101"/>
      <c r="D1915" s="101"/>
    </row>
    <row r="1916" spans="3:4">
      <c r="C1916" s="101"/>
      <c r="D1916" s="101"/>
    </row>
    <row r="1917" spans="3:4">
      <c r="C1917" s="101"/>
      <c r="D1917" s="101"/>
    </row>
    <row r="1918" spans="3:4">
      <c r="C1918" s="101"/>
      <c r="D1918" s="101"/>
    </row>
    <row r="1919" spans="3:4">
      <c r="C1919" s="101"/>
      <c r="D1919" s="101"/>
    </row>
    <row r="1920" spans="3:4">
      <c r="C1920" s="101"/>
      <c r="D1920" s="101"/>
    </row>
    <row r="1921" spans="3:4">
      <c r="C1921" s="101"/>
      <c r="D1921" s="101"/>
    </row>
    <row r="1922" spans="3:4">
      <c r="C1922" s="101"/>
      <c r="D1922" s="101"/>
    </row>
    <row r="1923" spans="3:4">
      <c r="C1923" s="101"/>
      <c r="D1923" s="101"/>
    </row>
    <row r="1924" spans="3:4">
      <c r="C1924" s="101"/>
      <c r="D1924" s="101"/>
    </row>
    <row r="1925" spans="3:4">
      <c r="C1925" s="101"/>
      <c r="D1925" s="101"/>
    </row>
    <row r="1926" spans="3:4">
      <c r="C1926" s="101"/>
      <c r="D1926" s="101"/>
    </row>
    <row r="1927" spans="3:4">
      <c r="C1927" s="101"/>
      <c r="D1927" s="101"/>
    </row>
    <row r="1928" spans="3:4">
      <c r="C1928" s="101"/>
      <c r="D1928" s="101"/>
    </row>
    <row r="1929" spans="3:4">
      <c r="C1929" s="101"/>
      <c r="D1929" s="101"/>
    </row>
    <row r="1930" spans="3:4">
      <c r="C1930" s="101"/>
      <c r="D1930" s="101"/>
    </row>
    <row r="1931" spans="3:4">
      <c r="C1931" s="101"/>
      <c r="D1931" s="101"/>
    </row>
    <row r="1932" spans="3:4">
      <c r="C1932" s="101"/>
      <c r="D1932" s="101"/>
    </row>
    <row r="1933" spans="3:4">
      <c r="C1933" s="101"/>
      <c r="D1933" s="101"/>
    </row>
    <row r="1934" spans="3:4">
      <c r="C1934" s="101"/>
      <c r="D1934" s="101"/>
    </row>
    <row r="1935" spans="3:4">
      <c r="C1935" s="101"/>
      <c r="D1935" s="101"/>
    </row>
    <row r="1936" spans="3:4">
      <c r="C1936" s="101"/>
      <c r="D1936" s="101"/>
    </row>
    <row r="1937" spans="3:4">
      <c r="C1937" s="101"/>
      <c r="D1937" s="101"/>
    </row>
    <row r="1938" spans="3:4">
      <c r="C1938" s="101"/>
      <c r="D1938" s="101"/>
    </row>
    <row r="1939" spans="3:4">
      <c r="C1939" s="101"/>
      <c r="D1939" s="101"/>
    </row>
    <row r="1940" spans="3:4">
      <c r="C1940" s="101"/>
      <c r="D1940" s="101"/>
    </row>
    <row r="1941" spans="3:4">
      <c r="C1941" s="101"/>
      <c r="D1941" s="101"/>
    </row>
    <row r="1942" spans="3:4">
      <c r="C1942" s="101"/>
      <c r="D1942" s="101"/>
    </row>
    <row r="1943" spans="3:4">
      <c r="C1943" s="101"/>
      <c r="D1943" s="101"/>
    </row>
    <row r="1944" spans="3:4">
      <c r="C1944" s="101"/>
      <c r="D1944" s="101"/>
    </row>
    <row r="1945" spans="3:4">
      <c r="C1945" s="101"/>
      <c r="D1945" s="101"/>
    </row>
    <row r="1946" spans="3:4">
      <c r="C1946" s="101"/>
      <c r="D1946" s="101"/>
    </row>
    <row r="1947" spans="3:4">
      <c r="C1947" s="101"/>
      <c r="D1947" s="101"/>
    </row>
    <row r="1948" spans="3:4">
      <c r="C1948" s="101"/>
      <c r="D1948" s="101"/>
    </row>
    <row r="1949" spans="3:4">
      <c r="C1949" s="101"/>
      <c r="D1949" s="101"/>
    </row>
    <row r="1950" spans="3:4">
      <c r="C1950" s="101"/>
      <c r="D1950" s="101"/>
    </row>
    <row r="1951" spans="3:4">
      <c r="C1951" s="101"/>
      <c r="D1951" s="101"/>
    </row>
    <row r="1952" spans="3:4">
      <c r="C1952" s="101"/>
      <c r="D1952" s="101"/>
    </row>
    <row r="1953" spans="3:4">
      <c r="C1953" s="101"/>
      <c r="D1953" s="101"/>
    </row>
    <row r="1954" spans="3:4">
      <c r="C1954" s="101"/>
      <c r="D1954" s="101"/>
    </row>
    <row r="1955" spans="3:4">
      <c r="C1955" s="101"/>
      <c r="D1955" s="101"/>
    </row>
    <row r="1956" spans="3:4">
      <c r="C1956" s="101"/>
      <c r="D1956" s="101"/>
    </row>
    <row r="1957" spans="3:4">
      <c r="C1957" s="101"/>
      <c r="D1957" s="101"/>
    </row>
    <row r="1958" spans="3:4">
      <c r="C1958" s="101"/>
      <c r="D1958" s="101"/>
    </row>
    <row r="1959" spans="3:4">
      <c r="C1959" s="101"/>
      <c r="D1959" s="101"/>
    </row>
    <row r="1960" spans="3:4">
      <c r="C1960" s="101"/>
      <c r="D1960" s="101"/>
    </row>
    <row r="1961" spans="3:4">
      <c r="C1961" s="101"/>
      <c r="D1961" s="101"/>
    </row>
    <row r="1962" spans="3:4">
      <c r="C1962" s="101"/>
      <c r="D1962" s="101"/>
    </row>
    <row r="1963" spans="3:4">
      <c r="C1963" s="101"/>
      <c r="D1963" s="101"/>
    </row>
    <row r="1964" spans="3:4">
      <c r="C1964" s="101"/>
      <c r="D1964" s="101"/>
    </row>
    <row r="1965" spans="3:4">
      <c r="C1965" s="101"/>
      <c r="D1965" s="101"/>
    </row>
    <row r="1966" spans="3:4">
      <c r="C1966" s="101"/>
      <c r="D1966" s="101"/>
    </row>
    <row r="1967" spans="3:4">
      <c r="C1967" s="101"/>
      <c r="D1967" s="101"/>
    </row>
    <row r="1968" spans="3:4">
      <c r="C1968" s="101"/>
      <c r="D1968" s="101"/>
    </row>
    <row r="1969" spans="3:4">
      <c r="C1969" s="101"/>
      <c r="D1969" s="101"/>
    </row>
    <row r="1970" spans="3:4">
      <c r="C1970" s="101"/>
      <c r="D1970" s="101"/>
    </row>
    <row r="1971" spans="3:4">
      <c r="C1971" s="101"/>
      <c r="D1971" s="101"/>
    </row>
    <row r="1972" spans="3:4">
      <c r="C1972" s="101"/>
      <c r="D1972" s="101"/>
    </row>
    <row r="1973" spans="3:4">
      <c r="C1973" s="101"/>
      <c r="D1973" s="101"/>
    </row>
    <row r="1974" spans="3:4">
      <c r="C1974" s="101"/>
      <c r="D1974" s="101"/>
    </row>
    <row r="1975" spans="3:4">
      <c r="C1975" s="101"/>
      <c r="D1975" s="101"/>
    </row>
    <row r="1976" spans="3:4">
      <c r="C1976" s="101"/>
      <c r="D1976" s="101"/>
    </row>
    <row r="1977" spans="3:4">
      <c r="C1977" s="101"/>
      <c r="D1977" s="101"/>
    </row>
    <row r="1978" spans="3:4">
      <c r="C1978" s="101"/>
      <c r="D1978" s="101"/>
    </row>
    <row r="1979" spans="3:4">
      <c r="C1979" s="101"/>
      <c r="D1979" s="101"/>
    </row>
    <row r="1980" spans="3:4">
      <c r="C1980" s="101"/>
      <c r="D1980" s="101"/>
    </row>
    <row r="1981" spans="3:4">
      <c r="C1981" s="101"/>
      <c r="D1981" s="101"/>
    </row>
    <row r="1982" spans="3:4">
      <c r="C1982" s="101"/>
      <c r="D1982" s="101"/>
    </row>
    <row r="1983" spans="3:4">
      <c r="C1983" s="101"/>
      <c r="D1983" s="101"/>
    </row>
    <row r="1984" spans="3:4">
      <c r="C1984" s="101"/>
      <c r="D1984" s="101"/>
    </row>
    <row r="1985" spans="3:4">
      <c r="C1985" s="101"/>
      <c r="D1985" s="101"/>
    </row>
    <row r="1986" spans="3:4">
      <c r="C1986" s="101"/>
      <c r="D1986" s="101"/>
    </row>
    <row r="1987" spans="3:4">
      <c r="C1987" s="101"/>
      <c r="D1987" s="101"/>
    </row>
    <row r="1988" spans="3:4">
      <c r="C1988" s="101"/>
      <c r="D1988" s="101"/>
    </row>
    <row r="1989" spans="3:4">
      <c r="C1989" s="101"/>
      <c r="D1989" s="101"/>
    </row>
    <row r="1990" spans="3:4">
      <c r="C1990" s="101"/>
      <c r="D1990" s="101"/>
    </row>
    <row r="1991" spans="3:4">
      <c r="C1991" s="101"/>
      <c r="D1991" s="101"/>
    </row>
    <row r="1992" spans="3:4">
      <c r="C1992" s="101"/>
      <c r="D1992" s="101"/>
    </row>
    <row r="1993" spans="3:4">
      <c r="C1993" s="101"/>
      <c r="D1993" s="101"/>
    </row>
    <row r="1994" spans="3:4">
      <c r="C1994" s="101"/>
      <c r="D1994" s="101"/>
    </row>
    <row r="1995" spans="3:4">
      <c r="C1995" s="101"/>
      <c r="D1995" s="101"/>
    </row>
    <row r="1996" spans="3:4">
      <c r="C1996" s="101"/>
      <c r="D1996" s="101"/>
    </row>
    <row r="1997" spans="3:4">
      <c r="C1997" s="101"/>
      <c r="D1997" s="101"/>
    </row>
    <row r="1998" spans="3:4">
      <c r="C1998" s="101"/>
      <c r="D1998" s="101"/>
    </row>
    <row r="1999" spans="3:4">
      <c r="C1999" s="101"/>
      <c r="D1999" s="101"/>
    </row>
    <row r="2000" spans="3:4">
      <c r="C2000" s="101"/>
      <c r="D2000" s="101"/>
    </row>
    <row r="2001" spans="3:4">
      <c r="C2001" s="101"/>
      <c r="D2001" s="101"/>
    </row>
    <row r="2002" spans="3:4">
      <c r="C2002" s="101"/>
      <c r="D2002" s="101"/>
    </row>
    <row r="2003" spans="3:4">
      <c r="C2003" s="101"/>
      <c r="D2003" s="101"/>
    </row>
    <row r="2004" spans="3:4">
      <c r="C2004" s="101"/>
      <c r="D2004" s="101"/>
    </row>
    <row r="2005" spans="3:4">
      <c r="C2005" s="101"/>
      <c r="D2005" s="101"/>
    </row>
    <row r="2006" spans="3:4">
      <c r="C2006" s="101"/>
      <c r="D2006" s="101"/>
    </row>
    <row r="2007" spans="3:4">
      <c r="C2007" s="101"/>
      <c r="D2007" s="101"/>
    </row>
    <row r="2008" spans="3:4">
      <c r="C2008" s="101"/>
      <c r="D2008" s="101"/>
    </row>
    <row r="2009" spans="3:4">
      <c r="C2009" s="101"/>
      <c r="D2009" s="101"/>
    </row>
    <row r="2010" spans="3:4">
      <c r="C2010" s="101"/>
      <c r="D2010" s="101"/>
    </row>
    <row r="2011" spans="3:4">
      <c r="C2011" s="101"/>
      <c r="D2011" s="101"/>
    </row>
    <row r="2012" spans="3:4">
      <c r="C2012" s="101"/>
      <c r="D2012" s="101"/>
    </row>
    <row r="2013" spans="3:4">
      <c r="C2013" s="101"/>
      <c r="D2013" s="101"/>
    </row>
    <row r="2014" spans="3:4">
      <c r="C2014" s="101"/>
      <c r="D2014" s="101"/>
    </row>
    <row r="2015" spans="3:4">
      <c r="C2015" s="101"/>
      <c r="D2015" s="101"/>
    </row>
    <row r="2016" spans="3:4">
      <c r="C2016" s="101"/>
      <c r="D2016" s="101"/>
    </row>
    <row r="2017" spans="3:4">
      <c r="C2017" s="101"/>
      <c r="D2017" s="101"/>
    </row>
    <row r="2018" spans="3:4">
      <c r="C2018" s="101"/>
      <c r="D2018" s="101"/>
    </row>
    <row r="2019" spans="3:4">
      <c r="C2019" s="101"/>
      <c r="D2019" s="101"/>
    </row>
    <row r="2020" spans="3:4">
      <c r="C2020" s="101"/>
      <c r="D2020" s="101"/>
    </row>
    <row r="2021" spans="3:4">
      <c r="C2021" s="101"/>
      <c r="D2021" s="101"/>
    </row>
    <row r="2022" spans="3:4">
      <c r="C2022" s="101"/>
      <c r="D2022" s="101"/>
    </row>
    <row r="2023" spans="3:4">
      <c r="C2023" s="101"/>
      <c r="D2023" s="101"/>
    </row>
    <row r="2024" spans="3:4">
      <c r="C2024" s="101"/>
      <c r="D2024" s="101"/>
    </row>
    <row r="2025" spans="3:4">
      <c r="C2025" s="101"/>
      <c r="D2025" s="101"/>
    </row>
    <row r="2026" spans="3:4">
      <c r="C2026" s="101"/>
      <c r="D2026" s="101"/>
    </row>
    <row r="2027" spans="3:4">
      <c r="C2027" s="101"/>
      <c r="D2027" s="101"/>
    </row>
    <row r="2028" spans="3:4">
      <c r="C2028" s="101"/>
      <c r="D2028" s="101"/>
    </row>
    <row r="2029" spans="3:4">
      <c r="C2029" s="101"/>
      <c r="D2029" s="101"/>
    </row>
    <row r="2030" spans="3:4">
      <c r="C2030" s="101"/>
      <c r="D2030" s="101"/>
    </row>
    <row r="2031" spans="3:4">
      <c r="C2031" s="101"/>
      <c r="D2031" s="101"/>
    </row>
    <row r="2032" spans="3:4">
      <c r="C2032" s="101"/>
      <c r="D2032" s="101"/>
    </row>
    <row r="2033" spans="3:4">
      <c r="C2033" s="101"/>
      <c r="D2033" s="101"/>
    </row>
    <row r="2034" spans="3:4">
      <c r="C2034" s="101"/>
      <c r="D2034" s="101"/>
    </row>
    <row r="2035" spans="3:4">
      <c r="C2035" s="101"/>
      <c r="D2035" s="101"/>
    </row>
    <row r="2036" spans="3:4">
      <c r="C2036" s="101"/>
      <c r="D2036" s="101"/>
    </row>
    <row r="2037" spans="3:4">
      <c r="C2037" s="101"/>
      <c r="D2037" s="101"/>
    </row>
    <row r="2038" spans="3:4">
      <c r="C2038" s="101"/>
      <c r="D2038" s="101"/>
    </row>
    <row r="2039" spans="3:4">
      <c r="C2039" s="101"/>
      <c r="D2039" s="101"/>
    </row>
    <row r="2040" spans="3:4">
      <c r="C2040" s="101"/>
      <c r="D2040" s="101"/>
    </row>
    <row r="2041" spans="3:4">
      <c r="C2041" s="101"/>
      <c r="D2041" s="101"/>
    </row>
    <row r="2042" spans="3:4">
      <c r="C2042" s="101"/>
      <c r="D2042" s="101"/>
    </row>
    <row r="2043" spans="3:4">
      <c r="C2043" s="101"/>
      <c r="D2043" s="101"/>
    </row>
    <row r="2044" spans="3:4">
      <c r="C2044" s="101"/>
      <c r="D2044" s="101"/>
    </row>
    <row r="2045" spans="3:4">
      <c r="C2045" s="101"/>
      <c r="D2045" s="101"/>
    </row>
    <row r="2046" spans="3:4">
      <c r="C2046" s="101"/>
      <c r="D2046" s="101"/>
    </row>
    <row r="2047" spans="3:4">
      <c r="C2047" s="101"/>
      <c r="D2047" s="101"/>
    </row>
    <row r="2048" spans="3:4">
      <c r="C2048" s="101"/>
      <c r="D2048" s="101"/>
    </row>
    <row r="2049" spans="3:4">
      <c r="C2049" s="101"/>
      <c r="D2049" s="101"/>
    </row>
    <row r="2050" spans="3:4">
      <c r="C2050" s="101"/>
      <c r="D2050" s="101"/>
    </row>
    <row r="2051" spans="3:4">
      <c r="C2051" s="101"/>
      <c r="D2051" s="101"/>
    </row>
    <row r="2052" spans="3:4">
      <c r="C2052" s="101"/>
      <c r="D2052" s="101"/>
    </row>
    <row r="2053" spans="3:4">
      <c r="C2053" s="101"/>
      <c r="D2053" s="101"/>
    </row>
    <row r="2054" spans="3:4">
      <c r="C2054" s="101"/>
      <c r="D2054" s="101"/>
    </row>
    <row r="2055" spans="3:4">
      <c r="C2055" s="101"/>
      <c r="D2055" s="101"/>
    </row>
    <row r="2056" spans="3:4">
      <c r="C2056" s="101"/>
      <c r="D2056" s="101"/>
    </row>
    <row r="2057" spans="3:4">
      <c r="C2057" s="101"/>
      <c r="D2057" s="101"/>
    </row>
    <row r="2058" spans="3:4">
      <c r="C2058" s="101"/>
      <c r="D2058" s="101"/>
    </row>
    <row r="2059" spans="3:4">
      <c r="C2059" s="101"/>
      <c r="D2059" s="101"/>
    </row>
    <row r="2060" spans="3:4">
      <c r="C2060" s="101"/>
      <c r="D2060" s="101"/>
    </row>
    <row r="2061" spans="3:4">
      <c r="C2061" s="101"/>
      <c r="D2061" s="101"/>
    </row>
    <row r="2062" spans="3:4">
      <c r="C2062" s="101"/>
      <c r="D2062" s="101"/>
    </row>
    <row r="2063" spans="3:4">
      <c r="C2063" s="101"/>
      <c r="D2063" s="101"/>
    </row>
    <row r="2064" spans="3:4">
      <c r="C2064" s="101"/>
      <c r="D2064" s="101"/>
    </row>
    <row r="2065" spans="3:4">
      <c r="C2065" s="101"/>
      <c r="D2065" s="101"/>
    </row>
    <row r="2066" spans="3:4">
      <c r="C2066" s="101"/>
      <c r="D2066" s="101"/>
    </row>
    <row r="2067" spans="3:4">
      <c r="C2067" s="101"/>
      <c r="D2067" s="101"/>
    </row>
    <row r="2068" spans="3:4">
      <c r="C2068" s="101"/>
      <c r="D2068" s="101"/>
    </row>
    <row r="2069" spans="3:4">
      <c r="C2069" s="101"/>
      <c r="D2069" s="101"/>
    </row>
    <row r="2070" spans="3:4">
      <c r="C2070" s="101"/>
      <c r="D2070" s="101"/>
    </row>
    <row r="2071" spans="3:4">
      <c r="C2071" s="101"/>
      <c r="D2071" s="101"/>
    </row>
    <row r="2072" spans="3:4">
      <c r="C2072" s="101"/>
      <c r="D2072" s="101"/>
    </row>
    <row r="2073" spans="3:4">
      <c r="C2073" s="101"/>
      <c r="D2073" s="101"/>
    </row>
    <row r="2074" spans="3:4">
      <c r="C2074" s="101"/>
      <c r="D2074" s="101"/>
    </row>
    <row r="2075" spans="3:4">
      <c r="C2075" s="101"/>
      <c r="D2075" s="101"/>
    </row>
    <row r="2076" spans="3:4">
      <c r="C2076" s="101"/>
      <c r="D2076" s="101"/>
    </row>
    <row r="2077" spans="3:4">
      <c r="C2077" s="101"/>
      <c r="D2077" s="101"/>
    </row>
    <row r="2078" spans="3:4">
      <c r="C2078" s="101"/>
      <c r="D2078" s="101"/>
    </row>
    <row r="2079" spans="3:4">
      <c r="C2079" s="101"/>
      <c r="D2079" s="101"/>
    </row>
    <row r="2080" spans="3:4">
      <c r="C2080" s="101"/>
      <c r="D2080" s="101"/>
    </row>
    <row r="2081" spans="3:4">
      <c r="C2081" s="101"/>
      <c r="D2081" s="101"/>
    </row>
    <row r="2082" spans="3:4">
      <c r="C2082" s="101"/>
      <c r="D2082" s="101"/>
    </row>
    <row r="2083" spans="3:4">
      <c r="C2083" s="101"/>
      <c r="D2083" s="101"/>
    </row>
    <row r="2084" spans="3:4">
      <c r="C2084" s="101"/>
      <c r="D2084" s="101"/>
    </row>
    <row r="2085" spans="3:4">
      <c r="C2085" s="101"/>
      <c r="D2085" s="101"/>
    </row>
    <row r="2086" spans="3:4">
      <c r="C2086" s="101"/>
      <c r="D2086" s="101"/>
    </row>
    <row r="2087" spans="3:4">
      <c r="C2087" s="101"/>
      <c r="D2087" s="101"/>
    </row>
    <row r="2088" spans="3:4">
      <c r="C2088" s="101"/>
      <c r="D2088" s="101"/>
    </row>
    <row r="2089" spans="3:4">
      <c r="C2089" s="101"/>
      <c r="D2089" s="101"/>
    </row>
    <row r="2090" spans="3:4">
      <c r="C2090" s="101"/>
      <c r="D2090" s="101"/>
    </row>
    <row r="2091" spans="3:4">
      <c r="C2091" s="101"/>
      <c r="D2091" s="101"/>
    </row>
    <row r="2092" spans="3:4">
      <c r="C2092" s="101"/>
      <c r="D2092" s="101"/>
    </row>
    <row r="2093" spans="3:4">
      <c r="C2093" s="101"/>
      <c r="D2093" s="101"/>
    </row>
    <row r="2094" spans="3:4">
      <c r="C2094" s="101"/>
      <c r="D2094" s="101"/>
    </row>
    <row r="2095" spans="3:4">
      <c r="C2095" s="101"/>
      <c r="D2095" s="101"/>
    </row>
    <row r="2096" spans="3:4">
      <c r="C2096" s="101"/>
      <c r="D2096" s="101"/>
    </row>
    <row r="2097" spans="3:4">
      <c r="C2097" s="101"/>
      <c r="D2097" s="101"/>
    </row>
    <row r="2098" spans="3:4">
      <c r="C2098" s="101"/>
      <c r="D2098" s="101"/>
    </row>
    <row r="2099" spans="3:4">
      <c r="C2099" s="101"/>
      <c r="D2099" s="101"/>
    </row>
    <row r="2100" spans="3:4">
      <c r="C2100" s="101"/>
      <c r="D2100" s="101"/>
    </row>
    <row r="2101" spans="3:4">
      <c r="C2101" s="101"/>
      <c r="D2101" s="101"/>
    </row>
    <row r="2102" spans="3:4">
      <c r="C2102" s="101"/>
      <c r="D2102" s="101"/>
    </row>
    <row r="2103" spans="3:4">
      <c r="C2103" s="101"/>
      <c r="D2103" s="101"/>
    </row>
    <row r="2104" spans="3:4">
      <c r="C2104" s="101"/>
      <c r="D2104" s="101"/>
    </row>
    <row r="2105" spans="3:4">
      <c r="C2105" s="101"/>
      <c r="D2105" s="101"/>
    </row>
    <row r="2106" spans="3:4">
      <c r="C2106" s="101"/>
      <c r="D2106" s="101"/>
    </row>
    <row r="2107" spans="3:4">
      <c r="C2107" s="101"/>
      <c r="D2107" s="101"/>
    </row>
    <row r="2108" spans="3:4">
      <c r="C2108" s="101"/>
      <c r="D2108" s="101"/>
    </row>
    <row r="2109" spans="3:4">
      <c r="C2109" s="101"/>
      <c r="D2109" s="101"/>
    </row>
    <row r="2110" spans="3:4">
      <c r="C2110" s="101"/>
      <c r="D2110" s="101"/>
    </row>
    <row r="2111" spans="3:4">
      <c r="C2111" s="101"/>
      <c r="D2111" s="101"/>
    </row>
    <row r="2112" spans="3:4">
      <c r="C2112" s="101"/>
      <c r="D2112" s="101"/>
    </row>
    <row r="2113" spans="3:4">
      <c r="C2113" s="101"/>
      <c r="D2113" s="101"/>
    </row>
    <row r="2114" spans="3:4">
      <c r="C2114" s="101"/>
      <c r="D2114" s="101"/>
    </row>
    <row r="2115" spans="3:4">
      <c r="C2115" s="101"/>
      <c r="D2115" s="101"/>
    </row>
    <row r="2116" spans="3:4">
      <c r="C2116" s="101"/>
      <c r="D2116" s="101"/>
    </row>
    <row r="2117" spans="3:4">
      <c r="C2117" s="101"/>
      <c r="D2117" s="101"/>
    </row>
    <row r="2118" spans="3:4">
      <c r="C2118" s="101"/>
      <c r="D2118" s="101"/>
    </row>
    <row r="2119" spans="3:4">
      <c r="C2119" s="101"/>
      <c r="D2119" s="101"/>
    </row>
    <row r="2120" spans="3:4">
      <c r="C2120" s="101"/>
      <c r="D2120" s="101"/>
    </row>
    <row r="2121" spans="3:4">
      <c r="C2121" s="101"/>
      <c r="D2121" s="101"/>
    </row>
    <row r="2122" spans="3:4">
      <c r="C2122" s="101"/>
      <c r="D2122" s="101"/>
    </row>
    <row r="2123" spans="3:4">
      <c r="C2123" s="101"/>
      <c r="D2123" s="101"/>
    </row>
    <row r="2124" spans="3:4">
      <c r="C2124" s="101"/>
      <c r="D2124" s="101"/>
    </row>
    <row r="2125" spans="3:4">
      <c r="C2125" s="101"/>
      <c r="D2125" s="101"/>
    </row>
    <row r="2126" spans="3:4">
      <c r="C2126" s="101"/>
      <c r="D2126" s="101"/>
    </row>
    <row r="2127" spans="3:4">
      <c r="C2127" s="101"/>
      <c r="D2127" s="101"/>
    </row>
    <row r="2128" spans="3:4">
      <c r="C2128" s="101"/>
      <c r="D2128" s="101"/>
    </row>
    <row r="2129" spans="3:4">
      <c r="C2129" s="101"/>
      <c r="D2129" s="101"/>
    </row>
    <row r="2130" spans="3:4">
      <c r="C2130" s="101"/>
      <c r="D2130" s="101"/>
    </row>
    <row r="2131" spans="3:4">
      <c r="C2131" s="101"/>
      <c r="D2131" s="101"/>
    </row>
    <row r="2132" spans="3:4">
      <c r="C2132" s="101"/>
      <c r="D2132" s="101"/>
    </row>
    <row r="2133" spans="3:4">
      <c r="C2133" s="101"/>
      <c r="D2133" s="101"/>
    </row>
    <row r="2134" spans="3:4">
      <c r="C2134" s="101"/>
      <c r="D2134" s="101"/>
    </row>
    <row r="2135" spans="3:4">
      <c r="C2135" s="101"/>
      <c r="D2135" s="101"/>
    </row>
    <row r="2136" spans="3:4">
      <c r="C2136" s="101"/>
      <c r="D2136" s="101"/>
    </row>
    <row r="2137" spans="3:4">
      <c r="C2137" s="101"/>
      <c r="D2137" s="101"/>
    </row>
    <row r="2138" spans="3:4">
      <c r="C2138" s="101"/>
      <c r="D2138" s="101"/>
    </row>
    <row r="2139" spans="3:4">
      <c r="C2139" s="101"/>
      <c r="D2139" s="101"/>
    </row>
    <row r="2140" spans="3:4">
      <c r="C2140" s="101"/>
      <c r="D2140" s="101"/>
    </row>
    <row r="2141" spans="3:4">
      <c r="C2141" s="101"/>
      <c r="D2141" s="101"/>
    </row>
    <row r="2142" spans="3:4">
      <c r="C2142" s="101"/>
      <c r="D2142" s="101"/>
    </row>
    <row r="2143" spans="3:4">
      <c r="C2143" s="101"/>
      <c r="D2143" s="101"/>
    </row>
    <row r="2144" spans="3:4">
      <c r="C2144" s="101"/>
      <c r="D2144" s="101"/>
    </row>
    <row r="2145" spans="3:4">
      <c r="C2145" s="101"/>
      <c r="D2145" s="101"/>
    </row>
    <row r="2146" spans="3:4">
      <c r="C2146" s="101"/>
      <c r="D2146" s="101"/>
    </row>
    <row r="2147" spans="3:4">
      <c r="C2147" s="101"/>
      <c r="D2147" s="101"/>
    </row>
    <row r="2148" spans="3:4">
      <c r="C2148" s="101"/>
      <c r="D2148" s="101"/>
    </row>
    <row r="2149" spans="3:4">
      <c r="C2149" s="101"/>
      <c r="D2149" s="101"/>
    </row>
    <row r="2150" spans="3:4">
      <c r="C2150" s="101"/>
      <c r="D2150" s="101"/>
    </row>
    <row r="2151" spans="3:4">
      <c r="C2151" s="101"/>
      <c r="D2151" s="101"/>
    </row>
    <row r="2152" spans="3:4">
      <c r="C2152" s="101"/>
      <c r="D2152" s="101"/>
    </row>
    <row r="2153" spans="3:4">
      <c r="C2153" s="101"/>
      <c r="D2153" s="101"/>
    </row>
    <row r="2154" spans="3:4">
      <c r="C2154" s="101"/>
      <c r="D2154" s="101"/>
    </row>
    <row r="2155" spans="3:4">
      <c r="C2155" s="101"/>
      <c r="D2155" s="101"/>
    </row>
    <row r="2156" spans="3:4">
      <c r="C2156" s="101"/>
      <c r="D2156" s="101"/>
    </row>
    <row r="2157" spans="3:4">
      <c r="C2157" s="101"/>
      <c r="D2157" s="101"/>
    </row>
    <row r="2158" spans="3:4">
      <c r="C2158" s="101"/>
      <c r="D2158" s="101"/>
    </row>
    <row r="2159" spans="3:4">
      <c r="C2159" s="101"/>
      <c r="D2159" s="101"/>
    </row>
    <row r="2160" spans="3:4">
      <c r="C2160" s="101"/>
      <c r="D2160" s="101"/>
    </row>
    <row r="2161" spans="3:4">
      <c r="C2161" s="101"/>
      <c r="D2161" s="101"/>
    </row>
    <row r="2162" spans="3:4">
      <c r="C2162" s="101"/>
      <c r="D2162" s="101"/>
    </row>
    <row r="2163" spans="3:4">
      <c r="C2163" s="101"/>
      <c r="D2163" s="101"/>
    </row>
    <row r="2164" spans="3:4">
      <c r="C2164" s="101"/>
      <c r="D2164" s="101"/>
    </row>
    <row r="2165" spans="3:4">
      <c r="C2165" s="101"/>
      <c r="D2165" s="101"/>
    </row>
    <row r="2166" spans="3:4">
      <c r="C2166" s="101"/>
      <c r="D2166" s="101"/>
    </row>
    <row r="2167" spans="3:4">
      <c r="C2167" s="101"/>
      <c r="D2167" s="101"/>
    </row>
    <row r="2168" spans="3:4">
      <c r="C2168" s="101"/>
      <c r="D2168" s="101"/>
    </row>
    <row r="2169" spans="3:4">
      <c r="C2169" s="101"/>
      <c r="D2169" s="101"/>
    </row>
    <row r="2170" spans="3:4">
      <c r="C2170" s="101"/>
      <c r="D2170" s="101"/>
    </row>
    <row r="2171" spans="3:4">
      <c r="C2171" s="101"/>
      <c r="D2171" s="101"/>
    </row>
    <row r="2172" spans="3:4">
      <c r="C2172" s="101"/>
      <c r="D2172" s="101"/>
    </row>
    <row r="2173" spans="3:4">
      <c r="C2173" s="101"/>
      <c r="D2173" s="101"/>
    </row>
    <row r="2174" spans="3:4">
      <c r="C2174" s="101"/>
      <c r="D2174" s="101"/>
    </row>
    <row r="2175" spans="3:4">
      <c r="C2175" s="101"/>
      <c r="D2175" s="101"/>
    </row>
    <row r="2176" spans="3:4">
      <c r="C2176" s="101"/>
      <c r="D2176" s="101"/>
    </row>
    <row r="2177" spans="3:4">
      <c r="C2177" s="101"/>
      <c r="D2177" s="101"/>
    </row>
    <row r="2178" spans="3:4">
      <c r="C2178" s="101"/>
      <c r="D2178" s="101"/>
    </row>
    <row r="2179" spans="3:4">
      <c r="C2179" s="101"/>
      <c r="D2179" s="101"/>
    </row>
    <row r="2180" spans="3:4">
      <c r="C2180" s="101"/>
      <c r="D2180" s="101"/>
    </row>
    <row r="2181" spans="3:4">
      <c r="C2181" s="101"/>
      <c r="D2181" s="101"/>
    </row>
    <row r="2182" spans="3:4">
      <c r="C2182" s="101"/>
      <c r="D2182" s="101"/>
    </row>
    <row r="2183" spans="3:4">
      <c r="C2183" s="101"/>
      <c r="D2183" s="101"/>
    </row>
    <row r="2184" spans="3:4">
      <c r="C2184" s="101"/>
      <c r="D2184" s="101"/>
    </row>
    <row r="2185" spans="3:4">
      <c r="C2185" s="101"/>
      <c r="D2185" s="101"/>
    </row>
    <row r="2186" spans="3:4">
      <c r="C2186" s="101"/>
      <c r="D2186" s="101"/>
    </row>
    <row r="2187" spans="3:4">
      <c r="C2187" s="101"/>
      <c r="D2187" s="101"/>
    </row>
    <row r="2188" spans="3:4">
      <c r="C2188" s="101"/>
      <c r="D2188" s="101"/>
    </row>
    <row r="2189" spans="3:4">
      <c r="C2189" s="101"/>
      <c r="D2189" s="101"/>
    </row>
    <row r="2190" spans="3:4">
      <c r="C2190" s="101"/>
      <c r="D2190" s="101"/>
    </row>
    <row r="2191" spans="3:4">
      <c r="C2191" s="101"/>
      <c r="D2191" s="101"/>
    </row>
    <row r="2192" spans="3:4">
      <c r="C2192" s="101"/>
      <c r="D2192" s="101"/>
    </row>
    <row r="2193" spans="3:4">
      <c r="C2193" s="101"/>
      <c r="D2193" s="101"/>
    </row>
    <row r="2194" spans="3:4">
      <c r="C2194" s="101"/>
      <c r="D2194" s="101"/>
    </row>
    <row r="2195" spans="3:4">
      <c r="C2195" s="101"/>
      <c r="D2195" s="101"/>
    </row>
    <row r="2196" spans="3:4">
      <c r="C2196" s="101"/>
      <c r="D2196" s="101"/>
    </row>
    <row r="2197" spans="3:4">
      <c r="C2197" s="101"/>
      <c r="D2197" s="101"/>
    </row>
    <row r="2198" spans="3:4">
      <c r="C2198" s="101"/>
      <c r="D2198" s="101"/>
    </row>
    <row r="2199" spans="3:4">
      <c r="C2199" s="101"/>
      <c r="D2199" s="101"/>
    </row>
    <row r="2200" spans="3:4">
      <c r="C2200" s="101"/>
      <c r="D2200" s="101"/>
    </row>
    <row r="2201" spans="3:4">
      <c r="C2201" s="101"/>
      <c r="D2201" s="101"/>
    </row>
    <row r="2202" spans="3:4">
      <c r="C2202" s="101"/>
      <c r="D2202" s="101"/>
    </row>
    <row r="2203" spans="3:4">
      <c r="C2203" s="101"/>
      <c r="D2203" s="101"/>
    </row>
    <row r="2204" spans="3:4">
      <c r="C2204" s="101"/>
      <c r="D2204" s="101"/>
    </row>
    <row r="2205" spans="3:4">
      <c r="C2205" s="101"/>
      <c r="D2205" s="101"/>
    </row>
    <row r="2206" spans="3:4">
      <c r="C2206" s="101"/>
      <c r="D2206" s="101"/>
    </row>
    <row r="2207" spans="3:4">
      <c r="C2207" s="101"/>
      <c r="D2207" s="101"/>
    </row>
    <row r="2208" spans="3:4">
      <c r="C2208" s="101"/>
      <c r="D2208" s="101"/>
    </row>
    <row r="2209" spans="3:4">
      <c r="C2209" s="101"/>
      <c r="D2209" s="101"/>
    </row>
    <row r="2210" spans="3:4">
      <c r="C2210" s="101"/>
      <c r="D2210" s="101"/>
    </row>
    <row r="2211" spans="3:4">
      <c r="C2211" s="101"/>
      <c r="D2211" s="101"/>
    </row>
    <row r="2212" spans="3:4">
      <c r="C2212" s="101"/>
      <c r="D2212" s="101"/>
    </row>
    <row r="2213" spans="3:4">
      <c r="C2213" s="101"/>
      <c r="D2213" s="101"/>
    </row>
    <row r="2214" spans="3:4">
      <c r="C2214" s="101"/>
      <c r="D2214" s="101"/>
    </row>
    <row r="2215" spans="3:4">
      <c r="C2215" s="101"/>
      <c r="D2215" s="101"/>
    </row>
    <row r="2216" spans="3:4">
      <c r="C2216" s="101"/>
      <c r="D2216" s="101"/>
    </row>
    <row r="2217" spans="3:4">
      <c r="C2217" s="101"/>
      <c r="D2217" s="101"/>
    </row>
    <row r="2218" spans="3:4">
      <c r="C2218" s="101"/>
      <c r="D2218" s="101"/>
    </row>
    <row r="2219" spans="3:4">
      <c r="C2219" s="101"/>
      <c r="D2219" s="101"/>
    </row>
    <row r="2220" spans="3:4">
      <c r="C2220" s="101"/>
      <c r="D2220" s="101"/>
    </row>
    <row r="2221" spans="3:4">
      <c r="C2221" s="101"/>
      <c r="D2221" s="101"/>
    </row>
    <row r="2222" spans="3:4">
      <c r="C2222" s="101"/>
      <c r="D2222" s="101"/>
    </row>
    <row r="2223" spans="3:4">
      <c r="C2223" s="101"/>
      <c r="D2223" s="101"/>
    </row>
    <row r="2224" spans="3:4">
      <c r="C2224" s="101"/>
      <c r="D2224" s="101"/>
    </row>
    <row r="2225" spans="3:4">
      <c r="C2225" s="101"/>
      <c r="D2225" s="101"/>
    </row>
    <row r="2226" spans="3:4">
      <c r="C2226" s="101"/>
      <c r="D2226" s="101"/>
    </row>
    <row r="2227" spans="3:4">
      <c r="C2227" s="101"/>
      <c r="D2227" s="101"/>
    </row>
    <row r="2228" spans="3:4">
      <c r="C2228" s="101"/>
      <c r="D2228" s="101"/>
    </row>
    <row r="2229" spans="3:4">
      <c r="C2229" s="101"/>
      <c r="D2229" s="101"/>
    </row>
    <row r="2230" spans="3:4">
      <c r="C2230" s="101"/>
      <c r="D2230" s="101"/>
    </row>
    <row r="2231" spans="3:4">
      <c r="C2231" s="101"/>
      <c r="D2231" s="101"/>
    </row>
    <row r="2232" spans="3:4">
      <c r="C2232" s="101"/>
      <c r="D2232" s="101"/>
    </row>
    <row r="2233" spans="3:4">
      <c r="C2233" s="101"/>
      <c r="D2233" s="101"/>
    </row>
    <row r="2234" spans="3:4">
      <c r="C2234" s="101"/>
      <c r="D2234" s="101"/>
    </row>
    <row r="2235" spans="3:4">
      <c r="C2235" s="101"/>
      <c r="D2235" s="101"/>
    </row>
    <row r="2236" spans="3:4">
      <c r="C2236" s="101"/>
      <c r="D2236" s="101"/>
    </row>
    <row r="2237" spans="3:4">
      <c r="C2237" s="101"/>
      <c r="D2237" s="101"/>
    </row>
    <row r="2238" spans="3:4">
      <c r="C2238" s="101"/>
      <c r="D2238" s="101"/>
    </row>
    <row r="2239" spans="3:4">
      <c r="C2239" s="101"/>
      <c r="D2239" s="101"/>
    </row>
    <row r="2240" spans="3:4">
      <c r="C2240" s="101"/>
      <c r="D2240" s="101"/>
    </row>
    <row r="2241" spans="3:4">
      <c r="C2241" s="101"/>
      <c r="D2241" s="101"/>
    </row>
    <row r="2242" spans="3:4">
      <c r="C2242" s="101"/>
      <c r="D2242" s="101"/>
    </row>
    <row r="2243" spans="3:4">
      <c r="C2243" s="101"/>
      <c r="D2243" s="101"/>
    </row>
    <row r="2244" spans="3:4">
      <c r="C2244" s="101"/>
      <c r="D2244" s="101"/>
    </row>
    <row r="2245" spans="3:4">
      <c r="C2245" s="101"/>
      <c r="D2245" s="101"/>
    </row>
    <row r="2246" spans="3:4">
      <c r="C2246" s="101"/>
      <c r="D2246" s="101"/>
    </row>
    <row r="2247" spans="3:4">
      <c r="C2247" s="101"/>
      <c r="D2247" s="101"/>
    </row>
    <row r="2248" spans="3:4">
      <c r="C2248" s="101"/>
      <c r="D2248" s="101"/>
    </row>
    <row r="2249" spans="3:4">
      <c r="C2249" s="101"/>
      <c r="D2249" s="101"/>
    </row>
    <row r="2250" spans="3:4">
      <c r="C2250" s="101"/>
      <c r="D2250" s="101"/>
    </row>
    <row r="2251" spans="3:4">
      <c r="C2251" s="101"/>
      <c r="D2251" s="101"/>
    </row>
    <row r="2252" spans="3:4">
      <c r="C2252" s="101"/>
      <c r="D2252" s="101"/>
    </row>
    <row r="2253" spans="3:4">
      <c r="C2253" s="101"/>
      <c r="D2253" s="101"/>
    </row>
    <row r="2254" spans="3:4">
      <c r="C2254" s="101"/>
      <c r="D2254" s="101"/>
    </row>
    <row r="2255" spans="3:4">
      <c r="C2255" s="101"/>
      <c r="D2255" s="101"/>
    </row>
    <row r="2256" spans="3:4">
      <c r="C2256" s="101"/>
      <c r="D2256" s="101"/>
    </row>
    <row r="2257" spans="3:4">
      <c r="C2257" s="101"/>
      <c r="D2257" s="101"/>
    </row>
    <row r="2258" spans="3:4">
      <c r="C2258" s="101"/>
      <c r="D2258" s="101"/>
    </row>
    <row r="2259" spans="3:4">
      <c r="C2259" s="101"/>
      <c r="D2259" s="101"/>
    </row>
    <row r="2260" spans="3:4">
      <c r="C2260" s="101"/>
      <c r="D2260" s="101"/>
    </row>
    <row r="2261" spans="3:4">
      <c r="C2261" s="101"/>
      <c r="D2261" s="101"/>
    </row>
    <row r="2262" spans="3:4">
      <c r="C2262" s="101"/>
      <c r="D2262" s="101"/>
    </row>
    <row r="2263" spans="3:4">
      <c r="C2263" s="101"/>
      <c r="D2263" s="101"/>
    </row>
    <row r="2264" spans="3:4">
      <c r="C2264" s="101"/>
      <c r="D2264" s="101"/>
    </row>
    <row r="2265" spans="3:4">
      <c r="C2265" s="101"/>
      <c r="D2265" s="101"/>
    </row>
    <row r="2266" spans="3:4">
      <c r="C2266" s="101"/>
      <c r="D2266" s="101"/>
    </row>
    <row r="2267" spans="3:4">
      <c r="C2267" s="101"/>
      <c r="D2267" s="101"/>
    </row>
    <row r="2268" spans="3:4">
      <c r="C2268" s="101"/>
      <c r="D2268" s="101"/>
    </row>
    <row r="2269" spans="3:4">
      <c r="C2269" s="101"/>
      <c r="D2269" s="101"/>
    </row>
    <row r="2270" spans="3:4">
      <c r="C2270" s="101"/>
      <c r="D2270" s="101"/>
    </row>
    <row r="2271" spans="3:4">
      <c r="C2271" s="101"/>
      <c r="D2271" s="101"/>
    </row>
    <row r="2272" spans="3:4">
      <c r="C2272" s="101"/>
      <c r="D2272" s="101"/>
    </row>
    <row r="2273" spans="3:4">
      <c r="C2273" s="101"/>
      <c r="D2273" s="101"/>
    </row>
    <row r="2274" spans="3:4">
      <c r="C2274" s="101"/>
      <c r="D2274" s="101"/>
    </row>
    <row r="2275" spans="3:4">
      <c r="C2275" s="101"/>
      <c r="D2275" s="101"/>
    </row>
    <row r="2276" spans="3:4">
      <c r="C2276" s="101"/>
      <c r="D2276" s="101"/>
    </row>
    <row r="2277" spans="3:4">
      <c r="C2277" s="101"/>
      <c r="D2277" s="101"/>
    </row>
    <row r="2278" spans="3:4">
      <c r="C2278" s="101"/>
      <c r="D2278" s="101"/>
    </row>
    <row r="2279" spans="3:4">
      <c r="C2279" s="101"/>
      <c r="D2279" s="101"/>
    </row>
    <row r="2280" spans="3:4">
      <c r="C2280" s="101"/>
      <c r="D2280" s="101"/>
    </row>
    <row r="2281" spans="3:4">
      <c r="C2281" s="101"/>
      <c r="D2281" s="101"/>
    </row>
    <row r="2282" spans="3:4">
      <c r="C2282" s="101"/>
      <c r="D2282" s="101"/>
    </row>
    <row r="2283" spans="3:4">
      <c r="C2283" s="101"/>
      <c r="D2283" s="101"/>
    </row>
    <row r="2284" spans="3:4">
      <c r="C2284" s="101"/>
      <c r="D2284" s="101"/>
    </row>
    <row r="2285" spans="3:4">
      <c r="C2285" s="101"/>
      <c r="D2285" s="101"/>
    </row>
    <row r="2286" spans="3:4">
      <c r="C2286" s="101"/>
      <c r="D2286" s="101"/>
    </row>
    <row r="2287" spans="3:4">
      <c r="C2287" s="101"/>
      <c r="D2287" s="101"/>
    </row>
    <row r="2288" spans="3:4">
      <c r="C2288" s="101"/>
      <c r="D2288" s="101"/>
    </row>
    <row r="2289" spans="3:4">
      <c r="C2289" s="101"/>
      <c r="D2289" s="101"/>
    </row>
    <row r="2290" spans="3:4">
      <c r="C2290" s="101"/>
      <c r="D2290" s="101"/>
    </row>
    <row r="2291" spans="3:4">
      <c r="C2291" s="101"/>
      <c r="D2291" s="101"/>
    </row>
    <row r="2292" spans="3:4">
      <c r="C2292" s="101"/>
      <c r="D2292" s="101"/>
    </row>
    <row r="2293" spans="3:4">
      <c r="C2293" s="101"/>
      <c r="D2293" s="101"/>
    </row>
    <row r="2294" spans="3:4">
      <c r="C2294" s="101"/>
      <c r="D2294" s="101"/>
    </row>
    <row r="2295" spans="3:4">
      <c r="C2295" s="101"/>
      <c r="D2295" s="101"/>
    </row>
    <row r="2296" spans="3:4">
      <c r="C2296" s="101"/>
      <c r="D2296" s="101"/>
    </row>
    <row r="2297" spans="3:4">
      <c r="C2297" s="101"/>
      <c r="D2297" s="101"/>
    </row>
    <row r="2298" spans="3:4">
      <c r="C2298" s="101"/>
      <c r="D2298" s="101"/>
    </row>
    <row r="2299" spans="3:4">
      <c r="C2299" s="101"/>
      <c r="D2299" s="101"/>
    </row>
    <row r="2300" spans="3:4">
      <c r="C2300" s="101"/>
      <c r="D2300" s="101"/>
    </row>
    <row r="2301" spans="3:4">
      <c r="C2301" s="101"/>
      <c r="D2301" s="101"/>
    </row>
    <row r="2302" spans="3:4">
      <c r="C2302" s="101"/>
      <c r="D2302" s="101"/>
    </row>
    <row r="2303" spans="3:4">
      <c r="C2303" s="101"/>
      <c r="D2303" s="101"/>
    </row>
    <row r="2304" spans="3:4">
      <c r="C2304" s="101"/>
      <c r="D2304" s="101"/>
    </row>
    <row r="2305" spans="3:4">
      <c r="C2305" s="101"/>
      <c r="D2305" s="101"/>
    </row>
    <row r="2306" spans="3:4">
      <c r="C2306" s="101"/>
      <c r="D2306" s="101"/>
    </row>
    <row r="2307" spans="3:4">
      <c r="C2307" s="101"/>
      <c r="D2307" s="101"/>
    </row>
    <row r="2308" spans="3:4">
      <c r="C2308" s="101"/>
      <c r="D2308" s="101"/>
    </row>
    <row r="2309" spans="3:4">
      <c r="C2309" s="101"/>
      <c r="D2309" s="101"/>
    </row>
    <row r="2310" spans="3:4">
      <c r="C2310" s="101"/>
      <c r="D2310" s="101"/>
    </row>
    <row r="2311" spans="3:4">
      <c r="C2311" s="101"/>
      <c r="D2311" s="101"/>
    </row>
    <row r="2312" spans="3:4">
      <c r="C2312" s="101"/>
      <c r="D2312" s="101"/>
    </row>
    <row r="2313" spans="3:4">
      <c r="C2313" s="101"/>
      <c r="D2313" s="101"/>
    </row>
    <row r="2314" spans="3:4">
      <c r="C2314" s="101"/>
      <c r="D2314" s="101"/>
    </row>
    <row r="2315" spans="3:4">
      <c r="C2315" s="101"/>
      <c r="D2315" s="101"/>
    </row>
    <row r="2316" spans="3:4">
      <c r="C2316" s="101"/>
      <c r="D2316" s="101"/>
    </row>
    <row r="2317" spans="3:4">
      <c r="C2317" s="101"/>
      <c r="D2317" s="101"/>
    </row>
    <row r="2318" spans="3:4">
      <c r="C2318" s="101"/>
      <c r="D2318" s="101"/>
    </row>
    <row r="2319" spans="3:4">
      <c r="C2319" s="101"/>
      <c r="D2319" s="101"/>
    </row>
    <row r="2320" spans="3:4">
      <c r="C2320" s="101"/>
      <c r="D2320" s="101"/>
    </row>
    <row r="2321" spans="3:4">
      <c r="C2321" s="101"/>
      <c r="D2321" s="101"/>
    </row>
    <row r="2322" spans="3:4">
      <c r="C2322" s="101"/>
      <c r="D2322" s="101"/>
    </row>
    <row r="2323" spans="3:4">
      <c r="C2323" s="101"/>
      <c r="D2323" s="101"/>
    </row>
    <row r="2324" spans="3:4">
      <c r="C2324" s="101"/>
      <c r="D2324" s="101"/>
    </row>
    <row r="2325" spans="3:4">
      <c r="C2325" s="101"/>
      <c r="D2325" s="101"/>
    </row>
    <row r="2326" spans="3:4">
      <c r="C2326" s="101"/>
      <c r="D2326" s="101"/>
    </row>
    <row r="2327" spans="3:4">
      <c r="C2327" s="101"/>
      <c r="D2327" s="101"/>
    </row>
    <row r="2328" spans="3:4">
      <c r="C2328" s="101"/>
      <c r="D2328" s="101"/>
    </row>
    <row r="2329" spans="3:4">
      <c r="C2329" s="101"/>
      <c r="D2329" s="101"/>
    </row>
    <row r="2330" spans="3:4">
      <c r="C2330" s="101"/>
      <c r="D2330" s="101"/>
    </row>
    <row r="2331" spans="3:4">
      <c r="C2331" s="101"/>
      <c r="D2331" s="101"/>
    </row>
    <row r="2332" spans="3:4">
      <c r="C2332" s="101"/>
      <c r="D2332" s="101"/>
    </row>
    <row r="2333" spans="3:4">
      <c r="C2333" s="101"/>
      <c r="D2333" s="101"/>
    </row>
    <row r="2334" spans="3:4">
      <c r="C2334" s="101"/>
      <c r="D2334" s="101"/>
    </row>
    <row r="2335" spans="3:4">
      <c r="C2335" s="101"/>
      <c r="D2335" s="101"/>
    </row>
    <row r="2336" spans="3:4">
      <c r="C2336" s="101"/>
      <c r="D2336" s="101"/>
    </row>
    <row r="2337" spans="3:4">
      <c r="C2337" s="101"/>
      <c r="D2337" s="101"/>
    </row>
    <row r="2338" spans="3:4">
      <c r="C2338" s="101"/>
      <c r="D2338" s="101"/>
    </row>
    <row r="2339" spans="3:4">
      <c r="C2339" s="101"/>
      <c r="D2339" s="101"/>
    </row>
    <row r="2340" spans="3:4">
      <c r="C2340" s="101"/>
      <c r="D2340" s="101"/>
    </row>
    <row r="2341" spans="3:4">
      <c r="C2341" s="101"/>
      <c r="D2341" s="101"/>
    </row>
    <row r="2342" spans="3:4">
      <c r="C2342" s="101"/>
      <c r="D2342" s="101"/>
    </row>
    <row r="2343" spans="3:4">
      <c r="C2343" s="101"/>
      <c r="D2343" s="101"/>
    </row>
    <row r="2344" spans="3:4">
      <c r="C2344" s="101"/>
      <c r="D2344" s="101"/>
    </row>
    <row r="2345" spans="3:4">
      <c r="C2345" s="101"/>
      <c r="D2345" s="101"/>
    </row>
    <row r="2346" spans="3:4">
      <c r="C2346" s="101"/>
      <c r="D2346" s="101"/>
    </row>
    <row r="2347" spans="3:4">
      <c r="C2347" s="101"/>
      <c r="D2347" s="101"/>
    </row>
    <row r="2348" spans="3:4">
      <c r="C2348" s="101"/>
      <c r="D2348" s="101"/>
    </row>
    <row r="2349" spans="3:4">
      <c r="C2349" s="101"/>
      <c r="D2349" s="101"/>
    </row>
    <row r="2350" spans="3:4">
      <c r="C2350" s="101"/>
      <c r="D2350" s="101"/>
    </row>
    <row r="2351" spans="3:4">
      <c r="C2351" s="101"/>
      <c r="D2351" s="101"/>
    </row>
    <row r="2352" spans="3:4">
      <c r="C2352" s="101"/>
      <c r="D2352" s="101"/>
    </row>
    <row r="2353" spans="3:4">
      <c r="C2353" s="101"/>
      <c r="D2353" s="101"/>
    </row>
    <row r="2354" spans="3:4">
      <c r="C2354" s="101"/>
      <c r="D2354" s="101"/>
    </row>
    <row r="2355" spans="3:4">
      <c r="C2355" s="101"/>
      <c r="D2355" s="101"/>
    </row>
    <row r="2356" spans="3:4">
      <c r="C2356" s="101"/>
      <c r="D2356" s="101"/>
    </row>
    <row r="2357" spans="3:4">
      <c r="C2357" s="101"/>
      <c r="D2357" s="101"/>
    </row>
    <row r="2358" spans="3:4">
      <c r="C2358" s="101"/>
      <c r="D2358" s="101"/>
    </row>
    <row r="2359" spans="3:4">
      <c r="C2359" s="101"/>
      <c r="D2359" s="101"/>
    </row>
    <row r="2360" spans="3:4">
      <c r="C2360" s="101"/>
      <c r="D2360" s="101"/>
    </row>
    <row r="2361" spans="3:4">
      <c r="C2361" s="101"/>
      <c r="D2361" s="101"/>
    </row>
    <row r="2362" spans="3:4">
      <c r="C2362" s="101"/>
      <c r="D2362" s="101"/>
    </row>
    <row r="2363" spans="3:4">
      <c r="C2363" s="101"/>
      <c r="D2363" s="101"/>
    </row>
    <row r="2364" spans="3:4">
      <c r="C2364" s="101"/>
      <c r="D2364" s="101"/>
    </row>
    <row r="2365" spans="3:4">
      <c r="C2365" s="101"/>
      <c r="D2365" s="101"/>
    </row>
    <row r="2366" spans="3:4">
      <c r="C2366" s="101"/>
      <c r="D2366" s="101"/>
    </row>
    <row r="2367" spans="3:4">
      <c r="C2367" s="101"/>
      <c r="D2367" s="101"/>
    </row>
    <row r="2368" spans="3:4">
      <c r="C2368" s="101"/>
      <c r="D2368" s="101"/>
    </row>
    <row r="2369" spans="3:4">
      <c r="C2369" s="101"/>
      <c r="D2369" s="101"/>
    </row>
    <row r="2370" spans="3:4">
      <c r="C2370" s="101"/>
      <c r="D2370" s="101"/>
    </row>
    <row r="2371" spans="3:4">
      <c r="C2371" s="101"/>
      <c r="D2371" s="101"/>
    </row>
    <row r="2372" spans="3:4">
      <c r="C2372" s="101"/>
      <c r="D2372" s="101"/>
    </row>
    <row r="2373" spans="3:4">
      <c r="C2373" s="101"/>
      <c r="D2373" s="101"/>
    </row>
    <row r="2374" spans="3:4">
      <c r="C2374" s="101"/>
      <c r="D2374" s="101"/>
    </row>
    <row r="2375" spans="3:4">
      <c r="C2375" s="101"/>
      <c r="D2375" s="101"/>
    </row>
    <row r="2376" spans="3:4">
      <c r="C2376" s="101"/>
      <c r="D2376" s="101"/>
    </row>
    <row r="2377" spans="3:4">
      <c r="C2377" s="101"/>
      <c r="D2377" s="101"/>
    </row>
    <row r="2378" spans="3:4">
      <c r="C2378" s="101"/>
      <c r="D2378" s="101"/>
    </row>
    <row r="2379" spans="3:4">
      <c r="C2379" s="101"/>
      <c r="D2379" s="101"/>
    </row>
    <row r="2380" spans="3:4">
      <c r="C2380" s="101"/>
      <c r="D2380" s="101"/>
    </row>
    <row r="2381" spans="3:4">
      <c r="C2381" s="101"/>
      <c r="D2381" s="101"/>
    </row>
    <row r="2382" spans="3:4">
      <c r="C2382" s="101"/>
      <c r="D2382" s="101"/>
    </row>
    <row r="2383" spans="3:4">
      <c r="C2383" s="101"/>
      <c r="D2383" s="101"/>
    </row>
    <row r="2384" spans="3:4">
      <c r="C2384" s="101"/>
      <c r="D2384" s="101"/>
    </row>
    <row r="2385" spans="3:4">
      <c r="C2385" s="101"/>
      <c r="D2385" s="101"/>
    </row>
    <row r="2386" spans="3:4">
      <c r="C2386" s="101"/>
      <c r="D2386" s="101"/>
    </row>
    <row r="2387" spans="3:4">
      <c r="C2387" s="101"/>
      <c r="D2387" s="101"/>
    </row>
    <row r="2388" spans="3:4">
      <c r="C2388" s="101"/>
      <c r="D2388" s="101"/>
    </row>
    <row r="2389" spans="3:4">
      <c r="C2389" s="101"/>
      <c r="D2389" s="101"/>
    </row>
    <row r="2390" spans="3:4">
      <c r="C2390" s="101"/>
      <c r="D2390" s="101"/>
    </row>
    <row r="2391" spans="3:4">
      <c r="C2391" s="101"/>
      <c r="D2391" s="101"/>
    </row>
    <row r="2392" spans="3:4">
      <c r="C2392" s="101"/>
      <c r="D2392" s="101"/>
    </row>
    <row r="2393" spans="3:4">
      <c r="C2393" s="101"/>
      <c r="D2393" s="101"/>
    </row>
    <row r="2394" spans="3:4">
      <c r="C2394" s="101"/>
      <c r="D2394" s="101"/>
    </row>
    <row r="2395" spans="3:4">
      <c r="C2395" s="101"/>
      <c r="D2395" s="101"/>
    </row>
    <row r="2396" spans="3:4">
      <c r="C2396" s="101"/>
      <c r="D2396" s="101"/>
    </row>
    <row r="2397" spans="3:4">
      <c r="C2397" s="101"/>
      <c r="D2397" s="101"/>
    </row>
    <row r="2398" spans="3:4">
      <c r="C2398" s="101"/>
      <c r="D2398" s="101"/>
    </row>
    <row r="2399" spans="3:4">
      <c r="C2399" s="101"/>
      <c r="D2399" s="101"/>
    </row>
    <row r="2400" spans="3:4">
      <c r="C2400" s="101"/>
      <c r="D2400" s="101"/>
    </row>
    <row r="2401" spans="3:4">
      <c r="C2401" s="101"/>
      <c r="D2401" s="101"/>
    </row>
    <row r="2402" spans="3:4">
      <c r="C2402" s="101"/>
      <c r="D2402" s="101"/>
    </row>
    <row r="2403" spans="3:4">
      <c r="C2403" s="101"/>
      <c r="D2403" s="101"/>
    </row>
    <row r="2404" spans="3:4">
      <c r="C2404" s="101"/>
      <c r="D2404" s="101"/>
    </row>
    <row r="2405" spans="3:4">
      <c r="C2405" s="101"/>
      <c r="D2405" s="101"/>
    </row>
    <row r="2406" spans="3:4">
      <c r="C2406" s="101"/>
      <c r="D2406" s="101"/>
    </row>
    <row r="2407" spans="3:4">
      <c r="C2407" s="101"/>
      <c r="D2407" s="101"/>
    </row>
    <row r="2408" spans="3:4">
      <c r="C2408" s="101"/>
      <c r="D2408" s="101"/>
    </row>
    <row r="2409" spans="3:4">
      <c r="C2409" s="101"/>
      <c r="D2409" s="101"/>
    </row>
    <row r="2410" spans="3:4">
      <c r="C2410" s="101"/>
      <c r="D2410" s="101"/>
    </row>
    <row r="2411" spans="3:4">
      <c r="C2411" s="101"/>
      <c r="D2411" s="101"/>
    </row>
    <row r="2412" spans="3:4">
      <c r="C2412" s="101"/>
      <c r="D2412" s="101"/>
    </row>
    <row r="2413" spans="3:4">
      <c r="C2413" s="101"/>
      <c r="D2413" s="101"/>
    </row>
    <row r="2414" spans="3:4">
      <c r="C2414" s="101"/>
      <c r="D2414" s="101"/>
    </row>
    <row r="2415" spans="3:4">
      <c r="C2415" s="101"/>
      <c r="D2415" s="101"/>
    </row>
    <row r="2416" spans="3:4">
      <c r="C2416" s="101"/>
      <c r="D2416" s="101"/>
    </row>
    <row r="2417" spans="3:4">
      <c r="C2417" s="101"/>
      <c r="D2417" s="101"/>
    </row>
    <row r="2418" spans="3:4">
      <c r="C2418" s="101"/>
      <c r="D2418" s="101"/>
    </row>
    <row r="2419" spans="3:4">
      <c r="C2419" s="101"/>
      <c r="D2419" s="101"/>
    </row>
    <row r="2420" spans="3:4">
      <c r="C2420" s="101"/>
      <c r="D2420" s="101"/>
    </row>
    <row r="2421" spans="3:4">
      <c r="C2421" s="101"/>
      <c r="D2421" s="101"/>
    </row>
    <row r="2422" spans="3:4">
      <c r="C2422" s="101"/>
      <c r="D2422" s="101"/>
    </row>
    <row r="2423" spans="3:4">
      <c r="C2423" s="101"/>
      <c r="D2423" s="101"/>
    </row>
    <row r="2424" spans="3:4">
      <c r="C2424" s="101"/>
      <c r="D2424" s="101"/>
    </row>
    <row r="2425" spans="3:4">
      <c r="C2425" s="101"/>
      <c r="D2425" s="101"/>
    </row>
    <row r="2426" spans="3:4">
      <c r="C2426" s="101"/>
      <c r="D2426" s="101"/>
    </row>
    <row r="2427" spans="3:4">
      <c r="C2427" s="101"/>
      <c r="D2427" s="101"/>
    </row>
    <row r="2428" spans="3:4">
      <c r="C2428" s="101"/>
      <c r="D2428" s="101"/>
    </row>
    <row r="2429" spans="3:4">
      <c r="C2429" s="101"/>
      <c r="D2429" s="101"/>
    </row>
    <row r="2430" spans="3:4">
      <c r="C2430" s="101"/>
      <c r="D2430" s="101"/>
    </row>
    <row r="2431" spans="3:4">
      <c r="C2431" s="101"/>
      <c r="D2431" s="101"/>
    </row>
    <row r="2432" spans="3:4">
      <c r="C2432" s="101"/>
      <c r="D2432" s="101"/>
    </row>
    <row r="2433" spans="3:4">
      <c r="C2433" s="101"/>
      <c r="D2433" s="101"/>
    </row>
    <row r="2434" spans="3:4">
      <c r="C2434" s="101"/>
      <c r="D2434" s="101"/>
    </row>
    <row r="2435" spans="3:4">
      <c r="C2435" s="101"/>
      <c r="D2435" s="101"/>
    </row>
    <row r="2436" spans="3:4">
      <c r="C2436" s="101"/>
      <c r="D2436" s="101"/>
    </row>
    <row r="2437" spans="3:4">
      <c r="C2437" s="101"/>
      <c r="D2437" s="101"/>
    </row>
    <row r="2438" spans="3:4">
      <c r="C2438" s="101"/>
      <c r="D2438" s="101"/>
    </row>
    <row r="2439" spans="3:4">
      <c r="C2439" s="101"/>
      <c r="D2439" s="101"/>
    </row>
    <row r="2440" spans="3:4">
      <c r="C2440" s="101"/>
      <c r="D2440" s="101"/>
    </row>
    <row r="2441" spans="3:4">
      <c r="C2441" s="101"/>
      <c r="D2441" s="101"/>
    </row>
    <row r="2442" spans="3:4">
      <c r="C2442" s="101"/>
      <c r="D2442" s="101"/>
    </row>
    <row r="2443" spans="3:4">
      <c r="C2443" s="101"/>
      <c r="D2443" s="101"/>
    </row>
    <row r="2444" spans="3:4">
      <c r="C2444" s="101"/>
      <c r="D2444" s="101"/>
    </row>
    <row r="2445" spans="3:4">
      <c r="C2445" s="101"/>
      <c r="D2445" s="101"/>
    </row>
    <row r="2446" spans="3:4">
      <c r="C2446" s="101"/>
      <c r="D2446" s="101"/>
    </row>
    <row r="2447" spans="3:4">
      <c r="C2447" s="101"/>
      <c r="D2447" s="101"/>
    </row>
    <row r="2448" spans="3:4">
      <c r="C2448" s="101"/>
      <c r="D2448" s="101"/>
    </row>
    <row r="2449" spans="3:4">
      <c r="C2449" s="101"/>
      <c r="D2449" s="101"/>
    </row>
    <row r="2450" spans="3:4">
      <c r="C2450" s="101"/>
      <c r="D2450" s="101"/>
    </row>
    <row r="2451" spans="3:4">
      <c r="C2451" s="101"/>
      <c r="D2451" s="101"/>
    </row>
    <row r="2452" spans="3:4">
      <c r="C2452" s="101"/>
      <c r="D2452" s="101"/>
    </row>
    <row r="2453" spans="3:4">
      <c r="C2453" s="101"/>
      <c r="D2453" s="101"/>
    </row>
    <row r="2454" spans="3:4">
      <c r="C2454" s="101"/>
      <c r="D2454" s="101"/>
    </row>
    <row r="2455" spans="3:4">
      <c r="C2455" s="101"/>
      <c r="D2455" s="101"/>
    </row>
    <row r="2456" spans="3:4">
      <c r="C2456" s="101"/>
      <c r="D2456" s="101"/>
    </row>
    <row r="2457" spans="3:4">
      <c r="C2457" s="101"/>
      <c r="D2457" s="101"/>
    </row>
    <row r="2458" spans="3:4">
      <c r="C2458" s="101"/>
      <c r="D2458" s="101"/>
    </row>
    <row r="2459" spans="3:4">
      <c r="C2459" s="101"/>
      <c r="D2459" s="101"/>
    </row>
    <row r="2460" spans="3:4">
      <c r="C2460" s="101"/>
      <c r="D2460" s="101"/>
    </row>
    <row r="2461" spans="3:4">
      <c r="C2461" s="101"/>
      <c r="D2461" s="101"/>
    </row>
    <row r="2462" spans="3:4">
      <c r="C2462" s="101"/>
      <c r="D2462" s="101"/>
    </row>
    <row r="2463" spans="3:4">
      <c r="C2463" s="101"/>
      <c r="D2463" s="101"/>
    </row>
    <row r="2464" spans="3:4">
      <c r="C2464" s="101"/>
      <c r="D2464" s="101"/>
    </row>
    <row r="2465" spans="3:4">
      <c r="C2465" s="101"/>
      <c r="D2465" s="101"/>
    </row>
    <row r="2466" spans="3:4">
      <c r="C2466" s="101"/>
      <c r="D2466" s="101"/>
    </row>
    <row r="2467" spans="3:4">
      <c r="C2467" s="101"/>
      <c r="D2467" s="101"/>
    </row>
    <row r="2468" spans="3:4">
      <c r="C2468" s="101"/>
      <c r="D2468" s="101"/>
    </row>
    <row r="2469" spans="3:4">
      <c r="C2469" s="101"/>
      <c r="D2469" s="101"/>
    </row>
    <row r="2470" spans="3:4">
      <c r="C2470" s="101"/>
      <c r="D2470" s="101"/>
    </row>
    <row r="2471" spans="3:4">
      <c r="C2471" s="101"/>
      <c r="D2471" s="101"/>
    </row>
    <row r="2472" spans="3:4">
      <c r="C2472" s="101"/>
      <c r="D2472" s="101"/>
    </row>
    <row r="2473" spans="3:4">
      <c r="C2473" s="101"/>
      <c r="D2473" s="101"/>
    </row>
    <row r="2474" spans="3:4">
      <c r="C2474" s="101"/>
      <c r="D2474" s="101"/>
    </row>
    <row r="2475" spans="3:4">
      <c r="C2475" s="101"/>
      <c r="D2475" s="101"/>
    </row>
    <row r="2476" spans="3:4">
      <c r="C2476" s="101"/>
      <c r="D2476" s="101"/>
    </row>
    <row r="2477" spans="3:4">
      <c r="C2477" s="101"/>
      <c r="D2477" s="101"/>
    </row>
    <row r="2478" spans="3:4">
      <c r="C2478" s="101"/>
      <c r="D2478" s="101"/>
    </row>
    <row r="2479" spans="3:4">
      <c r="C2479" s="101"/>
      <c r="D2479" s="101"/>
    </row>
    <row r="2480" spans="3:4">
      <c r="C2480" s="101"/>
      <c r="D2480" s="101"/>
    </row>
    <row r="2481" spans="3:4">
      <c r="C2481" s="101"/>
      <c r="D2481" s="101"/>
    </row>
    <row r="2482" spans="3:4">
      <c r="C2482" s="101"/>
      <c r="D2482" s="101"/>
    </row>
    <row r="2483" spans="3:4">
      <c r="C2483" s="101"/>
      <c r="D2483" s="101"/>
    </row>
    <row r="2484" spans="3:4">
      <c r="C2484" s="101"/>
      <c r="D2484" s="101"/>
    </row>
    <row r="2485" spans="3:4">
      <c r="C2485" s="101"/>
      <c r="D2485" s="101"/>
    </row>
    <row r="2486" spans="3:4">
      <c r="C2486" s="101"/>
      <c r="D2486" s="101"/>
    </row>
    <row r="2487" spans="3:4">
      <c r="C2487" s="101"/>
      <c r="D2487" s="101"/>
    </row>
    <row r="2488" spans="3:4">
      <c r="C2488" s="101"/>
      <c r="D2488" s="101"/>
    </row>
    <row r="2489" spans="3:4">
      <c r="C2489" s="101"/>
      <c r="D2489" s="101"/>
    </row>
    <row r="2490" spans="3:4">
      <c r="C2490" s="101"/>
      <c r="D2490" s="101"/>
    </row>
    <row r="2491" spans="3:4">
      <c r="C2491" s="101"/>
      <c r="D2491" s="101"/>
    </row>
    <row r="2492" spans="3:4">
      <c r="C2492" s="101"/>
      <c r="D2492" s="101"/>
    </row>
    <row r="2493" spans="3:4">
      <c r="C2493" s="101"/>
      <c r="D2493" s="101"/>
    </row>
    <row r="2494" spans="3:4">
      <c r="C2494" s="101"/>
      <c r="D2494" s="101"/>
    </row>
    <row r="2495" spans="3:4">
      <c r="C2495" s="101"/>
      <c r="D2495" s="101"/>
    </row>
    <row r="2496" spans="3:4">
      <c r="C2496" s="101"/>
      <c r="D2496" s="101"/>
    </row>
    <row r="2497" spans="3:4">
      <c r="C2497" s="101"/>
      <c r="D2497" s="101"/>
    </row>
    <row r="2498" spans="3:4">
      <c r="C2498" s="101"/>
      <c r="D2498" s="101"/>
    </row>
    <row r="2499" spans="3:4">
      <c r="C2499" s="101"/>
      <c r="D2499" s="101"/>
    </row>
    <row r="2500" spans="3:4">
      <c r="C2500" s="101"/>
      <c r="D2500" s="101"/>
    </row>
    <row r="2501" spans="3:4">
      <c r="C2501" s="101"/>
      <c r="D2501" s="101"/>
    </row>
    <row r="2502" spans="3:4">
      <c r="C2502" s="101"/>
      <c r="D2502" s="101"/>
    </row>
    <row r="2503" spans="3:4">
      <c r="C2503" s="101"/>
      <c r="D2503" s="101"/>
    </row>
    <row r="2504" spans="3:4">
      <c r="C2504" s="101"/>
      <c r="D2504" s="101"/>
    </row>
    <row r="2505" spans="3:4">
      <c r="C2505" s="101"/>
      <c r="D2505" s="101"/>
    </row>
    <row r="2506" spans="3:4">
      <c r="C2506" s="101"/>
      <c r="D2506" s="101"/>
    </row>
    <row r="2507" spans="3:4">
      <c r="C2507" s="101"/>
      <c r="D2507" s="101"/>
    </row>
    <row r="2508" spans="3:4">
      <c r="C2508" s="101"/>
      <c r="D2508" s="101"/>
    </row>
    <row r="2509" spans="3:4">
      <c r="C2509" s="101"/>
      <c r="D2509" s="101"/>
    </row>
    <row r="2510" spans="3:4">
      <c r="C2510" s="101"/>
      <c r="D2510" s="101"/>
    </row>
    <row r="2511" spans="3:4">
      <c r="C2511" s="101"/>
      <c r="D2511" s="101"/>
    </row>
    <row r="2512" spans="3:4">
      <c r="C2512" s="101"/>
      <c r="D2512" s="101"/>
    </row>
    <row r="2513" spans="3:4">
      <c r="C2513" s="101"/>
      <c r="D2513" s="101"/>
    </row>
    <row r="2514" spans="3:4">
      <c r="C2514" s="101"/>
      <c r="D2514" s="101"/>
    </row>
    <row r="2515" spans="3:4">
      <c r="C2515" s="101"/>
      <c r="D2515" s="101"/>
    </row>
    <row r="2516" spans="3:4">
      <c r="C2516" s="101"/>
      <c r="D2516" s="101"/>
    </row>
    <row r="2517" spans="3:4">
      <c r="C2517" s="101"/>
      <c r="D2517" s="101"/>
    </row>
    <row r="2518" spans="3:4">
      <c r="C2518" s="101"/>
      <c r="D2518" s="101"/>
    </row>
    <row r="2519" spans="3:4">
      <c r="C2519" s="101"/>
      <c r="D2519" s="101"/>
    </row>
    <row r="2520" spans="3:4">
      <c r="C2520" s="101"/>
      <c r="D2520" s="101"/>
    </row>
    <row r="2521" spans="3:4">
      <c r="C2521" s="101"/>
      <c r="D2521" s="101"/>
    </row>
    <row r="2522" spans="3:4">
      <c r="C2522" s="101"/>
      <c r="D2522" s="101"/>
    </row>
    <row r="2523" spans="3:4">
      <c r="C2523" s="101"/>
      <c r="D2523" s="101"/>
    </row>
    <row r="2524" spans="3:4">
      <c r="C2524" s="101"/>
      <c r="D2524" s="101"/>
    </row>
    <row r="2525" spans="3:4">
      <c r="C2525" s="101"/>
      <c r="D2525" s="101"/>
    </row>
    <row r="2526" spans="3:4">
      <c r="C2526" s="101"/>
      <c r="D2526" s="101"/>
    </row>
    <row r="2527" spans="3:4">
      <c r="C2527" s="101"/>
      <c r="D2527" s="101"/>
    </row>
    <row r="2528" spans="3:4">
      <c r="C2528" s="101"/>
      <c r="D2528" s="101"/>
    </row>
    <row r="2529" spans="3:4">
      <c r="C2529" s="101"/>
      <c r="D2529" s="101"/>
    </row>
    <row r="2530" spans="3:4">
      <c r="C2530" s="101"/>
      <c r="D2530" s="101"/>
    </row>
    <row r="2531" spans="3:4">
      <c r="C2531" s="101"/>
      <c r="D2531" s="101"/>
    </row>
    <row r="2532" spans="3:4">
      <c r="C2532" s="101"/>
      <c r="D2532" s="101"/>
    </row>
    <row r="2533" spans="3:4">
      <c r="C2533" s="101"/>
      <c r="D2533" s="101"/>
    </row>
    <row r="2534" spans="3:4">
      <c r="C2534" s="101"/>
      <c r="D2534" s="101"/>
    </row>
    <row r="2535" spans="3:4">
      <c r="C2535" s="101"/>
      <c r="D2535" s="101"/>
    </row>
    <row r="2536" spans="3:4">
      <c r="C2536" s="101"/>
      <c r="D2536" s="101"/>
    </row>
    <row r="2537" spans="3:4">
      <c r="C2537" s="101"/>
      <c r="D2537" s="101"/>
    </row>
    <row r="2538" spans="3:4">
      <c r="C2538" s="101"/>
      <c r="D2538" s="101"/>
    </row>
    <row r="2539" spans="3:4">
      <c r="C2539" s="101"/>
      <c r="D2539" s="101"/>
    </row>
    <row r="2540" spans="3:4">
      <c r="C2540" s="101"/>
      <c r="D2540" s="101"/>
    </row>
    <row r="2541" spans="3:4">
      <c r="C2541" s="101"/>
      <c r="D2541" s="101"/>
    </row>
    <row r="2542" spans="3:4">
      <c r="C2542" s="101"/>
      <c r="D2542" s="101"/>
    </row>
    <row r="2543" spans="3:4">
      <c r="C2543" s="101"/>
      <c r="D2543" s="101"/>
    </row>
    <row r="2544" spans="3:4">
      <c r="C2544" s="101"/>
      <c r="D2544" s="101"/>
    </row>
    <row r="2545" spans="3:4">
      <c r="C2545" s="101"/>
      <c r="D2545" s="101"/>
    </row>
    <row r="2546" spans="3:4">
      <c r="C2546" s="101"/>
      <c r="D2546" s="101"/>
    </row>
    <row r="2547" spans="3:4">
      <c r="C2547" s="101"/>
      <c r="D2547" s="101"/>
    </row>
    <row r="2548" spans="3:4">
      <c r="C2548" s="101"/>
      <c r="D2548" s="101"/>
    </row>
    <row r="2549" spans="3:4">
      <c r="C2549" s="101"/>
      <c r="D2549" s="101"/>
    </row>
    <row r="2550" spans="3:4">
      <c r="C2550" s="101"/>
      <c r="D2550" s="101"/>
    </row>
    <row r="2551" spans="3:4">
      <c r="C2551" s="101"/>
      <c r="D2551" s="101"/>
    </row>
    <row r="2552" spans="3:4">
      <c r="C2552" s="101"/>
      <c r="D2552" s="101"/>
    </row>
    <row r="2553" spans="3:4">
      <c r="C2553" s="101"/>
      <c r="D2553" s="101"/>
    </row>
    <row r="2554" spans="3:4">
      <c r="C2554" s="101"/>
      <c r="D2554" s="101"/>
    </row>
    <row r="2555" spans="3:4">
      <c r="C2555" s="101"/>
      <c r="D2555" s="101"/>
    </row>
    <row r="2556" spans="3:4">
      <c r="C2556" s="101"/>
      <c r="D2556" s="101"/>
    </row>
    <row r="2557" spans="3:4">
      <c r="C2557" s="101"/>
      <c r="D2557" s="101"/>
    </row>
    <row r="2558" spans="3:4">
      <c r="C2558" s="101"/>
      <c r="D2558" s="101"/>
    </row>
    <row r="2559" spans="3:4">
      <c r="C2559" s="101"/>
      <c r="D2559" s="101"/>
    </row>
    <row r="2560" spans="3:4">
      <c r="C2560" s="101"/>
      <c r="D2560" s="101"/>
    </row>
    <row r="2561" spans="3:4">
      <c r="C2561" s="101"/>
      <c r="D2561" s="101"/>
    </row>
    <row r="2562" spans="3:4">
      <c r="C2562" s="101"/>
      <c r="D2562" s="101"/>
    </row>
    <row r="2563" spans="3:4">
      <c r="C2563" s="101"/>
      <c r="D2563" s="101"/>
    </row>
    <row r="2564" spans="3:4">
      <c r="C2564" s="101"/>
      <c r="D2564" s="101"/>
    </row>
    <row r="2565" spans="3:4">
      <c r="C2565" s="101"/>
      <c r="D2565" s="101"/>
    </row>
    <row r="2566" spans="3:4">
      <c r="C2566" s="101"/>
      <c r="D2566" s="101"/>
    </row>
    <row r="2567" spans="3:4">
      <c r="C2567" s="101"/>
      <c r="D2567" s="101"/>
    </row>
    <row r="2568" spans="3:4">
      <c r="C2568" s="101"/>
      <c r="D2568" s="101"/>
    </row>
    <row r="2569" spans="3:4">
      <c r="C2569" s="101"/>
      <c r="D2569" s="101"/>
    </row>
    <row r="2570" spans="3:4">
      <c r="C2570" s="101"/>
      <c r="D2570" s="101"/>
    </row>
    <row r="2571" spans="3:4">
      <c r="C2571" s="101"/>
      <c r="D2571" s="101"/>
    </row>
    <row r="2572" spans="3:4">
      <c r="C2572" s="101"/>
      <c r="D2572" s="101"/>
    </row>
    <row r="2573" spans="3:4">
      <c r="C2573" s="101"/>
      <c r="D2573" s="101"/>
    </row>
    <row r="2574" spans="3:4">
      <c r="C2574" s="101"/>
      <c r="D2574" s="101"/>
    </row>
    <row r="2575" spans="3:4">
      <c r="C2575" s="101"/>
      <c r="D2575" s="101"/>
    </row>
    <row r="2576" spans="3:4">
      <c r="C2576" s="101"/>
      <c r="D2576" s="101"/>
    </row>
    <row r="2577" spans="3:4">
      <c r="C2577" s="101"/>
      <c r="D2577" s="101"/>
    </row>
    <row r="2578" spans="3:4">
      <c r="C2578" s="101"/>
      <c r="D2578" s="101"/>
    </row>
    <row r="2579" spans="3:4">
      <c r="C2579" s="101"/>
      <c r="D2579" s="101"/>
    </row>
    <row r="2580" spans="3:4">
      <c r="C2580" s="101"/>
      <c r="D2580" s="101"/>
    </row>
    <row r="2581" spans="3:4">
      <c r="C2581" s="101"/>
      <c r="D2581" s="101"/>
    </row>
    <row r="2582" spans="3:4">
      <c r="C2582" s="101"/>
      <c r="D2582" s="101"/>
    </row>
  </sheetData>
  <mergeCells count="2">
    <mergeCell ref="S51:T51"/>
    <mergeCell ref="W51:X51"/>
  </mergeCells>
  <conditionalFormatting pivot="1" sqref="E11:G24">
    <cfRule type="iconSet" priority="17">
      <iconSet reverse="1">
        <cfvo type="percent" val="0"/>
        <cfvo type="percent" val="0" gte="0"/>
        <cfvo type="percent" val="30"/>
      </iconSet>
    </cfRule>
  </conditionalFormatting>
  <conditionalFormatting pivot="1" sqref="L11:N20">
    <cfRule type="iconSet" priority="13">
      <iconSet reverse="1">
        <cfvo type="percent" val="0"/>
        <cfvo type="percent" val="0" gte="0"/>
        <cfvo type="percent" val="30"/>
      </iconSet>
    </cfRule>
  </conditionalFormatting>
  <conditionalFormatting pivot="1" sqref="D81:D93">
    <cfRule type="iconSet" priority="8">
      <iconSet reverse="1">
        <cfvo type="percent" val="0"/>
        <cfvo type="num" val="0" gte="0"/>
        <cfvo type="num" val="0.3"/>
      </iconSet>
    </cfRule>
  </conditionalFormatting>
  <conditionalFormatting pivot="1" sqref="D102:D110">
    <cfRule type="iconSet" priority="7">
      <iconSet reverse="1">
        <cfvo type="percent" val="0"/>
        <cfvo type="num" val="0" gte="0"/>
        <cfvo type="num" val="0.3"/>
      </iconSet>
    </cfRule>
  </conditionalFormatting>
  <conditionalFormatting pivot="1" sqref="D188:D200">
    <cfRule type="iconSet" priority="6">
      <iconSet>
        <cfvo type="percent" val="0"/>
        <cfvo type="num" val="0" gte="0"/>
        <cfvo type="num" val="0.3"/>
      </iconSet>
    </cfRule>
  </conditionalFormatting>
  <conditionalFormatting pivot="1" sqref="L189:L197">
    <cfRule type="iconSet" priority="5">
      <iconSet reverse="1">
        <cfvo type="percent" val="0"/>
        <cfvo type="num" val="0" gte="0"/>
        <cfvo type="num" val="0.3"/>
      </iconSet>
    </cfRule>
  </conditionalFormatting>
  <conditionalFormatting pivot="1" sqref="D268:D280">
    <cfRule type="iconSet" priority="4">
      <iconSet reverse="1">
        <cfvo type="percent" val="0"/>
        <cfvo type="num" val="0" gte="0"/>
        <cfvo type="num" val="0.3"/>
      </iconSet>
    </cfRule>
  </conditionalFormatting>
  <conditionalFormatting pivot="1" sqref="M267:M275">
    <cfRule type="iconSet" priority="3">
      <iconSet reverse="1">
        <cfvo type="percent" val="0"/>
        <cfvo type="num" val="0" gte="0"/>
        <cfvo type="num" val="0.3"/>
      </iconSet>
    </cfRule>
  </conditionalFormatting>
  <pageMargins left="0.7" right="0.7" top="0.75" bottom="0.75" header="0.3" footer="0.3"/>
  <pageSetup orientation="portrait" r:id="rId35"/>
  <drawing r:id="rId36"/>
  <extLst>
    <ext xmlns:x14="http://schemas.microsoft.com/office/spreadsheetml/2009/9/main" uri="{78C0D931-6437-407d-A8EE-F0AAD7539E65}">
      <x14:conditionalFormattings>
        <x14:conditionalFormatting xmlns:xm="http://schemas.microsoft.com/office/excel/2006/main">
          <x14:cfRule type="iconSet" priority="12373" id="{1A71B69E-74E6-42B2-A144-96599EED825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L26:N26</xm:sqref>
        </x14:conditionalFormatting>
      </x14:conditionalFormattings>
    </ext>
    <ext xmlns:x14="http://schemas.microsoft.com/office/spreadsheetml/2009/9/main" uri="{A8765BA9-456A-4dab-B4F3-ACF838C121DE}">
      <x14:slicerList>
        <x14:slicer r:id="rId37"/>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8935-E321-45A1-98C7-11296EEBD9D6}">
  <dimension ref="A2:H94"/>
  <sheetViews>
    <sheetView topLeftCell="B1" workbookViewId="0">
      <selection activeCell="F7" sqref="F7:G20"/>
    </sheetView>
  </sheetViews>
  <sheetFormatPr defaultRowHeight="15.5"/>
  <cols>
    <col min="1" max="1" width="25.58203125" customWidth="1"/>
    <col min="2" max="3" width="27.33203125" bestFit="1" customWidth="1"/>
    <col min="4" max="4" width="4.08203125" bestFit="1" customWidth="1"/>
    <col min="7" max="7" width="20" bestFit="1" customWidth="1"/>
  </cols>
  <sheetData>
    <row r="2" spans="1:8">
      <c r="C2" s="420"/>
      <c r="D2" s="420"/>
    </row>
    <row r="3" spans="1:8">
      <c r="A3" s="426" t="s">
        <v>20</v>
      </c>
      <c r="B3" s="420" t="s">
        <v>1476</v>
      </c>
      <c r="C3" s="420"/>
      <c r="D3" s="420"/>
    </row>
    <row r="4" spans="1:8">
      <c r="A4" s="426" t="s">
        <v>34</v>
      </c>
      <c r="B4" s="420" t="s">
        <v>34</v>
      </c>
      <c r="C4" s="420"/>
      <c r="D4" s="420"/>
    </row>
    <row r="6" spans="1:8">
      <c r="A6" s="426" t="s">
        <v>21</v>
      </c>
      <c r="B6" s="426" t="s">
        <v>1764</v>
      </c>
      <c r="C6" s="426" t="s">
        <v>1766</v>
      </c>
      <c r="F6" s="164" t="s">
        <v>21</v>
      </c>
      <c r="G6" s="164" t="s">
        <v>1764</v>
      </c>
      <c r="H6" s="164" t="s">
        <v>1766</v>
      </c>
    </row>
    <row r="7" spans="1:8">
      <c r="A7" s="420" t="s">
        <v>37</v>
      </c>
      <c r="B7" s="420" t="s">
        <v>919</v>
      </c>
      <c r="C7" s="420" t="s">
        <v>141</v>
      </c>
      <c r="F7" s="159" t="s">
        <v>37</v>
      </c>
      <c r="G7" s="159" t="s">
        <v>919</v>
      </c>
      <c r="H7" s="420" t="s">
        <v>141</v>
      </c>
    </row>
    <row r="8" spans="1:8">
      <c r="A8" s="420" t="s">
        <v>37</v>
      </c>
      <c r="B8" s="420" t="s">
        <v>3077</v>
      </c>
      <c r="C8" s="420" t="s">
        <v>141</v>
      </c>
      <c r="F8" s="159" t="s">
        <v>37</v>
      </c>
      <c r="G8" s="159" t="s">
        <v>3113</v>
      </c>
      <c r="H8" s="420" t="s">
        <v>141</v>
      </c>
    </row>
    <row r="9" spans="1:8">
      <c r="A9" s="420" t="s">
        <v>37</v>
      </c>
      <c r="B9" s="420" t="s">
        <v>141</v>
      </c>
      <c r="C9" s="420" t="s">
        <v>141</v>
      </c>
      <c r="F9" s="159" t="s">
        <v>37</v>
      </c>
      <c r="G9" s="159" t="s">
        <v>141</v>
      </c>
      <c r="H9" s="420" t="s">
        <v>141</v>
      </c>
    </row>
    <row r="10" spans="1:8">
      <c r="A10" s="420" t="s">
        <v>37</v>
      </c>
      <c r="B10" s="420" t="s">
        <v>2806</v>
      </c>
      <c r="C10" s="420" t="s">
        <v>141</v>
      </c>
      <c r="F10" s="159" t="s">
        <v>37</v>
      </c>
      <c r="G10" s="159" t="s">
        <v>2081</v>
      </c>
      <c r="H10" s="420" t="s">
        <v>141</v>
      </c>
    </row>
    <row r="11" spans="1:8">
      <c r="A11" s="420" t="s">
        <v>37</v>
      </c>
      <c r="B11" s="420" t="s">
        <v>2809</v>
      </c>
      <c r="C11" s="420" t="s">
        <v>141</v>
      </c>
      <c r="F11" s="159" t="s">
        <v>37</v>
      </c>
      <c r="G11" s="159" t="s">
        <v>36</v>
      </c>
      <c r="H11" s="420" t="s">
        <v>36</v>
      </c>
    </row>
    <row r="12" spans="1:8">
      <c r="A12" s="420" t="s">
        <v>37</v>
      </c>
      <c r="B12" s="420" t="s">
        <v>36</v>
      </c>
      <c r="C12" s="420" t="s">
        <v>36</v>
      </c>
      <c r="F12" s="159" t="s">
        <v>37</v>
      </c>
      <c r="G12" s="159" t="s">
        <v>192</v>
      </c>
      <c r="H12" s="420" t="s">
        <v>192</v>
      </c>
    </row>
    <row r="13" spans="1:8">
      <c r="A13" s="420" t="s">
        <v>37</v>
      </c>
      <c r="B13" s="420" t="s">
        <v>2730</v>
      </c>
      <c r="C13" s="420" t="s">
        <v>2730</v>
      </c>
      <c r="F13" s="159" t="s">
        <v>37</v>
      </c>
      <c r="G13" s="159" t="s">
        <v>242</v>
      </c>
      <c r="H13" s="420" t="s">
        <v>242</v>
      </c>
    </row>
    <row r="14" spans="1:8">
      <c r="A14" s="420" t="s">
        <v>37</v>
      </c>
      <c r="B14" s="420" t="s">
        <v>192</v>
      </c>
      <c r="C14" s="420" t="s">
        <v>192</v>
      </c>
      <c r="F14" s="159" t="s">
        <v>37</v>
      </c>
      <c r="G14" s="159" t="s">
        <v>276</v>
      </c>
      <c r="H14" s="420" t="s">
        <v>276</v>
      </c>
    </row>
    <row r="15" spans="1:8">
      <c r="A15" s="420" t="s">
        <v>37</v>
      </c>
      <c r="B15" s="420" t="s">
        <v>2081</v>
      </c>
      <c r="C15" s="420" t="s">
        <v>141</v>
      </c>
      <c r="F15" s="159" t="s">
        <v>37</v>
      </c>
      <c r="G15" s="159" t="s">
        <v>2675</v>
      </c>
      <c r="H15" s="420" t="s">
        <v>2675</v>
      </c>
    </row>
    <row r="16" spans="1:8">
      <c r="A16" s="420" t="s">
        <v>37</v>
      </c>
      <c r="B16" s="420" t="s">
        <v>3073</v>
      </c>
      <c r="C16" s="420" t="s">
        <v>141</v>
      </c>
      <c r="F16" s="159" t="s">
        <v>37</v>
      </c>
      <c r="G16" s="159" t="s">
        <v>291</v>
      </c>
      <c r="H16" s="420" t="s">
        <v>291</v>
      </c>
    </row>
    <row r="17" spans="1:8">
      <c r="A17" s="420" t="s">
        <v>37</v>
      </c>
      <c r="B17" s="420" t="s">
        <v>3082</v>
      </c>
      <c r="F17" s="163" t="s">
        <v>37</v>
      </c>
      <c r="G17" s="159" t="s">
        <v>2161</v>
      </c>
      <c r="H17" s="420" t="s">
        <v>2423</v>
      </c>
    </row>
    <row r="18" spans="1:8">
      <c r="A18" s="420" t="s">
        <v>37</v>
      </c>
      <c r="B18" s="420" t="s">
        <v>3041</v>
      </c>
      <c r="C18" s="420" t="s">
        <v>3042</v>
      </c>
      <c r="F18" s="159" t="s">
        <v>515</v>
      </c>
      <c r="G18" s="159" t="s">
        <v>2161</v>
      </c>
      <c r="H18" s="420" t="s">
        <v>2161</v>
      </c>
    </row>
    <row r="19" spans="1:8">
      <c r="A19" s="420" t="s">
        <v>37</v>
      </c>
      <c r="B19" s="420" t="s">
        <v>242</v>
      </c>
      <c r="C19" s="420" t="s">
        <v>242</v>
      </c>
      <c r="F19" s="159" t="s">
        <v>515</v>
      </c>
      <c r="G19" s="159" t="s">
        <v>192</v>
      </c>
      <c r="H19" s="420" t="s">
        <v>192</v>
      </c>
    </row>
    <row r="20" spans="1:8">
      <c r="A20" s="420" t="s">
        <v>37</v>
      </c>
      <c r="B20" s="420" t="s">
        <v>276</v>
      </c>
      <c r="C20" s="420" t="s">
        <v>276</v>
      </c>
      <c r="F20" s="159" t="s">
        <v>515</v>
      </c>
      <c r="G20" s="159" t="s">
        <v>36</v>
      </c>
      <c r="H20" s="420" t="s">
        <v>2359</v>
      </c>
    </row>
    <row r="21" spans="1:8">
      <c r="A21" s="420" t="s">
        <v>37</v>
      </c>
      <c r="B21" s="420" t="s">
        <v>276</v>
      </c>
      <c r="C21" s="420" t="s">
        <v>959</v>
      </c>
    </row>
    <row r="22" spans="1:8">
      <c r="A22" s="420" t="s">
        <v>37</v>
      </c>
      <c r="B22" s="420" t="s">
        <v>2675</v>
      </c>
      <c r="C22" s="420" t="s">
        <v>2675</v>
      </c>
    </row>
    <row r="23" spans="1:8">
      <c r="A23" s="420" t="s">
        <v>37</v>
      </c>
      <c r="B23" s="420" t="s">
        <v>291</v>
      </c>
      <c r="C23" s="420" t="s">
        <v>291</v>
      </c>
    </row>
    <row r="24" spans="1:8">
      <c r="A24" s="420" t="s">
        <v>37</v>
      </c>
      <c r="B24" s="420" t="s">
        <v>2423</v>
      </c>
      <c r="C24" s="420" t="s">
        <v>2423</v>
      </c>
    </row>
    <row r="25" spans="1:8">
      <c r="A25" s="420" t="s">
        <v>515</v>
      </c>
      <c r="B25" s="420" t="s">
        <v>2161</v>
      </c>
      <c r="C25" s="420" t="s">
        <v>2161</v>
      </c>
      <c r="D25" s="420"/>
    </row>
    <row r="26" spans="1:8">
      <c r="A26" s="420" t="s">
        <v>515</v>
      </c>
      <c r="B26" s="420" t="s">
        <v>192</v>
      </c>
      <c r="C26" s="420" t="s">
        <v>192</v>
      </c>
      <c r="D26" s="420"/>
    </row>
    <row r="27" spans="1:8">
      <c r="A27" s="420" t="s">
        <v>515</v>
      </c>
      <c r="B27" s="420" t="s">
        <v>2359</v>
      </c>
      <c r="C27" s="420" t="s">
        <v>2359</v>
      </c>
      <c r="D27" s="420"/>
    </row>
    <row r="28" spans="1:8">
      <c r="A28" s="420" t="s">
        <v>515</v>
      </c>
      <c r="B28" s="420" t="s">
        <v>2769</v>
      </c>
      <c r="C28" s="420" t="s">
        <v>2359</v>
      </c>
      <c r="D28" s="420"/>
    </row>
    <row r="29" spans="1:8">
      <c r="A29" s="420" t="s">
        <v>515</v>
      </c>
      <c r="B29" s="420" t="s">
        <v>2769</v>
      </c>
      <c r="C29" s="420" t="s">
        <v>2770</v>
      </c>
      <c r="D29" s="420"/>
    </row>
    <row r="30" spans="1:8">
      <c r="D30" s="420"/>
    </row>
    <row r="31" spans="1:8">
      <c r="D31" s="420"/>
    </row>
    <row r="32" spans="1:8">
      <c r="D32" s="420"/>
    </row>
    <row r="33" spans="4:4">
      <c r="D33" s="491"/>
    </row>
    <row r="34" spans="4:4">
      <c r="D34" s="491"/>
    </row>
    <row r="35" spans="4:4">
      <c r="D35" s="491"/>
    </row>
    <row r="36" spans="4:4">
      <c r="D36" s="491"/>
    </row>
    <row r="37" spans="4:4">
      <c r="D37" s="491"/>
    </row>
    <row r="38" spans="4:4">
      <c r="D38" s="491"/>
    </row>
    <row r="39" spans="4:4">
      <c r="D39" s="491"/>
    </row>
    <row r="40" spans="4:4">
      <c r="D40" s="491"/>
    </row>
    <row r="41" spans="4:4">
      <c r="D41" s="491"/>
    </row>
    <row r="42" spans="4:4">
      <c r="D42" s="491"/>
    </row>
    <row r="43" spans="4:4">
      <c r="D43" s="491"/>
    </row>
    <row r="44" spans="4:4">
      <c r="D44" s="491"/>
    </row>
    <row r="94" spans="1:2">
      <c r="A94" s="426"/>
      <c r="B94" s="426"/>
    </row>
  </sheetData>
  <phoneticPr fontId="149" type="noConversion"/>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50BE5-0F45-4A34-9583-B71B613DD3E7}">
  <dimension ref="B1:L80"/>
  <sheetViews>
    <sheetView workbookViewId="0">
      <selection activeCell="K1" sqref="K1:L1048576"/>
    </sheetView>
  </sheetViews>
  <sheetFormatPr defaultRowHeight="15.5"/>
  <cols>
    <col min="2" max="2" width="18.33203125" customWidth="1"/>
    <col min="3" max="3" width="18.1640625" customWidth="1"/>
    <col min="4" max="4" width="10.6640625" customWidth="1"/>
    <col min="6" max="6" width="28.6640625" bestFit="1" customWidth="1"/>
    <col min="7" max="7" width="24.83203125" bestFit="1" customWidth="1"/>
    <col min="9" max="9" width="11.9140625" bestFit="1" customWidth="1"/>
    <col min="10" max="10" width="24.83203125" bestFit="1" customWidth="1"/>
  </cols>
  <sheetData>
    <row r="1" spans="2:12">
      <c r="B1" t="s">
        <v>21</v>
      </c>
      <c r="C1" t="s">
        <v>2937</v>
      </c>
      <c r="D1" t="s">
        <v>2938</v>
      </c>
      <c r="F1" s="426" t="s">
        <v>21</v>
      </c>
      <c r="G1" s="426" t="s">
        <v>2937</v>
      </c>
      <c r="I1" s="164" t="s">
        <v>21</v>
      </c>
      <c r="J1" s="164" t="s">
        <v>2937</v>
      </c>
    </row>
    <row r="2" spans="2:12">
      <c r="B2" s="159" t="s">
        <v>37</v>
      </c>
      <c r="C2" s="420" t="s">
        <v>141</v>
      </c>
      <c r="D2" t="s">
        <v>2689</v>
      </c>
      <c r="F2" s="420" t="s">
        <v>2749</v>
      </c>
      <c r="G2" s="420" t="s">
        <v>311</v>
      </c>
      <c r="I2" s="159" t="s">
        <v>2751</v>
      </c>
      <c r="J2" s="420" t="s">
        <v>2939</v>
      </c>
      <c r="K2" s="159"/>
      <c r="L2" s="420"/>
    </row>
    <row r="3" spans="2:12">
      <c r="B3" s="159" t="s">
        <v>37</v>
      </c>
      <c r="C3" s="420" t="s">
        <v>36</v>
      </c>
      <c r="D3" s="420" t="s">
        <v>2689</v>
      </c>
      <c r="F3" s="420" t="s">
        <v>2749</v>
      </c>
      <c r="G3" s="420" t="s">
        <v>2928</v>
      </c>
      <c r="I3" s="880" t="s">
        <v>2751</v>
      </c>
      <c r="J3" s="420" t="s">
        <v>241</v>
      </c>
      <c r="K3" s="163"/>
      <c r="L3" s="420"/>
    </row>
    <row r="4" spans="2:12">
      <c r="B4" s="159" t="s">
        <v>37</v>
      </c>
      <c r="C4" s="420" t="s">
        <v>192</v>
      </c>
      <c r="D4" s="420" t="s">
        <v>2689</v>
      </c>
      <c r="F4" s="420" t="s">
        <v>2749</v>
      </c>
      <c r="G4" s="420" t="s">
        <v>2921</v>
      </c>
      <c r="I4" s="159" t="s">
        <v>613</v>
      </c>
      <c r="J4" s="420" t="s">
        <v>311</v>
      </c>
      <c r="K4" s="159"/>
      <c r="L4" s="420"/>
    </row>
    <row r="5" spans="2:12">
      <c r="B5" s="159" t="s">
        <v>37</v>
      </c>
      <c r="C5" s="420" t="s">
        <v>242</v>
      </c>
      <c r="D5" s="420" t="s">
        <v>2689</v>
      </c>
      <c r="F5" s="420" t="s">
        <v>2749</v>
      </c>
      <c r="G5" s="420" t="s">
        <v>2920</v>
      </c>
      <c r="I5" s="163" t="s">
        <v>613</v>
      </c>
      <c r="J5" s="420" t="s">
        <v>2936</v>
      </c>
      <c r="K5" s="880"/>
      <c r="L5" s="420"/>
    </row>
    <row r="6" spans="2:12">
      <c r="B6" s="159" t="s">
        <v>37</v>
      </c>
      <c r="C6" s="420" t="s">
        <v>276</v>
      </c>
      <c r="D6" s="420" t="s">
        <v>2689</v>
      </c>
      <c r="F6" s="420" t="s">
        <v>2751</v>
      </c>
      <c r="G6" s="420" t="s">
        <v>2921</v>
      </c>
      <c r="I6" s="159" t="s">
        <v>613</v>
      </c>
      <c r="J6" s="420" t="s">
        <v>36</v>
      </c>
      <c r="K6" s="880"/>
      <c r="L6" s="420"/>
    </row>
    <row r="7" spans="2:12">
      <c r="B7" s="159" t="s">
        <v>37</v>
      </c>
      <c r="C7" s="420" t="s">
        <v>291</v>
      </c>
      <c r="D7" s="420" t="s">
        <v>2689</v>
      </c>
      <c r="F7" s="420" t="s">
        <v>2751</v>
      </c>
      <c r="G7" s="420" t="s">
        <v>2920</v>
      </c>
      <c r="I7" s="163" t="s">
        <v>613</v>
      </c>
      <c r="J7" s="420" t="s">
        <v>2933</v>
      </c>
      <c r="K7" s="880"/>
      <c r="L7" s="420"/>
    </row>
    <row r="8" spans="2:12">
      <c r="B8" s="159" t="s">
        <v>37</v>
      </c>
      <c r="C8" s="420" t="s">
        <v>2916</v>
      </c>
      <c r="D8" s="420" t="s">
        <v>2689</v>
      </c>
      <c r="F8" s="420" t="s">
        <v>613</v>
      </c>
      <c r="G8" s="420" t="s">
        <v>311</v>
      </c>
      <c r="I8" s="159" t="s">
        <v>613</v>
      </c>
      <c r="J8" s="420" t="s">
        <v>2081</v>
      </c>
      <c r="K8" s="880"/>
      <c r="L8" s="420"/>
    </row>
    <row r="9" spans="2:12">
      <c r="B9" s="163" t="s">
        <v>37</v>
      </c>
      <c r="C9" s="420" t="s">
        <v>2675</v>
      </c>
      <c r="D9" s="420" t="s">
        <v>2689</v>
      </c>
      <c r="F9" s="420" t="s">
        <v>613</v>
      </c>
      <c r="G9" s="420" t="s">
        <v>2936</v>
      </c>
      <c r="I9" s="880" t="s">
        <v>613</v>
      </c>
      <c r="J9" s="420" t="s">
        <v>2932</v>
      </c>
      <c r="K9" s="880"/>
      <c r="L9" s="420"/>
    </row>
    <row r="10" spans="2:12">
      <c r="B10" s="159" t="s">
        <v>515</v>
      </c>
      <c r="C10" s="420" t="s">
        <v>2161</v>
      </c>
      <c r="D10" s="420" t="s">
        <v>2689</v>
      </c>
      <c r="F10" s="420" t="s">
        <v>613</v>
      </c>
      <c r="G10" s="420" t="s">
        <v>36</v>
      </c>
      <c r="I10" s="880" t="s">
        <v>613</v>
      </c>
      <c r="J10" s="420" t="s">
        <v>241</v>
      </c>
      <c r="K10" s="163"/>
      <c r="L10" s="420"/>
    </row>
    <row r="11" spans="2:12">
      <c r="B11" s="159" t="s">
        <v>515</v>
      </c>
      <c r="C11" s="420" t="s">
        <v>192</v>
      </c>
      <c r="D11" s="420" t="s">
        <v>2689</v>
      </c>
      <c r="F11" s="420" t="s">
        <v>613</v>
      </c>
      <c r="G11" s="420" t="s">
        <v>2933</v>
      </c>
      <c r="I11" s="159" t="s">
        <v>37</v>
      </c>
      <c r="J11" s="420" t="s">
        <v>2916</v>
      </c>
      <c r="K11" s="159"/>
      <c r="L11" s="420"/>
    </row>
    <row r="12" spans="2:12">
      <c r="B12" s="159" t="s">
        <v>515</v>
      </c>
      <c r="C12" s="420" t="s">
        <v>36</v>
      </c>
      <c r="D12" s="420" t="s">
        <v>2689</v>
      </c>
      <c r="F12" s="420" t="s">
        <v>613</v>
      </c>
      <c r="G12" s="420" t="s">
        <v>2081</v>
      </c>
      <c r="I12" s="159" t="s">
        <v>37</v>
      </c>
      <c r="J12" s="420" t="s">
        <v>939</v>
      </c>
      <c r="K12" s="880"/>
      <c r="L12" s="420"/>
    </row>
    <row r="13" spans="2:12">
      <c r="B13" s="163" t="s">
        <v>37</v>
      </c>
      <c r="C13" s="420" t="s">
        <v>2081</v>
      </c>
      <c r="D13" t="s">
        <v>2918</v>
      </c>
      <c r="F13" s="420" t="s">
        <v>613</v>
      </c>
      <c r="G13" s="420" t="s">
        <v>2932</v>
      </c>
      <c r="I13" s="159" t="s">
        <v>37</v>
      </c>
      <c r="J13" s="420" t="s">
        <v>141</v>
      </c>
      <c r="K13" s="880"/>
      <c r="L13" s="420"/>
    </row>
    <row r="14" spans="2:12">
      <c r="B14" s="159" t="s">
        <v>304</v>
      </c>
      <c r="C14" s="420" t="s">
        <v>369</v>
      </c>
      <c r="D14" s="420" t="s">
        <v>2918</v>
      </c>
      <c r="F14" s="420" t="s">
        <v>37</v>
      </c>
      <c r="G14" s="420" t="s">
        <v>2916</v>
      </c>
      <c r="I14" s="163" t="s">
        <v>37</v>
      </c>
      <c r="J14" s="420" t="s">
        <v>36</v>
      </c>
      <c r="K14" s="880"/>
      <c r="L14" s="420"/>
    </row>
    <row r="15" spans="2:12">
      <c r="B15" s="159" t="s">
        <v>304</v>
      </c>
      <c r="C15" s="420" t="s">
        <v>2917</v>
      </c>
      <c r="D15" s="420" t="s">
        <v>2918</v>
      </c>
      <c r="F15" s="420" t="s">
        <v>37</v>
      </c>
      <c r="G15" s="420" t="s">
        <v>939</v>
      </c>
      <c r="I15" s="159" t="s">
        <v>37</v>
      </c>
      <c r="J15" s="420" t="s">
        <v>192</v>
      </c>
      <c r="K15" s="880"/>
      <c r="L15" s="420"/>
    </row>
    <row r="16" spans="2:12">
      <c r="B16" s="159" t="s">
        <v>304</v>
      </c>
      <c r="C16" s="420" t="s">
        <v>303</v>
      </c>
      <c r="D16" s="420" t="s">
        <v>2918</v>
      </c>
      <c r="F16" s="420" t="s">
        <v>37</v>
      </c>
      <c r="G16" s="420" t="s">
        <v>141</v>
      </c>
      <c r="I16" s="159" t="s">
        <v>37</v>
      </c>
      <c r="J16" s="420" t="s">
        <v>2081</v>
      </c>
      <c r="K16" s="880"/>
      <c r="L16" s="420"/>
    </row>
    <row r="17" spans="2:12">
      <c r="B17" s="159" t="s">
        <v>304</v>
      </c>
      <c r="C17" s="420" t="s">
        <v>1757</v>
      </c>
      <c r="D17" s="420" t="s">
        <v>2918</v>
      </c>
      <c r="F17" s="420" t="s">
        <v>37</v>
      </c>
      <c r="G17" s="420" t="s">
        <v>36</v>
      </c>
      <c r="I17" s="159" t="s">
        <v>37</v>
      </c>
      <c r="J17" s="420" t="s">
        <v>242</v>
      </c>
      <c r="K17" s="880"/>
      <c r="L17" s="420"/>
    </row>
    <row r="18" spans="2:12">
      <c r="B18" s="159" t="s">
        <v>304</v>
      </c>
      <c r="C18" s="420" t="s">
        <v>2081</v>
      </c>
      <c r="D18" s="420" t="s">
        <v>2918</v>
      </c>
      <c r="F18" s="420" t="s">
        <v>37</v>
      </c>
      <c r="G18" s="420" t="s">
        <v>192</v>
      </c>
      <c r="I18" s="159" t="s">
        <v>37</v>
      </c>
      <c r="J18" s="420" t="s">
        <v>276</v>
      </c>
      <c r="K18" s="880"/>
      <c r="L18" s="420"/>
    </row>
    <row r="19" spans="2:12">
      <c r="B19" s="159" t="s">
        <v>304</v>
      </c>
      <c r="C19" s="420" t="s">
        <v>297</v>
      </c>
      <c r="D19" s="420" t="s">
        <v>2918</v>
      </c>
      <c r="F19" s="420" t="s">
        <v>37</v>
      </c>
      <c r="G19" s="420" t="s">
        <v>2081</v>
      </c>
      <c r="I19" s="159" t="s">
        <v>37</v>
      </c>
      <c r="J19" s="420" t="s">
        <v>2675</v>
      </c>
      <c r="K19" s="880"/>
      <c r="L19" s="420"/>
    </row>
    <row r="20" spans="2:12">
      <c r="B20" s="163" t="s">
        <v>304</v>
      </c>
      <c r="C20" s="420" t="s">
        <v>276</v>
      </c>
      <c r="D20" s="420" t="s">
        <v>2918</v>
      </c>
      <c r="F20" s="420" t="s">
        <v>37</v>
      </c>
      <c r="G20" s="420" t="s">
        <v>242</v>
      </c>
      <c r="I20" s="880" t="s">
        <v>37</v>
      </c>
      <c r="J20" s="420" t="s">
        <v>291</v>
      </c>
      <c r="K20" s="880"/>
      <c r="L20" s="420"/>
    </row>
    <row r="21" spans="2:12">
      <c r="B21" s="159" t="s">
        <v>515</v>
      </c>
      <c r="C21" s="420" t="s">
        <v>36</v>
      </c>
      <c r="D21" s="420" t="s">
        <v>2918</v>
      </c>
      <c r="F21" s="420" t="s">
        <v>37</v>
      </c>
      <c r="G21" s="420" t="s">
        <v>276</v>
      </c>
      <c r="I21" s="880" t="s">
        <v>37</v>
      </c>
      <c r="J21" s="420" t="s">
        <v>241</v>
      </c>
      <c r="K21" s="880"/>
      <c r="L21" s="420"/>
    </row>
    <row r="22" spans="2:12">
      <c r="B22" s="163" t="s">
        <v>515</v>
      </c>
      <c r="C22" s="420" t="s">
        <v>2732</v>
      </c>
      <c r="D22" s="420" t="s">
        <v>2918</v>
      </c>
      <c r="F22" s="420" t="s">
        <v>37</v>
      </c>
      <c r="G22" s="420" t="s">
        <v>2675</v>
      </c>
      <c r="I22" s="880" t="s">
        <v>2753</v>
      </c>
      <c r="J22" s="420" t="s">
        <v>2942</v>
      </c>
      <c r="K22" s="880"/>
      <c r="L22" s="420"/>
    </row>
    <row r="23" spans="2:12">
      <c r="B23" s="163" t="s">
        <v>613</v>
      </c>
      <c r="C23" s="420" t="s">
        <v>2081</v>
      </c>
      <c r="D23" s="420" t="s">
        <v>2918</v>
      </c>
      <c r="F23" s="420" t="s">
        <v>37</v>
      </c>
      <c r="G23" s="420" t="s">
        <v>291</v>
      </c>
      <c r="I23" s="159" t="s">
        <v>2753</v>
      </c>
      <c r="J23" s="420" t="s">
        <v>36</v>
      </c>
      <c r="K23" s="880"/>
      <c r="L23" s="420"/>
    </row>
    <row r="24" spans="2:12">
      <c r="B24" s="159" t="s">
        <v>304</v>
      </c>
      <c r="C24" s="420" t="s">
        <v>1756</v>
      </c>
      <c r="D24" s="420" t="s">
        <v>2689</v>
      </c>
      <c r="F24" s="420" t="s">
        <v>2753</v>
      </c>
      <c r="G24" s="420" t="s">
        <v>2923</v>
      </c>
      <c r="I24" s="159" t="s">
        <v>2753</v>
      </c>
      <c r="J24" s="420" t="s">
        <v>2941</v>
      </c>
      <c r="K24" s="163"/>
      <c r="L24" s="420"/>
    </row>
    <row r="25" spans="2:12">
      <c r="B25" s="159" t="s">
        <v>304</v>
      </c>
      <c r="C25" s="420" t="s">
        <v>2919</v>
      </c>
      <c r="D25" s="420" t="s">
        <v>2689</v>
      </c>
      <c r="F25" s="420" t="s">
        <v>2753</v>
      </c>
      <c r="G25" s="420" t="s">
        <v>2922</v>
      </c>
      <c r="I25" s="159" t="s">
        <v>2753</v>
      </c>
      <c r="J25" s="420" t="s">
        <v>241</v>
      </c>
      <c r="K25" s="159"/>
      <c r="L25" s="420"/>
    </row>
    <row r="26" spans="2:12">
      <c r="B26" s="159" t="s">
        <v>304</v>
      </c>
      <c r="C26" s="420" t="s">
        <v>1757</v>
      </c>
      <c r="D26" s="420" t="s">
        <v>2689</v>
      </c>
      <c r="F26" s="420" t="s">
        <v>2753</v>
      </c>
      <c r="G26" s="420" t="s">
        <v>2924</v>
      </c>
      <c r="I26" s="163" t="s">
        <v>2350</v>
      </c>
      <c r="J26" s="420" t="s">
        <v>2940</v>
      </c>
      <c r="K26" s="880"/>
      <c r="L26" s="420"/>
    </row>
    <row r="27" spans="2:12">
      <c r="B27" s="159" t="s">
        <v>304</v>
      </c>
      <c r="C27" s="420" t="s">
        <v>358</v>
      </c>
      <c r="D27" s="420" t="s">
        <v>2689</v>
      </c>
      <c r="F27" s="420" t="s">
        <v>2350</v>
      </c>
      <c r="G27" s="420" t="s">
        <v>2926</v>
      </c>
      <c r="I27" s="159" t="s">
        <v>2350</v>
      </c>
      <c r="J27" s="420" t="s">
        <v>36</v>
      </c>
      <c r="K27" s="880"/>
      <c r="L27" s="420"/>
    </row>
    <row r="28" spans="2:12">
      <c r="B28" s="159" t="s">
        <v>304</v>
      </c>
      <c r="C28" s="420" t="s">
        <v>297</v>
      </c>
      <c r="D28" s="420" t="s">
        <v>2689</v>
      </c>
      <c r="F28" s="420" t="s">
        <v>2350</v>
      </c>
      <c r="G28" s="420" t="s">
        <v>2923</v>
      </c>
      <c r="I28" s="159" t="s">
        <v>2350</v>
      </c>
      <c r="J28" s="420" t="s">
        <v>2941</v>
      </c>
      <c r="K28" s="880"/>
      <c r="L28" s="420"/>
    </row>
    <row r="29" spans="2:12">
      <c r="B29" s="163" t="s">
        <v>304</v>
      </c>
      <c r="C29" s="420" t="s">
        <v>276</v>
      </c>
      <c r="D29" s="420" t="s">
        <v>2689</v>
      </c>
      <c r="F29" s="420" t="s">
        <v>2350</v>
      </c>
      <c r="G29" s="420" t="s">
        <v>2922</v>
      </c>
      <c r="I29" s="163" t="s">
        <v>2350</v>
      </c>
      <c r="J29" s="420" t="s">
        <v>2939</v>
      </c>
      <c r="K29" s="880"/>
      <c r="L29" s="420"/>
    </row>
    <row r="30" spans="2:12">
      <c r="B30" s="163" t="s">
        <v>2749</v>
      </c>
      <c r="C30" s="159" t="s">
        <v>2920</v>
      </c>
      <c r="D30" s="420" t="s">
        <v>2927</v>
      </c>
      <c r="F30" s="420" t="s">
        <v>2350</v>
      </c>
      <c r="G30" s="420" t="s">
        <v>2921</v>
      </c>
      <c r="I30" s="880" t="s">
        <v>2350</v>
      </c>
      <c r="J30" s="420" t="s">
        <v>2943</v>
      </c>
      <c r="K30" s="163"/>
      <c r="L30" s="420"/>
    </row>
    <row r="31" spans="2:12" s="420" customFormat="1">
      <c r="B31" s="163" t="s">
        <v>2749</v>
      </c>
      <c r="C31" s="420" t="s">
        <v>2921</v>
      </c>
      <c r="D31" s="420" t="s">
        <v>2927</v>
      </c>
      <c r="F31" s="420" t="s">
        <v>2350</v>
      </c>
      <c r="G31" s="420" t="s">
        <v>2920</v>
      </c>
      <c r="I31" s="159" t="s">
        <v>2350</v>
      </c>
      <c r="J31" s="420" t="s">
        <v>241</v>
      </c>
      <c r="K31" s="159"/>
    </row>
    <row r="32" spans="2:12">
      <c r="B32" s="163" t="s">
        <v>2751</v>
      </c>
      <c r="C32" s="159" t="s">
        <v>2920</v>
      </c>
      <c r="D32" s="420" t="s">
        <v>2927</v>
      </c>
      <c r="F32" s="420" t="s">
        <v>2350</v>
      </c>
      <c r="G32" s="420" t="s">
        <v>2925</v>
      </c>
      <c r="I32" s="159" t="s">
        <v>2754</v>
      </c>
      <c r="J32" s="420" t="s">
        <v>36</v>
      </c>
      <c r="K32" s="880"/>
      <c r="L32" s="420"/>
    </row>
    <row r="33" spans="2:12" s="420" customFormat="1">
      <c r="B33" s="163" t="s">
        <v>2751</v>
      </c>
      <c r="C33" s="420" t="s">
        <v>2921</v>
      </c>
      <c r="D33" s="420" t="s">
        <v>2927</v>
      </c>
      <c r="F33" s="420" t="s">
        <v>2754</v>
      </c>
      <c r="G33" s="420" t="s">
        <v>36</v>
      </c>
      <c r="I33" s="880" t="s">
        <v>2754</v>
      </c>
      <c r="J33" s="420" t="s">
        <v>2933</v>
      </c>
      <c r="K33" s="880"/>
    </row>
    <row r="34" spans="2:12">
      <c r="B34" s="159" t="s">
        <v>2753</v>
      </c>
      <c r="C34" s="159" t="s">
        <v>2922</v>
      </c>
      <c r="D34" s="420" t="s">
        <v>2927</v>
      </c>
      <c r="F34" s="420" t="s">
        <v>2754</v>
      </c>
      <c r="G34" s="420" t="s">
        <v>2933</v>
      </c>
      <c r="I34" s="159" t="s">
        <v>2749</v>
      </c>
      <c r="J34" s="420" t="s">
        <v>311</v>
      </c>
      <c r="K34" s="880"/>
      <c r="L34" s="420"/>
    </row>
    <row r="35" spans="2:12" s="420" customFormat="1">
      <c r="B35" s="159" t="s">
        <v>2753</v>
      </c>
      <c r="C35" s="420" t="s">
        <v>2923</v>
      </c>
      <c r="D35" s="420" t="s">
        <v>2927</v>
      </c>
      <c r="F35" s="420" t="s">
        <v>304</v>
      </c>
      <c r="G35" s="420" t="s">
        <v>1756</v>
      </c>
      <c r="I35" s="163" t="s">
        <v>2749</v>
      </c>
      <c r="J35" s="420" t="s">
        <v>2928</v>
      </c>
      <c r="K35" s="880"/>
    </row>
    <row r="36" spans="2:12">
      <c r="B36" s="163" t="s">
        <v>2753</v>
      </c>
      <c r="C36" s="420" t="s">
        <v>2924</v>
      </c>
      <c r="D36" s="420" t="s">
        <v>2927</v>
      </c>
      <c r="F36" s="420" t="s">
        <v>304</v>
      </c>
      <c r="G36" s="420" t="s">
        <v>323</v>
      </c>
      <c r="I36" s="159" t="s">
        <v>2749</v>
      </c>
      <c r="J36" s="420" t="s">
        <v>2939</v>
      </c>
      <c r="K36" s="880"/>
      <c r="L36" s="420"/>
    </row>
    <row r="37" spans="2:12">
      <c r="B37" s="159" t="s">
        <v>2350</v>
      </c>
      <c r="C37" s="159" t="s">
        <v>2922</v>
      </c>
      <c r="D37" s="420" t="s">
        <v>2927</v>
      </c>
      <c r="F37" s="420" t="s">
        <v>304</v>
      </c>
      <c r="G37" s="420" t="s">
        <v>2934</v>
      </c>
      <c r="I37" s="163" t="s">
        <v>2749</v>
      </c>
      <c r="J37" s="420" t="s">
        <v>241</v>
      </c>
      <c r="K37" s="163"/>
      <c r="L37" s="420"/>
    </row>
    <row r="38" spans="2:12" s="420" customFormat="1">
      <c r="B38" s="159" t="s">
        <v>2350</v>
      </c>
      <c r="C38" s="420" t="s">
        <v>2923</v>
      </c>
      <c r="D38" s="420" t="s">
        <v>2927</v>
      </c>
      <c r="F38" s="420" t="s">
        <v>304</v>
      </c>
      <c r="G38" s="420" t="s">
        <v>369</v>
      </c>
      <c r="I38" s="159" t="s">
        <v>304</v>
      </c>
      <c r="J38" s="420" t="s">
        <v>1756</v>
      </c>
      <c r="K38" s="159"/>
    </row>
    <row r="39" spans="2:12">
      <c r="B39" s="159" t="s">
        <v>2350</v>
      </c>
      <c r="C39" s="420" t="s">
        <v>2925</v>
      </c>
      <c r="D39" s="420" t="s">
        <v>2927</v>
      </c>
      <c r="F39" s="420" t="s">
        <v>304</v>
      </c>
      <c r="G39" s="420" t="s">
        <v>919</v>
      </c>
      <c r="I39" s="159" t="s">
        <v>304</v>
      </c>
      <c r="J39" s="420" t="s">
        <v>323</v>
      </c>
      <c r="K39" s="163"/>
      <c r="L39" s="420"/>
    </row>
    <row r="40" spans="2:12">
      <c r="B40" s="159" t="s">
        <v>2350</v>
      </c>
      <c r="C40" s="159" t="s">
        <v>2920</v>
      </c>
      <c r="D40" s="420" t="s">
        <v>2927</v>
      </c>
      <c r="F40" s="420" t="s">
        <v>304</v>
      </c>
      <c r="G40" s="420" t="s">
        <v>2917</v>
      </c>
      <c r="I40" s="159" t="s">
        <v>304</v>
      </c>
      <c r="J40" s="420" t="s">
        <v>2934</v>
      </c>
      <c r="K40" s="159"/>
      <c r="L40" s="420"/>
    </row>
    <row r="41" spans="2:12" s="420" customFormat="1">
      <c r="B41" s="159" t="s">
        <v>2350</v>
      </c>
      <c r="C41" s="420" t="s">
        <v>2926</v>
      </c>
      <c r="D41" s="420" t="s">
        <v>2927</v>
      </c>
      <c r="F41" s="420" t="s">
        <v>304</v>
      </c>
      <c r="G41" s="420" t="s">
        <v>2935</v>
      </c>
      <c r="I41" s="159" t="s">
        <v>304</v>
      </c>
      <c r="J41" s="420" t="s">
        <v>369</v>
      </c>
      <c r="K41" s="880"/>
    </row>
    <row r="42" spans="2:12">
      <c r="B42" s="163" t="s">
        <v>2350</v>
      </c>
      <c r="C42" s="420" t="s">
        <v>2921</v>
      </c>
      <c r="D42" s="420" t="s">
        <v>2927</v>
      </c>
      <c r="F42" s="420" t="s">
        <v>304</v>
      </c>
      <c r="G42" s="420" t="s">
        <v>303</v>
      </c>
      <c r="I42" s="159" t="s">
        <v>304</v>
      </c>
      <c r="J42" s="420" t="s">
        <v>919</v>
      </c>
      <c r="K42" s="880"/>
      <c r="L42" s="420"/>
    </row>
    <row r="43" spans="2:12">
      <c r="B43" s="163" t="s">
        <v>2688</v>
      </c>
      <c r="C43" s="159" t="s">
        <v>2922</v>
      </c>
      <c r="D43" s="420" t="s">
        <v>2927</v>
      </c>
      <c r="F43" s="420" t="s">
        <v>304</v>
      </c>
      <c r="G43" s="420" t="s">
        <v>2919</v>
      </c>
      <c r="I43" s="159" t="s">
        <v>304</v>
      </c>
      <c r="J43" s="420" t="s">
        <v>2917</v>
      </c>
      <c r="K43" s="163"/>
      <c r="L43" s="420"/>
    </row>
    <row r="44" spans="2:12">
      <c r="B44" s="163" t="s">
        <v>2688</v>
      </c>
      <c r="C44" s="420" t="s">
        <v>2924</v>
      </c>
      <c r="D44" s="420" t="s">
        <v>2927</v>
      </c>
      <c r="F44" s="420" t="s">
        <v>304</v>
      </c>
      <c r="G44" s="420" t="s">
        <v>1757</v>
      </c>
      <c r="I44" s="159" t="s">
        <v>304</v>
      </c>
      <c r="J44" s="420" t="s">
        <v>2935</v>
      </c>
      <c r="K44" s="159"/>
      <c r="L44" s="420"/>
    </row>
    <row r="45" spans="2:12">
      <c r="B45" s="163" t="s">
        <v>2749</v>
      </c>
      <c r="C45" s="159" t="s">
        <v>311</v>
      </c>
      <c r="D45" s="420" t="s">
        <v>2927</v>
      </c>
      <c r="F45" s="420" t="s">
        <v>304</v>
      </c>
      <c r="G45" s="420" t="s">
        <v>2081</v>
      </c>
      <c r="I45" s="159" t="s">
        <v>304</v>
      </c>
      <c r="J45" s="420" t="s">
        <v>303</v>
      </c>
      <c r="K45" s="880"/>
      <c r="L45" s="420"/>
    </row>
    <row r="46" spans="2:12" s="420" customFormat="1">
      <c r="B46" s="163" t="s">
        <v>2749</v>
      </c>
      <c r="C46" s="420" t="s">
        <v>2928</v>
      </c>
      <c r="D46" s="420" t="s">
        <v>2927</v>
      </c>
      <c r="F46" s="420" t="s">
        <v>304</v>
      </c>
      <c r="G46" s="420" t="s">
        <v>358</v>
      </c>
      <c r="I46" s="159" t="s">
        <v>304</v>
      </c>
      <c r="J46" s="420" t="s">
        <v>2919</v>
      </c>
      <c r="K46" s="880"/>
    </row>
    <row r="47" spans="2:12">
      <c r="B47" s="159" t="s">
        <v>37</v>
      </c>
      <c r="C47" s="420" t="s">
        <v>939</v>
      </c>
      <c r="D47" s="420" t="s">
        <v>2927</v>
      </c>
      <c r="F47" s="420" t="s">
        <v>304</v>
      </c>
      <c r="G47" s="420" t="s">
        <v>297</v>
      </c>
      <c r="I47" s="159" t="s">
        <v>304</v>
      </c>
      <c r="J47" s="420" t="s">
        <v>1757</v>
      </c>
      <c r="K47" s="880"/>
      <c r="L47" s="420"/>
    </row>
    <row r="48" spans="2:12">
      <c r="B48" s="163" t="s">
        <v>37</v>
      </c>
      <c r="C48" s="420" t="s">
        <v>2675</v>
      </c>
      <c r="D48" s="420" t="s">
        <v>2927</v>
      </c>
      <c r="F48" s="420" t="s">
        <v>304</v>
      </c>
      <c r="G48" s="420" t="s">
        <v>276</v>
      </c>
      <c r="I48" s="159" t="s">
        <v>304</v>
      </c>
      <c r="J48" s="420" t="s">
        <v>2081</v>
      </c>
      <c r="K48" s="880"/>
      <c r="L48" s="420"/>
    </row>
    <row r="49" spans="2:12">
      <c r="B49" s="159" t="s">
        <v>515</v>
      </c>
      <c r="C49" s="159" t="s">
        <v>311</v>
      </c>
      <c r="D49" s="420" t="s">
        <v>2927</v>
      </c>
      <c r="F49" s="420" t="s">
        <v>304</v>
      </c>
      <c r="G49" s="420" t="s">
        <v>241</v>
      </c>
      <c r="I49" s="159" t="s">
        <v>304</v>
      </c>
      <c r="J49" s="420" t="s">
        <v>358</v>
      </c>
      <c r="K49" s="880"/>
      <c r="L49" s="420"/>
    </row>
    <row r="50" spans="2:12" s="420" customFormat="1">
      <c r="B50" s="159" t="s">
        <v>515</v>
      </c>
      <c r="C50" s="420" t="s">
        <v>2929</v>
      </c>
      <c r="D50" s="420" t="s">
        <v>2927</v>
      </c>
      <c r="F50" s="420" t="s">
        <v>2757</v>
      </c>
      <c r="G50" s="420" t="s">
        <v>241</v>
      </c>
      <c r="I50" s="159" t="s">
        <v>304</v>
      </c>
      <c r="J50" s="420" t="s">
        <v>297</v>
      </c>
      <c r="K50" s="880"/>
    </row>
    <row r="51" spans="2:12">
      <c r="B51" s="159" t="s">
        <v>515</v>
      </c>
      <c r="C51" s="420" t="s">
        <v>2930</v>
      </c>
      <c r="D51" s="420" t="s">
        <v>2927</v>
      </c>
      <c r="F51" s="420" t="s">
        <v>515</v>
      </c>
      <c r="G51" s="420" t="s">
        <v>311</v>
      </c>
      <c r="I51" s="159" t="s">
        <v>304</v>
      </c>
      <c r="J51" s="420" t="s">
        <v>276</v>
      </c>
      <c r="K51" s="880"/>
      <c r="L51" s="420"/>
    </row>
    <row r="52" spans="2:12">
      <c r="B52" s="159" t="s">
        <v>515</v>
      </c>
      <c r="C52" s="420" t="s">
        <v>2931</v>
      </c>
      <c r="D52" s="420" t="s">
        <v>2927</v>
      </c>
      <c r="F52" s="420" t="s">
        <v>515</v>
      </c>
      <c r="G52" s="420" t="s">
        <v>2916</v>
      </c>
      <c r="I52" s="163" t="s">
        <v>304</v>
      </c>
      <c r="J52" s="420" t="s">
        <v>241</v>
      </c>
      <c r="K52" s="880"/>
      <c r="L52" s="420"/>
    </row>
    <row r="53" spans="2:12">
      <c r="B53" s="159" t="s">
        <v>515</v>
      </c>
      <c r="C53" s="420" t="s">
        <v>939</v>
      </c>
      <c r="D53" s="420" t="s">
        <v>2927</v>
      </c>
      <c r="F53" s="420" t="s">
        <v>515</v>
      </c>
      <c r="G53" s="420" t="s">
        <v>939</v>
      </c>
      <c r="I53" s="163" t="s">
        <v>2757</v>
      </c>
      <c r="J53" s="420" t="s">
        <v>241</v>
      </c>
      <c r="K53" s="880"/>
      <c r="L53" s="420"/>
    </row>
    <row r="54" spans="2:12" s="420" customFormat="1">
      <c r="B54" s="163" t="s">
        <v>515</v>
      </c>
      <c r="C54" s="420" t="s">
        <v>241</v>
      </c>
      <c r="D54" s="420" t="s">
        <v>2927</v>
      </c>
      <c r="F54" s="420" t="s">
        <v>515</v>
      </c>
      <c r="G54" s="420" t="s">
        <v>36</v>
      </c>
      <c r="I54" s="159" t="s">
        <v>515</v>
      </c>
      <c r="J54" s="420" t="s">
        <v>311</v>
      </c>
      <c r="K54" s="880"/>
    </row>
    <row r="55" spans="2:12">
      <c r="B55" s="159" t="s">
        <v>2688</v>
      </c>
      <c r="C55" s="159" t="s">
        <v>311</v>
      </c>
      <c r="D55" s="420" t="s">
        <v>2927</v>
      </c>
      <c r="F55" s="420" t="s">
        <v>515</v>
      </c>
      <c r="G55" s="420" t="s">
        <v>2732</v>
      </c>
      <c r="I55" s="159" t="s">
        <v>515</v>
      </c>
      <c r="J55" s="420" t="s">
        <v>2161</v>
      </c>
      <c r="K55" s="880"/>
      <c r="L55" s="420"/>
    </row>
    <row r="56" spans="2:12">
      <c r="B56" s="159" t="s">
        <v>2688</v>
      </c>
      <c r="C56" s="420" t="s">
        <v>297</v>
      </c>
      <c r="D56" s="420" t="s">
        <v>2927</v>
      </c>
      <c r="F56" s="420" t="s">
        <v>515</v>
      </c>
      <c r="G56" s="420" t="s">
        <v>2929</v>
      </c>
      <c r="I56" s="159" t="s">
        <v>515</v>
      </c>
      <c r="J56" s="420" t="s">
        <v>939</v>
      </c>
      <c r="K56" s="880"/>
      <c r="L56" s="420"/>
    </row>
    <row r="57" spans="2:12">
      <c r="B57" s="159" t="s">
        <v>613</v>
      </c>
      <c r="C57" s="159" t="s">
        <v>311</v>
      </c>
      <c r="D57" s="420" t="s">
        <v>2927</v>
      </c>
      <c r="F57" s="420" t="s">
        <v>515</v>
      </c>
      <c r="G57" s="420" t="s">
        <v>192</v>
      </c>
      <c r="I57" s="159" t="s">
        <v>515</v>
      </c>
      <c r="J57" s="420" t="s">
        <v>36</v>
      </c>
      <c r="K57" s="880"/>
      <c r="L57" s="420"/>
    </row>
    <row r="58" spans="2:12">
      <c r="B58" s="159" t="s">
        <v>613</v>
      </c>
      <c r="C58" s="159" t="s">
        <v>2936</v>
      </c>
      <c r="D58" s="420" t="s">
        <v>2927</v>
      </c>
      <c r="F58" s="420" t="s">
        <v>515</v>
      </c>
      <c r="G58" s="420" t="s">
        <v>2930</v>
      </c>
      <c r="I58" s="159" t="s">
        <v>515</v>
      </c>
      <c r="J58" s="420" t="s">
        <v>2732</v>
      </c>
      <c r="K58" s="880"/>
      <c r="L58" s="420"/>
    </row>
    <row r="59" spans="2:12">
      <c r="B59" s="159" t="s">
        <v>613</v>
      </c>
      <c r="C59" s="159" t="s">
        <v>36</v>
      </c>
      <c r="D59" s="420" t="s">
        <v>2927</v>
      </c>
      <c r="F59" s="420" t="s">
        <v>515</v>
      </c>
      <c r="G59" s="420" t="s">
        <v>2931</v>
      </c>
      <c r="I59" s="159" t="s">
        <v>515</v>
      </c>
      <c r="J59" s="420" t="s">
        <v>192</v>
      </c>
      <c r="K59" s="880"/>
      <c r="L59" s="420"/>
    </row>
    <row r="60" spans="2:12">
      <c r="B60" s="159" t="s">
        <v>613</v>
      </c>
      <c r="C60" s="159" t="s">
        <v>2933</v>
      </c>
      <c r="D60" s="420" t="s">
        <v>2927</v>
      </c>
      <c r="F60" s="420" t="s">
        <v>515</v>
      </c>
      <c r="G60" s="420" t="s">
        <v>241</v>
      </c>
      <c r="I60" s="159" t="s">
        <v>515</v>
      </c>
      <c r="J60" s="420" t="s">
        <v>297</v>
      </c>
      <c r="K60" s="880"/>
      <c r="L60" s="420"/>
    </row>
    <row r="61" spans="2:12">
      <c r="B61" s="159" t="s">
        <v>613</v>
      </c>
      <c r="C61" s="159" t="s">
        <v>2081</v>
      </c>
      <c r="D61" s="420" t="s">
        <v>2927</v>
      </c>
      <c r="F61" s="420" t="s">
        <v>2688</v>
      </c>
      <c r="G61" s="420" t="s">
        <v>311</v>
      </c>
      <c r="I61" s="163" t="s">
        <v>515</v>
      </c>
      <c r="J61" s="420" t="s">
        <v>241</v>
      </c>
      <c r="K61" s="880"/>
      <c r="L61" s="420"/>
    </row>
    <row r="62" spans="2:12">
      <c r="B62" s="159" t="s">
        <v>613</v>
      </c>
      <c r="C62" s="159" t="s">
        <v>2932</v>
      </c>
      <c r="D62" s="420" t="s">
        <v>2927</v>
      </c>
      <c r="F62" s="420" t="s">
        <v>2688</v>
      </c>
      <c r="G62" s="420" t="s">
        <v>297</v>
      </c>
      <c r="I62" s="159" t="s">
        <v>2688</v>
      </c>
      <c r="J62" s="420" t="s">
        <v>311</v>
      </c>
      <c r="K62" s="880"/>
      <c r="L62" s="420"/>
    </row>
    <row r="63" spans="2:12">
      <c r="B63" s="159" t="s">
        <v>2754</v>
      </c>
      <c r="C63" s="159" t="s">
        <v>36</v>
      </c>
      <c r="D63" s="420" t="s">
        <v>2927</v>
      </c>
      <c r="F63" s="420" t="s">
        <v>2688</v>
      </c>
      <c r="G63" s="420" t="s">
        <v>2922</v>
      </c>
      <c r="I63" s="880" t="s">
        <v>2688</v>
      </c>
      <c r="J63" s="420" t="s">
        <v>2942</v>
      </c>
      <c r="K63" s="163"/>
      <c r="L63" s="420"/>
    </row>
    <row r="64" spans="2:12">
      <c r="B64" s="159" t="s">
        <v>2754</v>
      </c>
      <c r="C64" s="159" t="s">
        <v>2933</v>
      </c>
      <c r="D64" s="420" t="s">
        <v>2927</v>
      </c>
      <c r="F64" s="420" t="s">
        <v>2688</v>
      </c>
      <c r="G64" s="420" t="s">
        <v>2924</v>
      </c>
      <c r="I64" s="159" t="s">
        <v>2688</v>
      </c>
      <c r="J64" s="420" t="s">
        <v>2941</v>
      </c>
      <c r="K64" s="159"/>
      <c r="L64" s="420"/>
    </row>
    <row r="65" spans="2:12">
      <c r="B65" s="159" t="s">
        <v>304</v>
      </c>
      <c r="C65" s="159" t="s">
        <v>323</v>
      </c>
      <c r="D65" s="420" t="s">
        <v>2927</v>
      </c>
      <c r="F65" s="420" t="s">
        <v>1285</v>
      </c>
      <c r="I65" s="163" t="s">
        <v>2688</v>
      </c>
      <c r="J65" s="420" t="s">
        <v>297</v>
      </c>
      <c r="K65" s="880"/>
      <c r="L65" s="420"/>
    </row>
    <row r="66" spans="2:12">
      <c r="B66" s="159" t="s">
        <v>304</v>
      </c>
      <c r="C66" s="159" t="s">
        <v>2934</v>
      </c>
      <c r="D66" s="420" t="s">
        <v>2927</v>
      </c>
      <c r="K66" s="880"/>
      <c r="L66" s="420"/>
    </row>
    <row r="67" spans="2:12">
      <c r="B67" s="159" t="s">
        <v>304</v>
      </c>
      <c r="C67" s="159" t="s">
        <v>2081</v>
      </c>
      <c r="D67" s="420" t="s">
        <v>2927</v>
      </c>
      <c r="K67" s="163"/>
      <c r="L67" s="420"/>
    </row>
    <row r="68" spans="2:12">
      <c r="B68" s="159" t="s">
        <v>304</v>
      </c>
      <c r="C68" s="159" t="s">
        <v>241</v>
      </c>
      <c r="D68" s="420" t="s">
        <v>2927</v>
      </c>
      <c r="K68" s="159"/>
      <c r="L68" s="420"/>
    </row>
    <row r="69" spans="2:12">
      <c r="B69" s="159" t="s">
        <v>304</v>
      </c>
      <c r="C69" s="159" t="s">
        <v>919</v>
      </c>
      <c r="D69" s="420" t="s">
        <v>2927</v>
      </c>
      <c r="K69" s="880"/>
      <c r="L69" s="420"/>
    </row>
    <row r="70" spans="2:12">
      <c r="B70" s="159" t="s">
        <v>304</v>
      </c>
      <c r="C70" s="159" t="s">
        <v>358</v>
      </c>
      <c r="D70" s="420" t="s">
        <v>2927</v>
      </c>
      <c r="K70" s="880"/>
      <c r="L70" s="420"/>
    </row>
    <row r="71" spans="2:12">
      <c r="B71" s="159" t="s">
        <v>304</v>
      </c>
      <c r="C71" s="159" t="s">
        <v>369</v>
      </c>
      <c r="D71" s="420" t="s">
        <v>2927</v>
      </c>
      <c r="K71" s="880"/>
      <c r="L71" s="420"/>
    </row>
    <row r="72" spans="2:12">
      <c r="B72" s="159" t="s">
        <v>304</v>
      </c>
      <c r="C72" s="159" t="s">
        <v>2935</v>
      </c>
      <c r="D72" s="420" t="s">
        <v>2927</v>
      </c>
      <c r="K72" s="880"/>
      <c r="L72" s="420"/>
    </row>
    <row r="73" spans="2:12">
      <c r="B73" s="159" t="s">
        <v>304</v>
      </c>
      <c r="C73" s="159" t="s">
        <v>276</v>
      </c>
      <c r="D73" s="420" t="s">
        <v>2927</v>
      </c>
      <c r="K73" s="880"/>
      <c r="L73" s="420"/>
    </row>
    <row r="74" spans="2:12">
      <c r="B74" s="163" t="s">
        <v>2757</v>
      </c>
      <c r="C74" s="159" t="s">
        <v>241</v>
      </c>
      <c r="D74" s="420" t="s">
        <v>2927</v>
      </c>
      <c r="K74" s="880"/>
      <c r="L74" s="420"/>
    </row>
    <row r="75" spans="2:12">
      <c r="K75" s="880"/>
      <c r="L75" s="420"/>
    </row>
    <row r="76" spans="2:12">
      <c r="K76" s="163"/>
      <c r="L76" s="420"/>
    </row>
    <row r="77" spans="2:12">
      <c r="K77" s="159"/>
      <c r="L77" s="420"/>
    </row>
    <row r="78" spans="2:12">
      <c r="K78" s="880"/>
      <c r="L78" s="420"/>
    </row>
    <row r="79" spans="2:12">
      <c r="K79" s="880"/>
      <c r="L79" s="420"/>
    </row>
    <row r="80" spans="2:12">
      <c r="K80" s="163"/>
      <c r="L80" s="420"/>
    </row>
  </sheetData>
  <autoFilter ref="I1:J65" xr:uid="{72DD36C4-AE06-41BE-AFE9-612752854A0B}">
    <sortState xmlns:xlrd2="http://schemas.microsoft.com/office/spreadsheetml/2017/richdata2" ref="I2:J65">
      <sortCondition ref="I2:I65"/>
      <sortCondition ref="J2:J65"/>
    </sortState>
  </autoFilter>
  <pageMargins left="0.7" right="0.7" top="0.75" bottom="0.75" header="0.3" footer="0.3"/>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98CFD-A465-4CB5-BC57-26DE2B21377E}">
  <dimension ref="A1:O100"/>
  <sheetViews>
    <sheetView topLeftCell="A2" workbookViewId="0">
      <selection activeCell="F16" sqref="F16"/>
    </sheetView>
  </sheetViews>
  <sheetFormatPr defaultRowHeight="15.5"/>
  <cols>
    <col min="2" max="2" width="11.9140625" bestFit="1" customWidth="1"/>
    <col min="3" max="3" width="14.1640625" bestFit="1" customWidth="1"/>
    <col min="4" max="4" width="13.33203125" customWidth="1"/>
    <col min="6" max="6" width="15.9140625" bestFit="1" customWidth="1"/>
    <col min="7" max="7" width="10.6640625" bestFit="1" customWidth="1"/>
    <col min="9" max="9" width="12.83203125" bestFit="1" customWidth="1"/>
    <col min="11" max="11" width="10.5" customWidth="1"/>
    <col min="12" max="12" width="22" bestFit="1" customWidth="1"/>
    <col min="14" max="14" width="15.58203125" bestFit="1" customWidth="1"/>
    <col min="15" max="15" width="16.4140625" bestFit="1" customWidth="1"/>
    <col min="16" max="16" width="16.58203125" bestFit="1" customWidth="1"/>
    <col min="17" max="17" width="12.9140625" bestFit="1" customWidth="1"/>
    <col min="18" max="18" width="16.58203125" bestFit="1" customWidth="1"/>
    <col min="19" max="19" width="12.9140625" bestFit="1" customWidth="1"/>
    <col min="20" max="20" width="16.58203125" bestFit="1" customWidth="1"/>
    <col min="21" max="21" width="12.9140625" bestFit="1" customWidth="1"/>
    <col min="22" max="22" width="16.58203125" bestFit="1" customWidth="1"/>
    <col min="23" max="23" width="12.9140625" bestFit="1" customWidth="1"/>
    <col min="24" max="24" width="16.58203125" bestFit="1" customWidth="1"/>
    <col min="25" max="25" width="12.9140625" bestFit="1" customWidth="1"/>
    <col min="26" max="26" width="16.58203125" bestFit="1" customWidth="1"/>
    <col min="27" max="27" width="12.9140625" bestFit="1" customWidth="1"/>
    <col min="28" max="28" width="16.58203125" bestFit="1" customWidth="1"/>
    <col min="29" max="29" width="12.9140625" bestFit="1" customWidth="1"/>
    <col min="30" max="30" width="16.58203125" bestFit="1" customWidth="1"/>
    <col min="31" max="31" width="12.9140625" bestFit="1" customWidth="1"/>
    <col min="32" max="32" width="16.58203125" bestFit="1" customWidth="1"/>
    <col min="33" max="33" width="12.9140625" bestFit="1" customWidth="1"/>
    <col min="34" max="34" width="16.58203125" bestFit="1" customWidth="1"/>
    <col min="35" max="35" width="12.9140625" bestFit="1" customWidth="1"/>
    <col min="36" max="36" width="16.58203125" bestFit="1" customWidth="1"/>
    <col min="37" max="37" width="12.9140625" bestFit="1" customWidth="1"/>
    <col min="38" max="38" width="16.58203125" bestFit="1" customWidth="1"/>
    <col min="39" max="39" width="12.9140625" bestFit="1" customWidth="1"/>
    <col min="40" max="40" width="16.58203125" bestFit="1" customWidth="1"/>
    <col min="41" max="41" width="12.9140625" bestFit="1" customWidth="1"/>
    <col min="42" max="42" width="16.58203125" bestFit="1" customWidth="1"/>
    <col min="43" max="43" width="12.9140625" bestFit="1" customWidth="1"/>
    <col min="44" max="44" width="16.58203125" bestFit="1" customWidth="1"/>
    <col min="45" max="45" width="12.9140625" bestFit="1" customWidth="1"/>
    <col min="46" max="46" width="16.58203125" bestFit="1" customWidth="1"/>
    <col min="47" max="47" width="12.9140625" bestFit="1" customWidth="1"/>
    <col min="48" max="48" width="16.58203125" bestFit="1" customWidth="1"/>
    <col min="49" max="49" width="12.9140625" bestFit="1" customWidth="1"/>
    <col min="50" max="50" width="16.58203125" bestFit="1" customWidth="1"/>
    <col min="51" max="51" width="12.9140625" bestFit="1" customWidth="1"/>
    <col min="52" max="52" width="16.58203125" bestFit="1" customWidth="1"/>
    <col min="53" max="53" width="12.9140625" bestFit="1" customWidth="1"/>
    <col min="54" max="54" width="16.58203125" bestFit="1" customWidth="1"/>
    <col min="55" max="55" width="12.9140625" bestFit="1" customWidth="1"/>
    <col min="56" max="56" width="16.58203125" bestFit="1" customWidth="1"/>
    <col min="57" max="57" width="12.9140625" bestFit="1" customWidth="1"/>
    <col min="58" max="58" width="16.58203125" bestFit="1" customWidth="1"/>
    <col min="59" max="59" width="12.9140625" bestFit="1" customWidth="1"/>
    <col min="60" max="60" width="16.58203125" bestFit="1" customWidth="1"/>
    <col min="61" max="61" width="12.9140625" bestFit="1" customWidth="1"/>
    <col min="62" max="62" width="16.58203125" bestFit="1" customWidth="1"/>
    <col min="63" max="63" width="12.9140625" bestFit="1" customWidth="1"/>
    <col min="64" max="64" width="16.58203125" bestFit="1" customWidth="1"/>
    <col min="65" max="65" width="12.9140625" bestFit="1" customWidth="1"/>
    <col min="66" max="66" width="16.58203125" bestFit="1" customWidth="1"/>
    <col min="67" max="67" width="12.9140625" bestFit="1" customWidth="1"/>
    <col min="68" max="68" width="16.58203125" bestFit="1" customWidth="1"/>
    <col min="69" max="69" width="12.9140625" bestFit="1" customWidth="1"/>
    <col min="70" max="70" width="16.58203125" bestFit="1" customWidth="1"/>
    <col min="71" max="71" width="12.9140625" bestFit="1" customWidth="1"/>
    <col min="72" max="72" width="16.58203125" bestFit="1" customWidth="1"/>
    <col min="73" max="73" width="12.9140625" bestFit="1" customWidth="1"/>
    <col min="74" max="74" width="16.58203125" bestFit="1" customWidth="1"/>
    <col min="75" max="75" width="12.9140625" bestFit="1" customWidth="1"/>
    <col min="76" max="76" width="16.58203125" bestFit="1" customWidth="1"/>
    <col min="77" max="77" width="12.9140625" bestFit="1" customWidth="1"/>
    <col min="78" max="78" width="16.58203125" bestFit="1" customWidth="1"/>
    <col min="79" max="79" width="12.9140625" bestFit="1" customWidth="1"/>
    <col min="80" max="80" width="16.58203125" bestFit="1" customWidth="1"/>
    <col min="81" max="81" width="12.9140625" bestFit="1" customWidth="1"/>
    <col min="82" max="82" width="16.58203125" bestFit="1" customWidth="1"/>
    <col min="83" max="83" width="12.9140625" bestFit="1" customWidth="1"/>
    <col min="84" max="84" width="16.58203125" bestFit="1" customWidth="1"/>
    <col min="85" max="85" width="12.9140625" bestFit="1" customWidth="1"/>
    <col min="86" max="86" width="16.58203125" bestFit="1" customWidth="1"/>
    <col min="87" max="87" width="12.9140625" bestFit="1" customWidth="1"/>
    <col min="88" max="88" width="16.58203125" bestFit="1" customWidth="1"/>
    <col min="89" max="89" width="12.9140625" bestFit="1" customWidth="1"/>
    <col min="90" max="90" width="16.58203125" bestFit="1" customWidth="1"/>
    <col min="91" max="91" width="12.9140625" bestFit="1" customWidth="1"/>
    <col min="92" max="92" width="16.58203125" bestFit="1" customWidth="1"/>
    <col min="93" max="93" width="12.9140625" bestFit="1" customWidth="1"/>
    <col min="94" max="94" width="16.58203125" bestFit="1" customWidth="1"/>
    <col min="95" max="95" width="12.9140625" bestFit="1" customWidth="1"/>
    <col min="96" max="96" width="16.58203125" bestFit="1" customWidth="1"/>
    <col min="97" max="97" width="12.9140625" bestFit="1" customWidth="1"/>
    <col min="98" max="98" width="16.58203125" bestFit="1" customWidth="1"/>
    <col min="99" max="99" width="12.9140625" bestFit="1" customWidth="1"/>
    <col min="100" max="100" width="16.58203125" bestFit="1" customWidth="1"/>
    <col min="101" max="101" width="12.9140625" bestFit="1" customWidth="1"/>
    <col min="102" max="102" width="16.58203125" bestFit="1" customWidth="1"/>
    <col min="103" max="103" width="12.9140625" bestFit="1" customWidth="1"/>
    <col min="104" max="104" width="16.58203125" bestFit="1" customWidth="1"/>
    <col min="105" max="105" width="18" bestFit="1" customWidth="1"/>
    <col min="106" max="106" width="21.6640625" bestFit="1" customWidth="1"/>
  </cols>
  <sheetData>
    <row r="1" spans="1:15">
      <c r="B1" s="940" t="s">
        <v>21</v>
      </c>
      <c r="C1" s="941" t="s">
        <v>2937</v>
      </c>
      <c r="D1" s="942" t="s">
        <v>2938</v>
      </c>
    </row>
    <row r="2" spans="1:15">
      <c r="A2" s="159"/>
      <c r="B2" s="932" t="s">
        <v>2751</v>
      </c>
      <c r="C2" s="943" t="s">
        <v>2939</v>
      </c>
      <c r="D2" s="944" t="s">
        <v>2927</v>
      </c>
      <c r="F2" s="426" t="s">
        <v>21</v>
      </c>
      <c r="G2" s="426" t="s">
        <v>2937</v>
      </c>
      <c r="I2" s="426" t="s">
        <v>1283</v>
      </c>
      <c r="K2" s="931" t="s">
        <v>2937</v>
      </c>
      <c r="L2" s="931" t="s">
        <v>3128</v>
      </c>
    </row>
    <row r="3" spans="1:15">
      <c r="A3" s="159"/>
      <c r="B3" s="932" t="s">
        <v>2751</v>
      </c>
      <c r="C3" s="943" t="s">
        <v>241</v>
      </c>
      <c r="D3" s="944" t="s">
        <v>2927</v>
      </c>
      <c r="F3" s="420" t="s">
        <v>2751</v>
      </c>
      <c r="G3" s="420" t="s">
        <v>2939</v>
      </c>
      <c r="I3" s="491" t="s">
        <v>319</v>
      </c>
      <c r="K3" s="950" t="s">
        <v>3121</v>
      </c>
      <c r="L3" s="950" t="s">
        <v>3132</v>
      </c>
      <c r="N3" s="426" t="s">
        <v>1283</v>
      </c>
      <c r="O3" t="s">
        <v>3135</v>
      </c>
    </row>
    <row r="4" spans="1:15">
      <c r="A4" s="159"/>
      <c r="B4" s="932" t="s">
        <v>613</v>
      </c>
      <c r="C4" s="943" t="s">
        <v>311</v>
      </c>
      <c r="D4" s="944" t="s">
        <v>2927</v>
      </c>
      <c r="F4" s="420" t="s">
        <v>2751</v>
      </c>
      <c r="G4" s="420" t="s">
        <v>241</v>
      </c>
      <c r="I4" s="491" t="s">
        <v>2940</v>
      </c>
      <c r="K4" s="950" t="s">
        <v>2936</v>
      </c>
      <c r="L4" s="950" t="s">
        <v>3132</v>
      </c>
      <c r="N4" s="491" t="s">
        <v>3132</v>
      </c>
      <c r="O4" s="419">
        <v>5</v>
      </c>
    </row>
    <row r="5" spans="1:15">
      <c r="A5" s="159"/>
      <c r="B5" s="932" t="s">
        <v>613</v>
      </c>
      <c r="C5" s="943" t="s">
        <v>2936</v>
      </c>
      <c r="D5" s="944" t="s">
        <v>2927</v>
      </c>
      <c r="F5" s="420" t="s">
        <v>613</v>
      </c>
      <c r="G5" s="420" t="s">
        <v>311</v>
      </c>
      <c r="I5" s="491" t="s">
        <v>3121</v>
      </c>
      <c r="K5" s="950" t="s">
        <v>3119</v>
      </c>
      <c r="L5" s="950" t="s">
        <v>3132</v>
      </c>
      <c r="N5" s="491" t="s">
        <v>3130</v>
      </c>
      <c r="O5" s="419">
        <v>23</v>
      </c>
    </row>
    <row r="6" spans="1:15">
      <c r="A6" s="159"/>
      <c r="B6" s="932" t="s">
        <v>613</v>
      </c>
      <c r="C6" s="943" t="s">
        <v>36</v>
      </c>
      <c r="D6" s="944" t="s">
        <v>2927</v>
      </c>
      <c r="F6" s="420" t="s">
        <v>613</v>
      </c>
      <c r="G6" s="420" t="s">
        <v>2936</v>
      </c>
      <c r="I6" s="491" t="s">
        <v>311</v>
      </c>
      <c r="K6" s="950" t="s">
        <v>3118</v>
      </c>
      <c r="L6" s="950" t="s">
        <v>3132</v>
      </c>
      <c r="N6" s="491" t="s">
        <v>3129</v>
      </c>
      <c r="O6" s="419">
        <v>14</v>
      </c>
    </row>
    <row r="7" spans="1:15">
      <c r="A7" s="159"/>
      <c r="B7" s="932" t="s">
        <v>613</v>
      </c>
      <c r="C7" s="943" t="s">
        <v>2933</v>
      </c>
      <c r="D7" s="944" t="s">
        <v>2927</v>
      </c>
      <c r="F7" s="420" t="s">
        <v>613</v>
      </c>
      <c r="G7" s="420" t="s">
        <v>36</v>
      </c>
      <c r="I7" s="491" t="s">
        <v>1756</v>
      </c>
      <c r="K7" s="950" t="s">
        <v>3124</v>
      </c>
      <c r="L7" s="950" t="s">
        <v>3132</v>
      </c>
      <c r="N7" s="491" t="s">
        <v>3133</v>
      </c>
      <c r="O7" s="419">
        <v>1</v>
      </c>
    </row>
    <row r="8" spans="1:15">
      <c r="A8" s="159"/>
      <c r="B8" s="932" t="s">
        <v>613</v>
      </c>
      <c r="C8" s="943" t="s">
        <v>2081</v>
      </c>
      <c r="D8" s="944" t="s">
        <v>2927</v>
      </c>
      <c r="F8" s="420" t="s">
        <v>613</v>
      </c>
      <c r="G8" s="420" t="s">
        <v>2933</v>
      </c>
      <c r="I8" s="491" t="s">
        <v>323</v>
      </c>
      <c r="K8" s="950" t="s">
        <v>319</v>
      </c>
      <c r="L8" s="950" t="s">
        <v>3130</v>
      </c>
      <c r="N8" s="491" t="s">
        <v>3134</v>
      </c>
      <c r="O8" s="419">
        <v>2</v>
      </c>
    </row>
    <row r="9" spans="1:15">
      <c r="A9" s="159"/>
      <c r="B9" s="932" t="s">
        <v>613</v>
      </c>
      <c r="C9" s="943" t="s">
        <v>2932</v>
      </c>
      <c r="D9" s="944" t="s">
        <v>2927</v>
      </c>
      <c r="F9" s="420" t="s">
        <v>613</v>
      </c>
      <c r="G9" s="420" t="s">
        <v>2081</v>
      </c>
      <c r="I9" s="491" t="s">
        <v>2934</v>
      </c>
      <c r="K9" s="950" t="s">
        <v>2940</v>
      </c>
      <c r="L9" s="950" t="s">
        <v>3130</v>
      </c>
      <c r="N9" s="491" t="s">
        <v>1285</v>
      </c>
      <c r="O9" s="419">
        <v>45</v>
      </c>
    </row>
    <row r="10" spans="1:15">
      <c r="A10" s="159"/>
      <c r="B10" s="932" t="s">
        <v>613</v>
      </c>
      <c r="C10" s="943" t="s">
        <v>241</v>
      </c>
      <c r="D10" s="944" t="s">
        <v>2927</v>
      </c>
      <c r="F10" s="420" t="s">
        <v>613</v>
      </c>
      <c r="G10" s="420" t="s">
        <v>2932</v>
      </c>
      <c r="I10" s="491" t="s">
        <v>2936</v>
      </c>
      <c r="K10" s="950" t="s">
        <v>311</v>
      </c>
      <c r="L10" s="950" t="s">
        <v>3130</v>
      </c>
    </row>
    <row r="11" spans="1:15">
      <c r="A11" s="159"/>
      <c r="B11" s="938" t="s">
        <v>37</v>
      </c>
      <c r="C11" s="945" t="s">
        <v>939</v>
      </c>
      <c r="D11" s="944" t="s">
        <v>2927</v>
      </c>
      <c r="F11" s="420" t="s">
        <v>613</v>
      </c>
      <c r="G11" s="420" t="s">
        <v>241</v>
      </c>
      <c r="I11" s="491" t="s">
        <v>3119</v>
      </c>
      <c r="K11" s="950" t="s">
        <v>323</v>
      </c>
      <c r="L11" s="950" t="s">
        <v>3130</v>
      </c>
    </row>
    <row r="12" spans="1:15">
      <c r="A12" s="159"/>
      <c r="B12" s="932" t="s">
        <v>37</v>
      </c>
      <c r="C12" s="943" t="s">
        <v>36</v>
      </c>
      <c r="D12" s="944" t="s">
        <v>2927</v>
      </c>
      <c r="F12" s="420" t="s">
        <v>37</v>
      </c>
      <c r="G12" s="420" t="s">
        <v>2161</v>
      </c>
      <c r="I12" s="491" t="s">
        <v>369</v>
      </c>
      <c r="K12" s="950" t="s">
        <v>2934</v>
      </c>
      <c r="L12" s="950" t="s">
        <v>3130</v>
      </c>
    </row>
    <row r="13" spans="1:15">
      <c r="A13" s="163"/>
      <c r="B13" s="932" t="s">
        <v>37</v>
      </c>
      <c r="C13" s="943" t="s">
        <v>2675</v>
      </c>
      <c r="D13" s="944" t="s">
        <v>2927</v>
      </c>
      <c r="F13" s="420" t="s">
        <v>37</v>
      </c>
      <c r="G13" s="420" t="s">
        <v>939</v>
      </c>
      <c r="I13" s="491" t="s">
        <v>3126</v>
      </c>
      <c r="K13" s="950" t="s">
        <v>369</v>
      </c>
      <c r="L13" s="950" t="s">
        <v>3130</v>
      </c>
    </row>
    <row r="14" spans="1:15">
      <c r="A14" s="159"/>
      <c r="B14" s="933" t="s">
        <v>37</v>
      </c>
      <c r="C14" s="943" t="s">
        <v>241</v>
      </c>
      <c r="D14" s="946" t="s">
        <v>2927</v>
      </c>
      <c r="F14" s="420" t="s">
        <v>37</v>
      </c>
      <c r="G14" s="420" t="s">
        <v>919</v>
      </c>
      <c r="I14" s="491" t="s">
        <v>2161</v>
      </c>
      <c r="K14" s="950" t="s">
        <v>2161</v>
      </c>
      <c r="L14" s="950" t="s">
        <v>3130</v>
      </c>
    </row>
    <row r="15" spans="1:15">
      <c r="A15" s="159"/>
      <c r="B15" s="932" t="s">
        <v>2753</v>
      </c>
      <c r="C15" s="943" t="s">
        <v>311</v>
      </c>
      <c r="D15" s="946" t="s">
        <v>2927</v>
      </c>
      <c r="F15" s="420" t="s">
        <v>37</v>
      </c>
      <c r="G15" s="420" t="s">
        <v>141</v>
      </c>
      <c r="I15" s="491" t="s">
        <v>939</v>
      </c>
      <c r="K15" s="950" t="s">
        <v>919</v>
      </c>
      <c r="L15" s="950" t="s">
        <v>3130</v>
      </c>
    </row>
    <row r="16" spans="1:15">
      <c r="A16" s="159"/>
      <c r="B16" s="932" t="s">
        <v>2753</v>
      </c>
      <c r="C16" s="943" t="s">
        <v>36</v>
      </c>
      <c r="D16" s="946" t="s">
        <v>2927</v>
      </c>
      <c r="F16" s="420" t="s">
        <v>37</v>
      </c>
      <c r="G16" s="420" t="s">
        <v>36</v>
      </c>
      <c r="I16" s="491" t="s">
        <v>919</v>
      </c>
      <c r="K16" s="950" t="s">
        <v>2917</v>
      </c>
      <c r="L16" s="950" t="s">
        <v>3130</v>
      </c>
    </row>
    <row r="17" spans="1:12">
      <c r="A17" s="163"/>
      <c r="B17" s="932" t="s">
        <v>2753</v>
      </c>
      <c r="C17" s="943" t="s">
        <v>3116</v>
      </c>
      <c r="D17" s="946" t="s">
        <v>2927</v>
      </c>
      <c r="F17" s="420" t="s">
        <v>37</v>
      </c>
      <c r="G17" s="420" t="s">
        <v>192</v>
      </c>
      <c r="I17" s="491" t="s">
        <v>2917</v>
      </c>
      <c r="K17" s="950" t="s">
        <v>2935</v>
      </c>
      <c r="L17" s="950" t="s">
        <v>3130</v>
      </c>
    </row>
    <row r="18" spans="1:12">
      <c r="B18" s="932" t="s">
        <v>2753</v>
      </c>
      <c r="C18" s="943" t="s">
        <v>3115</v>
      </c>
      <c r="D18" s="946" t="s">
        <v>2927</v>
      </c>
      <c r="F18" s="420" t="s">
        <v>37</v>
      </c>
      <c r="G18" s="420" t="s">
        <v>2081</v>
      </c>
      <c r="I18" s="491" t="s">
        <v>141</v>
      </c>
      <c r="K18" s="950" t="s">
        <v>315</v>
      </c>
      <c r="L18" s="950" t="s">
        <v>3130</v>
      </c>
    </row>
    <row r="19" spans="1:12">
      <c r="B19" s="932" t="s">
        <v>2753</v>
      </c>
      <c r="C19" s="943" t="s">
        <v>241</v>
      </c>
      <c r="D19" s="946" t="s">
        <v>2927</v>
      </c>
      <c r="F19" s="420" t="s">
        <v>37</v>
      </c>
      <c r="G19" s="420" t="s">
        <v>242</v>
      </c>
      <c r="I19" s="491" t="s">
        <v>36</v>
      </c>
      <c r="K19" s="950" t="s">
        <v>2933</v>
      </c>
      <c r="L19" s="950" t="s">
        <v>3130</v>
      </c>
    </row>
    <row r="20" spans="1:12">
      <c r="B20" s="932" t="s">
        <v>2753</v>
      </c>
      <c r="C20" s="943" t="s">
        <v>3114</v>
      </c>
      <c r="D20" s="946" t="s">
        <v>2927</v>
      </c>
      <c r="F20" s="420" t="s">
        <v>37</v>
      </c>
      <c r="G20" s="420" t="s">
        <v>276</v>
      </c>
      <c r="I20" s="491" t="s">
        <v>3116</v>
      </c>
      <c r="K20" s="950" t="s">
        <v>3115</v>
      </c>
      <c r="L20" s="950" t="s">
        <v>3130</v>
      </c>
    </row>
    <row r="21" spans="1:12">
      <c r="B21" s="932" t="s">
        <v>2350</v>
      </c>
      <c r="C21" s="943" t="s">
        <v>2940</v>
      </c>
      <c r="D21" s="946" t="s">
        <v>2927</v>
      </c>
      <c r="F21" s="420" t="s">
        <v>37</v>
      </c>
      <c r="G21" s="420" t="s">
        <v>2675</v>
      </c>
      <c r="I21" s="491" t="s">
        <v>2935</v>
      </c>
      <c r="K21" s="950" t="s">
        <v>3122</v>
      </c>
      <c r="L21" s="950" t="s">
        <v>3130</v>
      </c>
    </row>
    <row r="22" spans="1:12">
      <c r="B22" s="932" t="s">
        <v>2350</v>
      </c>
      <c r="C22" s="943" t="s">
        <v>3119</v>
      </c>
      <c r="D22" s="946" t="s">
        <v>2927</v>
      </c>
      <c r="F22" s="420" t="s">
        <v>37</v>
      </c>
      <c r="G22" s="420" t="s">
        <v>241</v>
      </c>
      <c r="I22" s="491" t="s">
        <v>315</v>
      </c>
      <c r="K22" s="950" t="s">
        <v>2081</v>
      </c>
      <c r="L22" s="950" t="s">
        <v>3130</v>
      </c>
    </row>
    <row r="23" spans="1:12">
      <c r="B23" s="932" t="s">
        <v>2350</v>
      </c>
      <c r="C23" s="943" t="s">
        <v>36</v>
      </c>
      <c r="D23" s="946" t="s">
        <v>2927</v>
      </c>
      <c r="F23" s="420" t="s">
        <v>37</v>
      </c>
      <c r="G23" s="420" t="s">
        <v>3113</v>
      </c>
      <c r="I23" s="491" t="s">
        <v>2933</v>
      </c>
      <c r="K23" s="950" t="s">
        <v>2939</v>
      </c>
      <c r="L23" s="950" t="s">
        <v>3130</v>
      </c>
    </row>
    <row r="24" spans="1:12">
      <c r="B24" s="932" t="s">
        <v>2350</v>
      </c>
      <c r="C24" s="943" t="s">
        <v>3115</v>
      </c>
      <c r="D24" s="946" t="s">
        <v>2927</v>
      </c>
      <c r="F24" s="420" t="s">
        <v>37</v>
      </c>
      <c r="G24" s="420" t="s">
        <v>291</v>
      </c>
      <c r="I24" s="491" t="s">
        <v>3115</v>
      </c>
      <c r="K24" s="950" t="s">
        <v>358</v>
      </c>
      <c r="L24" s="950" t="s">
        <v>3130</v>
      </c>
    </row>
    <row r="25" spans="1:12">
      <c r="B25" s="932" t="s">
        <v>2350</v>
      </c>
      <c r="C25" s="943" t="s">
        <v>2939</v>
      </c>
      <c r="D25" s="946" t="s">
        <v>2927</v>
      </c>
      <c r="F25" s="420" t="s">
        <v>37</v>
      </c>
      <c r="G25" s="420" t="s">
        <v>2150</v>
      </c>
      <c r="I25" s="491" t="s">
        <v>192</v>
      </c>
      <c r="K25" s="950" t="s">
        <v>297</v>
      </c>
      <c r="L25" s="950" t="s">
        <v>3130</v>
      </c>
    </row>
    <row r="26" spans="1:12">
      <c r="B26" s="932" t="s">
        <v>2350</v>
      </c>
      <c r="C26" s="943" t="s">
        <v>2943</v>
      </c>
      <c r="D26" s="946" t="s">
        <v>2927</v>
      </c>
      <c r="F26" s="420" t="s">
        <v>2753</v>
      </c>
      <c r="G26" s="420" t="s">
        <v>311</v>
      </c>
      <c r="I26" s="491" t="s">
        <v>3117</v>
      </c>
      <c r="K26" s="950" t="s">
        <v>276</v>
      </c>
      <c r="L26" s="950" t="s">
        <v>3130</v>
      </c>
    </row>
    <row r="27" spans="1:12">
      <c r="B27" s="932" t="s">
        <v>2350</v>
      </c>
      <c r="C27" s="943" t="s">
        <v>241</v>
      </c>
      <c r="D27" s="946" t="s">
        <v>2927</v>
      </c>
      <c r="F27" s="420" t="s">
        <v>2753</v>
      </c>
      <c r="G27" s="420" t="s">
        <v>36</v>
      </c>
      <c r="I27" s="491" t="s">
        <v>3118</v>
      </c>
      <c r="K27" s="950" t="s">
        <v>3120</v>
      </c>
      <c r="L27" s="950" t="s">
        <v>3130</v>
      </c>
    </row>
    <row r="28" spans="1:12">
      <c r="B28" s="932" t="s">
        <v>2754</v>
      </c>
      <c r="C28" s="943" t="s">
        <v>36</v>
      </c>
      <c r="D28" s="946" t="s">
        <v>2927</v>
      </c>
      <c r="F28" s="420" t="s">
        <v>2753</v>
      </c>
      <c r="G28" s="420" t="s">
        <v>3116</v>
      </c>
      <c r="I28" s="491" t="s">
        <v>3122</v>
      </c>
      <c r="K28" s="950" t="s">
        <v>2932</v>
      </c>
      <c r="L28" s="950" t="s">
        <v>3130</v>
      </c>
    </row>
    <row r="29" spans="1:12">
      <c r="B29" s="932" t="s">
        <v>2754</v>
      </c>
      <c r="C29" s="943" t="s">
        <v>2933</v>
      </c>
      <c r="D29" s="946" t="s">
        <v>2927</v>
      </c>
      <c r="F29" s="420" t="s">
        <v>2753</v>
      </c>
      <c r="G29" s="420" t="s">
        <v>3115</v>
      </c>
      <c r="I29" s="491" t="s">
        <v>2081</v>
      </c>
      <c r="K29" s="950" t="s">
        <v>3113</v>
      </c>
      <c r="L29" s="950" t="s">
        <v>3130</v>
      </c>
    </row>
    <row r="30" spans="1:12">
      <c r="B30" s="932" t="s">
        <v>3127</v>
      </c>
      <c r="C30" s="943" t="s">
        <v>311</v>
      </c>
      <c r="D30" s="946" t="s">
        <v>2927</v>
      </c>
      <c r="F30" s="420" t="s">
        <v>2753</v>
      </c>
      <c r="G30" s="420" t="s">
        <v>241</v>
      </c>
      <c r="I30" s="491" t="s">
        <v>3123</v>
      </c>
      <c r="K30" s="950" t="s">
        <v>3131</v>
      </c>
      <c r="L30" s="950" t="s">
        <v>3130</v>
      </c>
    </row>
    <row r="31" spans="1:12">
      <c r="B31" s="932" t="s">
        <v>3127</v>
      </c>
      <c r="C31" s="943" t="s">
        <v>3118</v>
      </c>
      <c r="D31" s="946" t="s">
        <v>2927</v>
      </c>
      <c r="F31" s="420" t="s">
        <v>2753</v>
      </c>
      <c r="G31" s="420" t="s">
        <v>3114</v>
      </c>
      <c r="I31" s="491" t="s">
        <v>2939</v>
      </c>
      <c r="K31" s="950" t="s">
        <v>1756</v>
      </c>
      <c r="L31" s="950" t="s">
        <v>3129</v>
      </c>
    </row>
    <row r="32" spans="1:12">
      <c r="B32" s="932" t="s">
        <v>3127</v>
      </c>
      <c r="C32" s="943" t="s">
        <v>2939</v>
      </c>
      <c r="D32" s="946" t="s">
        <v>2927</v>
      </c>
      <c r="F32" s="420" t="s">
        <v>2350</v>
      </c>
      <c r="G32" s="420" t="s">
        <v>2940</v>
      </c>
      <c r="I32" s="491" t="s">
        <v>358</v>
      </c>
      <c r="K32" s="950" t="s">
        <v>3126</v>
      </c>
      <c r="L32" s="950" t="s">
        <v>3129</v>
      </c>
    </row>
    <row r="33" spans="2:12">
      <c r="B33" s="932" t="s">
        <v>3127</v>
      </c>
      <c r="C33" s="943" t="s">
        <v>241</v>
      </c>
      <c r="D33" s="946" t="s">
        <v>2927</v>
      </c>
      <c r="F33" s="420" t="s">
        <v>2350</v>
      </c>
      <c r="G33" s="420" t="s">
        <v>3119</v>
      </c>
      <c r="I33" s="491" t="s">
        <v>297</v>
      </c>
      <c r="K33" s="950" t="s">
        <v>141</v>
      </c>
      <c r="L33" s="950" t="s">
        <v>3129</v>
      </c>
    </row>
    <row r="34" spans="2:12">
      <c r="B34" s="932" t="s">
        <v>304</v>
      </c>
      <c r="C34" s="943" t="s">
        <v>323</v>
      </c>
      <c r="D34" s="946" t="s">
        <v>2927</v>
      </c>
      <c r="F34" s="420" t="s">
        <v>2350</v>
      </c>
      <c r="G34" s="420" t="s">
        <v>36</v>
      </c>
      <c r="I34" s="491" t="s">
        <v>3124</v>
      </c>
      <c r="K34" s="950" t="s">
        <v>36</v>
      </c>
      <c r="L34" s="950" t="s">
        <v>3129</v>
      </c>
    </row>
    <row r="35" spans="2:12">
      <c r="B35" s="932" t="s">
        <v>304</v>
      </c>
      <c r="C35" s="943" t="s">
        <v>2934</v>
      </c>
      <c r="D35" s="946" t="s">
        <v>2927</v>
      </c>
      <c r="F35" s="420" t="s">
        <v>2350</v>
      </c>
      <c r="G35" s="420" t="s">
        <v>3115</v>
      </c>
      <c r="I35" s="491" t="s">
        <v>242</v>
      </c>
      <c r="K35" s="950" t="s">
        <v>3116</v>
      </c>
      <c r="L35" s="950" t="s">
        <v>3129</v>
      </c>
    </row>
    <row r="36" spans="2:12">
      <c r="B36" s="938" t="s">
        <v>304</v>
      </c>
      <c r="C36" s="943" t="s">
        <v>369</v>
      </c>
      <c r="D36" s="943" t="s">
        <v>2927</v>
      </c>
      <c r="F36" s="420" t="s">
        <v>2350</v>
      </c>
      <c r="G36" s="420" t="s">
        <v>2939</v>
      </c>
      <c r="I36" s="491" t="s">
        <v>276</v>
      </c>
      <c r="K36" s="950" t="s">
        <v>192</v>
      </c>
      <c r="L36" s="950" t="s">
        <v>3129</v>
      </c>
    </row>
    <row r="37" spans="2:12">
      <c r="B37" s="932" t="s">
        <v>304</v>
      </c>
      <c r="C37" s="943" t="s">
        <v>919</v>
      </c>
      <c r="D37" s="943" t="s">
        <v>2927</v>
      </c>
      <c r="F37" s="420" t="s">
        <v>2350</v>
      </c>
      <c r="G37" s="420" t="s">
        <v>2943</v>
      </c>
      <c r="I37" s="491" t="s">
        <v>2675</v>
      </c>
      <c r="K37" s="950" t="s">
        <v>3117</v>
      </c>
      <c r="L37" s="950" t="s">
        <v>3129</v>
      </c>
    </row>
    <row r="38" spans="2:12">
      <c r="B38" s="932" t="s">
        <v>304</v>
      </c>
      <c r="C38" s="943" t="s">
        <v>2935</v>
      </c>
      <c r="D38" s="943" t="s">
        <v>2927</v>
      </c>
      <c r="F38" s="420" t="s">
        <v>2350</v>
      </c>
      <c r="G38" s="420" t="s">
        <v>241</v>
      </c>
      <c r="I38" s="491" t="s">
        <v>3120</v>
      </c>
      <c r="K38" s="950" t="s">
        <v>3123</v>
      </c>
      <c r="L38" s="950" t="s">
        <v>3129</v>
      </c>
    </row>
    <row r="39" spans="2:12">
      <c r="B39" s="937" t="s">
        <v>304</v>
      </c>
      <c r="C39" s="947" t="s">
        <v>2081</v>
      </c>
      <c r="D39" s="943" t="s">
        <v>2927</v>
      </c>
      <c r="F39" s="420" t="s">
        <v>2754</v>
      </c>
      <c r="G39" s="420" t="s">
        <v>36</v>
      </c>
      <c r="I39" s="491" t="s">
        <v>2932</v>
      </c>
      <c r="K39" s="950" t="s">
        <v>242</v>
      </c>
      <c r="L39" s="950" t="s">
        <v>3129</v>
      </c>
    </row>
    <row r="40" spans="2:12">
      <c r="B40" s="936" t="s">
        <v>304</v>
      </c>
      <c r="C40" s="947" t="s">
        <v>358</v>
      </c>
      <c r="D40" s="943" t="s">
        <v>2927</v>
      </c>
      <c r="F40" s="420" t="s">
        <v>2754</v>
      </c>
      <c r="G40" s="420" t="s">
        <v>2933</v>
      </c>
      <c r="I40" s="491" t="s">
        <v>3125</v>
      </c>
      <c r="K40" s="950" t="s">
        <v>2675</v>
      </c>
      <c r="L40" s="950" t="s">
        <v>3129</v>
      </c>
    </row>
    <row r="41" spans="2:12">
      <c r="B41" s="936" t="s">
        <v>304</v>
      </c>
      <c r="C41" s="947" t="s">
        <v>276</v>
      </c>
      <c r="D41" s="943" t="s">
        <v>2927</v>
      </c>
      <c r="F41" s="420" t="s">
        <v>3127</v>
      </c>
      <c r="G41" s="420" t="s">
        <v>311</v>
      </c>
      <c r="I41" s="491" t="s">
        <v>2943</v>
      </c>
      <c r="K41" s="950" t="s">
        <v>3125</v>
      </c>
      <c r="L41" s="950" t="s">
        <v>3129</v>
      </c>
    </row>
    <row r="42" spans="2:12">
      <c r="B42" s="936" t="s">
        <v>304</v>
      </c>
      <c r="C42" s="947" t="s">
        <v>3120</v>
      </c>
      <c r="D42" s="943" t="s">
        <v>2927</v>
      </c>
      <c r="F42" s="420" t="s">
        <v>3127</v>
      </c>
      <c r="G42" s="420" t="s">
        <v>3118</v>
      </c>
      <c r="I42" s="491" t="s">
        <v>241</v>
      </c>
      <c r="K42" s="950" t="s">
        <v>2943</v>
      </c>
      <c r="L42" s="950" t="s">
        <v>3129</v>
      </c>
    </row>
    <row r="43" spans="2:12">
      <c r="B43" s="936" t="s">
        <v>304</v>
      </c>
      <c r="C43" s="947" t="s">
        <v>241</v>
      </c>
      <c r="D43" s="943" t="s">
        <v>2927</v>
      </c>
      <c r="F43" s="420" t="s">
        <v>3127</v>
      </c>
      <c r="G43" s="420" t="s">
        <v>2939</v>
      </c>
      <c r="I43" s="491" t="s">
        <v>3113</v>
      </c>
      <c r="K43" s="950" t="s">
        <v>3114</v>
      </c>
      <c r="L43" s="950" t="s">
        <v>3129</v>
      </c>
    </row>
    <row r="44" spans="2:12">
      <c r="B44" s="934" t="s">
        <v>304</v>
      </c>
      <c r="C44" s="947" t="s">
        <v>2129</v>
      </c>
      <c r="D44" s="943" t="s">
        <v>2927</v>
      </c>
      <c r="F44" s="420" t="s">
        <v>3127</v>
      </c>
      <c r="G44" s="420" t="s">
        <v>241</v>
      </c>
      <c r="I44" s="491" t="s">
        <v>3114</v>
      </c>
      <c r="K44" s="950" t="s">
        <v>291</v>
      </c>
      <c r="L44" s="950" t="s">
        <v>3129</v>
      </c>
    </row>
    <row r="45" spans="2:12">
      <c r="B45" s="937" t="s">
        <v>2757</v>
      </c>
      <c r="C45" s="947" t="s">
        <v>319</v>
      </c>
      <c r="D45" s="943" t="s">
        <v>2927</v>
      </c>
      <c r="F45" s="420" t="s">
        <v>304</v>
      </c>
      <c r="G45" s="420" t="s">
        <v>1756</v>
      </c>
      <c r="I45" s="491" t="s">
        <v>2129</v>
      </c>
      <c r="K45" s="950" t="s">
        <v>939</v>
      </c>
      <c r="L45" s="950" t="s">
        <v>3133</v>
      </c>
    </row>
    <row r="46" spans="2:12">
      <c r="B46" s="934" t="s">
        <v>2757</v>
      </c>
      <c r="C46" s="947" t="s">
        <v>3121</v>
      </c>
      <c r="D46" s="943" t="s">
        <v>2927</v>
      </c>
      <c r="F46" s="420" t="s">
        <v>304</v>
      </c>
      <c r="G46" s="420" t="s">
        <v>323</v>
      </c>
      <c r="I46" s="491" t="s">
        <v>291</v>
      </c>
      <c r="K46" s="950" t="s">
        <v>241</v>
      </c>
      <c r="L46" s="950" t="s">
        <v>3134</v>
      </c>
    </row>
    <row r="47" spans="2:12">
      <c r="B47" s="934" t="s">
        <v>2757</v>
      </c>
      <c r="C47" s="948" t="s">
        <v>36</v>
      </c>
      <c r="D47" s="943" t="s">
        <v>2927</v>
      </c>
      <c r="F47" s="420" t="s">
        <v>304</v>
      </c>
      <c r="G47" s="420" t="s">
        <v>2934</v>
      </c>
      <c r="I47" s="491" t="s">
        <v>2150</v>
      </c>
      <c r="K47" s="950" t="s">
        <v>2129</v>
      </c>
      <c r="L47" s="950" t="s">
        <v>3134</v>
      </c>
    </row>
    <row r="48" spans="2:12">
      <c r="B48" s="934" t="s">
        <v>2757</v>
      </c>
      <c r="C48" s="948" t="s">
        <v>241</v>
      </c>
      <c r="D48" s="943" t="s">
        <v>2927</v>
      </c>
      <c r="F48" s="420" t="s">
        <v>304</v>
      </c>
      <c r="G48" s="420" t="s">
        <v>369</v>
      </c>
      <c r="I48" s="491" t="s">
        <v>1285</v>
      </c>
    </row>
    <row r="49" spans="2:9" s="420" customFormat="1">
      <c r="B49" s="934" t="s">
        <v>515</v>
      </c>
      <c r="C49" s="949" t="s">
        <v>311</v>
      </c>
      <c r="D49" s="945" t="s">
        <v>2927</v>
      </c>
      <c r="F49" s="420" t="s">
        <v>304</v>
      </c>
      <c r="G49" s="420" t="s">
        <v>919</v>
      </c>
      <c r="I49"/>
    </row>
    <row r="50" spans="2:9">
      <c r="B50" s="935" t="s">
        <v>515</v>
      </c>
      <c r="C50" s="947" t="s">
        <v>939</v>
      </c>
      <c r="D50" s="945" t="s">
        <v>2927</v>
      </c>
      <c r="F50" s="420" t="s">
        <v>304</v>
      </c>
      <c r="G50" s="420" t="s">
        <v>2917</v>
      </c>
    </row>
    <row r="51" spans="2:9">
      <c r="B51" s="936" t="s">
        <v>515</v>
      </c>
      <c r="C51" s="947" t="s">
        <v>192</v>
      </c>
      <c r="D51" s="945" t="s">
        <v>2927</v>
      </c>
      <c r="F51" s="420" t="s">
        <v>304</v>
      </c>
      <c r="G51" s="420" t="s">
        <v>2935</v>
      </c>
    </row>
    <row r="52" spans="2:9">
      <c r="B52" s="936" t="s">
        <v>515</v>
      </c>
      <c r="C52" s="947" t="s">
        <v>3117</v>
      </c>
      <c r="D52" s="945" t="s">
        <v>2927</v>
      </c>
      <c r="F52" s="420" t="s">
        <v>304</v>
      </c>
      <c r="G52" s="420" t="s">
        <v>315</v>
      </c>
    </row>
    <row r="53" spans="2:9">
      <c r="B53" s="934" t="s">
        <v>515</v>
      </c>
      <c r="C53" s="947" t="s">
        <v>297</v>
      </c>
      <c r="D53" s="945" t="s">
        <v>2927</v>
      </c>
      <c r="F53" s="420" t="s">
        <v>304</v>
      </c>
      <c r="G53" s="420" t="s">
        <v>2933</v>
      </c>
    </row>
    <row r="54" spans="2:9">
      <c r="B54" s="934" t="s">
        <v>515</v>
      </c>
      <c r="C54" s="947" t="s">
        <v>241</v>
      </c>
      <c r="D54" s="945" t="s">
        <v>2927</v>
      </c>
      <c r="F54" s="420" t="s">
        <v>304</v>
      </c>
      <c r="G54" s="420" t="s">
        <v>3122</v>
      </c>
    </row>
    <row r="55" spans="2:9">
      <c r="B55" s="934" t="s">
        <v>2688</v>
      </c>
      <c r="C55" s="949" t="s">
        <v>311</v>
      </c>
      <c r="D55" s="945" t="s">
        <v>2927</v>
      </c>
      <c r="F55" s="420" t="s">
        <v>304</v>
      </c>
      <c r="G55" s="420" t="s">
        <v>2081</v>
      </c>
    </row>
    <row r="56" spans="2:9">
      <c r="B56" s="937" t="s">
        <v>2688</v>
      </c>
      <c r="C56" s="947" t="s">
        <v>3116</v>
      </c>
      <c r="D56" s="945" t="s">
        <v>2927</v>
      </c>
      <c r="F56" s="420" t="s">
        <v>304</v>
      </c>
      <c r="G56" s="420" t="s">
        <v>3123</v>
      </c>
    </row>
    <row r="57" spans="2:9">
      <c r="B57" s="936" t="s">
        <v>2688</v>
      </c>
      <c r="C57" s="947" t="s">
        <v>3115</v>
      </c>
      <c r="D57" s="945" t="s">
        <v>2927</v>
      </c>
      <c r="F57" s="420" t="s">
        <v>304</v>
      </c>
      <c r="G57" s="420" t="s">
        <v>358</v>
      </c>
    </row>
    <row r="58" spans="2:9">
      <c r="B58" s="934" t="s">
        <v>2688</v>
      </c>
      <c r="C58" s="949" t="s">
        <v>297</v>
      </c>
      <c r="D58" s="945" t="s">
        <v>2927</v>
      </c>
      <c r="F58" s="420" t="s">
        <v>304</v>
      </c>
      <c r="G58" s="420" t="s">
        <v>297</v>
      </c>
    </row>
    <row r="59" spans="2:9">
      <c r="B59" s="934" t="s">
        <v>37</v>
      </c>
      <c r="C59" s="947" t="s">
        <v>2161</v>
      </c>
      <c r="D59" s="943" t="s">
        <v>2689</v>
      </c>
      <c r="F59" s="420" t="s">
        <v>304</v>
      </c>
      <c r="G59" s="420" t="s">
        <v>3124</v>
      </c>
    </row>
    <row r="60" spans="2:9">
      <c r="B60" s="937" t="s">
        <v>37</v>
      </c>
      <c r="C60" s="947" t="s">
        <v>919</v>
      </c>
      <c r="D60" s="943" t="s">
        <v>2689</v>
      </c>
      <c r="F60" s="420" t="s">
        <v>304</v>
      </c>
      <c r="G60" s="420" t="s">
        <v>276</v>
      </c>
    </row>
    <row r="61" spans="2:9">
      <c r="B61" s="936" t="s">
        <v>37</v>
      </c>
      <c r="C61" s="947" t="s">
        <v>141</v>
      </c>
      <c r="D61" s="943" t="s">
        <v>2689</v>
      </c>
      <c r="F61" s="420" t="s">
        <v>304</v>
      </c>
      <c r="G61" s="420" t="s">
        <v>3120</v>
      </c>
    </row>
    <row r="62" spans="2:9">
      <c r="B62" s="934" t="s">
        <v>37</v>
      </c>
      <c r="C62" s="947" t="s">
        <v>36</v>
      </c>
      <c r="D62" s="943" t="s">
        <v>2689</v>
      </c>
      <c r="F62" s="420" t="s">
        <v>304</v>
      </c>
      <c r="G62" s="420" t="s">
        <v>3125</v>
      </c>
    </row>
    <row r="63" spans="2:9">
      <c r="B63" s="937" t="s">
        <v>37</v>
      </c>
      <c r="C63" s="949" t="s">
        <v>192</v>
      </c>
      <c r="D63" s="943" t="s">
        <v>2689</v>
      </c>
      <c r="F63" s="420" t="s">
        <v>304</v>
      </c>
      <c r="G63" s="420" t="s">
        <v>241</v>
      </c>
    </row>
    <row r="64" spans="2:9">
      <c r="B64" s="936" t="s">
        <v>37</v>
      </c>
      <c r="C64" s="947" t="s">
        <v>2081</v>
      </c>
      <c r="D64" s="943" t="s">
        <v>2689</v>
      </c>
      <c r="F64" s="420" t="s">
        <v>304</v>
      </c>
      <c r="G64" s="420" t="s">
        <v>2129</v>
      </c>
    </row>
    <row r="65" spans="2:7">
      <c r="B65" s="936" t="s">
        <v>37</v>
      </c>
      <c r="C65" s="947" t="s">
        <v>242</v>
      </c>
      <c r="D65" s="943" t="s">
        <v>2689</v>
      </c>
      <c r="F65" s="420" t="s">
        <v>2757</v>
      </c>
      <c r="G65" s="420" t="s">
        <v>319</v>
      </c>
    </row>
    <row r="66" spans="2:7">
      <c r="B66" s="936" t="s">
        <v>37</v>
      </c>
      <c r="C66" s="947" t="s">
        <v>276</v>
      </c>
      <c r="D66" s="943" t="s">
        <v>2689</v>
      </c>
      <c r="F66" s="420" t="s">
        <v>2757</v>
      </c>
      <c r="G66" s="420" t="s">
        <v>3121</v>
      </c>
    </row>
    <row r="67" spans="2:7">
      <c r="B67" s="934" t="s">
        <v>37</v>
      </c>
      <c r="C67" s="947" t="s">
        <v>2675</v>
      </c>
      <c r="D67" s="943" t="s">
        <v>2689</v>
      </c>
      <c r="F67" s="420" t="s">
        <v>2757</v>
      </c>
      <c r="G67" s="420" t="s">
        <v>36</v>
      </c>
    </row>
    <row r="68" spans="2:7">
      <c r="B68" s="939" t="s">
        <v>37</v>
      </c>
      <c r="C68" s="947" t="s">
        <v>3113</v>
      </c>
      <c r="D68" s="943" t="s">
        <v>2689</v>
      </c>
      <c r="F68" s="420" t="s">
        <v>2757</v>
      </c>
      <c r="G68" s="420" t="s">
        <v>241</v>
      </c>
    </row>
    <row r="69" spans="2:7">
      <c r="B69" s="933" t="s">
        <v>37</v>
      </c>
      <c r="C69" s="945" t="s">
        <v>291</v>
      </c>
      <c r="D69" s="943" t="s">
        <v>2689</v>
      </c>
      <c r="F69" s="420" t="s">
        <v>515</v>
      </c>
      <c r="G69" s="420" t="s">
        <v>311</v>
      </c>
    </row>
    <row r="70" spans="2:7">
      <c r="B70" s="932" t="s">
        <v>304</v>
      </c>
      <c r="C70" s="943" t="s">
        <v>1756</v>
      </c>
      <c r="D70" s="945" t="s">
        <v>2689</v>
      </c>
      <c r="F70" s="420" t="s">
        <v>515</v>
      </c>
      <c r="G70" s="420" t="s">
        <v>3126</v>
      </c>
    </row>
    <row r="71" spans="2:7">
      <c r="B71" s="932" t="s">
        <v>304</v>
      </c>
      <c r="C71" s="943" t="s">
        <v>3122</v>
      </c>
      <c r="D71" s="945" t="s">
        <v>2689</v>
      </c>
      <c r="F71" s="420" t="s">
        <v>515</v>
      </c>
      <c r="G71" s="420" t="s">
        <v>2161</v>
      </c>
    </row>
    <row r="72" spans="2:7">
      <c r="B72" s="932" t="s">
        <v>304</v>
      </c>
      <c r="C72" s="943" t="s">
        <v>358</v>
      </c>
      <c r="D72" s="945" t="s">
        <v>2689</v>
      </c>
      <c r="F72" s="420" t="s">
        <v>515</v>
      </c>
      <c r="G72" s="420" t="s">
        <v>939</v>
      </c>
    </row>
    <row r="73" spans="2:7">
      <c r="B73" s="932" t="s">
        <v>304</v>
      </c>
      <c r="C73" s="943" t="s">
        <v>297</v>
      </c>
      <c r="D73" s="945" t="s">
        <v>2689</v>
      </c>
      <c r="F73" s="420" t="s">
        <v>515</v>
      </c>
      <c r="G73" s="420" t="s">
        <v>36</v>
      </c>
    </row>
    <row r="74" spans="2:7">
      <c r="B74" s="933" t="s">
        <v>304</v>
      </c>
      <c r="C74" s="945" t="s">
        <v>276</v>
      </c>
      <c r="D74" s="945" t="s">
        <v>2689</v>
      </c>
      <c r="F74" s="420" t="s">
        <v>515</v>
      </c>
      <c r="G74" s="420" t="s">
        <v>192</v>
      </c>
    </row>
    <row r="75" spans="2:7">
      <c r="B75" s="933" t="s">
        <v>304</v>
      </c>
      <c r="C75" s="945" t="s">
        <v>276</v>
      </c>
      <c r="D75" s="945" t="s">
        <v>2689</v>
      </c>
      <c r="F75" s="420" t="s">
        <v>515</v>
      </c>
      <c r="G75" s="420" t="s">
        <v>3117</v>
      </c>
    </row>
    <row r="76" spans="2:7">
      <c r="B76" s="933" t="s">
        <v>515</v>
      </c>
      <c r="C76" s="945" t="s">
        <v>2161</v>
      </c>
      <c r="D76" s="943" t="s">
        <v>2689</v>
      </c>
      <c r="F76" s="420" t="s">
        <v>515</v>
      </c>
      <c r="G76" s="420" t="s">
        <v>297</v>
      </c>
    </row>
    <row r="77" spans="2:7">
      <c r="B77" s="933" t="s">
        <v>515</v>
      </c>
      <c r="C77" s="945" t="s">
        <v>36</v>
      </c>
      <c r="D77" s="943" t="s">
        <v>2689</v>
      </c>
      <c r="F77" s="420" t="s">
        <v>515</v>
      </c>
      <c r="G77" s="420" t="s">
        <v>241</v>
      </c>
    </row>
    <row r="78" spans="2:7">
      <c r="B78" s="933" t="s">
        <v>515</v>
      </c>
      <c r="C78" s="945" t="s">
        <v>192</v>
      </c>
      <c r="D78" s="943" t="s">
        <v>2689</v>
      </c>
      <c r="F78" s="420" t="s">
        <v>2688</v>
      </c>
      <c r="G78" s="420" t="s">
        <v>311</v>
      </c>
    </row>
    <row r="79" spans="2:7">
      <c r="B79" s="933" t="s">
        <v>613</v>
      </c>
      <c r="C79" s="945" t="s">
        <v>2081</v>
      </c>
      <c r="D79" s="943" t="s">
        <v>2918</v>
      </c>
      <c r="F79" s="420" t="s">
        <v>2688</v>
      </c>
      <c r="G79" s="420" t="s">
        <v>3116</v>
      </c>
    </row>
    <row r="80" spans="2:7">
      <c r="B80" s="933" t="s">
        <v>37</v>
      </c>
      <c r="C80" s="945" t="s">
        <v>2161</v>
      </c>
      <c r="D80" s="945" t="s">
        <v>2918</v>
      </c>
      <c r="F80" s="420" t="s">
        <v>2688</v>
      </c>
      <c r="G80" s="420" t="s">
        <v>3115</v>
      </c>
    </row>
    <row r="81" spans="2:7">
      <c r="B81" s="933" t="s">
        <v>37</v>
      </c>
      <c r="C81" s="945" t="s">
        <v>141</v>
      </c>
      <c r="D81" s="943" t="s">
        <v>2918</v>
      </c>
      <c r="F81" s="420" t="s">
        <v>2688</v>
      </c>
      <c r="G81" s="420" t="s">
        <v>297</v>
      </c>
    </row>
    <row r="82" spans="2:7">
      <c r="B82" s="933" t="s">
        <v>37</v>
      </c>
      <c r="C82" s="945" t="s">
        <v>2081</v>
      </c>
      <c r="D82" s="943" t="s">
        <v>2918</v>
      </c>
    </row>
    <row r="83" spans="2:7">
      <c r="B83" s="933" t="s">
        <v>37</v>
      </c>
      <c r="C83" s="945" t="s">
        <v>2675</v>
      </c>
      <c r="D83" s="943" t="s">
        <v>2918</v>
      </c>
    </row>
    <row r="84" spans="2:7">
      <c r="B84" s="933" t="s">
        <v>37</v>
      </c>
      <c r="C84" s="945" t="s">
        <v>3113</v>
      </c>
      <c r="D84" s="943" t="s">
        <v>2918</v>
      </c>
    </row>
    <row r="85" spans="2:7">
      <c r="B85" s="933" t="s">
        <v>37</v>
      </c>
      <c r="C85" s="945" t="s">
        <v>2150</v>
      </c>
      <c r="D85" s="943" t="s">
        <v>2918</v>
      </c>
    </row>
    <row r="86" spans="2:7">
      <c r="B86" s="932" t="s">
        <v>304</v>
      </c>
      <c r="C86" s="943" t="s">
        <v>369</v>
      </c>
      <c r="D86" s="945" t="s">
        <v>2918</v>
      </c>
    </row>
    <row r="87" spans="2:7">
      <c r="B87" s="932" t="s">
        <v>304</v>
      </c>
      <c r="C87" s="943" t="s">
        <v>2917</v>
      </c>
      <c r="D87" s="945" t="s">
        <v>2918</v>
      </c>
    </row>
    <row r="88" spans="2:7">
      <c r="B88" s="932" t="s">
        <v>304</v>
      </c>
      <c r="C88" s="943" t="s">
        <v>315</v>
      </c>
      <c r="D88" s="945" t="s">
        <v>2918</v>
      </c>
    </row>
    <row r="89" spans="2:7">
      <c r="B89" s="932" t="s">
        <v>304</v>
      </c>
      <c r="C89" s="943" t="s">
        <v>2933</v>
      </c>
      <c r="D89" s="945" t="s">
        <v>2918</v>
      </c>
    </row>
    <row r="90" spans="2:7">
      <c r="B90" s="932" t="s">
        <v>304</v>
      </c>
      <c r="C90" s="943" t="s">
        <v>2081</v>
      </c>
      <c r="D90" s="945" t="s">
        <v>2918</v>
      </c>
    </row>
    <row r="91" spans="2:7">
      <c r="B91" s="932" t="s">
        <v>304</v>
      </c>
      <c r="C91" s="943" t="s">
        <v>3123</v>
      </c>
      <c r="D91" s="945" t="s">
        <v>2918</v>
      </c>
    </row>
    <row r="92" spans="2:7">
      <c r="B92" s="933" t="s">
        <v>304</v>
      </c>
      <c r="C92" s="945" t="s">
        <v>297</v>
      </c>
      <c r="D92" s="945" t="s">
        <v>2918</v>
      </c>
    </row>
    <row r="93" spans="2:7">
      <c r="B93" s="933" t="s">
        <v>304</v>
      </c>
      <c r="C93" s="945" t="s">
        <v>3124</v>
      </c>
      <c r="D93" s="945" t="s">
        <v>2918</v>
      </c>
    </row>
    <row r="94" spans="2:7">
      <c r="B94" s="933" t="s">
        <v>304</v>
      </c>
      <c r="C94" s="945" t="s">
        <v>276</v>
      </c>
      <c r="D94" s="945" t="s">
        <v>2918</v>
      </c>
    </row>
    <row r="95" spans="2:7">
      <c r="B95" s="933" t="s">
        <v>304</v>
      </c>
      <c r="C95" s="945" t="s">
        <v>276</v>
      </c>
      <c r="D95" s="945" t="s">
        <v>2918</v>
      </c>
    </row>
    <row r="96" spans="2:7">
      <c r="B96" s="933" t="s">
        <v>304</v>
      </c>
      <c r="C96" s="948" t="s">
        <v>3125</v>
      </c>
      <c r="D96" s="945" t="s">
        <v>2918</v>
      </c>
    </row>
    <row r="97" spans="2:4">
      <c r="B97" s="933" t="s">
        <v>304</v>
      </c>
      <c r="C97" s="948" t="s">
        <v>241</v>
      </c>
      <c r="D97" s="945" t="s">
        <v>2918</v>
      </c>
    </row>
    <row r="98" spans="2:4">
      <c r="B98" s="933" t="s">
        <v>515</v>
      </c>
      <c r="C98" s="948" t="s">
        <v>3126</v>
      </c>
      <c r="D98" s="945" t="s">
        <v>2918</v>
      </c>
    </row>
    <row r="99" spans="2:4">
      <c r="B99" s="933" t="s">
        <v>515</v>
      </c>
      <c r="C99" s="947" t="s">
        <v>36</v>
      </c>
      <c r="D99" s="945" t="s">
        <v>2918</v>
      </c>
    </row>
    <row r="100" spans="2:4">
      <c r="B100" s="933" t="s">
        <v>515</v>
      </c>
      <c r="C100" s="943" t="s">
        <v>3117</v>
      </c>
      <c r="D100" s="945" t="s">
        <v>2918</v>
      </c>
    </row>
  </sheetData>
  <pageMargins left="0.7" right="0.7" top="0.75" bottom="0.75" header="0.3" footer="0.3"/>
  <tableParts count="2">
    <tablePart r:id="rId4"/>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CF94-CD14-4BF1-98B9-7FD9B11CCA42}">
  <dimension ref="A1:P108"/>
  <sheetViews>
    <sheetView workbookViewId="0">
      <selection activeCell="F99" sqref="F99"/>
    </sheetView>
  </sheetViews>
  <sheetFormatPr defaultColWidth="8.83203125" defaultRowHeight="15.5"/>
  <cols>
    <col min="1" max="1" width="8.83203125" style="420"/>
    <col min="2" max="2" width="11.9140625" style="420" bestFit="1" customWidth="1"/>
    <col min="3" max="3" width="14.1640625" style="420" bestFit="1" customWidth="1"/>
    <col min="4" max="4" width="13.33203125" style="420" customWidth="1"/>
    <col min="5" max="5" width="8.83203125" style="420"/>
    <col min="6" max="6" width="15.9140625" style="420" bestFit="1" customWidth="1"/>
    <col min="7" max="7" width="11.4140625" style="420" bestFit="1" customWidth="1"/>
    <col min="8" max="8" width="8.83203125" style="420"/>
    <col min="9" max="9" width="12.83203125" style="420" bestFit="1" customWidth="1"/>
    <col min="10" max="10" width="8.83203125" style="420"/>
    <col min="11" max="11" width="10.5" style="420" customWidth="1"/>
    <col min="12" max="12" width="22" style="420" bestFit="1" customWidth="1"/>
    <col min="13" max="13" width="8.83203125" style="420"/>
    <col min="14" max="14" width="15.58203125" style="420" bestFit="1" customWidth="1"/>
    <col min="15" max="15" width="16.4140625" style="420" bestFit="1" customWidth="1"/>
    <col min="16" max="16" width="16.58203125" style="420" bestFit="1" customWidth="1"/>
    <col min="17" max="17" width="12.9140625" style="420" bestFit="1" customWidth="1"/>
    <col min="18" max="18" width="16.58203125" style="420" bestFit="1" customWidth="1"/>
    <col min="19" max="19" width="12.9140625" style="420" bestFit="1" customWidth="1"/>
    <col min="20" max="20" width="16.58203125" style="420" bestFit="1" customWidth="1"/>
    <col min="21" max="21" width="12.9140625" style="420" bestFit="1" customWidth="1"/>
    <col min="22" max="22" width="16.58203125" style="420" bestFit="1" customWidth="1"/>
    <col min="23" max="23" width="12.9140625" style="420" bestFit="1" customWidth="1"/>
    <col min="24" max="24" width="16.58203125" style="420" bestFit="1" customWidth="1"/>
    <col min="25" max="25" width="12.9140625" style="420" bestFit="1" customWidth="1"/>
    <col min="26" max="26" width="16.58203125" style="420" bestFit="1" customWidth="1"/>
    <col min="27" max="27" width="12.9140625" style="420" bestFit="1" customWidth="1"/>
    <col min="28" max="28" width="16.58203125" style="420" bestFit="1" customWidth="1"/>
    <col min="29" max="29" width="12.9140625" style="420" bestFit="1" customWidth="1"/>
    <col min="30" max="30" width="16.58203125" style="420" bestFit="1" customWidth="1"/>
    <col min="31" max="31" width="12.9140625" style="420" bestFit="1" customWidth="1"/>
    <col min="32" max="32" width="16.58203125" style="420" bestFit="1" customWidth="1"/>
    <col min="33" max="33" width="12.9140625" style="420" bestFit="1" customWidth="1"/>
    <col min="34" max="34" width="16.58203125" style="420" bestFit="1" customWidth="1"/>
    <col min="35" max="35" width="12.9140625" style="420" bestFit="1" customWidth="1"/>
    <col min="36" max="36" width="16.58203125" style="420" bestFit="1" customWidth="1"/>
    <col min="37" max="37" width="12.9140625" style="420" bestFit="1" customWidth="1"/>
    <col min="38" max="38" width="16.58203125" style="420" bestFit="1" customWidth="1"/>
    <col min="39" max="39" width="12.9140625" style="420" bestFit="1" customWidth="1"/>
    <col min="40" max="40" width="16.58203125" style="420" bestFit="1" customWidth="1"/>
    <col min="41" max="41" width="12.9140625" style="420" bestFit="1" customWidth="1"/>
    <col min="42" max="42" width="16.58203125" style="420" bestFit="1" customWidth="1"/>
    <col min="43" max="43" width="12.9140625" style="420" bestFit="1" customWidth="1"/>
    <col min="44" max="44" width="16.58203125" style="420" bestFit="1" customWidth="1"/>
    <col min="45" max="45" width="12.9140625" style="420" bestFit="1" customWidth="1"/>
    <col min="46" max="46" width="16.58203125" style="420" bestFit="1" customWidth="1"/>
    <col min="47" max="47" width="12.9140625" style="420" bestFit="1" customWidth="1"/>
    <col min="48" max="48" width="16.58203125" style="420" bestFit="1" customWidth="1"/>
    <col min="49" max="49" width="12.9140625" style="420" bestFit="1" customWidth="1"/>
    <col min="50" max="50" width="16.58203125" style="420" bestFit="1" customWidth="1"/>
    <col min="51" max="51" width="12.9140625" style="420" bestFit="1" customWidth="1"/>
    <col min="52" max="52" width="16.58203125" style="420" bestFit="1" customWidth="1"/>
    <col min="53" max="53" width="12.9140625" style="420" bestFit="1" customWidth="1"/>
    <col min="54" max="54" width="16.58203125" style="420" bestFit="1" customWidth="1"/>
    <col min="55" max="55" width="12.9140625" style="420" bestFit="1" customWidth="1"/>
    <col min="56" max="56" width="16.58203125" style="420" bestFit="1" customWidth="1"/>
    <col min="57" max="57" width="12.9140625" style="420" bestFit="1" customWidth="1"/>
    <col min="58" max="58" width="16.58203125" style="420" bestFit="1" customWidth="1"/>
    <col min="59" max="59" width="12.9140625" style="420" bestFit="1" customWidth="1"/>
    <col min="60" max="60" width="16.58203125" style="420" bestFit="1" customWidth="1"/>
    <col min="61" max="61" width="12.9140625" style="420" bestFit="1" customWidth="1"/>
    <col min="62" max="62" width="16.58203125" style="420" bestFit="1" customWidth="1"/>
    <col min="63" max="63" width="12.9140625" style="420" bestFit="1" customWidth="1"/>
    <col min="64" max="64" width="16.58203125" style="420" bestFit="1" customWidth="1"/>
    <col min="65" max="65" width="12.9140625" style="420" bestFit="1" customWidth="1"/>
    <col min="66" max="66" width="16.58203125" style="420" bestFit="1" customWidth="1"/>
    <col min="67" max="67" width="12.9140625" style="420" bestFit="1" customWidth="1"/>
    <col min="68" max="68" width="16.58203125" style="420" bestFit="1" customWidth="1"/>
    <col min="69" max="69" width="12.9140625" style="420" bestFit="1" customWidth="1"/>
    <col min="70" max="70" width="16.58203125" style="420" bestFit="1" customWidth="1"/>
    <col min="71" max="71" width="12.9140625" style="420" bestFit="1" customWidth="1"/>
    <col min="72" max="72" width="16.58203125" style="420" bestFit="1" customWidth="1"/>
    <col min="73" max="73" width="12.9140625" style="420" bestFit="1" customWidth="1"/>
    <col min="74" max="74" width="16.58203125" style="420" bestFit="1" customWidth="1"/>
    <col min="75" max="75" width="12.9140625" style="420" bestFit="1" customWidth="1"/>
    <col min="76" max="76" width="16.58203125" style="420" bestFit="1" customWidth="1"/>
    <col min="77" max="77" width="12.9140625" style="420" bestFit="1" customWidth="1"/>
    <col min="78" max="78" width="16.58203125" style="420" bestFit="1" customWidth="1"/>
    <col min="79" max="79" width="12.9140625" style="420" bestFit="1" customWidth="1"/>
    <col min="80" max="80" width="16.58203125" style="420" bestFit="1" customWidth="1"/>
    <col min="81" max="81" width="12.9140625" style="420" bestFit="1" customWidth="1"/>
    <col min="82" max="82" width="16.58203125" style="420" bestFit="1" customWidth="1"/>
    <col min="83" max="83" width="12.9140625" style="420" bestFit="1" customWidth="1"/>
    <col min="84" max="84" width="16.58203125" style="420" bestFit="1" customWidth="1"/>
    <col min="85" max="85" width="12.9140625" style="420" bestFit="1" customWidth="1"/>
    <col min="86" max="86" width="16.58203125" style="420" bestFit="1" customWidth="1"/>
    <col min="87" max="87" width="12.9140625" style="420" bestFit="1" customWidth="1"/>
    <col min="88" max="88" width="16.58203125" style="420" bestFit="1" customWidth="1"/>
    <col min="89" max="89" width="12.9140625" style="420" bestFit="1" customWidth="1"/>
    <col min="90" max="90" width="16.58203125" style="420" bestFit="1" customWidth="1"/>
    <col min="91" max="91" width="12.9140625" style="420" bestFit="1" customWidth="1"/>
    <col min="92" max="92" width="16.58203125" style="420" bestFit="1" customWidth="1"/>
    <col min="93" max="93" width="12.9140625" style="420" bestFit="1" customWidth="1"/>
    <col min="94" max="94" width="16.58203125" style="420" bestFit="1" customWidth="1"/>
    <col min="95" max="95" width="12.9140625" style="420" bestFit="1" customWidth="1"/>
    <col min="96" max="96" width="16.58203125" style="420" bestFit="1" customWidth="1"/>
    <col min="97" max="97" width="12.9140625" style="420" bestFit="1" customWidth="1"/>
    <col min="98" max="98" width="16.58203125" style="420" bestFit="1" customWidth="1"/>
    <col min="99" max="99" width="12.9140625" style="420" bestFit="1" customWidth="1"/>
    <col min="100" max="100" width="16.58203125" style="420" bestFit="1" customWidth="1"/>
    <col min="101" max="101" width="12.9140625" style="420" bestFit="1" customWidth="1"/>
    <col min="102" max="102" width="16.58203125" style="420" bestFit="1" customWidth="1"/>
    <col min="103" max="103" width="12.9140625" style="420" bestFit="1" customWidth="1"/>
    <col min="104" max="104" width="16.58203125" style="420" bestFit="1" customWidth="1"/>
    <col min="105" max="105" width="18" style="420" bestFit="1" customWidth="1"/>
    <col min="106" max="106" width="21.6640625" style="420" bestFit="1" customWidth="1"/>
    <col min="107" max="16384" width="8.83203125" style="420"/>
  </cols>
  <sheetData>
    <row r="1" spans="1:16">
      <c r="B1" s="940" t="s">
        <v>21</v>
      </c>
      <c r="C1" s="941" t="s">
        <v>2937</v>
      </c>
      <c r="D1" s="942" t="s">
        <v>2938</v>
      </c>
    </row>
    <row r="2" spans="1:16">
      <c r="A2" s="159"/>
      <c r="B2" s="1062" t="s">
        <v>2751</v>
      </c>
      <c r="C2" s="1063" t="s">
        <v>2939</v>
      </c>
      <c r="D2" s="1063" t="s">
        <v>2927</v>
      </c>
      <c r="F2" s="426" t="s">
        <v>21</v>
      </c>
      <c r="G2" s="426" t="s">
        <v>2937</v>
      </c>
      <c r="I2" s="426" t="s">
        <v>1283</v>
      </c>
      <c r="K2" s="931" t="s">
        <v>2937</v>
      </c>
      <c r="L2" s="931" t="s">
        <v>3128</v>
      </c>
    </row>
    <row r="3" spans="1:16">
      <c r="A3" s="159"/>
      <c r="B3" s="932" t="s">
        <v>2751</v>
      </c>
      <c r="C3" s="943" t="s">
        <v>241</v>
      </c>
      <c r="D3" s="944" t="s">
        <v>2927</v>
      </c>
      <c r="F3" s="420" t="s">
        <v>2749</v>
      </c>
      <c r="G3" s="420" t="s">
        <v>311</v>
      </c>
      <c r="I3" s="491" t="s">
        <v>319</v>
      </c>
      <c r="K3" s="950" t="s">
        <v>319</v>
      </c>
      <c r="L3" s="950" t="s">
        <v>3130</v>
      </c>
      <c r="N3"/>
      <c r="O3"/>
    </row>
    <row r="4" spans="1:16">
      <c r="A4" s="159"/>
      <c r="B4" s="1063" t="s">
        <v>613</v>
      </c>
      <c r="C4" s="1063" t="s">
        <v>311</v>
      </c>
      <c r="D4" s="1063" t="s">
        <v>2927</v>
      </c>
      <c r="F4" s="420" t="s">
        <v>2749</v>
      </c>
      <c r="G4" s="420" t="s">
        <v>3118</v>
      </c>
      <c r="I4" s="491" t="s">
        <v>2940</v>
      </c>
      <c r="K4" s="950" t="s">
        <v>2940</v>
      </c>
      <c r="L4" s="950" t="s">
        <v>3130</v>
      </c>
      <c r="N4"/>
      <c r="O4"/>
    </row>
    <row r="5" spans="1:16">
      <c r="A5" s="159"/>
      <c r="B5" s="1063" t="s">
        <v>613</v>
      </c>
      <c r="C5" s="1063" t="s">
        <v>2936</v>
      </c>
      <c r="D5" s="1063" t="s">
        <v>2927</v>
      </c>
      <c r="F5" s="420" t="s">
        <v>2749</v>
      </c>
      <c r="G5" s="420" t="s">
        <v>2939</v>
      </c>
      <c r="I5" s="491" t="s">
        <v>3121</v>
      </c>
      <c r="K5" s="950" t="s">
        <v>3121</v>
      </c>
      <c r="L5" s="950" t="s">
        <v>3132</v>
      </c>
      <c r="N5" s="426" t="s">
        <v>1283</v>
      </c>
      <c r="O5" t="s">
        <v>3135</v>
      </c>
      <c r="P5"/>
    </row>
    <row r="6" spans="1:16">
      <c r="A6" s="159"/>
      <c r="B6" s="1063" t="s">
        <v>613</v>
      </c>
      <c r="C6" s="1063" t="s">
        <v>36</v>
      </c>
      <c r="D6" s="1063" t="s">
        <v>2927</v>
      </c>
      <c r="F6" s="420" t="s">
        <v>2749</v>
      </c>
      <c r="G6" s="420" t="s">
        <v>241</v>
      </c>
      <c r="I6" s="491" t="s">
        <v>311</v>
      </c>
      <c r="K6" s="950" t="s">
        <v>311</v>
      </c>
      <c r="L6" s="950" t="s">
        <v>3130</v>
      </c>
      <c r="N6" s="491" t="s">
        <v>3132</v>
      </c>
      <c r="O6" s="419">
        <v>5</v>
      </c>
      <c r="P6"/>
    </row>
    <row r="7" spans="1:16">
      <c r="A7" s="159"/>
      <c r="B7" s="1063" t="s">
        <v>613</v>
      </c>
      <c r="C7" s="1063" t="s">
        <v>303</v>
      </c>
      <c r="D7" s="1063" t="s">
        <v>2927</v>
      </c>
      <c r="F7" s="420" t="s">
        <v>2751</v>
      </c>
      <c r="G7" s="420" t="s">
        <v>2939</v>
      </c>
      <c r="I7" s="491" t="s">
        <v>1756</v>
      </c>
      <c r="K7" s="950" t="s">
        <v>1756</v>
      </c>
      <c r="L7" s="950" t="s">
        <v>3129</v>
      </c>
      <c r="N7" s="491" t="s">
        <v>3130</v>
      </c>
      <c r="O7" s="419">
        <v>23</v>
      </c>
      <c r="P7"/>
    </row>
    <row r="8" spans="1:16">
      <c r="A8" s="159"/>
      <c r="B8" s="1063" t="s">
        <v>613</v>
      </c>
      <c r="C8" s="1063" t="s">
        <v>2081</v>
      </c>
      <c r="D8" s="1063" t="s">
        <v>2927</v>
      </c>
      <c r="F8" s="420" t="s">
        <v>2751</v>
      </c>
      <c r="G8" s="420" t="s">
        <v>241</v>
      </c>
      <c r="I8" s="491" t="s">
        <v>323</v>
      </c>
      <c r="K8" s="950" t="s">
        <v>323</v>
      </c>
      <c r="L8" s="950" t="s">
        <v>3130</v>
      </c>
      <c r="N8" s="491" t="s">
        <v>3129</v>
      </c>
      <c r="O8" s="419">
        <v>16</v>
      </c>
      <c r="P8"/>
    </row>
    <row r="9" spans="1:16">
      <c r="A9" s="159"/>
      <c r="B9" s="1064" t="s">
        <v>613</v>
      </c>
      <c r="C9" s="1063" t="s">
        <v>297</v>
      </c>
      <c r="D9" s="1063" t="s">
        <v>2927</v>
      </c>
      <c r="F9" s="420" t="s">
        <v>613</v>
      </c>
      <c r="G9" s="420" t="s">
        <v>311</v>
      </c>
      <c r="I9" s="491" t="s">
        <v>2934</v>
      </c>
      <c r="K9" s="950" t="s">
        <v>2934</v>
      </c>
      <c r="L9" s="950" t="s">
        <v>3130</v>
      </c>
      <c r="N9" s="491" t="s">
        <v>3133</v>
      </c>
      <c r="O9" s="419">
        <v>1</v>
      </c>
      <c r="P9"/>
    </row>
    <row r="10" spans="1:16">
      <c r="A10" s="159"/>
      <c r="B10" s="1062" t="s">
        <v>613</v>
      </c>
      <c r="C10" s="1063" t="s">
        <v>2932</v>
      </c>
      <c r="D10" s="1063" t="s">
        <v>2927</v>
      </c>
      <c r="F10" s="420" t="s">
        <v>613</v>
      </c>
      <c r="G10" s="420" t="s">
        <v>2936</v>
      </c>
      <c r="I10" s="491" t="s">
        <v>2936</v>
      </c>
      <c r="K10" s="950" t="s">
        <v>2936</v>
      </c>
      <c r="L10" s="950" t="s">
        <v>3132</v>
      </c>
      <c r="N10" s="491" t="s">
        <v>3134</v>
      </c>
      <c r="O10" s="419">
        <v>2</v>
      </c>
      <c r="P10"/>
    </row>
    <row r="11" spans="1:16">
      <c r="A11" s="159"/>
      <c r="B11" s="1062" t="s">
        <v>613</v>
      </c>
      <c r="C11" s="1063" t="s">
        <v>241</v>
      </c>
      <c r="D11" s="1063" t="s">
        <v>2927</v>
      </c>
      <c r="F11" s="420" t="s">
        <v>613</v>
      </c>
      <c r="G11" s="420" t="s">
        <v>36</v>
      </c>
      <c r="I11" s="491" t="s">
        <v>3119</v>
      </c>
      <c r="K11" s="950" t="s">
        <v>3119</v>
      </c>
      <c r="L11" s="950" t="s">
        <v>3132</v>
      </c>
      <c r="N11" s="491" t="s">
        <v>1285</v>
      </c>
      <c r="O11" s="419">
        <v>47</v>
      </c>
      <c r="P11"/>
    </row>
    <row r="12" spans="1:16">
      <c r="A12" s="159"/>
      <c r="B12" s="1063" t="s">
        <v>37</v>
      </c>
      <c r="C12" s="1063" t="s">
        <v>939</v>
      </c>
      <c r="D12" s="1063" t="s">
        <v>2927</v>
      </c>
      <c r="F12" s="420" t="s">
        <v>613</v>
      </c>
      <c r="G12" s="420" t="s">
        <v>303</v>
      </c>
      <c r="I12" s="491" t="s">
        <v>369</v>
      </c>
      <c r="K12" s="950" t="s">
        <v>369</v>
      </c>
      <c r="L12" s="950" t="s">
        <v>3130</v>
      </c>
      <c r="N12"/>
      <c r="O12"/>
      <c r="P12"/>
    </row>
    <row r="13" spans="1:16">
      <c r="A13" s="163"/>
      <c r="B13" s="1062" t="s">
        <v>37</v>
      </c>
      <c r="C13" s="1063" t="s">
        <v>141</v>
      </c>
      <c r="D13" s="1063" t="s">
        <v>2927</v>
      </c>
      <c r="F13" s="420" t="s">
        <v>613</v>
      </c>
      <c r="G13" s="420" t="s">
        <v>2081</v>
      </c>
      <c r="I13" s="491" t="s">
        <v>3126</v>
      </c>
      <c r="K13" s="950" t="s">
        <v>3126</v>
      </c>
      <c r="L13" s="950" t="s">
        <v>3129</v>
      </c>
      <c r="N13"/>
      <c r="O13"/>
      <c r="P13"/>
    </row>
    <row r="14" spans="1:16">
      <c r="A14" s="159"/>
      <c r="B14" s="1063" t="s">
        <v>37</v>
      </c>
      <c r="C14" s="1063" t="s">
        <v>36</v>
      </c>
      <c r="D14" s="1063" t="s">
        <v>2927</v>
      </c>
      <c r="F14" s="420" t="s">
        <v>613</v>
      </c>
      <c r="G14" s="420" t="s">
        <v>297</v>
      </c>
      <c r="I14" s="491" t="s">
        <v>2161</v>
      </c>
      <c r="K14" s="950" t="s">
        <v>2161</v>
      </c>
      <c r="L14" s="950" t="s">
        <v>3130</v>
      </c>
      <c r="N14"/>
      <c r="O14"/>
      <c r="P14"/>
    </row>
    <row r="15" spans="1:16">
      <c r="A15" s="159"/>
      <c r="B15" s="1063" t="s">
        <v>37</v>
      </c>
      <c r="C15" s="1063" t="s">
        <v>2675</v>
      </c>
      <c r="D15" s="1063" t="s">
        <v>2927</v>
      </c>
      <c r="F15" s="420" t="s">
        <v>613</v>
      </c>
      <c r="G15" s="420" t="s">
        <v>2932</v>
      </c>
      <c r="I15" s="491" t="s">
        <v>939</v>
      </c>
      <c r="K15" s="950" t="s">
        <v>939</v>
      </c>
      <c r="L15" s="950" t="s">
        <v>3133</v>
      </c>
      <c r="N15"/>
      <c r="O15"/>
      <c r="P15"/>
    </row>
    <row r="16" spans="1:16">
      <c r="A16" s="159"/>
      <c r="B16" s="1062" t="s">
        <v>37</v>
      </c>
      <c r="C16" s="1063" t="s">
        <v>241</v>
      </c>
      <c r="D16" s="1063" t="s">
        <v>2927</v>
      </c>
      <c r="F16" s="420" t="s">
        <v>613</v>
      </c>
      <c r="G16" s="420" t="s">
        <v>241</v>
      </c>
      <c r="I16" s="491" t="s">
        <v>919</v>
      </c>
      <c r="K16" s="950" t="s">
        <v>919</v>
      </c>
      <c r="L16" s="950" t="s">
        <v>3130</v>
      </c>
      <c r="N16"/>
      <c r="O16"/>
      <c r="P16"/>
    </row>
    <row r="17" spans="1:16">
      <c r="A17" s="163"/>
      <c r="B17" s="1062" t="s">
        <v>37</v>
      </c>
      <c r="C17" s="1063" t="s">
        <v>3113</v>
      </c>
      <c r="D17" s="1063" t="s">
        <v>2927</v>
      </c>
      <c r="F17" s="420" t="s">
        <v>37</v>
      </c>
      <c r="G17" s="420" t="s">
        <v>2161</v>
      </c>
      <c r="I17" s="491" t="s">
        <v>2917</v>
      </c>
      <c r="K17" s="950" t="s">
        <v>2917</v>
      </c>
      <c r="L17" s="950" t="s">
        <v>3130</v>
      </c>
      <c r="N17"/>
      <c r="O17"/>
      <c r="P17"/>
    </row>
    <row r="18" spans="1:16">
      <c r="B18" s="1063" t="s">
        <v>2753</v>
      </c>
      <c r="C18" s="1063" t="s">
        <v>311</v>
      </c>
      <c r="D18" s="1063" t="s">
        <v>2927</v>
      </c>
      <c r="F18" s="420" t="s">
        <v>37</v>
      </c>
      <c r="G18" s="420" t="s">
        <v>939</v>
      </c>
      <c r="I18" s="491" t="s">
        <v>141</v>
      </c>
      <c r="K18" s="950" t="s">
        <v>141</v>
      </c>
      <c r="L18" s="950" t="s">
        <v>3129</v>
      </c>
      <c r="N18"/>
      <c r="O18"/>
      <c r="P18"/>
    </row>
    <row r="19" spans="1:16">
      <c r="B19" s="1062" t="s">
        <v>2753</v>
      </c>
      <c r="C19" s="1063" t="s">
        <v>36</v>
      </c>
      <c r="D19" s="1063" t="s">
        <v>2927</v>
      </c>
      <c r="F19" s="420" t="s">
        <v>37</v>
      </c>
      <c r="G19" s="420" t="s">
        <v>919</v>
      </c>
      <c r="I19" s="491" t="s">
        <v>36</v>
      </c>
      <c r="K19" s="950" t="s">
        <v>36</v>
      </c>
      <c r="L19" s="950" t="s">
        <v>3129</v>
      </c>
      <c r="N19"/>
      <c r="O19"/>
      <c r="P19"/>
    </row>
    <row r="20" spans="1:16">
      <c r="B20" s="1062" t="s">
        <v>2753</v>
      </c>
      <c r="C20" s="1063" t="s">
        <v>3116</v>
      </c>
      <c r="D20" s="1063" t="s">
        <v>2927</v>
      </c>
      <c r="F20" s="420" t="s">
        <v>37</v>
      </c>
      <c r="G20" s="420" t="s">
        <v>141</v>
      </c>
      <c r="I20" s="491" t="s">
        <v>3116</v>
      </c>
      <c r="K20" s="950" t="s">
        <v>3116</v>
      </c>
      <c r="L20" s="950" t="s">
        <v>3129</v>
      </c>
      <c r="N20"/>
      <c r="O20"/>
      <c r="P20"/>
    </row>
    <row r="21" spans="1:16">
      <c r="B21" s="1062" t="s">
        <v>2753</v>
      </c>
      <c r="C21" s="1063" t="s">
        <v>3115</v>
      </c>
      <c r="D21" s="1063" t="s">
        <v>2927</v>
      </c>
      <c r="F21" s="420" t="s">
        <v>37</v>
      </c>
      <c r="G21" s="420" t="s">
        <v>36</v>
      </c>
      <c r="I21" s="491" t="s">
        <v>2935</v>
      </c>
      <c r="K21" s="950" t="s">
        <v>2935</v>
      </c>
      <c r="L21" s="950" t="s">
        <v>3130</v>
      </c>
      <c r="N21"/>
      <c r="O21"/>
      <c r="P21"/>
    </row>
    <row r="22" spans="1:16">
      <c r="B22" s="1062" t="s">
        <v>2753</v>
      </c>
      <c r="C22" s="1063" t="s">
        <v>241</v>
      </c>
      <c r="D22" s="1063" t="s">
        <v>2927</v>
      </c>
      <c r="F22" s="420" t="s">
        <v>37</v>
      </c>
      <c r="G22" s="420" t="s">
        <v>192</v>
      </c>
      <c r="I22" s="491" t="s">
        <v>303</v>
      </c>
      <c r="K22" s="950" t="s">
        <v>315</v>
      </c>
      <c r="L22" s="950" t="s">
        <v>3130</v>
      </c>
      <c r="N22"/>
      <c r="O22"/>
      <c r="P22"/>
    </row>
    <row r="23" spans="1:16">
      <c r="B23" s="1062" t="s">
        <v>2753</v>
      </c>
      <c r="C23" s="1063" t="s">
        <v>3114</v>
      </c>
      <c r="D23" s="1063" t="s">
        <v>2927</v>
      </c>
      <c r="F23" s="420" t="s">
        <v>37</v>
      </c>
      <c r="G23" s="420" t="s">
        <v>2081</v>
      </c>
      <c r="I23" s="491" t="s">
        <v>315</v>
      </c>
      <c r="K23" s="950" t="s">
        <v>2933</v>
      </c>
      <c r="L23" s="950" t="s">
        <v>3130</v>
      </c>
    </row>
    <row r="24" spans="1:16">
      <c r="B24" s="1063" t="s">
        <v>2350</v>
      </c>
      <c r="C24" s="1063" t="s">
        <v>2940</v>
      </c>
      <c r="D24" s="1063" t="s">
        <v>2927</v>
      </c>
      <c r="F24" s="420" t="s">
        <v>37</v>
      </c>
      <c r="G24" s="420" t="s">
        <v>242</v>
      </c>
      <c r="I24" s="491" t="s">
        <v>3115</v>
      </c>
      <c r="K24" s="950" t="s">
        <v>3115</v>
      </c>
      <c r="L24" s="950" t="s">
        <v>3130</v>
      </c>
    </row>
    <row r="25" spans="1:16">
      <c r="B25" s="1063" t="s">
        <v>2350</v>
      </c>
      <c r="C25" s="1063" t="s">
        <v>3119</v>
      </c>
      <c r="D25" s="1063" t="s">
        <v>2927</v>
      </c>
      <c r="F25" s="420" t="s">
        <v>37</v>
      </c>
      <c r="G25" s="420" t="s">
        <v>276</v>
      </c>
      <c r="I25" s="491" t="s">
        <v>192</v>
      </c>
      <c r="K25" s="950" t="s">
        <v>192</v>
      </c>
      <c r="L25" s="950" t="s">
        <v>3129</v>
      </c>
    </row>
    <row r="26" spans="1:16">
      <c r="B26" s="1063" t="s">
        <v>2350</v>
      </c>
      <c r="C26" s="1063" t="s">
        <v>36</v>
      </c>
      <c r="D26" s="1063" t="s">
        <v>2927</v>
      </c>
      <c r="F26" s="420" t="s">
        <v>37</v>
      </c>
      <c r="G26" s="420" t="s">
        <v>2675</v>
      </c>
      <c r="I26" s="491" t="s">
        <v>3117</v>
      </c>
      <c r="K26" s="950" t="s">
        <v>3117</v>
      </c>
      <c r="L26" s="950" t="s">
        <v>3129</v>
      </c>
    </row>
    <row r="27" spans="1:16">
      <c r="B27" s="1062" t="s">
        <v>2350</v>
      </c>
      <c r="C27" s="1063" t="s">
        <v>3115</v>
      </c>
      <c r="D27" s="1063" t="s">
        <v>2927</v>
      </c>
      <c r="F27" s="420" t="s">
        <v>37</v>
      </c>
      <c r="G27" s="420" t="s">
        <v>241</v>
      </c>
      <c r="I27" s="491" t="s">
        <v>3118</v>
      </c>
      <c r="K27" s="950" t="s">
        <v>3118</v>
      </c>
      <c r="L27" s="950" t="s">
        <v>3132</v>
      </c>
    </row>
    <row r="28" spans="1:16">
      <c r="B28" s="1062" t="s">
        <v>2350</v>
      </c>
      <c r="C28" s="1063" t="s">
        <v>2939</v>
      </c>
      <c r="D28" s="1063" t="s">
        <v>2927</v>
      </c>
      <c r="F28" s="420" t="s">
        <v>37</v>
      </c>
      <c r="G28" s="420" t="s">
        <v>3113</v>
      </c>
      <c r="I28" s="491" t="s">
        <v>3122</v>
      </c>
      <c r="K28" s="950" t="s">
        <v>3122</v>
      </c>
      <c r="L28" s="950" t="s">
        <v>3130</v>
      </c>
    </row>
    <row r="29" spans="1:16">
      <c r="B29" s="1062" t="s">
        <v>2350</v>
      </c>
      <c r="C29" s="1063" t="s">
        <v>2943</v>
      </c>
      <c r="D29" s="1063" t="s">
        <v>2927</v>
      </c>
      <c r="F29" s="420" t="s">
        <v>37</v>
      </c>
      <c r="G29" s="420" t="s">
        <v>291</v>
      </c>
      <c r="I29" s="491" t="s">
        <v>2081</v>
      </c>
      <c r="K29" s="950" t="s">
        <v>2081</v>
      </c>
      <c r="L29" s="950" t="s">
        <v>3130</v>
      </c>
    </row>
    <row r="30" spans="1:16">
      <c r="B30" s="1063" t="s">
        <v>2350</v>
      </c>
      <c r="C30" s="1063" t="s">
        <v>241</v>
      </c>
      <c r="D30" s="1063" t="s">
        <v>2927</v>
      </c>
      <c r="F30" s="420" t="s">
        <v>37</v>
      </c>
      <c r="G30" s="420" t="s">
        <v>2150</v>
      </c>
      <c r="I30" s="491" t="s">
        <v>3123</v>
      </c>
      <c r="K30" s="950" t="s">
        <v>3123</v>
      </c>
      <c r="L30" s="950" t="s">
        <v>3129</v>
      </c>
    </row>
    <row r="31" spans="1:16">
      <c r="B31" s="1064" t="s">
        <v>2754</v>
      </c>
      <c r="C31" s="1063" t="s">
        <v>36</v>
      </c>
      <c r="D31" s="1063" t="s">
        <v>2927</v>
      </c>
      <c r="F31" s="420" t="s">
        <v>2753</v>
      </c>
      <c r="G31" s="420" t="s">
        <v>311</v>
      </c>
      <c r="I31" s="491" t="s">
        <v>2939</v>
      </c>
      <c r="K31" s="950" t="s">
        <v>2939</v>
      </c>
      <c r="L31" s="950" t="s">
        <v>3130</v>
      </c>
    </row>
    <row r="32" spans="1:16">
      <c r="B32" s="1064" t="s">
        <v>2754</v>
      </c>
      <c r="C32" s="1063" t="s">
        <v>303</v>
      </c>
      <c r="D32" s="1063" t="s">
        <v>2927</v>
      </c>
      <c r="F32" s="420" t="s">
        <v>2753</v>
      </c>
      <c r="G32" s="420" t="s">
        <v>36</v>
      </c>
      <c r="I32" s="491" t="s">
        <v>358</v>
      </c>
      <c r="K32" s="950" t="s">
        <v>358</v>
      </c>
      <c r="L32" s="950" t="s">
        <v>3130</v>
      </c>
    </row>
    <row r="33" spans="2:12">
      <c r="B33" s="1063" t="s">
        <v>2749</v>
      </c>
      <c r="C33" s="1063" t="s">
        <v>311</v>
      </c>
      <c r="D33" s="1063" t="s">
        <v>2927</v>
      </c>
      <c r="F33" s="420" t="s">
        <v>2753</v>
      </c>
      <c r="G33" s="420" t="s">
        <v>3116</v>
      </c>
      <c r="I33" s="491" t="s">
        <v>297</v>
      </c>
      <c r="K33" s="950" t="s">
        <v>297</v>
      </c>
      <c r="L33" s="950" t="s">
        <v>3130</v>
      </c>
    </row>
    <row r="34" spans="2:12">
      <c r="B34" s="1062" t="s">
        <v>2749</v>
      </c>
      <c r="C34" s="1063" t="s">
        <v>3118</v>
      </c>
      <c r="D34" s="1063" t="s">
        <v>2927</v>
      </c>
      <c r="F34" s="420" t="s">
        <v>2753</v>
      </c>
      <c r="G34" s="420" t="s">
        <v>3115</v>
      </c>
      <c r="I34" s="491" t="s">
        <v>3124</v>
      </c>
      <c r="K34" s="950" t="s">
        <v>3124</v>
      </c>
      <c r="L34" s="950" t="s">
        <v>3132</v>
      </c>
    </row>
    <row r="35" spans="2:12">
      <c r="B35" s="1062" t="s">
        <v>2749</v>
      </c>
      <c r="C35" s="1063" t="s">
        <v>2939</v>
      </c>
      <c r="D35" s="1063" t="s">
        <v>2927</v>
      </c>
      <c r="F35" s="420" t="s">
        <v>2753</v>
      </c>
      <c r="G35" s="420" t="s">
        <v>241</v>
      </c>
      <c r="I35" s="491" t="s">
        <v>242</v>
      </c>
      <c r="K35" s="950" t="s">
        <v>242</v>
      </c>
      <c r="L35" s="950" t="s">
        <v>3129</v>
      </c>
    </row>
    <row r="36" spans="2:12">
      <c r="B36" s="1062" t="s">
        <v>2749</v>
      </c>
      <c r="C36" s="1063" t="s">
        <v>241</v>
      </c>
      <c r="D36" s="1063" t="s">
        <v>2927</v>
      </c>
      <c r="F36" s="420" t="s">
        <v>2753</v>
      </c>
      <c r="G36" s="420" t="s">
        <v>3114</v>
      </c>
      <c r="I36" s="491" t="s">
        <v>276</v>
      </c>
      <c r="K36" s="950" t="s">
        <v>276</v>
      </c>
      <c r="L36" s="950" t="s">
        <v>3130</v>
      </c>
    </row>
    <row r="37" spans="2:12">
      <c r="B37" s="1063" t="s">
        <v>304</v>
      </c>
      <c r="C37" s="1063" t="s">
        <v>323</v>
      </c>
      <c r="D37" s="1063" t="s">
        <v>2927</v>
      </c>
      <c r="F37" s="420" t="s">
        <v>2350</v>
      </c>
      <c r="G37" s="420" t="s">
        <v>2940</v>
      </c>
      <c r="I37" s="491" t="s">
        <v>3182</v>
      </c>
      <c r="K37" s="491" t="s">
        <v>3182</v>
      </c>
      <c r="L37" s="950" t="s">
        <v>3129</v>
      </c>
    </row>
    <row r="38" spans="2:12">
      <c r="B38" s="1063" t="s">
        <v>304</v>
      </c>
      <c r="C38" s="1063" t="s">
        <v>2934</v>
      </c>
      <c r="D38" s="1063" t="s">
        <v>2927</v>
      </c>
      <c r="F38" s="420" t="s">
        <v>2350</v>
      </c>
      <c r="G38" s="420" t="s">
        <v>3119</v>
      </c>
      <c r="I38" s="491" t="s">
        <v>2675</v>
      </c>
      <c r="K38" s="950" t="s">
        <v>2675</v>
      </c>
      <c r="L38" s="950" t="s">
        <v>3129</v>
      </c>
    </row>
    <row r="39" spans="2:12">
      <c r="B39" s="1064" t="s">
        <v>304</v>
      </c>
      <c r="C39" s="1063" t="s">
        <v>369</v>
      </c>
      <c r="D39" s="1063" t="s">
        <v>2927</v>
      </c>
      <c r="F39" s="420" t="s">
        <v>2350</v>
      </c>
      <c r="G39" s="420" t="s">
        <v>36</v>
      </c>
      <c r="I39" s="491" t="s">
        <v>3180</v>
      </c>
      <c r="K39" s="491" t="s">
        <v>3180</v>
      </c>
      <c r="L39" s="950" t="s">
        <v>3129</v>
      </c>
    </row>
    <row r="40" spans="2:12">
      <c r="B40" s="1062" t="s">
        <v>304</v>
      </c>
      <c r="C40" s="1063" t="s">
        <v>919</v>
      </c>
      <c r="D40" s="1063" t="s">
        <v>2927</v>
      </c>
      <c r="F40" s="420" t="s">
        <v>2350</v>
      </c>
      <c r="G40" s="420" t="s">
        <v>3115</v>
      </c>
      <c r="I40" s="491" t="s">
        <v>3120</v>
      </c>
      <c r="K40" s="950" t="s">
        <v>3120</v>
      </c>
      <c r="L40" s="950" t="s">
        <v>3130</v>
      </c>
    </row>
    <row r="41" spans="2:12">
      <c r="B41" s="1064" t="s">
        <v>304</v>
      </c>
      <c r="C41" s="1063" t="s">
        <v>2935</v>
      </c>
      <c r="D41" s="1063" t="s">
        <v>2927</v>
      </c>
      <c r="F41" s="420" t="s">
        <v>2350</v>
      </c>
      <c r="G41" s="420" t="s">
        <v>2939</v>
      </c>
      <c r="I41" s="491" t="s">
        <v>2932</v>
      </c>
      <c r="K41" s="950" t="s">
        <v>2932</v>
      </c>
      <c r="L41" s="950" t="s">
        <v>3130</v>
      </c>
    </row>
    <row r="42" spans="2:12">
      <c r="B42" s="1064" t="s">
        <v>304</v>
      </c>
      <c r="C42" s="1063" t="s">
        <v>2081</v>
      </c>
      <c r="D42" s="1063" t="s">
        <v>2927</v>
      </c>
      <c r="F42" s="420" t="s">
        <v>2350</v>
      </c>
      <c r="G42" s="420" t="s">
        <v>2943</v>
      </c>
      <c r="I42" s="491" t="s">
        <v>3125</v>
      </c>
      <c r="K42" s="950" t="s">
        <v>3125</v>
      </c>
      <c r="L42" s="950" t="s">
        <v>3129</v>
      </c>
    </row>
    <row r="43" spans="2:12">
      <c r="B43" s="1063" t="s">
        <v>304</v>
      </c>
      <c r="C43" s="1063" t="s">
        <v>358</v>
      </c>
      <c r="D43" s="1063" t="s">
        <v>2927</v>
      </c>
      <c r="F43" s="420" t="s">
        <v>2350</v>
      </c>
      <c r="G43" s="420" t="s">
        <v>241</v>
      </c>
      <c r="I43" s="491" t="s">
        <v>2943</v>
      </c>
      <c r="K43" s="950" t="s">
        <v>2943</v>
      </c>
      <c r="L43" s="950" t="s">
        <v>3129</v>
      </c>
    </row>
    <row r="44" spans="2:12">
      <c r="B44" s="1063" t="s">
        <v>304</v>
      </c>
      <c r="C44" s="1063" t="s">
        <v>276</v>
      </c>
      <c r="D44" s="1063" t="s">
        <v>2927</v>
      </c>
      <c r="F44" s="420" t="s">
        <v>2754</v>
      </c>
      <c r="G44" s="420" t="s">
        <v>36</v>
      </c>
      <c r="I44" s="491" t="s">
        <v>241</v>
      </c>
      <c r="K44" s="950" t="s">
        <v>241</v>
      </c>
      <c r="L44" s="950" t="s">
        <v>3134</v>
      </c>
    </row>
    <row r="45" spans="2:12">
      <c r="B45" s="1063" t="s">
        <v>304</v>
      </c>
      <c r="C45" s="1063" t="s">
        <v>3120</v>
      </c>
      <c r="D45" s="1063" t="s">
        <v>2927</v>
      </c>
      <c r="F45" s="420" t="s">
        <v>2754</v>
      </c>
      <c r="G45" s="420" t="s">
        <v>303</v>
      </c>
      <c r="I45" s="491" t="s">
        <v>3113</v>
      </c>
      <c r="K45" s="950" t="s">
        <v>3113</v>
      </c>
      <c r="L45" s="950" t="s">
        <v>3130</v>
      </c>
    </row>
    <row r="46" spans="2:12">
      <c r="B46" s="1064" t="s">
        <v>304</v>
      </c>
      <c r="C46" s="1063" t="s">
        <v>241</v>
      </c>
      <c r="D46" s="1063" t="s">
        <v>2927</v>
      </c>
      <c r="F46" s="420" t="s">
        <v>304</v>
      </c>
      <c r="G46" s="420" t="s">
        <v>1756</v>
      </c>
      <c r="I46" s="491" t="s">
        <v>3114</v>
      </c>
      <c r="K46" s="950" t="s">
        <v>3114</v>
      </c>
      <c r="L46" s="950" t="s">
        <v>3129</v>
      </c>
    </row>
    <row r="47" spans="2:12">
      <c r="B47" s="1064" t="s">
        <v>304</v>
      </c>
      <c r="C47" s="1063" t="s">
        <v>2129</v>
      </c>
      <c r="D47" s="1063" t="s">
        <v>2927</v>
      </c>
      <c r="F47" s="420" t="s">
        <v>304</v>
      </c>
      <c r="G47" s="420" t="s">
        <v>323</v>
      </c>
      <c r="I47" s="491" t="s">
        <v>2129</v>
      </c>
      <c r="K47" s="950" t="s">
        <v>2129</v>
      </c>
      <c r="L47" s="950" t="s">
        <v>3134</v>
      </c>
    </row>
    <row r="48" spans="2:12">
      <c r="B48" s="1064" t="s">
        <v>2757</v>
      </c>
      <c r="C48" s="1063" t="s">
        <v>319</v>
      </c>
      <c r="D48" s="1063" t="s">
        <v>2927</v>
      </c>
      <c r="F48" s="420" t="s">
        <v>304</v>
      </c>
      <c r="G48" s="420" t="s">
        <v>2934</v>
      </c>
      <c r="I48" s="491" t="s">
        <v>291</v>
      </c>
      <c r="K48" s="950" t="s">
        <v>291</v>
      </c>
      <c r="L48" s="950" t="s">
        <v>3129</v>
      </c>
    </row>
    <row r="49" spans="2:12">
      <c r="B49" s="1063" t="s">
        <v>2757</v>
      </c>
      <c r="C49" s="1063" t="s">
        <v>3121</v>
      </c>
      <c r="D49" s="1063" t="s">
        <v>2927</v>
      </c>
      <c r="F49" s="420" t="s">
        <v>304</v>
      </c>
      <c r="G49" s="420" t="s">
        <v>369</v>
      </c>
      <c r="I49" s="491" t="s">
        <v>2150</v>
      </c>
      <c r="K49" s="950" t="s">
        <v>3131</v>
      </c>
      <c r="L49" s="950" t="s">
        <v>3130</v>
      </c>
    </row>
    <row r="50" spans="2:12">
      <c r="B50" s="1063" t="s">
        <v>2757</v>
      </c>
      <c r="C50" s="1063" t="s">
        <v>36</v>
      </c>
      <c r="D50" s="1063" t="s">
        <v>2927</v>
      </c>
      <c r="F50" s="420" t="s">
        <v>304</v>
      </c>
      <c r="G50" s="420" t="s">
        <v>919</v>
      </c>
      <c r="I50" s="491" t="s">
        <v>1285</v>
      </c>
    </row>
    <row r="51" spans="2:12">
      <c r="B51" s="1064" t="s">
        <v>2757</v>
      </c>
      <c r="C51" s="1063" t="s">
        <v>3180</v>
      </c>
      <c r="D51" s="1063" t="s">
        <v>2927</v>
      </c>
      <c r="F51" s="420" t="s">
        <v>304</v>
      </c>
      <c r="G51" s="420" t="s">
        <v>2917</v>
      </c>
      <c r="I51"/>
    </row>
    <row r="52" spans="2:12">
      <c r="B52" s="1062" t="s">
        <v>2757</v>
      </c>
      <c r="C52" s="1063" t="s">
        <v>241</v>
      </c>
      <c r="D52" s="1063" t="s">
        <v>2927</v>
      </c>
      <c r="F52" s="420" t="s">
        <v>304</v>
      </c>
      <c r="G52" s="420" t="s">
        <v>2935</v>
      </c>
    </row>
    <row r="53" spans="2:12">
      <c r="B53" s="1063" t="s">
        <v>515</v>
      </c>
      <c r="C53" s="1063" t="s">
        <v>311</v>
      </c>
      <c r="D53" s="1063" t="s">
        <v>2927</v>
      </c>
      <c r="F53" s="420" t="s">
        <v>304</v>
      </c>
      <c r="G53" s="420" t="s">
        <v>303</v>
      </c>
    </row>
    <row r="54" spans="2:12">
      <c r="B54" s="1063" t="s">
        <v>515</v>
      </c>
      <c r="C54" s="1063" t="s">
        <v>939</v>
      </c>
      <c r="D54" s="1063" t="s">
        <v>2927</v>
      </c>
      <c r="F54" s="420" t="s">
        <v>304</v>
      </c>
      <c r="G54" s="420" t="s">
        <v>315</v>
      </c>
    </row>
    <row r="55" spans="2:12">
      <c r="B55" s="1062" t="s">
        <v>515</v>
      </c>
      <c r="C55" s="1063" t="s">
        <v>192</v>
      </c>
      <c r="D55" s="1063" t="s">
        <v>2927</v>
      </c>
      <c r="F55" s="420" t="s">
        <v>304</v>
      </c>
      <c r="G55" s="420" t="s">
        <v>3122</v>
      </c>
    </row>
    <row r="56" spans="2:12">
      <c r="B56" s="1064" t="s">
        <v>515</v>
      </c>
      <c r="C56" s="1063" t="s">
        <v>3117</v>
      </c>
      <c r="D56" s="1063" t="s">
        <v>2927</v>
      </c>
      <c r="F56" s="420" t="s">
        <v>304</v>
      </c>
      <c r="G56" s="420" t="s">
        <v>2081</v>
      </c>
    </row>
    <row r="57" spans="2:12">
      <c r="B57" s="1064" t="s">
        <v>515</v>
      </c>
      <c r="C57" s="1063" t="s">
        <v>297</v>
      </c>
      <c r="D57" s="1063" t="s">
        <v>2927</v>
      </c>
      <c r="F57" s="420" t="s">
        <v>304</v>
      </c>
      <c r="G57" s="420" t="s">
        <v>3123</v>
      </c>
    </row>
    <row r="58" spans="2:12">
      <c r="B58" s="1062" t="s">
        <v>515</v>
      </c>
      <c r="C58" s="1063" t="s">
        <v>241</v>
      </c>
      <c r="D58" s="1063" t="s">
        <v>2927</v>
      </c>
      <c r="F58" s="420" t="s">
        <v>304</v>
      </c>
      <c r="G58" s="420" t="s">
        <v>358</v>
      </c>
    </row>
    <row r="59" spans="2:12">
      <c r="B59" s="1063" t="s">
        <v>2688</v>
      </c>
      <c r="C59" s="1063" t="s">
        <v>311</v>
      </c>
      <c r="D59" s="1063" t="s">
        <v>2927</v>
      </c>
      <c r="F59" s="420" t="s">
        <v>304</v>
      </c>
      <c r="G59" s="420" t="s">
        <v>297</v>
      </c>
    </row>
    <row r="60" spans="2:12">
      <c r="B60" s="1063" t="s">
        <v>2688</v>
      </c>
      <c r="C60" s="1063" t="s">
        <v>3116</v>
      </c>
      <c r="D60" s="1063" t="s">
        <v>2927</v>
      </c>
      <c r="F60" s="420" t="s">
        <v>304</v>
      </c>
      <c r="G60" s="420" t="s">
        <v>3124</v>
      </c>
    </row>
    <row r="61" spans="2:12">
      <c r="B61" s="1063" t="s">
        <v>2688</v>
      </c>
      <c r="C61" s="1063" t="s">
        <v>3115</v>
      </c>
      <c r="D61" s="1063" t="s">
        <v>2927</v>
      </c>
      <c r="F61" s="420" t="s">
        <v>304</v>
      </c>
      <c r="G61" s="420" t="s">
        <v>276</v>
      </c>
    </row>
    <row r="62" spans="2:12">
      <c r="B62" s="1064" t="s">
        <v>2688</v>
      </c>
      <c r="C62" s="1063" t="s">
        <v>358</v>
      </c>
      <c r="D62" s="1063" t="s">
        <v>2927</v>
      </c>
      <c r="F62" s="420" t="s">
        <v>304</v>
      </c>
      <c r="G62" s="420" t="s">
        <v>3120</v>
      </c>
    </row>
    <row r="63" spans="2:12">
      <c r="B63" s="1064" t="s">
        <v>2688</v>
      </c>
      <c r="C63" s="1063" t="s">
        <v>297</v>
      </c>
      <c r="D63" s="1063" t="s">
        <v>2927</v>
      </c>
      <c r="F63" s="420" t="s">
        <v>304</v>
      </c>
      <c r="G63" s="420" t="s">
        <v>3125</v>
      </c>
    </row>
    <row r="64" spans="2:12">
      <c r="B64" s="1062" t="s">
        <v>2688</v>
      </c>
      <c r="C64" s="1062" t="s">
        <v>241</v>
      </c>
      <c r="D64" s="1063" t="s">
        <v>2927</v>
      </c>
      <c r="F64" s="420" t="s">
        <v>304</v>
      </c>
      <c r="G64" s="420" t="s">
        <v>241</v>
      </c>
    </row>
    <row r="65" spans="2:7">
      <c r="B65" s="1062" t="s">
        <v>37</v>
      </c>
      <c r="C65" s="1062" t="s">
        <v>2161</v>
      </c>
      <c r="D65" s="1062" t="s">
        <v>3181</v>
      </c>
      <c r="F65" s="420" t="s">
        <v>304</v>
      </c>
      <c r="G65" s="420" t="s">
        <v>2129</v>
      </c>
    </row>
    <row r="66" spans="2:7">
      <c r="B66" s="1062" t="s">
        <v>37</v>
      </c>
      <c r="C66" s="1062" t="s">
        <v>919</v>
      </c>
      <c r="D66" s="1062" t="s">
        <v>3181</v>
      </c>
      <c r="F66" s="420" t="s">
        <v>2757</v>
      </c>
      <c r="G66" s="420" t="s">
        <v>319</v>
      </c>
    </row>
    <row r="67" spans="2:7">
      <c r="B67" s="1062" t="s">
        <v>37</v>
      </c>
      <c r="C67" s="1062" t="s">
        <v>141</v>
      </c>
      <c r="D67" s="1062" t="s">
        <v>3181</v>
      </c>
      <c r="F67" s="420" t="s">
        <v>2757</v>
      </c>
      <c r="G67" s="420" t="s">
        <v>3121</v>
      </c>
    </row>
    <row r="68" spans="2:7">
      <c r="B68" s="1062" t="s">
        <v>37</v>
      </c>
      <c r="C68" s="1062" t="s">
        <v>36</v>
      </c>
      <c r="D68" s="1062" t="s">
        <v>3181</v>
      </c>
      <c r="F68" s="420" t="s">
        <v>2757</v>
      </c>
      <c r="G68" s="420" t="s">
        <v>36</v>
      </c>
    </row>
    <row r="69" spans="2:7">
      <c r="B69" s="1062" t="s">
        <v>37</v>
      </c>
      <c r="C69" s="1062" t="s">
        <v>192</v>
      </c>
      <c r="D69" s="1062" t="s">
        <v>3181</v>
      </c>
      <c r="F69" s="420" t="s">
        <v>2757</v>
      </c>
      <c r="G69" s="420" t="s">
        <v>241</v>
      </c>
    </row>
    <row r="70" spans="2:7">
      <c r="B70" s="1062" t="s">
        <v>37</v>
      </c>
      <c r="C70" s="1062" t="s">
        <v>2081</v>
      </c>
      <c r="D70" s="1062" t="s">
        <v>3181</v>
      </c>
      <c r="F70" s="420" t="s">
        <v>2757</v>
      </c>
      <c r="G70" s="420" t="s">
        <v>3180</v>
      </c>
    </row>
    <row r="71" spans="2:7">
      <c r="B71" s="1062" t="s">
        <v>37</v>
      </c>
      <c r="C71" s="1062" t="s">
        <v>242</v>
      </c>
      <c r="D71" s="1062" t="s">
        <v>3181</v>
      </c>
      <c r="F71" s="420" t="s">
        <v>515</v>
      </c>
      <c r="G71" s="420" t="s">
        <v>311</v>
      </c>
    </row>
    <row r="72" spans="2:7">
      <c r="B72" s="1062" t="s">
        <v>37</v>
      </c>
      <c r="C72" s="1062" t="s">
        <v>276</v>
      </c>
      <c r="D72" s="1062" t="s">
        <v>3181</v>
      </c>
      <c r="F72" s="420" t="s">
        <v>515</v>
      </c>
      <c r="G72" s="420" t="s">
        <v>3126</v>
      </c>
    </row>
    <row r="73" spans="2:7">
      <c r="B73" s="1062" t="s">
        <v>37</v>
      </c>
      <c r="C73" s="1062" t="s">
        <v>2675</v>
      </c>
      <c r="D73" s="1062" t="s">
        <v>3181</v>
      </c>
      <c r="F73" s="420" t="s">
        <v>515</v>
      </c>
      <c r="G73" s="420" t="s">
        <v>2161</v>
      </c>
    </row>
    <row r="74" spans="2:7">
      <c r="B74" s="1062" t="s">
        <v>37</v>
      </c>
      <c r="C74" s="1062" t="s">
        <v>3113</v>
      </c>
      <c r="D74" s="1062" t="s">
        <v>3181</v>
      </c>
      <c r="F74" s="420" t="s">
        <v>515</v>
      </c>
      <c r="G74" s="420" t="s">
        <v>939</v>
      </c>
    </row>
    <row r="75" spans="2:7">
      <c r="B75" s="1064" t="s">
        <v>37</v>
      </c>
      <c r="C75" s="1062" t="s">
        <v>291</v>
      </c>
      <c r="D75" s="1062" t="s">
        <v>3181</v>
      </c>
      <c r="F75" s="420" t="s">
        <v>515</v>
      </c>
      <c r="G75" s="420" t="s">
        <v>36</v>
      </c>
    </row>
    <row r="76" spans="2:7">
      <c r="B76" s="1062" t="s">
        <v>304</v>
      </c>
      <c r="C76" s="1063" t="s">
        <v>1756</v>
      </c>
      <c r="D76" s="1062" t="s">
        <v>3181</v>
      </c>
      <c r="F76" s="420" t="s">
        <v>515</v>
      </c>
      <c r="G76" s="420" t="s">
        <v>192</v>
      </c>
    </row>
    <row r="77" spans="2:7">
      <c r="B77" s="1062" t="s">
        <v>304</v>
      </c>
      <c r="C77" s="1063" t="s">
        <v>3122</v>
      </c>
      <c r="D77" s="1062" t="s">
        <v>3181</v>
      </c>
      <c r="F77" s="420" t="s">
        <v>515</v>
      </c>
      <c r="G77" s="420" t="s">
        <v>3117</v>
      </c>
    </row>
    <row r="78" spans="2:7">
      <c r="B78" s="1062" t="s">
        <v>304</v>
      </c>
      <c r="C78" s="1063" t="s">
        <v>358</v>
      </c>
      <c r="D78" s="1062" t="s">
        <v>3181</v>
      </c>
      <c r="F78" s="420" t="s">
        <v>515</v>
      </c>
      <c r="G78" s="420" t="s">
        <v>297</v>
      </c>
    </row>
    <row r="79" spans="2:7">
      <c r="B79" s="1062" t="s">
        <v>304</v>
      </c>
      <c r="C79" s="1063" t="s">
        <v>297</v>
      </c>
      <c r="D79" s="1062" t="s">
        <v>3181</v>
      </c>
      <c r="F79" s="420" t="s">
        <v>515</v>
      </c>
      <c r="G79" s="420" t="s">
        <v>241</v>
      </c>
    </row>
    <row r="80" spans="2:7">
      <c r="B80" s="1062" t="s">
        <v>304</v>
      </c>
      <c r="C80" s="1062" t="s">
        <v>276</v>
      </c>
      <c r="D80" s="1062" t="s">
        <v>3181</v>
      </c>
      <c r="F80" s="420" t="s">
        <v>515</v>
      </c>
      <c r="G80" s="420" t="s">
        <v>3182</v>
      </c>
    </row>
    <row r="81" spans="2:7">
      <c r="B81" s="1062" t="s">
        <v>515</v>
      </c>
      <c r="C81" s="1062" t="s">
        <v>2161</v>
      </c>
      <c r="D81" s="1062" t="s">
        <v>3181</v>
      </c>
      <c r="F81" s="420" t="s">
        <v>2688</v>
      </c>
      <c r="G81" s="420" t="s">
        <v>311</v>
      </c>
    </row>
    <row r="82" spans="2:7">
      <c r="B82" s="1062" t="s">
        <v>515</v>
      </c>
      <c r="C82" s="1062" t="s">
        <v>36</v>
      </c>
      <c r="D82" s="1062" t="s">
        <v>3181</v>
      </c>
      <c r="F82" s="420" t="s">
        <v>2688</v>
      </c>
      <c r="G82" s="420" t="s">
        <v>3116</v>
      </c>
    </row>
    <row r="83" spans="2:7">
      <c r="B83" s="1062" t="s">
        <v>515</v>
      </c>
      <c r="C83" s="1062" t="s">
        <v>192</v>
      </c>
      <c r="D83" s="1062" t="s">
        <v>3181</v>
      </c>
      <c r="F83" s="420" t="s">
        <v>2688</v>
      </c>
      <c r="G83" s="420" t="s">
        <v>3115</v>
      </c>
    </row>
    <row r="84" spans="2:7">
      <c r="B84" s="1062" t="s">
        <v>613</v>
      </c>
      <c r="C84" s="1063" t="s">
        <v>2081</v>
      </c>
      <c r="D84" s="1063" t="s">
        <v>3183</v>
      </c>
      <c r="F84" s="420" t="s">
        <v>2688</v>
      </c>
      <c r="G84" s="420" t="s">
        <v>358</v>
      </c>
    </row>
    <row r="85" spans="2:7">
      <c r="B85" s="1062" t="s">
        <v>37</v>
      </c>
      <c r="C85" s="1063" t="s">
        <v>2161</v>
      </c>
      <c r="D85" s="1063" t="s">
        <v>3183</v>
      </c>
      <c r="F85" s="420" t="s">
        <v>2688</v>
      </c>
      <c r="G85" s="420" t="s">
        <v>297</v>
      </c>
    </row>
    <row r="86" spans="2:7">
      <c r="B86" s="1062" t="s">
        <v>37</v>
      </c>
      <c r="C86" s="1063" t="s">
        <v>141</v>
      </c>
      <c r="D86" s="1063" t="s">
        <v>3183</v>
      </c>
      <c r="F86" s="420" t="s">
        <v>2688</v>
      </c>
      <c r="G86" s="420" t="s">
        <v>241</v>
      </c>
    </row>
    <row r="87" spans="2:7">
      <c r="B87" s="1062" t="s">
        <v>37</v>
      </c>
      <c r="C87" s="1063" t="s">
        <v>2081</v>
      </c>
      <c r="D87" s="1063" t="s">
        <v>3183</v>
      </c>
    </row>
    <row r="88" spans="2:7">
      <c r="B88" s="1062" t="s">
        <v>37</v>
      </c>
      <c r="C88" s="1063" t="s">
        <v>2675</v>
      </c>
      <c r="D88" s="1063" t="s">
        <v>3183</v>
      </c>
    </row>
    <row r="89" spans="2:7">
      <c r="B89" s="1062" t="s">
        <v>37</v>
      </c>
      <c r="C89" s="1063" t="s">
        <v>3113</v>
      </c>
      <c r="D89" s="1063" t="s">
        <v>3183</v>
      </c>
    </row>
    <row r="90" spans="2:7">
      <c r="B90" s="1062" t="s">
        <v>37</v>
      </c>
      <c r="C90" s="1063" t="s">
        <v>2150</v>
      </c>
      <c r="D90" s="1063" t="s">
        <v>3183</v>
      </c>
    </row>
    <row r="91" spans="2:7">
      <c r="B91" s="1062" t="s">
        <v>2753</v>
      </c>
      <c r="C91" s="1063" t="s">
        <v>311</v>
      </c>
      <c r="D91" s="1063" t="s">
        <v>3183</v>
      </c>
    </row>
    <row r="92" spans="2:7">
      <c r="B92" s="1062" t="s">
        <v>2749</v>
      </c>
      <c r="C92" s="1063" t="s">
        <v>311</v>
      </c>
      <c r="D92" s="1063" t="s">
        <v>3183</v>
      </c>
    </row>
    <row r="93" spans="2:7">
      <c r="B93" s="1062" t="s">
        <v>2749</v>
      </c>
      <c r="C93" s="1062" t="s">
        <v>3118</v>
      </c>
      <c r="D93" s="1063" t="s">
        <v>3183</v>
      </c>
    </row>
    <row r="94" spans="2:7">
      <c r="B94" s="1062" t="s">
        <v>304</v>
      </c>
      <c r="C94" s="1063" t="s">
        <v>369</v>
      </c>
      <c r="D94" s="1063" t="s">
        <v>3183</v>
      </c>
    </row>
    <row r="95" spans="2:7">
      <c r="B95" s="1062" t="s">
        <v>304</v>
      </c>
      <c r="C95" s="1063" t="s">
        <v>2917</v>
      </c>
      <c r="D95" s="1063" t="s">
        <v>3183</v>
      </c>
    </row>
    <row r="96" spans="2:7">
      <c r="B96" s="1062" t="s">
        <v>304</v>
      </c>
      <c r="C96" s="1063" t="s">
        <v>303</v>
      </c>
      <c r="D96" s="1063" t="s">
        <v>3183</v>
      </c>
    </row>
    <row r="97" spans="2:4">
      <c r="B97" s="1062" t="s">
        <v>304</v>
      </c>
      <c r="C97" s="1063" t="s">
        <v>315</v>
      </c>
      <c r="D97" s="1063" t="s">
        <v>3183</v>
      </c>
    </row>
    <row r="98" spans="2:4">
      <c r="B98" s="1062" t="s">
        <v>304</v>
      </c>
      <c r="C98" s="1063" t="s">
        <v>2081</v>
      </c>
      <c r="D98" s="1063" t="s">
        <v>3183</v>
      </c>
    </row>
    <row r="99" spans="2:4">
      <c r="B99" s="1062" t="s">
        <v>304</v>
      </c>
      <c r="C99" s="1063" t="s">
        <v>3123</v>
      </c>
      <c r="D99" s="1063" t="s">
        <v>3183</v>
      </c>
    </row>
    <row r="100" spans="2:4">
      <c r="B100" s="1062" t="s">
        <v>304</v>
      </c>
      <c r="C100" s="1063" t="s">
        <v>297</v>
      </c>
      <c r="D100" s="1063" t="s">
        <v>3183</v>
      </c>
    </row>
    <row r="101" spans="2:4">
      <c r="B101" s="1062" t="s">
        <v>304</v>
      </c>
      <c r="C101" s="1063" t="s">
        <v>3124</v>
      </c>
      <c r="D101" s="1063" t="s">
        <v>3183</v>
      </c>
    </row>
    <row r="102" spans="2:4">
      <c r="B102" s="1062" t="s">
        <v>304</v>
      </c>
      <c r="C102" s="1063" t="s">
        <v>276</v>
      </c>
      <c r="D102" s="1063" t="s">
        <v>3183</v>
      </c>
    </row>
    <row r="103" spans="2:4">
      <c r="B103" s="1062" t="s">
        <v>304</v>
      </c>
      <c r="C103" s="1063" t="s">
        <v>3125</v>
      </c>
      <c r="D103" s="1063" t="s">
        <v>3183</v>
      </c>
    </row>
    <row r="104" spans="2:4">
      <c r="B104" s="1062" t="s">
        <v>304</v>
      </c>
      <c r="C104" s="1063" t="s">
        <v>241</v>
      </c>
      <c r="D104" s="1063" t="s">
        <v>3183</v>
      </c>
    </row>
    <row r="105" spans="2:4">
      <c r="B105" s="1062" t="s">
        <v>515</v>
      </c>
      <c r="C105" s="1063" t="s">
        <v>3126</v>
      </c>
      <c r="D105" s="1063" t="s">
        <v>3183</v>
      </c>
    </row>
    <row r="106" spans="2:4">
      <c r="B106" s="1062" t="s">
        <v>515</v>
      </c>
      <c r="C106" s="1063" t="s">
        <v>36</v>
      </c>
      <c r="D106" s="1063" t="s">
        <v>3183</v>
      </c>
    </row>
    <row r="107" spans="2:4">
      <c r="B107" s="1062" t="s">
        <v>515</v>
      </c>
      <c r="C107" s="1063" t="s">
        <v>3117</v>
      </c>
      <c r="D107" s="1063" t="s">
        <v>3183</v>
      </c>
    </row>
    <row r="108" spans="2:4">
      <c r="B108" s="1062" t="s">
        <v>515</v>
      </c>
      <c r="C108" s="1063" t="s">
        <v>3182</v>
      </c>
      <c r="D108" s="1063" t="s">
        <v>3183</v>
      </c>
    </row>
  </sheetData>
  <pageMargins left="0.7" right="0.7" top="0.75" bottom="0.75" header="0.3" footer="0.3"/>
  <tableParts count="2">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F175"/>
  <sheetViews>
    <sheetView showGridLines="0" view="pageBreakPreview" topLeftCell="A43" zoomScale="70" zoomScaleNormal="60" zoomScaleSheetLayoutView="70" workbookViewId="0">
      <selection activeCell="C86" sqref="C86"/>
    </sheetView>
  </sheetViews>
  <sheetFormatPr defaultColWidth="9" defaultRowHeight="13"/>
  <cols>
    <col min="1" max="1" width="1.1640625" style="17" customWidth="1"/>
    <col min="2" max="2" width="14.83203125" style="17" customWidth="1"/>
    <col min="3" max="3" width="23.1640625" style="17" customWidth="1"/>
    <col min="4" max="4" width="9.08203125" style="17" customWidth="1"/>
    <col min="5" max="5" width="13.08203125" style="17" customWidth="1"/>
    <col min="6" max="6" width="11.33203125" style="17" customWidth="1"/>
    <col min="7" max="7" width="12.08203125" style="17" customWidth="1"/>
    <col min="8" max="8" width="12.1640625" style="17" customWidth="1"/>
    <col min="9" max="11" width="9" style="17"/>
    <col min="12" max="12" width="8" style="17" customWidth="1"/>
    <col min="13" max="13" width="11.58203125" style="17" customWidth="1"/>
    <col min="14" max="14" width="8" style="17" customWidth="1"/>
    <col min="15" max="15" width="14.08203125" style="17" customWidth="1"/>
    <col min="16" max="16" width="22.6640625" style="17" customWidth="1"/>
    <col min="17" max="17" width="8" style="17" customWidth="1"/>
    <col min="18" max="19" width="9" style="17"/>
    <col min="20" max="20" width="5" style="17" customWidth="1"/>
    <col min="21" max="21" width="1.6640625" style="17" customWidth="1"/>
    <col min="22" max="26" width="8.08203125" style="17" customWidth="1"/>
    <col min="27" max="27" width="16.08203125" style="17" bestFit="1" customWidth="1"/>
    <col min="28" max="28" width="9" style="17"/>
    <col min="29" max="29" width="21.6640625" style="17" bestFit="1" customWidth="1"/>
    <col min="30" max="30" width="7.1640625" style="17" customWidth="1"/>
    <col min="31" max="16384" width="9" style="17"/>
  </cols>
  <sheetData>
    <row r="1" spans="2:32" ht="42.75" customHeight="1">
      <c r="B1" s="1234" t="s">
        <v>3184</v>
      </c>
      <c r="C1" s="1234"/>
      <c r="D1" s="1234"/>
      <c r="E1" s="1234"/>
      <c r="F1" s="1234"/>
      <c r="G1" s="1234"/>
      <c r="H1" s="1234"/>
      <c r="I1" s="1234"/>
      <c r="J1" s="1234"/>
      <c r="K1" s="1234"/>
      <c r="L1" s="1234"/>
      <c r="M1" s="1234"/>
      <c r="N1" s="1234"/>
      <c r="O1" s="1234"/>
      <c r="P1" s="1234"/>
      <c r="Q1" s="1234"/>
      <c r="R1" s="1234"/>
      <c r="S1" s="1234"/>
      <c r="T1" s="1234"/>
      <c r="U1" s="157"/>
      <c r="V1" s="157"/>
      <c r="W1" s="157"/>
      <c r="X1" s="157"/>
      <c r="Y1" s="157"/>
      <c r="Z1" s="157"/>
      <c r="AA1" s="157"/>
      <c r="AB1" s="157"/>
      <c r="AC1" s="157"/>
      <c r="AD1" s="157"/>
      <c r="AE1" s="157"/>
      <c r="AF1" s="157"/>
    </row>
    <row r="26" ht="20.25" customHeight="1"/>
    <row r="29" ht="20.25" customHeight="1"/>
    <row r="31" ht="29.25" customHeight="1"/>
    <row r="34" spans="1:25" ht="39">
      <c r="B34" s="713" t="s">
        <v>2360</v>
      </c>
      <c r="C34" s="713" t="s">
        <v>1497</v>
      </c>
      <c r="D34" s="714" t="s">
        <v>2588</v>
      </c>
      <c r="E34" s="715" t="s">
        <v>1487</v>
      </c>
      <c r="F34" s="715" t="s">
        <v>1498</v>
      </c>
      <c r="G34" s="715" t="s">
        <v>1499</v>
      </c>
      <c r="H34" s="715" t="s">
        <v>1500</v>
      </c>
    </row>
    <row r="35" spans="1:25" ht="14.5">
      <c r="B35" s="152" t="s">
        <v>195</v>
      </c>
      <c r="C35" s="959" t="s">
        <v>3138</v>
      </c>
      <c r="D35" s="964">
        <v>8</v>
      </c>
      <c r="E35" s="965">
        <v>7005</v>
      </c>
      <c r="F35" s="968">
        <v>0</v>
      </c>
      <c r="G35" s="968">
        <v>0.23511777301927195</v>
      </c>
      <c r="H35" s="969">
        <v>0.16002855103497504</v>
      </c>
    </row>
    <row r="36" spans="1:25" ht="14.5">
      <c r="B36" s="165" t="s">
        <v>146</v>
      </c>
      <c r="C36" s="960" t="s">
        <v>3139</v>
      </c>
      <c r="D36" s="964">
        <v>3</v>
      </c>
      <c r="E36" s="965">
        <v>2525</v>
      </c>
      <c r="F36" s="968">
        <v>0.37069306930693069</v>
      </c>
      <c r="G36" s="968">
        <v>0.28514851485148518</v>
      </c>
      <c r="H36" s="970">
        <v>8.0792079207920753E-2</v>
      </c>
    </row>
    <row r="37" spans="1:25" ht="25.5" customHeight="1">
      <c r="B37" s="165" t="s">
        <v>148</v>
      </c>
      <c r="C37" s="960" t="s">
        <v>3140</v>
      </c>
      <c r="D37" s="964">
        <v>19</v>
      </c>
      <c r="E37" s="965">
        <v>3816</v>
      </c>
      <c r="F37" s="968">
        <v>0.17147099930118792</v>
      </c>
      <c r="G37" s="968">
        <v>0.33857442348008382</v>
      </c>
      <c r="H37" s="970">
        <v>0.1632599580712788</v>
      </c>
    </row>
    <row r="38" spans="1:25" ht="14.5">
      <c r="B38" s="745" t="s">
        <v>587</v>
      </c>
      <c r="C38" s="961" t="s">
        <v>2675</v>
      </c>
      <c r="D38" s="966">
        <v>1</v>
      </c>
      <c r="E38" s="967">
        <v>591</v>
      </c>
      <c r="F38" s="971">
        <v>0</v>
      </c>
      <c r="G38" s="971">
        <v>0</v>
      </c>
      <c r="H38" s="972">
        <v>0</v>
      </c>
    </row>
    <row r="39" spans="1:25" ht="29">
      <c r="B39" s="165" t="s">
        <v>38</v>
      </c>
      <c r="C39" s="960" t="s">
        <v>3141</v>
      </c>
      <c r="D39" s="964">
        <v>10</v>
      </c>
      <c r="E39" s="965">
        <v>12486</v>
      </c>
      <c r="F39" s="968">
        <v>0.24125687436595644</v>
      </c>
      <c r="G39" s="968">
        <v>6.7195258689732529E-2</v>
      </c>
      <c r="H39" s="970">
        <v>0.21520102514816597</v>
      </c>
    </row>
    <row r="40" spans="1:25" ht="14.5">
      <c r="B40" s="165" t="s">
        <v>152</v>
      </c>
      <c r="C40" s="960" t="s">
        <v>3142</v>
      </c>
      <c r="D40" s="964">
        <v>8</v>
      </c>
      <c r="E40" s="965">
        <v>1896</v>
      </c>
      <c r="F40" s="968">
        <v>0</v>
      </c>
      <c r="G40" s="968">
        <v>0.30432489451476796</v>
      </c>
      <c r="H40" s="970">
        <v>0.27109704641350207</v>
      </c>
    </row>
    <row r="41" spans="1:25" ht="14.5">
      <c r="B41" s="165" t="s">
        <v>157</v>
      </c>
      <c r="C41" s="960" t="s">
        <v>3143</v>
      </c>
      <c r="D41" s="964">
        <v>2</v>
      </c>
      <c r="E41" s="965">
        <v>198</v>
      </c>
      <c r="F41" s="968">
        <v>0</v>
      </c>
      <c r="G41" s="968">
        <v>0.15151515151515149</v>
      </c>
      <c r="H41" s="970">
        <v>0.65656565656565657</v>
      </c>
    </row>
    <row r="42" spans="1:25" ht="29">
      <c r="B42" s="165" t="s">
        <v>205</v>
      </c>
      <c r="C42" s="960" t="s">
        <v>3141</v>
      </c>
      <c r="D42" s="964">
        <v>19</v>
      </c>
      <c r="E42" s="965">
        <v>35412</v>
      </c>
      <c r="F42" s="968">
        <v>0.63948190820437523</v>
      </c>
      <c r="G42" s="968">
        <v>0.38995255845476107</v>
      </c>
      <c r="H42" s="970">
        <v>0.46170789562860048</v>
      </c>
    </row>
    <row r="43" spans="1:25" ht="29">
      <c r="B43" s="165" t="s">
        <v>159</v>
      </c>
      <c r="C43" s="960" t="s">
        <v>3144</v>
      </c>
      <c r="D43" s="964">
        <v>25</v>
      </c>
      <c r="E43" s="965">
        <v>11502</v>
      </c>
      <c r="F43" s="968">
        <v>3.0255607720396482E-2</v>
      </c>
      <c r="G43" s="968">
        <v>0.28534167970787694</v>
      </c>
      <c r="H43" s="970">
        <v>0.53268996696226745</v>
      </c>
    </row>
    <row r="44" spans="1:25" ht="14.5">
      <c r="B44" s="165" t="s">
        <v>214</v>
      </c>
      <c r="C44" s="960" t="s">
        <v>3145</v>
      </c>
      <c r="D44" s="964">
        <v>3</v>
      </c>
      <c r="E44" s="965">
        <v>1879</v>
      </c>
      <c r="F44" s="968">
        <v>0</v>
      </c>
      <c r="G44" s="968">
        <v>0.74135178286322512</v>
      </c>
      <c r="H44" s="970">
        <v>0.84034060670569455</v>
      </c>
    </row>
    <row r="45" spans="1:25" ht="15.5">
      <c r="B45" s="165" t="s">
        <v>184</v>
      </c>
      <c r="C45" s="960" t="s">
        <v>3146</v>
      </c>
      <c r="D45" s="964">
        <v>2</v>
      </c>
      <c r="E45" s="965">
        <v>676</v>
      </c>
      <c r="F45" s="968">
        <v>0</v>
      </c>
      <c r="G45" s="968">
        <v>0</v>
      </c>
      <c r="H45" s="970">
        <v>0.52218934911242609</v>
      </c>
      <c r="V45" s="420"/>
      <c r="W45" s="420"/>
      <c r="X45" s="420"/>
      <c r="Y45" s="420"/>
    </row>
    <row r="46" spans="1:25" ht="15.5">
      <c r="B46" s="644" t="s">
        <v>863</v>
      </c>
      <c r="C46" s="960" t="s">
        <v>3147</v>
      </c>
      <c r="D46" s="964">
        <v>3</v>
      </c>
      <c r="E46" s="965">
        <v>1277</v>
      </c>
      <c r="F46" s="968">
        <v>0</v>
      </c>
      <c r="G46" s="968">
        <v>0.57478465152701652</v>
      </c>
      <c r="H46" s="969">
        <v>0.47611589663273302</v>
      </c>
      <c r="V46" s="420"/>
      <c r="W46" s="420"/>
      <c r="X46" s="420"/>
      <c r="Y46" s="420"/>
    </row>
    <row r="47" spans="1:25" ht="58" customHeight="1" thickBot="1">
      <c r="B47" s="165" t="s">
        <v>142</v>
      </c>
      <c r="C47" s="960" t="s">
        <v>3148</v>
      </c>
      <c r="D47" s="964">
        <v>25</v>
      </c>
      <c r="E47" s="965">
        <v>27953</v>
      </c>
      <c r="F47" s="968">
        <v>0.5149834841817813</v>
      </c>
      <c r="G47" s="968">
        <v>0.27725110006081632</v>
      </c>
      <c r="H47" s="970">
        <v>0.43812828676707327</v>
      </c>
      <c r="X47" s="420"/>
      <c r="Y47" s="420"/>
    </row>
    <row r="48" spans="1:25" ht="18.75" customHeight="1" thickTop="1">
      <c r="A48" s="641"/>
      <c r="B48" s="704"/>
      <c r="C48" s="705" t="s">
        <v>1488</v>
      </c>
      <c r="D48" s="706">
        <v>128</v>
      </c>
      <c r="E48" s="706">
        <v>107216</v>
      </c>
      <c r="F48" s="952">
        <v>0.39165174352086762</v>
      </c>
      <c r="G48" s="952">
        <v>0.29914378450977464</v>
      </c>
      <c r="H48" s="962">
        <v>0.39679711983286081</v>
      </c>
      <c r="Y48" s="420"/>
    </row>
    <row r="49" spans="1:25" ht="18.75" customHeight="1">
      <c r="A49" s="642"/>
      <c r="Y49" s="420"/>
    </row>
    <row r="50" spans="1:25" ht="39.5" thickBot="1">
      <c r="A50" s="641"/>
      <c r="B50" s="654" t="s">
        <v>2362</v>
      </c>
      <c r="C50" s="655" t="s">
        <v>1497</v>
      </c>
      <c r="D50" s="656" t="s">
        <v>2589</v>
      </c>
      <c r="E50" s="657" t="s">
        <v>1487</v>
      </c>
      <c r="F50" s="657" t="s">
        <v>1498</v>
      </c>
      <c r="G50" s="657" t="s">
        <v>1499</v>
      </c>
      <c r="H50" s="657" t="s">
        <v>1500</v>
      </c>
      <c r="Y50" s="420"/>
    </row>
    <row r="51" spans="1:25" ht="18.75" customHeight="1">
      <c r="A51" s="643"/>
      <c r="B51" s="1088" t="s">
        <v>146</v>
      </c>
      <c r="C51" s="1093" t="s">
        <v>141</v>
      </c>
      <c r="D51" s="973">
        <v>2</v>
      </c>
      <c r="E51" s="973">
        <v>278</v>
      </c>
      <c r="F51" s="710">
        <v>1</v>
      </c>
      <c r="G51" s="710">
        <v>0.10431654676258995</v>
      </c>
      <c r="H51" s="711">
        <v>1</v>
      </c>
      <c r="Y51" s="420"/>
    </row>
    <row r="52" spans="1:25" ht="18.75" customHeight="1">
      <c r="A52" s="643"/>
      <c r="B52" s="1088" t="s">
        <v>148</v>
      </c>
      <c r="C52" s="1093" t="s">
        <v>141</v>
      </c>
      <c r="D52" s="1089">
        <v>1</v>
      </c>
      <c r="E52" s="1089">
        <v>31</v>
      </c>
      <c r="F52" s="1090">
        <v>0</v>
      </c>
      <c r="G52" s="1090">
        <v>1</v>
      </c>
      <c r="H52" s="711">
        <v>1</v>
      </c>
      <c r="Y52" s="420"/>
    </row>
    <row r="53" spans="1:25" ht="18.75" customHeight="1">
      <c r="A53" s="643"/>
      <c r="B53" s="1088" t="s">
        <v>587</v>
      </c>
      <c r="C53" s="977" t="s">
        <v>3137</v>
      </c>
      <c r="D53" s="1089">
        <v>13</v>
      </c>
      <c r="E53" s="1089">
        <v>4421</v>
      </c>
      <c r="F53" s="1090">
        <v>0</v>
      </c>
      <c r="G53" s="1090">
        <v>0.19452612531101565</v>
      </c>
      <c r="H53" s="711">
        <v>1</v>
      </c>
      <c r="Y53" s="420"/>
    </row>
    <row r="54" spans="1:25" ht="18.75" customHeight="1">
      <c r="A54" s="643"/>
      <c r="B54" s="1088" t="s">
        <v>38</v>
      </c>
      <c r="C54" s="977" t="s">
        <v>141</v>
      </c>
      <c r="D54" s="1089">
        <v>2</v>
      </c>
      <c r="E54" s="1089">
        <v>157</v>
      </c>
      <c r="F54" s="1090">
        <v>1</v>
      </c>
      <c r="G54" s="1090">
        <v>1</v>
      </c>
      <c r="H54" s="711">
        <v>1</v>
      </c>
      <c r="Y54" s="420"/>
    </row>
    <row r="55" spans="1:25" ht="18.75" customHeight="1">
      <c r="A55" s="643"/>
      <c r="B55" s="1088" t="s">
        <v>205</v>
      </c>
      <c r="C55" s="977" t="s">
        <v>141</v>
      </c>
      <c r="D55" s="1089">
        <v>7</v>
      </c>
      <c r="E55" s="1089">
        <v>609</v>
      </c>
      <c r="F55" s="1090">
        <v>1</v>
      </c>
      <c r="G55" s="1090">
        <v>0.75369458128078815</v>
      </c>
      <c r="H55" s="711">
        <v>1</v>
      </c>
      <c r="Y55" s="420"/>
    </row>
    <row r="56" spans="1:25" ht="18.75" customHeight="1">
      <c r="A56" s="643"/>
      <c r="B56" s="1088" t="s">
        <v>159</v>
      </c>
      <c r="C56" s="977" t="s">
        <v>3186</v>
      </c>
      <c r="D56" s="1089">
        <v>9</v>
      </c>
      <c r="E56" s="1089">
        <v>6310</v>
      </c>
      <c r="F56" s="1090">
        <v>0.92091917591125194</v>
      </c>
      <c r="G56" s="1090">
        <v>0.87765451664025362</v>
      </c>
      <c r="H56" s="711">
        <v>1</v>
      </c>
      <c r="Y56" s="420"/>
    </row>
    <row r="57" spans="1:25" ht="27.75" customHeight="1">
      <c r="A57" s="642"/>
      <c r="B57" s="1088" t="s">
        <v>173</v>
      </c>
      <c r="C57" s="977" t="s">
        <v>141</v>
      </c>
      <c r="D57" s="1089">
        <v>1</v>
      </c>
      <c r="E57" s="1089">
        <v>369</v>
      </c>
      <c r="F57" s="1090">
        <v>0</v>
      </c>
      <c r="G57" s="1090">
        <v>0</v>
      </c>
      <c r="H57" s="711">
        <v>1</v>
      </c>
      <c r="Y57" s="420"/>
    </row>
    <row r="58" spans="1:25" ht="18.75" customHeight="1" thickBot="1">
      <c r="A58" s="641"/>
      <c r="B58" s="1091" t="s">
        <v>142</v>
      </c>
      <c r="C58" s="1092" t="s">
        <v>3187</v>
      </c>
      <c r="D58" s="1085">
        <v>36</v>
      </c>
      <c r="E58" s="1085">
        <v>8587</v>
      </c>
      <c r="F58" s="1086">
        <v>0.12588797018749276</v>
      </c>
      <c r="G58" s="1086">
        <v>9.5842552695935668E-2</v>
      </c>
      <c r="H58" s="1087">
        <v>1</v>
      </c>
      <c r="Y58" s="420"/>
    </row>
    <row r="59" spans="1:25" ht="18.75" customHeight="1" thickTop="1">
      <c r="A59" s="642"/>
      <c r="B59" s="974"/>
      <c r="C59" s="704" t="s">
        <v>1488</v>
      </c>
      <c r="D59" s="975">
        <v>71</v>
      </c>
      <c r="E59" s="976">
        <v>20762</v>
      </c>
      <c r="F59" s="709">
        <v>0.38223677873037276</v>
      </c>
      <c r="G59" s="709">
        <v>0.38035834698005977</v>
      </c>
      <c r="H59" s="963">
        <v>1</v>
      </c>
      <c r="Y59" s="420"/>
    </row>
    <row r="60" spans="1:25" ht="15.5">
      <c r="A60" s="641"/>
      <c r="Y60" s="420"/>
    </row>
    <row r="61" spans="1:25" ht="25.75" customHeight="1">
      <c r="A61" s="642"/>
      <c r="Y61" s="420"/>
    </row>
    <row r="62" spans="1:25" ht="15.5">
      <c r="A62" s="642"/>
      <c r="Y62" s="420"/>
    </row>
    <row r="63" spans="1:25" ht="18.75" customHeight="1">
      <c r="A63" s="641"/>
      <c r="Y63" s="420"/>
    </row>
    <row r="64" spans="1:25" ht="18.75" customHeight="1">
      <c r="A64" s="643"/>
      <c r="Y64" s="420"/>
    </row>
    <row r="65" spans="1:27" ht="31" customHeight="1">
      <c r="A65" s="642"/>
      <c r="Y65" s="420"/>
    </row>
    <row r="66" spans="1:27" ht="28.5" customHeight="1">
      <c r="A66" s="641"/>
      <c r="Y66" s="420"/>
    </row>
    <row r="67" spans="1:27" ht="11" customHeight="1">
      <c r="V67" s="420"/>
      <c r="W67" s="420"/>
      <c r="X67" s="420"/>
      <c r="Y67" s="420"/>
    </row>
    <row r="68" spans="1:27" ht="40.5" customHeight="1">
      <c r="Y68"/>
      <c r="Z68"/>
      <c r="AA68"/>
    </row>
    <row r="69" spans="1:27" ht="15.5">
      <c r="Y69" s="420"/>
      <c r="Z69" s="420"/>
      <c r="AA69" s="420"/>
    </row>
    <row r="70" spans="1:27" ht="15.5">
      <c r="Y70" s="420"/>
      <c r="Z70" s="420"/>
      <c r="AA70" s="420"/>
    </row>
    <row r="71" spans="1:27" ht="15.5">
      <c r="Y71"/>
      <c r="Z71"/>
      <c r="AA71"/>
    </row>
    <row r="72" spans="1:27" ht="15.5">
      <c r="Y72"/>
      <c r="Z72"/>
      <c r="AA72"/>
    </row>
    <row r="73" spans="1:27" ht="15.5">
      <c r="B73"/>
      <c r="C73"/>
      <c r="Y73"/>
      <c r="Z73"/>
      <c r="AA73"/>
    </row>
    <row r="74" spans="1:27" ht="15.5">
      <c r="B74"/>
      <c r="C74"/>
      <c r="Y74"/>
      <c r="Z74"/>
      <c r="AA74"/>
    </row>
    <row r="75" spans="1:27" ht="15.5">
      <c r="B75"/>
      <c r="C75"/>
      <c r="Y75"/>
      <c r="Z75"/>
      <c r="AA75"/>
    </row>
    <row r="76" spans="1:27" ht="15.5">
      <c r="B76"/>
      <c r="C76"/>
      <c r="Y76"/>
      <c r="Z76"/>
      <c r="AA76"/>
    </row>
    <row r="77" spans="1:27" ht="15.5">
      <c r="B77"/>
      <c r="C77"/>
      <c r="Y77"/>
      <c r="Z77"/>
      <c r="AA77"/>
    </row>
    <row r="78" spans="1:27" ht="15.5">
      <c r="B78"/>
      <c r="C78"/>
      <c r="Y78"/>
      <c r="Z78"/>
      <c r="AA78"/>
    </row>
    <row r="79" spans="1:27" ht="15.5">
      <c r="B79"/>
      <c r="C79"/>
      <c r="Y79"/>
      <c r="Z79"/>
      <c r="AA79"/>
    </row>
    <row r="80" spans="1:27" ht="15.5">
      <c r="B80"/>
      <c r="C80"/>
      <c r="Y80"/>
      <c r="Z80"/>
      <c r="AA80"/>
    </row>
    <row r="81" spans="2:27" ht="23.5" customHeight="1">
      <c r="B81"/>
      <c r="C81"/>
      <c r="Y81"/>
      <c r="Z81"/>
      <c r="AA81"/>
    </row>
    <row r="82" spans="2:27" ht="15.5">
      <c r="Y82"/>
      <c r="Z82"/>
      <c r="AA82"/>
    </row>
    <row r="83" spans="2:27" ht="15.5">
      <c r="Y83"/>
      <c r="Z83"/>
      <c r="AA83"/>
    </row>
    <row r="84" spans="2:27" ht="15.5">
      <c r="Y84"/>
      <c r="Z84"/>
      <c r="AA84"/>
    </row>
    <row r="85" spans="2:27" ht="15.5">
      <c r="Y85"/>
      <c r="Z85"/>
      <c r="AA85"/>
    </row>
    <row r="86" spans="2:27" ht="15.5">
      <c r="V86" s="861"/>
      <c r="Y86"/>
      <c r="Z86"/>
      <c r="AA86"/>
    </row>
    <row r="87" spans="2:27" ht="15.5">
      <c r="Y87"/>
      <c r="Z87"/>
      <c r="AA87"/>
    </row>
    <row r="88" spans="2:27" ht="15.5">
      <c r="Y88"/>
      <c r="Z88"/>
      <c r="AA88"/>
    </row>
    <row r="89" spans="2:27" ht="15.5">
      <c r="Y89"/>
      <c r="Z89"/>
      <c r="AA89"/>
    </row>
    <row r="90" spans="2:27" ht="15.5">
      <c r="Y90"/>
      <c r="Z90"/>
      <c r="AA90"/>
    </row>
    <row r="91" spans="2:27" ht="15.5">
      <c r="Y91"/>
      <c r="Z91"/>
      <c r="AA91"/>
    </row>
    <row r="92" spans="2:27" ht="15.5">
      <c r="Y92"/>
      <c r="Z92"/>
      <c r="AA92"/>
    </row>
    <row r="93" spans="2:27" ht="15.5">
      <c r="Y93"/>
      <c r="Z93"/>
      <c r="AA93"/>
    </row>
    <row r="94" spans="2:27" ht="15.5">
      <c r="Y94"/>
      <c r="Z94"/>
      <c r="AA94"/>
    </row>
    <row r="95" spans="2:27" ht="15.5">
      <c r="Y95"/>
      <c r="Z95"/>
      <c r="AA95"/>
    </row>
    <row r="96" spans="2:27" ht="15.5">
      <c r="Y96"/>
      <c r="Z96"/>
      <c r="AA96"/>
    </row>
    <row r="97" spans="25:27" ht="15.5">
      <c r="Y97"/>
      <c r="Z97"/>
      <c r="AA97"/>
    </row>
    <row r="98" spans="25:27" ht="15.5">
      <c r="Y98"/>
      <c r="Z98"/>
      <c r="AA98"/>
    </row>
    <row r="99" spans="25:27" ht="15.5">
      <c r="Y99"/>
      <c r="Z99"/>
      <c r="AA99"/>
    </row>
    <row r="100" spans="25:27" ht="15.5">
      <c r="Y100"/>
      <c r="Z100"/>
      <c r="AA100"/>
    </row>
    <row r="101" spans="25:27" ht="15.5">
      <c r="Y101"/>
      <c r="Z101"/>
      <c r="AA101"/>
    </row>
    <row r="102" spans="25:27" ht="15.5">
      <c r="Y102"/>
      <c r="Z102"/>
      <c r="AA102"/>
    </row>
    <row r="103" spans="25:27" ht="15.5">
      <c r="Y103"/>
      <c r="Z103"/>
      <c r="AA103"/>
    </row>
    <row r="104" spans="25:27" ht="15.5">
      <c r="Y104"/>
      <c r="Z104"/>
      <c r="AA104"/>
    </row>
    <row r="105" spans="25:27" ht="15.5">
      <c r="Y105"/>
      <c r="Z105"/>
      <c r="AA105"/>
    </row>
    <row r="106" spans="25:27" ht="15.5">
      <c r="Y106"/>
      <c r="Z106"/>
      <c r="AA106"/>
    </row>
    <row r="107" spans="25:27" ht="15.5">
      <c r="Y107"/>
      <c r="Z107"/>
      <c r="AA107"/>
    </row>
    <row r="108" spans="25:27" ht="15.5">
      <c r="Y108"/>
      <c r="Z108"/>
      <c r="AA108"/>
    </row>
    <row r="109" spans="25:27" ht="15.5">
      <c r="Y109"/>
      <c r="Z109"/>
      <c r="AA109"/>
    </row>
    <row r="110" spans="25:27" ht="15.5">
      <c r="Y110"/>
      <c r="Z110"/>
      <c r="AA110"/>
    </row>
    <row r="111" spans="25:27" ht="15.5">
      <c r="Y111"/>
      <c r="Z111"/>
      <c r="AA111"/>
    </row>
    <row r="112" spans="25:27" ht="15.5">
      <c r="Y112"/>
      <c r="Z112"/>
      <c r="AA112"/>
    </row>
    <row r="113" spans="25:27" ht="15.5">
      <c r="Y113"/>
      <c r="Z113"/>
      <c r="AA113"/>
    </row>
    <row r="114" spans="25:27" ht="15.5">
      <c r="Y114"/>
      <c r="Z114"/>
      <c r="AA114"/>
    </row>
    <row r="115" spans="25:27" ht="15.5">
      <c r="Y115"/>
      <c r="Z115"/>
      <c r="AA115"/>
    </row>
    <row r="116" spans="25:27" ht="15.5">
      <c r="Y116"/>
      <c r="Z116"/>
      <c r="AA116"/>
    </row>
    <row r="117" spans="25:27" ht="15.5">
      <c r="Y117"/>
      <c r="Z117"/>
      <c r="AA117"/>
    </row>
    <row r="118" spans="25:27" ht="15.5">
      <c r="Y118"/>
      <c r="Z118"/>
      <c r="AA118"/>
    </row>
    <row r="119" spans="25:27" ht="15.5">
      <c r="Y119"/>
      <c r="Z119"/>
      <c r="AA119"/>
    </row>
    <row r="120" spans="25:27" ht="15.5">
      <c r="Y120"/>
      <c r="Z120"/>
      <c r="AA120"/>
    </row>
    <row r="121" spans="25:27" ht="15.5">
      <c r="Y121"/>
      <c r="Z121"/>
      <c r="AA121"/>
    </row>
    <row r="122" spans="25:27" ht="15.5">
      <c r="Y122"/>
      <c r="Z122"/>
      <c r="AA122"/>
    </row>
    <row r="123" spans="25:27" ht="15.5">
      <c r="Y123"/>
      <c r="Z123"/>
      <c r="AA123"/>
    </row>
    <row r="124" spans="25:27" ht="15.5">
      <c r="Y124"/>
      <c r="Z124"/>
      <c r="AA124"/>
    </row>
    <row r="125" spans="25:27" ht="15.5">
      <c r="Y125"/>
      <c r="Z125"/>
      <c r="AA125"/>
    </row>
    <row r="126" spans="25:27" ht="15.5">
      <c r="Y126"/>
      <c r="Z126"/>
      <c r="AA126"/>
    </row>
    <row r="127" spans="25:27" ht="15.5">
      <c r="Y127"/>
      <c r="Z127"/>
      <c r="AA127"/>
    </row>
    <row r="128" spans="25:27" ht="15.5">
      <c r="Y128"/>
      <c r="Z128"/>
      <c r="AA128"/>
    </row>
    <row r="129" spans="25:27" ht="15.5">
      <c r="Y129"/>
      <c r="Z129"/>
      <c r="AA129"/>
    </row>
    <row r="130" spans="25:27" ht="15.5">
      <c r="Y130"/>
      <c r="Z130"/>
      <c r="AA130"/>
    </row>
    <row r="131" spans="25:27" ht="15.5">
      <c r="Y131"/>
      <c r="Z131"/>
      <c r="AA131"/>
    </row>
    <row r="132" spans="25:27" ht="15.5">
      <c r="Y132"/>
      <c r="Z132"/>
      <c r="AA132"/>
    </row>
    <row r="133" spans="25:27" ht="15.5">
      <c r="Y133"/>
      <c r="Z133"/>
      <c r="AA133"/>
    </row>
    <row r="134" spans="25:27" ht="15.5">
      <c r="Y134"/>
      <c r="Z134"/>
      <c r="AA134"/>
    </row>
    <row r="135" spans="25:27" ht="15.5">
      <c r="Y135"/>
      <c r="Z135"/>
      <c r="AA135"/>
    </row>
    <row r="136" spans="25:27" ht="15.5">
      <c r="Y136"/>
      <c r="Z136"/>
      <c r="AA136"/>
    </row>
    <row r="137" spans="25:27" ht="15.5">
      <c r="Y137"/>
      <c r="Z137"/>
      <c r="AA137"/>
    </row>
    <row r="138" spans="25:27" ht="15.5">
      <c r="Y138"/>
      <c r="Z138"/>
      <c r="AA138"/>
    </row>
    <row r="139" spans="25:27" ht="15.5">
      <c r="Y139"/>
      <c r="Z139"/>
      <c r="AA139"/>
    </row>
    <row r="140" spans="25:27" ht="15.5">
      <c r="Y140"/>
      <c r="Z140"/>
      <c r="AA140"/>
    </row>
    <row r="141" spans="25:27" ht="15.5">
      <c r="Y141"/>
      <c r="Z141"/>
    </row>
    <row r="142" spans="25:27" ht="15.5">
      <c r="Y142"/>
      <c r="Z142"/>
    </row>
    <row r="143" spans="25:27" ht="15.5">
      <c r="Y143"/>
      <c r="Z143"/>
    </row>
    <row r="144" spans="25:27" ht="15.5">
      <c r="Y144"/>
      <c r="Z144"/>
    </row>
    <row r="145" spans="25:26" ht="15.5">
      <c r="Y145"/>
      <c r="Z145"/>
    </row>
    <row r="146" spans="25:26" ht="15.5">
      <c r="Y146"/>
      <c r="Z146"/>
    </row>
    <row r="147" spans="25:26" ht="15.5">
      <c r="Y147"/>
      <c r="Z147"/>
    </row>
    <row r="148" spans="25:26" ht="15.5">
      <c r="Y148"/>
      <c r="Z148"/>
    </row>
    <row r="149" spans="25:26" ht="15.5">
      <c r="Y149"/>
      <c r="Z149"/>
    </row>
    <row r="150" spans="25:26" ht="15.5">
      <c r="Y150"/>
      <c r="Z150"/>
    </row>
    <row r="151" spans="25:26" ht="15.5">
      <c r="Y151"/>
      <c r="Z151"/>
    </row>
    <row r="152" spans="25:26" ht="15.5">
      <c r="Y152"/>
      <c r="Z152"/>
    </row>
    <row r="153" spans="25:26" ht="15.5">
      <c r="Y153"/>
      <c r="Z153"/>
    </row>
    <row r="154" spans="25:26" ht="15.5">
      <c r="Y154"/>
      <c r="Z154"/>
    </row>
    <row r="155" spans="25:26" ht="15.5">
      <c r="Y155"/>
      <c r="Z155"/>
    </row>
    <row r="156" spans="25:26" ht="15.5">
      <c r="Y156"/>
      <c r="Z156"/>
    </row>
    <row r="157" spans="25:26" ht="15.5">
      <c r="Y157"/>
      <c r="Z157"/>
    </row>
    <row r="158" spans="25:26" ht="15.5">
      <c r="Y158"/>
      <c r="Z158"/>
    </row>
    <row r="159" spans="25:26" ht="15.5">
      <c r="Y159"/>
      <c r="Z159"/>
    </row>
    <row r="160" spans="25:26" ht="15.5">
      <c r="Y160"/>
      <c r="Z160"/>
    </row>
    <row r="161" spans="25:26" ht="15.5">
      <c r="Y161"/>
      <c r="Z161"/>
    </row>
    <row r="162" spans="25:26" ht="15.5">
      <c r="Y162"/>
      <c r="Z162"/>
    </row>
    <row r="163" spans="25:26" ht="15.5">
      <c r="Y163"/>
      <c r="Z163"/>
    </row>
    <row r="164" spans="25:26" ht="15.5">
      <c r="Y164"/>
      <c r="Z164"/>
    </row>
    <row r="165" spans="25:26" ht="15.5">
      <c r="Y165"/>
      <c r="Z165"/>
    </row>
    <row r="166" spans="25:26" ht="15.5">
      <c r="Y166"/>
      <c r="Z166"/>
    </row>
    <row r="167" spans="25:26" ht="15.5">
      <c r="Y167"/>
      <c r="Z167"/>
    </row>
    <row r="168" spans="25:26" ht="15.5">
      <c r="Y168"/>
      <c r="Z168"/>
    </row>
    <row r="169" spans="25:26" ht="15.5">
      <c r="Y169"/>
      <c r="Z169"/>
    </row>
    <row r="170" spans="25:26" ht="15.5">
      <c r="Y170"/>
      <c r="Z170"/>
    </row>
    <row r="171" spans="25:26" ht="15.5">
      <c r="Y171"/>
      <c r="Z171"/>
    </row>
    <row r="172" spans="25:26" ht="15.5">
      <c r="Y172"/>
      <c r="Z172"/>
    </row>
    <row r="173" spans="25:26" ht="15.5">
      <c r="Y173"/>
      <c r="Z173"/>
    </row>
    <row r="174" spans="25:26" ht="15.5">
      <c r="Y174"/>
      <c r="Z174"/>
    </row>
    <row r="175" spans="25:26" ht="15.5">
      <c r="Y175"/>
      <c r="Z175"/>
    </row>
  </sheetData>
  <mergeCells count="1">
    <mergeCell ref="B1:T1"/>
  </mergeCells>
  <conditionalFormatting sqref="F58:H59">
    <cfRule type="iconSet" priority="12572">
      <iconSet reverse="1">
        <cfvo type="percent" val="0"/>
        <cfvo type="num" val="0" gte="0"/>
        <cfvo type="num" val="0.3"/>
      </iconSet>
    </cfRule>
  </conditionalFormatting>
  <conditionalFormatting sqref="F51:H57">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3" orientation="portrait" r:id="rId1"/>
  <colBreaks count="2" manualBreakCount="2">
    <brk id="13" max="107" man="1"/>
    <brk id="17" max="107" man="1"/>
  </colBreaks>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12659"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F35:H48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F163"/>
  <sheetViews>
    <sheetView showGridLines="0" view="pageBreakPreview" topLeftCell="A50" zoomScale="77" zoomScaleNormal="87" zoomScaleSheetLayoutView="77" workbookViewId="0">
      <selection activeCell="W58" sqref="W58"/>
    </sheetView>
  </sheetViews>
  <sheetFormatPr defaultColWidth="9" defaultRowHeight="13"/>
  <cols>
    <col min="1" max="1" width="1.08203125" style="17" customWidth="1"/>
    <col min="2" max="2" width="19.5" style="17" customWidth="1"/>
    <col min="3" max="3" width="20.1640625" style="17" customWidth="1"/>
    <col min="4" max="4" width="8.4140625" style="17" customWidth="1"/>
    <col min="5" max="5" width="11.5" style="17" customWidth="1"/>
    <col min="6" max="6" width="13" style="17" customWidth="1"/>
    <col min="7" max="7" width="11" style="17" customWidth="1"/>
    <col min="8" max="8" width="12.5" style="17" customWidth="1"/>
    <col min="9" max="9" width="1.1640625" style="17" customWidth="1"/>
    <col min="10" max="11" width="9" style="17"/>
    <col min="12" max="12" width="10.6640625" style="17" customWidth="1"/>
    <col min="13" max="13" width="11.6640625" style="17" customWidth="1"/>
    <col min="14" max="14" width="10.1640625" style="17" customWidth="1"/>
    <col min="15" max="15" width="25.1640625" style="17" customWidth="1"/>
    <col min="16" max="16" width="13" style="17" customWidth="1"/>
    <col min="17" max="17" width="10.1640625" style="17" customWidth="1"/>
    <col min="18" max="18" width="9.5" style="17" customWidth="1"/>
    <col min="19" max="19" width="8.08203125" style="17" customWidth="1"/>
    <col min="20" max="20" width="6.6640625" style="17" customWidth="1"/>
    <col min="21" max="23" width="8.08203125" style="17" customWidth="1"/>
    <col min="24" max="24" width="16.08203125" style="17" customWidth="1"/>
    <col min="25" max="25" width="9" style="17"/>
    <col min="26" max="26" width="21.6640625" style="17" customWidth="1"/>
    <col min="27" max="27" width="17.5" style="17" customWidth="1"/>
    <col min="28" max="28" width="9.58203125" style="17" customWidth="1"/>
    <col min="29" max="29" width="1.6640625" style="17" customWidth="1"/>
    <col min="30" max="16384" width="9" style="17"/>
  </cols>
  <sheetData>
    <row r="1" spans="2:32" ht="35.25" customHeight="1">
      <c r="B1" s="1234" t="s">
        <v>3185</v>
      </c>
      <c r="C1" s="1234"/>
      <c r="D1" s="1234"/>
      <c r="E1" s="1234"/>
      <c r="F1" s="1234"/>
      <c r="G1" s="1234"/>
      <c r="H1" s="1234"/>
      <c r="I1" s="1234"/>
      <c r="J1" s="1234"/>
      <c r="K1" s="1234"/>
      <c r="L1" s="1234"/>
      <c r="M1" s="1234"/>
      <c r="N1" s="1234"/>
      <c r="O1" s="1234"/>
      <c r="P1" s="1234"/>
      <c r="Q1" s="1234"/>
      <c r="R1" s="1234"/>
      <c r="S1" s="1234"/>
      <c r="T1" s="157"/>
      <c r="U1" s="157"/>
      <c r="V1" s="157"/>
      <c r="W1" s="157"/>
      <c r="X1" s="157"/>
      <c r="Y1" s="157"/>
      <c r="Z1" s="157"/>
      <c r="AA1" s="157"/>
      <c r="AB1" s="157"/>
      <c r="AC1" s="157"/>
      <c r="AD1" s="157"/>
      <c r="AE1" s="157"/>
      <c r="AF1" s="157"/>
    </row>
    <row r="9" spans="2:32" ht="18" customHeight="1"/>
    <row r="10" spans="2:32" ht="20.25" customHeight="1"/>
    <row r="27" spans="2:8" ht="18" customHeight="1"/>
    <row r="28" spans="2:8" ht="21.75" customHeight="1" thickBot="1"/>
    <row r="29" spans="2:8" ht="44" thickTop="1">
      <c r="B29" s="1123" t="s">
        <v>2360</v>
      </c>
      <c r="C29" s="1124" t="s">
        <v>1497</v>
      </c>
      <c r="D29" s="1125" t="s">
        <v>2588</v>
      </c>
      <c r="E29" s="1125" t="s">
        <v>1487</v>
      </c>
      <c r="F29" s="1125" t="s">
        <v>1498</v>
      </c>
      <c r="G29" s="1125" t="s">
        <v>1499</v>
      </c>
      <c r="H29" s="1126" t="s">
        <v>1500</v>
      </c>
    </row>
    <row r="30" spans="2:8" ht="18" customHeight="1">
      <c r="B30" s="1127" t="s">
        <v>534</v>
      </c>
      <c r="C30" s="1128" t="s">
        <v>192</v>
      </c>
      <c r="D30" s="1129">
        <v>2</v>
      </c>
      <c r="E30" s="1130">
        <v>401</v>
      </c>
      <c r="F30" s="1131">
        <v>0</v>
      </c>
      <c r="G30" s="1131">
        <v>0</v>
      </c>
      <c r="H30" s="1132">
        <v>0</v>
      </c>
    </row>
    <row r="31" spans="2:8" ht="14.5">
      <c r="B31" s="1127" t="s">
        <v>519</v>
      </c>
      <c r="C31" s="1128" t="s">
        <v>192</v>
      </c>
      <c r="D31" s="1129">
        <v>15</v>
      </c>
      <c r="E31" s="1130">
        <v>4714</v>
      </c>
      <c r="F31" s="1131">
        <v>6.2084570782067416E-2</v>
      </c>
      <c r="G31" s="1131">
        <v>8.59142978362325E-2</v>
      </c>
      <c r="H31" s="1132">
        <v>0.21913449299957577</v>
      </c>
    </row>
    <row r="32" spans="2:8" ht="14.5">
      <c r="B32" s="1127" t="s">
        <v>960</v>
      </c>
      <c r="C32" s="1128" t="s">
        <v>192</v>
      </c>
      <c r="D32" s="1129">
        <v>5</v>
      </c>
      <c r="E32" s="1130">
        <v>304</v>
      </c>
      <c r="F32" s="1131">
        <v>0.32565789473684215</v>
      </c>
      <c r="G32" s="1131">
        <v>0</v>
      </c>
      <c r="H32" s="1132">
        <v>1</v>
      </c>
    </row>
    <row r="33" spans="1:25" ht="14.5">
      <c r="A33" s="75"/>
      <c r="B33" s="1127" t="s">
        <v>961</v>
      </c>
      <c r="C33" s="1128" t="s">
        <v>192</v>
      </c>
      <c r="D33" s="1129">
        <v>1</v>
      </c>
      <c r="E33" s="1130">
        <v>103</v>
      </c>
      <c r="F33" s="1131">
        <v>0</v>
      </c>
      <c r="G33" s="1131">
        <v>0</v>
      </c>
      <c r="H33" s="1132">
        <v>1</v>
      </c>
    </row>
    <row r="34" spans="1:25" ht="18.75" customHeight="1">
      <c r="A34" s="75"/>
      <c r="B34" s="1127" t="s">
        <v>963</v>
      </c>
      <c r="C34" s="1128" t="s">
        <v>2161</v>
      </c>
      <c r="D34" s="1129">
        <v>1</v>
      </c>
      <c r="E34" s="1130">
        <v>1674</v>
      </c>
      <c r="F34" s="1131">
        <v>4.4205495818399054E-2</v>
      </c>
      <c r="G34" s="1131">
        <v>0.83273596176821985</v>
      </c>
      <c r="H34" s="1132">
        <v>1</v>
      </c>
    </row>
    <row r="35" spans="1:25" ht="18.75" customHeight="1">
      <c r="A35" s="75"/>
      <c r="B35" s="1127" t="s">
        <v>522</v>
      </c>
      <c r="C35" s="1128" t="s">
        <v>2359</v>
      </c>
      <c r="D35" s="1129">
        <v>2</v>
      </c>
      <c r="E35" s="1130">
        <v>282</v>
      </c>
      <c r="F35" s="1131">
        <v>0</v>
      </c>
      <c r="G35" s="1131">
        <v>0</v>
      </c>
      <c r="H35" s="1132">
        <v>0</v>
      </c>
    </row>
    <row r="36" spans="1:25" ht="14.5">
      <c r="A36" s="75"/>
      <c r="B36" s="1127" t="s">
        <v>525</v>
      </c>
      <c r="C36" s="1128" t="s">
        <v>192</v>
      </c>
      <c r="D36" s="1129">
        <v>3</v>
      </c>
      <c r="E36" s="1130">
        <v>1149</v>
      </c>
      <c r="F36" s="1131">
        <v>0.18711923411662312</v>
      </c>
      <c r="G36" s="1131">
        <v>0.3037423846823325</v>
      </c>
      <c r="H36" s="1132">
        <v>0.18711923411662312</v>
      </c>
    </row>
    <row r="37" spans="1:25" ht="14.5">
      <c r="A37" s="75"/>
      <c r="B37" s="1127" t="s">
        <v>516</v>
      </c>
      <c r="C37" s="1128" t="s">
        <v>2359</v>
      </c>
      <c r="D37" s="1129">
        <v>5</v>
      </c>
      <c r="E37" s="1130">
        <v>1255</v>
      </c>
      <c r="F37" s="1131">
        <v>0</v>
      </c>
      <c r="G37" s="1131">
        <v>0.11155378486055778</v>
      </c>
      <c r="H37" s="1132">
        <v>0.2573705179282868</v>
      </c>
      <c r="M37" s="75"/>
    </row>
    <row r="38" spans="1:25" ht="15" thickBot="1">
      <c r="B38" s="1133" t="s">
        <v>536</v>
      </c>
      <c r="C38" s="1134" t="s">
        <v>192</v>
      </c>
      <c r="D38" s="1135">
        <v>4</v>
      </c>
      <c r="E38" s="1136">
        <v>615</v>
      </c>
      <c r="F38" s="1137">
        <v>0</v>
      </c>
      <c r="G38" s="1137">
        <v>9.2682926829268264E-2</v>
      </c>
      <c r="H38" s="1138">
        <v>0.12520325203252036</v>
      </c>
    </row>
    <row r="39" spans="1:25" ht="26.25" customHeight="1" thickTop="1" thickBot="1">
      <c r="B39" s="1111"/>
      <c r="C39" s="1112" t="s">
        <v>1488</v>
      </c>
      <c r="D39" s="1113">
        <v>38</v>
      </c>
      <c r="E39" s="1113">
        <v>10497</v>
      </c>
      <c r="F39" s="1115">
        <v>6.4843923660728442E-2</v>
      </c>
      <c r="G39" s="1115">
        <v>0.22339716109364582</v>
      </c>
      <c r="H39" s="1116">
        <v>0.35524435553015143</v>
      </c>
    </row>
    <row r="40" spans="1:25" ht="20.25" customHeight="1" thickTop="1">
      <c r="B40" s="1117"/>
      <c r="C40" s="1118"/>
      <c r="D40" s="1119"/>
      <c r="E40" s="1120"/>
      <c r="F40" s="1121"/>
      <c r="G40" s="1121"/>
      <c r="H40" s="1122"/>
    </row>
    <row r="41" spans="1:25" ht="39">
      <c r="B41" s="1094" t="s">
        <v>2362</v>
      </c>
      <c r="C41" s="1095" t="s">
        <v>1497</v>
      </c>
      <c r="D41" s="1096" t="s">
        <v>2589</v>
      </c>
      <c r="E41" s="1097" t="s">
        <v>1487</v>
      </c>
      <c r="F41" s="1096" t="s">
        <v>2592</v>
      </c>
      <c r="G41" s="1096" t="s">
        <v>2591</v>
      </c>
      <c r="H41" s="1098" t="s">
        <v>2590</v>
      </c>
    </row>
    <row r="42" spans="1:25" ht="19" customHeight="1">
      <c r="B42" s="1099" t="s">
        <v>519</v>
      </c>
      <c r="C42" s="1100" t="s">
        <v>36</v>
      </c>
      <c r="D42" s="1101">
        <v>2</v>
      </c>
      <c r="E42" s="1102">
        <v>672</v>
      </c>
      <c r="F42" s="1103">
        <v>0.3883928571428571</v>
      </c>
      <c r="G42" s="1103">
        <v>1</v>
      </c>
      <c r="H42" s="1104">
        <v>1</v>
      </c>
    </row>
    <row r="43" spans="1:25" ht="19" customHeight="1">
      <c r="B43" s="1099" t="s">
        <v>961</v>
      </c>
      <c r="C43" s="1100" t="s">
        <v>3188</v>
      </c>
      <c r="D43" s="1101">
        <v>13</v>
      </c>
      <c r="E43" s="1102">
        <v>8868</v>
      </c>
      <c r="F43" s="1103">
        <v>0.85904375281912493</v>
      </c>
      <c r="G43" s="1103">
        <v>1</v>
      </c>
      <c r="H43" s="1104">
        <v>1</v>
      </c>
    </row>
    <row r="44" spans="1:25" ht="19" customHeight="1">
      <c r="B44" s="1099" t="s">
        <v>972</v>
      </c>
      <c r="C44" s="1100" t="s">
        <v>2732</v>
      </c>
      <c r="D44" s="1101">
        <v>10</v>
      </c>
      <c r="E44" s="1102">
        <v>2494</v>
      </c>
      <c r="F44" s="1103">
        <v>1</v>
      </c>
      <c r="G44" s="1103">
        <v>1</v>
      </c>
      <c r="H44" s="1104">
        <v>1</v>
      </c>
    </row>
    <row r="45" spans="1:25" ht="19" customHeight="1" thickBot="1">
      <c r="B45" s="1105" t="s">
        <v>984</v>
      </c>
      <c r="C45" s="1106" t="s">
        <v>2732</v>
      </c>
      <c r="D45" s="1107">
        <v>10</v>
      </c>
      <c r="E45" s="1108">
        <v>1961</v>
      </c>
      <c r="F45" s="1109">
        <v>1</v>
      </c>
      <c r="G45" s="1109">
        <v>1</v>
      </c>
      <c r="H45" s="1110">
        <v>1</v>
      </c>
    </row>
    <row r="46" spans="1:25" ht="25.5" customHeight="1" thickTop="1" thickBot="1">
      <c r="B46" s="1111"/>
      <c r="C46" s="1112" t="s">
        <v>1488</v>
      </c>
      <c r="D46" s="1113">
        <v>35</v>
      </c>
      <c r="E46" s="1114">
        <v>13995</v>
      </c>
      <c r="F46" s="1115">
        <v>0.88131475526973924</v>
      </c>
      <c r="G46" s="1115">
        <v>1</v>
      </c>
      <c r="H46" s="1116">
        <v>1</v>
      </c>
      <c r="U46" s="159"/>
      <c r="V46" s="420"/>
      <c r="W46" s="420"/>
      <c r="X46"/>
      <c r="Y46"/>
    </row>
    <row r="47" spans="1:25" ht="16" thickTop="1">
      <c r="U47" s="159"/>
      <c r="V47" s="420"/>
      <c r="W47" s="420"/>
      <c r="X47"/>
      <c r="Y47"/>
    </row>
    <row r="48" spans="1:25" ht="15.5">
      <c r="U48" s="159"/>
      <c r="V48" s="420"/>
      <c r="W48" s="420"/>
      <c r="X48" s="420"/>
      <c r="Y48" s="420"/>
    </row>
    <row r="49" spans="21:25" ht="15.5">
      <c r="U49" s="159"/>
      <c r="V49" s="420"/>
      <c r="W49" s="420"/>
      <c r="X49"/>
      <c r="Y49"/>
    </row>
    <row r="50" spans="21:25" ht="15.5">
      <c r="U50" s="159"/>
      <c r="V50" s="420"/>
      <c r="W50" s="420"/>
      <c r="X50" s="420"/>
      <c r="Y50" s="420"/>
    </row>
    <row r="51" spans="21:25" ht="15.5">
      <c r="U51" s="159"/>
      <c r="V51" s="420"/>
      <c r="W51" s="420"/>
      <c r="X51" s="420"/>
      <c r="Y51" s="420"/>
    </row>
    <row r="52" spans="21:25" ht="15.5">
      <c r="U52" s="159"/>
      <c r="V52" s="420"/>
      <c r="W52" s="420"/>
      <c r="X52" s="420"/>
      <c r="Y52" s="420"/>
    </row>
    <row r="53" spans="21:25" ht="15.5">
      <c r="U53" s="159"/>
      <c r="V53" s="420"/>
      <c r="W53" s="420"/>
      <c r="X53" s="420"/>
      <c r="Y53" s="420"/>
    </row>
    <row r="54" spans="21:25" ht="15.5">
      <c r="U54" s="159"/>
      <c r="V54" s="420"/>
      <c r="W54" s="420"/>
      <c r="X54"/>
      <c r="Y54"/>
    </row>
    <row r="55" spans="21:25" ht="24" customHeight="1">
      <c r="U55" s="159"/>
      <c r="V55" s="420"/>
      <c r="W55" s="420"/>
    </row>
    <row r="56" spans="21:25" ht="6.65" customHeight="1">
      <c r="U56" s="159"/>
      <c r="V56" s="420"/>
      <c r="W56" s="420"/>
    </row>
    <row r="57" spans="21:25" ht="49.5" customHeight="1">
      <c r="U57" s="159"/>
      <c r="V57" s="420"/>
      <c r="W57"/>
      <c r="X57"/>
    </row>
    <row r="58" spans="21:25" ht="15.5">
      <c r="U58" s="159"/>
      <c r="V58" s="420"/>
      <c r="W58" s="420"/>
      <c r="X58" s="420"/>
    </row>
    <row r="59" spans="21:25" ht="15.5">
      <c r="U59" s="159"/>
      <c r="V59" s="420"/>
      <c r="W59" s="420"/>
      <c r="X59" s="420"/>
    </row>
    <row r="60" spans="21:25" ht="15.5">
      <c r="U60" s="159"/>
      <c r="V60" s="420"/>
      <c r="W60" s="420"/>
      <c r="X60" s="420"/>
    </row>
    <row r="61" spans="21:25" ht="15.5">
      <c r="U61" s="159"/>
      <c r="V61" s="420"/>
      <c r="W61" s="420"/>
      <c r="X61" s="420"/>
    </row>
    <row r="62" spans="21:25" ht="15.5">
      <c r="U62" s="159"/>
      <c r="V62" s="420"/>
      <c r="W62" s="420"/>
      <c r="X62" s="420"/>
    </row>
    <row r="63" spans="21:25" ht="15.5">
      <c r="U63" s="159"/>
      <c r="V63" s="420"/>
      <c r="W63" s="420"/>
      <c r="X63" s="420"/>
    </row>
    <row r="64" spans="21:25" s="658" customFormat="1" ht="25" customHeight="1">
      <c r="V64" s="159"/>
      <c r="W64" s="159"/>
      <c r="X64" s="159"/>
    </row>
    <row r="65" spans="22:24" ht="15.5">
      <c r="V65"/>
      <c r="W65"/>
      <c r="X65"/>
    </row>
    <row r="66" spans="22:24" ht="15.5">
      <c r="V66"/>
      <c r="W66"/>
      <c r="X66"/>
    </row>
    <row r="67" spans="22:24" ht="15.5">
      <c r="V67"/>
      <c r="W67"/>
      <c r="X67"/>
    </row>
    <row r="68" spans="22:24" ht="15.5">
      <c r="V68"/>
      <c r="W68"/>
      <c r="X68"/>
    </row>
    <row r="69" spans="22:24" ht="15.5">
      <c r="V69"/>
      <c r="W69"/>
      <c r="X69"/>
    </row>
    <row r="70" spans="22:24" ht="15.5">
      <c r="V70"/>
      <c r="W70"/>
      <c r="X70"/>
    </row>
    <row r="71" spans="22:24" ht="15.5">
      <c r="V71"/>
      <c r="W71"/>
      <c r="X71"/>
    </row>
    <row r="72" spans="22:24" ht="15.5">
      <c r="V72"/>
      <c r="W72"/>
      <c r="X72"/>
    </row>
    <row r="73" spans="22:24" ht="15.5">
      <c r="V73"/>
      <c r="W73"/>
      <c r="X73"/>
    </row>
    <row r="74" spans="22:24" ht="15.5">
      <c r="V74"/>
      <c r="W74"/>
      <c r="X74"/>
    </row>
    <row r="75" spans="22:24" ht="15.5">
      <c r="V75"/>
      <c r="W75"/>
      <c r="X75"/>
    </row>
    <row r="76" spans="22:24" ht="15.5">
      <c r="V76"/>
      <c r="W76"/>
      <c r="X76"/>
    </row>
    <row r="77" spans="22:24" ht="15.5">
      <c r="V77"/>
      <c r="W77"/>
      <c r="X77"/>
    </row>
    <row r="78" spans="22:24" ht="15.5">
      <c r="V78"/>
      <c r="W78"/>
      <c r="X78"/>
    </row>
    <row r="79" spans="22:24" ht="15.5">
      <c r="V79"/>
      <c r="W79"/>
      <c r="X79"/>
    </row>
    <row r="80" spans="22:24" ht="15.5">
      <c r="V80"/>
      <c r="W80"/>
      <c r="X80"/>
    </row>
    <row r="81" spans="22:24" ht="15.5">
      <c r="V81"/>
      <c r="W81"/>
      <c r="X81"/>
    </row>
    <row r="82" spans="22:24" ht="15.5">
      <c r="V82"/>
      <c r="W82"/>
      <c r="X82"/>
    </row>
    <row r="83" spans="22:24" ht="15.5">
      <c r="V83"/>
      <c r="W83"/>
      <c r="X83"/>
    </row>
    <row r="84" spans="22:24" ht="15.5">
      <c r="V84"/>
      <c r="W84"/>
      <c r="X84"/>
    </row>
    <row r="85" spans="22:24" ht="15.5">
      <c r="V85"/>
      <c r="W85"/>
      <c r="X85"/>
    </row>
    <row r="86" spans="22:24" ht="15.5">
      <c r="V86"/>
      <c r="W86"/>
      <c r="X86"/>
    </row>
    <row r="87" spans="22:24" ht="15.5">
      <c r="V87"/>
      <c r="W87"/>
      <c r="X87"/>
    </row>
    <row r="88" spans="22:24" ht="15.5">
      <c r="V88"/>
      <c r="W88"/>
      <c r="X88"/>
    </row>
    <row r="89" spans="22:24" ht="15.5">
      <c r="V89"/>
      <c r="W89"/>
      <c r="X89"/>
    </row>
    <row r="90" spans="22:24" ht="15.5">
      <c r="V90"/>
      <c r="W90"/>
      <c r="X90"/>
    </row>
    <row r="91" spans="22:24" ht="15.5">
      <c r="V91"/>
      <c r="W91"/>
      <c r="X91"/>
    </row>
    <row r="92" spans="22:24" ht="15.5">
      <c r="V92"/>
      <c r="W92"/>
      <c r="X92"/>
    </row>
    <row r="93" spans="22:24" ht="15.5">
      <c r="V93"/>
      <c r="W93"/>
      <c r="X93"/>
    </row>
    <row r="94" spans="22:24" ht="15.5">
      <c r="V94"/>
      <c r="W94"/>
      <c r="X94"/>
    </row>
    <row r="95" spans="22:24" ht="15.5">
      <c r="V95"/>
      <c r="W95"/>
      <c r="X95"/>
    </row>
    <row r="96" spans="22:24" ht="15.5">
      <c r="V96"/>
      <c r="W96"/>
      <c r="X96"/>
    </row>
    <row r="97" spans="22:24" ht="15.5">
      <c r="V97"/>
      <c r="W97"/>
      <c r="X97"/>
    </row>
    <row r="98" spans="22:24" ht="15.5">
      <c r="V98"/>
      <c r="W98"/>
      <c r="X98"/>
    </row>
    <row r="99" spans="22:24" ht="15.5">
      <c r="V99"/>
      <c r="W99"/>
      <c r="X99"/>
    </row>
    <row r="100" spans="22:24" ht="15.5">
      <c r="V100"/>
      <c r="W100"/>
      <c r="X100"/>
    </row>
    <row r="101" spans="22:24" ht="15.5">
      <c r="V101"/>
      <c r="W101"/>
      <c r="X101"/>
    </row>
    <row r="102" spans="22:24" ht="15.5">
      <c r="V102"/>
      <c r="W102"/>
      <c r="X102"/>
    </row>
    <row r="103" spans="22:24" ht="15.5">
      <c r="V103"/>
      <c r="W103"/>
      <c r="X103"/>
    </row>
    <row r="104" spans="22:24" ht="15.5">
      <c r="V104"/>
      <c r="W104"/>
      <c r="X104"/>
    </row>
    <row r="105" spans="22:24" ht="15.5">
      <c r="V105"/>
      <c r="W105"/>
      <c r="X105"/>
    </row>
    <row r="106" spans="22:24" ht="15.5">
      <c r="V106"/>
      <c r="W106"/>
      <c r="X106"/>
    </row>
    <row r="107" spans="22:24" ht="15.5">
      <c r="V107"/>
      <c r="W107"/>
      <c r="X107"/>
    </row>
    <row r="108" spans="22:24" ht="15.5">
      <c r="V108"/>
      <c r="W108"/>
      <c r="X108"/>
    </row>
    <row r="109" spans="22:24" ht="15.5">
      <c r="V109"/>
      <c r="W109"/>
      <c r="X109"/>
    </row>
    <row r="110" spans="22:24" ht="15.5">
      <c r="V110"/>
      <c r="W110"/>
      <c r="X110"/>
    </row>
    <row r="111" spans="22:24" ht="15.5">
      <c r="V111"/>
      <c r="W111"/>
      <c r="X111"/>
    </row>
    <row r="112" spans="22:24" ht="15.5">
      <c r="V112"/>
      <c r="W112"/>
      <c r="X112"/>
    </row>
    <row r="113" spans="22:24" ht="15.5">
      <c r="V113"/>
      <c r="W113"/>
      <c r="X113"/>
    </row>
    <row r="114" spans="22:24" ht="15.5">
      <c r="V114"/>
      <c r="W114"/>
      <c r="X114"/>
    </row>
    <row r="115" spans="22:24" ht="15.5">
      <c r="V115"/>
      <c r="W115"/>
      <c r="X115"/>
    </row>
    <row r="116" spans="22:24" ht="15.5">
      <c r="V116"/>
      <c r="W116"/>
      <c r="X116"/>
    </row>
    <row r="117" spans="22:24" ht="15.5">
      <c r="V117"/>
      <c r="W117"/>
      <c r="X117"/>
    </row>
    <row r="118" spans="22:24" ht="15.5">
      <c r="V118"/>
      <c r="W118"/>
      <c r="X118"/>
    </row>
    <row r="119" spans="22:24" ht="15.5">
      <c r="V119"/>
      <c r="W119"/>
      <c r="X119"/>
    </row>
    <row r="120" spans="22:24" ht="15.5">
      <c r="V120"/>
      <c r="W120"/>
      <c r="X120"/>
    </row>
    <row r="121" spans="22:24" ht="15.5">
      <c r="V121"/>
      <c r="W121"/>
      <c r="X121"/>
    </row>
    <row r="122" spans="22:24" ht="15.5">
      <c r="V122"/>
      <c r="W122"/>
      <c r="X122"/>
    </row>
    <row r="123" spans="22:24" ht="15.5">
      <c r="V123"/>
      <c r="W123"/>
      <c r="X123"/>
    </row>
    <row r="124" spans="22:24" ht="15.5">
      <c r="V124"/>
      <c r="W124"/>
      <c r="X124"/>
    </row>
    <row r="125" spans="22:24" ht="15.5">
      <c r="V125"/>
      <c r="W125"/>
      <c r="X125"/>
    </row>
    <row r="126" spans="22:24" ht="15.5">
      <c r="V126"/>
      <c r="W126"/>
      <c r="X126"/>
    </row>
    <row r="127" spans="22:24" ht="15.5">
      <c r="V127"/>
      <c r="W127"/>
      <c r="X127"/>
    </row>
    <row r="128" spans="22:24" ht="15.5">
      <c r="V128"/>
      <c r="W128"/>
      <c r="X128"/>
    </row>
    <row r="129" spans="22:23" ht="15.5">
      <c r="V129"/>
      <c r="W129"/>
    </row>
    <row r="130" spans="22:23" ht="15.5">
      <c r="V130"/>
      <c r="W130"/>
    </row>
    <row r="131" spans="22:23" ht="15.5">
      <c r="V131"/>
      <c r="W131"/>
    </row>
    <row r="132" spans="22:23" ht="15.5">
      <c r="V132"/>
      <c r="W132"/>
    </row>
    <row r="133" spans="22:23" ht="15.5">
      <c r="V133"/>
      <c r="W133"/>
    </row>
    <row r="134" spans="22:23" ht="15.5">
      <c r="V134"/>
      <c r="W134"/>
    </row>
    <row r="135" spans="22:23" ht="15.5">
      <c r="V135"/>
      <c r="W135"/>
    </row>
    <row r="136" spans="22:23" ht="15.5">
      <c r="V136"/>
      <c r="W136"/>
    </row>
    <row r="137" spans="22:23" ht="15.5">
      <c r="V137"/>
      <c r="W137"/>
    </row>
    <row r="138" spans="22:23" ht="15.5">
      <c r="V138"/>
      <c r="W138"/>
    </row>
    <row r="139" spans="22:23" ht="15.5">
      <c r="V139"/>
      <c r="W139"/>
    </row>
    <row r="140" spans="22:23" ht="15.5">
      <c r="V140"/>
      <c r="W140"/>
    </row>
    <row r="141" spans="22:23" ht="15.5">
      <c r="V141"/>
      <c r="W141"/>
    </row>
    <row r="142" spans="22:23" ht="15.5">
      <c r="V142"/>
      <c r="W142"/>
    </row>
    <row r="143" spans="22:23" ht="15.5">
      <c r="V143"/>
      <c r="W143"/>
    </row>
    <row r="144" spans="22:23" ht="15.5">
      <c r="V144"/>
      <c r="W144"/>
    </row>
    <row r="145" spans="22:23" ht="15.5">
      <c r="V145"/>
      <c r="W145"/>
    </row>
    <row r="146" spans="22:23" ht="15.5">
      <c r="V146"/>
      <c r="W146"/>
    </row>
    <row r="147" spans="22:23" ht="15.5">
      <c r="V147"/>
      <c r="W147"/>
    </row>
    <row r="148" spans="22:23" ht="15.5">
      <c r="V148"/>
      <c r="W148"/>
    </row>
    <row r="149" spans="22:23" ht="15.5">
      <c r="V149"/>
      <c r="W149"/>
    </row>
    <row r="150" spans="22:23" ht="15.5">
      <c r="V150"/>
      <c r="W150"/>
    </row>
    <row r="151" spans="22:23" ht="15.5">
      <c r="V151"/>
      <c r="W151"/>
    </row>
    <row r="152" spans="22:23" ht="15.5">
      <c r="V152"/>
      <c r="W152"/>
    </row>
    <row r="153" spans="22:23" ht="15.5">
      <c r="V153"/>
      <c r="W153"/>
    </row>
    <row r="154" spans="22:23" ht="15.5">
      <c r="V154"/>
      <c r="W154"/>
    </row>
    <row r="155" spans="22:23" ht="15.5">
      <c r="V155"/>
      <c r="W155"/>
    </row>
    <row r="156" spans="22:23" ht="15.5">
      <c r="V156"/>
      <c r="W156"/>
    </row>
    <row r="157" spans="22:23" ht="15.5">
      <c r="V157"/>
      <c r="W157"/>
    </row>
    <row r="158" spans="22:23" ht="15.5">
      <c r="V158"/>
      <c r="W158"/>
    </row>
    <row r="159" spans="22:23" ht="15.5">
      <c r="V159"/>
      <c r="W159"/>
    </row>
    <row r="160" spans="22:23" ht="15.5">
      <c r="V160"/>
      <c r="W160"/>
    </row>
    <row r="161" spans="22:23" ht="15.5">
      <c r="V161"/>
      <c r="W161"/>
    </row>
    <row r="162" spans="22:23" ht="15.5">
      <c r="V162"/>
      <c r="W162"/>
    </row>
    <row r="163" spans="22:23" ht="15.5">
      <c r="V163"/>
      <c r="W163"/>
    </row>
  </sheetData>
  <mergeCells count="1">
    <mergeCell ref="B1:S1"/>
  </mergeCells>
  <conditionalFormatting sqref="F39:H39">
    <cfRule type="iconSet" priority="2">
      <iconSet reverse="1">
        <cfvo type="percent" val="0"/>
        <cfvo type="num" val="0" gte="0"/>
        <cfvo type="num" val="0.3"/>
      </iconSet>
    </cfRule>
  </conditionalFormatting>
  <conditionalFormatting sqref="F46:H46">
    <cfRule type="iconSet" priority="1">
      <iconSet reverse="1">
        <cfvo type="percent" val="0"/>
        <cfvo type="num" val="0" gte="0"/>
        <cfvo type="num" val="0.3"/>
      </iconSet>
    </cfRule>
  </conditionalFormatting>
  <conditionalFormatting sqref="F42:H45">
    <cfRule type="iconSet" priority="12698">
      <iconSet reverse="1">
        <cfvo type="percent" val="0"/>
        <cfvo type="num" val="0" gte="0"/>
        <cfvo type="num" val="0.3"/>
      </iconSet>
    </cfRule>
  </conditionalFormatting>
  <printOptions horizontalCentered="1" verticalCentered="1"/>
  <pageMargins left="0" right="0" top="0" bottom="0" header="0.3" footer="0.3"/>
  <pageSetup paperSize="9" scale="44"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12373"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F30:H38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1262-7B96-44AF-83AA-6BD27C0C4660}">
  <dimension ref="A2:B56"/>
  <sheetViews>
    <sheetView showGridLines="0" topLeftCell="A37" workbookViewId="0">
      <selection activeCell="B58" sqref="B58"/>
    </sheetView>
  </sheetViews>
  <sheetFormatPr defaultColWidth="9" defaultRowHeight="15.5"/>
  <cols>
    <col min="1" max="1" width="15.08203125" style="467" customWidth="1"/>
    <col min="2" max="2" width="114" style="467" customWidth="1"/>
    <col min="3" max="16384" width="9" style="467"/>
  </cols>
  <sheetData>
    <row r="2" spans="1:2" ht="18.5">
      <c r="A2" s="1235" t="s">
        <v>2370</v>
      </c>
      <c r="B2" s="1235"/>
    </row>
    <row r="3" spans="1:2">
      <c r="A3" s="473" t="s">
        <v>21</v>
      </c>
      <c r="B3" s="474" t="s">
        <v>2168</v>
      </c>
    </row>
    <row r="4" spans="1:2">
      <c r="A4" s="505" t="s">
        <v>37</v>
      </c>
      <c r="B4" s="475" t="s">
        <v>2371</v>
      </c>
    </row>
    <row r="5" spans="1:2" ht="31">
      <c r="A5" s="629"/>
      <c r="B5" s="475" t="s">
        <v>2372</v>
      </c>
    </row>
    <row r="6" spans="1:2">
      <c r="A6" s="629"/>
      <c r="B6" s="475" t="s">
        <v>2373</v>
      </c>
    </row>
    <row r="7" spans="1:2" ht="31">
      <c r="A7" s="629"/>
      <c r="B7" s="475" t="s">
        <v>2374</v>
      </c>
    </row>
    <row r="8" spans="1:2">
      <c r="A8" s="629"/>
      <c r="B8" s="475" t="s">
        <v>2375</v>
      </c>
    </row>
    <row r="9" spans="1:2">
      <c r="A9" s="629"/>
      <c r="B9" s="475" t="s">
        <v>2376</v>
      </c>
    </row>
    <row r="10" spans="1:2" ht="31">
      <c r="A10" s="629"/>
      <c r="B10" s="475" t="s">
        <v>2377</v>
      </c>
    </row>
    <row r="11" spans="1:2" ht="31">
      <c r="A11" s="629"/>
      <c r="B11" s="475" t="s">
        <v>2378</v>
      </c>
    </row>
    <row r="12" spans="1:2">
      <c r="A12" s="629"/>
      <c r="B12" s="475" t="s">
        <v>2379</v>
      </c>
    </row>
    <row r="13" spans="1:2" ht="31">
      <c r="A13" s="629"/>
      <c r="B13" s="475" t="s">
        <v>2380</v>
      </c>
    </row>
    <row r="14" spans="1:2">
      <c r="A14" s="629"/>
      <c r="B14" s="475" t="s">
        <v>2381</v>
      </c>
    </row>
    <row r="15" spans="1:2">
      <c r="A15" s="629"/>
      <c r="B15" s="475" t="s">
        <v>2382</v>
      </c>
    </row>
    <row r="16" spans="1:2" ht="46.5">
      <c r="A16" s="506"/>
      <c r="B16" s="475" t="s">
        <v>2383</v>
      </c>
    </row>
    <row r="17" spans="1:2" ht="31">
      <c r="A17" s="506"/>
      <c r="B17" s="475" t="s">
        <v>2384</v>
      </c>
    </row>
    <row r="18" spans="1:2" ht="31">
      <c r="A18" s="506"/>
      <c r="B18" s="475" t="s">
        <v>2385</v>
      </c>
    </row>
    <row r="19" spans="1:2" ht="46.5">
      <c r="A19" s="506"/>
      <c r="B19" s="475" t="s">
        <v>2386</v>
      </c>
    </row>
    <row r="20" spans="1:2" ht="31">
      <c r="A20" s="506"/>
      <c r="B20" s="475" t="s">
        <v>2387</v>
      </c>
    </row>
    <row r="21" spans="1:2">
      <c r="A21" s="501" t="s">
        <v>2169</v>
      </c>
      <c r="B21" s="476" t="s">
        <v>2170</v>
      </c>
    </row>
    <row r="22" spans="1:2">
      <c r="A22" s="499" t="s">
        <v>37</v>
      </c>
      <c r="B22" s="477" t="s">
        <v>2388</v>
      </c>
    </row>
    <row r="23" spans="1:2" ht="31">
      <c r="A23" s="630"/>
      <c r="B23" s="477" t="s">
        <v>2389</v>
      </c>
    </row>
    <row r="24" spans="1:2" ht="31">
      <c r="A24" s="630"/>
      <c r="B24" s="477" t="s">
        <v>2390</v>
      </c>
    </row>
    <row r="25" spans="1:2">
      <c r="A25" s="630"/>
      <c r="B25" s="477" t="s">
        <v>2391</v>
      </c>
    </row>
    <row r="26" spans="1:2">
      <c r="A26" s="630"/>
      <c r="B26" s="477" t="s">
        <v>2392</v>
      </c>
    </row>
    <row r="27" spans="1:2">
      <c r="A27" s="630"/>
      <c r="B27" s="477" t="s">
        <v>2393</v>
      </c>
    </row>
    <row r="28" spans="1:2" ht="31">
      <c r="A28" s="630"/>
      <c r="B28" s="477" t="s">
        <v>2394</v>
      </c>
    </row>
    <row r="29" spans="1:2">
      <c r="A29" s="630"/>
      <c r="B29" s="477" t="s">
        <v>2395</v>
      </c>
    </row>
    <row r="30" spans="1:2">
      <c r="A30" s="630"/>
      <c r="B30" s="477" t="s">
        <v>2396</v>
      </c>
    </row>
    <row r="31" spans="1:2">
      <c r="A31" s="630"/>
      <c r="B31" s="477" t="s">
        <v>2397</v>
      </c>
    </row>
    <row r="32" spans="1:2">
      <c r="A32" s="630"/>
      <c r="B32" s="477" t="s">
        <v>2398</v>
      </c>
    </row>
    <row r="33" spans="1:2">
      <c r="A33" s="500"/>
      <c r="B33" s="477" t="s">
        <v>2399</v>
      </c>
    </row>
    <row r="34" spans="1:2">
      <c r="A34" s="500"/>
      <c r="B34" s="477" t="s">
        <v>2400</v>
      </c>
    </row>
    <row r="35" spans="1:2">
      <c r="A35" s="500"/>
      <c r="B35" s="477" t="s">
        <v>2401</v>
      </c>
    </row>
    <row r="36" spans="1:2">
      <c r="A36" s="500"/>
      <c r="B36" s="477" t="s">
        <v>2402</v>
      </c>
    </row>
    <row r="37" spans="1:2" ht="31">
      <c r="A37" s="500"/>
      <c r="B37" s="477" t="s">
        <v>2403</v>
      </c>
    </row>
    <row r="38" spans="1:2">
      <c r="A38" s="500"/>
      <c r="B38" s="477" t="s">
        <v>2404</v>
      </c>
    </row>
    <row r="39" spans="1:2">
      <c r="A39" s="478" t="s">
        <v>2169</v>
      </c>
      <c r="B39" s="478" t="s">
        <v>2171</v>
      </c>
    </row>
    <row r="40" spans="1:2" ht="31">
      <c r="A40" s="479" t="s">
        <v>37</v>
      </c>
      <c r="B40" s="480" t="s">
        <v>2405</v>
      </c>
    </row>
    <row r="41" spans="1:2">
      <c r="A41" s="479"/>
      <c r="B41" s="480" t="s">
        <v>2406</v>
      </c>
    </row>
    <row r="42" spans="1:2">
      <c r="A42" s="479"/>
      <c r="B42" s="480" t="s">
        <v>2407</v>
      </c>
    </row>
    <row r="43" spans="1:2">
      <c r="A43" s="479"/>
      <c r="B43" s="480" t="s">
        <v>2408</v>
      </c>
    </row>
    <row r="44" spans="1:2">
      <c r="A44" s="479"/>
      <c r="B44" s="480" t="s">
        <v>2409</v>
      </c>
    </row>
    <row r="45" spans="1:2">
      <c r="A45" s="479"/>
      <c r="B45" s="480" t="s">
        <v>2410</v>
      </c>
    </row>
    <row r="46" spans="1:2">
      <c r="A46" s="479"/>
      <c r="B46" s="480" t="s">
        <v>2411</v>
      </c>
    </row>
    <row r="47" spans="1:2">
      <c r="A47" s="479"/>
      <c r="B47" s="480" t="s">
        <v>2412</v>
      </c>
    </row>
    <row r="48" spans="1:2">
      <c r="A48" s="479"/>
      <c r="B48" s="480" t="s">
        <v>2413</v>
      </c>
    </row>
    <row r="49" spans="1:2">
      <c r="A49" s="479"/>
      <c r="B49" s="480" t="s">
        <v>2414</v>
      </c>
    </row>
    <row r="50" spans="1:2">
      <c r="A50" s="479"/>
      <c r="B50" s="480" t="s">
        <v>2415</v>
      </c>
    </row>
    <row r="51" spans="1:2">
      <c r="A51" s="479"/>
      <c r="B51" s="480" t="s">
        <v>2416</v>
      </c>
    </row>
    <row r="52" spans="1:2" ht="31">
      <c r="A52" s="479"/>
      <c r="B52" s="480" t="s">
        <v>2417</v>
      </c>
    </row>
    <row r="53" spans="1:2" ht="31">
      <c r="A53" s="479"/>
      <c r="B53" s="480" t="s">
        <v>2418</v>
      </c>
    </row>
    <row r="54" spans="1:2">
      <c r="A54" s="479"/>
      <c r="B54" s="480" t="s">
        <v>2419</v>
      </c>
    </row>
    <row r="55" spans="1:2">
      <c r="A55" s="479"/>
      <c r="B55" s="480" t="s">
        <v>2420</v>
      </c>
    </row>
    <row r="56" spans="1:2">
      <c r="A56" s="479"/>
      <c r="B56" s="480" t="s">
        <v>2421</v>
      </c>
    </row>
  </sheetData>
  <mergeCells count="1">
    <mergeCell ref="A2:B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B87" sqref="B87"/>
    </sheetView>
  </sheetViews>
  <sheetFormatPr defaultColWidth="9" defaultRowHeight="15.5"/>
  <cols>
    <col min="1" max="1" width="31.6640625" style="59" bestFit="1" customWidth="1"/>
    <col min="2" max="2" width="20.33203125" style="59" bestFit="1" customWidth="1"/>
    <col min="3" max="3" width="9.9140625" style="59" bestFit="1" customWidth="1"/>
    <col min="4" max="4" width="65.6640625" style="59" hidden="1" customWidth="1"/>
    <col min="5" max="5" width="73.6640625" style="59" hidden="1" customWidth="1"/>
    <col min="6" max="6" width="86" style="59" hidden="1" customWidth="1"/>
    <col min="7" max="7" width="11" style="59" customWidth="1"/>
    <col min="8" max="16384" width="9" style="59"/>
  </cols>
  <sheetData>
    <row r="27" spans="1:7" hidden="1">
      <c r="A27" s="370" t="s">
        <v>20</v>
      </c>
      <c r="B27" s="59" t="s">
        <v>1476</v>
      </c>
    </row>
    <row r="28" spans="1:7" hidden="1"/>
    <row r="29" spans="1:7" s="88" customFormat="1" ht="31" hidden="1">
      <c r="A29" s="1032" t="s">
        <v>21</v>
      </c>
      <c r="B29" s="1032" t="s">
        <v>22</v>
      </c>
      <c r="C29" s="1013" t="s">
        <v>1527</v>
      </c>
      <c r="D29" s="59" t="s">
        <v>2128</v>
      </c>
      <c r="E29" s="59" t="s">
        <v>2127</v>
      </c>
      <c r="F29" s="59" t="s">
        <v>2126</v>
      </c>
      <c r="G29"/>
    </row>
    <row r="30" spans="1:7" hidden="1">
      <c r="A30" s="59" t="s">
        <v>37</v>
      </c>
      <c r="B30" s="59" t="s">
        <v>195</v>
      </c>
      <c r="C30" s="1008">
        <v>23750</v>
      </c>
      <c r="D30" s="1008">
        <v>16821</v>
      </c>
      <c r="E30" s="1008">
        <v>15579</v>
      </c>
      <c r="F30" s="1008">
        <v>20684</v>
      </c>
      <c r="G30"/>
    </row>
    <row r="31" spans="1:7" hidden="1">
      <c r="B31" s="59" t="s">
        <v>146</v>
      </c>
      <c r="C31" s="1008">
        <v>8442</v>
      </c>
      <c r="D31" s="1008">
        <v>6742</v>
      </c>
      <c r="E31" s="1008">
        <v>6505</v>
      </c>
      <c r="F31" s="1008">
        <v>4657</v>
      </c>
      <c r="G31"/>
    </row>
    <row r="32" spans="1:7" hidden="1">
      <c r="B32" s="59" t="s">
        <v>148</v>
      </c>
      <c r="C32" s="1008">
        <v>13123</v>
      </c>
      <c r="D32" s="1008">
        <v>10860</v>
      </c>
      <c r="E32" s="1008">
        <v>9129</v>
      </c>
      <c r="F32" s="1008">
        <v>10210.333333333334</v>
      </c>
      <c r="G32"/>
    </row>
    <row r="33" spans="1:7" hidden="1">
      <c r="B33" s="59" t="s">
        <v>38</v>
      </c>
      <c r="C33" s="1008">
        <v>38371</v>
      </c>
      <c r="D33" s="1008">
        <v>30507</v>
      </c>
      <c r="E33" s="1008">
        <v>33316</v>
      </c>
      <c r="F33" s="1008">
        <v>28015.000000000004</v>
      </c>
      <c r="G33"/>
    </row>
    <row r="34" spans="1:7" hidden="1">
      <c r="B34" s="59" t="s">
        <v>152</v>
      </c>
      <c r="C34" s="1008">
        <v>5168</v>
      </c>
      <c r="D34" s="1008">
        <v>3867</v>
      </c>
      <c r="E34" s="1008">
        <v>3687</v>
      </c>
      <c r="F34" s="1008">
        <v>4998</v>
      </c>
      <c r="G34"/>
    </row>
    <row r="35" spans="1:7" hidden="1">
      <c r="B35" s="59" t="s">
        <v>157</v>
      </c>
      <c r="C35" s="1008">
        <v>1168</v>
      </c>
      <c r="D35" s="1008">
        <v>514</v>
      </c>
      <c r="E35" s="1008">
        <v>404</v>
      </c>
      <c r="F35" s="1008">
        <v>577</v>
      </c>
      <c r="G35"/>
    </row>
    <row r="36" spans="1:7" hidden="1">
      <c r="B36" s="59" t="s">
        <v>205</v>
      </c>
      <c r="C36" s="1008">
        <v>99411</v>
      </c>
      <c r="D36" s="1008">
        <v>54259</v>
      </c>
      <c r="E36" s="1008">
        <v>56868</v>
      </c>
      <c r="F36" s="1008">
        <v>34467.466666666667</v>
      </c>
      <c r="G36"/>
    </row>
    <row r="37" spans="1:7" hidden="1">
      <c r="B37" s="59" t="s">
        <v>159</v>
      </c>
      <c r="C37" s="1008">
        <v>34490</v>
      </c>
      <c r="D37" s="1008">
        <v>21092</v>
      </c>
      <c r="E37" s="1008">
        <v>24837</v>
      </c>
      <c r="F37" s="1008">
        <v>33701</v>
      </c>
      <c r="G37"/>
    </row>
    <row r="38" spans="1:7" hidden="1">
      <c r="B38" s="59" t="s">
        <v>173</v>
      </c>
      <c r="C38" s="1008">
        <v>289</v>
      </c>
      <c r="D38" s="1008">
        <v>289</v>
      </c>
      <c r="E38" s="1008">
        <v>240</v>
      </c>
      <c r="F38" s="1008">
        <v>289</v>
      </c>
      <c r="G38"/>
    </row>
    <row r="39" spans="1:7" hidden="1">
      <c r="B39" s="59" t="s">
        <v>214</v>
      </c>
      <c r="C39" s="1008">
        <v>5637</v>
      </c>
      <c r="D39" s="1008">
        <v>1287</v>
      </c>
      <c r="E39" s="1008">
        <v>1554</v>
      </c>
      <c r="F39" s="1008">
        <v>5637</v>
      </c>
      <c r="G39"/>
    </row>
    <row r="40" spans="1:7" hidden="1">
      <c r="B40" s="59" t="s">
        <v>184</v>
      </c>
      <c r="C40" s="1008">
        <v>2737</v>
      </c>
      <c r="D40" s="1008">
        <v>1548</v>
      </c>
      <c r="E40" s="1008">
        <v>2224</v>
      </c>
      <c r="F40" s="1008">
        <v>1352</v>
      </c>
      <c r="G40"/>
    </row>
    <row r="41" spans="1:7" hidden="1">
      <c r="B41" s="59" t="s">
        <v>863</v>
      </c>
      <c r="C41" s="1008">
        <v>3796</v>
      </c>
      <c r="D41" s="1008">
        <v>2538</v>
      </c>
      <c r="E41" s="1008">
        <v>1026</v>
      </c>
      <c r="F41" s="1008">
        <v>3204</v>
      </c>
      <c r="G41"/>
    </row>
    <row r="42" spans="1:7" hidden="1">
      <c r="B42" s="59" t="s">
        <v>142</v>
      </c>
      <c r="C42" s="1008">
        <v>90468</v>
      </c>
      <c r="D42" s="1008">
        <v>51387</v>
      </c>
      <c r="E42" s="1008">
        <v>60762</v>
      </c>
      <c r="F42" s="1008">
        <v>36506.251851851848</v>
      </c>
      <c r="G42"/>
    </row>
    <row r="43" spans="1:7" hidden="1">
      <c r="B43" s="59" t="s">
        <v>587</v>
      </c>
      <c r="C43" s="1008">
        <v>1768</v>
      </c>
      <c r="D43" s="1008">
        <v>1768</v>
      </c>
      <c r="E43" s="1008">
        <v>1447</v>
      </c>
      <c r="F43" s="1008">
        <v>1182</v>
      </c>
      <c r="G43"/>
    </row>
    <row r="44" spans="1:7" hidden="1">
      <c r="A44" s="59" t="s">
        <v>1489</v>
      </c>
      <c r="C44" s="1008">
        <v>328618</v>
      </c>
      <c r="D44" s="1008">
        <v>203479</v>
      </c>
      <c r="E44" s="1008">
        <v>217578</v>
      </c>
      <c r="F44" s="1008">
        <v>185480.05185185187</v>
      </c>
      <c r="G44"/>
    </row>
    <row r="45" spans="1:7" hidden="1">
      <c r="A45" s="59" t="s">
        <v>515</v>
      </c>
      <c r="B45" s="59" t="s">
        <v>534</v>
      </c>
      <c r="C45" s="1008">
        <v>997</v>
      </c>
      <c r="D45" s="1008">
        <v>997</v>
      </c>
      <c r="E45" s="1008">
        <v>991</v>
      </c>
      <c r="F45" s="1008">
        <v>997</v>
      </c>
      <c r="G45"/>
    </row>
    <row r="46" spans="1:7" hidden="1">
      <c r="B46" s="59" t="s">
        <v>556</v>
      </c>
      <c r="C46" s="1008">
        <v>389</v>
      </c>
      <c r="D46" s="1008">
        <v>59</v>
      </c>
      <c r="E46" s="1008">
        <v>0</v>
      </c>
      <c r="F46" s="1008">
        <v>0</v>
      </c>
      <c r="G46"/>
    </row>
    <row r="47" spans="1:7" hidden="1">
      <c r="B47" s="59" t="s">
        <v>519</v>
      </c>
      <c r="C47" s="1008">
        <v>14142</v>
      </c>
      <c r="D47" s="1008">
        <v>11429</v>
      </c>
      <c r="E47" s="1008">
        <v>12927</v>
      </c>
      <c r="F47" s="1008">
        <v>13264.000000000002</v>
      </c>
      <c r="G47"/>
    </row>
    <row r="48" spans="1:7" hidden="1">
      <c r="B48" s="59" t="s">
        <v>961</v>
      </c>
      <c r="C48" s="1008">
        <v>309</v>
      </c>
      <c r="D48" s="1008">
        <v>103</v>
      </c>
      <c r="E48" s="1008">
        <v>309</v>
      </c>
      <c r="F48" s="1008">
        <v>309</v>
      </c>
      <c r="G48"/>
    </row>
    <row r="49" spans="1:7" hidden="1">
      <c r="B49" s="59" t="s">
        <v>522</v>
      </c>
      <c r="C49" s="1008">
        <v>846</v>
      </c>
      <c r="D49" s="1008">
        <v>846</v>
      </c>
      <c r="E49" s="1008">
        <v>846</v>
      </c>
      <c r="F49" s="1008">
        <v>846</v>
      </c>
      <c r="G49"/>
    </row>
    <row r="50" spans="1:7" hidden="1">
      <c r="B50" s="59" t="s">
        <v>525</v>
      </c>
      <c r="C50" s="1008">
        <v>3401</v>
      </c>
      <c r="D50" s="1008">
        <v>2971</v>
      </c>
      <c r="E50" s="1008">
        <v>1926</v>
      </c>
      <c r="F50" s="1008">
        <v>2880</v>
      </c>
      <c r="G50"/>
    </row>
    <row r="51" spans="1:7" hidden="1">
      <c r="B51" s="59" t="s">
        <v>516</v>
      </c>
      <c r="C51" s="1008">
        <v>3765</v>
      </c>
      <c r="D51" s="1008">
        <v>3119</v>
      </c>
      <c r="E51" s="1008">
        <v>3195</v>
      </c>
      <c r="F51" s="1008">
        <v>3765</v>
      </c>
      <c r="G51"/>
    </row>
    <row r="52" spans="1:7" hidden="1">
      <c r="B52" s="59" t="s">
        <v>536</v>
      </c>
      <c r="C52" s="1008">
        <v>1936</v>
      </c>
      <c r="D52" s="1008">
        <v>1782</v>
      </c>
      <c r="E52" s="1008">
        <v>1765</v>
      </c>
      <c r="F52" s="1008">
        <v>1784.6666666666667</v>
      </c>
      <c r="G52"/>
    </row>
    <row r="53" spans="1:7" hidden="1">
      <c r="B53" s="59" t="s">
        <v>963</v>
      </c>
      <c r="C53" s="1008">
        <v>15709</v>
      </c>
      <c r="D53" s="1008">
        <v>490</v>
      </c>
      <c r="E53" s="1008">
        <v>4309</v>
      </c>
      <c r="F53" s="1008">
        <v>4800</v>
      </c>
      <c r="G53"/>
    </row>
    <row r="54" spans="1:7" hidden="1">
      <c r="B54" s="59" t="s">
        <v>960</v>
      </c>
      <c r="C54" s="1008">
        <v>2120</v>
      </c>
      <c r="D54" s="1008">
        <v>504</v>
      </c>
      <c r="E54" s="1008">
        <v>608</v>
      </c>
      <c r="F54" s="1008">
        <v>410</v>
      </c>
      <c r="G54"/>
    </row>
    <row r="55" spans="1:7" hidden="1">
      <c r="A55" s="59" t="s">
        <v>2086</v>
      </c>
      <c r="C55" s="1008">
        <v>43614</v>
      </c>
      <c r="D55" s="1008">
        <v>22300</v>
      </c>
      <c r="E55" s="1008">
        <v>26876</v>
      </c>
      <c r="F55" s="1008">
        <v>29055.666666666668</v>
      </c>
      <c r="G55"/>
    </row>
    <row r="56" spans="1:7" hidden="1">
      <c r="A56" s="59" t="s">
        <v>1285</v>
      </c>
      <c r="C56" s="1008">
        <v>372232</v>
      </c>
      <c r="D56" s="1008">
        <v>225779</v>
      </c>
      <c r="E56" s="1008">
        <v>244454</v>
      </c>
      <c r="F56" s="1008">
        <v>214535.71851851852</v>
      </c>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H1" zoomScale="86" zoomScaleNormal="86" workbookViewId="0">
      <selection activeCell="L26" sqref="L26"/>
    </sheetView>
  </sheetViews>
  <sheetFormatPr defaultColWidth="9" defaultRowHeight="15.5"/>
  <cols>
    <col min="1" max="1" width="44.1640625" style="59" hidden="1" customWidth="1"/>
    <col min="2" max="2" width="14.58203125" style="59" hidden="1" customWidth="1"/>
    <col min="3" max="3" width="57.6640625" style="59" hidden="1" customWidth="1"/>
    <col min="4" max="4" width="45.83203125" style="59" hidden="1" customWidth="1"/>
    <col min="5" max="5" width="72.9140625" style="59" hidden="1" customWidth="1"/>
    <col min="6" max="6" width="37.1640625" style="59" hidden="1" customWidth="1"/>
    <col min="7" max="7" width="59.1640625" style="59" hidden="1" customWidth="1"/>
    <col min="8" max="8" width="9" style="59" customWidth="1"/>
    <col min="9" max="16384" width="9" style="59"/>
  </cols>
  <sheetData>
    <row r="1" spans="1:20" ht="26">
      <c r="A1" s="1236" t="s">
        <v>2734</v>
      </c>
      <c r="B1" s="1236"/>
      <c r="C1" s="1236"/>
      <c r="D1" s="1236"/>
      <c r="E1" s="1236"/>
      <c r="F1" s="1236"/>
      <c r="G1" s="1236"/>
      <c r="H1" s="1236"/>
      <c r="I1" s="1236"/>
      <c r="J1" s="1236"/>
      <c r="K1" s="1236"/>
      <c r="L1" s="1236"/>
      <c r="M1" s="1236"/>
      <c r="N1" s="1236"/>
      <c r="O1" s="1236"/>
      <c r="P1" s="1236"/>
      <c r="Q1" s="1236"/>
      <c r="R1" s="1236"/>
      <c r="S1" s="1236"/>
      <c r="T1" s="1236"/>
    </row>
    <row r="33" spans="1:7">
      <c r="A33"/>
      <c r="B33"/>
    </row>
    <row r="34" spans="1:7">
      <c r="A34" s="370" t="s">
        <v>20</v>
      </c>
      <c r="B34" s="59" t="s">
        <v>2763</v>
      </c>
    </row>
    <row r="35" spans="1:7">
      <c r="A35" s="1032" t="s">
        <v>22</v>
      </c>
      <c r="B35" s="59" t="s">
        <v>1476</v>
      </c>
    </row>
    <row r="36" spans="1:7">
      <c r="A36" s="1032" t="s">
        <v>21</v>
      </c>
      <c r="B36" s="59" t="s">
        <v>1476</v>
      </c>
    </row>
    <row r="37" spans="1:7">
      <c r="C37" s="164"/>
      <c r="D37" s="164"/>
      <c r="E37" s="164"/>
    </row>
    <row r="38" spans="1:7" s="88" customFormat="1">
      <c r="A38" s="370" t="s">
        <v>23</v>
      </c>
      <c r="B38" s="1013" t="s">
        <v>1527</v>
      </c>
      <c r="C38" s="59" t="s">
        <v>2130</v>
      </c>
      <c r="D38" s="59" t="s">
        <v>2131</v>
      </c>
      <c r="E38" s="59" t="s">
        <v>2132</v>
      </c>
      <c r="F38"/>
      <c r="G38"/>
    </row>
    <row r="39" spans="1:7">
      <c r="A39" s="59" t="s">
        <v>814</v>
      </c>
      <c r="B39" s="1008">
        <v>54</v>
      </c>
      <c r="C39" s="1008">
        <v>0</v>
      </c>
      <c r="D39" s="1008">
        <v>54</v>
      </c>
      <c r="E39" s="1008">
        <v>54</v>
      </c>
      <c r="F39"/>
      <c r="G39"/>
    </row>
    <row r="40" spans="1:7">
      <c r="A40" s="59" t="s">
        <v>277</v>
      </c>
      <c r="B40" s="1008">
        <v>1226</v>
      </c>
      <c r="C40" s="1008">
        <v>1226</v>
      </c>
      <c r="D40" s="1008">
        <v>789</v>
      </c>
      <c r="E40" s="1008">
        <v>1226</v>
      </c>
      <c r="F40"/>
      <c r="G40"/>
    </row>
    <row r="41" spans="1:7">
      <c r="A41" s="59" t="s">
        <v>248</v>
      </c>
      <c r="B41" s="1008">
        <v>435</v>
      </c>
      <c r="C41" s="1008">
        <v>435</v>
      </c>
      <c r="D41" s="1008">
        <v>308</v>
      </c>
      <c r="E41" s="1008">
        <v>435</v>
      </c>
      <c r="F41"/>
      <c r="G41"/>
    </row>
    <row r="42" spans="1:7">
      <c r="A42" s="59" t="s">
        <v>249</v>
      </c>
      <c r="B42" s="1008">
        <v>72</v>
      </c>
      <c r="C42" s="1008">
        <v>72</v>
      </c>
      <c r="D42" s="1008">
        <v>72</v>
      </c>
      <c r="E42" s="1008">
        <v>72</v>
      </c>
      <c r="F42"/>
      <c r="G42"/>
    </row>
    <row r="43" spans="1:7">
      <c r="A43" s="59" t="s">
        <v>206</v>
      </c>
      <c r="B43" s="1008">
        <v>605</v>
      </c>
      <c r="C43" s="1008">
        <v>500</v>
      </c>
      <c r="D43" s="1008">
        <v>560</v>
      </c>
      <c r="E43" s="1008">
        <v>605</v>
      </c>
      <c r="F43"/>
      <c r="G43"/>
    </row>
    <row r="44" spans="1:7">
      <c r="A44" s="59" t="s">
        <v>196</v>
      </c>
      <c r="B44" s="1008">
        <v>51</v>
      </c>
      <c r="C44" s="1008">
        <v>51</v>
      </c>
      <c r="D44" s="1008">
        <v>40</v>
      </c>
      <c r="E44" s="1008">
        <v>51</v>
      </c>
      <c r="F44"/>
      <c r="G44"/>
    </row>
    <row r="45" spans="1:7">
      <c r="A45" s="59" t="s">
        <v>250</v>
      </c>
      <c r="B45" s="1008">
        <v>250</v>
      </c>
      <c r="C45" s="1008">
        <v>250</v>
      </c>
      <c r="D45" s="1008">
        <v>200</v>
      </c>
      <c r="E45" s="1008">
        <v>250</v>
      </c>
      <c r="F45"/>
      <c r="G45"/>
    </row>
    <row r="46" spans="1:7">
      <c r="A46" s="59" t="s">
        <v>236</v>
      </c>
      <c r="B46" s="1008">
        <v>421</v>
      </c>
      <c r="C46" s="1008">
        <v>421</v>
      </c>
      <c r="D46" s="1008">
        <v>421</v>
      </c>
      <c r="E46" s="1008">
        <v>0</v>
      </c>
      <c r="F46"/>
      <c r="G46"/>
    </row>
    <row r="47" spans="1:7">
      <c r="A47" s="59" t="s">
        <v>1490</v>
      </c>
      <c r="B47" s="1008">
        <v>1887</v>
      </c>
      <c r="C47" s="1008">
        <v>1887</v>
      </c>
      <c r="D47" s="1008">
        <v>1887</v>
      </c>
      <c r="E47" s="1008">
        <v>1887</v>
      </c>
      <c r="F47"/>
      <c r="G47"/>
    </row>
    <row r="48" spans="1:7">
      <c r="A48" s="59" t="s">
        <v>251</v>
      </c>
      <c r="B48" s="1008">
        <v>24</v>
      </c>
      <c r="C48" s="1008">
        <v>24</v>
      </c>
      <c r="D48" s="1008">
        <v>24</v>
      </c>
      <c r="E48" s="1008">
        <v>24</v>
      </c>
      <c r="F48"/>
      <c r="G48"/>
    </row>
    <row r="49" spans="1:7">
      <c r="A49" s="59" t="s">
        <v>245</v>
      </c>
      <c r="B49" s="1008">
        <v>878</v>
      </c>
      <c r="C49" s="1008">
        <v>500</v>
      </c>
      <c r="D49" s="1008">
        <v>640</v>
      </c>
      <c r="E49" s="1008">
        <v>878</v>
      </c>
      <c r="F49"/>
      <c r="G49"/>
    </row>
    <row r="50" spans="1:7">
      <c r="A50" s="59" t="s">
        <v>252</v>
      </c>
      <c r="B50" s="1008">
        <v>442</v>
      </c>
      <c r="C50" s="1008">
        <v>442</v>
      </c>
      <c r="D50" s="1008">
        <v>442</v>
      </c>
      <c r="E50" s="1008">
        <v>442</v>
      </c>
      <c r="F50"/>
      <c r="G50"/>
    </row>
    <row r="51" spans="1:7">
      <c r="A51" s="59" t="s">
        <v>160</v>
      </c>
      <c r="B51" s="1008">
        <v>197</v>
      </c>
      <c r="C51" s="1008">
        <v>197</v>
      </c>
      <c r="D51" s="1008">
        <v>140</v>
      </c>
      <c r="E51" s="1008">
        <v>197</v>
      </c>
      <c r="F51"/>
      <c r="G51"/>
    </row>
    <row r="52" spans="1:7">
      <c r="A52" s="59" t="s">
        <v>232</v>
      </c>
      <c r="B52" s="1008">
        <v>394</v>
      </c>
      <c r="C52" s="1008">
        <v>394</v>
      </c>
      <c r="D52" s="1008">
        <v>394</v>
      </c>
      <c r="E52" s="1008">
        <v>0</v>
      </c>
      <c r="F52"/>
      <c r="G52"/>
    </row>
    <row r="53" spans="1:7">
      <c r="A53" s="59" t="s">
        <v>771</v>
      </c>
      <c r="B53" s="1008">
        <v>410</v>
      </c>
      <c r="C53" s="1008">
        <v>205</v>
      </c>
      <c r="D53" s="1008">
        <v>410</v>
      </c>
      <c r="E53" s="1008">
        <v>410</v>
      </c>
      <c r="F53"/>
      <c r="G53"/>
    </row>
    <row r="54" spans="1:7">
      <c r="A54" s="59" t="s">
        <v>268</v>
      </c>
      <c r="B54" s="1008">
        <v>291</v>
      </c>
      <c r="C54" s="1008">
        <v>291</v>
      </c>
      <c r="D54" s="1008">
        <v>291</v>
      </c>
      <c r="E54" s="1008">
        <v>291</v>
      </c>
      <c r="F54"/>
      <c r="G54"/>
    </row>
    <row r="55" spans="1:7">
      <c r="A55" s="59" t="s">
        <v>175</v>
      </c>
      <c r="B55" s="1008">
        <v>895</v>
      </c>
      <c r="C55" s="1008">
        <v>895</v>
      </c>
      <c r="D55" s="1008">
        <v>895</v>
      </c>
      <c r="E55" s="1008">
        <v>0</v>
      </c>
      <c r="F55"/>
      <c r="G55"/>
    </row>
    <row r="56" spans="1:7">
      <c r="A56" s="59" t="s">
        <v>149</v>
      </c>
      <c r="B56" s="1008">
        <v>132</v>
      </c>
      <c r="C56" s="1008">
        <v>132</v>
      </c>
      <c r="D56" s="1008">
        <v>132</v>
      </c>
      <c r="E56" s="1008">
        <v>132</v>
      </c>
      <c r="F56"/>
      <c r="G56"/>
    </row>
    <row r="57" spans="1:7">
      <c r="A57" s="59" t="s">
        <v>555</v>
      </c>
      <c r="B57" s="1008">
        <v>934</v>
      </c>
      <c r="C57" s="1008">
        <v>934</v>
      </c>
      <c r="D57" s="1008">
        <v>800</v>
      </c>
      <c r="E57" s="1008">
        <v>934</v>
      </c>
      <c r="F57"/>
      <c r="G57"/>
    </row>
    <row r="58" spans="1:7">
      <c r="A58" s="59" t="s">
        <v>254</v>
      </c>
      <c r="B58" s="1008">
        <v>504</v>
      </c>
      <c r="C58" s="1008">
        <v>504</v>
      </c>
      <c r="D58" s="1008">
        <v>504</v>
      </c>
      <c r="E58" s="1008">
        <v>504</v>
      </c>
      <c r="F58"/>
      <c r="G58"/>
    </row>
    <row r="59" spans="1:7">
      <c r="A59" s="59" t="s">
        <v>147</v>
      </c>
      <c r="B59" s="1008">
        <v>837</v>
      </c>
      <c r="C59" s="1008">
        <v>837</v>
      </c>
      <c r="D59" s="1008">
        <v>640</v>
      </c>
      <c r="E59" s="1008">
        <v>0</v>
      </c>
      <c r="F59"/>
      <c r="G59"/>
    </row>
    <row r="60" spans="1:7">
      <c r="A60" s="59" t="s">
        <v>217</v>
      </c>
      <c r="B60" s="1008">
        <v>3789</v>
      </c>
      <c r="C60" s="1008">
        <v>500</v>
      </c>
      <c r="D60" s="1008">
        <v>3789</v>
      </c>
      <c r="E60" s="1008">
        <v>1463.1333333333334</v>
      </c>
      <c r="F60"/>
      <c r="G60"/>
    </row>
    <row r="61" spans="1:7">
      <c r="A61" s="59" t="s">
        <v>198</v>
      </c>
      <c r="B61" s="1008">
        <v>222</v>
      </c>
      <c r="C61" s="1008">
        <v>222</v>
      </c>
      <c r="D61" s="1008">
        <v>140</v>
      </c>
      <c r="E61" s="1008">
        <v>222</v>
      </c>
      <c r="F61"/>
      <c r="G61"/>
    </row>
    <row r="62" spans="1:7">
      <c r="A62" s="59" t="s">
        <v>224</v>
      </c>
      <c r="B62" s="1008">
        <v>2131</v>
      </c>
      <c r="C62" s="1008">
        <v>440</v>
      </c>
      <c r="D62" s="1008">
        <v>1780</v>
      </c>
      <c r="E62" s="1008">
        <v>177.16296296296298</v>
      </c>
      <c r="F62"/>
      <c r="G62"/>
    </row>
    <row r="63" spans="1:7">
      <c r="A63" s="59" t="s">
        <v>161</v>
      </c>
      <c r="B63" s="1008">
        <v>1124</v>
      </c>
      <c r="C63" s="1008">
        <v>1124</v>
      </c>
      <c r="D63" s="1008">
        <v>860</v>
      </c>
      <c r="E63" s="1008">
        <v>1124</v>
      </c>
      <c r="F63"/>
      <c r="G63"/>
    </row>
    <row r="64" spans="1:7">
      <c r="A64" s="59" t="s">
        <v>233</v>
      </c>
      <c r="B64" s="1008">
        <v>398</v>
      </c>
      <c r="C64" s="1008">
        <v>398</v>
      </c>
      <c r="D64" s="1008">
        <v>398</v>
      </c>
      <c r="E64" s="1008">
        <v>398</v>
      </c>
      <c r="F64"/>
      <c r="G64"/>
    </row>
    <row r="65" spans="1:7">
      <c r="A65" s="59" t="s">
        <v>290</v>
      </c>
      <c r="B65" s="1008">
        <v>8486</v>
      </c>
      <c r="C65" s="1008">
        <v>4500</v>
      </c>
      <c r="D65" s="1008">
        <v>800</v>
      </c>
      <c r="E65" s="1008">
        <v>400</v>
      </c>
      <c r="F65"/>
      <c r="G65"/>
    </row>
    <row r="66" spans="1:7">
      <c r="A66" s="59" t="s">
        <v>207</v>
      </c>
      <c r="B66" s="1008">
        <v>100</v>
      </c>
      <c r="C66" s="1008">
        <v>100</v>
      </c>
      <c r="D66" s="1008">
        <v>80</v>
      </c>
      <c r="E66" s="1008">
        <v>100</v>
      </c>
      <c r="F66"/>
      <c r="G66"/>
    </row>
    <row r="67" spans="1:7">
      <c r="A67" s="59" t="s">
        <v>209</v>
      </c>
      <c r="B67" s="1008">
        <v>106</v>
      </c>
      <c r="C67" s="1008">
        <v>106</v>
      </c>
      <c r="D67" s="1008">
        <v>100</v>
      </c>
      <c r="E67" s="1008">
        <v>106</v>
      </c>
      <c r="F67"/>
      <c r="G67"/>
    </row>
    <row r="68" spans="1:7">
      <c r="A68" s="59" t="s">
        <v>541</v>
      </c>
      <c r="B68" s="1008">
        <v>244</v>
      </c>
      <c r="C68" s="1008">
        <v>244</v>
      </c>
      <c r="D68" s="1008">
        <v>240</v>
      </c>
      <c r="E68" s="1008">
        <v>244</v>
      </c>
      <c r="F68"/>
      <c r="G68"/>
    </row>
    <row r="69" spans="1:7">
      <c r="A69" s="59" t="s">
        <v>546</v>
      </c>
      <c r="B69" s="1008">
        <v>180</v>
      </c>
      <c r="C69" s="1008">
        <v>180</v>
      </c>
      <c r="D69" s="1008">
        <v>180</v>
      </c>
      <c r="E69" s="1008">
        <v>180</v>
      </c>
      <c r="F69"/>
      <c r="G69"/>
    </row>
    <row r="70" spans="1:7">
      <c r="A70" s="59" t="s">
        <v>543</v>
      </c>
      <c r="B70" s="1008">
        <v>270</v>
      </c>
      <c r="C70" s="1008">
        <v>270</v>
      </c>
      <c r="D70" s="1008">
        <v>270</v>
      </c>
      <c r="E70" s="1008">
        <v>270</v>
      </c>
      <c r="F70"/>
      <c r="G70"/>
    </row>
    <row r="71" spans="1:7">
      <c r="A71" s="59" t="s">
        <v>153</v>
      </c>
      <c r="B71" s="1008">
        <v>66</v>
      </c>
      <c r="C71" s="1008">
        <v>66</v>
      </c>
      <c r="D71" s="1008">
        <v>66</v>
      </c>
      <c r="E71" s="1008">
        <v>66</v>
      </c>
      <c r="F71"/>
      <c r="G71"/>
    </row>
    <row r="72" spans="1:7">
      <c r="A72" s="59" t="s">
        <v>289</v>
      </c>
      <c r="B72" s="1008">
        <v>2199</v>
      </c>
      <c r="C72" s="1008">
        <v>440</v>
      </c>
      <c r="D72" s="1008">
        <v>0</v>
      </c>
      <c r="E72" s="1008">
        <v>500</v>
      </c>
      <c r="F72"/>
      <c r="G72"/>
    </row>
    <row r="73" spans="1:7">
      <c r="A73" s="59" t="s">
        <v>294</v>
      </c>
      <c r="B73" s="1008">
        <v>2691</v>
      </c>
      <c r="C73" s="1008">
        <v>2691</v>
      </c>
      <c r="D73" s="1008">
        <v>2691</v>
      </c>
      <c r="E73" s="1008">
        <v>1850</v>
      </c>
      <c r="F73"/>
      <c r="G73"/>
    </row>
    <row r="74" spans="1:7">
      <c r="A74" s="59" t="s">
        <v>243</v>
      </c>
      <c r="B74" s="1008">
        <v>633</v>
      </c>
      <c r="C74" s="1008">
        <v>500</v>
      </c>
      <c r="D74" s="1008">
        <v>586</v>
      </c>
      <c r="E74" s="1008">
        <v>633</v>
      </c>
      <c r="F74"/>
      <c r="G74"/>
    </row>
    <row r="75" spans="1:7">
      <c r="A75" s="59" t="s">
        <v>163</v>
      </c>
      <c r="B75" s="1008">
        <v>680</v>
      </c>
      <c r="C75" s="1008">
        <v>680</v>
      </c>
      <c r="D75" s="1008">
        <v>160</v>
      </c>
      <c r="E75" s="1008">
        <v>680</v>
      </c>
      <c r="F75"/>
      <c r="G75"/>
    </row>
    <row r="76" spans="1:7">
      <c r="A76" s="59" t="s">
        <v>164</v>
      </c>
      <c r="B76" s="1008">
        <v>676</v>
      </c>
      <c r="C76" s="1008">
        <v>676</v>
      </c>
      <c r="D76" s="1008">
        <v>640</v>
      </c>
      <c r="E76" s="1008">
        <v>676</v>
      </c>
      <c r="F76"/>
      <c r="G76"/>
    </row>
    <row r="77" spans="1:7">
      <c r="A77" s="59" t="s">
        <v>247</v>
      </c>
      <c r="B77" s="1008">
        <v>884</v>
      </c>
      <c r="C77" s="1008">
        <v>500</v>
      </c>
      <c r="D77" s="1008">
        <v>884</v>
      </c>
      <c r="E77" s="1008">
        <v>884</v>
      </c>
      <c r="F77"/>
      <c r="G77"/>
    </row>
    <row r="78" spans="1:7">
      <c r="A78" s="59" t="s">
        <v>255</v>
      </c>
      <c r="B78" s="1008">
        <v>100</v>
      </c>
      <c r="C78" s="1008">
        <v>100</v>
      </c>
      <c r="D78" s="1008">
        <v>100</v>
      </c>
      <c r="E78" s="1008">
        <v>100</v>
      </c>
      <c r="F78"/>
      <c r="G78"/>
    </row>
    <row r="79" spans="1:7">
      <c r="A79" s="59" t="s">
        <v>256</v>
      </c>
      <c r="B79" s="1008">
        <v>54</v>
      </c>
      <c r="C79" s="1008">
        <v>54</v>
      </c>
      <c r="D79" s="1008">
        <v>40</v>
      </c>
      <c r="E79" s="1008">
        <v>54</v>
      </c>
      <c r="F79"/>
      <c r="G79"/>
    </row>
    <row r="80" spans="1:7">
      <c r="A80" s="59" t="s">
        <v>200</v>
      </c>
      <c r="B80" s="1008">
        <v>689</v>
      </c>
      <c r="C80" s="1008">
        <v>440</v>
      </c>
      <c r="D80" s="1008">
        <v>420</v>
      </c>
      <c r="E80" s="1008">
        <v>689</v>
      </c>
      <c r="F80"/>
      <c r="G80"/>
    </row>
    <row r="81" spans="1:7">
      <c r="A81" s="59" t="s">
        <v>544</v>
      </c>
      <c r="B81" s="1008">
        <v>127</v>
      </c>
      <c r="C81" s="1008">
        <v>127</v>
      </c>
      <c r="D81" s="1008">
        <v>127</v>
      </c>
      <c r="E81" s="1008">
        <v>127</v>
      </c>
      <c r="F81"/>
      <c r="G81"/>
    </row>
    <row r="82" spans="1:7">
      <c r="A82" s="59" t="s">
        <v>281</v>
      </c>
      <c r="B82" s="1008">
        <v>239</v>
      </c>
      <c r="C82" s="1008">
        <v>239</v>
      </c>
      <c r="D82" s="1008">
        <v>182</v>
      </c>
      <c r="E82" s="1008">
        <v>239</v>
      </c>
      <c r="F82"/>
      <c r="G82"/>
    </row>
    <row r="83" spans="1:7">
      <c r="A83" s="59" t="s">
        <v>282</v>
      </c>
      <c r="B83" s="1008">
        <v>426</v>
      </c>
      <c r="C83" s="1008">
        <v>426</v>
      </c>
      <c r="D83" s="1008">
        <v>126</v>
      </c>
      <c r="E83" s="1008">
        <v>426</v>
      </c>
      <c r="F83"/>
      <c r="G83"/>
    </row>
    <row r="84" spans="1:7">
      <c r="A84" s="59" t="s">
        <v>283</v>
      </c>
      <c r="B84" s="1008">
        <v>1322</v>
      </c>
      <c r="C84" s="1008">
        <v>1322</v>
      </c>
      <c r="D84" s="1008">
        <v>943</v>
      </c>
      <c r="E84" s="1008">
        <v>1322</v>
      </c>
      <c r="F84"/>
      <c r="G84"/>
    </row>
    <row r="85" spans="1:7">
      <c r="A85" s="59" t="s">
        <v>174</v>
      </c>
      <c r="B85" s="1008">
        <v>289</v>
      </c>
      <c r="C85" s="1008">
        <v>289</v>
      </c>
      <c r="D85" s="1008">
        <v>240</v>
      </c>
      <c r="E85" s="1008">
        <v>289</v>
      </c>
      <c r="F85"/>
      <c r="G85"/>
    </row>
    <row r="86" spans="1:7">
      <c r="A86" s="59" t="s">
        <v>288</v>
      </c>
      <c r="B86" s="1008"/>
      <c r="C86" s="1008">
        <v>0</v>
      </c>
      <c r="D86" s="1008">
        <v>0</v>
      </c>
      <c r="E86" s="1008"/>
      <c r="F86"/>
      <c r="G86"/>
    </row>
    <row r="87" spans="1:7">
      <c r="A87" s="59" t="s">
        <v>176</v>
      </c>
      <c r="B87" s="1008">
        <v>159</v>
      </c>
      <c r="C87" s="1008">
        <v>159</v>
      </c>
      <c r="D87" s="1008">
        <v>120</v>
      </c>
      <c r="E87" s="1008">
        <v>159</v>
      </c>
      <c r="F87"/>
      <c r="G87"/>
    </row>
    <row r="88" spans="1:7">
      <c r="A88" s="59" t="s">
        <v>177</v>
      </c>
      <c r="B88" s="1008">
        <v>1736</v>
      </c>
      <c r="C88" s="1008">
        <v>1736</v>
      </c>
      <c r="D88" s="1008">
        <v>1736</v>
      </c>
      <c r="E88" s="1008">
        <v>0</v>
      </c>
      <c r="F88"/>
      <c r="G88"/>
    </row>
    <row r="89" spans="1:7">
      <c r="A89" s="59" t="s">
        <v>269</v>
      </c>
      <c r="B89" s="1008">
        <v>2160</v>
      </c>
      <c r="C89" s="1008">
        <v>1000</v>
      </c>
      <c r="D89" s="1008">
        <v>420</v>
      </c>
      <c r="E89" s="1008">
        <v>1000</v>
      </c>
      <c r="F89"/>
      <c r="G89"/>
    </row>
    <row r="90" spans="1:7">
      <c r="A90" s="59" t="s">
        <v>237</v>
      </c>
      <c r="B90" s="1008">
        <v>1776</v>
      </c>
      <c r="C90" s="1008">
        <v>30</v>
      </c>
      <c r="D90" s="1008">
        <v>1776</v>
      </c>
      <c r="E90" s="1008">
        <v>1776</v>
      </c>
      <c r="F90"/>
      <c r="G90"/>
    </row>
    <row r="91" spans="1:7">
      <c r="A91" s="59" t="s">
        <v>178</v>
      </c>
      <c r="B91" s="1008">
        <v>2500</v>
      </c>
      <c r="C91" s="1008">
        <v>2500</v>
      </c>
      <c r="D91" s="1008">
        <v>2500</v>
      </c>
      <c r="E91" s="1008">
        <v>2500</v>
      </c>
      <c r="F91"/>
      <c r="G91"/>
    </row>
    <row r="92" spans="1:7">
      <c r="A92" s="59" t="s">
        <v>179</v>
      </c>
      <c r="B92" s="1008">
        <v>191</v>
      </c>
      <c r="C92" s="1008">
        <v>191</v>
      </c>
      <c r="D92" s="1008">
        <v>191</v>
      </c>
      <c r="E92" s="1008">
        <v>191</v>
      </c>
      <c r="F92"/>
      <c r="G92"/>
    </row>
    <row r="93" spans="1:7">
      <c r="A93" s="59" t="s">
        <v>183</v>
      </c>
      <c r="B93" s="1008">
        <v>1599</v>
      </c>
      <c r="C93" s="1008">
        <v>1599</v>
      </c>
      <c r="D93" s="1008">
        <v>1599</v>
      </c>
      <c r="E93" s="1008">
        <v>1599</v>
      </c>
      <c r="F93"/>
      <c r="G93"/>
    </row>
    <row r="94" spans="1:7">
      <c r="A94" s="59" t="s">
        <v>39</v>
      </c>
      <c r="B94" s="1008">
        <v>694</v>
      </c>
      <c r="C94" s="1008">
        <v>694</v>
      </c>
      <c r="D94" s="1008">
        <v>694</v>
      </c>
      <c r="E94" s="1008">
        <v>694</v>
      </c>
      <c r="F94"/>
      <c r="G94"/>
    </row>
    <row r="95" spans="1:7">
      <c r="A95" s="59" t="s">
        <v>165</v>
      </c>
      <c r="B95" s="1008">
        <v>290</v>
      </c>
      <c r="C95" s="1008">
        <v>290</v>
      </c>
      <c r="D95" s="1008">
        <v>140</v>
      </c>
      <c r="E95" s="1008">
        <v>290</v>
      </c>
      <c r="F95"/>
      <c r="G95"/>
    </row>
    <row r="96" spans="1:7">
      <c r="A96" s="59" t="s">
        <v>210</v>
      </c>
      <c r="B96" s="1008">
        <v>741</v>
      </c>
      <c r="C96" s="1008">
        <v>500</v>
      </c>
      <c r="D96" s="1008">
        <v>741</v>
      </c>
      <c r="E96" s="1008">
        <v>741</v>
      </c>
      <c r="F96"/>
      <c r="G96"/>
    </row>
    <row r="97" spans="1:7">
      <c r="A97" s="59" t="s">
        <v>287</v>
      </c>
      <c r="B97" s="1008">
        <v>590</v>
      </c>
      <c r="C97" s="1008">
        <v>590</v>
      </c>
      <c r="D97" s="1008">
        <v>563</v>
      </c>
      <c r="E97" s="1008">
        <v>590</v>
      </c>
      <c r="F97"/>
      <c r="G97"/>
    </row>
    <row r="98" spans="1:7">
      <c r="A98" s="59" t="s">
        <v>166</v>
      </c>
      <c r="B98" s="1008">
        <v>547</v>
      </c>
      <c r="C98" s="1008">
        <v>547</v>
      </c>
      <c r="D98" s="1008">
        <v>547</v>
      </c>
      <c r="E98" s="1008">
        <v>547</v>
      </c>
      <c r="F98"/>
      <c r="G98"/>
    </row>
    <row r="99" spans="1:7">
      <c r="A99" s="59" t="s">
        <v>557</v>
      </c>
      <c r="B99" s="1008">
        <v>120</v>
      </c>
      <c r="C99" s="1008">
        <v>30</v>
      </c>
      <c r="D99" s="1008">
        <v>0</v>
      </c>
      <c r="E99" s="1008">
        <v>0</v>
      </c>
      <c r="F99"/>
      <c r="G99"/>
    </row>
    <row r="100" spans="1:7">
      <c r="A100" s="59" t="s">
        <v>554</v>
      </c>
      <c r="B100" s="1008">
        <v>104</v>
      </c>
      <c r="C100" s="1008">
        <v>104</v>
      </c>
      <c r="D100" s="1008">
        <v>80</v>
      </c>
      <c r="E100" s="1008">
        <v>104</v>
      </c>
      <c r="F100"/>
      <c r="G100"/>
    </row>
    <row r="101" spans="1:7">
      <c r="A101" s="59" t="s">
        <v>298</v>
      </c>
      <c r="B101" s="1008">
        <v>655</v>
      </c>
      <c r="C101" s="1008">
        <v>500</v>
      </c>
      <c r="D101" s="1008">
        <v>360</v>
      </c>
      <c r="E101" s="1008">
        <v>500.00000000000006</v>
      </c>
      <c r="F101"/>
      <c r="G101"/>
    </row>
    <row r="102" spans="1:7">
      <c r="A102" s="59" t="s">
        <v>300</v>
      </c>
      <c r="B102" s="1008">
        <v>538</v>
      </c>
      <c r="C102" s="1008">
        <v>50</v>
      </c>
      <c r="D102" s="1008">
        <v>538</v>
      </c>
      <c r="E102" s="1008">
        <v>538</v>
      </c>
      <c r="F102"/>
      <c r="G102"/>
    </row>
    <row r="103" spans="1:7">
      <c r="A103" s="59" t="s">
        <v>301</v>
      </c>
      <c r="B103" s="1008">
        <v>2354</v>
      </c>
      <c r="C103" s="1008">
        <v>500</v>
      </c>
      <c r="D103" s="1008">
        <v>2354</v>
      </c>
      <c r="E103" s="1008">
        <v>500</v>
      </c>
      <c r="F103"/>
      <c r="G103"/>
    </row>
    <row r="104" spans="1:7">
      <c r="A104" s="59" t="s">
        <v>302</v>
      </c>
      <c r="B104" s="1008">
        <v>737</v>
      </c>
      <c r="C104" s="1008">
        <v>30</v>
      </c>
      <c r="D104" s="1008">
        <v>737</v>
      </c>
      <c r="E104" s="1008">
        <v>737</v>
      </c>
      <c r="F104"/>
      <c r="G104"/>
    </row>
    <row r="105" spans="1:7">
      <c r="A105" s="59" t="s">
        <v>548</v>
      </c>
      <c r="B105" s="1008">
        <v>125</v>
      </c>
      <c r="C105" s="1008">
        <v>125</v>
      </c>
      <c r="D105" s="1008">
        <v>125</v>
      </c>
      <c r="E105" s="1008">
        <v>125</v>
      </c>
      <c r="F105"/>
      <c r="G105"/>
    </row>
    <row r="106" spans="1:7">
      <c r="A106" s="59" t="s">
        <v>523</v>
      </c>
      <c r="B106" s="1008">
        <v>157</v>
      </c>
      <c r="C106" s="1008">
        <v>157</v>
      </c>
      <c r="D106" s="1008">
        <v>157</v>
      </c>
      <c r="E106" s="1008">
        <v>157</v>
      </c>
      <c r="F106"/>
      <c r="G106"/>
    </row>
    <row r="107" spans="1:7">
      <c r="A107" s="59" t="s">
        <v>193</v>
      </c>
      <c r="B107" s="1008">
        <v>789</v>
      </c>
      <c r="C107" s="1008">
        <v>789</v>
      </c>
      <c r="D107" s="1008">
        <v>789</v>
      </c>
      <c r="E107" s="1008">
        <v>789</v>
      </c>
      <c r="F107"/>
      <c r="G107"/>
    </row>
    <row r="108" spans="1:7">
      <c r="A108" s="59" t="s">
        <v>263</v>
      </c>
      <c r="B108" s="1008">
        <v>90</v>
      </c>
      <c r="C108" s="1008">
        <v>90</v>
      </c>
      <c r="D108" s="1008">
        <v>80</v>
      </c>
      <c r="E108" s="1008">
        <v>90</v>
      </c>
      <c r="F108"/>
      <c r="G108"/>
    </row>
    <row r="109" spans="1:7">
      <c r="A109" s="59" t="s">
        <v>264</v>
      </c>
      <c r="B109" s="1008">
        <v>166</v>
      </c>
      <c r="C109" s="1008">
        <v>166</v>
      </c>
      <c r="D109" s="1008">
        <v>120</v>
      </c>
      <c r="E109" s="1008">
        <v>166</v>
      </c>
      <c r="F109"/>
      <c r="G109"/>
    </row>
    <row r="110" spans="1:7">
      <c r="A110" s="59" t="s">
        <v>257</v>
      </c>
      <c r="B110" s="1008">
        <v>15</v>
      </c>
      <c r="C110" s="1008">
        <v>15</v>
      </c>
      <c r="D110" s="1008">
        <v>0</v>
      </c>
      <c r="E110" s="1008">
        <v>15</v>
      </c>
      <c r="F110"/>
      <c r="G110"/>
    </row>
    <row r="111" spans="1:7">
      <c r="A111" s="59" t="s">
        <v>213</v>
      </c>
      <c r="B111" s="1008">
        <v>424</v>
      </c>
      <c r="C111" s="1008">
        <v>424</v>
      </c>
      <c r="D111" s="1008">
        <v>424</v>
      </c>
      <c r="E111" s="1008">
        <v>424</v>
      </c>
      <c r="F111"/>
      <c r="G111"/>
    </row>
    <row r="112" spans="1:7">
      <c r="A112" s="59" t="s">
        <v>545</v>
      </c>
      <c r="B112" s="1008">
        <v>176</v>
      </c>
      <c r="C112" s="1008">
        <v>176</v>
      </c>
      <c r="D112" s="1008">
        <v>176</v>
      </c>
      <c r="E112" s="1008">
        <v>176</v>
      </c>
      <c r="F112"/>
      <c r="G112"/>
    </row>
    <row r="113" spans="1:7">
      <c r="A113" s="59" t="s">
        <v>190</v>
      </c>
      <c r="B113" s="1008">
        <v>18</v>
      </c>
      <c r="C113" s="1008">
        <v>18</v>
      </c>
      <c r="D113" s="1008">
        <v>0</v>
      </c>
      <c r="E113" s="1008">
        <v>0</v>
      </c>
      <c r="F113"/>
      <c r="G113"/>
    </row>
    <row r="114" spans="1:7">
      <c r="A114" s="59" t="s">
        <v>527</v>
      </c>
      <c r="B114" s="1008">
        <v>396</v>
      </c>
      <c r="C114" s="1008">
        <v>396</v>
      </c>
      <c r="D114" s="1008">
        <v>396</v>
      </c>
      <c r="E114" s="1008">
        <v>396</v>
      </c>
      <c r="F114"/>
      <c r="G114"/>
    </row>
    <row r="115" spans="1:7">
      <c r="A115" s="59" t="s">
        <v>562</v>
      </c>
      <c r="B115" s="1008">
        <v>323</v>
      </c>
      <c r="C115" s="1008">
        <v>323</v>
      </c>
      <c r="D115" s="1008">
        <v>200</v>
      </c>
      <c r="E115" s="1008">
        <v>323</v>
      </c>
      <c r="F115"/>
      <c r="G115"/>
    </row>
    <row r="116" spans="1:7">
      <c r="A116" s="59" t="s">
        <v>551</v>
      </c>
      <c r="B116" s="1008">
        <v>31</v>
      </c>
      <c r="C116" s="1008">
        <v>31</v>
      </c>
      <c r="D116" s="1008">
        <v>31</v>
      </c>
      <c r="E116" s="1008">
        <v>31</v>
      </c>
      <c r="F116"/>
      <c r="G116"/>
    </row>
    <row r="117" spans="1:7">
      <c r="A117" s="59" t="s">
        <v>517</v>
      </c>
      <c r="B117" s="1008">
        <v>213</v>
      </c>
      <c r="C117" s="1008">
        <v>213</v>
      </c>
      <c r="D117" s="1008">
        <v>213</v>
      </c>
      <c r="E117" s="1008">
        <v>213</v>
      </c>
      <c r="F117"/>
      <c r="G117"/>
    </row>
    <row r="118" spans="1:7">
      <c r="A118" s="59" t="s">
        <v>531</v>
      </c>
      <c r="B118" s="1008">
        <v>250</v>
      </c>
      <c r="C118" s="1008">
        <v>250</v>
      </c>
      <c r="D118" s="1008">
        <v>250</v>
      </c>
      <c r="E118" s="1008">
        <v>250</v>
      </c>
      <c r="F118"/>
      <c r="G118"/>
    </row>
    <row r="119" spans="1:7">
      <c r="A119" s="59" t="s">
        <v>258</v>
      </c>
      <c r="B119" s="1008">
        <v>24</v>
      </c>
      <c r="C119" s="1008">
        <v>24</v>
      </c>
      <c r="D119" s="1008">
        <v>24</v>
      </c>
      <c r="E119" s="1008">
        <v>24</v>
      </c>
      <c r="F119"/>
      <c r="G119"/>
    </row>
    <row r="120" spans="1:7">
      <c r="A120" s="59" t="s">
        <v>535</v>
      </c>
      <c r="B120" s="1008">
        <v>206</v>
      </c>
      <c r="C120" s="1008">
        <v>206</v>
      </c>
      <c r="D120" s="1008">
        <v>200</v>
      </c>
      <c r="E120" s="1008">
        <v>206</v>
      </c>
      <c r="F120"/>
      <c r="G120"/>
    </row>
    <row r="121" spans="1:7">
      <c r="A121" s="59" t="s">
        <v>547</v>
      </c>
      <c r="B121" s="1008">
        <v>141</v>
      </c>
      <c r="C121" s="1008">
        <v>141</v>
      </c>
      <c r="D121" s="1008">
        <v>141</v>
      </c>
      <c r="E121" s="1008">
        <v>66.666666666666671</v>
      </c>
      <c r="F121"/>
      <c r="G121"/>
    </row>
    <row r="122" spans="1:7">
      <c r="A122" s="59" t="s">
        <v>234</v>
      </c>
      <c r="B122" s="1008">
        <v>309</v>
      </c>
      <c r="C122" s="1008">
        <v>309</v>
      </c>
      <c r="D122" s="1008">
        <v>309</v>
      </c>
      <c r="E122" s="1008">
        <v>309</v>
      </c>
      <c r="F122"/>
      <c r="G122"/>
    </row>
    <row r="123" spans="1:7">
      <c r="A123" s="59" t="s">
        <v>231</v>
      </c>
      <c r="B123" s="1008">
        <v>218</v>
      </c>
      <c r="C123" s="1008">
        <v>218</v>
      </c>
      <c r="D123" s="1008">
        <v>218</v>
      </c>
      <c r="E123" s="1008">
        <v>218</v>
      </c>
      <c r="F123"/>
      <c r="G123"/>
    </row>
    <row r="124" spans="1:7">
      <c r="A124" s="59" t="s">
        <v>155</v>
      </c>
      <c r="B124" s="1008">
        <v>41</v>
      </c>
      <c r="C124" s="1008">
        <v>41</v>
      </c>
      <c r="D124" s="1008">
        <v>41</v>
      </c>
      <c r="E124" s="1008">
        <v>41</v>
      </c>
      <c r="F124"/>
      <c r="G124"/>
    </row>
    <row r="125" spans="1:7">
      <c r="A125" s="59" t="s">
        <v>270</v>
      </c>
      <c r="B125" s="1008">
        <v>85</v>
      </c>
      <c r="C125" s="1008">
        <v>85</v>
      </c>
      <c r="D125" s="1008">
        <v>80</v>
      </c>
      <c r="E125" s="1008">
        <v>85</v>
      </c>
      <c r="F125"/>
      <c r="G125"/>
    </row>
    <row r="126" spans="1:7">
      <c r="A126" s="59" t="s">
        <v>158</v>
      </c>
      <c r="B126" s="1008">
        <v>113</v>
      </c>
      <c r="C126" s="1008">
        <v>113</v>
      </c>
      <c r="D126" s="1008">
        <v>100</v>
      </c>
      <c r="E126" s="1008">
        <v>113</v>
      </c>
      <c r="F126"/>
      <c r="G126"/>
    </row>
    <row r="127" spans="1:7">
      <c r="A127" s="59" t="s">
        <v>185</v>
      </c>
      <c r="B127" s="1008">
        <v>547</v>
      </c>
      <c r="C127" s="1008">
        <v>547</v>
      </c>
      <c r="D127" s="1008">
        <v>547</v>
      </c>
      <c r="E127" s="1008">
        <v>0</v>
      </c>
      <c r="F127"/>
      <c r="G127"/>
    </row>
    <row r="128" spans="1:7">
      <c r="A128" s="59" t="s">
        <v>542</v>
      </c>
      <c r="B128" s="1008">
        <v>664</v>
      </c>
      <c r="C128" s="1008">
        <v>500</v>
      </c>
      <c r="D128" s="1008">
        <v>525</v>
      </c>
      <c r="E128" s="1008">
        <v>533.33333333333337</v>
      </c>
      <c r="F128"/>
      <c r="G128"/>
    </row>
    <row r="129" spans="1:7">
      <c r="A129" s="59" t="s">
        <v>295</v>
      </c>
      <c r="B129" s="1008">
        <v>1675</v>
      </c>
      <c r="C129" s="1008">
        <v>1675</v>
      </c>
      <c r="D129" s="1008">
        <v>1675</v>
      </c>
      <c r="E129" s="1008">
        <v>1500</v>
      </c>
      <c r="F129"/>
      <c r="G129"/>
    </row>
    <row r="130" spans="1:7">
      <c r="A130" s="59" t="s">
        <v>167</v>
      </c>
      <c r="B130" s="1008">
        <v>299</v>
      </c>
      <c r="C130" s="1008">
        <v>299</v>
      </c>
      <c r="D130" s="1008">
        <v>299</v>
      </c>
      <c r="E130" s="1008">
        <v>299</v>
      </c>
      <c r="F130"/>
      <c r="G130"/>
    </row>
    <row r="131" spans="1:7">
      <c r="A131" s="59" t="s">
        <v>284</v>
      </c>
      <c r="B131" s="1008">
        <v>299</v>
      </c>
      <c r="C131" s="1008">
        <v>299</v>
      </c>
      <c r="D131" s="1008">
        <v>263</v>
      </c>
      <c r="E131" s="1008">
        <v>299</v>
      </c>
      <c r="F131"/>
      <c r="G131"/>
    </row>
    <row r="132" spans="1:7">
      <c r="A132" s="59" t="s">
        <v>235</v>
      </c>
      <c r="B132" s="1008">
        <v>895</v>
      </c>
      <c r="C132" s="1008">
        <v>895</v>
      </c>
      <c r="D132" s="1008">
        <v>680</v>
      </c>
      <c r="E132" s="1008">
        <v>895</v>
      </c>
      <c r="F132"/>
      <c r="G132"/>
    </row>
    <row r="133" spans="1:7">
      <c r="A133" s="59" t="s">
        <v>296</v>
      </c>
      <c r="B133" s="1008">
        <v>2975</v>
      </c>
      <c r="C133" s="1008">
        <v>2975</v>
      </c>
      <c r="D133" s="1008">
        <v>2975</v>
      </c>
      <c r="E133" s="1008">
        <v>250.00000000000003</v>
      </c>
      <c r="F133"/>
      <c r="G133"/>
    </row>
    <row r="134" spans="1:7">
      <c r="A134" s="59" t="s">
        <v>180</v>
      </c>
      <c r="B134" s="1008">
        <v>852</v>
      </c>
      <c r="C134" s="1008">
        <v>852</v>
      </c>
      <c r="D134" s="1008">
        <v>750</v>
      </c>
      <c r="E134" s="1008">
        <v>0</v>
      </c>
      <c r="F134"/>
      <c r="G134"/>
    </row>
    <row r="135" spans="1:7">
      <c r="A135" s="59" t="s">
        <v>561</v>
      </c>
      <c r="B135" s="1008">
        <v>221</v>
      </c>
      <c r="C135" s="1008">
        <v>221</v>
      </c>
      <c r="D135" s="1008">
        <v>221</v>
      </c>
      <c r="E135" s="1008">
        <v>221</v>
      </c>
      <c r="F135"/>
      <c r="G135"/>
    </row>
    <row r="136" spans="1:7">
      <c r="A136" s="59" t="s">
        <v>537</v>
      </c>
      <c r="B136" s="1008">
        <v>91</v>
      </c>
      <c r="C136" s="1008">
        <v>91</v>
      </c>
      <c r="D136" s="1008">
        <v>91</v>
      </c>
      <c r="E136" s="1008">
        <v>91</v>
      </c>
      <c r="F136"/>
      <c r="G136"/>
    </row>
    <row r="137" spans="1:7">
      <c r="A137" s="59" t="s">
        <v>279</v>
      </c>
      <c r="B137" s="1008">
        <v>334</v>
      </c>
      <c r="C137" s="1008">
        <v>334</v>
      </c>
      <c r="D137" s="1008">
        <v>334</v>
      </c>
      <c r="E137" s="1008">
        <v>334</v>
      </c>
      <c r="F137"/>
      <c r="G137"/>
    </row>
    <row r="138" spans="1:7">
      <c r="A138" s="59" t="s">
        <v>271</v>
      </c>
      <c r="B138" s="1008">
        <v>506</v>
      </c>
      <c r="C138" s="1008">
        <v>506</v>
      </c>
      <c r="D138" s="1008">
        <v>420</v>
      </c>
      <c r="E138" s="1008">
        <v>506</v>
      </c>
      <c r="F138"/>
      <c r="G138"/>
    </row>
    <row r="139" spans="1:7">
      <c r="A139" s="59" t="s">
        <v>181</v>
      </c>
      <c r="B139" s="1008">
        <v>307</v>
      </c>
      <c r="C139" s="1008">
        <v>307</v>
      </c>
      <c r="D139" s="1008">
        <v>280</v>
      </c>
      <c r="E139" s="1008">
        <v>307</v>
      </c>
      <c r="F139"/>
      <c r="G139"/>
    </row>
    <row r="140" spans="1:7">
      <c r="A140" s="59" t="s">
        <v>259</v>
      </c>
      <c r="B140" s="1008">
        <v>70</v>
      </c>
      <c r="C140" s="1008">
        <v>70</v>
      </c>
      <c r="D140" s="1008">
        <v>40</v>
      </c>
      <c r="E140" s="1008">
        <v>70</v>
      </c>
      <c r="F140"/>
      <c r="G140"/>
    </row>
    <row r="141" spans="1:7">
      <c r="A141" s="59" t="s">
        <v>280</v>
      </c>
      <c r="B141" s="1008">
        <v>3860</v>
      </c>
      <c r="C141" s="1008">
        <v>3000</v>
      </c>
      <c r="D141" s="1008">
        <v>3003</v>
      </c>
      <c r="E141" s="1008">
        <v>3860</v>
      </c>
      <c r="F141"/>
      <c r="G141"/>
    </row>
    <row r="142" spans="1:7">
      <c r="A142" s="59" t="s">
        <v>187</v>
      </c>
      <c r="B142" s="1008">
        <v>325</v>
      </c>
      <c r="C142" s="1008">
        <v>325</v>
      </c>
      <c r="D142" s="1008">
        <v>325</v>
      </c>
      <c r="E142" s="1008">
        <v>0</v>
      </c>
      <c r="F142"/>
      <c r="G142"/>
    </row>
    <row r="143" spans="1:7">
      <c r="A143" s="59" t="s">
        <v>156</v>
      </c>
      <c r="B143" s="1008">
        <v>136</v>
      </c>
      <c r="C143" s="1008">
        <v>136</v>
      </c>
      <c r="D143" s="1008">
        <v>136</v>
      </c>
      <c r="E143" s="1008">
        <v>136</v>
      </c>
      <c r="F143"/>
      <c r="G143"/>
    </row>
    <row r="144" spans="1:7">
      <c r="A144" s="59" t="s">
        <v>286</v>
      </c>
      <c r="B144" s="1008">
        <v>255</v>
      </c>
      <c r="C144" s="1008">
        <v>255</v>
      </c>
      <c r="D144" s="1008">
        <v>255</v>
      </c>
      <c r="E144" s="1008">
        <v>255</v>
      </c>
      <c r="F144"/>
      <c r="G144"/>
    </row>
    <row r="145" spans="1:7">
      <c r="A145" s="59" t="s">
        <v>143</v>
      </c>
      <c r="B145" s="1008">
        <v>1532</v>
      </c>
      <c r="C145" s="1008">
        <v>1532</v>
      </c>
      <c r="D145" s="1008">
        <v>1532</v>
      </c>
      <c r="E145" s="1008">
        <v>0</v>
      </c>
      <c r="F145"/>
      <c r="G145"/>
    </row>
    <row r="146" spans="1:7">
      <c r="A146" s="59" t="s">
        <v>188</v>
      </c>
      <c r="B146" s="1008">
        <v>103</v>
      </c>
      <c r="C146" s="1008">
        <v>103</v>
      </c>
      <c r="D146" s="1008">
        <v>103</v>
      </c>
      <c r="E146" s="1008">
        <v>103</v>
      </c>
      <c r="F146"/>
      <c r="G146"/>
    </row>
    <row r="147" spans="1:7">
      <c r="A147" s="59" t="s">
        <v>168</v>
      </c>
      <c r="B147" s="1008">
        <v>583</v>
      </c>
      <c r="C147" s="1008">
        <v>583</v>
      </c>
      <c r="D147" s="1008">
        <v>260</v>
      </c>
      <c r="E147" s="1008">
        <v>583</v>
      </c>
      <c r="F147"/>
      <c r="G147"/>
    </row>
    <row r="148" spans="1:7">
      <c r="A148" s="59" t="s">
        <v>265</v>
      </c>
      <c r="B148" s="1008">
        <v>119</v>
      </c>
      <c r="C148" s="1008">
        <v>119</v>
      </c>
      <c r="D148" s="1008">
        <v>119</v>
      </c>
      <c r="E148" s="1008">
        <v>119</v>
      </c>
      <c r="F148"/>
      <c r="G148"/>
    </row>
    <row r="149" spans="1:7">
      <c r="A149" s="59" t="s">
        <v>182</v>
      </c>
      <c r="B149" s="1008">
        <v>958</v>
      </c>
      <c r="C149" s="1008">
        <v>958</v>
      </c>
      <c r="D149" s="1008">
        <v>958</v>
      </c>
      <c r="E149" s="1008">
        <v>0</v>
      </c>
      <c r="F149"/>
      <c r="G149"/>
    </row>
    <row r="150" spans="1:7">
      <c r="A150" s="59" t="s">
        <v>215</v>
      </c>
      <c r="B150" s="1008">
        <v>300</v>
      </c>
      <c r="C150" s="1008">
        <v>300</v>
      </c>
      <c r="D150" s="1008">
        <v>264</v>
      </c>
      <c r="E150" s="1008">
        <v>300</v>
      </c>
      <c r="F150"/>
      <c r="G150"/>
    </row>
    <row r="151" spans="1:7">
      <c r="A151" s="59" t="s">
        <v>216</v>
      </c>
      <c r="B151" s="1008">
        <v>182</v>
      </c>
      <c r="C151" s="1008">
        <v>182</v>
      </c>
      <c r="D151" s="1008">
        <v>180</v>
      </c>
      <c r="E151" s="1008">
        <v>182</v>
      </c>
      <c r="F151"/>
      <c r="G151"/>
    </row>
    <row r="152" spans="1:7">
      <c r="A152" s="59" t="s">
        <v>169</v>
      </c>
      <c r="B152" s="1008">
        <v>499</v>
      </c>
      <c r="C152" s="1008">
        <v>499</v>
      </c>
      <c r="D152" s="1008">
        <v>340</v>
      </c>
      <c r="E152" s="1008">
        <v>499</v>
      </c>
      <c r="F152"/>
      <c r="G152"/>
    </row>
    <row r="153" spans="1:7">
      <c r="A153" s="59" t="s">
        <v>239</v>
      </c>
      <c r="B153" s="1008">
        <v>68</v>
      </c>
      <c r="C153" s="1008">
        <v>68</v>
      </c>
      <c r="D153" s="1008">
        <v>68</v>
      </c>
      <c r="E153" s="1008">
        <v>68</v>
      </c>
      <c r="F153"/>
      <c r="G153"/>
    </row>
    <row r="154" spans="1:7">
      <c r="A154" s="59" t="s">
        <v>865</v>
      </c>
      <c r="B154" s="1008">
        <v>153</v>
      </c>
      <c r="C154" s="1008">
        <v>153</v>
      </c>
      <c r="D154" s="1008">
        <v>0</v>
      </c>
      <c r="E154" s="1008">
        <v>153</v>
      </c>
      <c r="F154"/>
      <c r="G154"/>
    </row>
    <row r="155" spans="1:7">
      <c r="A155" s="59" t="s">
        <v>170</v>
      </c>
      <c r="B155" s="1008">
        <v>351</v>
      </c>
      <c r="C155" s="1008">
        <v>351</v>
      </c>
      <c r="D155" s="1008">
        <v>220</v>
      </c>
      <c r="E155" s="1008">
        <v>351</v>
      </c>
      <c r="F155"/>
      <c r="G155"/>
    </row>
    <row r="156" spans="1:7">
      <c r="A156" s="59" t="s">
        <v>266</v>
      </c>
      <c r="B156" s="1008">
        <v>262</v>
      </c>
      <c r="C156" s="1008">
        <v>262</v>
      </c>
      <c r="D156" s="1008">
        <v>262</v>
      </c>
      <c r="E156" s="1008">
        <v>262</v>
      </c>
      <c r="F156"/>
      <c r="G156"/>
    </row>
    <row r="157" spans="1:7">
      <c r="A157" s="59" t="s">
        <v>171</v>
      </c>
      <c r="B157" s="1008">
        <v>165</v>
      </c>
      <c r="C157" s="1008">
        <v>165</v>
      </c>
      <c r="D157" s="1008">
        <v>100</v>
      </c>
      <c r="E157" s="1008">
        <v>165</v>
      </c>
      <c r="F157"/>
      <c r="G157"/>
    </row>
    <row r="158" spans="1:7">
      <c r="A158" s="59" t="s">
        <v>172</v>
      </c>
      <c r="B158" s="1008">
        <v>219</v>
      </c>
      <c r="C158" s="1008">
        <v>219</v>
      </c>
      <c r="D158" s="1008">
        <v>219</v>
      </c>
      <c r="E158" s="1008">
        <v>219</v>
      </c>
      <c r="F158"/>
      <c r="G158"/>
    </row>
    <row r="159" spans="1:7">
      <c r="A159" s="59" t="s">
        <v>274</v>
      </c>
      <c r="B159" s="1008">
        <v>192</v>
      </c>
      <c r="C159" s="1008">
        <v>192</v>
      </c>
      <c r="D159" s="1008">
        <v>120</v>
      </c>
      <c r="E159" s="1008">
        <v>192</v>
      </c>
      <c r="F159"/>
      <c r="G159"/>
    </row>
    <row r="160" spans="1:7">
      <c r="A160" s="59" t="s">
        <v>563</v>
      </c>
      <c r="B160" s="1008">
        <v>195</v>
      </c>
      <c r="C160" s="1008">
        <v>195</v>
      </c>
      <c r="D160" s="1008">
        <v>195</v>
      </c>
      <c r="E160" s="1008">
        <v>195</v>
      </c>
      <c r="F160"/>
      <c r="G160"/>
    </row>
    <row r="161" spans="1:7">
      <c r="A161" s="59" t="s">
        <v>275</v>
      </c>
      <c r="B161" s="1008">
        <v>293</v>
      </c>
      <c r="C161" s="1008">
        <v>293</v>
      </c>
      <c r="D161" s="1008">
        <v>180</v>
      </c>
      <c r="E161" s="1008">
        <v>293</v>
      </c>
      <c r="F161"/>
      <c r="G161"/>
    </row>
    <row r="162" spans="1:7">
      <c r="A162" s="59" t="s">
        <v>261</v>
      </c>
      <c r="B162" s="1008">
        <v>133</v>
      </c>
      <c r="C162" s="1008">
        <v>133</v>
      </c>
      <c r="D162" s="1008">
        <v>133</v>
      </c>
      <c r="E162" s="1008">
        <v>133</v>
      </c>
      <c r="F162"/>
      <c r="G162"/>
    </row>
    <row r="163" spans="1:7">
      <c r="A163" s="59" t="s">
        <v>221</v>
      </c>
      <c r="B163" s="1008">
        <v>6861</v>
      </c>
      <c r="C163" s="1008">
        <v>1500</v>
      </c>
      <c r="D163" s="1008">
        <v>4920</v>
      </c>
      <c r="E163" s="1008">
        <v>422.42222222222222</v>
      </c>
      <c r="F163"/>
      <c r="G163"/>
    </row>
    <row r="164" spans="1:7">
      <c r="A164" s="59" t="s">
        <v>223</v>
      </c>
      <c r="B164" s="1008">
        <v>709</v>
      </c>
      <c r="C164" s="1008">
        <v>455</v>
      </c>
      <c r="D164" s="1008">
        <v>0</v>
      </c>
      <c r="E164" s="1008">
        <v>0</v>
      </c>
      <c r="F164"/>
      <c r="G164"/>
    </row>
    <row r="165" spans="1:7">
      <c r="A165" s="59" t="s">
        <v>222</v>
      </c>
      <c r="B165" s="1008">
        <v>2550</v>
      </c>
      <c r="C165" s="1008">
        <v>520</v>
      </c>
      <c r="D165" s="1008">
        <v>0</v>
      </c>
      <c r="E165" s="1008">
        <v>0</v>
      </c>
      <c r="F165"/>
      <c r="G165"/>
    </row>
    <row r="166" spans="1:7">
      <c r="A166" s="59" t="s">
        <v>262</v>
      </c>
      <c r="B166" s="1008">
        <v>66</v>
      </c>
      <c r="C166" s="1008">
        <v>66</v>
      </c>
      <c r="D166" s="1008">
        <v>66</v>
      </c>
      <c r="E166" s="1008">
        <v>66</v>
      </c>
      <c r="F166"/>
      <c r="G166"/>
    </row>
    <row r="167" spans="1:7">
      <c r="A167" s="59" t="s">
        <v>538</v>
      </c>
      <c r="B167" s="1008">
        <v>1101</v>
      </c>
      <c r="C167" s="1008">
        <v>620</v>
      </c>
      <c r="D167" s="1008">
        <v>1025</v>
      </c>
      <c r="E167" s="1008">
        <v>1101</v>
      </c>
      <c r="F167"/>
      <c r="G167"/>
    </row>
    <row r="168" spans="1:7">
      <c r="A168" s="59" t="s">
        <v>1546</v>
      </c>
      <c r="B168" s="1008">
        <v>32</v>
      </c>
      <c r="C168" s="1008">
        <v>32</v>
      </c>
      <c r="D168" s="1008">
        <v>0</v>
      </c>
      <c r="E168" s="1008">
        <v>0</v>
      </c>
      <c r="F168"/>
      <c r="G168"/>
    </row>
    <row r="169" spans="1:7">
      <c r="A169" s="59" t="s">
        <v>778</v>
      </c>
      <c r="B169" s="1008">
        <v>247</v>
      </c>
      <c r="C169" s="1008">
        <v>205</v>
      </c>
      <c r="D169" s="1008">
        <v>0</v>
      </c>
      <c r="E169" s="1008">
        <v>0</v>
      </c>
      <c r="F169"/>
      <c r="G169"/>
    </row>
    <row r="170" spans="1:7">
      <c r="A170" s="59" t="s">
        <v>1561</v>
      </c>
      <c r="B170" s="1008">
        <v>242</v>
      </c>
      <c r="C170" s="1008">
        <v>242</v>
      </c>
      <c r="D170" s="1008">
        <v>242</v>
      </c>
      <c r="E170" s="1008">
        <v>242</v>
      </c>
      <c r="F170"/>
      <c r="G170"/>
    </row>
    <row r="171" spans="1:7">
      <c r="A171" s="59" t="s">
        <v>1563</v>
      </c>
      <c r="B171" s="1008">
        <v>52</v>
      </c>
      <c r="C171" s="1008">
        <v>52</v>
      </c>
      <c r="D171" s="1008">
        <v>52</v>
      </c>
      <c r="E171" s="1008">
        <v>52</v>
      </c>
      <c r="F171"/>
      <c r="G171"/>
    </row>
    <row r="172" spans="1:7">
      <c r="A172" s="59" t="s">
        <v>828</v>
      </c>
      <c r="B172" s="1008">
        <v>43</v>
      </c>
      <c r="C172" s="1008">
        <v>43</v>
      </c>
      <c r="D172" s="1008">
        <v>43</v>
      </c>
      <c r="E172" s="1008">
        <v>43</v>
      </c>
    </row>
    <row r="173" spans="1:7">
      <c r="A173" s="59" t="s">
        <v>1590</v>
      </c>
      <c r="B173" s="1008">
        <v>1397</v>
      </c>
      <c r="C173" s="1008">
        <v>205</v>
      </c>
      <c r="D173" s="1008">
        <v>100</v>
      </c>
      <c r="E173" s="1008">
        <v>1397</v>
      </c>
    </row>
    <row r="174" spans="1:7">
      <c r="A174" s="59" t="s">
        <v>1591</v>
      </c>
      <c r="B174" s="1008">
        <v>467</v>
      </c>
      <c r="C174" s="1008">
        <v>205</v>
      </c>
      <c r="D174" s="1008">
        <v>300</v>
      </c>
      <c r="E174" s="1008">
        <v>400</v>
      </c>
    </row>
    <row r="175" spans="1:7">
      <c r="A175" s="59" t="s">
        <v>1613</v>
      </c>
      <c r="B175" s="1008">
        <v>78</v>
      </c>
      <c r="C175" s="1008">
        <v>78</v>
      </c>
      <c r="D175" s="1008">
        <v>40</v>
      </c>
      <c r="E175" s="1008">
        <v>78</v>
      </c>
    </row>
    <row r="176" spans="1:7">
      <c r="A176" s="59" t="s">
        <v>1615</v>
      </c>
      <c r="B176" s="1008">
        <v>468</v>
      </c>
      <c r="C176" s="1008">
        <v>468</v>
      </c>
      <c r="D176" s="1008">
        <v>0</v>
      </c>
      <c r="E176" s="1008">
        <v>0</v>
      </c>
    </row>
    <row r="177" spans="1:5">
      <c r="A177" s="59" t="s">
        <v>1618</v>
      </c>
      <c r="B177" s="1008">
        <v>158</v>
      </c>
      <c r="C177" s="1008">
        <v>158</v>
      </c>
      <c r="D177" s="1008">
        <v>158</v>
      </c>
      <c r="E177" s="1008">
        <v>158</v>
      </c>
    </row>
    <row r="178" spans="1:5">
      <c r="A178" s="59" t="s">
        <v>1616</v>
      </c>
      <c r="B178" s="1008">
        <v>502</v>
      </c>
      <c r="C178" s="1008">
        <v>500</v>
      </c>
      <c r="D178" s="1008">
        <v>502</v>
      </c>
      <c r="E178" s="1008">
        <v>502</v>
      </c>
    </row>
    <row r="179" spans="1:5">
      <c r="A179" s="59" t="s">
        <v>1617</v>
      </c>
      <c r="B179" s="1008">
        <v>251</v>
      </c>
      <c r="C179" s="1008">
        <v>251</v>
      </c>
      <c r="D179" s="1008">
        <v>251</v>
      </c>
      <c r="E179" s="1008">
        <v>251</v>
      </c>
    </row>
    <row r="180" spans="1:5">
      <c r="A180" s="59" t="s">
        <v>1612</v>
      </c>
      <c r="B180" s="1008">
        <v>474</v>
      </c>
      <c r="C180" s="1008">
        <v>474</v>
      </c>
      <c r="D180" s="1008">
        <v>260</v>
      </c>
      <c r="E180" s="1008">
        <v>400</v>
      </c>
    </row>
    <row r="181" spans="1:5">
      <c r="A181" s="59" t="s">
        <v>1614</v>
      </c>
      <c r="B181" s="1008">
        <v>866</v>
      </c>
      <c r="C181" s="1008">
        <v>866</v>
      </c>
      <c r="D181" s="1008">
        <v>560</v>
      </c>
      <c r="E181" s="1008">
        <v>866</v>
      </c>
    </row>
    <row r="182" spans="1:5">
      <c r="A182" s="59" t="s">
        <v>1604</v>
      </c>
      <c r="B182" s="1008">
        <v>612</v>
      </c>
      <c r="C182" s="1008">
        <v>612</v>
      </c>
      <c r="D182" s="1008">
        <v>320</v>
      </c>
      <c r="E182" s="1008">
        <v>612</v>
      </c>
    </row>
    <row r="183" spans="1:5">
      <c r="A183" s="59" t="s">
        <v>1611</v>
      </c>
      <c r="B183" s="1008">
        <v>351</v>
      </c>
      <c r="C183" s="1008">
        <v>351</v>
      </c>
      <c r="D183" s="1008">
        <v>160</v>
      </c>
      <c r="E183" s="1008">
        <v>351</v>
      </c>
    </row>
    <row r="184" spans="1:5">
      <c r="A184" s="59" t="s">
        <v>1605</v>
      </c>
      <c r="B184" s="1008">
        <v>1365</v>
      </c>
      <c r="C184" s="1008">
        <v>50</v>
      </c>
      <c r="D184" s="1008">
        <v>1340</v>
      </c>
      <c r="E184" s="1008">
        <v>1365</v>
      </c>
    </row>
    <row r="185" spans="1:5">
      <c r="A185" s="59" t="s">
        <v>1717</v>
      </c>
      <c r="B185" s="1008">
        <v>622</v>
      </c>
      <c r="C185" s="1008">
        <v>455</v>
      </c>
      <c r="D185" s="1008">
        <v>0</v>
      </c>
      <c r="E185" s="1008">
        <v>622</v>
      </c>
    </row>
    <row r="186" spans="1:5">
      <c r="A186" s="59" t="s">
        <v>1720</v>
      </c>
      <c r="B186" s="1008">
        <v>439</v>
      </c>
      <c r="C186" s="1008">
        <v>439</v>
      </c>
      <c r="D186" s="1008">
        <v>439</v>
      </c>
      <c r="E186" s="1008">
        <v>439</v>
      </c>
    </row>
    <row r="187" spans="1:5">
      <c r="A187" s="59" t="s">
        <v>1726</v>
      </c>
      <c r="B187" s="1008">
        <v>130</v>
      </c>
      <c r="C187" s="1008">
        <v>130</v>
      </c>
      <c r="D187" s="1008">
        <v>130</v>
      </c>
      <c r="E187" s="1008">
        <v>130</v>
      </c>
    </row>
    <row r="188" spans="1:5">
      <c r="A188" s="59" t="s">
        <v>2114</v>
      </c>
      <c r="B188" s="1008">
        <v>171</v>
      </c>
      <c r="C188" s="1008">
        <v>30</v>
      </c>
      <c r="D188" s="1008">
        <v>0</v>
      </c>
      <c r="E188" s="1008">
        <v>0</v>
      </c>
    </row>
    <row r="189" spans="1:5">
      <c r="A189" s="59" t="s">
        <v>2160</v>
      </c>
      <c r="B189" s="1008">
        <v>16</v>
      </c>
      <c r="C189" s="1008">
        <v>16</v>
      </c>
      <c r="D189" s="1008">
        <v>16</v>
      </c>
      <c r="E189" s="1008">
        <v>16</v>
      </c>
    </row>
    <row r="190" spans="1:5">
      <c r="A190" s="59" t="s">
        <v>2159</v>
      </c>
      <c r="B190" s="1008">
        <v>103</v>
      </c>
      <c r="C190" s="1008">
        <v>103</v>
      </c>
      <c r="D190" s="1008">
        <v>103</v>
      </c>
      <c r="E190" s="1008">
        <v>103</v>
      </c>
    </row>
    <row r="191" spans="1:5">
      <c r="A191" s="59" t="s">
        <v>2203</v>
      </c>
      <c r="B191" s="1008"/>
      <c r="C191" s="1008">
        <v>0</v>
      </c>
      <c r="D191" s="1008">
        <v>0</v>
      </c>
      <c r="E191" s="1008"/>
    </row>
    <row r="192" spans="1:5">
      <c r="A192" s="59" t="s">
        <v>2202</v>
      </c>
      <c r="B192" s="1008"/>
      <c r="C192" s="1008">
        <v>0</v>
      </c>
      <c r="D192" s="1008">
        <v>0</v>
      </c>
      <c r="E192" s="1008"/>
    </row>
    <row r="193" spans="1:5">
      <c r="A193" s="59" t="s">
        <v>2205</v>
      </c>
      <c r="B193" s="1008">
        <v>143</v>
      </c>
      <c r="C193" s="1008">
        <v>143</v>
      </c>
      <c r="D193" s="1008">
        <v>120</v>
      </c>
      <c r="E193" s="1008">
        <v>143</v>
      </c>
    </row>
    <row r="194" spans="1:5">
      <c r="A194" s="59" t="s">
        <v>2233</v>
      </c>
      <c r="B194" s="1008">
        <v>267</v>
      </c>
      <c r="C194" s="1008">
        <v>267</v>
      </c>
      <c r="D194" s="1008">
        <v>144</v>
      </c>
      <c r="E194" s="1008">
        <v>267</v>
      </c>
    </row>
    <row r="195" spans="1:5">
      <c r="A195" s="59" t="s">
        <v>2235</v>
      </c>
      <c r="B195" s="1008">
        <v>147</v>
      </c>
      <c r="C195" s="1008">
        <v>30</v>
      </c>
      <c r="D195" s="1008">
        <v>0</v>
      </c>
      <c r="E195" s="1008">
        <v>0</v>
      </c>
    </row>
    <row r="196" spans="1:5">
      <c r="A196" s="59" t="s">
        <v>2624</v>
      </c>
      <c r="B196" s="1008">
        <v>36</v>
      </c>
      <c r="C196" s="1008">
        <v>36</v>
      </c>
      <c r="D196" s="1008">
        <v>36</v>
      </c>
      <c r="E196" s="1008">
        <v>36</v>
      </c>
    </row>
    <row r="197" spans="1:5">
      <c r="A197" s="59" t="s">
        <v>2602</v>
      </c>
      <c r="B197" s="1008">
        <v>1674</v>
      </c>
      <c r="C197" s="1008">
        <v>440</v>
      </c>
      <c r="D197" s="1008">
        <v>280</v>
      </c>
      <c r="E197" s="1008">
        <v>1600</v>
      </c>
    </row>
    <row r="198" spans="1:5">
      <c r="A198" s="59" t="s">
        <v>2603</v>
      </c>
      <c r="B198" s="1008">
        <v>3469</v>
      </c>
      <c r="C198" s="1008">
        <v>50</v>
      </c>
      <c r="D198" s="1008">
        <v>3469</v>
      </c>
      <c r="E198" s="1008">
        <v>0</v>
      </c>
    </row>
    <row r="199" spans="1:5">
      <c r="A199" s="59" t="s">
        <v>2693</v>
      </c>
      <c r="B199" s="1008">
        <v>586</v>
      </c>
      <c r="C199" s="1008">
        <v>586</v>
      </c>
      <c r="D199" s="1008">
        <v>265</v>
      </c>
      <c r="E199" s="1008">
        <v>0</v>
      </c>
    </row>
    <row r="200" spans="1:5">
      <c r="A200" s="59" t="s">
        <v>2694</v>
      </c>
      <c r="B200" s="1008">
        <v>91</v>
      </c>
      <c r="C200" s="1008">
        <v>91</v>
      </c>
      <c r="D200" s="1008">
        <v>0</v>
      </c>
      <c r="E200" s="1008">
        <v>0</v>
      </c>
    </row>
    <row r="201" spans="1:5">
      <c r="A201" s="59" t="s">
        <v>2695</v>
      </c>
      <c r="B201" s="1008">
        <v>29</v>
      </c>
      <c r="C201" s="1008">
        <v>29</v>
      </c>
      <c r="D201" s="1008">
        <v>0</v>
      </c>
      <c r="E201" s="1008">
        <v>0</v>
      </c>
    </row>
    <row r="202" spans="1:5">
      <c r="A202" s="59" t="s">
        <v>2696</v>
      </c>
      <c r="B202" s="1008">
        <v>504</v>
      </c>
      <c r="C202" s="1008">
        <v>504</v>
      </c>
      <c r="D202" s="1008">
        <v>0</v>
      </c>
      <c r="E202" s="1008">
        <v>0</v>
      </c>
    </row>
    <row r="203" spans="1:5">
      <c r="A203" s="59" t="s">
        <v>2773</v>
      </c>
      <c r="B203" s="1008">
        <v>168</v>
      </c>
      <c r="C203" s="1008">
        <v>168</v>
      </c>
      <c r="D203" s="1008">
        <v>0</v>
      </c>
      <c r="E203" s="1008">
        <v>0</v>
      </c>
    </row>
    <row r="204" spans="1:5">
      <c r="A204" s="59" t="s">
        <v>2774</v>
      </c>
      <c r="B204" s="1008">
        <v>80</v>
      </c>
      <c r="C204" s="1008">
        <v>80</v>
      </c>
      <c r="D204" s="1008">
        <v>0</v>
      </c>
      <c r="E204" s="1008">
        <v>0</v>
      </c>
    </row>
    <row r="205" spans="1:5">
      <c r="A205" s="59" t="s">
        <v>2775</v>
      </c>
      <c r="B205" s="1008">
        <v>139</v>
      </c>
      <c r="C205" s="1008">
        <v>139</v>
      </c>
      <c r="D205" s="1008">
        <v>0</v>
      </c>
      <c r="E205" s="1008">
        <v>0</v>
      </c>
    </row>
    <row r="206" spans="1:5">
      <c r="A206" s="59" t="s">
        <v>2776</v>
      </c>
      <c r="B206" s="1008">
        <v>231</v>
      </c>
      <c r="C206" s="1008">
        <v>231</v>
      </c>
      <c r="D206" s="1008">
        <v>0</v>
      </c>
      <c r="E206" s="1008">
        <v>0</v>
      </c>
    </row>
    <row r="207" spans="1:5">
      <c r="A207" s="59" t="s">
        <v>2777</v>
      </c>
      <c r="B207" s="1008">
        <v>220</v>
      </c>
      <c r="C207" s="1008">
        <v>50</v>
      </c>
      <c r="D207" s="1008">
        <v>0</v>
      </c>
      <c r="E207" s="1008">
        <v>0</v>
      </c>
    </row>
    <row r="208" spans="1:5">
      <c r="A208" s="59" t="s">
        <v>2778</v>
      </c>
      <c r="B208" s="1008">
        <v>183</v>
      </c>
      <c r="C208" s="1008">
        <v>50</v>
      </c>
      <c r="D208" s="1008">
        <v>0</v>
      </c>
      <c r="E208" s="1008">
        <v>0</v>
      </c>
    </row>
    <row r="209" spans="1:5">
      <c r="A209" s="59" t="s">
        <v>2779</v>
      </c>
      <c r="B209" s="1008">
        <v>247</v>
      </c>
      <c r="C209" s="1008">
        <v>247</v>
      </c>
      <c r="D209" s="1008">
        <v>0</v>
      </c>
      <c r="E209" s="1008">
        <v>0</v>
      </c>
    </row>
    <row r="210" spans="1:5">
      <c r="A210" s="59" t="s">
        <v>2780</v>
      </c>
      <c r="B210" s="1008">
        <v>247</v>
      </c>
      <c r="C210" s="1008">
        <v>247</v>
      </c>
      <c r="D210" s="1008">
        <v>0</v>
      </c>
      <c r="E210" s="1008">
        <v>0</v>
      </c>
    </row>
    <row r="211" spans="1:5">
      <c r="A211" s="59" t="s">
        <v>2781</v>
      </c>
      <c r="B211" s="1008">
        <v>240</v>
      </c>
      <c r="C211" s="1008">
        <v>240</v>
      </c>
      <c r="D211" s="1008">
        <v>0</v>
      </c>
      <c r="E211" s="1008">
        <v>0</v>
      </c>
    </row>
    <row r="212" spans="1:5">
      <c r="A212" s="59" t="s">
        <v>2782</v>
      </c>
      <c r="B212" s="1008">
        <v>189</v>
      </c>
      <c r="C212" s="1008">
        <v>189</v>
      </c>
      <c r="D212" s="1008">
        <v>0</v>
      </c>
      <c r="E212" s="1008">
        <v>0</v>
      </c>
    </row>
    <row r="213" spans="1:5">
      <c r="A213" s="59" t="s">
        <v>2783</v>
      </c>
      <c r="B213" s="1008">
        <v>59</v>
      </c>
      <c r="C213" s="1008">
        <v>59</v>
      </c>
      <c r="D213" s="1008">
        <v>0</v>
      </c>
      <c r="E213" s="1008">
        <v>0</v>
      </c>
    </row>
    <row r="214" spans="1:5">
      <c r="A214" s="59" t="s">
        <v>1534</v>
      </c>
      <c r="B214" s="1008">
        <v>1340</v>
      </c>
      <c r="C214" s="1008">
        <v>1340</v>
      </c>
      <c r="D214" s="1008">
        <v>9</v>
      </c>
      <c r="E214" s="1008">
        <v>0</v>
      </c>
    </row>
    <row r="215" spans="1:5">
      <c r="A215" s="59" t="s">
        <v>3028</v>
      </c>
      <c r="B215" s="1008">
        <v>267</v>
      </c>
      <c r="C215" s="1008">
        <v>267</v>
      </c>
      <c r="D215" s="1008">
        <v>267</v>
      </c>
      <c r="E215" s="1008">
        <v>267</v>
      </c>
    </row>
    <row r="216" spans="1:5">
      <c r="A216" s="59" t="s">
        <v>3029</v>
      </c>
      <c r="B216" s="1008">
        <v>412</v>
      </c>
      <c r="C216" s="1008">
        <v>50</v>
      </c>
      <c r="D216" s="1008">
        <v>360</v>
      </c>
      <c r="E216" s="1008">
        <v>412</v>
      </c>
    </row>
    <row r="217" spans="1:5">
      <c r="A217" s="59" t="s">
        <v>3031</v>
      </c>
      <c r="B217" s="1008">
        <v>162</v>
      </c>
      <c r="C217" s="1008">
        <v>162</v>
      </c>
      <c r="D217" s="1008">
        <v>0</v>
      </c>
      <c r="E217" s="1008">
        <v>0</v>
      </c>
    </row>
    <row r="218" spans="1:5">
      <c r="A218" s="59" t="s">
        <v>3032</v>
      </c>
      <c r="B218" s="1008">
        <v>132</v>
      </c>
      <c r="C218" s="1008">
        <v>132</v>
      </c>
      <c r="D218" s="1008">
        <v>132</v>
      </c>
      <c r="E218" s="1008">
        <v>132</v>
      </c>
    </row>
    <row r="219" spans="1:5">
      <c r="A219" s="59" t="s">
        <v>3024</v>
      </c>
      <c r="B219" s="1008">
        <v>544</v>
      </c>
      <c r="C219" s="1008">
        <v>520</v>
      </c>
      <c r="D219" s="1008">
        <v>0</v>
      </c>
      <c r="E219" s="1008">
        <v>544</v>
      </c>
    </row>
    <row r="220" spans="1:5">
      <c r="A220" s="59" t="s">
        <v>3030</v>
      </c>
      <c r="B220" s="1008">
        <v>60</v>
      </c>
      <c r="C220" s="1008">
        <v>30</v>
      </c>
      <c r="D220" s="1008">
        <v>0</v>
      </c>
      <c r="E220" s="1008">
        <v>0</v>
      </c>
    </row>
    <row r="221" spans="1:5">
      <c r="A221" s="59" t="s">
        <v>3020</v>
      </c>
      <c r="B221" s="1008">
        <v>906</v>
      </c>
      <c r="C221" s="1008">
        <v>520</v>
      </c>
      <c r="D221" s="1008">
        <v>0</v>
      </c>
      <c r="E221" s="1008">
        <v>0</v>
      </c>
    </row>
    <row r="222" spans="1:5">
      <c r="A222" s="59" t="s">
        <v>3023</v>
      </c>
      <c r="B222" s="1008">
        <v>264</v>
      </c>
      <c r="C222" s="1008">
        <v>264</v>
      </c>
      <c r="D222" s="1008">
        <v>264</v>
      </c>
      <c r="E222" s="1008">
        <v>0</v>
      </c>
    </row>
    <row r="223" spans="1:5">
      <c r="A223" s="59" t="s">
        <v>3021</v>
      </c>
      <c r="B223" s="1008">
        <v>472</v>
      </c>
      <c r="C223" s="1008">
        <v>455</v>
      </c>
      <c r="D223" s="1008">
        <v>0</v>
      </c>
      <c r="E223" s="1008">
        <v>0</v>
      </c>
    </row>
    <row r="224" spans="1:5">
      <c r="A224" s="59" t="s">
        <v>3025</v>
      </c>
      <c r="B224" s="1008">
        <v>308</v>
      </c>
      <c r="C224" s="1008">
        <v>308</v>
      </c>
      <c r="D224" s="1008">
        <v>0</v>
      </c>
      <c r="E224" s="1008">
        <v>0</v>
      </c>
    </row>
    <row r="225" spans="1:5">
      <c r="A225" s="59" t="s">
        <v>3026</v>
      </c>
      <c r="B225" s="1008">
        <v>126</v>
      </c>
      <c r="C225" s="1008">
        <v>126</v>
      </c>
      <c r="D225" s="1008">
        <v>0</v>
      </c>
      <c r="E225" s="1008">
        <v>0</v>
      </c>
    </row>
    <row r="226" spans="1:5">
      <c r="A226" s="59" t="s">
        <v>3027</v>
      </c>
      <c r="B226" s="1008">
        <v>71</v>
      </c>
      <c r="C226" s="1008">
        <v>71</v>
      </c>
      <c r="D226" s="1008">
        <v>0</v>
      </c>
      <c r="E226" s="1008">
        <v>0</v>
      </c>
    </row>
    <row r="227" spans="1:5">
      <c r="A227" s="59" t="s">
        <v>3022</v>
      </c>
      <c r="B227" s="1008">
        <v>1067</v>
      </c>
      <c r="C227" s="1008">
        <v>50</v>
      </c>
      <c r="D227" s="1008">
        <v>0</v>
      </c>
      <c r="E227" s="1008">
        <v>0</v>
      </c>
    </row>
    <row r="228" spans="1:5">
      <c r="A228" s="59" t="s">
        <v>3019</v>
      </c>
      <c r="B228" s="1008">
        <v>101</v>
      </c>
      <c r="C228" s="1008">
        <v>101</v>
      </c>
      <c r="D228" s="1008">
        <v>0</v>
      </c>
      <c r="E228" s="1008">
        <v>0</v>
      </c>
    </row>
    <row r="229" spans="1:5">
      <c r="A229" s="59" t="s">
        <v>3018</v>
      </c>
      <c r="B229" s="1008">
        <v>83</v>
      </c>
      <c r="C229" s="1008">
        <v>83</v>
      </c>
      <c r="D229" s="1008">
        <v>83</v>
      </c>
      <c r="E229" s="1008">
        <v>83</v>
      </c>
    </row>
    <row r="230" spans="1:5">
      <c r="A230" s="59" t="s">
        <v>3010</v>
      </c>
      <c r="B230" s="1008">
        <v>189</v>
      </c>
      <c r="C230" s="1008">
        <v>0</v>
      </c>
      <c r="D230" s="1008">
        <v>164</v>
      </c>
      <c r="E230" s="1008">
        <v>189</v>
      </c>
    </row>
    <row r="231" spans="1:5">
      <c r="A231" s="59" t="s">
        <v>3002</v>
      </c>
      <c r="B231" s="1008">
        <v>319</v>
      </c>
      <c r="C231" s="1008">
        <v>319</v>
      </c>
      <c r="D231" s="1008">
        <v>319</v>
      </c>
      <c r="E231" s="1008">
        <v>319</v>
      </c>
    </row>
    <row r="232" spans="1:5">
      <c r="A232" s="59" t="s">
        <v>2953</v>
      </c>
      <c r="B232" s="1008">
        <v>292</v>
      </c>
      <c r="C232" s="1008">
        <v>292</v>
      </c>
      <c r="D232" s="1008">
        <v>125</v>
      </c>
      <c r="E232" s="1008">
        <v>292</v>
      </c>
    </row>
    <row r="233" spans="1:5">
      <c r="A233" s="59" t="s">
        <v>2954</v>
      </c>
      <c r="B233" s="1008">
        <v>77</v>
      </c>
      <c r="C233" s="1008">
        <v>77</v>
      </c>
      <c r="D233" s="1008">
        <v>20</v>
      </c>
      <c r="E233" s="1008">
        <v>0</v>
      </c>
    </row>
    <row r="234" spans="1:5">
      <c r="A234" s="59" t="s">
        <v>3003</v>
      </c>
      <c r="B234" s="1008">
        <v>221</v>
      </c>
      <c r="C234" s="1008">
        <v>221</v>
      </c>
      <c r="D234" s="1008">
        <v>160</v>
      </c>
      <c r="E234" s="1008">
        <v>221</v>
      </c>
    </row>
    <row r="235" spans="1:5">
      <c r="A235" s="59" t="s">
        <v>1285</v>
      </c>
      <c r="B235" s="1008">
        <v>118218</v>
      </c>
      <c r="C235" s="1008">
        <v>80175</v>
      </c>
      <c r="D235" s="1008">
        <v>79971</v>
      </c>
      <c r="E235" s="1008">
        <v>65789.718518518523</v>
      </c>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7B20-6E5D-47A1-BC22-DBAC78E3C667}">
  <dimension ref="A1:B4"/>
  <sheetViews>
    <sheetView workbookViewId="0">
      <selection activeCell="B22" sqref="B22"/>
    </sheetView>
  </sheetViews>
  <sheetFormatPr defaultRowHeight="15.5"/>
  <cols>
    <col min="1" max="1" width="14.5" bestFit="1" customWidth="1"/>
    <col min="2" max="3" width="59" bestFit="1" customWidth="1"/>
  </cols>
  <sheetData>
    <row r="1" spans="1:2">
      <c r="A1" s="426" t="s">
        <v>20</v>
      </c>
      <c r="B1" s="420" t="s">
        <v>1284</v>
      </c>
    </row>
    <row r="3" spans="1:2">
      <c r="A3" s="426" t="s">
        <v>1283</v>
      </c>
      <c r="B3" t="s">
        <v>2623</v>
      </c>
    </row>
    <row r="4" spans="1:2">
      <c r="A4" s="491" t="s">
        <v>1285</v>
      </c>
      <c r="B4" s="419"/>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791"/>
  <sheetViews>
    <sheetView showGridLines="0" workbookViewId="0">
      <selection activeCell="J20" sqref="J20"/>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1640625" hidden="1" customWidth="1"/>
    <col min="16" max="16" width="71.6640625" hidden="1" customWidth="1"/>
  </cols>
  <sheetData>
    <row r="2" spans="12:16">
      <c r="L2" s="426" t="s">
        <v>34</v>
      </c>
      <c r="M2" s="420" t="s">
        <v>1476</v>
      </c>
    </row>
    <row r="3" spans="12:16">
      <c r="N3" s="363"/>
      <c r="O3" s="363"/>
      <c r="P3" s="363"/>
    </row>
    <row r="4" spans="12:16">
      <c r="L4" s="426" t="s">
        <v>23</v>
      </c>
      <c r="M4" s="426" t="s">
        <v>20</v>
      </c>
      <c r="N4" s="420" t="s">
        <v>2130</v>
      </c>
      <c r="O4" s="420" t="s">
        <v>2131</v>
      </c>
      <c r="P4" s="420" t="s">
        <v>2132</v>
      </c>
    </row>
    <row r="5" spans="12:16">
      <c r="L5" s="420" t="s">
        <v>814</v>
      </c>
      <c r="M5" s="420" t="s">
        <v>2763</v>
      </c>
      <c r="N5" s="419">
        <v>0</v>
      </c>
      <c r="O5" s="419">
        <v>54</v>
      </c>
      <c r="P5" s="419">
        <v>54</v>
      </c>
    </row>
    <row r="6" spans="12:16">
      <c r="L6" s="420" t="s">
        <v>2465</v>
      </c>
      <c r="M6" s="420"/>
      <c r="N6" s="419">
        <v>0</v>
      </c>
      <c r="O6" s="419">
        <v>54</v>
      </c>
      <c r="P6" s="419">
        <v>54</v>
      </c>
    </row>
    <row r="7" spans="12:16">
      <c r="L7" s="420" t="s">
        <v>277</v>
      </c>
      <c r="M7" s="420" t="s">
        <v>2763</v>
      </c>
      <c r="N7" s="419">
        <v>1226</v>
      </c>
      <c r="O7" s="419">
        <v>789</v>
      </c>
      <c r="P7" s="419">
        <v>1226</v>
      </c>
    </row>
    <row r="8" spans="12:16">
      <c r="M8" s="420" t="s">
        <v>2764</v>
      </c>
      <c r="N8" s="419">
        <v>1278</v>
      </c>
      <c r="O8" s="419">
        <v>1049</v>
      </c>
      <c r="P8" s="419">
        <v>1278</v>
      </c>
    </row>
    <row r="9" spans="12:16">
      <c r="M9" s="420" t="s">
        <v>2765</v>
      </c>
      <c r="N9" s="419">
        <v>1224</v>
      </c>
      <c r="O9" s="419">
        <v>1009</v>
      </c>
      <c r="P9" s="419">
        <v>1224</v>
      </c>
    </row>
    <row r="10" spans="12:16">
      <c r="L10" s="420" t="s">
        <v>2466</v>
      </c>
      <c r="M10" s="420"/>
      <c r="N10" s="419">
        <v>3728</v>
      </c>
      <c r="O10" s="419">
        <v>2847</v>
      </c>
      <c r="P10" s="419">
        <v>3728</v>
      </c>
    </row>
    <row r="11" spans="12:16">
      <c r="L11" s="420" t="s">
        <v>248</v>
      </c>
      <c r="M11" s="420" t="s">
        <v>2763</v>
      </c>
      <c r="N11" s="419">
        <v>435</v>
      </c>
      <c r="O11" s="419">
        <v>308</v>
      </c>
      <c r="P11" s="419">
        <v>435</v>
      </c>
    </row>
    <row r="12" spans="12:16">
      <c r="M12" s="420" t="s">
        <v>2764</v>
      </c>
      <c r="N12" s="419">
        <v>440</v>
      </c>
      <c r="O12" s="419">
        <v>220</v>
      </c>
      <c r="P12" s="419">
        <v>440</v>
      </c>
    </row>
    <row r="13" spans="12:16">
      <c r="M13" s="420" t="s">
        <v>2765</v>
      </c>
      <c r="N13" s="419">
        <v>441</v>
      </c>
      <c r="O13" s="419">
        <v>220</v>
      </c>
      <c r="P13" s="419">
        <v>441</v>
      </c>
    </row>
    <row r="14" spans="12:16">
      <c r="L14" s="420" t="s">
        <v>2467</v>
      </c>
      <c r="M14" s="420"/>
      <c r="N14" s="419">
        <v>1316</v>
      </c>
      <c r="O14" s="419">
        <v>748</v>
      </c>
      <c r="P14" s="419">
        <v>1316</v>
      </c>
    </row>
    <row r="15" spans="12:16">
      <c r="L15" s="420" t="s">
        <v>249</v>
      </c>
      <c r="M15" s="420" t="s">
        <v>2763</v>
      </c>
      <c r="N15" s="419">
        <v>72</v>
      </c>
      <c r="O15" s="419">
        <v>72</v>
      </c>
      <c r="P15" s="419">
        <v>72</v>
      </c>
    </row>
    <row r="16" spans="12:16">
      <c r="M16" s="420" t="s">
        <v>2764</v>
      </c>
      <c r="N16" s="419">
        <v>72</v>
      </c>
      <c r="O16" s="419">
        <v>72</v>
      </c>
      <c r="P16" s="419">
        <v>72</v>
      </c>
    </row>
    <row r="17" spans="12:16">
      <c r="M17" s="420" t="s">
        <v>2765</v>
      </c>
      <c r="N17" s="419">
        <v>70</v>
      </c>
      <c r="O17" s="419">
        <v>70</v>
      </c>
      <c r="P17" s="419">
        <v>70</v>
      </c>
    </row>
    <row r="18" spans="12:16">
      <c r="L18" s="420" t="s">
        <v>2468</v>
      </c>
      <c r="M18" s="420"/>
      <c r="N18" s="419">
        <v>214</v>
      </c>
      <c r="O18" s="419">
        <v>214</v>
      </c>
      <c r="P18" s="419">
        <v>214</v>
      </c>
    </row>
    <row r="19" spans="12:16">
      <c r="L19" s="420" t="s">
        <v>206</v>
      </c>
      <c r="M19" s="420" t="s">
        <v>2763</v>
      </c>
      <c r="N19" s="419">
        <v>500</v>
      </c>
      <c r="O19" s="419">
        <v>560</v>
      </c>
      <c r="P19" s="419">
        <v>605</v>
      </c>
    </row>
    <row r="20" spans="12:16">
      <c r="M20" s="420" t="s">
        <v>2764</v>
      </c>
      <c r="N20" s="419">
        <v>0</v>
      </c>
      <c r="O20" s="419">
        <v>32</v>
      </c>
      <c r="P20" s="419">
        <v>32</v>
      </c>
    </row>
    <row r="21" spans="12:16">
      <c r="M21" s="420" t="s">
        <v>2765</v>
      </c>
      <c r="N21" s="419">
        <v>0</v>
      </c>
      <c r="O21" s="419">
        <v>502</v>
      </c>
      <c r="P21" s="419">
        <v>502</v>
      </c>
    </row>
    <row r="22" spans="12:16">
      <c r="L22" s="420" t="s">
        <v>2469</v>
      </c>
      <c r="M22" s="420"/>
      <c r="N22" s="419">
        <v>500</v>
      </c>
      <c r="O22" s="419">
        <v>1094</v>
      </c>
      <c r="P22" s="419">
        <v>1139</v>
      </c>
    </row>
    <row r="23" spans="12:16">
      <c r="L23" s="420" t="s">
        <v>196</v>
      </c>
      <c r="M23" s="420" t="s">
        <v>2763</v>
      </c>
      <c r="N23" s="419">
        <v>51</v>
      </c>
      <c r="O23" s="419">
        <v>40</v>
      </c>
      <c r="P23" s="419">
        <v>51</v>
      </c>
    </row>
    <row r="24" spans="12:16">
      <c r="M24" s="420" t="s">
        <v>2764</v>
      </c>
      <c r="N24" s="419">
        <v>0</v>
      </c>
      <c r="O24" s="419">
        <v>40</v>
      </c>
      <c r="P24" s="419">
        <v>222</v>
      </c>
    </row>
    <row r="25" spans="12:16">
      <c r="M25" s="420" t="s">
        <v>2765</v>
      </c>
      <c r="N25" s="419">
        <v>20</v>
      </c>
      <c r="O25" s="419">
        <v>40</v>
      </c>
      <c r="P25" s="419">
        <v>222</v>
      </c>
    </row>
    <row r="26" spans="12:16">
      <c r="L26" s="420" t="s">
        <v>2470</v>
      </c>
      <c r="M26" s="420"/>
      <c r="N26" s="419">
        <v>71</v>
      </c>
      <c r="O26" s="419">
        <v>120</v>
      </c>
      <c r="P26" s="419">
        <v>495</v>
      </c>
    </row>
    <row r="27" spans="12:16">
      <c r="L27" s="420" t="s">
        <v>250</v>
      </c>
      <c r="M27" s="420" t="s">
        <v>2763</v>
      </c>
      <c r="N27" s="419">
        <v>250</v>
      </c>
      <c r="O27" s="419">
        <v>200</v>
      </c>
      <c r="P27" s="419">
        <v>250</v>
      </c>
    </row>
    <row r="28" spans="12:16">
      <c r="M28" s="420" t="s">
        <v>2764</v>
      </c>
      <c r="N28" s="419">
        <v>250</v>
      </c>
      <c r="O28" s="419">
        <v>200</v>
      </c>
      <c r="P28" s="419">
        <v>250</v>
      </c>
    </row>
    <row r="29" spans="12:16">
      <c r="M29" s="420" t="s">
        <v>2765</v>
      </c>
      <c r="N29" s="419">
        <v>250</v>
      </c>
      <c r="O29" s="419">
        <v>0</v>
      </c>
      <c r="P29" s="419">
        <v>250</v>
      </c>
    </row>
    <row r="30" spans="12:16">
      <c r="L30" s="420" t="s">
        <v>2471</v>
      </c>
      <c r="M30" s="420"/>
      <c r="N30" s="419">
        <v>750</v>
      </c>
      <c r="O30" s="419">
        <v>400</v>
      </c>
      <c r="P30" s="419">
        <v>750</v>
      </c>
    </row>
    <row r="31" spans="12:16">
      <c r="L31" s="420" t="s">
        <v>236</v>
      </c>
      <c r="M31" s="420" t="s">
        <v>2763</v>
      </c>
      <c r="N31" s="419">
        <v>421</v>
      </c>
      <c r="O31" s="419">
        <v>421</v>
      </c>
      <c r="P31" s="419">
        <v>0</v>
      </c>
    </row>
    <row r="32" spans="12:16">
      <c r="M32" s="420" t="s">
        <v>2764</v>
      </c>
      <c r="N32" s="419">
        <v>420</v>
      </c>
      <c r="O32" s="419">
        <v>420</v>
      </c>
      <c r="P32" s="419">
        <v>420</v>
      </c>
    </row>
    <row r="33" spans="12:16">
      <c r="M33" s="420" t="s">
        <v>2765</v>
      </c>
      <c r="N33" s="419">
        <v>405</v>
      </c>
      <c r="O33" s="419">
        <v>405</v>
      </c>
      <c r="P33" s="419">
        <v>405</v>
      </c>
    </row>
    <row r="34" spans="12:16">
      <c r="L34" s="420" t="s">
        <v>2472</v>
      </c>
      <c r="M34" s="420"/>
      <c r="N34" s="419">
        <v>1246</v>
      </c>
      <c r="O34" s="419">
        <v>1246</v>
      </c>
      <c r="P34" s="419">
        <v>825</v>
      </c>
    </row>
    <row r="35" spans="12:16">
      <c r="L35" s="420" t="s">
        <v>1490</v>
      </c>
      <c r="M35" s="420" t="s">
        <v>2763</v>
      </c>
      <c r="N35" s="419">
        <v>1887</v>
      </c>
      <c r="O35" s="419">
        <v>1887</v>
      </c>
      <c r="P35" s="419">
        <v>1887</v>
      </c>
    </row>
    <row r="36" spans="12:16">
      <c r="M36" s="420" t="s">
        <v>2764</v>
      </c>
      <c r="N36" s="419">
        <v>1900</v>
      </c>
      <c r="O36" s="419">
        <v>1900</v>
      </c>
      <c r="P36" s="419">
        <v>1900</v>
      </c>
    </row>
    <row r="37" spans="12:16">
      <c r="M37" s="420" t="s">
        <v>2765</v>
      </c>
      <c r="N37" s="419">
        <v>1900</v>
      </c>
      <c r="O37" s="419">
        <v>1900</v>
      </c>
      <c r="P37" s="419">
        <v>1900</v>
      </c>
    </row>
    <row r="38" spans="12:16">
      <c r="L38" s="420" t="s">
        <v>2473</v>
      </c>
      <c r="M38" s="420"/>
      <c r="N38" s="419">
        <v>5687</v>
      </c>
      <c r="O38" s="419">
        <v>5687</v>
      </c>
      <c r="P38" s="419">
        <v>5687</v>
      </c>
    </row>
    <row r="39" spans="12:16">
      <c r="L39" s="420" t="s">
        <v>251</v>
      </c>
      <c r="M39" s="420" t="s">
        <v>2763</v>
      </c>
      <c r="N39" s="419">
        <v>24</v>
      </c>
      <c r="O39" s="419">
        <v>24</v>
      </c>
      <c r="P39" s="419">
        <v>24</v>
      </c>
    </row>
    <row r="40" spans="12:16">
      <c r="M40" s="420" t="s">
        <v>2764</v>
      </c>
      <c r="N40" s="419">
        <v>24</v>
      </c>
      <c r="O40" s="419">
        <v>24</v>
      </c>
      <c r="P40" s="419">
        <v>24</v>
      </c>
    </row>
    <row r="41" spans="12:16">
      <c r="M41" s="420" t="s">
        <v>2765</v>
      </c>
      <c r="N41" s="419">
        <v>24</v>
      </c>
      <c r="O41" s="419">
        <v>24</v>
      </c>
      <c r="P41" s="419">
        <v>0</v>
      </c>
    </row>
    <row r="42" spans="12:16">
      <c r="L42" s="420" t="s">
        <v>2474</v>
      </c>
      <c r="M42" s="420"/>
      <c r="N42" s="419">
        <v>72</v>
      </c>
      <c r="O42" s="419">
        <v>72</v>
      </c>
      <c r="P42" s="419">
        <v>48</v>
      </c>
    </row>
    <row r="43" spans="12:16">
      <c r="L43" s="420" t="s">
        <v>245</v>
      </c>
      <c r="M43" s="420" t="s">
        <v>2763</v>
      </c>
      <c r="N43" s="419">
        <v>500</v>
      </c>
      <c r="O43" s="419">
        <v>640</v>
      </c>
      <c r="P43" s="419">
        <v>878</v>
      </c>
    </row>
    <row r="44" spans="12:16">
      <c r="M44" s="420" t="s">
        <v>2764</v>
      </c>
      <c r="N44" s="419">
        <v>500</v>
      </c>
      <c r="O44" s="419">
        <v>220</v>
      </c>
      <c r="P44" s="419">
        <v>706</v>
      </c>
    </row>
    <row r="45" spans="12:16">
      <c r="M45" s="420" t="s">
        <v>2765</v>
      </c>
      <c r="N45" s="419">
        <v>500</v>
      </c>
      <c r="O45" s="419">
        <v>280</v>
      </c>
      <c r="P45" s="419">
        <v>704</v>
      </c>
    </row>
    <row r="46" spans="12:16">
      <c r="L46" s="420" t="s">
        <v>2475</v>
      </c>
      <c r="M46" s="420"/>
      <c r="N46" s="419">
        <v>1500</v>
      </c>
      <c r="O46" s="419">
        <v>1140</v>
      </c>
      <c r="P46" s="419">
        <v>2288</v>
      </c>
    </row>
    <row r="47" spans="12:16">
      <c r="L47" s="420" t="s">
        <v>252</v>
      </c>
      <c r="M47" s="420" t="s">
        <v>2763</v>
      </c>
      <c r="N47" s="419">
        <v>442</v>
      </c>
      <c r="O47" s="419">
        <v>442</v>
      </c>
      <c r="P47" s="419">
        <v>442</v>
      </c>
    </row>
    <row r="48" spans="12:16">
      <c r="M48" s="420" t="s">
        <v>2764</v>
      </c>
      <c r="N48" s="419">
        <v>443</v>
      </c>
      <c r="O48" s="419">
        <v>443</v>
      </c>
      <c r="P48" s="419">
        <v>443</v>
      </c>
    </row>
    <row r="49" spans="12:16">
      <c r="M49" s="420" t="s">
        <v>2765</v>
      </c>
      <c r="N49" s="419">
        <v>445</v>
      </c>
      <c r="O49" s="419">
        <v>445</v>
      </c>
      <c r="P49" s="419">
        <v>445</v>
      </c>
    </row>
    <row r="50" spans="12:16">
      <c r="L50" s="420" t="s">
        <v>2476</v>
      </c>
      <c r="M50" s="420"/>
      <c r="N50" s="419">
        <v>1330</v>
      </c>
      <c r="O50" s="419">
        <v>1330</v>
      </c>
      <c r="P50" s="419">
        <v>1330</v>
      </c>
    </row>
    <row r="51" spans="12:16">
      <c r="L51" s="420" t="s">
        <v>160</v>
      </c>
      <c r="M51" s="420" t="s">
        <v>2763</v>
      </c>
      <c r="N51" s="419">
        <v>197</v>
      </c>
      <c r="O51" s="419">
        <v>140</v>
      </c>
      <c r="P51" s="419">
        <v>197</v>
      </c>
    </row>
    <row r="52" spans="12:16">
      <c r="M52" s="420" t="s">
        <v>2764</v>
      </c>
      <c r="N52" s="419">
        <v>193</v>
      </c>
      <c r="O52" s="419">
        <v>100</v>
      </c>
      <c r="P52" s="419">
        <v>193</v>
      </c>
    </row>
    <row r="53" spans="12:16">
      <c r="M53" s="420" t="s">
        <v>2765</v>
      </c>
      <c r="N53" s="419">
        <v>193</v>
      </c>
      <c r="O53" s="419">
        <v>120</v>
      </c>
      <c r="P53" s="419">
        <v>193</v>
      </c>
    </row>
    <row r="54" spans="12:16">
      <c r="L54" s="420" t="s">
        <v>2427</v>
      </c>
      <c r="M54" s="420"/>
      <c r="N54" s="419">
        <v>583</v>
      </c>
      <c r="O54" s="419">
        <v>360</v>
      </c>
      <c r="P54" s="419">
        <v>583</v>
      </c>
    </row>
    <row r="55" spans="12:16">
      <c r="L55" s="420" t="s">
        <v>232</v>
      </c>
      <c r="M55" s="420" t="s">
        <v>2763</v>
      </c>
      <c r="N55" s="419">
        <v>394</v>
      </c>
      <c r="O55" s="419">
        <v>394</v>
      </c>
      <c r="P55" s="419">
        <v>0</v>
      </c>
    </row>
    <row r="56" spans="12:16">
      <c r="M56" s="420" t="s">
        <v>2764</v>
      </c>
      <c r="N56" s="419">
        <v>406</v>
      </c>
      <c r="O56" s="419">
        <v>400</v>
      </c>
      <c r="P56" s="419">
        <v>406</v>
      </c>
    </row>
    <row r="57" spans="12:16">
      <c r="M57" s="420" t="s">
        <v>2765</v>
      </c>
      <c r="N57" s="419">
        <v>411</v>
      </c>
      <c r="O57" s="419">
        <v>411</v>
      </c>
      <c r="P57" s="419">
        <v>411</v>
      </c>
    </row>
    <row r="58" spans="12:16">
      <c r="L58" s="420" t="s">
        <v>2477</v>
      </c>
      <c r="M58" s="420"/>
      <c r="N58" s="419">
        <v>1211</v>
      </c>
      <c r="O58" s="419">
        <v>1205</v>
      </c>
      <c r="P58" s="419">
        <v>817</v>
      </c>
    </row>
    <row r="59" spans="12:16">
      <c r="L59" s="420" t="s">
        <v>1546</v>
      </c>
      <c r="M59" s="420" t="s">
        <v>2763</v>
      </c>
      <c r="N59" s="419">
        <v>32</v>
      </c>
      <c r="O59" s="419">
        <v>0</v>
      </c>
      <c r="P59" s="419">
        <v>0</v>
      </c>
    </row>
    <row r="60" spans="12:16">
      <c r="M60" s="420" t="s">
        <v>2764</v>
      </c>
      <c r="N60" s="419">
        <v>0</v>
      </c>
      <c r="O60" s="419">
        <v>0</v>
      </c>
      <c r="P60" s="419">
        <v>0</v>
      </c>
    </row>
    <row r="61" spans="12:16">
      <c r="M61" s="420" t="s">
        <v>2765</v>
      </c>
      <c r="N61" s="419">
        <v>0</v>
      </c>
      <c r="O61" s="419">
        <v>0</v>
      </c>
      <c r="P61" s="419">
        <v>0</v>
      </c>
    </row>
    <row r="62" spans="12:16">
      <c r="L62" s="420" t="s">
        <v>2478</v>
      </c>
      <c r="M62" s="420"/>
      <c r="N62" s="419">
        <v>32</v>
      </c>
      <c r="O62" s="419">
        <v>0</v>
      </c>
      <c r="P62" s="419">
        <v>0</v>
      </c>
    </row>
    <row r="63" spans="12:16">
      <c r="L63" s="420" t="s">
        <v>1720</v>
      </c>
      <c r="M63" s="420" t="s">
        <v>2763</v>
      </c>
      <c r="N63" s="419">
        <v>439</v>
      </c>
      <c r="O63" s="419">
        <v>439</v>
      </c>
      <c r="P63" s="419">
        <v>439</v>
      </c>
    </row>
    <row r="64" spans="12:16">
      <c r="M64" s="420" t="s">
        <v>2764</v>
      </c>
      <c r="N64" s="419">
        <v>439</v>
      </c>
      <c r="O64" s="419">
        <v>439</v>
      </c>
      <c r="P64" s="419">
        <v>439</v>
      </c>
    </row>
    <row r="65" spans="12:16">
      <c r="M65" s="420" t="s">
        <v>2765</v>
      </c>
      <c r="N65" s="419">
        <v>439</v>
      </c>
      <c r="O65" s="419">
        <v>439</v>
      </c>
      <c r="P65" s="419">
        <v>439</v>
      </c>
    </row>
    <row r="66" spans="12:16">
      <c r="L66" s="420" t="s">
        <v>2479</v>
      </c>
      <c r="M66" s="420"/>
      <c r="N66" s="419">
        <v>1317</v>
      </c>
      <c r="O66" s="419">
        <v>1317</v>
      </c>
      <c r="P66" s="419">
        <v>1317</v>
      </c>
    </row>
    <row r="67" spans="12:16">
      <c r="L67" s="420" t="s">
        <v>771</v>
      </c>
      <c r="M67" s="420" t="s">
        <v>2763</v>
      </c>
      <c r="N67" s="419">
        <v>205</v>
      </c>
      <c r="O67" s="419">
        <v>410</v>
      </c>
      <c r="P67" s="419">
        <v>410</v>
      </c>
    </row>
    <row r="68" spans="12:16">
      <c r="M68" s="420" t="s">
        <v>2764</v>
      </c>
      <c r="N68" s="419">
        <v>381</v>
      </c>
      <c r="O68" s="419">
        <v>160</v>
      </c>
      <c r="P68" s="419">
        <v>381</v>
      </c>
    </row>
    <row r="69" spans="12:16">
      <c r="M69" s="420" t="s">
        <v>2765</v>
      </c>
      <c r="N69" s="419">
        <v>381</v>
      </c>
      <c r="O69" s="419">
        <v>160</v>
      </c>
      <c r="P69" s="419">
        <v>381</v>
      </c>
    </row>
    <row r="70" spans="12:16">
      <c r="L70" s="420" t="s">
        <v>2480</v>
      </c>
      <c r="M70" s="420"/>
      <c r="N70" s="419">
        <v>967</v>
      </c>
      <c r="O70" s="419">
        <v>730</v>
      </c>
      <c r="P70" s="419">
        <v>1172</v>
      </c>
    </row>
    <row r="71" spans="12:16">
      <c r="L71" s="420" t="s">
        <v>268</v>
      </c>
      <c r="M71" s="420" t="s">
        <v>2763</v>
      </c>
      <c r="N71" s="419">
        <v>291</v>
      </c>
      <c r="O71" s="419">
        <v>291</v>
      </c>
      <c r="P71" s="419">
        <v>291</v>
      </c>
    </row>
    <row r="72" spans="12:16">
      <c r="M72" s="420" t="s">
        <v>2764</v>
      </c>
      <c r="N72" s="419">
        <v>293</v>
      </c>
      <c r="O72" s="419">
        <v>0</v>
      </c>
      <c r="P72" s="419">
        <v>250</v>
      </c>
    </row>
    <row r="73" spans="12:16">
      <c r="M73" s="420" t="s">
        <v>2765</v>
      </c>
      <c r="N73" s="419">
        <v>295</v>
      </c>
      <c r="O73" s="419">
        <v>-360</v>
      </c>
      <c r="P73" s="419">
        <v>295</v>
      </c>
    </row>
    <row r="74" spans="12:16">
      <c r="L74" s="420" t="s">
        <v>2481</v>
      </c>
      <c r="M74" s="420"/>
      <c r="N74" s="419">
        <v>879</v>
      </c>
      <c r="O74" s="419">
        <v>-69</v>
      </c>
      <c r="P74" s="419">
        <v>836</v>
      </c>
    </row>
    <row r="75" spans="12:16">
      <c r="L75" s="420" t="s">
        <v>175</v>
      </c>
      <c r="M75" s="420" t="s">
        <v>2763</v>
      </c>
      <c r="N75" s="419">
        <v>895</v>
      </c>
      <c r="O75" s="419">
        <v>895</v>
      </c>
      <c r="P75" s="419">
        <v>0</v>
      </c>
    </row>
    <row r="76" spans="12:16">
      <c r="M76" s="420" t="s">
        <v>2764</v>
      </c>
      <c r="N76" s="419">
        <v>966</v>
      </c>
      <c r="O76" s="419">
        <v>966</v>
      </c>
      <c r="P76" s="419">
        <v>933.33333333333337</v>
      </c>
    </row>
    <row r="77" spans="12:16">
      <c r="M77" s="420" t="s">
        <v>2765</v>
      </c>
      <c r="N77" s="419">
        <v>966</v>
      </c>
      <c r="O77" s="419">
        <v>966</v>
      </c>
      <c r="P77" s="419">
        <v>933.33333333333337</v>
      </c>
    </row>
    <row r="78" spans="12:16">
      <c r="L78" s="420" t="s">
        <v>2428</v>
      </c>
      <c r="M78" s="420"/>
      <c r="N78" s="419">
        <v>2827</v>
      </c>
      <c r="O78" s="419">
        <v>2827</v>
      </c>
      <c r="P78" s="419">
        <v>1866.6666666666667</v>
      </c>
    </row>
    <row r="79" spans="12:16">
      <c r="L79" s="420" t="s">
        <v>149</v>
      </c>
      <c r="M79" s="420" t="s">
        <v>2763</v>
      </c>
      <c r="N79" s="419">
        <v>132</v>
      </c>
      <c r="O79" s="419">
        <v>132</v>
      </c>
      <c r="P79" s="419">
        <v>132</v>
      </c>
    </row>
    <row r="80" spans="12:16">
      <c r="M80" s="420" t="s">
        <v>2764</v>
      </c>
      <c r="N80" s="419">
        <v>0</v>
      </c>
      <c r="O80" s="419">
        <v>0</v>
      </c>
      <c r="P80" s="419">
        <v>133</v>
      </c>
    </row>
    <row r="81" spans="12:16">
      <c r="M81" s="420" t="s">
        <v>2765</v>
      </c>
      <c r="N81" s="419">
        <v>0</v>
      </c>
      <c r="O81" s="419">
        <v>80</v>
      </c>
      <c r="P81" s="419">
        <v>133</v>
      </c>
    </row>
    <row r="82" spans="12:16">
      <c r="L82" s="420" t="s">
        <v>2429</v>
      </c>
      <c r="M82" s="420"/>
      <c r="N82" s="419">
        <v>132</v>
      </c>
      <c r="O82" s="419">
        <v>212</v>
      </c>
      <c r="P82" s="419">
        <v>398</v>
      </c>
    </row>
    <row r="83" spans="12:16">
      <c r="L83" s="420" t="s">
        <v>555</v>
      </c>
      <c r="M83" s="420" t="s">
        <v>2763</v>
      </c>
      <c r="N83" s="419">
        <v>934</v>
      </c>
      <c r="O83" s="419">
        <v>800</v>
      </c>
      <c r="P83" s="419">
        <v>934</v>
      </c>
    </row>
    <row r="84" spans="12:16">
      <c r="M84" s="420" t="s">
        <v>2764</v>
      </c>
      <c r="N84" s="419">
        <v>806</v>
      </c>
      <c r="O84" s="419">
        <v>120</v>
      </c>
      <c r="P84" s="419">
        <v>806</v>
      </c>
    </row>
    <row r="85" spans="12:16">
      <c r="M85" s="420" t="s">
        <v>2765</v>
      </c>
      <c r="N85" s="419">
        <v>934</v>
      </c>
      <c r="O85" s="419">
        <v>800</v>
      </c>
      <c r="P85" s="419">
        <v>934</v>
      </c>
    </row>
    <row r="86" spans="12:16">
      <c r="L86" s="420" t="s">
        <v>2482</v>
      </c>
      <c r="M86" s="420"/>
      <c r="N86" s="419">
        <v>2674</v>
      </c>
      <c r="O86" s="419">
        <v>1720</v>
      </c>
      <c r="P86" s="419">
        <v>2674</v>
      </c>
    </row>
    <row r="87" spans="12:16">
      <c r="L87" s="420" t="s">
        <v>254</v>
      </c>
      <c r="M87" s="420" t="s">
        <v>2763</v>
      </c>
      <c r="N87" s="419">
        <v>504</v>
      </c>
      <c r="O87" s="419">
        <v>504</v>
      </c>
      <c r="P87" s="419">
        <v>504</v>
      </c>
    </row>
    <row r="88" spans="12:16">
      <c r="M88" s="420" t="s">
        <v>2764</v>
      </c>
      <c r="N88" s="419">
        <v>504</v>
      </c>
      <c r="O88" s="419">
        <v>363</v>
      </c>
      <c r="P88" s="419">
        <v>316.66666666666669</v>
      </c>
    </row>
    <row r="89" spans="12:16">
      <c r="M89" s="420" t="s">
        <v>2765</v>
      </c>
      <c r="N89" s="419">
        <v>504</v>
      </c>
      <c r="O89" s="419">
        <v>0</v>
      </c>
      <c r="P89" s="419">
        <v>500</v>
      </c>
    </row>
    <row r="90" spans="12:16">
      <c r="L90" s="420" t="s">
        <v>2483</v>
      </c>
      <c r="M90" s="420"/>
      <c r="N90" s="419">
        <v>1512</v>
      </c>
      <c r="O90" s="419">
        <v>867</v>
      </c>
      <c r="P90" s="419">
        <v>1320.6666666666667</v>
      </c>
    </row>
    <row r="91" spans="12:16">
      <c r="L91" s="420" t="s">
        <v>147</v>
      </c>
      <c r="M91" s="420" t="s">
        <v>2763</v>
      </c>
      <c r="N91" s="419">
        <v>837</v>
      </c>
      <c r="O91" s="419">
        <v>640</v>
      </c>
      <c r="P91" s="419">
        <v>0</v>
      </c>
    </row>
    <row r="92" spans="12:16">
      <c r="M92" s="420" t="s">
        <v>2764</v>
      </c>
      <c r="N92" s="419">
        <v>936</v>
      </c>
      <c r="O92" s="419">
        <v>640</v>
      </c>
      <c r="P92" s="419">
        <v>0</v>
      </c>
    </row>
    <row r="93" spans="12:16">
      <c r="M93" s="420" t="s">
        <v>2765</v>
      </c>
      <c r="N93" s="419">
        <v>936</v>
      </c>
      <c r="O93" s="419">
        <v>640</v>
      </c>
      <c r="P93" s="419">
        <v>0</v>
      </c>
    </row>
    <row r="94" spans="12:16">
      <c r="L94" s="420" t="s">
        <v>2430</v>
      </c>
      <c r="M94" s="420"/>
      <c r="N94" s="419">
        <v>2709</v>
      </c>
      <c r="O94" s="419">
        <v>1920</v>
      </c>
      <c r="P94" s="419">
        <v>0</v>
      </c>
    </row>
    <row r="95" spans="12:16">
      <c r="L95" s="420" t="s">
        <v>217</v>
      </c>
      <c r="M95" s="420" t="s">
        <v>2763</v>
      </c>
      <c r="N95" s="419">
        <v>500</v>
      </c>
      <c r="O95" s="419">
        <v>3789</v>
      </c>
      <c r="P95" s="419">
        <v>1463.1333333333334</v>
      </c>
    </row>
    <row r="96" spans="12:16">
      <c r="M96" s="420" t="s">
        <v>2764</v>
      </c>
      <c r="N96" s="419">
        <v>500</v>
      </c>
      <c r="O96" s="419">
        <v>3789</v>
      </c>
      <c r="P96" s="419">
        <v>1266.6666666666667</v>
      </c>
    </row>
    <row r="97" spans="12:16">
      <c r="M97" s="420" t="s">
        <v>2765</v>
      </c>
      <c r="N97" s="419">
        <v>500</v>
      </c>
      <c r="O97" s="419">
        <v>3789</v>
      </c>
      <c r="P97" s="419">
        <v>1266.6666666666667</v>
      </c>
    </row>
    <row r="98" spans="12:16">
      <c r="L98" s="420" t="s">
        <v>2484</v>
      </c>
      <c r="M98" s="420"/>
      <c r="N98" s="419">
        <v>1500</v>
      </c>
      <c r="O98" s="419">
        <v>11367</v>
      </c>
      <c r="P98" s="419">
        <v>3996.4666666666672</v>
      </c>
    </row>
    <row r="99" spans="12:16">
      <c r="L99" s="420" t="s">
        <v>198</v>
      </c>
      <c r="M99" s="420" t="s">
        <v>2763</v>
      </c>
      <c r="N99" s="419">
        <v>222</v>
      </c>
      <c r="O99" s="419">
        <v>140</v>
      </c>
      <c r="P99" s="419">
        <v>222</v>
      </c>
    </row>
    <row r="100" spans="12:16">
      <c r="M100" s="420" t="s">
        <v>2764</v>
      </c>
      <c r="N100" s="419">
        <v>0</v>
      </c>
      <c r="O100" s="419">
        <v>140</v>
      </c>
      <c r="P100" s="419">
        <v>222</v>
      </c>
    </row>
    <row r="101" spans="12:16">
      <c r="M101" s="420" t="s">
        <v>2765</v>
      </c>
      <c r="N101" s="419">
        <v>75</v>
      </c>
      <c r="O101" s="419">
        <v>220</v>
      </c>
      <c r="P101" s="419">
        <v>226</v>
      </c>
    </row>
    <row r="102" spans="12:16">
      <c r="L102" s="420" t="s">
        <v>2485</v>
      </c>
      <c r="M102" s="420"/>
      <c r="N102" s="419">
        <v>297</v>
      </c>
      <c r="O102" s="419">
        <v>500</v>
      </c>
      <c r="P102" s="419">
        <v>670</v>
      </c>
    </row>
    <row r="103" spans="12:16">
      <c r="L103" s="420" t="s">
        <v>1726</v>
      </c>
      <c r="M103" s="420" t="s">
        <v>2763</v>
      </c>
      <c r="N103" s="419">
        <v>130</v>
      </c>
      <c r="O103" s="419">
        <v>130</v>
      </c>
      <c r="P103" s="419">
        <v>130</v>
      </c>
    </row>
    <row r="104" spans="12:16">
      <c r="M104" s="420" t="s">
        <v>2764</v>
      </c>
      <c r="N104" s="419">
        <v>130</v>
      </c>
      <c r="O104" s="419">
        <v>130</v>
      </c>
      <c r="P104" s="419">
        <v>130</v>
      </c>
    </row>
    <row r="105" spans="12:16">
      <c r="M105" s="420" t="s">
        <v>2765</v>
      </c>
      <c r="N105" s="419">
        <v>130</v>
      </c>
      <c r="O105" s="419">
        <v>130</v>
      </c>
      <c r="P105" s="419">
        <v>130</v>
      </c>
    </row>
    <row r="106" spans="12:16">
      <c r="L106" s="420" t="s">
        <v>2486</v>
      </c>
      <c r="M106" s="420"/>
      <c r="N106" s="419">
        <v>390</v>
      </c>
      <c r="O106" s="419">
        <v>390</v>
      </c>
      <c r="P106" s="419">
        <v>390</v>
      </c>
    </row>
    <row r="107" spans="12:16">
      <c r="L107" s="420" t="s">
        <v>224</v>
      </c>
      <c r="M107" s="420" t="s">
        <v>2763</v>
      </c>
      <c r="N107" s="419">
        <v>440</v>
      </c>
      <c r="O107" s="419">
        <v>1780</v>
      </c>
      <c r="P107" s="419">
        <v>177.16296296296298</v>
      </c>
    </row>
    <row r="108" spans="12:16">
      <c r="M108" s="420" t="s">
        <v>2764</v>
      </c>
      <c r="N108" s="419">
        <v>0</v>
      </c>
      <c r="O108" s="419">
        <v>1780</v>
      </c>
      <c r="P108" s="419">
        <v>66.666666666666671</v>
      </c>
    </row>
    <row r="109" spans="12:16">
      <c r="M109" s="420" t="s">
        <v>2765</v>
      </c>
      <c r="N109" s="419">
        <v>0</v>
      </c>
      <c r="O109" s="419">
        <v>1780</v>
      </c>
      <c r="P109" s="419">
        <v>66.666666666666671</v>
      </c>
    </row>
    <row r="110" spans="12:16">
      <c r="L110" s="420" t="s">
        <v>2487</v>
      </c>
      <c r="M110" s="420"/>
      <c r="N110" s="419">
        <v>440</v>
      </c>
      <c r="O110" s="419">
        <v>5340</v>
      </c>
      <c r="P110" s="419">
        <v>310.49629629629635</v>
      </c>
    </row>
    <row r="111" spans="12:16">
      <c r="L111" s="420" t="s">
        <v>161</v>
      </c>
      <c r="M111" s="420" t="s">
        <v>2763</v>
      </c>
      <c r="N111" s="419">
        <v>1124</v>
      </c>
      <c r="O111" s="419">
        <v>860</v>
      </c>
      <c r="P111" s="419">
        <v>1124</v>
      </c>
    </row>
    <row r="112" spans="12:16">
      <c r="M112" s="420" t="s">
        <v>2764</v>
      </c>
      <c r="N112" s="419">
        <v>500</v>
      </c>
      <c r="O112" s="419">
        <v>900</v>
      </c>
      <c r="P112" s="419">
        <v>1184</v>
      </c>
    </row>
    <row r="113" spans="12:16">
      <c r="M113" s="420" t="s">
        <v>2765</v>
      </c>
      <c r="N113" s="419">
        <v>500</v>
      </c>
      <c r="O113" s="419">
        <v>900</v>
      </c>
      <c r="P113" s="419">
        <v>1184</v>
      </c>
    </row>
    <row r="114" spans="12:16">
      <c r="L114" s="420" t="s">
        <v>2431</v>
      </c>
      <c r="M114" s="420"/>
      <c r="N114" s="419">
        <v>2124</v>
      </c>
      <c r="O114" s="419">
        <v>2660</v>
      </c>
      <c r="P114" s="419">
        <v>3492</v>
      </c>
    </row>
    <row r="115" spans="12:16">
      <c r="L115" s="420" t="s">
        <v>233</v>
      </c>
      <c r="M115" s="420" t="s">
        <v>2763</v>
      </c>
      <c r="N115" s="419">
        <v>398</v>
      </c>
      <c r="O115" s="419">
        <v>398</v>
      </c>
      <c r="P115" s="419">
        <v>398</v>
      </c>
    </row>
    <row r="116" spans="12:16">
      <c r="M116" s="420" t="s">
        <v>2764</v>
      </c>
      <c r="N116" s="419">
        <v>388</v>
      </c>
      <c r="O116" s="419">
        <v>388</v>
      </c>
      <c r="P116" s="419">
        <v>388</v>
      </c>
    </row>
    <row r="117" spans="12:16">
      <c r="M117" s="420" t="s">
        <v>2765</v>
      </c>
      <c r="N117" s="419">
        <v>335</v>
      </c>
      <c r="O117" s="419">
        <v>335</v>
      </c>
      <c r="P117" s="419">
        <v>335</v>
      </c>
    </row>
    <row r="118" spans="12:16">
      <c r="L118" s="420" t="s">
        <v>2488</v>
      </c>
      <c r="M118" s="420"/>
      <c r="N118" s="419">
        <v>1121</v>
      </c>
      <c r="O118" s="419">
        <v>1121</v>
      </c>
      <c r="P118" s="419">
        <v>1121</v>
      </c>
    </row>
    <row r="119" spans="12:16">
      <c r="L119" s="420" t="s">
        <v>1604</v>
      </c>
      <c r="M119" s="420" t="s">
        <v>2763</v>
      </c>
      <c r="N119" s="419">
        <v>612</v>
      </c>
      <c r="O119" s="419">
        <v>320</v>
      </c>
      <c r="P119" s="419">
        <v>612</v>
      </c>
    </row>
    <row r="120" spans="12:16">
      <c r="M120" s="420" t="s">
        <v>2764</v>
      </c>
      <c r="N120" s="419">
        <v>500</v>
      </c>
      <c r="O120" s="419">
        <v>300</v>
      </c>
      <c r="P120" s="419">
        <v>658</v>
      </c>
    </row>
    <row r="121" spans="12:16">
      <c r="M121" s="420" t="s">
        <v>2765</v>
      </c>
      <c r="N121" s="419">
        <v>500</v>
      </c>
      <c r="O121" s="419">
        <v>320</v>
      </c>
      <c r="P121" s="419">
        <v>658</v>
      </c>
    </row>
    <row r="122" spans="12:16">
      <c r="L122" s="420" t="s">
        <v>2432</v>
      </c>
      <c r="M122" s="420"/>
      <c r="N122" s="419">
        <v>1612</v>
      </c>
      <c r="O122" s="419">
        <v>940</v>
      </c>
      <c r="P122" s="419">
        <v>1928</v>
      </c>
    </row>
    <row r="123" spans="12:16">
      <c r="L123" s="420" t="s">
        <v>290</v>
      </c>
      <c r="M123" s="420" t="s">
        <v>2763</v>
      </c>
      <c r="N123" s="419">
        <v>4500</v>
      </c>
      <c r="O123" s="419">
        <v>800</v>
      </c>
      <c r="P123" s="419">
        <v>400</v>
      </c>
    </row>
    <row r="124" spans="12:16">
      <c r="M124" s="420" t="s">
        <v>2764</v>
      </c>
      <c r="N124" s="419">
        <v>8486</v>
      </c>
      <c r="O124" s="419">
        <v>8486</v>
      </c>
      <c r="P124" s="419">
        <v>2150</v>
      </c>
    </row>
    <row r="125" spans="12:16">
      <c r="M125" s="420" t="s">
        <v>2765</v>
      </c>
      <c r="N125" s="419">
        <v>8486</v>
      </c>
      <c r="O125" s="419">
        <v>8486</v>
      </c>
      <c r="P125" s="419">
        <v>2150</v>
      </c>
    </row>
    <row r="126" spans="12:16">
      <c r="L126" s="420" t="s">
        <v>2489</v>
      </c>
      <c r="M126" s="420"/>
      <c r="N126" s="419">
        <v>21472</v>
      </c>
      <c r="O126" s="419">
        <v>17772</v>
      </c>
      <c r="P126" s="419">
        <v>4700</v>
      </c>
    </row>
    <row r="127" spans="12:16">
      <c r="L127" s="420" t="s">
        <v>828</v>
      </c>
      <c r="M127" s="420" t="s">
        <v>2763</v>
      </c>
      <c r="N127" s="419">
        <v>43</v>
      </c>
      <c r="O127" s="419">
        <v>43</v>
      </c>
      <c r="P127" s="419">
        <v>43</v>
      </c>
    </row>
    <row r="128" spans="12:16">
      <c r="M128" s="420" t="s">
        <v>2764</v>
      </c>
      <c r="N128" s="419">
        <v>61</v>
      </c>
      <c r="O128" s="419">
        <v>60</v>
      </c>
      <c r="P128" s="419">
        <v>61</v>
      </c>
    </row>
    <row r="129" spans="12:16">
      <c r="M129" s="420" t="s">
        <v>2765</v>
      </c>
      <c r="N129" s="419">
        <v>61</v>
      </c>
      <c r="O129" s="419">
        <v>61</v>
      </c>
      <c r="P129" s="419">
        <v>61</v>
      </c>
    </row>
    <row r="130" spans="12:16">
      <c r="L130" s="420" t="s">
        <v>2490</v>
      </c>
      <c r="M130" s="420"/>
      <c r="N130" s="419">
        <v>165</v>
      </c>
      <c r="O130" s="419">
        <v>164</v>
      </c>
      <c r="P130" s="419">
        <v>165</v>
      </c>
    </row>
    <row r="131" spans="12:16">
      <c r="L131" s="420" t="s">
        <v>207</v>
      </c>
      <c r="M131" s="420" t="s">
        <v>2763</v>
      </c>
      <c r="N131" s="419">
        <v>100</v>
      </c>
      <c r="O131" s="419">
        <v>80</v>
      </c>
      <c r="P131" s="419">
        <v>100</v>
      </c>
    </row>
    <row r="132" spans="12:16">
      <c r="M132" s="420" t="s">
        <v>2764</v>
      </c>
      <c r="N132" s="419">
        <v>0</v>
      </c>
      <c r="O132" s="419">
        <v>120</v>
      </c>
      <c r="P132" s="419">
        <v>400</v>
      </c>
    </row>
    <row r="133" spans="12:16">
      <c r="M133" s="420" t="s">
        <v>2765</v>
      </c>
      <c r="N133" s="419">
        <v>0</v>
      </c>
      <c r="O133" s="419">
        <v>160</v>
      </c>
      <c r="P133" s="419">
        <v>400</v>
      </c>
    </row>
    <row r="134" spans="12:16">
      <c r="L134" s="420" t="s">
        <v>2491</v>
      </c>
      <c r="M134" s="420"/>
      <c r="N134" s="419">
        <v>100</v>
      </c>
      <c r="O134" s="419">
        <v>360</v>
      </c>
      <c r="P134" s="419">
        <v>900</v>
      </c>
    </row>
    <row r="135" spans="12:16">
      <c r="L135" s="420" t="s">
        <v>1563</v>
      </c>
      <c r="M135" s="420" t="s">
        <v>2763</v>
      </c>
      <c r="N135" s="419">
        <v>52</v>
      </c>
      <c r="O135" s="419">
        <v>52</v>
      </c>
      <c r="P135" s="419">
        <v>52</v>
      </c>
    </row>
    <row r="136" spans="12:16">
      <c r="M136" s="420" t="s">
        <v>2764</v>
      </c>
      <c r="N136" s="419">
        <v>52</v>
      </c>
      <c r="O136" s="419">
        <v>52</v>
      </c>
      <c r="P136" s="419">
        <v>52</v>
      </c>
    </row>
    <row r="137" spans="12:16">
      <c r="M137" s="420" t="s">
        <v>2765</v>
      </c>
      <c r="N137" s="419">
        <v>53</v>
      </c>
      <c r="O137" s="419">
        <v>53</v>
      </c>
      <c r="P137" s="419">
        <v>53</v>
      </c>
    </row>
    <row r="138" spans="12:16">
      <c r="L138" s="420" t="s">
        <v>2492</v>
      </c>
      <c r="M138" s="420"/>
      <c r="N138" s="419">
        <v>157</v>
      </c>
      <c r="O138" s="419">
        <v>157</v>
      </c>
      <c r="P138" s="419">
        <v>157</v>
      </c>
    </row>
    <row r="139" spans="12:16">
      <c r="L139" s="420" t="s">
        <v>209</v>
      </c>
      <c r="M139" s="420" t="s">
        <v>2763</v>
      </c>
      <c r="N139" s="419">
        <v>106</v>
      </c>
      <c r="O139" s="419">
        <v>100</v>
      </c>
      <c r="P139" s="419">
        <v>106</v>
      </c>
    </row>
    <row r="140" spans="12:16">
      <c r="M140" s="420" t="s">
        <v>2764</v>
      </c>
      <c r="N140" s="419">
        <v>0</v>
      </c>
      <c r="O140" s="419">
        <v>100</v>
      </c>
      <c r="P140" s="419">
        <v>263</v>
      </c>
    </row>
    <row r="141" spans="12:16">
      <c r="M141" s="420" t="s">
        <v>2765</v>
      </c>
      <c r="N141" s="419">
        <v>0</v>
      </c>
      <c r="O141" s="419">
        <v>100</v>
      </c>
      <c r="P141" s="419">
        <v>263</v>
      </c>
    </row>
    <row r="142" spans="12:16">
      <c r="L142" s="420" t="s">
        <v>2493</v>
      </c>
      <c r="M142" s="420"/>
      <c r="N142" s="419">
        <v>106</v>
      </c>
      <c r="O142" s="419">
        <v>300</v>
      </c>
      <c r="P142" s="419">
        <v>632</v>
      </c>
    </row>
    <row r="143" spans="12:16">
      <c r="L143" s="420" t="s">
        <v>541</v>
      </c>
      <c r="M143" s="420" t="s">
        <v>2763</v>
      </c>
      <c r="N143" s="419">
        <v>244</v>
      </c>
      <c r="O143" s="419">
        <v>240</v>
      </c>
      <c r="P143" s="419">
        <v>244</v>
      </c>
    </row>
    <row r="144" spans="12:16">
      <c r="M144" s="420" t="s">
        <v>2764</v>
      </c>
      <c r="N144" s="419">
        <v>244</v>
      </c>
      <c r="O144" s="419">
        <v>240</v>
      </c>
      <c r="P144" s="419">
        <v>244</v>
      </c>
    </row>
    <row r="145" spans="12:16">
      <c r="M145" s="420" t="s">
        <v>2765</v>
      </c>
      <c r="N145" s="419">
        <v>244</v>
      </c>
      <c r="O145" s="419">
        <v>240</v>
      </c>
      <c r="P145" s="419">
        <v>244</v>
      </c>
    </row>
    <row r="146" spans="12:16">
      <c r="L146" s="420" t="s">
        <v>2494</v>
      </c>
      <c r="M146" s="420"/>
      <c r="N146" s="419">
        <v>732</v>
      </c>
      <c r="O146" s="419">
        <v>720</v>
      </c>
      <c r="P146" s="419">
        <v>732</v>
      </c>
    </row>
    <row r="147" spans="12:16">
      <c r="L147" s="420" t="s">
        <v>546</v>
      </c>
      <c r="M147" s="420" t="s">
        <v>2763</v>
      </c>
      <c r="N147" s="419">
        <v>180</v>
      </c>
      <c r="O147" s="419">
        <v>180</v>
      </c>
      <c r="P147" s="419">
        <v>180</v>
      </c>
    </row>
    <row r="148" spans="12:16">
      <c r="M148" s="420" t="s">
        <v>2764</v>
      </c>
      <c r="N148" s="419">
        <v>180</v>
      </c>
      <c r="O148" s="419">
        <v>180</v>
      </c>
      <c r="P148" s="419">
        <v>180</v>
      </c>
    </row>
    <row r="149" spans="12:16">
      <c r="M149" s="420" t="s">
        <v>2765</v>
      </c>
      <c r="N149" s="419">
        <v>180</v>
      </c>
      <c r="O149" s="419">
        <v>180</v>
      </c>
      <c r="P149" s="419">
        <v>180</v>
      </c>
    </row>
    <row r="150" spans="12:16">
      <c r="L150" s="420" t="s">
        <v>2495</v>
      </c>
      <c r="M150" s="420"/>
      <c r="N150" s="419">
        <v>540</v>
      </c>
      <c r="O150" s="419">
        <v>540</v>
      </c>
      <c r="P150" s="419">
        <v>540</v>
      </c>
    </row>
    <row r="151" spans="12:16">
      <c r="L151" s="420" t="s">
        <v>543</v>
      </c>
      <c r="M151" s="420" t="s">
        <v>2763</v>
      </c>
      <c r="N151" s="419">
        <v>270</v>
      </c>
      <c r="O151" s="419">
        <v>270</v>
      </c>
      <c r="P151" s="419">
        <v>270</v>
      </c>
    </row>
    <row r="152" spans="12:16">
      <c r="M152" s="420" t="s">
        <v>2764</v>
      </c>
      <c r="N152" s="419">
        <v>270</v>
      </c>
      <c r="O152" s="419">
        <v>270</v>
      </c>
      <c r="P152" s="419">
        <v>270</v>
      </c>
    </row>
    <row r="153" spans="12:16">
      <c r="M153" s="420" t="s">
        <v>2765</v>
      </c>
      <c r="N153" s="419">
        <v>270</v>
      </c>
      <c r="O153" s="419">
        <v>270</v>
      </c>
      <c r="P153" s="419">
        <v>270</v>
      </c>
    </row>
    <row r="154" spans="12:16">
      <c r="L154" s="420" t="s">
        <v>2496</v>
      </c>
      <c r="M154" s="420"/>
      <c r="N154" s="419">
        <v>810</v>
      </c>
      <c r="O154" s="419">
        <v>810</v>
      </c>
      <c r="P154" s="419">
        <v>810</v>
      </c>
    </row>
    <row r="155" spans="12:16">
      <c r="L155" s="420" t="s">
        <v>153</v>
      </c>
      <c r="M155" s="420" t="s">
        <v>2763</v>
      </c>
      <c r="N155" s="419">
        <v>66</v>
      </c>
      <c r="O155" s="419">
        <v>66</v>
      </c>
      <c r="P155" s="419">
        <v>66</v>
      </c>
    </row>
    <row r="156" spans="12:16">
      <c r="M156" s="420" t="s">
        <v>2764</v>
      </c>
      <c r="N156" s="419">
        <v>0</v>
      </c>
      <c r="O156" s="419">
        <v>0</v>
      </c>
      <c r="P156" s="419">
        <v>76</v>
      </c>
    </row>
    <row r="157" spans="12:16">
      <c r="M157" s="420" t="s">
        <v>2765</v>
      </c>
      <c r="N157" s="419">
        <v>0</v>
      </c>
      <c r="O157" s="419">
        <v>76</v>
      </c>
      <c r="P157" s="419">
        <v>76</v>
      </c>
    </row>
    <row r="158" spans="12:16">
      <c r="L158" s="420" t="s">
        <v>2433</v>
      </c>
      <c r="M158" s="420"/>
      <c r="N158" s="419">
        <v>66</v>
      </c>
      <c r="O158" s="419">
        <v>142</v>
      </c>
      <c r="P158" s="419">
        <v>218</v>
      </c>
    </row>
    <row r="159" spans="12:16">
      <c r="L159" s="420" t="s">
        <v>289</v>
      </c>
      <c r="M159" s="420" t="s">
        <v>2763</v>
      </c>
      <c r="N159" s="419">
        <v>440</v>
      </c>
      <c r="O159" s="419">
        <v>0</v>
      </c>
      <c r="P159" s="419">
        <v>500</v>
      </c>
    </row>
    <row r="160" spans="12:16">
      <c r="M160" s="420" t="s">
        <v>2764</v>
      </c>
      <c r="N160" s="419">
        <v>0</v>
      </c>
      <c r="O160" s="419">
        <v>0</v>
      </c>
      <c r="P160" s="419">
        <v>500</v>
      </c>
    </row>
    <row r="161" spans="12:16">
      <c r="M161" s="420" t="s">
        <v>2765</v>
      </c>
      <c r="N161" s="419">
        <v>0</v>
      </c>
      <c r="O161" s="419">
        <v>0</v>
      </c>
      <c r="P161" s="419">
        <v>500</v>
      </c>
    </row>
    <row r="162" spans="12:16">
      <c r="L162" s="420" t="s">
        <v>2434</v>
      </c>
      <c r="M162" s="420"/>
      <c r="N162" s="419">
        <v>440</v>
      </c>
      <c r="O162" s="419">
        <v>0</v>
      </c>
      <c r="P162" s="419">
        <v>1500</v>
      </c>
    </row>
    <row r="163" spans="12:16">
      <c r="L163" s="420" t="s">
        <v>294</v>
      </c>
      <c r="M163" s="420" t="s">
        <v>2763</v>
      </c>
      <c r="N163" s="419">
        <v>2691</v>
      </c>
      <c r="O163" s="419">
        <v>2691</v>
      </c>
      <c r="P163" s="419">
        <v>1850</v>
      </c>
    </row>
    <row r="164" spans="12:16">
      <c r="M164" s="420" t="s">
        <v>2764</v>
      </c>
      <c r="N164" s="419">
        <v>2503</v>
      </c>
      <c r="O164" s="419">
        <v>2503</v>
      </c>
      <c r="P164" s="419">
        <v>1850</v>
      </c>
    </row>
    <row r="165" spans="12:16">
      <c r="M165" s="420" t="s">
        <v>2765</v>
      </c>
      <c r="N165" s="419">
        <v>2503</v>
      </c>
      <c r="O165" s="419">
        <v>2503</v>
      </c>
      <c r="P165" s="419">
        <v>1850</v>
      </c>
    </row>
    <row r="166" spans="12:16">
      <c r="L166" s="420" t="s">
        <v>2497</v>
      </c>
      <c r="M166" s="420"/>
      <c r="N166" s="419">
        <v>7697</v>
      </c>
      <c r="O166" s="419">
        <v>7697</v>
      </c>
      <c r="P166" s="419">
        <v>5550</v>
      </c>
    </row>
    <row r="167" spans="12:16">
      <c r="L167" s="420" t="s">
        <v>1561</v>
      </c>
      <c r="M167" s="420" t="s">
        <v>2763</v>
      </c>
      <c r="N167" s="419">
        <v>242</v>
      </c>
      <c r="O167" s="419">
        <v>242</v>
      </c>
      <c r="P167" s="419">
        <v>242</v>
      </c>
    </row>
    <row r="168" spans="12:16">
      <c r="L168" s="420" t="s">
        <v>2498</v>
      </c>
      <c r="M168" s="420"/>
      <c r="N168" s="419">
        <v>242</v>
      </c>
      <c r="O168" s="419">
        <v>242</v>
      </c>
      <c r="P168" s="419">
        <v>242</v>
      </c>
    </row>
    <row r="169" spans="12:16">
      <c r="L169" s="420" t="s">
        <v>243</v>
      </c>
      <c r="M169" s="420" t="s">
        <v>2763</v>
      </c>
      <c r="N169" s="419">
        <v>500</v>
      </c>
      <c r="O169" s="419">
        <v>586</v>
      </c>
      <c r="P169" s="419">
        <v>633</v>
      </c>
    </row>
    <row r="170" spans="12:16">
      <c r="M170" s="420" t="s">
        <v>2764</v>
      </c>
      <c r="N170" s="419">
        <v>633</v>
      </c>
      <c r="O170" s="419">
        <v>607</v>
      </c>
      <c r="P170" s="419">
        <v>633</v>
      </c>
    </row>
    <row r="171" spans="12:16">
      <c r="M171" s="420" t="s">
        <v>2765</v>
      </c>
      <c r="N171" s="419">
        <v>500</v>
      </c>
      <c r="O171" s="419">
        <v>580</v>
      </c>
      <c r="P171" s="419">
        <v>66.666666666666671</v>
      </c>
    </row>
    <row r="172" spans="12:16">
      <c r="L172" s="420" t="s">
        <v>2499</v>
      </c>
      <c r="M172" s="420"/>
      <c r="N172" s="419">
        <v>1633</v>
      </c>
      <c r="O172" s="419">
        <v>1773</v>
      </c>
      <c r="P172" s="419">
        <v>1332.6666666666667</v>
      </c>
    </row>
    <row r="173" spans="12:16">
      <c r="L173" s="420" t="s">
        <v>163</v>
      </c>
      <c r="M173" s="420" t="s">
        <v>2763</v>
      </c>
      <c r="N173" s="419">
        <v>680</v>
      </c>
      <c r="O173" s="419">
        <v>160</v>
      </c>
      <c r="P173" s="419">
        <v>680</v>
      </c>
    </row>
    <row r="174" spans="12:16">
      <c r="M174" s="420" t="s">
        <v>2764</v>
      </c>
      <c r="N174" s="419">
        <v>0</v>
      </c>
      <c r="O174" s="419">
        <v>160</v>
      </c>
      <c r="P174" s="419">
        <v>718</v>
      </c>
    </row>
    <row r="175" spans="12:16">
      <c r="M175" s="420" t="s">
        <v>2765</v>
      </c>
      <c r="N175" s="419">
        <v>0</v>
      </c>
      <c r="O175" s="419">
        <v>160</v>
      </c>
      <c r="P175" s="419">
        <v>718</v>
      </c>
    </row>
    <row r="176" spans="12:16">
      <c r="L176" s="420" t="s">
        <v>2435</v>
      </c>
      <c r="M176" s="420"/>
      <c r="N176" s="419">
        <v>680</v>
      </c>
      <c r="O176" s="419">
        <v>480</v>
      </c>
      <c r="P176" s="419">
        <v>2116</v>
      </c>
    </row>
    <row r="177" spans="12:16">
      <c r="L177" s="420" t="s">
        <v>164</v>
      </c>
      <c r="M177" s="420" t="s">
        <v>2763</v>
      </c>
      <c r="N177" s="419">
        <v>676</v>
      </c>
      <c r="O177" s="419">
        <v>640</v>
      </c>
      <c r="P177" s="419">
        <v>676</v>
      </c>
    </row>
    <row r="178" spans="12:16">
      <c r="M178" s="420" t="s">
        <v>2764</v>
      </c>
      <c r="N178" s="419">
        <v>0</v>
      </c>
      <c r="O178" s="419">
        <v>640</v>
      </c>
      <c r="P178" s="419">
        <v>697</v>
      </c>
    </row>
    <row r="179" spans="12:16">
      <c r="M179" s="420" t="s">
        <v>2765</v>
      </c>
      <c r="N179" s="419">
        <v>0</v>
      </c>
      <c r="O179" s="419">
        <v>640</v>
      </c>
      <c r="P179" s="419">
        <v>697</v>
      </c>
    </row>
    <row r="180" spans="12:16">
      <c r="L180" s="420" t="s">
        <v>2436</v>
      </c>
      <c r="M180" s="420"/>
      <c r="N180" s="419">
        <v>676</v>
      </c>
      <c r="O180" s="419">
        <v>1920</v>
      </c>
      <c r="P180" s="419">
        <v>2070</v>
      </c>
    </row>
    <row r="181" spans="12:16">
      <c r="L181" s="420" t="s">
        <v>247</v>
      </c>
      <c r="M181" s="420" t="s">
        <v>2763</v>
      </c>
      <c r="N181" s="419">
        <v>500</v>
      </c>
      <c r="O181" s="419">
        <v>884</v>
      </c>
      <c r="P181" s="419">
        <v>884</v>
      </c>
    </row>
    <row r="182" spans="12:16">
      <c r="M182" s="420" t="s">
        <v>2764</v>
      </c>
      <c r="N182" s="419">
        <v>884</v>
      </c>
      <c r="O182" s="419">
        <v>884</v>
      </c>
      <c r="P182" s="419">
        <v>600</v>
      </c>
    </row>
    <row r="183" spans="12:16">
      <c r="M183" s="420" t="s">
        <v>2765</v>
      </c>
      <c r="N183" s="419">
        <v>885</v>
      </c>
      <c r="O183" s="419">
        <v>885</v>
      </c>
      <c r="P183" s="419">
        <v>885</v>
      </c>
    </row>
    <row r="184" spans="12:16">
      <c r="L184" s="420" t="s">
        <v>2500</v>
      </c>
      <c r="M184" s="420"/>
      <c r="N184" s="419">
        <v>2269</v>
      </c>
      <c r="O184" s="419">
        <v>2653</v>
      </c>
      <c r="P184" s="419">
        <v>2369</v>
      </c>
    </row>
    <row r="185" spans="12:16">
      <c r="L185" s="420" t="s">
        <v>255</v>
      </c>
      <c r="M185" s="420" t="s">
        <v>2763</v>
      </c>
      <c r="N185" s="419">
        <v>100</v>
      </c>
      <c r="O185" s="419">
        <v>100</v>
      </c>
      <c r="P185" s="419">
        <v>100</v>
      </c>
    </row>
    <row r="186" spans="12:16">
      <c r="M186" s="420" t="s">
        <v>2764</v>
      </c>
      <c r="N186" s="419">
        <v>103</v>
      </c>
      <c r="O186" s="419">
        <v>103</v>
      </c>
      <c r="P186" s="419">
        <v>0</v>
      </c>
    </row>
    <row r="187" spans="12:16">
      <c r="M187" s="420" t="s">
        <v>2765</v>
      </c>
      <c r="N187" s="419">
        <v>0</v>
      </c>
      <c r="O187" s="419">
        <v>103</v>
      </c>
      <c r="P187" s="419">
        <v>103</v>
      </c>
    </row>
    <row r="188" spans="12:16">
      <c r="L188" s="420" t="s">
        <v>2501</v>
      </c>
      <c r="M188" s="420"/>
      <c r="N188" s="419">
        <v>203</v>
      </c>
      <c r="O188" s="419">
        <v>306</v>
      </c>
      <c r="P188" s="419">
        <v>203</v>
      </c>
    </row>
    <row r="189" spans="12:16">
      <c r="L189" s="420" t="s">
        <v>256</v>
      </c>
      <c r="M189" s="420" t="s">
        <v>2763</v>
      </c>
      <c r="N189" s="419">
        <v>54</v>
      </c>
      <c r="O189" s="419">
        <v>40</v>
      </c>
      <c r="P189" s="419">
        <v>54</v>
      </c>
    </row>
    <row r="190" spans="12:16">
      <c r="M190" s="420" t="s">
        <v>2764</v>
      </c>
      <c r="N190" s="419">
        <v>54</v>
      </c>
      <c r="O190" s="419">
        <v>54</v>
      </c>
      <c r="P190" s="419">
        <v>54</v>
      </c>
    </row>
    <row r="191" spans="12:16">
      <c r="M191" s="420" t="s">
        <v>2765</v>
      </c>
      <c r="N191" s="419">
        <v>56</v>
      </c>
      <c r="O191" s="419">
        <v>56</v>
      </c>
      <c r="P191" s="419">
        <v>56</v>
      </c>
    </row>
    <row r="192" spans="12:16">
      <c r="L192" s="420" t="s">
        <v>2502</v>
      </c>
      <c r="M192" s="420"/>
      <c r="N192" s="419">
        <v>164</v>
      </c>
      <c r="O192" s="419">
        <v>150</v>
      </c>
      <c r="P192" s="419">
        <v>164</v>
      </c>
    </row>
    <row r="193" spans="12:16">
      <c r="L193" s="420" t="s">
        <v>200</v>
      </c>
      <c r="M193" s="420" t="s">
        <v>2763</v>
      </c>
      <c r="N193" s="419">
        <v>440</v>
      </c>
      <c r="O193" s="419">
        <v>420</v>
      </c>
      <c r="P193" s="419">
        <v>689</v>
      </c>
    </row>
    <row r="194" spans="12:16">
      <c r="M194" s="420" t="s">
        <v>2764</v>
      </c>
      <c r="N194" s="419">
        <v>0</v>
      </c>
      <c r="O194" s="419">
        <v>460</v>
      </c>
      <c r="P194" s="419">
        <v>689</v>
      </c>
    </row>
    <row r="195" spans="12:16">
      <c r="M195" s="420" t="s">
        <v>2765</v>
      </c>
      <c r="N195" s="419">
        <v>0</v>
      </c>
      <c r="O195" s="419">
        <v>460</v>
      </c>
      <c r="P195" s="419">
        <v>768</v>
      </c>
    </row>
    <row r="196" spans="12:16">
      <c r="L196" s="420" t="s">
        <v>2503</v>
      </c>
      <c r="M196" s="420"/>
      <c r="N196" s="419">
        <v>440</v>
      </c>
      <c r="O196" s="419">
        <v>1340</v>
      </c>
      <c r="P196" s="419">
        <v>2146</v>
      </c>
    </row>
    <row r="197" spans="12:16">
      <c r="L197" s="420" t="s">
        <v>544</v>
      </c>
      <c r="M197" s="420" t="s">
        <v>2763</v>
      </c>
      <c r="N197" s="419">
        <v>127</v>
      </c>
      <c r="O197" s="419">
        <v>127</v>
      </c>
      <c r="P197" s="419">
        <v>127</v>
      </c>
    </row>
    <row r="198" spans="12:16">
      <c r="M198" s="420" t="s">
        <v>2764</v>
      </c>
      <c r="N198" s="419">
        <v>127</v>
      </c>
      <c r="O198" s="419">
        <v>127</v>
      </c>
      <c r="P198" s="419">
        <v>127</v>
      </c>
    </row>
    <row r="199" spans="12:16">
      <c r="M199" s="420" t="s">
        <v>2765</v>
      </c>
      <c r="N199" s="419">
        <v>127</v>
      </c>
      <c r="O199" s="419">
        <v>127</v>
      </c>
      <c r="P199" s="419">
        <v>127</v>
      </c>
    </row>
    <row r="200" spans="12:16">
      <c r="L200" s="420" t="s">
        <v>2504</v>
      </c>
      <c r="M200" s="420"/>
      <c r="N200" s="419">
        <v>381</v>
      </c>
      <c r="O200" s="419">
        <v>381</v>
      </c>
      <c r="P200" s="419">
        <v>381</v>
      </c>
    </row>
    <row r="201" spans="12:16">
      <c r="L201" s="420" t="s">
        <v>281</v>
      </c>
      <c r="M201" s="420" t="s">
        <v>2763</v>
      </c>
      <c r="N201" s="419">
        <v>239</v>
      </c>
      <c r="O201" s="419">
        <v>182</v>
      </c>
      <c r="P201" s="419">
        <v>239</v>
      </c>
    </row>
    <row r="202" spans="12:16">
      <c r="M202" s="420" t="s">
        <v>2764</v>
      </c>
      <c r="N202" s="419">
        <v>239</v>
      </c>
      <c r="O202" s="419">
        <v>182</v>
      </c>
      <c r="P202" s="419">
        <v>239</v>
      </c>
    </row>
    <row r="203" spans="12:16">
      <c r="M203" s="420" t="s">
        <v>2765</v>
      </c>
      <c r="N203" s="419">
        <v>239</v>
      </c>
      <c r="O203" s="419">
        <v>182</v>
      </c>
      <c r="P203" s="419">
        <v>239</v>
      </c>
    </row>
    <row r="204" spans="12:16">
      <c r="L204" s="420" t="s">
        <v>2505</v>
      </c>
      <c r="M204" s="420"/>
      <c r="N204" s="419">
        <v>717</v>
      </c>
      <c r="O204" s="419">
        <v>546</v>
      </c>
      <c r="P204" s="419">
        <v>717</v>
      </c>
    </row>
    <row r="205" spans="12:16">
      <c r="L205" s="420" t="s">
        <v>282</v>
      </c>
      <c r="M205" s="420" t="s">
        <v>2763</v>
      </c>
      <c r="N205" s="419">
        <v>426</v>
      </c>
      <c r="O205" s="419">
        <v>126</v>
      </c>
      <c r="P205" s="419">
        <v>426</v>
      </c>
    </row>
    <row r="206" spans="12:16">
      <c r="M206" s="420" t="s">
        <v>2764</v>
      </c>
      <c r="N206" s="419">
        <v>426</v>
      </c>
      <c r="O206" s="419">
        <v>126</v>
      </c>
      <c r="P206" s="419">
        <v>426</v>
      </c>
    </row>
    <row r="207" spans="12:16">
      <c r="M207" s="420" t="s">
        <v>2765</v>
      </c>
      <c r="N207" s="419">
        <v>426</v>
      </c>
      <c r="O207" s="419">
        <v>126</v>
      </c>
      <c r="P207" s="419">
        <v>426</v>
      </c>
    </row>
    <row r="208" spans="12:16">
      <c r="L208" s="420" t="s">
        <v>2506</v>
      </c>
      <c r="M208" s="420"/>
      <c r="N208" s="419">
        <v>1278</v>
      </c>
      <c r="O208" s="419">
        <v>378</v>
      </c>
      <c r="P208" s="419">
        <v>1278</v>
      </c>
    </row>
    <row r="209" spans="12:16">
      <c r="L209" s="420" t="s">
        <v>283</v>
      </c>
      <c r="M209" s="420" t="s">
        <v>2763</v>
      </c>
      <c r="N209" s="419">
        <v>1322</v>
      </c>
      <c r="O209" s="419">
        <v>943</v>
      </c>
      <c r="P209" s="419">
        <v>1322</v>
      </c>
    </row>
    <row r="210" spans="12:16">
      <c r="M210" s="420" t="s">
        <v>2764</v>
      </c>
      <c r="N210" s="419">
        <v>1322</v>
      </c>
      <c r="O210" s="419">
        <v>943</v>
      </c>
      <c r="P210" s="419">
        <v>1322</v>
      </c>
    </row>
    <row r="211" spans="12:16">
      <c r="M211" s="420" t="s">
        <v>2765</v>
      </c>
      <c r="N211" s="419">
        <v>1322</v>
      </c>
      <c r="O211" s="419">
        <v>803</v>
      </c>
      <c r="P211" s="419">
        <v>1322</v>
      </c>
    </row>
    <row r="212" spans="12:16">
      <c r="L212" s="420" t="s">
        <v>2507</v>
      </c>
      <c r="M212" s="420"/>
      <c r="N212" s="419">
        <v>3966</v>
      </c>
      <c r="O212" s="419">
        <v>2689</v>
      </c>
      <c r="P212" s="419">
        <v>3966</v>
      </c>
    </row>
    <row r="213" spans="12:16">
      <c r="L213" s="420" t="s">
        <v>1591</v>
      </c>
      <c r="M213" s="420" t="s">
        <v>2763</v>
      </c>
      <c r="N213" s="419">
        <v>205</v>
      </c>
      <c r="O213" s="419">
        <v>300</v>
      </c>
      <c r="P213" s="419">
        <v>400</v>
      </c>
    </row>
    <row r="214" spans="12:16">
      <c r="M214" s="420" t="s">
        <v>2764</v>
      </c>
      <c r="N214" s="419">
        <v>467</v>
      </c>
      <c r="O214" s="419">
        <v>300</v>
      </c>
      <c r="P214" s="419">
        <v>0</v>
      </c>
    </row>
    <row r="215" spans="12:16">
      <c r="M215" s="420" t="s">
        <v>2765</v>
      </c>
      <c r="N215" s="419">
        <v>460</v>
      </c>
      <c r="O215" s="419">
        <v>300</v>
      </c>
      <c r="P215" s="419">
        <v>400</v>
      </c>
    </row>
    <row r="216" spans="12:16">
      <c r="L216" s="420" t="s">
        <v>2508</v>
      </c>
      <c r="M216" s="420"/>
      <c r="N216" s="419">
        <v>1132</v>
      </c>
      <c r="O216" s="419">
        <v>900</v>
      </c>
      <c r="P216" s="419">
        <v>800</v>
      </c>
    </row>
    <row r="217" spans="12:16">
      <c r="L217" s="420" t="s">
        <v>174</v>
      </c>
      <c r="M217" s="420" t="s">
        <v>2763</v>
      </c>
      <c r="N217" s="419">
        <v>289</v>
      </c>
      <c r="O217" s="419">
        <v>240</v>
      </c>
      <c r="P217" s="419">
        <v>289</v>
      </c>
    </row>
    <row r="218" spans="12:16">
      <c r="L218" s="420" t="s">
        <v>2437</v>
      </c>
      <c r="M218" s="420"/>
      <c r="N218" s="419">
        <v>289</v>
      </c>
      <c r="O218" s="419">
        <v>240</v>
      </c>
      <c r="P218" s="419">
        <v>289</v>
      </c>
    </row>
    <row r="219" spans="12:16">
      <c r="L219" s="420" t="s">
        <v>288</v>
      </c>
      <c r="M219" s="420" t="s">
        <v>2763</v>
      </c>
      <c r="N219" s="419">
        <v>0</v>
      </c>
      <c r="O219" s="419">
        <v>0</v>
      </c>
      <c r="P219" s="419"/>
    </row>
    <row r="220" spans="12:16">
      <c r="M220" s="420" t="s">
        <v>2764</v>
      </c>
      <c r="N220" s="419">
        <v>0</v>
      </c>
      <c r="O220" s="419">
        <v>0</v>
      </c>
      <c r="P220" s="419">
        <v>0</v>
      </c>
    </row>
    <row r="221" spans="12:16">
      <c r="L221" s="420" t="s">
        <v>2509</v>
      </c>
      <c r="M221" s="420"/>
      <c r="N221" s="419">
        <v>0</v>
      </c>
      <c r="O221" s="419">
        <v>0</v>
      </c>
      <c r="P221" s="419">
        <v>0</v>
      </c>
    </row>
    <row r="222" spans="12:16">
      <c r="L222" s="420" t="s">
        <v>1613</v>
      </c>
      <c r="M222" s="420" t="s">
        <v>2763</v>
      </c>
      <c r="N222" s="419">
        <v>78</v>
      </c>
      <c r="O222" s="419">
        <v>40</v>
      </c>
      <c r="P222" s="419">
        <v>78</v>
      </c>
    </row>
    <row r="223" spans="12:16">
      <c r="M223" s="420" t="s">
        <v>2764</v>
      </c>
      <c r="N223" s="419">
        <v>0</v>
      </c>
      <c r="O223" s="419">
        <v>60</v>
      </c>
      <c r="P223" s="419">
        <v>73</v>
      </c>
    </row>
    <row r="224" spans="12:16">
      <c r="M224" s="420" t="s">
        <v>2765</v>
      </c>
      <c r="N224" s="419">
        <v>0</v>
      </c>
      <c r="O224" s="419">
        <v>60</v>
      </c>
      <c r="P224" s="419">
        <v>73</v>
      </c>
    </row>
    <row r="225" spans="12:16">
      <c r="L225" s="420" t="s">
        <v>2438</v>
      </c>
      <c r="M225" s="420"/>
      <c r="N225" s="419">
        <v>78</v>
      </c>
      <c r="O225" s="419">
        <v>160</v>
      </c>
      <c r="P225" s="419">
        <v>224</v>
      </c>
    </row>
    <row r="226" spans="12:16">
      <c r="L226" s="420" t="s">
        <v>176</v>
      </c>
      <c r="M226" s="420" t="s">
        <v>2763</v>
      </c>
      <c r="N226" s="419">
        <v>159</v>
      </c>
      <c r="O226" s="419">
        <v>120</v>
      </c>
      <c r="P226" s="419">
        <v>159</v>
      </c>
    </row>
    <row r="227" spans="12:16">
      <c r="M227" s="420" t="s">
        <v>2764</v>
      </c>
      <c r="N227" s="419">
        <v>238</v>
      </c>
      <c r="O227" s="419">
        <v>120</v>
      </c>
      <c r="P227" s="419">
        <v>238</v>
      </c>
    </row>
    <row r="228" spans="12:16">
      <c r="M228" s="420" t="s">
        <v>2765</v>
      </c>
      <c r="N228" s="419">
        <v>238</v>
      </c>
      <c r="O228" s="419">
        <v>120</v>
      </c>
      <c r="P228" s="419">
        <v>238</v>
      </c>
    </row>
    <row r="229" spans="12:16">
      <c r="L229" s="420" t="s">
        <v>2439</v>
      </c>
      <c r="M229" s="420"/>
      <c r="N229" s="419">
        <v>635</v>
      </c>
      <c r="O229" s="419">
        <v>360</v>
      </c>
      <c r="P229" s="419">
        <v>635</v>
      </c>
    </row>
    <row r="230" spans="12:16">
      <c r="L230" s="420" t="s">
        <v>177</v>
      </c>
      <c r="M230" s="420" t="s">
        <v>2763</v>
      </c>
      <c r="N230" s="419">
        <v>1736</v>
      </c>
      <c r="O230" s="419">
        <v>1736</v>
      </c>
      <c r="P230" s="419">
        <v>0</v>
      </c>
    </row>
    <row r="231" spans="12:16">
      <c r="M231" s="420" t="s">
        <v>2764</v>
      </c>
      <c r="N231" s="419">
        <v>1469</v>
      </c>
      <c r="O231" s="419">
        <v>1469</v>
      </c>
      <c r="P231" s="419">
        <v>400</v>
      </c>
    </row>
    <row r="232" spans="12:16">
      <c r="M232" s="420" t="s">
        <v>2765</v>
      </c>
      <c r="N232" s="419">
        <v>1469</v>
      </c>
      <c r="O232" s="419">
        <v>1469</v>
      </c>
      <c r="P232" s="419">
        <v>400</v>
      </c>
    </row>
    <row r="233" spans="12:16">
      <c r="L233" s="420" t="s">
        <v>2510</v>
      </c>
      <c r="M233" s="420"/>
      <c r="N233" s="419">
        <v>4674</v>
      </c>
      <c r="O233" s="419">
        <v>4674</v>
      </c>
      <c r="P233" s="419">
        <v>800</v>
      </c>
    </row>
    <row r="234" spans="12:16">
      <c r="L234" s="420" t="s">
        <v>1616</v>
      </c>
      <c r="M234" s="420" t="s">
        <v>2763</v>
      </c>
      <c r="N234" s="419">
        <v>500</v>
      </c>
      <c r="O234" s="419">
        <v>502</v>
      </c>
      <c r="P234" s="419">
        <v>502</v>
      </c>
    </row>
    <row r="235" spans="12:16">
      <c r="M235" s="420" t="s">
        <v>2764</v>
      </c>
      <c r="N235" s="419">
        <v>500</v>
      </c>
      <c r="O235" s="419">
        <v>502</v>
      </c>
      <c r="P235" s="419">
        <v>502</v>
      </c>
    </row>
    <row r="236" spans="12:16">
      <c r="M236" s="420" t="s">
        <v>2765</v>
      </c>
      <c r="N236" s="419">
        <v>500</v>
      </c>
      <c r="O236" s="419">
        <v>502</v>
      </c>
      <c r="P236" s="419">
        <v>502</v>
      </c>
    </row>
    <row r="237" spans="12:16">
      <c r="L237" s="420" t="s">
        <v>2511</v>
      </c>
      <c r="M237" s="420"/>
      <c r="N237" s="419">
        <v>1500</v>
      </c>
      <c r="O237" s="419">
        <v>1506</v>
      </c>
      <c r="P237" s="419">
        <v>1506</v>
      </c>
    </row>
    <row r="238" spans="12:16">
      <c r="L238" s="420" t="s">
        <v>269</v>
      </c>
      <c r="M238" s="420" t="s">
        <v>2763</v>
      </c>
      <c r="N238" s="419">
        <v>1000</v>
      </c>
      <c r="O238" s="419">
        <v>420</v>
      </c>
      <c r="P238" s="419">
        <v>1000</v>
      </c>
    </row>
    <row r="239" spans="12:16">
      <c r="M239" s="420" t="s">
        <v>2764</v>
      </c>
      <c r="N239" s="419">
        <v>1780</v>
      </c>
      <c r="O239" s="419">
        <v>480</v>
      </c>
      <c r="P239" s="419">
        <v>1200</v>
      </c>
    </row>
    <row r="240" spans="12:16">
      <c r="M240" s="420" t="s">
        <v>2765</v>
      </c>
      <c r="N240" s="419">
        <v>906</v>
      </c>
      <c r="O240" s="419">
        <v>760</v>
      </c>
      <c r="P240" s="419">
        <v>906</v>
      </c>
    </row>
    <row r="241" spans="12:16">
      <c r="L241" s="420" t="s">
        <v>2512</v>
      </c>
      <c r="M241" s="420"/>
      <c r="N241" s="419">
        <v>3686</v>
      </c>
      <c r="O241" s="419">
        <v>1660</v>
      </c>
      <c r="P241" s="419">
        <v>3106</v>
      </c>
    </row>
    <row r="242" spans="12:16">
      <c r="L242" s="420" t="s">
        <v>237</v>
      </c>
      <c r="M242" s="420" t="s">
        <v>2763</v>
      </c>
      <c r="N242" s="419">
        <v>30</v>
      </c>
      <c r="O242" s="419">
        <v>1776</v>
      </c>
      <c r="P242" s="419">
        <v>1776</v>
      </c>
    </row>
    <row r="243" spans="12:16">
      <c r="M243" s="420" t="s">
        <v>2764</v>
      </c>
      <c r="N243" s="419">
        <v>1494</v>
      </c>
      <c r="O243" s="419">
        <v>1494</v>
      </c>
      <c r="P243" s="419">
        <v>1494</v>
      </c>
    </row>
    <row r="244" spans="12:16">
      <c r="M244" s="420" t="s">
        <v>2765</v>
      </c>
      <c r="N244" s="419">
        <v>1000</v>
      </c>
      <c r="O244" s="419">
        <v>1492</v>
      </c>
      <c r="P244" s="419">
        <v>1492</v>
      </c>
    </row>
    <row r="245" spans="12:16">
      <c r="L245" s="420" t="s">
        <v>2513</v>
      </c>
      <c r="M245" s="420"/>
      <c r="N245" s="419">
        <v>2524</v>
      </c>
      <c r="O245" s="419">
        <v>4762</v>
      </c>
      <c r="P245" s="419">
        <v>4762</v>
      </c>
    </row>
    <row r="246" spans="12:16">
      <c r="L246" s="420" t="s">
        <v>178</v>
      </c>
      <c r="M246" s="420" t="s">
        <v>2763</v>
      </c>
      <c r="N246" s="419">
        <v>2500</v>
      </c>
      <c r="O246" s="419">
        <v>2500</v>
      </c>
      <c r="P246" s="419">
        <v>2500</v>
      </c>
    </row>
    <row r="247" spans="12:16">
      <c r="M247" s="420" t="s">
        <v>2764</v>
      </c>
      <c r="N247" s="419">
        <v>2920</v>
      </c>
      <c r="O247" s="419">
        <v>2600</v>
      </c>
      <c r="P247" s="419">
        <v>2920</v>
      </c>
    </row>
    <row r="248" spans="12:16">
      <c r="M248" s="420" t="s">
        <v>2765</v>
      </c>
      <c r="N248" s="419">
        <v>2920</v>
      </c>
      <c r="O248" s="419">
        <v>2600</v>
      </c>
      <c r="P248" s="419">
        <v>2920</v>
      </c>
    </row>
    <row r="249" spans="12:16">
      <c r="L249" s="420" t="s">
        <v>2440</v>
      </c>
      <c r="M249" s="420"/>
      <c r="N249" s="419">
        <v>8340</v>
      </c>
      <c r="O249" s="419">
        <v>7700</v>
      </c>
      <c r="P249" s="419">
        <v>8340</v>
      </c>
    </row>
    <row r="250" spans="12:16">
      <c r="L250" s="420" t="s">
        <v>179</v>
      </c>
      <c r="M250" s="420" t="s">
        <v>2763</v>
      </c>
      <c r="N250" s="419">
        <v>191</v>
      </c>
      <c r="O250" s="419">
        <v>191</v>
      </c>
      <c r="P250" s="419">
        <v>191</v>
      </c>
    </row>
    <row r="251" spans="12:16">
      <c r="M251" s="420" t="s">
        <v>2764</v>
      </c>
      <c r="N251" s="419">
        <v>283</v>
      </c>
      <c r="O251" s="419">
        <v>200</v>
      </c>
      <c r="P251" s="419">
        <v>283</v>
      </c>
    </row>
    <row r="252" spans="12:16">
      <c r="M252" s="420" t="s">
        <v>2765</v>
      </c>
      <c r="N252" s="419">
        <v>283</v>
      </c>
      <c r="O252" s="419">
        <v>200</v>
      </c>
      <c r="P252" s="419">
        <v>283</v>
      </c>
    </row>
    <row r="253" spans="12:16">
      <c r="L253" s="420" t="s">
        <v>2441</v>
      </c>
      <c r="M253" s="420"/>
      <c r="N253" s="419">
        <v>757</v>
      </c>
      <c r="O253" s="419">
        <v>591</v>
      </c>
      <c r="P253" s="419">
        <v>757</v>
      </c>
    </row>
    <row r="254" spans="12:16">
      <c r="L254" s="420" t="s">
        <v>183</v>
      </c>
      <c r="M254" s="420" t="s">
        <v>2763</v>
      </c>
      <c r="N254" s="419">
        <v>1599</v>
      </c>
      <c r="O254" s="419">
        <v>1599</v>
      </c>
      <c r="P254" s="419">
        <v>1599</v>
      </c>
    </row>
    <row r="255" spans="12:16">
      <c r="M255" s="420" t="s">
        <v>2764</v>
      </c>
      <c r="N255" s="419">
        <v>1759</v>
      </c>
      <c r="O255" s="419">
        <v>1759</v>
      </c>
      <c r="P255" s="419">
        <v>400</v>
      </c>
    </row>
    <row r="256" spans="12:16">
      <c r="M256" s="420" t="s">
        <v>2765</v>
      </c>
      <c r="N256" s="419">
        <v>1772</v>
      </c>
      <c r="O256" s="419">
        <v>1772</v>
      </c>
      <c r="P256" s="419">
        <v>400</v>
      </c>
    </row>
    <row r="257" spans="12:16">
      <c r="L257" s="420" t="s">
        <v>2442</v>
      </c>
      <c r="M257" s="420"/>
      <c r="N257" s="419">
        <v>5130</v>
      </c>
      <c r="O257" s="419">
        <v>5130</v>
      </c>
      <c r="P257" s="419">
        <v>2399</v>
      </c>
    </row>
    <row r="258" spans="12:16">
      <c r="L258" s="420" t="s">
        <v>39</v>
      </c>
      <c r="M258" s="420" t="s">
        <v>2763</v>
      </c>
      <c r="N258" s="419">
        <v>694</v>
      </c>
      <c r="O258" s="419">
        <v>694</v>
      </c>
      <c r="P258" s="419">
        <v>694</v>
      </c>
    </row>
    <row r="259" spans="12:16">
      <c r="M259" s="420" t="s">
        <v>2764</v>
      </c>
      <c r="N259" s="419">
        <v>694</v>
      </c>
      <c r="O259" s="419">
        <v>694</v>
      </c>
      <c r="P259" s="419">
        <v>694</v>
      </c>
    </row>
    <row r="260" spans="12:16">
      <c r="M260" s="420" t="s">
        <v>2765</v>
      </c>
      <c r="N260" s="419">
        <v>694</v>
      </c>
      <c r="O260" s="419">
        <v>694</v>
      </c>
      <c r="P260" s="419">
        <v>694</v>
      </c>
    </row>
    <row r="261" spans="12:16">
      <c r="L261" s="420" t="s">
        <v>2514</v>
      </c>
      <c r="M261" s="420"/>
      <c r="N261" s="419">
        <v>2082</v>
      </c>
      <c r="O261" s="419">
        <v>2082</v>
      </c>
      <c r="P261" s="419">
        <v>2082</v>
      </c>
    </row>
    <row r="262" spans="12:16">
      <c r="L262" s="420" t="s">
        <v>165</v>
      </c>
      <c r="M262" s="420" t="s">
        <v>2763</v>
      </c>
      <c r="N262" s="419">
        <v>290</v>
      </c>
      <c r="O262" s="419">
        <v>140</v>
      </c>
      <c r="P262" s="419">
        <v>290</v>
      </c>
    </row>
    <row r="263" spans="12:16">
      <c r="M263" s="420" t="s">
        <v>2764</v>
      </c>
      <c r="N263" s="419">
        <v>0</v>
      </c>
      <c r="O263" s="419">
        <v>140</v>
      </c>
      <c r="P263" s="419">
        <v>327</v>
      </c>
    </row>
    <row r="264" spans="12:16">
      <c r="M264" s="420" t="s">
        <v>2765</v>
      </c>
      <c r="N264" s="419">
        <v>0</v>
      </c>
      <c r="O264" s="419">
        <v>140</v>
      </c>
      <c r="P264" s="419">
        <v>327</v>
      </c>
    </row>
    <row r="265" spans="12:16">
      <c r="L265" s="420" t="s">
        <v>2443</v>
      </c>
      <c r="M265" s="420"/>
      <c r="N265" s="419">
        <v>290</v>
      </c>
      <c r="O265" s="419">
        <v>420</v>
      </c>
      <c r="P265" s="419">
        <v>944</v>
      </c>
    </row>
    <row r="266" spans="12:16">
      <c r="L266" s="420" t="s">
        <v>210</v>
      </c>
      <c r="M266" s="420" t="s">
        <v>2763</v>
      </c>
      <c r="N266" s="419">
        <v>500</v>
      </c>
      <c r="O266" s="419">
        <v>741</v>
      </c>
      <c r="P266" s="419">
        <v>741</v>
      </c>
    </row>
    <row r="267" spans="12:16">
      <c r="M267" s="420" t="s">
        <v>2764</v>
      </c>
      <c r="N267" s="419">
        <v>0</v>
      </c>
      <c r="O267" s="419">
        <v>741</v>
      </c>
      <c r="P267" s="419">
        <v>741</v>
      </c>
    </row>
    <row r="268" spans="12:16">
      <c r="M268" s="420" t="s">
        <v>2765</v>
      </c>
      <c r="N268" s="419">
        <v>0</v>
      </c>
      <c r="O268" s="419">
        <v>741</v>
      </c>
      <c r="P268" s="419">
        <v>741</v>
      </c>
    </row>
    <row r="269" spans="12:16">
      <c r="L269" s="420" t="s">
        <v>2515</v>
      </c>
      <c r="M269" s="420"/>
      <c r="N269" s="419">
        <v>500</v>
      </c>
      <c r="O269" s="419">
        <v>2223</v>
      </c>
      <c r="P269" s="419">
        <v>2223</v>
      </c>
    </row>
    <row r="270" spans="12:16">
      <c r="L270" s="420" t="s">
        <v>287</v>
      </c>
      <c r="M270" s="420" t="s">
        <v>2763</v>
      </c>
      <c r="N270" s="419">
        <v>590</v>
      </c>
      <c r="O270" s="419">
        <v>563</v>
      </c>
      <c r="P270" s="419">
        <v>590</v>
      </c>
    </row>
    <row r="271" spans="12:16">
      <c r="M271" s="420" t="s">
        <v>2764</v>
      </c>
      <c r="N271" s="419">
        <v>586</v>
      </c>
      <c r="O271" s="419">
        <v>563</v>
      </c>
      <c r="P271" s="419">
        <v>586</v>
      </c>
    </row>
    <row r="272" spans="12:16">
      <c r="M272" s="420" t="s">
        <v>2765</v>
      </c>
      <c r="N272" s="419">
        <v>586</v>
      </c>
      <c r="O272" s="419">
        <v>563</v>
      </c>
      <c r="P272" s="419">
        <v>586</v>
      </c>
    </row>
    <row r="273" spans="12:16">
      <c r="L273" s="420" t="s">
        <v>2516</v>
      </c>
      <c r="M273" s="420"/>
      <c r="N273" s="419">
        <v>1762</v>
      </c>
      <c r="O273" s="419">
        <v>1689</v>
      </c>
      <c r="P273" s="419">
        <v>1762</v>
      </c>
    </row>
    <row r="274" spans="12:16">
      <c r="L274" s="420" t="s">
        <v>166</v>
      </c>
      <c r="M274" s="420" t="s">
        <v>2763</v>
      </c>
      <c r="N274" s="419">
        <v>547</v>
      </c>
      <c r="O274" s="419">
        <v>547</v>
      </c>
      <c r="P274" s="419">
        <v>547</v>
      </c>
    </row>
    <row r="275" spans="12:16">
      <c r="M275" s="420" t="s">
        <v>2764</v>
      </c>
      <c r="N275" s="419">
        <v>0</v>
      </c>
      <c r="O275" s="419">
        <v>622</v>
      </c>
      <c r="P275" s="419">
        <v>622</v>
      </c>
    </row>
    <row r="276" spans="12:16">
      <c r="M276" s="420" t="s">
        <v>2765</v>
      </c>
      <c r="N276" s="419">
        <v>0</v>
      </c>
      <c r="O276" s="419">
        <v>622</v>
      </c>
      <c r="P276" s="419">
        <v>622</v>
      </c>
    </row>
    <row r="277" spans="12:16">
      <c r="L277" s="420" t="s">
        <v>2444</v>
      </c>
      <c r="M277" s="420"/>
      <c r="N277" s="419">
        <v>547</v>
      </c>
      <c r="O277" s="419">
        <v>1791</v>
      </c>
      <c r="P277" s="419">
        <v>1791</v>
      </c>
    </row>
    <row r="278" spans="12:16">
      <c r="L278" s="420" t="s">
        <v>557</v>
      </c>
      <c r="M278" s="420" t="s">
        <v>2763</v>
      </c>
      <c r="N278" s="419">
        <v>30</v>
      </c>
      <c r="O278" s="419">
        <v>0</v>
      </c>
      <c r="P278" s="419">
        <v>0</v>
      </c>
    </row>
    <row r="279" spans="12:16">
      <c r="M279" s="420" t="s">
        <v>2764</v>
      </c>
      <c r="N279" s="419">
        <v>0</v>
      </c>
      <c r="O279" s="419">
        <v>0</v>
      </c>
      <c r="P279" s="419">
        <v>0</v>
      </c>
    </row>
    <row r="280" spans="12:16">
      <c r="M280" s="420" t="s">
        <v>2765</v>
      </c>
      <c r="N280" s="419">
        <v>0</v>
      </c>
      <c r="O280" s="419">
        <v>0</v>
      </c>
      <c r="P280" s="419">
        <v>0</v>
      </c>
    </row>
    <row r="281" spans="12:16">
      <c r="L281" s="420" t="s">
        <v>2517</v>
      </c>
      <c r="M281" s="420"/>
      <c r="N281" s="419">
        <v>30</v>
      </c>
      <c r="O281" s="419">
        <v>0</v>
      </c>
      <c r="P281" s="419">
        <v>0</v>
      </c>
    </row>
    <row r="282" spans="12:16">
      <c r="L282" s="420" t="s">
        <v>554</v>
      </c>
      <c r="M282" s="420" t="s">
        <v>2763</v>
      </c>
      <c r="N282" s="419">
        <v>104</v>
      </c>
      <c r="O282" s="419">
        <v>80</v>
      </c>
      <c r="P282" s="419">
        <v>104</v>
      </c>
    </row>
    <row r="283" spans="12:16">
      <c r="M283" s="420" t="s">
        <v>2764</v>
      </c>
      <c r="N283" s="419">
        <v>0</v>
      </c>
      <c r="O283" s="419">
        <v>80</v>
      </c>
      <c r="P283" s="419">
        <v>104</v>
      </c>
    </row>
    <row r="284" spans="12:16">
      <c r="M284" s="420" t="s">
        <v>2765</v>
      </c>
      <c r="N284" s="419">
        <v>0</v>
      </c>
      <c r="O284" s="419">
        <v>80</v>
      </c>
      <c r="P284" s="419">
        <v>104</v>
      </c>
    </row>
    <row r="285" spans="12:16">
      <c r="L285" s="420" t="s">
        <v>2518</v>
      </c>
      <c r="M285" s="420"/>
      <c r="N285" s="419">
        <v>104</v>
      </c>
      <c r="O285" s="419">
        <v>240</v>
      </c>
      <c r="P285" s="419">
        <v>312</v>
      </c>
    </row>
    <row r="286" spans="12:16">
      <c r="L286" s="420" t="s">
        <v>298</v>
      </c>
      <c r="M286" s="420" t="s">
        <v>2763</v>
      </c>
      <c r="N286" s="419">
        <v>500</v>
      </c>
      <c r="O286" s="419">
        <v>360</v>
      </c>
      <c r="P286" s="419">
        <v>500.00000000000006</v>
      </c>
    </row>
    <row r="287" spans="12:16">
      <c r="M287" s="420" t="s">
        <v>2764</v>
      </c>
      <c r="N287" s="419">
        <v>655</v>
      </c>
      <c r="O287" s="419">
        <v>360</v>
      </c>
      <c r="P287" s="419">
        <v>655</v>
      </c>
    </row>
    <row r="288" spans="12:16">
      <c r="M288" s="420" t="s">
        <v>2765</v>
      </c>
      <c r="N288" s="419">
        <v>655</v>
      </c>
      <c r="O288" s="419">
        <v>360</v>
      </c>
      <c r="P288" s="419">
        <v>655</v>
      </c>
    </row>
    <row r="289" spans="12:16">
      <c r="L289" s="420" t="s">
        <v>2519</v>
      </c>
      <c r="M289" s="420"/>
      <c r="N289" s="419">
        <v>1810</v>
      </c>
      <c r="O289" s="419">
        <v>1080</v>
      </c>
      <c r="P289" s="419">
        <v>1810</v>
      </c>
    </row>
    <row r="290" spans="12:16">
      <c r="L290" s="420" t="s">
        <v>300</v>
      </c>
      <c r="M290" s="420" t="s">
        <v>2763</v>
      </c>
      <c r="N290" s="419">
        <v>50</v>
      </c>
      <c r="O290" s="419">
        <v>538</v>
      </c>
      <c r="P290" s="419">
        <v>538</v>
      </c>
    </row>
    <row r="291" spans="12:16">
      <c r="M291" s="420" t="s">
        <v>2764</v>
      </c>
      <c r="N291" s="419">
        <v>538</v>
      </c>
      <c r="O291" s="419">
        <v>538</v>
      </c>
      <c r="P291" s="419">
        <v>538</v>
      </c>
    </row>
    <row r="292" spans="12:16">
      <c r="M292" s="420" t="s">
        <v>2765</v>
      </c>
      <c r="N292" s="419">
        <v>538</v>
      </c>
      <c r="O292" s="419">
        <v>538</v>
      </c>
      <c r="P292" s="419">
        <v>538</v>
      </c>
    </row>
    <row r="293" spans="12:16">
      <c r="L293" s="420" t="s">
        <v>2520</v>
      </c>
      <c r="M293" s="420"/>
      <c r="N293" s="419">
        <v>1126</v>
      </c>
      <c r="O293" s="419">
        <v>1614</v>
      </c>
      <c r="P293" s="419">
        <v>1614</v>
      </c>
    </row>
    <row r="294" spans="12:16">
      <c r="L294" s="420" t="s">
        <v>301</v>
      </c>
      <c r="M294" s="420" t="s">
        <v>2763</v>
      </c>
      <c r="N294" s="419">
        <v>500</v>
      </c>
      <c r="O294" s="419">
        <v>2354</v>
      </c>
      <c r="P294" s="419">
        <v>500</v>
      </c>
    </row>
    <row r="295" spans="12:16">
      <c r="M295" s="420" t="s">
        <v>2764</v>
      </c>
      <c r="N295" s="419">
        <v>2354</v>
      </c>
      <c r="O295" s="419">
        <v>740</v>
      </c>
      <c r="P295" s="419">
        <v>966.66666666666663</v>
      </c>
    </row>
    <row r="296" spans="12:16">
      <c r="M296" s="420" t="s">
        <v>2765</v>
      </c>
      <c r="N296" s="419">
        <v>1000</v>
      </c>
      <c r="O296" s="419">
        <v>2354</v>
      </c>
      <c r="P296" s="419">
        <v>1366.6666666666667</v>
      </c>
    </row>
    <row r="297" spans="12:16">
      <c r="L297" s="420" t="s">
        <v>2521</v>
      </c>
      <c r="M297" s="420"/>
      <c r="N297" s="419">
        <v>3854</v>
      </c>
      <c r="O297" s="419">
        <v>5448</v>
      </c>
      <c r="P297" s="419">
        <v>2833.333333333333</v>
      </c>
    </row>
    <row r="298" spans="12:16">
      <c r="L298" s="420" t="s">
        <v>302</v>
      </c>
      <c r="M298" s="420" t="s">
        <v>2763</v>
      </c>
      <c r="N298" s="419">
        <v>30</v>
      </c>
      <c r="O298" s="419">
        <v>737</v>
      </c>
      <c r="P298" s="419">
        <v>737</v>
      </c>
    </row>
    <row r="299" spans="12:16">
      <c r="M299" s="420" t="s">
        <v>2764</v>
      </c>
      <c r="N299" s="419">
        <v>737</v>
      </c>
      <c r="O299" s="419">
        <v>737</v>
      </c>
      <c r="P299" s="419">
        <v>566.66666666666663</v>
      </c>
    </row>
    <row r="300" spans="12:16">
      <c r="M300" s="420" t="s">
        <v>2765</v>
      </c>
      <c r="N300" s="419">
        <v>737</v>
      </c>
      <c r="O300" s="419">
        <v>737</v>
      </c>
      <c r="P300" s="419">
        <v>737</v>
      </c>
    </row>
    <row r="301" spans="12:16">
      <c r="L301" s="420" t="s">
        <v>2522</v>
      </c>
      <c r="M301" s="420"/>
      <c r="N301" s="419">
        <v>1504</v>
      </c>
      <c r="O301" s="419">
        <v>2211</v>
      </c>
      <c r="P301" s="419">
        <v>2040.6666666666665</v>
      </c>
    </row>
    <row r="302" spans="12:16">
      <c r="L302" s="420" t="s">
        <v>548</v>
      </c>
      <c r="M302" s="420" t="s">
        <v>2763</v>
      </c>
      <c r="N302" s="419">
        <v>125</v>
      </c>
      <c r="O302" s="419">
        <v>125</v>
      </c>
      <c r="P302" s="419">
        <v>125</v>
      </c>
    </row>
    <row r="303" spans="12:16">
      <c r="M303" s="420" t="s">
        <v>2764</v>
      </c>
      <c r="N303" s="419">
        <v>125</v>
      </c>
      <c r="O303" s="419">
        <v>125</v>
      </c>
      <c r="P303" s="419">
        <v>125</v>
      </c>
    </row>
    <row r="304" spans="12:16">
      <c r="M304" s="420" t="s">
        <v>2765</v>
      </c>
      <c r="N304" s="419">
        <v>125</v>
      </c>
      <c r="O304" s="419">
        <v>125</v>
      </c>
      <c r="P304" s="419">
        <v>125</v>
      </c>
    </row>
    <row r="305" spans="12:16">
      <c r="L305" s="420" t="s">
        <v>2523</v>
      </c>
      <c r="M305" s="420"/>
      <c r="N305" s="419">
        <v>375</v>
      </c>
      <c r="O305" s="419">
        <v>375</v>
      </c>
      <c r="P305" s="419">
        <v>375</v>
      </c>
    </row>
    <row r="306" spans="12:16">
      <c r="L306" s="420" t="s">
        <v>523</v>
      </c>
      <c r="M306" s="420" t="s">
        <v>2763</v>
      </c>
      <c r="N306" s="419">
        <v>157</v>
      </c>
      <c r="O306" s="419">
        <v>157</v>
      </c>
      <c r="P306" s="419">
        <v>157</v>
      </c>
    </row>
    <row r="307" spans="12:16">
      <c r="M307" s="420" t="s">
        <v>2764</v>
      </c>
      <c r="N307" s="419">
        <v>157</v>
      </c>
      <c r="O307" s="419">
        <v>157</v>
      </c>
      <c r="P307" s="419">
        <v>157</v>
      </c>
    </row>
    <row r="308" spans="12:16">
      <c r="M308" s="420" t="s">
        <v>2765</v>
      </c>
      <c r="N308" s="419">
        <v>157</v>
      </c>
      <c r="O308" s="419">
        <v>157</v>
      </c>
      <c r="P308" s="419">
        <v>157</v>
      </c>
    </row>
    <row r="309" spans="12:16">
      <c r="L309" s="420" t="s">
        <v>2524</v>
      </c>
      <c r="M309" s="420"/>
      <c r="N309" s="419">
        <v>471</v>
      </c>
      <c r="O309" s="419">
        <v>471</v>
      </c>
      <c r="P309" s="419">
        <v>471</v>
      </c>
    </row>
    <row r="310" spans="12:16">
      <c r="L310" s="420" t="s">
        <v>193</v>
      </c>
      <c r="M310" s="420" t="s">
        <v>2763</v>
      </c>
      <c r="N310" s="419">
        <v>789</v>
      </c>
      <c r="O310" s="419">
        <v>789</v>
      </c>
      <c r="P310" s="419">
        <v>789</v>
      </c>
    </row>
    <row r="311" spans="12:16">
      <c r="M311" s="420" t="s">
        <v>2764</v>
      </c>
      <c r="N311" s="419">
        <v>0</v>
      </c>
      <c r="O311" s="419">
        <v>789</v>
      </c>
      <c r="P311" s="419">
        <v>789</v>
      </c>
    </row>
    <row r="312" spans="12:16">
      <c r="M312" s="420" t="s">
        <v>2765</v>
      </c>
      <c r="N312" s="419">
        <v>0</v>
      </c>
      <c r="O312" s="419">
        <v>789</v>
      </c>
      <c r="P312" s="419">
        <v>789</v>
      </c>
    </row>
    <row r="313" spans="12:16">
      <c r="L313" s="420" t="s">
        <v>2525</v>
      </c>
      <c r="M313" s="420"/>
      <c r="N313" s="419">
        <v>789</v>
      </c>
      <c r="O313" s="419">
        <v>2367</v>
      </c>
      <c r="P313" s="419">
        <v>2367</v>
      </c>
    </row>
    <row r="314" spans="12:16">
      <c r="L314" s="420" t="s">
        <v>263</v>
      </c>
      <c r="M314" s="420" t="s">
        <v>2763</v>
      </c>
      <c r="N314" s="419">
        <v>90</v>
      </c>
      <c r="O314" s="419">
        <v>80</v>
      </c>
      <c r="P314" s="419">
        <v>90</v>
      </c>
    </row>
    <row r="315" spans="12:16">
      <c r="M315" s="420" t="s">
        <v>2764</v>
      </c>
      <c r="N315" s="419">
        <v>84</v>
      </c>
      <c r="O315" s="419">
        <v>84</v>
      </c>
      <c r="P315" s="419">
        <v>84</v>
      </c>
    </row>
    <row r="316" spans="12:16">
      <c r="M316" s="420" t="s">
        <v>2765</v>
      </c>
      <c r="N316" s="419">
        <v>82</v>
      </c>
      <c r="O316" s="419">
        <v>40</v>
      </c>
      <c r="P316" s="419">
        <v>0</v>
      </c>
    </row>
    <row r="317" spans="12:16">
      <c r="L317" s="420" t="s">
        <v>2526</v>
      </c>
      <c r="M317" s="420"/>
      <c r="N317" s="419">
        <v>256</v>
      </c>
      <c r="O317" s="419">
        <v>204</v>
      </c>
      <c r="P317" s="419">
        <v>174</v>
      </c>
    </row>
    <row r="318" spans="12:16">
      <c r="L318" s="420" t="s">
        <v>264</v>
      </c>
      <c r="M318" s="420" t="s">
        <v>2763</v>
      </c>
      <c r="N318" s="419">
        <v>166</v>
      </c>
      <c r="O318" s="419">
        <v>120</v>
      </c>
      <c r="P318" s="419">
        <v>166</v>
      </c>
    </row>
    <row r="319" spans="12:16">
      <c r="M319" s="420" t="s">
        <v>2764</v>
      </c>
      <c r="N319" s="419">
        <v>174</v>
      </c>
      <c r="O319" s="419">
        <v>120</v>
      </c>
      <c r="P319" s="419">
        <v>174</v>
      </c>
    </row>
    <row r="320" spans="12:16">
      <c r="M320" s="420" t="s">
        <v>2765</v>
      </c>
      <c r="N320" s="419">
        <v>173</v>
      </c>
      <c r="O320" s="419">
        <v>120</v>
      </c>
      <c r="P320" s="419">
        <v>173</v>
      </c>
    </row>
    <row r="321" spans="12:16">
      <c r="L321" s="420" t="s">
        <v>2527</v>
      </c>
      <c r="M321" s="420"/>
      <c r="N321" s="419">
        <v>513</v>
      </c>
      <c r="O321" s="419">
        <v>360</v>
      </c>
      <c r="P321" s="419">
        <v>513</v>
      </c>
    </row>
    <row r="322" spans="12:16">
      <c r="L322" s="420" t="s">
        <v>257</v>
      </c>
      <c r="M322" s="420" t="s">
        <v>2763</v>
      </c>
      <c r="N322" s="419">
        <v>15</v>
      </c>
      <c r="O322" s="419">
        <v>0</v>
      </c>
      <c r="P322" s="419">
        <v>15</v>
      </c>
    </row>
    <row r="323" spans="12:16">
      <c r="M323" s="420" t="s">
        <v>2764</v>
      </c>
      <c r="N323" s="419">
        <v>0</v>
      </c>
      <c r="O323" s="419">
        <v>0</v>
      </c>
      <c r="P323" s="419">
        <v>15</v>
      </c>
    </row>
    <row r="324" spans="12:16">
      <c r="M324" s="420" t="s">
        <v>2765</v>
      </c>
      <c r="N324" s="419">
        <v>0</v>
      </c>
      <c r="O324" s="419">
        <v>0</v>
      </c>
      <c r="P324" s="419">
        <v>15</v>
      </c>
    </row>
    <row r="325" spans="12:16">
      <c r="L325" s="420" t="s">
        <v>2528</v>
      </c>
      <c r="M325" s="420"/>
      <c r="N325" s="419">
        <v>15</v>
      </c>
      <c r="O325" s="419">
        <v>0</v>
      </c>
      <c r="P325" s="419">
        <v>45</v>
      </c>
    </row>
    <row r="326" spans="12:16">
      <c r="L326" s="420" t="s">
        <v>1617</v>
      </c>
      <c r="M326" s="420" t="s">
        <v>2763</v>
      </c>
      <c r="N326" s="419">
        <v>251</v>
      </c>
      <c r="O326" s="419">
        <v>251</v>
      </c>
      <c r="P326" s="419">
        <v>251</v>
      </c>
    </row>
    <row r="327" spans="12:16">
      <c r="M327" s="420" t="s">
        <v>2764</v>
      </c>
      <c r="N327" s="419">
        <v>251</v>
      </c>
      <c r="O327" s="419">
        <v>251</v>
      </c>
      <c r="P327" s="419">
        <v>251</v>
      </c>
    </row>
    <row r="328" spans="12:16">
      <c r="M328" s="420" t="s">
        <v>2765</v>
      </c>
      <c r="N328" s="419">
        <v>251</v>
      </c>
      <c r="O328" s="419">
        <v>251</v>
      </c>
      <c r="P328" s="419">
        <v>251</v>
      </c>
    </row>
    <row r="329" spans="12:16">
      <c r="L329" s="420" t="s">
        <v>2529</v>
      </c>
      <c r="M329" s="420"/>
      <c r="N329" s="419">
        <v>753</v>
      </c>
      <c r="O329" s="419">
        <v>753</v>
      </c>
      <c r="P329" s="419">
        <v>753</v>
      </c>
    </row>
    <row r="330" spans="12:16">
      <c r="L330" s="420" t="s">
        <v>213</v>
      </c>
      <c r="M330" s="420" t="s">
        <v>2763</v>
      </c>
      <c r="N330" s="419">
        <v>424</v>
      </c>
      <c r="O330" s="419">
        <v>424</v>
      </c>
      <c r="P330" s="419">
        <v>424</v>
      </c>
    </row>
    <row r="331" spans="12:16">
      <c r="M331" s="420" t="s">
        <v>2764</v>
      </c>
      <c r="N331" s="419">
        <v>0</v>
      </c>
      <c r="O331" s="419">
        <v>120</v>
      </c>
      <c r="P331" s="419">
        <v>424</v>
      </c>
    </row>
    <row r="332" spans="12:16">
      <c r="M332" s="420" t="s">
        <v>2765</v>
      </c>
      <c r="N332" s="419">
        <v>0</v>
      </c>
      <c r="O332" s="419">
        <v>120</v>
      </c>
      <c r="P332" s="419">
        <v>424</v>
      </c>
    </row>
    <row r="333" spans="12:16">
      <c r="L333" s="420" t="s">
        <v>2530</v>
      </c>
      <c r="M333" s="420"/>
      <c r="N333" s="419">
        <v>424</v>
      </c>
      <c r="O333" s="419">
        <v>664</v>
      </c>
      <c r="P333" s="419">
        <v>1272</v>
      </c>
    </row>
    <row r="334" spans="12:16">
      <c r="L334" s="420" t="s">
        <v>545</v>
      </c>
      <c r="M334" s="420" t="s">
        <v>2763</v>
      </c>
      <c r="N334" s="419">
        <v>176</v>
      </c>
      <c r="O334" s="419">
        <v>176</v>
      </c>
      <c r="P334" s="419">
        <v>176</v>
      </c>
    </row>
    <row r="335" spans="12:16">
      <c r="M335" s="420" t="s">
        <v>2764</v>
      </c>
      <c r="N335" s="419">
        <v>176</v>
      </c>
      <c r="O335" s="419">
        <v>176</v>
      </c>
      <c r="P335" s="419">
        <v>176</v>
      </c>
    </row>
    <row r="336" spans="12:16">
      <c r="M336" s="420" t="s">
        <v>2765</v>
      </c>
      <c r="N336" s="419">
        <v>176</v>
      </c>
      <c r="O336" s="419">
        <v>176</v>
      </c>
      <c r="P336" s="419">
        <v>176</v>
      </c>
    </row>
    <row r="337" spans="12:16">
      <c r="L337" s="420" t="s">
        <v>2531</v>
      </c>
      <c r="M337" s="420"/>
      <c r="N337" s="419">
        <v>528</v>
      </c>
      <c r="O337" s="419">
        <v>528</v>
      </c>
      <c r="P337" s="419">
        <v>528</v>
      </c>
    </row>
    <row r="338" spans="12:16">
      <c r="L338" s="420" t="s">
        <v>190</v>
      </c>
      <c r="M338" s="420" t="s">
        <v>2763</v>
      </c>
      <c r="N338" s="419">
        <v>18</v>
      </c>
      <c r="O338" s="419">
        <v>0</v>
      </c>
      <c r="P338" s="419">
        <v>0</v>
      </c>
    </row>
    <row r="339" spans="12:16">
      <c r="M339" s="420" t="s">
        <v>2764</v>
      </c>
      <c r="N339" s="419">
        <v>0</v>
      </c>
      <c r="O339" s="419">
        <v>0</v>
      </c>
      <c r="P339" s="419">
        <v>18</v>
      </c>
    </row>
    <row r="340" spans="12:16">
      <c r="M340" s="420" t="s">
        <v>2765</v>
      </c>
      <c r="N340" s="419">
        <v>0</v>
      </c>
      <c r="O340" s="419">
        <v>0</v>
      </c>
      <c r="P340" s="419">
        <v>18</v>
      </c>
    </row>
    <row r="341" spans="12:16">
      <c r="L341" s="420" t="s">
        <v>2532</v>
      </c>
      <c r="M341" s="420"/>
      <c r="N341" s="419">
        <v>18</v>
      </c>
      <c r="O341" s="419">
        <v>0</v>
      </c>
      <c r="P341" s="419">
        <v>36</v>
      </c>
    </row>
    <row r="342" spans="12:16">
      <c r="L342" s="420" t="s">
        <v>527</v>
      </c>
      <c r="M342" s="420" t="s">
        <v>2763</v>
      </c>
      <c r="N342" s="419">
        <v>396</v>
      </c>
      <c r="O342" s="419">
        <v>396</v>
      </c>
      <c r="P342" s="419">
        <v>396</v>
      </c>
    </row>
    <row r="343" spans="12:16">
      <c r="M343" s="420" t="s">
        <v>2764</v>
      </c>
      <c r="N343" s="419">
        <v>396</v>
      </c>
      <c r="O343" s="419">
        <v>396</v>
      </c>
      <c r="P343" s="419">
        <v>396</v>
      </c>
    </row>
    <row r="344" spans="12:16">
      <c r="M344" s="420" t="s">
        <v>2765</v>
      </c>
      <c r="N344" s="419">
        <v>396</v>
      </c>
      <c r="O344" s="419">
        <v>396</v>
      </c>
      <c r="P344" s="419">
        <v>396</v>
      </c>
    </row>
    <row r="345" spans="12:16">
      <c r="L345" s="420" t="s">
        <v>2533</v>
      </c>
      <c r="M345" s="420"/>
      <c r="N345" s="419">
        <v>1188</v>
      </c>
      <c r="O345" s="419">
        <v>1188</v>
      </c>
      <c r="P345" s="419">
        <v>1188</v>
      </c>
    </row>
    <row r="346" spans="12:16">
      <c r="L346" s="420" t="s">
        <v>562</v>
      </c>
      <c r="M346" s="420" t="s">
        <v>2763</v>
      </c>
      <c r="N346" s="419">
        <v>323</v>
      </c>
      <c r="O346" s="419">
        <v>200</v>
      </c>
      <c r="P346" s="419">
        <v>323</v>
      </c>
    </row>
    <row r="347" spans="12:16">
      <c r="M347" s="420" t="s">
        <v>2764</v>
      </c>
      <c r="N347" s="419">
        <v>0</v>
      </c>
      <c r="O347" s="419">
        <v>200</v>
      </c>
      <c r="P347" s="419">
        <v>323</v>
      </c>
    </row>
    <row r="348" spans="12:16">
      <c r="M348" s="420" t="s">
        <v>2765</v>
      </c>
      <c r="N348" s="419">
        <v>0</v>
      </c>
      <c r="O348" s="419">
        <v>200</v>
      </c>
      <c r="P348" s="419">
        <v>323</v>
      </c>
    </row>
    <row r="349" spans="12:16">
      <c r="L349" s="420" t="s">
        <v>2534</v>
      </c>
      <c r="M349" s="420"/>
      <c r="N349" s="419">
        <v>323</v>
      </c>
      <c r="O349" s="419">
        <v>600</v>
      </c>
      <c r="P349" s="419">
        <v>969</v>
      </c>
    </row>
    <row r="350" spans="12:16">
      <c r="L350" s="420" t="s">
        <v>551</v>
      </c>
      <c r="M350" s="420" t="s">
        <v>2763</v>
      </c>
      <c r="N350" s="419">
        <v>31</v>
      </c>
      <c r="O350" s="419">
        <v>31</v>
      </c>
      <c r="P350" s="419">
        <v>31</v>
      </c>
    </row>
    <row r="351" spans="12:16">
      <c r="M351" s="420" t="s">
        <v>2764</v>
      </c>
      <c r="N351" s="419">
        <v>31</v>
      </c>
      <c r="O351" s="419">
        <v>31</v>
      </c>
      <c r="P351" s="419">
        <v>31</v>
      </c>
    </row>
    <row r="352" spans="12:16">
      <c r="M352" s="420" t="s">
        <v>2765</v>
      </c>
      <c r="N352" s="419">
        <v>31</v>
      </c>
      <c r="O352" s="419">
        <v>31</v>
      </c>
      <c r="P352" s="419">
        <v>31</v>
      </c>
    </row>
    <row r="353" spans="12:16">
      <c r="L353" s="420" t="s">
        <v>2535</v>
      </c>
      <c r="M353" s="420"/>
      <c r="N353" s="419">
        <v>93</v>
      </c>
      <c r="O353" s="419">
        <v>93</v>
      </c>
      <c r="P353" s="419">
        <v>93</v>
      </c>
    </row>
    <row r="354" spans="12:16">
      <c r="L354" s="420" t="s">
        <v>517</v>
      </c>
      <c r="M354" s="420" t="s">
        <v>2763</v>
      </c>
      <c r="N354" s="419">
        <v>213</v>
      </c>
      <c r="O354" s="419">
        <v>213</v>
      </c>
      <c r="P354" s="419">
        <v>213</v>
      </c>
    </row>
    <row r="355" spans="12:16">
      <c r="M355" s="420" t="s">
        <v>2764</v>
      </c>
      <c r="N355" s="419">
        <v>213</v>
      </c>
      <c r="O355" s="419">
        <v>213</v>
      </c>
      <c r="P355" s="419">
        <v>213</v>
      </c>
    </row>
    <row r="356" spans="12:16">
      <c r="M356" s="420" t="s">
        <v>2765</v>
      </c>
      <c r="N356" s="419">
        <v>213</v>
      </c>
      <c r="O356" s="419">
        <v>213</v>
      </c>
      <c r="P356" s="419">
        <v>213</v>
      </c>
    </row>
    <row r="357" spans="12:16">
      <c r="L357" s="420" t="s">
        <v>2536</v>
      </c>
      <c r="M357" s="420"/>
      <c r="N357" s="419">
        <v>639</v>
      </c>
      <c r="O357" s="419">
        <v>639</v>
      </c>
      <c r="P357" s="419">
        <v>639</v>
      </c>
    </row>
    <row r="358" spans="12:16">
      <c r="L358" s="420" t="s">
        <v>531</v>
      </c>
      <c r="M358" s="420" t="s">
        <v>2763</v>
      </c>
      <c r="N358" s="419">
        <v>250</v>
      </c>
      <c r="O358" s="419">
        <v>250</v>
      </c>
      <c r="P358" s="419">
        <v>250</v>
      </c>
    </row>
    <row r="359" spans="12:16">
      <c r="M359" s="420" t="s">
        <v>2764</v>
      </c>
      <c r="N359" s="419">
        <v>250</v>
      </c>
      <c r="O359" s="419">
        <v>250</v>
      </c>
      <c r="P359" s="419">
        <v>250</v>
      </c>
    </row>
    <row r="360" spans="12:16">
      <c r="M360" s="420" t="s">
        <v>2765</v>
      </c>
      <c r="N360" s="419">
        <v>250</v>
      </c>
      <c r="O360" s="419">
        <v>250</v>
      </c>
      <c r="P360" s="419">
        <v>250</v>
      </c>
    </row>
    <row r="361" spans="12:16">
      <c r="L361" s="420" t="s">
        <v>2537</v>
      </c>
      <c r="M361" s="420"/>
      <c r="N361" s="419">
        <v>750</v>
      </c>
      <c r="O361" s="419">
        <v>750</v>
      </c>
      <c r="P361" s="419">
        <v>750</v>
      </c>
    </row>
    <row r="362" spans="12:16">
      <c r="L362" s="420" t="s">
        <v>1618</v>
      </c>
      <c r="M362" s="420" t="s">
        <v>2763</v>
      </c>
      <c r="N362" s="419">
        <v>158</v>
      </c>
      <c r="O362" s="419">
        <v>158</v>
      </c>
      <c r="P362" s="419">
        <v>158</v>
      </c>
    </row>
    <row r="363" spans="12:16">
      <c r="M363" s="420" t="s">
        <v>2764</v>
      </c>
      <c r="N363" s="419">
        <v>158</v>
      </c>
      <c r="O363" s="419">
        <v>158</v>
      </c>
      <c r="P363" s="419">
        <v>158</v>
      </c>
    </row>
    <row r="364" spans="12:16">
      <c r="M364" s="420" t="s">
        <v>2765</v>
      </c>
      <c r="N364" s="419">
        <v>158</v>
      </c>
      <c r="O364" s="419">
        <v>158</v>
      </c>
      <c r="P364" s="419">
        <v>158</v>
      </c>
    </row>
    <row r="365" spans="12:16">
      <c r="L365" s="420" t="s">
        <v>2538</v>
      </c>
      <c r="M365" s="420"/>
      <c r="N365" s="419">
        <v>474</v>
      </c>
      <c r="O365" s="419">
        <v>474</v>
      </c>
      <c r="P365" s="419">
        <v>474</v>
      </c>
    </row>
    <row r="366" spans="12:16">
      <c r="L366" s="420" t="s">
        <v>258</v>
      </c>
      <c r="M366" s="420" t="s">
        <v>2763</v>
      </c>
      <c r="N366" s="419">
        <v>24</v>
      </c>
      <c r="O366" s="419">
        <v>24</v>
      </c>
      <c r="P366" s="419">
        <v>24</v>
      </c>
    </row>
    <row r="367" spans="12:16">
      <c r="M367" s="420" t="s">
        <v>2764</v>
      </c>
      <c r="N367" s="419">
        <v>24</v>
      </c>
      <c r="O367" s="419">
        <v>24</v>
      </c>
      <c r="P367" s="419">
        <v>24</v>
      </c>
    </row>
    <row r="368" spans="12:16">
      <c r="M368" s="420" t="s">
        <v>2765</v>
      </c>
      <c r="N368" s="419">
        <v>24</v>
      </c>
      <c r="O368" s="419">
        <v>24</v>
      </c>
      <c r="P368" s="419">
        <v>24</v>
      </c>
    </row>
    <row r="369" spans="12:16">
      <c r="L369" s="420" t="s">
        <v>2539</v>
      </c>
      <c r="M369" s="420"/>
      <c r="N369" s="419">
        <v>72</v>
      </c>
      <c r="O369" s="419">
        <v>72</v>
      </c>
      <c r="P369" s="419">
        <v>72</v>
      </c>
    </row>
    <row r="370" spans="12:16">
      <c r="L370" s="420" t="s">
        <v>535</v>
      </c>
      <c r="M370" s="420" t="s">
        <v>2763</v>
      </c>
      <c r="N370" s="419">
        <v>206</v>
      </c>
      <c r="O370" s="419">
        <v>200</v>
      </c>
      <c r="P370" s="419">
        <v>206</v>
      </c>
    </row>
    <row r="371" spans="12:16">
      <c r="M371" s="420" t="s">
        <v>2764</v>
      </c>
      <c r="N371" s="419">
        <v>206</v>
      </c>
      <c r="O371" s="419">
        <v>206</v>
      </c>
      <c r="P371" s="419">
        <v>206</v>
      </c>
    </row>
    <row r="372" spans="12:16">
      <c r="M372" s="420" t="s">
        <v>2765</v>
      </c>
      <c r="N372" s="419">
        <v>206</v>
      </c>
      <c r="O372" s="419">
        <v>206</v>
      </c>
      <c r="P372" s="419">
        <v>206</v>
      </c>
    </row>
    <row r="373" spans="12:16">
      <c r="L373" s="420" t="s">
        <v>2540</v>
      </c>
      <c r="M373" s="420"/>
      <c r="N373" s="419">
        <v>618</v>
      </c>
      <c r="O373" s="419">
        <v>612</v>
      </c>
      <c r="P373" s="419">
        <v>618</v>
      </c>
    </row>
    <row r="374" spans="12:16">
      <c r="L374" s="420" t="s">
        <v>547</v>
      </c>
      <c r="M374" s="420" t="s">
        <v>2763</v>
      </c>
      <c r="N374" s="419">
        <v>141</v>
      </c>
      <c r="O374" s="419">
        <v>141</v>
      </c>
      <c r="P374" s="419">
        <v>66.666666666666671</v>
      </c>
    </row>
    <row r="375" spans="12:16">
      <c r="M375" s="420" t="s">
        <v>2764</v>
      </c>
      <c r="N375" s="419">
        <v>141</v>
      </c>
      <c r="O375" s="419">
        <v>141</v>
      </c>
      <c r="P375" s="419">
        <v>141</v>
      </c>
    </row>
    <row r="376" spans="12:16">
      <c r="M376" s="420" t="s">
        <v>2765</v>
      </c>
      <c r="N376" s="419">
        <v>141</v>
      </c>
      <c r="O376" s="419">
        <v>141</v>
      </c>
      <c r="P376" s="419">
        <v>141</v>
      </c>
    </row>
    <row r="377" spans="12:16">
      <c r="L377" s="420" t="s">
        <v>2541</v>
      </c>
      <c r="M377" s="420"/>
      <c r="N377" s="419">
        <v>423</v>
      </c>
      <c r="O377" s="419">
        <v>423</v>
      </c>
      <c r="P377" s="419">
        <v>348.66666666666669</v>
      </c>
    </row>
    <row r="378" spans="12:16">
      <c r="L378" s="420" t="s">
        <v>1612</v>
      </c>
      <c r="M378" s="420" t="s">
        <v>2763</v>
      </c>
      <c r="N378" s="419">
        <v>474</v>
      </c>
      <c r="O378" s="419">
        <v>260</v>
      </c>
      <c r="P378" s="419">
        <v>400</v>
      </c>
    </row>
    <row r="379" spans="12:16">
      <c r="M379" s="420" t="s">
        <v>2764</v>
      </c>
      <c r="N379" s="419">
        <v>611</v>
      </c>
      <c r="O379" s="419">
        <v>360</v>
      </c>
      <c r="P379" s="419">
        <v>611</v>
      </c>
    </row>
    <row r="380" spans="12:16">
      <c r="M380" s="420" t="s">
        <v>2765</v>
      </c>
      <c r="N380" s="419">
        <v>611</v>
      </c>
      <c r="O380" s="419">
        <v>400</v>
      </c>
      <c r="P380" s="419">
        <v>611</v>
      </c>
    </row>
    <row r="381" spans="12:16">
      <c r="L381" s="420" t="s">
        <v>2445</v>
      </c>
      <c r="M381" s="420"/>
      <c r="N381" s="419">
        <v>1696</v>
      </c>
      <c r="O381" s="419">
        <v>1020</v>
      </c>
      <c r="P381" s="419">
        <v>1622</v>
      </c>
    </row>
    <row r="382" spans="12:16">
      <c r="L382" s="420" t="s">
        <v>234</v>
      </c>
      <c r="M382" s="420" t="s">
        <v>2763</v>
      </c>
      <c r="N382" s="419">
        <v>309</v>
      </c>
      <c r="O382" s="419">
        <v>309</v>
      </c>
      <c r="P382" s="419">
        <v>309</v>
      </c>
    </row>
    <row r="383" spans="12:16">
      <c r="M383" s="420" t="s">
        <v>2764</v>
      </c>
      <c r="N383" s="419">
        <v>291</v>
      </c>
      <c r="O383" s="419">
        <v>291</v>
      </c>
      <c r="P383" s="419">
        <v>291</v>
      </c>
    </row>
    <row r="384" spans="12:16">
      <c r="M384" s="420" t="s">
        <v>2765</v>
      </c>
      <c r="N384" s="419">
        <v>291</v>
      </c>
      <c r="O384" s="419">
        <v>291</v>
      </c>
      <c r="P384" s="419">
        <v>291</v>
      </c>
    </row>
    <row r="385" spans="12:16">
      <c r="L385" s="420" t="s">
        <v>2542</v>
      </c>
      <c r="M385" s="420"/>
      <c r="N385" s="419">
        <v>891</v>
      </c>
      <c r="O385" s="419">
        <v>891</v>
      </c>
      <c r="P385" s="419">
        <v>891</v>
      </c>
    </row>
    <row r="386" spans="12:16">
      <c r="L386" s="420" t="s">
        <v>231</v>
      </c>
      <c r="M386" s="420" t="s">
        <v>2763</v>
      </c>
      <c r="N386" s="419">
        <v>218</v>
      </c>
      <c r="O386" s="419">
        <v>218</v>
      </c>
      <c r="P386" s="419">
        <v>218</v>
      </c>
    </row>
    <row r="387" spans="12:16">
      <c r="M387" s="420" t="s">
        <v>2764</v>
      </c>
      <c r="N387" s="419">
        <v>218</v>
      </c>
      <c r="O387" s="419">
        <v>218</v>
      </c>
      <c r="P387" s="419">
        <v>218</v>
      </c>
    </row>
    <row r="388" spans="12:16">
      <c r="M388" s="420" t="s">
        <v>2765</v>
      </c>
      <c r="N388" s="419">
        <v>230</v>
      </c>
      <c r="O388" s="419">
        <v>230</v>
      </c>
      <c r="P388" s="419">
        <v>230</v>
      </c>
    </row>
    <row r="389" spans="12:16">
      <c r="L389" s="420" t="s">
        <v>2543</v>
      </c>
      <c r="M389" s="420"/>
      <c r="N389" s="419">
        <v>666</v>
      </c>
      <c r="O389" s="419">
        <v>666</v>
      </c>
      <c r="P389" s="419">
        <v>666</v>
      </c>
    </row>
    <row r="390" spans="12:16">
      <c r="L390" s="420" t="s">
        <v>155</v>
      </c>
      <c r="M390" s="420" t="s">
        <v>2763</v>
      </c>
      <c r="N390" s="419">
        <v>41</v>
      </c>
      <c r="O390" s="419">
        <v>41</v>
      </c>
      <c r="P390" s="419">
        <v>41</v>
      </c>
    </row>
    <row r="391" spans="12:16">
      <c r="M391" s="420" t="s">
        <v>2764</v>
      </c>
      <c r="N391" s="419">
        <v>0</v>
      </c>
      <c r="O391" s="419">
        <v>48</v>
      </c>
      <c r="P391" s="419">
        <v>48</v>
      </c>
    </row>
    <row r="392" spans="12:16">
      <c r="M392" s="420" t="s">
        <v>2765</v>
      </c>
      <c r="N392" s="419">
        <v>0</v>
      </c>
      <c r="O392" s="419">
        <v>48</v>
      </c>
      <c r="P392" s="419">
        <v>48</v>
      </c>
    </row>
    <row r="393" spans="12:16">
      <c r="L393" s="420" t="s">
        <v>2446</v>
      </c>
      <c r="M393" s="420"/>
      <c r="N393" s="419">
        <v>41</v>
      </c>
      <c r="O393" s="419">
        <v>137</v>
      </c>
      <c r="P393" s="419">
        <v>137</v>
      </c>
    </row>
    <row r="394" spans="12:16">
      <c r="L394" s="420" t="s">
        <v>270</v>
      </c>
      <c r="M394" s="420" t="s">
        <v>2763</v>
      </c>
      <c r="N394" s="419">
        <v>85</v>
      </c>
      <c r="O394" s="419">
        <v>80</v>
      </c>
      <c r="P394" s="419">
        <v>85</v>
      </c>
    </row>
    <row r="395" spans="12:16">
      <c r="M395" s="420" t="s">
        <v>2764</v>
      </c>
      <c r="N395" s="419">
        <v>85</v>
      </c>
      <c r="O395" s="419">
        <v>80</v>
      </c>
      <c r="P395" s="419">
        <v>85</v>
      </c>
    </row>
    <row r="396" spans="12:16">
      <c r="M396" s="420" t="s">
        <v>2765</v>
      </c>
      <c r="N396" s="419">
        <v>0</v>
      </c>
      <c r="O396" s="419">
        <v>80</v>
      </c>
      <c r="P396" s="419">
        <v>85</v>
      </c>
    </row>
    <row r="397" spans="12:16">
      <c r="L397" s="420" t="s">
        <v>2544</v>
      </c>
      <c r="M397" s="420"/>
      <c r="N397" s="419">
        <v>170</v>
      </c>
      <c r="O397" s="419">
        <v>240</v>
      </c>
      <c r="P397" s="419">
        <v>255</v>
      </c>
    </row>
    <row r="398" spans="12:16">
      <c r="L398" s="420" t="s">
        <v>158</v>
      </c>
      <c r="M398" s="420" t="s">
        <v>2763</v>
      </c>
      <c r="N398" s="419">
        <v>113</v>
      </c>
      <c r="O398" s="419">
        <v>100</v>
      </c>
      <c r="P398" s="419">
        <v>113</v>
      </c>
    </row>
    <row r="399" spans="12:16">
      <c r="M399" s="420" t="s">
        <v>2764</v>
      </c>
      <c r="N399" s="419">
        <v>0</v>
      </c>
      <c r="O399" s="419">
        <v>0</v>
      </c>
      <c r="P399" s="419">
        <v>130</v>
      </c>
    </row>
    <row r="400" spans="12:16">
      <c r="M400" s="420" t="s">
        <v>2765</v>
      </c>
      <c r="N400" s="419">
        <v>0</v>
      </c>
      <c r="O400" s="419">
        <v>100</v>
      </c>
      <c r="P400" s="419">
        <v>130</v>
      </c>
    </row>
    <row r="401" spans="12:16">
      <c r="L401" s="420" t="s">
        <v>2447</v>
      </c>
      <c r="M401" s="420"/>
      <c r="N401" s="419">
        <v>113</v>
      </c>
      <c r="O401" s="419">
        <v>200</v>
      </c>
      <c r="P401" s="419">
        <v>373</v>
      </c>
    </row>
    <row r="402" spans="12:16">
      <c r="L402" s="420" t="s">
        <v>185</v>
      </c>
      <c r="M402" s="420" t="s">
        <v>2763</v>
      </c>
      <c r="N402" s="419">
        <v>547</v>
      </c>
      <c r="O402" s="419">
        <v>547</v>
      </c>
      <c r="P402" s="419">
        <v>0</v>
      </c>
    </row>
    <row r="403" spans="12:16">
      <c r="M403" s="420" t="s">
        <v>2764</v>
      </c>
      <c r="N403" s="419">
        <v>323</v>
      </c>
      <c r="O403" s="419">
        <v>323</v>
      </c>
      <c r="P403" s="419">
        <v>323</v>
      </c>
    </row>
    <row r="404" spans="12:16">
      <c r="M404" s="420" t="s">
        <v>2765</v>
      </c>
      <c r="N404" s="419">
        <v>323</v>
      </c>
      <c r="O404" s="419">
        <v>323</v>
      </c>
      <c r="P404" s="419">
        <v>323</v>
      </c>
    </row>
    <row r="405" spans="12:16">
      <c r="L405" s="420" t="s">
        <v>2448</v>
      </c>
      <c r="M405" s="420"/>
      <c r="N405" s="419">
        <v>1193</v>
      </c>
      <c r="O405" s="419">
        <v>1193</v>
      </c>
      <c r="P405" s="419">
        <v>646</v>
      </c>
    </row>
    <row r="406" spans="12:16">
      <c r="L406" s="420" t="s">
        <v>542</v>
      </c>
      <c r="M406" s="420" t="s">
        <v>2763</v>
      </c>
      <c r="N406" s="419">
        <v>500</v>
      </c>
      <c r="O406" s="419">
        <v>525</v>
      </c>
      <c r="P406" s="419">
        <v>533.33333333333337</v>
      </c>
    </row>
    <row r="407" spans="12:16">
      <c r="M407" s="420" t="s">
        <v>2764</v>
      </c>
      <c r="N407" s="419">
        <v>500</v>
      </c>
      <c r="O407" s="419">
        <v>525</v>
      </c>
      <c r="P407" s="419">
        <v>533.33333333333337</v>
      </c>
    </row>
    <row r="408" spans="12:16">
      <c r="M408" s="420" t="s">
        <v>2765</v>
      </c>
      <c r="N408" s="419">
        <v>500</v>
      </c>
      <c r="O408" s="419">
        <v>525</v>
      </c>
      <c r="P408" s="419">
        <v>533.33333333333337</v>
      </c>
    </row>
    <row r="409" spans="12:16">
      <c r="L409" s="420" t="s">
        <v>2545</v>
      </c>
      <c r="M409" s="420"/>
      <c r="N409" s="419">
        <v>1500</v>
      </c>
      <c r="O409" s="419">
        <v>1575</v>
      </c>
      <c r="P409" s="419">
        <v>1600</v>
      </c>
    </row>
    <row r="410" spans="12:16">
      <c r="L410" s="420" t="s">
        <v>295</v>
      </c>
      <c r="M410" s="420" t="s">
        <v>2763</v>
      </c>
      <c r="N410" s="419">
        <v>1675</v>
      </c>
      <c r="O410" s="419">
        <v>1675</v>
      </c>
      <c r="P410" s="419">
        <v>1500</v>
      </c>
    </row>
    <row r="411" spans="12:16">
      <c r="M411" s="420" t="s">
        <v>2764</v>
      </c>
      <c r="N411" s="419">
        <v>1570</v>
      </c>
      <c r="O411" s="419">
        <v>1570</v>
      </c>
      <c r="P411" s="419">
        <v>1500</v>
      </c>
    </row>
    <row r="412" spans="12:16">
      <c r="M412" s="420" t="s">
        <v>2765</v>
      </c>
      <c r="N412" s="419">
        <v>1570</v>
      </c>
      <c r="O412" s="419">
        <v>1570</v>
      </c>
      <c r="P412" s="419">
        <v>1500</v>
      </c>
    </row>
    <row r="413" spans="12:16">
      <c r="L413" s="420" t="s">
        <v>2546</v>
      </c>
      <c r="M413" s="420"/>
      <c r="N413" s="419">
        <v>4815</v>
      </c>
      <c r="O413" s="419">
        <v>4815</v>
      </c>
      <c r="P413" s="419">
        <v>4500</v>
      </c>
    </row>
    <row r="414" spans="12:16">
      <c r="L414" s="420" t="s">
        <v>167</v>
      </c>
      <c r="M414" s="420" t="s">
        <v>2763</v>
      </c>
      <c r="N414" s="419">
        <v>299</v>
      </c>
      <c r="O414" s="419">
        <v>299</v>
      </c>
      <c r="P414" s="419">
        <v>299</v>
      </c>
    </row>
    <row r="415" spans="12:16">
      <c r="M415" s="420" t="s">
        <v>2764</v>
      </c>
      <c r="N415" s="419">
        <v>0</v>
      </c>
      <c r="O415" s="419">
        <v>300</v>
      </c>
      <c r="P415" s="419">
        <v>323</v>
      </c>
    </row>
    <row r="416" spans="12:16">
      <c r="M416" s="420" t="s">
        <v>2765</v>
      </c>
      <c r="N416" s="419">
        <v>0</v>
      </c>
      <c r="O416" s="419">
        <v>300</v>
      </c>
      <c r="P416" s="419">
        <v>323</v>
      </c>
    </row>
    <row r="417" spans="12:16">
      <c r="L417" s="420" t="s">
        <v>2449</v>
      </c>
      <c r="M417" s="420"/>
      <c r="N417" s="419">
        <v>299</v>
      </c>
      <c r="O417" s="419">
        <v>899</v>
      </c>
      <c r="P417" s="419">
        <v>945</v>
      </c>
    </row>
    <row r="418" spans="12:16">
      <c r="L418" s="420" t="s">
        <v>284</v>
      </c>
      <c r="M418" s="420" t="s">
        <v>2763</v>
      </c>
      <c r="N418" s="419">
        <v>299</v>
      </c>
      <c r="O418" s="419">
        <v>263</v>
      </c>
      <c r="P418" s="419">
        <v>299</v>
      </c>
    </row>
    <row r="419" spans="12:16">
      <c r="M419" s="420" t="s">
        <v>2764</v>
      </c>
      <c r="N419" s="419">
        <v>299</v>
      </c>
      <c r="O419" s="419">
        <v>263</v>
      </c>
      <c r="P419" s="419">
        <v>299</v>
      </c>
    </row>
    <row r="420" spans="12:16">
      <c r="M420" s="420" t="s">
        <v>2765</v>
      </c>
      <c r="N420" s="419">
        <v>299</v>
      </c>
      <c r="O420" s="419">
        <v>263</v>
      </c>
      <c r="P420" s="419">
        <v>299</v>
      </c>
    </row>
    <row r="421" spans="12:16">
      <c r="L421" s="420" t="s">
        <v>2547</v>
      </c>
      <c r="M421" s="420"/>
      <c r="N421" s="419">
        <v>897</v>
      </c>
      <c r="O421" s="419">
        <v>789</v>
      </c>
      <c r="P421" s="419">
        <v>897</v>
      </c>
    </row>
    <row r="422" spans="12:16">
      <c r="L422" s="420" t="s">
        <v>235</v>
      </c>
      <c r="M422" s="420" t="s">
        <v>2763</v>
      </c>
      <c r="N422" s="419">
        <v>895</v>
      </c>
      <c r="O422" s="419">
        <v>680</v>
      </c>
      <c r="P422" s="419">
        <v>895</v>
      </c>
    </row>
    <row r="423" spans="12:16">
      <c r="M423" s="420" t="s">
        <v>2764</v>
      </c>
      <c r="N423" s="419">
        <v>924</v>
      </c>
      <c r="O423" s="419">
        <v>680</v>
      </c>
      <c r="P423" s="419">
        <v>924</v>
      </c>
    </row>
    <row r="424" spans="12:16">
      <c r="M424" s="420" t="s">
        <v>2765</v>
      </c>
      <c r="N424" s="419">
        <v>925</v>
      </c>
      <c r="O424" s="419">
        <v>680</v>
      </c>
      <c r="P424" s="419">
        <v>925</v>
      </c>
    </row>
    <row r="425" spans="12:16">
      <c r="L425" s="420" t="s">
        <v>2548</v>
      </c>
      <c r="M425" s="420"/>
      <c r="N425" s="419">
        <v>2744</v>
      </c>
      <c r="O425" s="419">
        <v>2040</v>
      </c>
      <c r="P425" s="419">
        <v>2744</v>
      </c>
    </row>
    <row r="426" spans="12:16">
      <c r="L426" s="420" t="s">
        <v>1605</v>
      </c>
      <c r="M426" s="420" t="s">
        <v>2763</v>
      </c>
      <c r="N426" s="419">
        <v>50</v>
      </c>
      <c r="O426" s="419">
        <v>1340</v>
      </c>
      <c r="P426" s="419">
        <v>1365</v>
      </c>
    </row>
    <row r="427" spans="12:16">
      <c r="M427" s="420" t="s">
        <v>2764</v>
      </c>
      <c r="N427" s="419">
        <v>1187</v>
      </c>
      <c r="O427" s="419">
        <v>1187</v>
      </c>
      <c r="P427" s="419">
        <v>1187</v>
      </c>
    </row>
    <row r="428" spans="12:16">
      <c r="M428" s="420" t="s">
        <v>2765</v>
      </c>
      <c r="N428" s="419">
        <v>500</v>
      </c>
      <c r="O428" s="419">
        <v>1198</v>
      </c>
      <c r="P428" s="419">
        <v>1198</v>
      </c>
    </row>
    <row r="429" spans="12:16">
      <c r="L429" s="420" t="s">
        <v>2549</v>
      </c>
      <c r="M429" s="420"/>
      <c r="N429" s="419">
        <v>1737</v>
      </c>
      <c r="O429" s="419">
        <v>3725</v>
      </c>
      <c r="P429" s="419">
        <v>3750</v>
      </c>
    </row>
    <row r="430" spans="12:16">
      <c r="L430" s="420" t="s">
        <v>296</v>
      </c>
      <c r="M430" s="420" t="s">
        <v>2763</v>
      </c>
      <c r="N430" s="419">
        <v>2975</v>
      </c>
      <c r="O430" s="419">
        <v>2975</v>
      </c>
      <c r="P430" s="419">
        <v>250.00000000000003</v>
      </c>
    </row>
    <row r="431" spans="12:16">
      <c r="M431" s="420" t="s">
        <v>2764</v>
      </c>
      <c r="N431" s="419">
        <v>3000</v>
      </c>
      <c r="O431" s="419">
        <v>3120</v>
      </c>
      <c r="P431" s="419">
        <v>250</v>
      </c>
    </row>
    <row r="432" spans="12:16">
      <c r="M432" s="420" t="s">
        <v>2765</v>
      </c>
      <c r="N432" s="419">
        <v>3000</v>
      </c>
      <c r="O432" s="419">
        <v>3120</v>
      </c>
      <c r="P432" s="419">
        <v>250</v>
      </c>
    </row>
    <row r="433" spans="12:16">
      <c r="L433" s="420" t="s">
        <v>2550</v>
      </c>
      <c r="M433" s="420"/>
      <c r="N433" s="419">
        <v>8975</v>
      </c>
      <c r="O433" s="419">
        <v>9215</v>
      </c>
      <c r="P433" s="419">
        <v>750</v>
      </c>
    </row>
    <row r="434" spans="12:16">
      <c r="L434" s="420" t="s">
        <v>180</v>
      </c>
      <c r="M434" s="420" t="s">
        <v>2763</v>
      </c>
      <c r="N434" s="419">
        <v>852</v>
      </c>
      <c r="O434" s="419">
        <v>750</v>
      </c>
      <c r="P434" s="419">
        <v>0</v>
      </c>
    </row>
    <row r="435" spans="12:16">
      <c r="M435" s="420" t="s">
        <v>2764</v>
      </c>
      <c r="N435" s="419">
        <v>966</v>
      </c>
      <c r="O435" s="419">
        <v>850</v>
      </c>
      <c r="P435" s="419">
        <v>933.33333333333337</v>
      </c>
    </row>
    <row r="436" spans="12:16">
      <c r="M436" s="420" t="s">
        <v>2765</v>
      </c>
      <c r="N436" s="419">
        <v>966</v>
      </c>
      <c r="O436" s="419">
        <v>850</v>
      </c>
      <c r="P436" s="419">
        <v>966</v>
      </c>
    </row>
    <row r="437" spans="12:16">
      <c r="L437" s="420" t="s">
        <v>2450</v>
      </c>
      <c r="M437" s="420"/>
      <c r="N437" s="419">
        <v>2784</v>
      </c>
      <c r="O437" s="419">
        <v>2450</v>
      </c>
      <c r="P437" s="419">
        <v>1899.3333333333335</v>
      </c>
    </row>
    <row r="438" spans="12:16">
      <c r="L438" s="420" t="s">
        <v>561</v>
      </c>
      <c r="M438" s="420" t="s">
        <v>2763</v>
      </c>
      <c r="N438" s="419">
        <v>221</v>
      </c>
      <c r="O438" s="419">
        <v>221</v>
      </c>
      <c r="P438" s="419">
        <v>221</v>
      </c>
    </row>
    <row r="439" spans="12:16">
      <c r="M439" s="420" t="s">
        <v>2764</v>
      </c>
      <c r="N439" s="419">
        <v>221</v>
      </c>
      <c r="O439" s="419">
        <v>221</v>
      </c>
      <c r="P439" s="419">
        <v>221</v>
      </c>
    </row>
    <row r="440" spans="12:16">
      <c r="M440" s="420" t="s">
        <v>2765</v>
      </c>
      <c r="N440" s="419">
        <v>221</v>
      </c>
      <c r="O440" s="419">
        <v>221</v>
      </c>
      <c r="P440" s="419">
        <v>221</v>
      </c>
    </row>
    <row r="441" spans="12:16">
      <c r="L441" s="420" t="s">
        <v>2551</v>
      </c>
      <c r="M441" s="420"/>
      <c r="N441" s="419">
        <v>663</v>
      </c>
      <c r="O441" s="419">
        <v>663</v>
      </c>
      <c r="P441" s="419">
        <v>663</v>
      </c>
    </row>
    <row r="442" spans="12:16">
      <c r="L442" s="420" t="s">
        <v>537</v>
      </c>
      <c r="M442" s="420" t="s">
        <v>2763</v>
      </c>
      <c r="N442" s="419">
        <v>91</v>
      </c>
      <c r="O442" s="419">
        <v>91</v>
      </c>
      <c r="P442" s="419">
        <v>91</v>
      </c>
    </row>
    <row r="443" spans="12:16">
      <c r="L443" s="420" t="s">
        <v>2552</v>
      </c>
      <c r="M443" s="420"/>
      <c r="N443" s="419">
        <v>91</v>
      </c>
      <c r="O443" s="419">
        <v>91</v>
      </c>
      <c r="P443" s="419">
        <v>91</v>
      </c>
    </row>
    <row r="444" spans="12:16">
      <c r="L444" s="420" t="s">
        <v>1590</v>
      </c>
      <c r="M444" s="420" t="s">
        <v>2763</v>
      </c>
      <c r="N444" s="419">
        <v>205</v>
      </c>
      <c r="O444" s="419">
        <v>100</v>
      </c>
      <c r="P444" s="419">
        <v>1397</v>
      </c>
    </row>
    <row r="445" spans="12:16">
      <c r="M445" s="420" t="s">
        <v>2764</v>
      </c>
      <c r="N445" s="419">
        <v>0</v>
      </c>
      <c r="O445" s="419">
        <v>100</v>
      </c>
      <c r="P445" s="419">
        <v>1397</v>
      </c>
    </row>
    <row r="446" spans="12:16">
      <c r="M446" s="420" t="s">
        <v>2765</v>
      </c>
      <c r="N446" s="419">
        <v>0</v>
      </c>
      <c r="O446" s="419">
        <v>100</v>
      </c>
      <c r="P446" s="419">
        <v>1397</v>
      </c>
    </row>
    <row r="447" spans="12:16">
      <c r="L447" s="420" t="s">
        <v>2451</v>
      </c>
      <c r="M447" s="420"/>
      <c r="N447" s="419">
        <v>205</v>
      </c>
      <c r="O447" s="419">
        <v>300</v>
      </c>
      <c r="P447" s="419">
        <v>4191</v>
      </c>
    </row>
    <row r="448" spans="12:16">
      <c r="L448" s="420" t="s">
        <v>279</v>
      </c>
      <c r="M448" s="420" t="s">
        <v>2763</v>
      </c>
      <c r="N448" s="419">
        <v>334</v>
      </c>
      <c r="O448" s="419">
        <v>334</v>
      </c>
      <c r="P448" s="419">
        <v>334</v>
      </c>
    </row>
    <row r="449" spans="12:16">
      <c r="M449" s="420" t="s">
        <v>2764</v>
      </c>
      <c r="N449" s="419">
        <v>0</v>
      </c>
      <c r="O449" s="419">
        <v>334</v>
      </c>
      <c r="P449" s="419">
        <v>334</v>
      </c>
    </row>
    <row r="450" spans="12:16">
      <c r="M450" s="420" t="s">
        <v>2765</v>
      </c>
      <c r="N450" s="419">
        <v>334</v>
      </c>
      <c r="O450" s="419">
        <v>334</v>
      </c>
      <c r="P450" s="419">
        <v>334</v>
      </c>
    </row>
    <row r="451" spans="12:16">
      <c r="L451" s="420" t="s">
        <v>2553</v>
      </c>
      <c r="M451" s="420"/>
      <c r="N451" s="419">
        <v>668</v>
      </c>
      <c r="O451" s="419">
        <v>1002</v>
      </c>
      <c r="P451" s="419">
        <v>1002</v>
      </c>
    </row>
    <row r="452" spans="12:16">
      <c r="L452" s="420" t="s">
        <v>271</v>
      </c>
      <c r="M452" s="420" t="s">
        <v>2763</v>
      </c>
      <c r="N452" s="419">
        <v>506</v>
      </c>
      <c r="O452" s="419">
        <v>420</v>
      </c>
      <c r="P452" s="419">
        <v>506</v>
      </c>
    </row>
    <row r="453" spans="12:16">
      <c r="M453" s="420" t="s">
        <v>2764</v>
      </c>
      <c r="N453" s="419">
        <v>400</v>
      </c>
      <c r="O453" s="419">
        <v>300</v>
      </c>
      <c r="P453" s="419">
        <v>463</v>
      </c>
    </row>
    <row r="454" spans="12:16">
      <c r="M454" s="420" t="s">
        <v>2765</v>
      </c>
      <c r="N454" s="419">
        <v>0</v>
      </c>
      <c r="O454" s="419">
        <v>440</v>
      </c>
      <c r="P454" s="419">
        <v>507</v>
      </c>
    </row>
    <row r="455" spans="12:16">
      <c r="L455" s="420" t="s">
        <v>2554</v>
      </c>
      <c r="M455" s="420"/>
      <c r="N455" s="419">
        <v>906</v>
      </c>
      <c r="O455" s="419">
        <v>1160</v>
      </c>
      <c r="P455" s="419">
        <v>1476</v>
      </c>
    </row>
    <row r="456" spans="12:16">
      <c r="L456" s="420" t="s">
        <v>181</v>
      </c>
      <c r="M456" s="420" t="s">
        <v>2763</v>
      </c>
      <c r="N456" s="419">
        <v>307</v>
      </c>
      <c r="O456" s="419">
        <v>280</v>
      </c>
      <c r="P456" s="419">
        <v>307</v>
      </c>
    </row>
    <row r="457" spans="12:16">
      <c r="M457" s="420" t="s">
        <v>2764</v>
      </c>
      <c r="N457" s="419">
        <v>396</v>
      </c>
      <c r="O457" s="419">
        <v>280</v>
      </c>
      <c r="P457" s="419">
        <v>396</v>
      </c>
    </row>
    <row r="458" spans="12:16">
      <c r="M458" s="420" t="s">
        <v>2765</v>
      </c>
      <c r="N458" s="419">
        <v>396</v>
      </c>
      <c r="O458" s="419">
        <v>280</v>
      </c>
      <c r="P458" s="419">
        <v>396</v>
      </c>
    </row>
    <row r="459" spans="12:16">
      <c r="L459" s="420" t="s">
        <v>2452</v>
      </c>
      <c r="M459" s="420"/>
      <c r="N459" s="419">
        <v>1099</v>
      </c>
      <c r="O459" s="419">
        <v>840</v>
      </c>
      <c r="P459" s="419">
        <v>1099</v>
      </c>
    </row>
    <row r="460" spans="12:16">
      <c r="L460" s="420" t="s">
        <v>259</v>
      </c>
      <c r="M460" s="420" t="s">
        <v>2763</v>
      </c>
      <c r="N460" s="419">
        <v>70</v>
      </c>
      <c r="O460" s="419">
        <v>40</v>
      </c>
      <c r="P460" s="419">
        <v>70</v>
      </c>
    </row>
    <row r="461" spans="12:16">
      <c r="M461" s="420" t="s">
        <v>2764</v>
      </c>
      <c r="N461" s="419">
        <v>70</v>
      </c>
      <c r="O461" s="419">
        <v>40</v>
      </c>
      <c r="P461" s="419">
        <v>70</v>
      </c>
    </row>
    <row r="462" spans="12:16">
      <c r="M462" s="420" t="s">
        <v>2765</v>
      </c>
      <c r="N462" s="419">
        <v>70</v>
      </c>
      <c r="O462" s="419">
        <v>40</v>
      </c>
      <c r="P462" s="419">
        <v>70</v>
      </c>
    </row>
    <row r="463" spans="12:16">
      <c r="L463" s="420" t="s">
        <v>2555</v>
      </c>
      <c r="M463" s="420"/>
      <c r="N463" s="419">
        <v>210</v>
      </c>
      <c r="O463" s="419">
        <v>120</v>
      </c>
      <c r="P463" s="419">
        <v>210</v>
      </c>
    </row>
    <row r="464" spans="12:16">
      <c r="L464" s="420" t="s">
        <v>280</v>
      </c>
      <c r="M464" s="420" t="s">
        <v>2763</v>
      </c>
      <c r="N464" s="419">
        <v>3000</v>
      </c>
      <c r="O464" s="419">
        <v>3003</v>
      </c>
      <c r="P464" s="419">
        <v>3860</v>
      </c>
    </row>
    <row r="465" spans="12:16">
      <c r="M465" s="420" t="s">
        <v>2764</v>
      </c>
      <c r="N465" s="419">
        <v>3030</v>
      </c>
      <c r="O465" s="419">
        <v>2983</v>
      </c>
      <c r="P465" s="419">
        <v>3860</v>
      </c>
    </row>
    <row r="466" spans="12:16">
      <c r="M466" s="420" t="s">
        <v>2765</v>
      </c>
      <c r="N466" s="419">
        <v>3860</v>
      </c>
      <c r="O466" s="419">
        <v>2983</v>
      </c>
      <c r="P466" s="419">
        <v>3860</v>
      </c>
    </row>
    <row r="467" spans="12:16">
      <c r="L467" s="420" t="s">
        <v>2556</v>
      </c>
      <c r="M467" s="420"/>
      <c r="N467" s="419">
        <v>9890</v>
      </c>
      <c r="O467" s="419">
        <v>8969</v>
      </c>
      <c r="P467" s="419">
        <v>11580</v>
      </c>
    </row>
    <row r="468" spans="12:16">
      <c r="L468" s="420" t="s">
        <v>778</v>
      </c>
      <c r="M468" s="420" t="s">
        <v>2763</v>
      </c>
      <c r="N468" s="419">
        <v>205</v>
      </c>
      <c r="O468" s="419">
        <v>0</v>
      </c>
      <c r="P468" s="419">
        <v>0</v>
      </c>
    </row>
    <row r="469" spans="12:16">
      <c r="M469" s="420" t="s">
        <v>2764</v>
      </c>
      <c r="N469" s="419">
        <v>0</v>
      </c>
      <c r="O469" s="419">
        <v>0</v>
      </c>
      <c r="P469" s="419">
        <v>0</v>
      </c>
    </row>
    <row r="470" spans="12:16">
      <c r="M470" s="420" t="s">
        <v>2765</v>
      </c>
      <c r="N470" s="419">
        <v>0</v>
      </c>
      <c r="O470" s="419">
        <v>0</v>
      </c>
      <c r="P470" s="419">
        <v>0</v>
      </c>
    </row>
    <row r="471" spans="12:16">
      <c r="L471" s="420" t="s">
        <v>2557</v>
      </c>
      <c r="M471" s="420"/>
      <c r="N471" s="419">
        <v>205</v>
      </c>
      <c r="O471" s="419">
        <v>0</v>
      </c>
      <c r="P471" s="419">
        <v>0</v>
      </c>
    </row>
    <row r="472" spans="12:16">
      <c r="L472" s="420" t="s">
        <v>187</v>
      </c>
      <c r="M472" s="420" t="s">
        <v>2763</v>
      </c>
      <c r="N472" s="419">
        <v>325</v>
      </c>
      <c r="O472" s="419">
        <v>325</v>
      </c>
      <c r="P472" s="419">
        <v>0</v>
      </c>
    </row>
    <row r="473" spans="12:16">
      <c r="M473" s="420" t="s">
        <v>2764</v>
      </c>
      <c r="N473" s="419">
        <v>0</v>
      </c>
      <c r="O473" s="419">
        <v>353</v>
      </c>
      <c r="P473" s="419">
        <v>353</v>
      </c>
    </row>
    <row r="474" spans="12:16">
      <c r="M474" s="420" t="s">
        <v>2765</v>
      </c>
      <c r="N474" s="419">
        <v>0</v>
      </c>
      <c r="O474" s="419">
        <v>353</v>
      </c>
      <c r="P474" s="419">
        <v>353</v>
      </c>
    </row>
    <row r="475" spans="12:16">
      <c r="L475" s="420" t="s">
        <v>2453</v>
      </c>
      <c r="M475" s="420"/>
      <c r="N475" s="419">
        <v>325</v>
      </c>
      <c r="O475" s="419">
        <v>1031</v>
      </c>
      <c r="P475" s="419">
        <v>706</v>
      </c>
    </row>
    <row r="476" spans="12:16">
      <c r="L476" s="420" t="s">
        <v>156</v>
      </c>
      <c r="M476" s="420" t="s">
        <v>2763</v>
      </c>
      <c r="N476" s="419">
        <v>136</v>
      </c>
      <c r="O476" s="419">
        <v>136</v>
      </c>
      <c r="P476" s="419">
        <v>136</v>
      </c>
    </row>
    <row r="477" spans="12:16">
      <c r="M477" s="420" t="s">
        <v>2764</v>
      </c>
      <c r="N477" s="419">
        <v>0</v>
      </c>
      <c r="O477" s="419">
        <v>136</v>
      </c>
      <c r="P477" s="419">
        <v>136</v>
      </c>
    </row>
    <row r="478" spans="12:16">
      <c r="M478" s="420" t="s">
        <v>2765</v>
      </c>
      <c r="N478" s="419">
        <v>0</v>
      </c>
      <c r="O478" s="419">
        <v>136</v>
      </c>
      <c r="P478" s="419">
        <v>136</v>
      </c>
    </row>
    <row r="479" spans="12:16">
      <c r="L479" s="420" t="s">
        <v>2454</v>
      </c>
      <c r="M479" s="420"/>
      <c r="N479" s="419">
        <v>136</v>
      </c>
      <c r="O479" s="419">
        <v>408</v>
      </c>
      <c r="P479" s="419">
        <v>408</v>
      </c>
    </row>
    <row r="480" spans="12:16">
      <c r="L480" s="420" t="s">
        <v>286</v>
      </c>
      <c r="M480" s="420" t="s">
        <v>2763</v>
      </c>
      <c r="N480" s="419">
        <v>255</v>
      </c>
      <c r="O480" s="419">
        <v>255</v>
      </c>
      <c r="P480" s="419">
        <v>255</v>
      </c>
    </row>
    <row r="481" spans="12:16">
      <c r="M481" s="420" t="s">
        <v>2764</v>
      </c>
      <c r="N481" s="419">
        <v>255</v>
      </c>
      <c r="O481" s="419">
        <v>255</v>
      </c>
      <c r="P481" s="419">
        <v>255</v>
      </c>
    </row>
    <row r="482" spans="12:16">
      <c r="M482" s="420" t="s">
        <v>2765</v>
      </c>
      <c r="N482" s="419">
        <v>255</v>
      </c>
      <c r="O482" s="419">
        <v>255</v>
      </c>
      <c r="P482" s="419">
        <v>255</v>
      </c>
    </row>
    <row r="483" spans="12:16">
      <c r="L483" s="420" t="s">
        <v>2558</v>
      </c>
      <c r="M483" s="420"/>
      <c r="N483" s="419">
        <v>765</v>
      </c>
      <c r="O483" s="419">
        <v>765</v>
      </c>
      <c r="P483" s="419">
        <v>765</v>
      </c>
    </row>
    <row r="484" spans="12:16">
      <c r="L484" s="420" t="s">
        <v>143</v>
      </c>
      <c r="M484" s="420" t="s">
        <v>2763</v>
      </c>
      <c r="N484" s="419">
        <v>1532</v>
      </c>
      <c r="O484" s="419">
        <v>1532</v>
      </c>
      <c r="P484" s="419">
        <v>0</v>
      </c>
    </row>
    <row r="485" spans="12:16">
      <c r="M485" s="420" t="s">
        <v>2764</v>
      </c>
      <c r="N485" s="419">
        <v>1881</v>
      </c>
      <c r="O485" s="419">
        <v>1881</v>
      </c>
      <c r="P485" s="419">
        <v>1881</v>
      </c>
    </row>
    <row r="486" spans="12:16">
      <c r="M486" s="420" t="s">
        <v>2765</v>
      </c>
      <c r="N486" s="419">
        <v>1881</v>
      </c>
      <c r="O486" s="419">
        <v>1881</v>
      </c>
      <c r="P486" s="419">
        <v>1881</v>
      </c>
    </row>
    <row r="487" spans="12:16">
      <c r="L487" s="420" t="s">
        <v>2455</v>
      </c>
      <c r="M487" s="420"/>
      <c r="N487" s="419">
        <v>5294</v>
      </c>
      <c r="O487" s="419">
        <v>5294</v>
      </c>
      <c r="P487" s="419">
        <v>3762</v>
      </c>
    </row>
    <row r="488" spans="12:16">
      <c r="L488" s="420" t="s">
        <v>188</v>
      </c>
      <c r="M488" s="420" t="s">
        <v>2763</v>
      </c>
      <c r="N488" s="419">
        <v>103</v>
      </c>
      <c r="O488" s="419">
        <v>103</v>
      </c>
      <c r="P488" s="419">
        <v>103</v>
      </c>
    </row>
    <row r="489" spans="12:16">
      <c r="M489" s="420" t="s">
        <v>2764</v>
      </c>
      <c r="N489" s="419">
        <v>0</v>
      </c>
      <c r="O489" s="419">
        <v>100</v>
      </c>
      <c r="P489" s="419">
        <v>103</v>
      </c>
    </row>
    <row r="490" spans="12:16">
      <c r="M490" s="420" t="s">
        <v>2765</v>
      </c>
      <c r="N490" s="419">
        <v>0</v>
      </c>
      <c r="O490" s="419">
        <v>100</v>
      </c>
      <c r="P490" s="419">
        <v>103</v>
      </c>
    </row>
    <row r="491" spans="12:16">
      <c r="L491" s="420" t="s">
        <v>2456</v>
      </c>
      <c r="M491" s="420"/>
      <c r="N491" s="419">
        <v>103</v>
      </c>
      <c r="O491" s="419">
        <v>303</v>
      </c>
      <c r="P491" s="419">
        <v>309</v>
      </c>
    </row>
    <row r="492" spans="12:16">
      <c r="L492" s="420" t="s">
        <v>168</v>
      </c>
      <c r="M492" s="420" t="s">
        <v>2763</v>
      </c>
      <c r="N492" s="419">
        <v>583</v>
      </c>
      <c r="O492" s="419">
        <v>260</v>
      </c>
      <c r="P492" s="419">
        <v>583</v>
      </c>
    </row>
    <row r="493" spans="12:16">
      <c r="M493" s="420" t="s">
        <v>2764</v>
      </c>
      <c r="N493" s="419">
        <v>500</v>
      </c>
      <c r="O493" s="419">
        <v>260</v>
      </c>
      <c r="P493" s="419">
        <v>563</v>
      </c>
    </row>
    <row r="494" spans="12:16">
      <c r="M494" s="420" t="s">
        <v>2765</v>
      </c>
      <c r="N494" s="419">
        <v>500</v>
      </c>
      <c r="O494" s="419">
        <v>260</v>
      </c>
      <c r="P494" s="419">
        <v>563</v>
      </c>
    </row>
    <row r="495" spans="12:16">
      <c r="L495" s="420" t="s">
        <v>2457</v>
      </c>
      <c r="M495" s="420"/>
      <c r="N495" s="419">
        <v>1583</v>
      </c>
      <c r="O495" s="419">
        <v>780</v>
      </c>
      <c r="P495" s="419">
        <v>1709</v>
      </c>
    </row>
    <row r="496" spans="12:16">
      <c r="L496" s="420" t="s">
        <v>265</v>
      </c>
      <c r="M496" s="420" t="s">
        <v>2763</v>
      </c>
      <c r="N496" s="419">
        <v>119</v>
      </c>
      <c r="O496" s="419">
        <v>119</v>
      </c>
      <c r="P496" s="419">
        <v>119</v>
      </c>
    </row>
    <row r="497" spans="12:16">
      <c r="M497" s="420" t="s">
        <v>2764</v>
      </c>
      <c r="N497" s="419">
        <v>0</v>
      </c>
      <c r="O497" s="419">
        <v>120</v>
      </c>
      <c r="P497" s="419">
        <v>120</v>
      </c>
    </row>
    <row r="498" spans="12:16">
      <c r="M498" s="420" t="s">
        <v>2765</v>
      </c>
      <c r="N498" s="419">
        <v>99</v>
      </c>
      <c r="O498" s="419">
        <v>99</v>
      </c>
      <c r="P498" s="419">
        <v>99</v>
      </c>
    </row>
    <row r="499" spans="12:16">
      <c r="L499" s="420" t="s">
        <v>2559</v>
      </c>
      <c r="M499" s="420"/>
      <c r="N499" s="419">
        <v>218</v>
      </c>
      <c r="O499" s="419">
        <v>338</v>
      </c>
      <c r="P499" s="419">
        <v>338</v>
      </c>
    </row>
    <row r="500" spans="12:16">
      <c r="L500" s="420" t="s">
        <v>182</v>
      </c>
      <c r="M500" s="420" t="s">
        <v>2763</v>
      </c>
      <c r="N500" s="419">
        <v>958</v>
      </c>
      <c r="O500" s="419">
        <v>958</v>
      </c>
      <c r="P500" s="419">
        <v>0</v>
      </c>
    </row>
    <row r="501" spans="12:16">
      <c r="M501" s="420" t="s">
        <v>2764</v>
      </c>
      <c r="N501" s="419">
        <v>1176</v>
      </c>
      <c r="O501" s="419">
        <v>1176</v>
      </c>
      <c r="P501" s="419">
        <v>0</v>
      </c>
    </row>
    <row r="502" spans="12:16">
      <c r="M502" s="420" t="s">
        <v>2765</v>
      </c>
      <c r="N502" s="419">
        <v>1176</v>
      </c>
      <c r="O502" s="419">
        <v>1176</v>
      </c>
      <c r="P502" s="419">
        <v>0</v>
      </c>
    </row>
    <row r="503" spans="12:16">
      <c r="L503" s="420" t="s">
        <v>2458</v>
      </c>
      <c r="M503" s="420"/>
      <c r="N503" s="419">
        <v>3310</v>
      </c>
      <c r="O503" s="419">
        <v>3310</v>
      </c>
      <c r="P503" s="419">
        <v>0</v>
      </c>
    </row>
    <row r="504" spans="12:16">
      <c r="L504" s="420" t="s">
        <v>215</v>
      </c>
      <c r="M504" s="420" t="s">
        <v>2763</v>
      </c>
      <c r="N504" s="419">
        <v>300</v>
      </c>
      <c r="O504" s="419">
        <v>264</v>
      </c>
      <c r="P504" s="419">
        <v>300</v>
      </c>
    </row>
    <row r="505" spans="12:16">
      <c r="M505" s="420" t="s">
        <v>2764</v>
      </c>
      <c r="N505" s="419">
        <v>300</v>
      </c>
      <c r="O505" s="419">
        <v>244</v>
      </c>
      <c r="P505" s="419">
        <v>300</v>
      </c>
    </row>
    <row r="506" spans="12:16">
      <c r="M506" s="420" t="s">
        <v>2765</v>
      </c>
      <c r="N506" s="419">
        <v>300</v>
      </c>
      <c r="O506" s="419">
        <v>204</v>
      </c>
      <c r="P506" s="419">
        <v>300</v>
      </c>
    </row>
    <row r="507" spans="12:16">
      <c r="L507" s="420" t="s">
        <v>2560</v>
      </c>
      <c r="M507" s="420"/>
      <c r="N507" s="419">
        <v>900</v>
      </c>
      <c r="O507" s="419">
        <v>712</v>
      </c>
      <c r="P507" s="419">
        <v>900</v>
      </c>
    </row>
    <row r="508" spans="12:16">
      <c r="L508" s="420" t="s">
        <v>216</v>
      </c>
      <c r="M508" s="420" t="s">
        <v>2763</v>
      </c>
      <c r="N508" s="419">
        <v>182</v>
      </c>
      <c r="O508" s="419">
        <v>180</v>
      </c>
      <c r="P508" s="419">
        <v>182</v>
      </c>
    </row>
    <row r="509" spans="12:16">
      <c r="M509" s="420" t="s">
        <v>2764</v>
      </c>
      <c r="N509" s="419">
        <v>0</v>
      </c>
      <c r="O509" s="419">
        <v>180</v>
      </c>
      <c r="P509" s="419">
        <v>182</v>
      </c>
    </row>
    <row r="510" spans="12:16">
      <c r="M510" s="420" t="s">
        <v>2765</v>
      </c>
      <c r="N510" s="419">
        <v>0</v>
      </c>
      <c r="O510" s="419">
        <v>182</v>
      </c>
      <c r="P510" s="419">
        <v>182</v>
      </c>
    </row>
    <row r="511" spans="12:16">
      <c r="L511" s="420" t="s">
        <v>2561</v>
      </c>
      <c r="M511" s="420"/>
      <c r="N511" s="419">
        <v>182</v>
      </c>
      <c r="O511" s="419">
        <v>542</v>
      </c>
      <c r="P511" s="419">
        <v>546</v>
      </c>
    </row>
    <row r="512" spans="12:16">
      <c r="L512" s="420" t="s">
        <v>169</v>
      </c>
      <c r="M512" s="420" t="s">
        <v>2763</v>
      </c>
      <c r="N512" s="419">
        <v>499</v>
      </c>
      <c r="O512" s="419">
        <v>340</v>
      </c>
      <c r="P512" s="419">
        <v>499</v>
      </c>
    </row>
    <row r="513" spans="12:16">
      <c r="M513" s="420" t="s">
        <v>2764</v>
      </c>
      <c r="N513" s="419">
        <v>0</v>
      </c>
      <c r="O513" s="419">
        <v>340</v>
      </c>
      <c r="P513" s="419">
        <v>629</v>
      </c>
    </row>
    <row r="514" spans="12:16">
      <c r="M514" s="420" t="s">
        <v>2765</v>
      </c>
      <c r="N514" s="419">
        <v>0</v>
      </c>
      <c r="O514" s="419">
        <v>340</v>
      </c>
      <c r="P514" s="419">
        <v>629</v>
      </c>
    </row>
    <row r="515" spans="12:16">
      <c r="L515" s="420" t="s">
        <v>2459</v>
      </c>
      <c r="M515" s="420"/>
      <c r="N515" s="419">
        <v>499</v>
      </c>
      <c r="O515" s="419">
        <v>1020</v>
      </c>
      <c r="P515" s="419">
        <v>1757</v>
      </c>
    </row>
    <row r="516" spans="12:16">
      <c r="L516" s="420" t="s">
        <v>1717</v>
      </c>
      <c r="M516" s="420" t="s">
        <v>2763</v>
      </c>
      <c r="N516" s="419">
        <v>455</v>
      </c>
      <c r="O516" s="419">
        <v>0</v>
      </c>
      <c r="P516" s="419">
        <v>622</v>
      </c>
    </row>
    <row r="517" spans="12:16">
      <c r="M517" s="420" t="s">
        <v>2764</v>
      </c>
      <c r="N517" s="419">
        <v>624</v>
      </c>
      <c r="O517" s="419">
        <v>0</v>
      </c>
      <c r="P517" s="419">
        <v>500</v>
      </c>
    </row>
    <row r="518" spans="12:16">
      <c r="M518" s="420" t="s">
        <v>2765</v>
      </c>
      <c r="N518" s="419">
        <v>500</v>
      </c>
      <c r="O518" s="419">
        <v>20</v>
      </c>
      <c r="P518" s="419">
        <v>625</v>
      </c>
    </row>
    <row r="519" spans="12:16">
      <c r="L519" s="420" t="s">
        <v>2562</v>
      </c>
      <c r="M519" s="420"/>
      <c r="N519" s="419">
        <v>1579</v>
      </c>
      <c r="O519" s="419">
        <v>20</v>
      </c>
      <c r="P519" s="419">
        <v>1747</v>
      </c>
    </row>
    <row r="520" spans="12:16">
      <c r="L520" s="420" t="s">
        <v>239</v>
      </c>
      <c r="M520" s="420" t="s">
        <v>2763</v>
      </c>
      <c r="N520" s="419">
        <v>68</v>
      </c>
      <c r="O520" s="419">
        <v>68</v>
      </c>
      <c r="P520" s="419">
        <v>68</v>
      </c>
    </row>
    <row r="521" spans="12:16">
      <c r="M521" s="420" t="s">
        <v>2764</v>
      </c>
      <c r="N521" s="419">
        <v>68</v>
      </c>
      <c r="O521" s="419">
        <v>68</v>
      </c>
      <c r="P521" s="419">
        <v>68</v>
      </c>
    </row>
    <row r="522" spans="12:16">
      <c r="M522" s="420" t="s">
        <v>2765</v>
      </c>
      <c r="N522" s="419">
        <v>68</v>
      </c>
      <c r="O522" s="419">
        <v>68</v>
      </c>
      <c r="P522" s="419">
        <v>68</v>
      </c>
    </row>
    <row r="523" spans="12:16">
      <c r="L523" s="420" t="s">
        <v>2563</v>
      </c>
      <c r="M523" s="420"/>
      <c r="N523" s="419">
        <v>204</v>
      </c>
      <c r="O523" s="419">
        <v>204</v>
      </c>
      <c r="P523" s="419">
        <v>204</v>
      </c>
    </row>
    <row r="524" spans="12:16">
      <c r="L524" s="420" t="s">
        <v>865</v>
      </c>
      <c r="M524" s="420" t="s">
        <v>2763</v>
      </c>
      <c r="N524" s="419">
        <v>153</v>
      </c>
      <c r="O524" s="419">
        <v>0</v>
      </c>
      <c r="P524" s="419">
        <v>153</v>
      </c>
    </row>
    <row r="525" spans="12:16">
      <c r="M525" s="420" t="s">
        <v>2764</v>
      </c>
      <c r="N525" s="419">
        <v>169</v>
      </c>
      <c r="O525" s="419">
        <v>0</v>
      </c>
      <c r="P525" s="419">
        <v>169</v>
      </c>
    </row>
    <row r="526" spans="12:16">
      <c r="M526" s="420" t="s">
        <v>2765</v>
      </c>
      <c r="N526" s="419">
        <v>169</v>
      </c>
      <c r="O526" s="419">
        <v>40</v>
      </c>
      <c r="P526" s="419">
        <v>169</v>
      </c>
    </row>
    <row r="527" spans="12:16">
      <c r="L527" s="420" t="s">
        <v>2564</v>
      </c>
      <c r="M527" s="420"/>
      <c r="N527" s="419">
        <v>491</v>
      </c>
      <c r="O527" s="419">
        <v>40</v>
      </c>
      <c r="P527" s="419">
        <v>491</v>
      </c>
    </row>
    <row r="528" spans="12:16">
      <c r="L528" s="420" t="s">
        <v>1615</v>
      </c>
      <c r="M528" s="420" t="s">
        <v>2763</v>
      </c>
      <c r="N528" s="419">
        <v>468</v>
      </c>
      <c r="O528" s="419">
        <v>0</v>
      </c>
      <c r="P528" s="419">
        <v>0</v>
      </c>
    </row>
    <row r="529" spans="12:16">
      <c r="M529" s="420" t="s">
        <v>2764</v>
      </c>
      <c r="N529" s="419">
        <v>0</v>
      </c>
      <c r="O529" s="419">
        <v>483</v>
      </c>
      <c r="P529" s="419">
        <v>483</v>
      </c>
    </row>
    <row r="530" spans="12:16">
      <c r="M530" s="420" t="s">
        <v>2765</v>
      </c>
      <c r="N530" s="419">
        <v>0</v>
      </c>
      <c r="O530" s="419">
        <v>483</v>
      </c>
      <c r="P530" s="419">
        <v>483</v>
      </c>
    </row>
    <row r="531" spans="12:16">
      <c r="L531" s="420" t="s">
        <v>2565</v>
      </c>
      <c r="M531" s="420"/>
      <c r="N531" s="419">
        <v>468</v>
      </c>
      <c r="O531" s="419">
        <v>966</v>
      </c>
      <c r="P531" s="419">
        <v>966</v>
      </c>
    </row>
    <row r="532" spans="12:16">
      <c r="L532" s="420" t="s">
        <v>170</v>
      </c>
      <c r="M532" s="420" t="s">
        <v>2763</v>
      </c>
      <c r="N532" s="419">
        <v>351</v>
      </c>
      <c r="O532" s="419">
        <v>220</v>
      </c>
      <c r="P532" s="419">
        <v>351</v>
      </c>
    </row>
    <row r="533" spans="12:16">
      <c r="M533" s="420" t="s">
        <v>2764</v>
      </c>
      <c r="N533" s="419">
        <v>500</v>
      </c>
      <c r="O533" s="419">
        <v>220</v>
      </c>
      <c r="P533" s="419">
        <v>531</v>
      </c>
    </row>
    <row r="534" spans="12:16">
      <c r="M534" s="420" t="s">
        <v>2765</v>
      </c>
      <c r="N534" s="419">
        <v>500</v>
      </c>
      <c r="O534" s="419">
        <v>220</v>
      </c>
      <c r="P534" s="419">
        <v>531</v>
      </c>
    </row>
    <row r="535" spans="12:16">
      <c r="L535" s="420" t="s">
        <v>2460</v>
      </c>
      <c r="M535" s="420"/>
      <c r="N535" s="419">
        <v>1351</v>
      </c>
      <c r="O535" s="419">
        <v>660</v>
      </c>
      <c r="P535" s="419">
        <v>1413</v>
      </c>
    </row>
    <row r="536" spans="12:16">
      <c r="L536" s="420" t="s">
        <v>266</v>
      </c>
      <c r="M536" s="420" t="s">
        <v>2763</v>
      </c>
      <c r="N536" s="419">
        <v>262</v>
      </c>
      <c r="O536" s="419">
        <v>262</v>
      </c>
      <c r="P536" s="419">
        <v>262</v>
      </c>
    </row>
    <row r="537" spans="12:16">
      <c r="M537" s="420" t="s">
        <v>2764</v>
      </c>
      <c r="N537" s="419">
        <v>0</v>
      </c>
      <c r="O537" s="419">
        <v>262</v>
      </c>
      <c r="P537" s="419">
        <v>262</v>
      </c>
    </row>
    <row r="538" spans="12:16">
      <c r="M538" s="420" t="s">
        <v>2765</v>
      </c>
      <c r="N538" s="419">
        <v>0</v>
      </c>
      <c r="O538" s="419">
        <v>266</v>
      </c>
      <c r="P538" s="419">
        <v>0</v>
      </c>
    </row>
    <row r="539" spans="12:16">
      <c r="L539" s="420" t="s">
        <v>2566</v>
      </c>
      <c r="M539" s="420"/>
      <c r="N539" s="419">
        <v>262</v>
      </c>
      <c r="O539" s="419">
        <v>790</v>
      </c>
      <c r="P539" s="419">
        <v>524</v>
      </c>
    </row>
    <row r="540" spans="12:16">
      <c r="L540" s="420" t="s">
        <v>171</v>
      </c>
      <c r="M540" s="420" t="s">
        <v>2763</v>
      </c>
      <c r="N540" s="419">
        <v>165</v>
      </c>
      <c r="O540" s="419">
        <v>100</v>
      </c>
      <c r="P540" s="419">
        <v>165</v>
      </c>
    </row>
    <row r="541" spans="12:16">
      <c r="M541" s="420" t="s">
        <v>2764</v>
      </c>
      <c r="N541" s="419">
        <v>0</v>
      </c>
      <c r="O541" s="419">
        <v>100</v>
      </c>
      <c r="P541" s="419">
        <v>197</v>
      </c>
    </row>
    <row r="542" spans="12:16">
      <c r="M542" s="420" t="s">
        <v>2765</v>
      </c>
      <c r="N542" s="419">
        <v>0</v>
      </c>
      <c r="O542" s="419">
        <v>100</v>
      </c>
      <c r="P542" s="419">
        <v>197</v>
      </c>
    </row>
    <row r="543" spans="12:16">
      <c r="L543" s="420" t="s">
        <v>2461</v>
      </c>
      <c r="M543" s="420"/>
      <c r="N543" s="419">
        <v>165</v>
      </c>
      <c r="O543" s="419">
        <v>300</v>
      </c>
      <c r="P543" s="419">
        <v>559</v>
      </c>
    </row>
    <row r="544" spans="12:16">
      <c r="L544" s="420" t="s">
        <v>172</v>
      </c>
      <c r="M544" s="420" t="s">
        <v>2763</v>
      </c>
      <c r="N544" s="419">
        <v>219</v>
      </c>
      <c r="O544" s="419">
        <v>219</v>
      </c>
      <c r="P544" s="419">
        <v>219</v>
      </c>
    </row>
    <row r="545" spans="12:16">
      <c r="M545" s="420" t="s">
        <v>2764</v>
      </c>
      <c r="N545" s="419">
        <v>0</v>
      </c>
      <c r="O545" s="419">
        <v>239</v>
      </c>
      <c r="P545" s="419">
        <v>239</v>
      </c>
    </row>
    <row r="546" spans="12:16">
      <c r="M546" s="420" t="s">
        <v>2765</v>
      </c>
      <c r="N546" s="419">
        <v>0</v>
      </c>
      <c r="O546" s="419">
        <v>239</v>
      </c>
      <c r="P546" s="419">
        <v>239</v>
      </c>
    </row>
    <row r="547" spans="12:16">
      <c r="L547" s="420" t="s">
        <v>2462</v>
      </c>
      <c r="M547" s="420"/>
      <c r="N547" s="419">
        <v>219</v>
      </c>
      <c r="O547" s="419">
        <v>697</v>
      </c>
      <c r="P547" s="419">
        <v>697</v>
      </c>
    </row>
    <row r="548" spans="12:16">
      <c r="L548" s="420" t="s">
        <v>274</v>
      </c>
      <c r="M548" s="420" t="s">
        <v>2763</v>
      </c>
      <c r="N548" s="419">
        <v>192</v>
      </c>
      <c r="O548" s="419">
        <v>120</v>
      </c>
      <c r="P548" s="419">
        <v>192</v>
      </c>
    </row>
    <row r="549" spans="12:16">
      <c r="M549" s="420" t="s">
        <v>2764</v>
      </c>
      <c r="N549" s="419">
        <v>192</v>
      </c>
      <c r="O549" s="419">
        <v>120</v>
      </c>
      <c r="P549" s="419">
        <v>192</v>
      </c>
    </row>
    <row r="550" spans="12:16">
      <c r="M550" s="420" t="s">
        <v>2765</v>
      </c>
      <c r="N550" s="419">
        <v>0</v>
      </c>
      <c r="O550" s="419">
        <v>120</v>
      </c>
      <c r="P550" s="419">
        <v>191</v>
      </c>
    </row>
    <row r="551" spans="12:16">
      <c r="L551" s="420" t="s">
        <v>2567</v>
      </c>
      <c r="M551" s="420"/>
      <c r="N551" s="419">
        <v>384</v>
      </c>
      <c r="O551" s="419">
        <v>360</v>
      </c>
      <c r="P551" s="419">
        <v>575</v>
      </c>
    </row>
    <row r="552" spans="12:16">
      <c r="L552" s="420" t="s">
        <v>1614</v>
      </c>
      <c r="M552" s="420" t="s">
        <v>2763</v>
      </c>
      <c r="N552" s="419">
        <v>866</v>
      </c>
      <c r="O552" s="419">
        <v>560</v>
      </c>
      <c r="P552" s="419">
        <v>866</v>
      </c>
    </row>
    <row r="553" spans="12:16">
      <c r="M553" s="420" t="s">
        <v>2764</v>
      </c>
      <c r="N553" s="419">
        <v>500</v>
      </c>
      <c r="O553" s="419">
        <v>560</v>
      </c>
      <c r="P553" s="419">
        <v>975</v>
      </c>
    </row>
    <row r="554" spans="12:16">
      <c r="M554" s="420" t="s">
        <v>2765</v>
      </c>
      <c r="N554" s="419">
        <v>500</v>
      </c>
      <c r="O554" s="419">
        <v>560</v>
      </c>
      <c r="P554" s="419">
        <v>975</v>
      </c>
    </row>
    <row r="555" spans="12:16">
      <c r="L555" s="420" t="s">
        <v>2463</v>
      </c>
      <c r="M555" s="420"/>
      <c r="N555" s="419">
        <v>1866</v>
      </c>
      <c r="O555" s="419">
        <v>1680</v>
      </c>
      <c r="P555" s="419">
        <v>2816</v>
      </c>
    </row>
    <row r="556" spans="12:16">
      <c r="L556" s="420" t="s">
        <v>563</v>
      </c>
      <c r="M556" s="420" t="s">
        <v>2763</v>
      </c>
      <c r="N556" s="419">
        <v>195</v>
      </c>
      <c r="O556" s="419">
        <v>195</v>
      </c>
      <c r="P556" s="419">
        <v>195</v>
      </c>
    </row>
    <row r="557" spans="12:16">
      <c r="M557" s="420" t="s">
        <v>2764</v>
      </c>
      <c r="N557" s="419">
        <v>195</v>
      </c>
      <c r="O557" s="419">
        <v>195</v>
      </c>
      <c r="P557" s="419">
        <v>195</v>
      </c>
    </row>
    <row r="558" spans="12:16">
      <c r="M558" s="420" t="s">
        <v>2765</v>
      </c>
      <c r="N558" s="419">
        <v>195</v>
      </c>
      <c r="O558" s="419">
        <v>195</v>
      </c>
      <c r="P558" s="419">
        <v>195</v>
      </c>
    </row>
    <row r="559" spans="12:16">
      <c r="L559" s="420" t="s">
        <v>2568</v>
      </c>
      <c r="M559" s="420"/>
      <c r="N559" s="419">
        <v>585</v>
      </c>
      <c r="O559" s="419">
        <v>585</v>
      </c>
      <c r="P559" s="419">
        <v>585</v>
      </c>
    </row>
    <row r="560" spans="12:16">
      <c r="L560" s="420" t="s">
        <v>1611</v>
      </c>
      <c r="M560" s="420" t="s">
        <v>2763</v>
      </c>
      <c r="N560" s="419">
        <v>351</v>
      </c>
      <c r="O560" s="419">
        <v>160</v>
      </c>
      <c r="P560" s="419">
        <v>351</v>
      </c>
    </row>
    <row r="561" spans="12:16">
      <c r="M561" s="420" t="s">
        <v>2764</v>
      </c>
      <c r="N561" s="419">
        <v>387</v>
      </c>
      <c r="O561" s="419">
        <v>160</v>
      </c>
      <c r="P561" s="419">
        <v>387</v>
      </c>
    </row>
    <row r="562" spans="12:16">
      <c r="M562" s="420" t="s">
        <v>2765</v>
      </c>
      <c r="N562" s="419">
        <v>387</v>
      </c>
      <c r="O562" s="419">
        <v>160</v>
      </c>
      <c r="P562" s="419">
        <v>387</v>
      </c>
    </row>
    <row r="563" spans="12:16">
      <c r="L563" s="420" t="s">
        <v>2464</v>
      </c>
      <c r="M563" s="420"/>
      <c r="N563" s="419">
        <v>1125</v>
      </c>
      <c r="O563" s="419">
        <v>480</v>
      </c>
      <c r="P563" s="419">
        <v>1125</v>
      </c>
    </row>
    <row r="564" spans="12:16">
      <c r="L564" s="420" t="s">
        <v>275</v>
      </c>
      <c r="M564" s="420" t="s">
        <v>2763</v>
      </c>
      <c r="N564" s="419">
        <v>293</v>
      </c>
      <c r="O564" s="419">
        <v>180</v>
      </c>
      <c r="P564" s="419">
        <v>293</v>
      </c>
    </row>
    <row r="565" spans="12:16">
      <c r="M565" s="420" t="s">
        <v>2764</v>
      </c>
      <c r="N565" s="419">
        <v>193</v>
      </c>
      <c r="O565" s="419">
        <v>180</v>
      </c>
      <c r="P565" s="419">
        <v>193</v>
      </c>
    </row>
    <row r="566" spans="12:16">
      <c r="M566" s="420" t="s">
        <v>2765</v>
      </c>
      <c r="N566" s="419">
        <v>193</v>
      </c>
      <c r="O566" s="419">
        <v>180</v>
      </c>
      <c r="P566" s="419">
        <v>193</v>
      </c>
    </row>
    <row r="567" spans="12:16">
      <c r="L567" s="420" t="s">
        <v>2569</v>
      </c>
      <c r="M567" s="420"/>
      <c r="N567" s="419">
        <v>679</v>
      </c>
      <c r="O567" s="419">
        <v>540</v>
      </c>
      <c r="P567" s="419">
        <v>679</v>
      </c>
    </row>
    <row r="568" spans="12:16">
      <c r="L568" s="420" t="s">
        <v>261</v>
      </c>
      <c r="M568" s="420" t="s">
        <v>2763</v>
      </c>
      <c r="N568" s="419">
        <v>133</v>
      </c>
      <c r="O568" s="419">
        <v>133</v>
      </c>
      <c r="P568" s="419">
        <v>133</v>
      </c>
    </row>
    <row r="569" spans="12:16">
      <c r="M569" s="420" t="s">
        <v>2764</v>
      </c>
      <c r="N569" s="419">
        <v>133</v>
      </c>
      <c r="O569" s="419">
        <v>133</v>
      </c>
      <c r="P569" s="419">
        <v>133</v>
      </c>
    </row>
    <row r="570" spans="12:16">
      <c r="M570" s="420" t="s">
        <v>2765</v>
      </c>
      <c r="N570" s="419">
        <v>0</v>
      </c>
      <c r="O570" s="419">
        <v>133</v>
      </c>
      <c r="P570" s="419">
        <v>133</v>
      </c>
    </row>
    <row r="571" spans="12:16">
      <c r="L571" s="420" t="s">
        <v>2570</v>
      </c>
      <c r="M571" s="420"/>
      <c r="N571" s="419">
        <v>266</v>
      </c>
      <c r="O571" s="419">
        <v>399</v>
      </c>
      <c r="P571" s="419">
        <v>399</v>
      </c>
    </row>
    <row r="572" spans="12:16">
      <c r="L572" s="420" t="s">
        <v>221</v>
      </c>
      <c r="M572" s="420" t="s">
        <v>2763</v>
      </c>
      <c r="N572" s="419">
        <v>1500</v>
      </c>
      <c r="O572" s="419">
        <v>4920</v>
      </c>
      <c r="P572" s="419">
        <v>422.42222222222222</v>
      </c>
    </row>
    <row r="573" spans="12:16">
      <c r="M573" s="420" t="s">
        <v>2764</v>
      </c>
      <c r="N573" s="419">
        <v>1500</v>
      </c>
      <c r="O573" s="419">
        <v>4920</v>
      </c>
      <c r="P573" s="419">
        <v>66.666666666666671</v>
      </c>
    </row>
    <row r="574" spans="12:16">
      <c r="M574" s="420" t="s">
        <v>2765</v>
      </c>
      <c r="N574" s="419">
        <v>1500</v>
      </c>
      <c r="O574" s="419">
        <v>4920</v>
      </c>
      <c r="P574" s="419">
        <v>66.666666666666671</v>
      </c>
    </row>
    <row r="575" spans="12:16">
      <c r="L575" s="420" t="s">
        <v>2571</v>
      </c>
      <c r="M575" s="420"/>
      <c r="N575" s="419">
        <v>4500</v>
      </c>
      <c r="O575" s="419">
        <v>14760</v>
      </c>
      <c r="P575" s="419">
        <v>555.75555555555559</v>
      </c>
    </row>
    <row r="576" spans="12:16">
      <c r="L576" s="420" t="s">
        <v>223</v>
      </c>
      <c r="M576" s="420" t="s">
        <v>2763</v>
      </c>
      <c r="N576" s="419">
        <v>455</v>
      </c>
      <c r="O576" s="419">
        <v>0</v>
      </c>
      <c r="P576" s="419">
        <v>0</v>
      </c>
    </row>
    <row r="577" spans="12:16">
      <c r="M577" s="420" t="s">
        <v>2764</v>
      </c>
      <c r="N577" s="419">
        <v>0</v>
      </c>
      <c r="O577" s="419">
        <v>0</v>
      </c>
      <c r="P577" s="419">
        <v>0</v>
      </c>
    </row>
    <row r="578" spans="12:16">
      <c r="M578" s="420" t="s">
        <v>2765</v>
      </c>
      <c r="N578" s="419">
        <v>0</v>
      </c>
      <c r="O578" s="419">
        <v>0</v>
      </c>
      <c r="P578" s="419">
        <v>0</v>
      </c>
    </row>
    <row r="579" spans="12:16">
      <c r="L579" s="420" t="s">
        <v>2572</v>
      </c>
      <c r="M579" s="420"/>
      <c r="N579" s="419">
        <v>455</v>
      </c>
      <c r="O579" s="419">
        <v>0</v>
      </c>
      <c r="P579" s="419">
        <v>0</v>
      </c>
    </row>
    <row r="580" spans="12:16">
      <c r="L580" s="420" t="s">
        <v>222</v>
      </c>
      <c r="M580" s="420" t="s">
        <v>2763</v>
      </c>
      <c r="N580" s="419">
        <v>520</v>
      </c>
      <c r="O580" s="419">
        <v>0</v>
      </c>
      <c r="P580" s="419">
        <v>0</v>
      </c>
    </row>
    <row r="581" spans="12:16">
      <c r="M581" s="420" t="s">
        <v>2764</v>
      </c>
      <c r="N581" s="419">
        <v>0</v>
      </c>
      <c r="O581" s="419">
        <v>0</v>
      </c>
      <c r="P581" s="419">
        <v>0</v>
      </c>
    </row>
    <row r="582" spans="12:16">
      <c r="M582" s="420" t="s">
        <v>2765</v>
      </c>
      <c r="N582" s="419">
        <v>0</v>
      </c>
      <c r="O582" s="419">
        <v>0</v>
      </c>
      <c r="P582" s="419">
        <v>0</v>
      </c>
    </row>
    <row r="583" spans="12:16">
      <c r="L583" s="420" t="s">
        <v>2573</v>
      </c>
      <c r="M583" s="420"/>
      <c r="N583" s="419">
        <v>520</v>
      </c>
      <c r="O583" s="419">
        <v>0</v>
      </c>
      <c r="P583" s="419">
        <v>0</v>
      </c>
    </row>
    <row r="584" spans="12:16">
      <c r="L584" s="420" t="s">
        <v>262</v>
      </c>
      <c r="M584" s="420" t="s">
        <v>2763</v>
      </c>
      <c r="N584" s="419">
        <v>66</v>
      </c>
      <c r="O584" s="419">
        <v>66</v>
      </c>
      <c r="P584" s="419">
        <v>66</v>
      </c>
    </row>
    <row r="585" spans="12:16">
      <c r="M585" s="420" t="s">
        <v>2764</v>
      </c>
      <c r="N585" s="419">
        <v>66</v>
      </c>
      <c r="O585" s="419">
        <v>66</v>
      </c>
      <c r="P585" s="419">
        <v>66</v>
      </c>
    </row>
    <row r="586" spans="12:16">
      <c r="M586" s="420" t="s">
        <v>2765</v>
      </c>
      <c r="N586" s="419">
        <v>66</v>
      </c>
      <c r="O586" s="419">
        <v>66</v>
      </c>
      <c r="P586" s="419">
        <v>66</v>
      </c>
    </row>
    <row r="587" spans="12:16">
      <c r="L587" s="420" t="s">
        <v>2574</v>
      </c>
      <c r="M587" s="420"/>
      <c r="N587" s="419">
        <v>198</v>
      </c>
      <c r="O587" s="419">
        <v>198</v>
      </c>
      <c r="P587" s="419">
        <v>198</v>
      </c>
    </row>
    <row r="588" spans="12:16">
      <c r="L588" s="420" t="s">
        <v>538</v>
      </c>
      <c r="M588" s="420" t="s">
        <v>2763</v>
      </c>
      <c r="N588" s="419">
        <v>620</v>
      </c>
      <c r="O588" s="419">
        <v>1025</v>
      </c>
      <c r="P588" s="419">
        <v>1101</v>
      </c>
    </row>
    <row r="589" spans="12:16">
      <c r="M589" s="420" t="s">
        <v>2764</v>
      </c>
      <c r="N589" s="419">
        <v>500</v>
      </c>
      <c r="O589" s="419">
        <v>1025</v>
      </c>
      <c r="P589" s="419">
        <v>1101</v>
      </c>
    </row>
    <row r="590" spans="12:16">
      <c r="M590" s="420" t="s">
        <v>2765</v>
      </c>
      <c r="N590" s="419">
        <v>500</v>
      </c>
      <c r="O590" s="419">
        <v>1025</v>
      </c>
      <c r="P590" s="419">
        <v>1101</v>
      </c>
    </row>
    <row r="591" spans="12:16">
      <c r="L591" s="420" t="s">
        <v>2575</v>
      </c>
      <c r="M591" s="420"/>
      <c r="N591" s="419">
        <v>1620</v>
      </c>
      <c r="O591" s="419">
        <v>3075</v>
      </c>
      <c r="P591" s="419">
        <v>3303</v>
      </c>
    </row>
    <row r="592" spans="12:16">
      <c r="L592" s="420" t="s">
        <v>2114</v>
      </c>
      <c r="M592" s="420" t="s">
        <v>2763</v>
      </c>
      <c r="N592" s="419">
        <v>30</v>
      </c>
      <c r="O592" s="419">
        <v>0</v>
      </c>
      <c r="P592" s="419">
        <v>0</v>
      </c>
    </row>
    <row r="593" spans="12:16">
      <c r="M593" s="420" t="s">
        <v>2764</v>
      </c>
      <c r="N593" s="419">
        <v>0</v>
      </c>
      <c r="O593" s="419">
        <v>0</v>
      </c>
      <c r="P593" s="419">
        <v>0</v>
      </c>
    </row>
    <row r="594" spans="12:16">
      <c r="M594" s="420" t="s">
        <v>2765</v>
      </c>
      <c r="N594" s="419">
        <v>0</v>
      </c>
      <c r="O594" s="419">
        <v>0</v>
      </c>
      <c r="P594" s="419">
        <v>0</v>
      </c>
    </row>
    <row r="595" spans="12:16">
      <c r="L595" s="420" t="s">
        <v>2576</v>
      </c>
      <c r="M595" s="420"/>
      <c r="N595" s="419">
        <v>30</v>
      </c>
      <c r="O595" s="419">
        <v>0</v>
      </c>
      <c r="P595" s="419">
        <v>0</v>
      </c>
    </row>
    <row r="596" spans="12:16">
      <c r="L596" s="420" t="s">
        <v>2160</v>
      </c>
      <c r="M596" s="420" t="s">
        <v>2763</v>
      </c>
      <c r="N596" s="419">
        <v>16</v>
      </c>
      <c r="O596" s="419">
        <v>16</v>
      </c>
      <c r="P596" s="419">
        <v>16</v>
      </c>
    </row>
    <row r="597" spans="12:16">
      <c r="M597" s="420" t="s">
        <v>2764</v>
      </c>
      <c r="N597" s="419">
        <v>16</v>
      </c>
      <c r="O597" s="419">
        <v>16</v>
      </c>
      <c r="P597" s="419">
        <v>16</v>
      </c>
    </row>
    <row r="598" spans="12:16">
      <c r="M598" s="420" t="s">
        <v>2765</v>
      </c>
      <c r="N598" s="419">
        <v>32</v>
      </c>
      <c r="O598" s="419">
        <v>32</v>
      </c>
      <c r="P598" s="419">
        <v>32</v>
      </c>
    </row>
    <row r="599" spans="12:16">
      <c r="L599" s="420" t="s">
        <v>2577</v>
      </c>
      <c r="M599" s="420"/>
      <c r="N599" s="419">
        <v>64</v>
      </c>
      <c r="O599" s="419">
        <v>64</v>
      </c>
      <c r="P599" s="419">
        <v>64</v>
      </c>
    </row>
    <row r="600" spans="12:16">
      <c r="L600" s="420" t="s">
        <v>2159</v>
      </c>
      <c r="M600" s="420" t="s">
        <v>2763</v>
      </c>
      <c r="N600" s="419">
        <v>103</v>
      </c>
      <c r="O600" s="419">
        <v>103</v>
      </c>
      <c r="P600" s="419">
        <v>103</v>
      </c>
    </row>
    <row r="601" spans="12:16">
      <c r="M601" s="420" t="s">
        <v>2764</v>
      </c>
      <c r="N601" s="419">
        <v>0</v>
      </c>
      <c r="O601" s="419">
        <v>103</v>
      </c>
      <c r="P601" s="419">
        <v>103</v>
      </c>
    </row>
    <row r="602" spans="12:16">
      <c r="M602" s="420" t="s">
        <v>2765</v>
      </c>
      <c r="N602" s="419">
        <v>0</v>
      </c>
      <c r="O602" s="419">
        <v>103</v>
      </c>
      <c r="P602" s="419">
        <v>103</v>
      </c>
    </row>
    <row r="603" spans="12:16">
      <c r="L603" s="420" t="s">
        <v>2578</v>
      </c>
      <c r="M603" s="420"/>
      <c r="N603" s="419">
        <v>103</v>
      </c>
      <c r="O603" s="419">
        <v>309</v>
      </c>
      <c r="P603" s="419">
        <v>309</v>
      </c>
    </row>
    <row r="604" spans="12:16">
      <c r="L604" s="420" t="s">
        <v>2203</v>
      </c>
      <c r="M604" s="420" t="s">
        <v>2763</v>
      </c>
      <c r="N604" s="419">
        <v>0</v>
      </c>
      <c r="O604" s="419">
        <v>0</v>
      </c>
      <c r="P604" s="419"/>
    </row>
    <row r="605" spans="12:16">
      <c r="L605" s="420" t="s">
        <v>2579</v>
      </c>
      <c r="M605" s="420"/>
      <c r="N605" s="419">
        <v>0</v>
      </c>
      <c r="O605" s="419">
        <v>0</v>
      </c>
      <c r="P605" s="419"/>
    </row>
    <row r="606" spans="12:16">
      <c r="L606" s="420" t="s">
        <v>2202</v>
      </c>
      <c r="M606" s="420" t="s">
        <v>2763</v>
      </c>
      <c r="N606" s="419">
        <v>0</v>
      </c>
      <c r="O606" s="419">
        <v>0</v>
      </c>
      <c r="P606" s="419"/>
    </row>
    <row r="607" spans="12:16">
      <c r="M607" s="420" t="s">
        <v>2764</v>
      </c>
      <c r="N607" s="419">
        <v>0</v>
      </c>
      <c r="O607" s="419">
        <v>0</v>
      </c>
      <c r="P607" s="419">
        <v>0</v>
      </c>
    </row>
    <row r="608" spans="12:16">
      <c r="L608" s="420" t="s">
        <v>2580</v>
      </c>
      <c r="M608" s="420"/>
      <c r="N608" s="419">
        <v>0</v>
      </c>
      <c r="O608" s="419">
        <v>0</v>
      </c>
      <c r="P608" s="419">
        <v>0</v>
      </c>
    </row>
    <row r="609" spans="12:16">
      <c r="L609" s="420" t="s">
        <v>2205</v>
      </c>
      <c r="M609" s="420" t="s">
        <v>2763</v>
      </c>
      <c r="N609" s="419">
        <v>143</v>
      </c>
      <c r="O609" s="419">
        <v>120</v>
      </c>
      <c r="P609" s="419">
        <v>143</v>
      </c>
    </row>
    <row r="610" spans="12:16">
      <c r="M610" s="420" t="s">
        <v>2764</v>
      </c>
      <c r="N610" s="419">
        <v>134</v>
      </c>
      <c r="O610" s="419">
        <v>100</v>
      </c>
      <c r="P610" s="419">
        <v>134</v>
      </c>
    </row>
    <row r="611" spans="12:16">
      <c r="M611" s="420" t="s">
        <v>2765</v>
      </c>
      <c r="N611" s="419">
        <v>127</v>
      </c>
      <c r="O611" s="419">
        <v>120</v>
      </c>
      <c r="P611" s="419">
        <v>127</v>
      </c>
    </row>
    <row r="612" spans="12:16">
      <c r="L612" s="420" t="s">
        <v>2581</v>
      </c>
      <c r="M612" s="420"/>
      <c r="N612" s="419">
        <v>404</v>
      </c>
      <c r="O612" s="419">
        <v>340</v>
      </c>
      <c r="P612" s="419">
        <v>404</v>
      </c>
    </row>
    <row r="613" spans="12:16">
      <c r="L613" s="420" t="s">
        <v>2233</v>
      </c>
      <c r="M613" s="420" t="s">
        <v>2763</v>
      </c>
      <c r="N613" s="419">
        <v>267</v>
      </c>
      <c r="O613" s="419">
        <v>144</v>
      </c>
      <c r="P613" s="419">
        <v>267</v>
      </c>
    </row>
    <row r="614" spans="12:16">
      <c r="M614" s="420" t="s">
        <v>2764</v>
      </c>
      <c r="N614" s="419">
        <v>203</v>
      </c>
      <c r="O614" s="419">
        <v>144</v>
      </c>
      <c r="P614" s="419">
        <v>203</v>
      </c>
    </row>
    <row r="615" spans="12:16">
      <c r="M615" s="420" t="s">
        <v>2765</v>
      </c>
      <c r="N615" s="419">
        <v>203</v>
      </c>
      <c r="O615" s="419">
        <v>144</v>
      </c>
      <c r="P615" s="419">
        <v>203</v>
      </c>
    </row>
    <row r="616" spans="12:16">
      <c r="L616" s="420" t="s">
        <v>2240</v>
      </c>
      <c r="M616" s="420"/>
      <c r="N616" s="419">
        <v>673</v>
      </c>
      <c r="O616" s="419">
        <v>432</v>
      </c>
      <c r="P616" s="419">
        <v>673</v>
      </c>
    </row>
    <row r="617" spans="12:16">
      <c r="L617" s="420" t="s">
        <v>2235</v>
      </c>
      <c r="M617" s="420" t="s">
        <v>2763</v>
      </c>
      <c r="N617" s="419">
        <v>30</v>
      </c>
      <c r="O617" s="419">
        <v>0</v>
      </c>
      <c r="P617" s="419">
        <v>0</v>
      </c>
    </row>
    <row r="618" spans="12:16">
      <c r="M618" s="420" t="s">
        <v>2764</v>
      </c>
      <c r="N618" s="419">
        <v>0</v>
      </c>
      <c r="O618" s="419">
        <v>0</v>
      </c>
      <c r="P618" s="419">
        <v>0</v>
      </c>
    </row>
    <row r="619" spans="12:16">
      <c r="M619" s="420" t="s">
        <v>2765</v>
      </c>
      <c r="N619" s="419">
        <v>0</v>
      </c>
      <c r="O619" s="419">
        <v>0</v>
      </c>
      <c r="P619" s="419">
        <v>0</v>
      </c>
    </row>
    <row r="620" spans="12:16">
      <c r="L620" s="420" t="s">
        <v>2582</v>
      </c>
      <c r="M620" s="420"/>
      <c r="N620" s="419">
        <v>30</v>
      </c>
      <c r="O620" s="419">
        <v>0</v>
      </c>
      <c r="P620" s="419">
        <v>0</v>
      </c>
    </row>
    <row r="621" spans="12:16">
      <c r="L621" s="420" t="s">
        <v>2624</v>
      </c>
      <c r="M621" s="420" t="s">
        <v>2763</v>
      </c>
      <c r="N621" s="419">
        <v>36</v>
      </c>
      <c r="O621" s="419">
        <v>36</v>
      </c>
      <c r="P621" s="419">
        <v>36</v>
      </c>
    </row>
    <row r="622" spans="12:16">
      <c r="M622" s="420" t="s">
        <v>2764</v>
      </c>
      <c r="N622" s="419">
        <v>0</v>
      </c>
      <c r="O622" s="419">
        <v>28</v>
      </c>
      <c r="P622" s="419">
        <v>28</v>
      </c>
    </row>
    <row r="623" spans="12:16">
      <c r="M623" s="420" t="s">
        <v>2765</v>
      </c>
      <c r="N623" s="419">
        <v>0</v>
      </c>
      <c r="O623" s="419">
        <v>28</v>
      </c>
      <c r="P623" s="419">
        <v>28</v>
      </c>
    </row>
    <row r="624" spans="12:16">
      <c r="L624" s="420" t="s">
        <v>2625</v>
      </c>
      <c r="M624" s="420"/>
      <c r="N624" s="419">
        <v>36</v>
      </c>
      <c r="O624" s="419">
        <v>92</v>
      </c>
      <c r="P624" s="419">
        <v>92</v>
      </c>
    </row>
    <row r="625" spans="12:16">
      <c r="L625" s="420" t="s">
        <v>2602</v>
      </c>
      <c r="M625" s="420" t="s">
        <v>2763</v>
      </c>
      <c r="N625" s="419">
        <v>440</v>
      </c>
      <c r="O625" s="419">
        <v>280</v>
      </c>
      <c r="P625" s="419">
        <v>1600</v>
      </c>
    </row>
    <row r="626" spans="12:16">
      <c r="M626" s="420" t="s">
        <v>2764</v>
      </c>
      <c r="N626" s="419">
        <v>0</v>
      </c>
      <c r="O626" s="419">
        <v>280</v>
      </c>
      <c r="P626" s="419">
        <v>1600</v>
      </c>
    </row>
    <row r="627" spans="12:16">
      <c r="M627" s="420" t="s">
        <v>2765</v>
      </c>
      <c r="N627" s="419">
        <v>0</v>
      </c>
      <c r="O627" s="419">
        <v>280</v>
      </c>
      <c r="P627" s="419">
        <v>1600</v>
      </c>
    </row>
    <row r="628" spans="12:16">
      <c r="L628" s="420" t="s">
        <v>2663</v>
      </c>
      <c r="M628" s="420"/>
      <c r="N628" s="419">
        <v>440</v>
      </c>
      <c r="O628" s="419">
        <v>840</v>
      </c>
      <c r="P628" s="419">
        <v>4800</v>
      </c>
    </row>
    <row r="629" spans="12:16">
      <c r="L629" s="420" t="s">
        <v>2603</v>
      </c>
      <c r="M629" s="420" t="s">
        <v>2763</v>
      </c>
      <c r="N629" s="419">
        <v>50</v>
      </c>
      <c r="O629" s="419">
        <v>3469</v>
      </c>
      <c r="P629" s="419">
        <v>0</v>
      </c>
    </row>
    <row r="630" spans="12:16">
      <c r="M630" s="420" t="s">
        <v>2764</v>
      </c>
      <c r="N630" s="419">
        <v>0</v>
      </c>
      <c r="O630" s="419">
        <v>0</v>
      </c>
      <c r="P630" s="419">
        <v>0</v>
      </c>
    </row>
    <row r="631" spans="12:16">
      <c r="M631" s="420" t="s">
        <v>2765</v>
      </c>
      <c r="N631" s="419">
        <v>0</v>
      </c>
      <c r="O631" s="419">
        <v>0</v>
      </c>
      <c r="P631" s="419">
        <v>0</v>
      </c>
    </row>
    <row r="632" spans="12:16">
      <c r="L632" s="420" t="s">
        <v>2664</v>
      </c>
      <c r="M632" s="420"/>
      <c r="N632" s="419">
        <v>50</v>
      </c>
      <c r="O632" s="419">
        <v>3469</v>
      </c>
      <c r="P632" s="419">
        <v>0</v>
      </c>
    </row>
    <row r="633" spans="12:16">
      <c r="L633" s="420" t="s">
        <v>2693</v>
      </c>
      <c r="M633" s="420" t="s">
        <v>2763</v>
      </c>
      <c r="N633" s="419">
        <v>586</v>
      </c>
      <c r="O633" s="419">
        <v>265</v>
      </c>
      <c r="P633" s="419">
        <v>0</v>
      </c>
    </row>
    <row r="634" spans="12:16">
      <c r="M634" s="420" t="s">
        <v>2764</v>
      </c>
      <c r="N634" s="419">
        <v>591</v>
      </c>
      <c r="O634" s="419">
        <v>591</v>
      </c>
      <c r="P634" s="419">
        <v>591</v>
      </c>
    </row>
    <row r="635" spans="12:16">
      <c r="M635" s="420" t="s">
        <v>2765</v>
      </c>
      <c r="N635" s="419">
        <v>591</v>
      </c>
      <c r="O635" s="419">
        <v>591</v>
      </c>
      <c r="P635" s="419">
        <v>591</v>
      </c>
    </row>
    <row r="636" spans="12:16">
      <c r="L636" s="420" t="s">
        <v>2725</v>
      </c>
      <c r="M636" s="420"/>
      <c r="N636" s="419">
        <v>1768</v>
      </c>
      <c r="O636" s="419">
        <v>1447</v>
      </c>
      <c r="P636" s="419">
        <v>1182</v>
      </c>
    </row>
    <row r="637" spans="12:16">
      <c r="L637" s="420" t="s">
        <v>2694</v>
      </c>
      <c r="M637" s="420" t="s">
        <v>2763</v>
      </c>
      <c r="N637" s="419">
        <v>91</v>
      </c>
      <c r="O637" s="419">
        <v>0</v>
      </c>
      <c r="P637" s="419">
        <v>0</v>
      </c>
    </row>
    <row r="638" spans="12:16">
      <c r="M638" s="420" t="s">
        <v>2764</v>
      </c>
      <c r="N638" s="419">
        <v>0</v>
      </c>
      <c r="O638" s="419">
        <v>0</v>
      </c>
      <c r="P638" s="419">
        <v>0</v>
      </c>
    </row>
    <row r="639" spans="12:16">
      <c r="M639" s="420" t="s">
        <v>2765</v>
      </c>
      <c r="N639" s="419">
        <v>0</v>
      </c>
      <c r="O639" s="419">
        <v>0</v>
      </c>
      <c r="P639" s="419">
        <v>0</v>
      </c>
    </row>
    <row r="640" spans="12:16">
      <c r="L640" s="420" t="s">
        <v>2726</v>
      </c>
      <c r="M640" s="420"/>
      <c r="N640" s="419">
        <v>91</v>
      </c>
      <c r="O640" s="419">
        <v>0</v>
      </c>
      <c r="P640" s="419">
        <v>0</v>
      </c>
    </row>
    <row r="641" spans="12:16">
      <c r="L641" s="420" t="s">
        <v>2695</v>
      </c>
      <c r="M641" s="420" t="s">
        <v>2763</v>
      </c>
      <c r="N641" s="419">
        <v>29</v>
      </c>
      <c r="O641" s="419">
        <v>0</v>
      </c>
      <c r="P641" s="419">
        <v>0</v>
      </c>
    </row>
    <row r="642" spans="12:16">
      <c r="L642" s="420" t="s">
        <v>2727</v>
      </c>
      <c r="M642" s="420"/>
      <c r="N642" s="419">
        <v>29</v>
      </c>
      <c r="O642" s="419">
        <v>0</v>
      </c>
      <c r="P642" s="419">
        <v>0</v>
      </c>
    </row>
    <row r="643" spans="12:16">
      <c r="L643" s="420" t="s">
        <v>2696</v>
      </c>
      <c r="M643" s="420" t="s">
        <v>2763</v>
      </c>
      <c r="N643" s="419">
        <v>504</v>
      </c>
      <c r="O643" s="419">
        <v>0</v>
      </c>
      <c r="P643" s="419">
        <v>0</v>
      </c>
    </row>
    <row r="644" spans="12:16">
      <c r="M644" s="420" t="s">
        <v>2764</v>
      </c>
      <c r="N644" s="419">
        <v>0</v>
      </c>
      <c r="O644" s="419">
        <v>0</v>
      </c>
      <c r="P644" s="419">
        <v>0</v>
      </c>
    </row>
    <row r="645" spans="12:16">
      <c r="M645" s="420" t="s">
        <v>2765</v>
      </c>
      <c r="N645" s="419">
        <v>0</v>
      </c>
      <c r="O645" s="419">
        <v>0</v>
      </c>
      <c r="P645" s="419">
        <v>0</v>
      </c>
    </row>
    <row r="646" spans="12:16">
      <c r="L646" s="420" t="s">
        <v>2728</v>
      </c>
      <c r="M646" s="420"/>
      <c r="N646" s="419">
        <v>504</v>
      </c>
      <c r="O646" s="419">
        <v>0</v>
      </c>
      <c r="P646" s="419">
        <v>0</v>
      </c>
    </row>
    <row r="647" spans="12:16">
      <c r="L647" s="420" t="s">
        <v>2773</v>
      </c>
      <c r="M647" s="420" t="s">
        <v>2763</v>
      </c>
      <c r="N647" s="419">
        <v>168</v>
      </c>
      <c r="O647" s="419">
        <v>0</v>
      </c>
      <c r="P647" s="419">
        <v>0</v>
      </c>
    </row>
    <row r="648" spans="12:16">
      <c r="M648" s="420" t="s">
        <v>2764</v>
      </c>
      <c r="N648" s="419">
        <v>168</v>
      </c>
      <c r="O648" s="419">
        <v>147</v>
      </c>
      <c r="P648" s="419">
        <v>168</v>
      </c>
    </row>
    <row r="649" spans="12:16">
      <c r="M649" s="420" t="s">
        <v>2765</v>
      </c>
      <c r="N649" s="419">
        <v>168</v>
      </c>
      <c r="O649" s="419">
        <v>168</v>
      </c>
      <c r="P649" s="419">
        <v>168</v>
      </c>
    </row>
    <row r="650" spans="12:16">
      <c r="L650" s="420" t="s">
        <v>2816</v>
      </c>
      <c r="M650" s="420"/>
      <c r="N650" s="419">
        <v>504</v>
      </c>
      <c r="O650" s="419">
        <v>315</v>
      </c>
      <c r="P650" s="419">
        <v>336</v>
      </c>
    </row>
    <row r="651" spans="12:16">
      <c r="L651" s="420" t="s">
        <v>2774</v>
      </c>
      <c r="M651" s="420" t="s">
        <v>2763</v>
      </c>
      <c r="N651" s="419">
        <v>80</v>
      </c>
      <c r="O651" s="419">
        <v>0</v>
      </c>
      <c r="P651" s="419">
        <v>0</v>
      </c>
    </row>
    <row r="652" spans="12:16">
      <c r="M652" s="420" t="s">
        <v>2764</v>
      </c>
      <c r="N652" s="419">
        <v>0</v>
      </c>
      <c r="O652" s="419">
        <v>0</v>
      </c>
      <c r="P652" s="419">
        <v>0</v>
      </c>
    </row>
    <row r="653" spans="12:16">
      <c r="M653" s="420" t="s">
        <v>2765</v>
      </c>
      <c r="N653" s="419">
        <v>0</v>
      </c>
      <c r="O653" s="419">
        <v>0</v>
      </c>
      <c r="P653" s="419">
        <v>0</v>
      </c>
    </row>
    <row r="654" spans="12:16">
      <c r="L654" s="420" t="s">
        <v>2817</v>
      </c>
      <c r="M654" s="420"/>
      <c r="N654" s="419">
        <v>80</v>
      </c>
      <c r="O654" s="419">
        <v>0</v>
      </c>
      <c r="P654" s="419">
        <v>0</v>
      </c>
    </row>
    <row r="655" spans="12:16">
      <c r="L655" s="420" t="s">
        <v>2775</v>
      </c>
      <c r="M655" s="420" t="s">
        <v>2763</v>
      </c>
      <c r="N655" s="419">
        <v>139</v>
      </c>
      <c r="O655" s="419">
        <v>0</v>
      </c>
      <c r="P655" s="419">
        <v>0</v>
      </c>
    </row>
    <row r="656" spans="12:16">
      <c r="M656" s="420" t="s">
        <v>2764</v>
      </c>
      <c r="N656" s="419">
        <v>0</v>
      </c>
      <c r="O656" s="419">
        <v>0</v>
      </c>
      <c r="P656" s="419">
        <v>0</v>
      </c>
    </row>
    <row r="657" spans="12:16">
      <c r="M657" s="420" t="s">
        <v>2765</v>
      </c>
      <c r="N657" s="419">
        <v>0</v>
      </c>
      <c r="O657" s="419">
        <v>0</v>
      </c>
      <c r="P657" s="419">
        <v>0</v>
      </c>
    </row>
    <row r="658" spans="12:16">
      <c r="L658" s="420" t="s">
        <v>2818</v>
      </c>
      <c r="M658" s="420"/>
      <c r="N658" s="419">
        <v>139</v>
      </c>
      <c r="O658" s="419">
        <v>0</v>
      </c>
      <c r="P658" s="419">
        <v>0</v>
      </c>
    </row>
    <row r="659" spans="12:16">
      <c r="L659" s="420" t="s">
        <v>2776</v>
      </c>
      <c r="M659" s="420" t="s">
        <v>2763</v>
      </c>
      <c r="N659" s="419">
        <v>231</v>
      </c>
      <c r="O659" s="419">
        <v>0</v>
      </c>
      <c r="P659" s="419">
        <v>0</v>
      </c>
    </row>
    <row r="660" spans="12:16">
      <c r="L660" s="420" t="s">
        <v>2819</v>
      </c>
      <c r="M660" s="420"/>
      <c r="N660" s="419">
        <v>231</v>
      </c>
      <c r="O660" s="419">
        <v>0</v>
      </c>
      <c r="P660" s="419">
        <v>0</v>
      </c>
    </row>
    <row r="661" spans="12:16">
      <c r="L661" s="420" t="s">
        <v>2777</v>
      </c>
      <c r="M661" s="420" t="s">
        <v>2763</v>
      </c>
      <c r="N661" s="419">
        <v>50</v>
      </c>
      <c r="O661" s="419">
        <v>0</v>
      </c>
      <c r="P661" s="419">
        <v>0</v>
      </c>
    </row>
    <row r="662" spans="12:16">
      <c r="M662" s="420" t="s">
        <v>2764</v>
      </c>
      <c r="N662" s="419">
        <v>0</v>
      </c>
      <c r="O662" s="419">
        <v>0</v>
      </c>
      <c r="P662" s="419">
        <v>0</v>
      </c>
    </row>
    <row r="663" spans="12:16">
      <c r="M663" s="420" t="s">
        <v>2765</v>
      </c>
      <c r="N663" s="419">
        <v>0</v>
      </c>
      <c r="O663" s="419">
        <v>0</v>
      </c>
      <c r="P663" s="419">
        <v>0</v>
      </c>
    </row>
    <row r="664" spans="12:16">
      <c r="L664" s="420" t="s">
        <v>2820</v>
      </c>
      <c r="M664" s="420"/>
      <c r="N664" s="419">
        <v>50</v>
      </c>
      <c r="O664" s="419">
        <v>0</v>
      </c>
      <c r="P664" s="419">
        <v>0</v>
      </c>
    </row>
    <row r="665" spans="12:16">
      <c r="L665" s="420" t="s">
        <v>2778</v>
      </c>
      <c r="M665" s="420" t="s">
        <v>2763</v>
      </c>
      <c r="N665" s="419">
        <v>50</v>
      </c>
      <c r="O665" s="419">
        <v>0</v>
      </c>
      <c r="P665" s="419">
        <v>0</v>
      </c>
    </row>
    <row r="666" spans="12:16">
      <c r="L666" s="420" t="s">
        <v>2821</v>
      </c>
      <c r="M666" s="420"/>
      <c r="N666" s="419">
        <v>50</v>
      </c>
      <c r="O666" s="419">
        <v>0</v>
      </c>
      <c r="P666" s="419">
        <v>0</v>
      </c>
    </row>
    <row r="667" spans="12:16">
      <c r="L667" s="420" t="s">
        <v>2779</v>
      </c>
      <c r="M667" s="420" t="s">
        <v>2763</v>
      </c>
      <c r="N667" s="419">
        <v>247</v>
      </c>
      <c r="O667" s="419">
        <v>0</v>
      </c>
      <c r="P667" s="419">
        <v>0</v>
      </c>
    </row>
    <row r="668" spans="12:16">
      <c r="L668" s="420" t="s">
        <v>2822</v>
      </c>
      <c r="M668" s="420"/>
      <c r="N668" s="419">
        <v>247</v>
      </c>
      <c r="O668" s="419">
        <v>0</v>
      </c>
      <c r="P668" s="419">
        <v>0</v>
      </c>
    </row>
    <row r="669" spans="12:16">
      <c r="L669" s="420" t="s">
        <v>2780</v>
      </c>
      <c r="M669" s="420" t="s">
        <v>2763</v>
      </c>
      <c r="N669" s="419">
        <v>247</v>
      </c>
      <c r="O669" s="419">
        <v>0</v>
      </c>
      <c r="P669" s="419">
        <v>0</v>
      </c>
    </row>
    <row r="670" spans="12:16">
      <c r="M670" s="420" t="s">
        <v>2764</v>
      </c>
      <c r="N670" s="419">
        <v>0</v>
      </c>
      <c r="O670" s="419">
        <v>0</v>
      </c>
      <c r="P670" s="419">
        <v>0</v>
      </c>
    </row>
    <row r="671" spans="12:16">
      <c r="M671" s="420" t="s">
        <v>2765</v>
      </c>
      <c r="N671" s="419">
        <v>0</v>
      </c>
      <c r="O671" s="419">
        <v>0</v>
      </c>
      <c r="P671" s="419">
        <v>0</v>
      </c>
    </row>
    <row r="672" spans="12:16">
      <c r="L672" s="420" t="s">
        <v>2823</v>
      </c>
      <c r="M672" s="420"/>
      <c r="N672" s="419">
        <v>247</v>
      </c>
      <c r="O672" s="419">
        <v>0</v>
      </c>
      <c r="P672" s="419">
        <v>0</v>
      </c>
    </row>
    <row r="673" spans="12:16">
      <c r="L673" s="420" t="s">
        <v>2781</v>
      </c>
      <c r="M673" s="420" t="s">
        <v>2763</v>
      </c>
      <c r="N673" s="419">
        <v>240</v>
      </c>
      <c r="O673" s="419">
        <v>0</v>
      </c>
      <c r="P673" s="419">
        <v>0</v>
      </c>
    </row>
    <row r="674" spans="12:16">
      <c r="M674" s="420" t="s">
        <v>2764</v>
      </c>
      <c r="N674" s="419">
        <v>0</v>
      </c>
      <c r="O674" s="419">
        <v>0</v>
      </c>
      <c r="P674" s="419">
        <v>0</v>
      </c>
    </row>
    <row r="675" spans="12:16">
      <c r="M675" s="420" t="s">
        <v>2765</v>
      </c>
      <c r="N675" s="419">
        <v>0</v>
      </c>
      <c r="O675" s="419">
        <v>0</v>
      </c>
      <c r="P675" s="419">
        <v>0</v>
      </c>
    </row>
    <row r="676" spans="12:16">
      <c r="L676" s="420" t="s">
        <v>2824</v>
      </c>
      <c r="M676" s="420"/>
      <c r="N676" s="419">
        <v>240</v>
      </c>
      <c r="O676" s="419">
        <v>0</v>
      </c>
      <c r="P676" s="419">
        <v>0</v>
      </c>
    </row>
    <row r="677" spans="12:16">
      <c r="L677" s="420" t="s">
        <v>2782</v>
      </c>
      <c r="M677" s="420" t="s">
        <v>2763</v>
      </c>
      <c r="N677" s="419">
        <v>189</v>
      </c>
      <c r="O677" s="419">
        <v>0</v>
      </c>
      <c r="P677" s="419">
        <v>0</v>
      </c>
    </row>
    <row r="678" spans="12:16">
      <c r="M678" s="420" t="s">
        <v>2764</v>
      </c>
      <c r="N678" s="419">
        <v>0</v>
      </c>
      <c r="O678" s="419">
        <v>0</v>
      </c>
      <c r="P678" s="419">
        <v>0</v>
      </c>
    </row>
    <row r="679" spans="12:16">
      <c r="M679" s="420" t="s">
        <v>2765</v>
      </c>
      <c r="N679" s="419">
        <v>0</v>
      </c>
      <c r="O679" s="419">
        <v>0</v>
      </c>
      <c r="P679" s="419">
        <v>0</v>
      </c>
    </row>
    <row r="680" spans="12:16">
      <c r="L680" s="420" t="s">
        <v>2825</v>
      </c>
      <c r="M680" s="420"/>
      <c r="N680" s="419">
        <v>189</v>
      </c>
      <c r="O680" s="419">
        <v>0</v>
      </c>
      <c r="P680" s="419">
        <v>0</v>
      </c>
    </row>
    <row r="681" spans="12:16">
      <c r="L681" s="420" t="s">
        <v>2783</v>
      </c>
      <c r="M681" s="420" t="s">
        <v>2763</v>
      </c>
      <c r="N681" s="419">
        <v>59</v>
      </c>
      <c r="O681" s="419">
        <v>0</v>
      </c>
      <c r="P681" s="419">
        <v>0</v>
      </c>
    </row>
    <row r="682" spans="12:16">
      <c r="M682" s="420" t="s">
        <v>2764</v>
      </c>
      <c r="N682" s="419">
        <v>0</v>
      </c>
      <c r="O682" s="419">
        <v>0</v>
      </c>
      <c r="P682" s="419">
        <v>0</v>
      </c>
    </row>
    <row r="683" spans="12:16">
      <c r="M683" s="420" t="s">
        <v>2765</v>
      </c>
      <c r="N683" s="419">
        <v>0</v>
      </c>
      <c r="O683" s="419">
        <v>0</v>
      </c>
      <c r="P683" s="419">
        <v>0</v>
      </c>
    </row>
    <row r="684" spans="12:16">
      <c r="L684" s="420" t="s">
        <v>2826</v>
      </c>
      <c r="M684" s="420"/>
      <c r="N684" s="419">
        <v>59</v>
      </c>
      <c r="O684" s="419">
        <v>0</v>
      </c>
      <c r="P684" s="419">
        <v>0</v>
      </c>
    </row>
    <row r="685" spans="12:16">
      <c r="L685" s="420" t="s">
        <v>2606</v>
      </c>
      <c r="M685" s="420" t="s">
        <v>2764</v>
      </c>
      <c r="N685" s="419">
        <v>0</v>
      </c>
      <c r="O685" s="419">
        <v>0</v>
      </c>
      <c r="P685" s="419">
        <v>0</v>
      </c>
    </row>
    <row r="686" spans="12:16">
      <c r="M686" s="420" t="s">
        <v>2765</v>
      </c>
      <c r="N686" s="419">
        <v>0</v>
      </c>
      <c r="O686" s="419">
        <v>0</v>
      </c>
      <c r="P686" s="419">
        <v>0</v>
      </c>
    </row>
    <row r="687" spans="12:16">
      <c r="L687" s="420" t="s">
        <v>3085</v>
      </c>
      <c r="M687" s="420"/>
      <c r="N687" s="419">
        <v>0</v>
      </c>
      <c r="O687" s="419">
        <v>0</v>
      </c>
      <c r="P687" s="419">
        <v>0</v>
      </c>
    </row>
    <row r="688" spans="12:16">
      <c r="L688" s="420" t="s">
        <v>2605</v>
      </c>
      <c r="M688" s="420" t="s">
        <v>2764</v>
      </c>
      <c r="N688" s="419">
        <v>0</v>
      </c>
      <c r="O688" s="419">
        <v>0</v>
      </c>
      <c r="P688" s="419">
        <v>0</v>
      </c>
    </row>
    <row r="689" spans="12:16">
      <c r="M689" s="420" t="s">
        <v>2765</v>
      </c>
      <c r="N689" s="419">
        <v>0</v>
      </c>
      <c r="O689" s="419">
        <v>0</v>
      </c>
      <c r="P689" s="419">
        <v>0</v>
      </c>
    </row>
    <row r="690" spans="12:16">
      <c r="L690" s="420" t="s">
        <v>3086</v>
      </c>
      <c r="M690" s="420"/>
      <c r="N690" s="419">
        <v>0</v>
      </c>
      <c r="O690" s="419">
        <v>0</v>
      </c>
      <c r="P690" s="419">
        <v>0</v>
      </c>
    </row>
    <row r="691" spans="12:16">
      <c r="L691" s="420" t="s">
        <v>1534</v>
      </c>
      <c r="M691" s="420" t="s">
        <v>2763</v>
      </c>
      <c r="N691" s="419">
        <v>1340</v>
      </c>
      <c r="O691" s="419">
        <v>9</v>
      </c>
      <c r="P691" s="419">
        <v>0</v>
      </c>
    </row>
    <row r="692" spans="12:16">
      <c r="M692" s="420" t="s">
        <v>2764</v>
      </c>
      <c r="N692" s="419">
        <v>1340</v>
      </c>
      <c r="O692" s="419">
        <v>380</v>
      </c>
      <c r="P692" s="419">
        <v>1200</v>
      </c>
    </row>
    <row r="693" spans="12:16">
      <c r="M693" s="420" t="s">
        <v>2765</v>
      </c>
      <c r="N693" s="419">
        <v>1936</v>
      </c>
      <c r="O693" s="419">
        <v>380</v>
      </c>
      <c r="P693" s="419">
        <v>1200</v>
      </c>
    </row>
    <row r="694" spans="12:16">
      <c r="L694" s="420" t="s">
        <v>2827</v>
      </c>
      <c r="M694" s="420"/>
      <c r="N694" s="419">
        <v>4616</v>
      </c>
      <c r="O694" s="419">
        <v>769</v>
      </c>
      <c r="P694" s="419">
        <v>2400</v>
      </c>
    </row>
    <row r="695" spans="12:16">
      <c r="L695" s="420" t="s">
        <v>3028</v>
      </c>
      <c r="M695" s="420" t="s">
        <v>2763</v>
      </c>
      <c r="N695" s="419">
        <v>267</v>
      </c>
      <c r="O695" s="419">
        <v>267</v>
      </c>
      <c r="P695" s="419">
        <v>267</v>
      </c>
    </row>
    <row r="696" spans="12:16">
      <c r="M696" s="420" t="s">
        <v>2764</v>
      </c>
      <c r="N696" s="419">
        <v>270</v>
      </c>
      <c r="O696" s="419">
        <v>270</v>
      </c>
      <c r="P696" s="419">
        <v>270</v>
      </c>
    </row>
    <row r="697" spans="12:16">
      <c r="M697" s="420" t="s">
        <v>2765</v>
      </c>
      <c r="N697" s="419">
        <v>271</v>
      </c>
      <c r="O697" s="419">
        <v>271</v>
      </c>
      <c r="P697" s="419">
        <v>271</v>
      </c>
    </row>
    <row r="698" spans="12:16">
      <c r="L698" s="420" t="s">
        <v>3087</v>
      </c>
      <c r="M698" s="420"/>
      <c r="N698" s="419">
        <v>808</v>
      </c>
      <c r="O698" s="419">
        <v>808</v>
      </c>
      <c r="P698" s="419">
        <v>808</v>
      </c>
    </row>
    <row r="699" spans="12:16">
      <c r="L699" s="420" t="s">
        <v>3029</v>
      </c>
      <c r="M699" s="420" t="s">
        <v>2763</v>
      </c>
      <c r="N699" s="419">
        <v>50</v>
      </c>
      <c r="O699" s="419">
        <v>360</v>
      </c>
      <c r="P699" s="419">
        <v>412</v>
      </c>
    </row>
    <row r="700" spans="12:16">
      <c r="M700" s="420" t="s">
        <v>2764</v>
      </c>
      <c r="N700" s="419">
        <v>424</v>
      </c>
      <c r="O700" s="419">
        <v>260</v>
      </c>
      <c r="P700" s="419">
        <v>424</v>
      </c>
    </row>
    <row r="701" spans="12:16">
      <c r="M701" s="420" t="s">
        <v>2765</v>
      </c>
      <c r="N701" s="419">
        <v>500</v>
      </c>
      <c r="O701" s="419">
        <v>300</v>
      </c>
      <c r="P701" s="419">
        <v>653</v>
      </c>
    </row>
    <row r="702" spans="12:16">
      <c r="L702" s="420" t="s">
        <v>3088</v>
      </c>
      <c r="M702" s="420"/>
      <c r="N702" s="419">
        <v>974</v>
      </c>
      <c r="O702" s="419">
        <v>920</v>
      </c>
      <c r="P702" s="419">
        <v>1489</v>
      </c>
    </row>
    <row r="703" spans="12:16">
      <c r="L703" s="420" t="s">
        <v>3031</v>
      </c>
      <c r="M703" s="420" t="s">
        <v>2763</v>
      </c>
      <c r="N703" s="419">
        <v>162</v>
      </c>
      <c r="O703" s="419">
        <v>0</v>
      </c>
      <c r="P703" s="419">
        <v>0</v>
      </c>
    </row>
    <row r="704" spans="12:16">
      <c r="M704" s="420" t="s">
        <v>2764</v>
      </c>
      <c r="N704" s="419">
        <v>0</v>
      </c>
      <c r="O704" s="419">
        <v>0</v>
      </c>
      <c r="P704" s="419">
        <v>0</v>
      </c>
    </row>
    <row r="705" spans="12:16">
      <c r="M705" s="420" t="s">
        <v>2765</v>
      </c>
      <c r="N705" s="419">
        <v>0</v>
      </c>
      <c r="O705" s="419">
        <v>0</v>
      </c>
      <c r="P705" s="419">
        <v>0</v>
      </c>
    </row>
    <row r="706" spans="12:16">
      <c r="L706" s="420" t="s">
        <v>3089</v>
      </c>
      <c r="M706" s="420"/>
      <c r="N706" s="419">
        <v>162</v>
      </c>
      <c r="O706" s="419">
        <v>0</v>
      </c>
      <c r="P706" s="419">
        <v>0</v>
      </c>
    </row>
    <row r="707" spans="12:16">
      <c r="L707" s="420" t="s">
        <v>3032</v>
      </c>
      <c r="M707" s="420" t="s">
        <v>2763</v>
      </c>
      <c r="N707" s="419">
        <v>132</v>
      </c>
      <c r="O707" s="419">
        <v>132</v>
      </c>
      <c r="P707" s="419">
        <v>132</v>
      </c>
    </row>
    <row r="708" spans="12:16">
      <c r="M708" s="420" t="s">
        <v>2764</v>
      </c>
      <c r="N708" s="419">
        <v>132</v>
      </c>
      <c r="O708" s="419">
        <v>132</v>
      </c>
      <c r="P708" s="419">
        <v>132</v>
      </c>
    </row>
    <row r="709" spans="12:16">
      <c r="M709" s="420" t="s">
        <v>2765</v>
      </c>
      <c r="N709" s="419">
        <v>132</v>
      </c>
      <c r="O709" s="419">
        <v>132</v>
      </c>
      <c r="P709" s="419">
        <v>132</v>
      </c>
    </row>
    <row r="710" spans="12:16">
      <c r="L710" s="420" t="s">
        <v>3090</v>
      </c>
      <c r="M710" s="420"/>
      <c r="N710" s="419">
        <v>396</v>
      </c>
      <c r="O710" s="419">
        <v>396</v>
      </c>
      <c r="P710" s="419">
        <v>396</v>
      </c>
    </row>
    <row r="711" spans="12:16">
      <c r="L711" s="420" t="s">
        <v>3024</v>
      </c>
      <c r="M711" s="420" t="s">
        <v>2763</v>
      </c>
      <c r="N711" s="419">
        <v>520</v>
      </c>
      <c r="O711" s="419">
        <v>0</v>
      </c>
      <c r="P711" s="419">
        <v>544</v>
      </c>
    </row>
    <row r="712" spans="12:16">
      <c r="M712" s="420" t="s">
        <v>2764</v>
      </c>
      <c r="N712" s="419">
        <v>0</v>
      </c>
      <c r="O712" s="419">
        <v>0</v>
      </c>
      <c r="P712" s="419">
        <v>544</v>
      </c>
    </row>
    <row r="713" spans="12:16">
      <c r="M713" s="420" t="s">
        <v>2765</v>
      </c>
      <c r="N713" s="419">
        <v>0</v>
      </c>
      <c r="O713" s="419">
        <v>0</v>
      </c>
      <c r="P713" s="419">
        <v>544</v>
      </c>
    </row>
    <row r="714" spans="12:16">
      <c r="L714" s="420" t="s">
        <v>3091</v>
      </c>
      <c r="M714" s="420"/>
      <c r="N714" s="419">
        <v>520</v>
      </c>
      <c r="O714" s="419">
        <v>0</v>
      </c>
      <c r="P714" s="419">
        <v>1632</v>
      </c>
    </row>
    <row r="715" spans="12:16">
      <c r="L715" s="420" t="s">
        <v>3030</v>
      </c>
      <c r="M715" s="420" t="s">
        <v>2763</v>
      </c>
      <c r="N715" s="419">
        <v>30</v>
      </c>
      <c r="O715" s="419">
        <v>0</v>
      </c>
      <c r="P715" s="419">
        <v>0</v>
      </c>
    </row>
    <row r="716" spans="12:16">
      <c r="M716" s="420" t="s">
        <v>2764</v>
      </c>
      <c r="N716" s="419">
        <v>0</v>
      </c>
      <c r="O716" s="419">
        <v>0</v>
      </c>
      <c r="P716" s="419">
        <v>0</v>
      </c>
    </row>
    <row r="717" spans="12:16">
      <c r="M717" s="420" t="s">
        <v>2765</v>
      </c>
      <c r="N717" s="419">
        <v>0</v>
      </c>
      <c r="O717" s="419">
        <v>0</v>
      </c>
      <c r="P717" s="419">
        <v>0</v>
      </c>
    </row>
    <row r="718" spans="12:16">
      <c r="L718" s="420" t="s">
        <v>3092</v>
      </c>
      <c r="M718" s="420"/>
      <c r="N718" s="419">
        <v>30</v>
      </c>
      <c r="O718" s="419">
        <v>0</v>
      </c>
      <c r="P718" s="419">
        <v>0</v>
      </c>
    </row>
    <row r="719" spans="12:16">
      <c r="L719" s="420" t="s">
        <v>3020</v>
      </c>
      <c r="M719" s="420" t="s">
        <v>2763</v>
      </c>
      <c r="N719" s="419">
        <v>520</v>
      </c>
      <c r="O719" s="419">
        <v>0</v>
      </c>
      <c r="P719" s="419">
        <v>0</v>
      </c>
    </row>
    <row r="720" spans="12:16">
      <c r="M720" s="420" t="s">
        <v>2764</v>
      </c>
      <c r="N720" s="419">
        <v>0</v>
      </c>
      <c r="O720" s="419">
        <v>0</v>
      </c>
      <c r="P720" s="419">
        <v>0</v>
      </c>
    </row>
    <row r="721" spans="12:16">
      <c r="M721" s="420" t="s">
        <v>2765</v>
      </c>
      <c r="N721" s="419">
        <v>0</v>
      </c>
      <c r="O721" s="419">
        <v>0</v>
      </c>
      <c r="P721" s="419">
        <v>0</v>
      </c>
    </row>
    <row r="722" spans="12:16">
      <c r="L722" s="420" t="s">
        <v>3093</v>
      </c>
      <c r="M722" s="420"/>
      <c r="N722" s="419">
        <v>520</v>
      </c>
      <c r="O722" s="419">
        <v>0</v>
      </c>
      <c r="P722" s="419">
        <v>0</v>
      </c>
    </row>
    <row r="723" spans="12:16">
      <c r="L723" s="420" t="s">
        <v>3023</v>
      </c>
      <c r="M723" s="420" t="s">
        <v>2763</v>
      </c>
      <c r="N723" s="419">
        <v>264</v>
      </c>
      <c r="O723" s="419">
        <v>264</v>
      </c>
      <c r="P723" s="419">
        <v>0</v>
      </c>
    </row>
    <row r="724" spans="12:16">
      <c r="M724" s="420" t="s">
        <v>2764</v>
      </c>
      <c r="N724" s="419">
        <v>0</v>
      </c>
      <c r="O724" s="419">
        <v>264</v>
      </c>
      <c r="P724" s="419">
        <v>0</v>
      </c>
    </row>
    <row r="725" spans="12:16">
      <c r="M725" s="420" t="s">
        <v>2765</v>
      </c>
      <c r="N725" s="419">
        <v>0</v>
      </c>
      <c r="O725" s="419">
        <v>264</v>
      </c>
      <c r="P725" s="419">
        <v>0</v>
      </c>
    </row>
    <row r="726" spans="12:16">
      <c r="L726" s="420" t="s">
        <v>3094</v>
      </c>
      <c r="M726" s="420"/>
      <c r="N726" s="419">
        <v>264</v>
      </c>
      <c r="O726" s="419">
        <v>792</v>
      </c>
      <c r="P726" s="419">
        <v>0</v>
      </c>
    </row>
    <row r="727" spans="12:16">
      <c r="L727" s="420" t="s">
        <v>3021</v>
      </c>
      <c r="M727" s="420" t="s">
        <v>2763</v>
      </c>
      <c r="N727" s="419">
        <v>455</v>
      </c>
      <c r="O727" s="419">
        <v>0</v>
      </c>
      <c r="P727" s="419">
        <v>0</v>
      </c>
    </row>
    <row r="728" spans="12:16">
      <c r="M728" s="420" t="s">
        <v>2764</v>
      </c>
      <c r="N728" s="419">
        <v>0</v>
      </c>
      <c r="O728" s="419">
        <v>0</v>
      </c>
      <c r="P728" s="419">
        <v>0</v>
      </c>
    </row>
    <row r="729" spans="12:16">
      <c r="M729" s="420" t="s">
        <v>2765</v>
      </c>
      <c r="N729" s="419">
        <v>0</v>
      </c>
      <c r="O729" s="419">
        <v>0</v>
      </c>
      <c r="P729" s="419">
        <v>0</v>
      </c>
    </row>
    <row r="730" spans="12:16">
      <c r="L730" s="420" t="s">
        <v>3095</v>
      </c>
      <c r="M730" s="420"/>
      <c r="N730" s="419">
        <v>455</v>
      </c>
      <c r="O730" s="419">
        <v>0</v>
      </c>
      <c r="P730" s="419">
        <v>0</v>
      </c>
    </row>
    <row r="731" spans="12:16">
      <c r="L731" s="420" t="s">
        <v>3025</v>
      </c>
      <c r="M731" s="420" t="s">
        <v>2763</v>
      </c>
      <c r="N731" s="419">
        <v>308</v>
      </c>
      <c r="O731" s="419">
        <v>0</v>
      </c>
      <c r="P731" s="419">
        <v>0</v>
      </c>
    </row>
    <row r="732" spans="12:16">
      <c r="M732" s="420" t="s">
        <v>2764</v>
      </c>
      <c r="N732" s="419">
        <v>0</v>
      </c>
      <c r="O732" s="419">
        <v>0</v>
      </c>
      <c r="P732" s="419">
        <v>0</v>
      </c>
    </row>
    <row r="733" spans="12:16">
      <c r="M733" s="420" t="s">
        <v>2765</v>
      </c>
      <c r="N733" s="419">
        <v>0</v>
      </c>
      <c r="O733" s="419">
        <v>0</v>
      </c>
      <c r="P733" s="419">
        <v>0</v>
      </c>
    </row>
    <row r="734" spans="12:16">
      <c r="L734" s="420" t="s">
        <v>3096</v>
      </c>
      <c r="M734" s="420"/>
      <c r="N734" s="419">
        <v>308</v>
      </c>
      <c r="O734" s="419">
        <v>0</v>
      </c>
      <c r="P734" s="419">
        <v>0</v>
      </c>
    </row>
    <row r="735" spans="12:16">
      <c r="L735" s="420" t="s">
        <v>3026</v>
      </c>
      <c r="M735" s="420" t="s">
        <v>2763</v>
      </c>
      <c r="N735" s="419">
        <v>126</v>
      </c>
      <c r="O735" s="419">
        <v>0</v>
      </c>
      <c r="P735" s="419">
        <v>0</v>
      </c>
    </row>
    <row r="736" spans="12:16">
      <c r="M736" s="420" t="s">
        <v>2764</v>
      </c>
      <c r="N736" s="419">
        <v>0</v>
      </c>
      <c r="O736" s="419">
        <v>0</v>
      </c>
      <c r="P736" s="419">
        <v>0</v>
      </c>
    </row>
    <row r="737" spans="12:16">
      <c r="M737" s="420" t="s">
        <v>2765</v>
      </c>
      <c r="N737" s="419">
        <v>0</v>
      </c>
      <c r="O737" s="419">
        <v>0</v>
      </c>
      <c r="P737" s="419">
        <v>0</v>
      </c>
    </row>
    <row r="738" spans="12:16">
      <c r="L738" s="420" t="s">
        <v>3097</v>
      </c>
      <c r="M738" s="420"/>
      <c r="N738" s="419">
        <v>126</v>
      </c>
      <c r="O738" s="419">
        <v>0</v>
      </c>
      <c r="P738" s="419">
        <v>0</v>
      </c>
    </row>
    <row r="739" spans="12:16">
      <c r="L739" s="420" t="s">
        <v>3027</v>
      </c>
      <c r="M739" s="420" t="s">
        <v>2763</v>
      </c>
      <c r="N739" s="419">
        <v>71</v>
      </c>
      <c r="O739" s="419">
        <v>0</v>
      </c>
      <c r="P739" s="419">
        <v>0</v>
      </c>
    </row>
    <row r="740" spans="12:16">
      <c r="M740" s="420" t="s">
        <v>2764</v>
      </c>
      <c r="N740" s="419">
        <v>0</v>
      </c>
      <c r="O740" s="419">
        <v>0</v>
      </c>
      <c r="P740" s="419">
        <v>0</v>
      </c>
    </row>
    <row r="741" spans="12:16">
      <c r="M741" s="420" t="s">
        <v>2765</v>
      </c>
      <c r="N741" s="419">
        <v>0</v>
      </c>
      <c r="O741" s="419">
        <v>0</v>
      </c>
      <c r="P741" s="419">
        <v>0</v>
      </c>
    </row>
    <row r="742" spans="12:16">
      <c r="L742" s="420" t="s">
        <v>3098</v>
      </c>
      <c r="M742" s="420"/>
      <c r="N742" s="419">
        <v>71</v>
      </c>
      <c r="O742" s="419">
        <v>0</v>
      </c>
      <c r="P742" s="419">
        <v>0</v>
      </c>
    </row>
    <row r="743" spans="12:16">
      <c r="L743" s="420" t="s">
        <v>3022</v>
      </c>
      <c r="M743" s="420" t="s">
        <v>2763</v>
      </c>
      <c r="N743" s="419">
        <v>50</v>
      </c>
      <c r="O743" s="419">
        <v>0</v>
      </c>
      <c r="P743" s="419">
        <v>0</v>
      </c>
    </row>
    <row r="744" spans="12:16">
      <c r="M744" s="420" t="s">
        <v>2764</v>
      </c>
      <c r="N744" s="419">
        <v>0</v>
      </c>
      <c r="O744" s="419">
        <v>0</v>
      </c>
      <c r="P744" s="419">
        <v>0</v>
      </c>
    </row>
    <row r="745" spans="12:16">
      <c r="M745" s="420" t="s">
        <v>2765</v>
      </c>
      <c r="N745" s="419">
        <v>0</v>
      </c>
      <c r="O745" s="419">
        <v>0</v>
      </c>
      <c r="P745" s="419">
        <v>0</v>
      </c>
    </row>
    <row r="746" spans="12:16">
      <c r="L746" s="420" t="s">
        <v>3099</v>
      </c>
      <c r="M746" s="420"/>
      <c r="N746" s="419">
        <v>50</v>
      </c>
      <c r="O746" s="419">
        <v>0</v>
      </c>
      <c r="P746" s="419">
        <v>0</v>
      </c>
    </row>
    <row r="747" spans="12:16">
      <c r="L747" s="420" t="s">
        <v>3019</v>
      </c>
      <c r="M747" s="420" t="s">
        <v>2763</v>
      </c>
      <c r="N747" s="419">
        <v>101</v>
      </c>
      <c r="O747" s="419">
        <v>0</v>
      </c>
      <c r="P747" s="419">
        <v>0</v>
      </c>
    </row>
    <row r="748" spans="12:16">
      <c r="M748" s="420" t="s">
        <v>2764</v>
      </c>
      <c r="N748" s="419">
        <v>0</v>
      </c>
      <c r="O748" s="419">
        <v>0</v>
      </c>
      <c r="P748" s="419">
        <v>0</v>
      </c>
    </row>
    <row r="749" spans="12:16">
      <c r="M749" s="420" t="s">
        <v>2765</v>
      </c>
      <c r="N749" s="419">
        <v>0</v>
      </c>
      <c r="O749" s="419">
        <v>0</v>
      </c>
      <c r="P749" s="419">
        <v>0</v>
      </c>
    </row>
    <row r="750" spans="12:16">
      <c r="L750" s="420" t="s">
        <v>3100</v>
      </c>
      <c r="M750" s="420"/>
      <c r="N750" s="419">
        <v>101</v>
      </c>
      <c r="O750" s="419">
        <v>0</v>
      </c>
      <c r="P750" s="419">
        <v>0</v>
      </c>
    </row>
    <row r="751" spans="12:16">
      <c r="L751" s="420" t="s">
        <v>3018</v>
      </c>
      <c r="M751" s="420" t="s">
        <v>2763</v>
      </c>
      <c r="N751" s="419">
        <v>83</v>
      </c>
      <c r="O751" s="419">
        <v>83</v>
      </c>
      <c r="P751" s="419">
        <v>83</v>
      </c>
    </row>
    <row r="752" spans="12:16">
      <c r="M752" s="420" t="s">
        <v>2764</v>
      </c>
      <c r="N752" s="419">
        <v>85</v>
      </c>
      <c r="O752" s="419">
        <v>85</v>
      </c>
      <c r="P752" s="419">
        <v>85</v>
      </c>
    </row>
    <row r="753" spans="12:16">
      <c r="M753" s="420" t="s">
        <v>2765</v>
      </c>
      <c r="N753" s="419">
        <v>89</v>
      </c>
      <c r="O753" s="419">
        <v>89</v>
      </c>
      <c r="P753" s="419">
        <v>89</v>
      </c>
    </row>
    <row r="754" spans="12:16">
      <c r="L754" s="420" t="s">
        <v>3101</v>
      </c>
      <c r="M754" s="420"/>
      <c r="N754" s="419">
        <v>257</v>
      </c>
      <c r="O754" s="419">
        <v>257</v>
      </c>
      <c r="P754" s="419">
        <v>257</v>
      </c>
    </row>
    <row r="755" spans="12:16">
      <c r="L755" s="420" t="s">
        <v>3010</v>
      </c>
      <c r="M755" s="420" t="s">
        <v>2763</v>
      </c>
      <c r="N755" s="419">
        <v>0</v>
      </c>
      <c r="O755" s="419">
        <v>164</v>
      </c>
      <c r="P755" s="419">
        <v>189</v>
      </c>
    </row>
    <row r="756" spans="12:16">
      <c r="L756" s="420" t="s">
        <v>3102</v>
      </c>
      <c r="M756" s="420"/>
      <c r="N756" s="419">
        <v>0</v>
      </c>
      <c r="O756" s="419">
        <v>164</v>
      </c>
      <c r="P756" s="419">
        <v>189</v>
      </c>
    </row>
    <row r="757" spans="12:16">
      <c r="L757" s="420" t="s">
        <v>3002</v>
      </c>
      <c r="M757" s="420" t="s">
        <v>2763</v>
      </c>
      <c r="N757" s="419">
        <v>319</v>
      </c>
      <c r="O757" s="419">
        <v>319</v>
      </c>
      <c r="P757" s="419">
        <v>319</v>
      </c>
    </row>
    <row r="758" spans="12:16">
      <c r="M758" s="420" t="s">
        <v>2764</v>
      </c>
      <c r="N758" s="419">
        <v>344</v>
      </c>
      <c r="O758" s="419">
        <v>344</v>
      </c>
      <c r="P758" s="419">
        <v>344</v>
      </c>
    </row>
    <row r="759" spans="12:16">
      <c r="M759" s="420" t="s">
        <v>2765</v>
      </c>
      <c r="N759" s="419">
        <v>344</v>
      </c>
      <c r="O759" s="419">
        <v>344</v>
      </c>
      <c r="P759" s="419">
        <v>344</v>
      </c>
    </row>
    <row r="760" spans="12:16">
      <c r="L760" s="420" t="s">
        <v>3103</v>
      </c>
      <c r="M760" s="420"/>
      <c r="N760" s="419">
        <v>1007</v>
      </c>
      <c r="O760" s="419">
        <v>1007</v>
      </c>
      <c r="P760" s="419">
        <v>1007</v>
      </c>
    </row>
    <row r="761" spans="12:16">
      <c r="L761" s="420" t="s">
        <v>2982</v>
      </c>
      <c r="M761" s="420" t="s">
        <v>2764</v>
      </c>
      <c r="N761" s="419">
        <v>0</v>
      </c>
      <c r="O761" s="419">
        <v>40</v>
      </c>
      <c r="P761" s="419">
        <v>0</v>
      </c>
    </row>
    <row r="762" spans="12:16">
      <c r="M762" s="420" t="s">
        <v>2765</v>
      </c>
      <c r="N762" s="419">
        <v>0</v>
      </c>
      <c r="O762" s="419">
        <v>40</v>
      </c>
      <c r="P762" s="419">
        <v>0</v>
      </c>
    </row>
    <row r="763" spans="12:16">
      <c r="L763" s="420" t="s">
        <v>3104</v>
      </c>
      <c r="M763" s="420"/>
      <c r="N763" s="419">
        <v>0</v>
      </c>
      <c r="O763" s="419">
        <v>80</v>
      </c>
      <c r="P763" s="419">
        <v>0</v>
      </c>
    </row>
    <row r="764" spans="12:16">
      <c r="L764" s="420" t="s">
        <v>2983</v>
      </c>
      <c r="M764" s="420" t="s">
        <v>2764</v>
      </c>
      <c r="N764" s="419">
        <v>0</v>
      </c>
      <c r="O764" s="419">
        <v>28</v>
      </c>
      <c r="P764" s="419">
        <v>0</v>
      </c>
    </row>
    <row r="765" spans="12:16">
      <c r="M765" s="420" t="s">
        <v>2765</v>
      </c>
      <c r="N765" s="419">
        <v>0</v>
      </c>
      <c r="O765" s="419">
        <v>28</v>
      </c>
      <c r="P765" s="419">
        <v>0</v>
      </c>
    </row>
    <row r="766" spans="12:16">
      <c r="L766" s="420" t="s">
        <v>3105</v>
      </c>
      <c r="M766" s="420"/>
      <c r="N766" s="419">
        <v>0</v>
      </c>
      <c r="O766" s="419">
        <v>56</v>
      </c>
      <c r="P766" s="419">
        <v>0</v>
      </c>
    </row>
    <row r="767" spans="12:16">
      <c r="L767" s="420" t="s">
        <v>2984</v>
      </c>
      <c r="M767" s="420" t="s">
        <v>2764</v>
      </c>
      <c r="N767" s="419">
        <v>0</v>
      </c>
      <c r="O767" s="419">
        <v>31</v>
      </c>
      <c r="P767" s="419">
        <v>0</v>
      </c>
    </row>
    <row r="768" spans="12:16">
      <c r="M768" s="420" t="s">
        <v>2765</v>
      </c>
      <c r="N768" s="419">
        <v>0</v>
      </c>
      <c r="O768" s="419">
        <v>31</v>
      </c>
      <c r="P768" s="419">
        <v>0</v>
      </c>
    </row>
    <row r="769" spans="12:16">
      <c r="L769" s="420" t="s">
        <v>3106</v>
      </c>
      <c r="M769" s="420"/>
      <c r="N769" s="419">
        <v>0</v>
      </c>
      <c r="O769" s="419">
        <v>62</v>
      </c>
      <c r="P769" s="419">
        <v>0</v>
      </c>
    </row>
    <row r="770" spans="12:16">
      <c r="L770" s="420" t="s">
        <v>2985</v>
      </c>
      <c r="M770" s="420" t="s">
        <v>2764</v>
      </c>
      <c r="N770" s="419">
        <v>0</v>
      </c>
      <c r="O770" s="419">
        <v>179</v>
      </c>
      <c r="P770" s="419">
        <v>179</v>
      </c>
    </row>
    <row r="771" spans="12:16">
      <c r="M771" s="420" t="s">
        <v>2765</v>
      </c>
      <c r="N771" s="419">
        <v>0</v>
      </c>
      <c r="O771" s="419">
        <v>179</v>
      </c>
      <c r="P771" s="419">
        <v>179</v>
      </c>
    </row>
    <row r="772" spans="12:16">
      <c r="L772" s="420" t="s">
        <v>3107</v>
      </c>
      <c r="M772" s="420"/>
      <c r="N772" s="419">
        <v>0</v>
      </c>
      <c r="O772" s="419">
        <v>358</v>
      </c>
      <c r="P772" s="419">
        <v>358</v>
      </c>
    </row>
    <row r="773" spans="12:16">
      <c r="L773" s="420" t="s">
        <v>2986</v>
      </c>
      <c r="M773" s="420" t="s">
        <v>2764</v>
      </c>
      <c r="N773" s="419">
        <v>0</v>
      </c>
      <c r="O773" s="419">
        <v>26</v>
      </c>
      <c r="P773" s="419">
        <v>26</v>
      </c>
    </row>
    <row r="774" spans="12:16">
      <c r="M774" s="420" t="s">
        <v>2765</v>
      </c>
      <c r="N774" s="419">
        <v>0</v>
      </c>
      <c r="O774" s="419">
        <v>26</v>
      </c>
      <c r="P774" s="419">
        <v>26</v>
      </c>
    </row>
    <row r="775" spans="12:16">
      <c r="L775" s="420" t="s">
        <v>3108</v>
      </c>
      <c r="M775" s="420"/>
      <c r="N775" s="419">
        <v>0</v>
      </c>
      <c r="O775" s="419">
        <v>52</v>
      </c>
      <c r="P775" s="419">
        <v>52</v>
      </c>
    </row>
    <row r="776" spans="12:16">
      <c r="L776" s="420" t="s">
        <v>2987</v>
      </c>
      <c r="M776" s="420" t="s">
        <v>2764</v>
      </c>
      <c r="N776" s="419">
        <v>0</v>
      </c>
      <c r="O776" s="419">
        <v>0</v>
      </c>
      <c r="P776" s="419">
        <v>0</v>
      </c>
    </row>
    <row r="777" spans="12:16">
      <c r="M777" s="420" t="s">
        <v>2765</v>
      </c>
      <c r="N777" s="419">
        <v>0</v>
      </c>
      <c r="O777" s="419">
        <v>0</v>
      </c>
      <c r="P777" s="419">
        <v>0</v>
      </c>
    </row>
    <row r="778" spans="12:16">
      <c r="L778" s="420" t="s">
        <v>3109</v>
      </c>
      <c r="M778" s="420"/>
      <c r="N778" s="419">
        <v>0</v>
      </c>
      <c r="O778" s="419">
        <v>0</v>
      </c>
      <c r="P778" s="419">
        <v>0</v>
      </c>
    </row>
    <row r="779" spans="12:16">
      <c r="L779" s="420" t="s">
        <v>2953</v>
      </c>
      <c r="M779" s="420" t="s">
        <v>2763</v>
      </c>
      <c r="N779" s="419">
        <v>292</v>
      </c>
      <c r="O779" s="419">
        <v>125</v>
      </c>
      <c r="P779" s="419">
        <v>292</v>
      </c>
    </row>
    <row r="780" spans="12:16">
      <c r="M780" s="420" t="s">
        <v>2764</v>
      </c>
      <c r="N780" s="419">
        <v>292</v>
      </c>
      <c r="O780" s="419">
        <v>275</v>
      </c>
      <c r="P780" s="419">
        <v>292</v>
      </c>
    </row>
    <row r="781" spans="12:16">
      <c r="M781" s="420" t="s">
        <v>2765</v>
      </c>
      <c r="N781" s="419">
        <v>292</v>
      </c>
      <c r="O781" s="419">
        <v>275</v>
      </c>
      <c r="P781" s="419">
        <v>292</v>
      </c>
    </row>
    <row r="782" spans="12:16">
      <c r="L782" s="420" t="s">
        <v>3110</v>
      </c>
      <c r="M782" s="420"/>
      <c r="N782" s="419">
        <v>876</v>
      </c>
      <c r="O782" s="419">
        <v>675</v>
      </c>
      <c r="P782" s="419">
        <v>876</v>
      </c>
    </row>
    <row r="783" spans="12:16">
      <c r="L783" s="420" t="s">
        <v>2954</v>
      </c>
      <c r="M783" s="420" t="s">
        <v>2763</v>
      </c>
      <c r="N783" s="419">
        <v>77</v>
      </c>
      <c r="O783" s="419">
        <v>20</v>
      </c>
      <c r="P783" s="419">
        <v>0</v>
      </c>
    </row>
    <row r="784" spans="12:16">
      <c r="M784" s="420" t="s">
        <v>2764</v>
      </c>
      <c r="N784" s="419">
        <v>0</v>
      </c>
      <c r="O784" s="419">
        <v>20</v>
      </c>
      <c r="P784" s="419">
        <v>77</v>
      </c>
    </row>
    <row r="785" spans="12:16">
      <c r="M785" s="420" t="s">
        <v>2765</v>
      </c>
      <c r="N785" s="419">
        <v>0</v>
      </c>
      <c r="O785" s="419">
        <v>20</v>
      </c>
      <c r="P785" s="419">
        <v>77</v>
      </c>
    </row>
    <row r="786" spans="12:16">
      <c r="L786" s="420" t="s">
        <v>3111</v>
      </c>
      <c r="M786" s="420"/>
      <c r="N786" s="419">
        <v>77</v>
      </c>
      <c r="O786" s="419">
        <v>60</v>
      </c>
      <c r="P786" s="419">
        <v>154</v>
      </c>
    </row>
    <row r="787" spans="12:16">
      <c r="L787" s="420" t="s">
        <v>3003</v>
      </c>
      <c r="M787" s="420" t="s">
        <v>2763</v>
      </c>
      <c r="N787" s="419">
        <v>221</v>
      </c>
      <c r="O787" s="419">
        <v>160</v>
      </c>
      <c r="P787" s="419">
        <v>221</v>
      </c>
    </row>
    <row r="788" spans="12:16">
      <c r="M788" s="420" t="s">
        <v>2764</v>
      </c>
      <c r="N788" s="419">
        <v>221</v>
      </c>
      <c r="O788" s="419">
        <v>160</v>
      </c>
      <c r="P788" s="419">
        <v>221</v>
      </c>
    </row>
    <row r="789" spans="12:16">
      <c r="M789" s="420" t="s">
        <v>2765</v>
      </c>
      <c r="N789" s="419">
        <v>0</v>
      </c>
      <c r="O789" s="419">
        <v>180</v>
      </c>
      <c r="P789" s="419">
        <v>221</v>
      </c>
    </row>
    <row r="790" spans="12:16">
      <c r="L790" s="420" t="s">
        <v>3112</v>
      </c>
      <c r="M790" s="420"/>
      <c r="N790" s="419">
        <v>442</v>
      </c>
      <c r="O790" s="419">
        <v>500</v>
      </c>
      <c r="P790" s="419">
        <v>663</v>
      </c>
    </row>
    <row r="791" spans="12:16">
      <c r="L791" s="420" t="s">
        <v>1285</v>
      </c>
      <c r="N791" s="419">
        <v>225779</v>
      </c>
      <c r="O791" s="419">
        <v>244454</v>
      </c>
      <c r="P791" s="419">
        <v>214535.71851851855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A2" workbookViewId="0">
      <selection activeCell="D49" sqref="D49"/>
    </sheetView>
  </sheetViews>
  <sheetFormatPr defaultColWidth="9" defaultRowHeight="13"/>
  <cols>
    <col min="1" max="3" width="9" style="18"/>
    <col min="4" max="4" width="9" style="67"/>
    <col min="5" max="5" width="15.6640625" style="66" customWidth="1"/>
    <col min="6" max="14" width="9" style="18"/>
    <col min="15" max="15" width="15.6640625" style="18" customWidth="1"/>
    <col min="16" max="27" width="9" style="18"/>
    <col min="28" max="28" width="13" style="62" customWidth="1"/>
    <col min="29" max="29" width="16.6640625" style="62" customWidth="1"/>
    <col min="30" max="16384" width="9" style="18"/>
  </cols>
  <sheetData>
    <row r="1" spans="1:29" ht="14" thickTop="1" thickBot="1">
      <c r="A1" s="1" t="s">
        <v>0</v>
      </c>
      <c r="B1" s="1" t="s">
        <v>1</v>
      </c>
      <c r="C1" s="1" t="s">
        <v>2</v>
      </c>
      <c r="D1" s="49" t="s">
        <v>3</v>
      </c>
      <c r="E1" s="49" t="s">
        <v>4</v>
      </c>
      <c r="F1" s="1" t="s">
        <v>874</v>
      </c>
      <c r="G1" s="1" t="s">
        <v>5</v>
      </c>
      <c r="H1" s="1" t="s">
        <v>6</v>
      </c>
      <c r="I1" s="1" t="s">
        <v>47</v>
      </c>
      <c r="J1" s="1" t="s">
        <v>48</v>
      </c>
      <c r="K1" s="1" t="s">
        <v>51</v>
      </c>
      <c r="L1" s="2" t="s">
        <v>53</v>
      </c>
      <c r="M1" s="2" t="s">
        <v>54</v>
      </c>
      <c r="N1" s="2" t="s">
        <v>115</v>
      </c>
      <c r="O1" s="2" t="s">
        <v>116</v>
      </c>
      <c r="P1" s="2" t="s">
        <v>59</v>
      </c>
      <c r="Q1" s="2" t="s">
        <v>57</v>
      </c>
      <c r="R1" s="3" t="s">
        <v>61</v>
      </c>
      <c r="S1" s="3" t="s">
        <v>875</v>
      </c>
      <c r="T1" s="4" t="s">
        <v>62</v>
      </c>
      <c r="U1" s="3" t="s">
        <v>63</v>
      </c>
      <c r="V1" s="3" t="s">
        <v>64</v>
      </c>
      <c r="W1" s="5" t="s">
        <v>66</v>
      </c>
      <c r="X1" s="5"/>
      <c r="Y1" s="5" t="s">
        <v>876</v>
      </c>
      <c r="Z1" s="5" t="s">
        <v>67</v>
      </c>
      <c r="AA1" s="47" t="s">
        <v>68</v>
      </c>
      <c r="AB1" s="62" t="s">
        <v>877</v>
      </c>
    </row>
    <row r="2" spans="1:29" ht="13.5" thickBot="1">
      <c r="A2" s="11" t="s">
        <v>16</v>
      </c>
      <c r="B2" s="12" t="s">
        <v>16</v>
      </c>
      <c r="C2" s="11" t="s">
        <v>16</v>
      </c>
      <c r="D2" s="53" t="s">
        <v>16</v>
      </c>
      <c r="E2" s="50" t="s">
        <v>16</v>
      </c>
      <c r="F2" s="12" t="s">
        <v>17</v>
      </c>
      <c r="G2" s="11" t="s">
        <v>17</v>
      </c>
      <c r="H2" s="12" t="s">
        <v>50</v>
      </c>
      <c r="I2" s="11" t="s">
        <v>16</v>
      </c>
      <c r="J2" s="12" t="s">
        <v>19</v>
      </c>
      <c r="K2" s="11" t="s">
        <v>52</v>
      </c>
      <c r="L2" s="12" t="s">
        <v>17</v>
      </c>
      <c r="M2" s="11" t="s">
        <v>17</v>
      </c>
      <c r="N2" s="12" t="s">
        <v>17</v>
      </c>
      <c r="O2" s="11" t="s">
        <v>17</v>
      </c>
      <c r="P2" s="12" t="s">
        <v>52</v>
      </c>
      <c r="Q2" s="11" t="s">
        <v>17</v>
      </c>
      <c r="R2" s="12" t="s">
        <v>17</v>
      </c>
      <c r="S2" s="11" t="s">
        <v>17</v>
      </c>
      <c r="T2" s="12" t="s">
        <v>17</v>
      </c>
      <c r="U2" s="11" t="s">
        <v>878</v>
      </c>
      <c r="V2" s="12" t="s">
        <v>878</v>
      </c>
      <c r="W2" s="11" t="s">
        <v>17</v>
      </c>
      <c r="X2" s="11"/>
      <c r="Y2" s="12" t="s">
        <v>17</v>
      </c>
      <c r="Z2" s="11" t="s">
        <v>17</v>
      </c>
      <c r="AA2" s="48" t="s">
        <v>17</v>
      </c>
    </row>
    <row r="3" spans="1:29" ht="118" thickTop="1" thickBot="1">
      <c r="A3" s="14" t="s">
        <v>20</v>
      </c>
      <c r="B3" s="13" t="s">
        <v>879</v>
      </c>
      <c r="C3" s="14" t="s">
        <v>21</v>
      </c>
      <c r="D3" s="54" t="s">
        <v>22</v>
      </c>
      <c r="E3" s="51" t="s">
        <v>23</v>
      </c>
      <c r="F3" s="13" t="s">
        <v>25</v>
      </c>
      <c r="G3" s="14" t="s">
        <v>880</v>
      </c>
      <c r="H3" s="13" t="s">
        <v>881</v>
      </c>
      <c r="I3" s="14" t="s">
        <v>882</v>
      </c>
      <c r="J3" s="13" t="s">
        <v>883</v>
      </c>
      <c r="K3" s="14" t="s">
        <v>884</v>
      </c>
      <c r="L3" s="13" t="s">
        <v>885</v>
      </c>
      <c r="M3" s="14" t="s">
        <v>886</v>
      </c>
      <c r="N3" s="13" t="s">
        <v>887</v>
      </c>
      <c r="O3" s="14" t="s">
        <v>888</v>
      </c>
      <c r="P3" s="13" t="s">
        <v>889</v>
      </c>
      <c r="Q3" s="14" t="s">
        <v>890</v>
      </c>
      <c r="R3" s="13" t="s">
        <v>891</v>
      </c>
      <c r="S3" s="14" t="s">
        <v>892</v>
      </c>
      <c r="T3" s="13" t="s">
        <v>893</v>
      </c>
      <c r="U3" s="14" t="s">
        <v>894</v>
      </c>
      <c r="V3" s="13" t="s">
        <v>895</v>
      </c>
      <c r="W3" s="16" t="s">
        <v>896</v>
      </c>
      <c r="X3" s="16" t="s">
        <v>897</v>
      </c>
      <c r="Y3" s="13" t="s">
        <v>898</v>
      </c>
      <c r="Z3" s="14" t="s">
        <v>899</v>
      </c>
      <c r="AA3" s="57" t="s">
        <v>900</v>
      </c>
      <c r="AB3" s="63" t="s">
        <v>901</v>
      </c>
      <c r="AC3" s="63" t="s">
        <v>902</v>
      </c>
    </row>
    <row r="4" spans="1:29" ht="14" thickTop="1" thickBot="1">
      <c r="A4" s="42" t="s">
        <v>2763</v>
      </c>
      <c r="B4" s="10" t="s">
        <v>903</v>
      </c>
      <c r="C4" s="8" t="s">
        <v>37</v>
      </c>
      <c r="D4" s="52" t="s">
        <v>327</v>
      </c>
      <c r="E4" s="52" t="s">
        <v>487</v>
      </c>
      <c r="F4" s="7"/>
      <c r="G4" s="8"/>
      <c r="H4" s="7" t="s">
        <v>41</v>
      </c>
      <c r="I4" s="41" t="s">
        <v>317</v>
      </c>
      <c r="J4" s="7"/>
      <c r="K4" s="15">
        <v>0</v>
      </c>
      <c r="L4" s="7"/>
      <c r="M4" s="8"/>
      <c r="N4" s="7"/>
      <c r="O4" s="8"/>
      <c r="P4" s="7"/>
      <c r="Q4" s="7"/>
      <c r="R4" s="8"/>
      <c r="S4" s="7"/>
      <c r="T4" s="9"/>
      <c r="U4" s="7" t="s">
        <v>137</v>
      </c>
      <c r="V4" s="7" t="s">
        <v>137</v>
      </c>
      <c r="W4" s="7"/>
      <c r="X4" s="7" t="s">
        <v>138</v>
      </c>
      <c r="Y4" s="8"/>
      <c r="Z4" s="7"/>
      <c r="AA4" s="58"/>
      <c r="AB4" s="62" t="s">
        <v>2093</v>
      </c>
      <c r="AC4" s="62" t="s">
        <v>346</v>
      </c>
    </row>
    <row r="5" spans="1:29" ht="14" thickTop="1" thickBot="1">
      <c r="A5" s="42" t="s">
        <v>2764</v>
      </c>
      <c r="B5" s="10" t="s">
        <v>319</v>
      </c>
      <c r="C5" s="8" t="s">
        <v>304</v>
      </c>
      <c r="D5" s="52" t="s">
        <v>195</v>
      </c>
      <c r="E5" s="52" t="s">
        <v>431</v>
      </c>
      <c r="F5" s="7"/>
      <c r="G5" s="8"/>
      <c r="H5" s="7" t="s">
        <v>136</v>
      </c>
      <c r="I5" s="41" t="s">
        <v>150</v>
      </c>
      <c r="J5" s="7"/>
      <c r="K5" s="15">
        <v>0.1</v>
      </c>
      <c r="L5" s="7"/>
      <c r="M5" s="8"/>
      <c r="N5" s="7"/>
      <c r="O5" s="8"/>
      <c r="P5" s="7"/>
      <c r="Q5" s="7"/>
      <c r="R5" s="8"/>
      <c r="S5" s="7"/>
      <c r="T5" s="9"/>
      <c r="U5" s="7" t="s">
        <v>904</v>
      </c>
      <c r="V5" s="7" t="s">
        <v>151</v>
      </c>
      <c r="W5" s="7"/>
      <c r="X5" s="7" t="s">
        <v>229</v>
      </c>
      <c r="Y5" s="8"/>
      <c r="Z5" s="7"/>
      <c r="AA5" s="58"/>
      <c r="AB5" s="62" t="s">
        <v>2093</v>
      </c>
      <c r="AC5" s="62" t="s">
        <v>310</v>
      </c>
    </row>
    <row r="6" spans="1:29" ht="14" thickTop="1" thickBot="1">
      <c r="A6" s="42" t="s">
        <v>2765</v>
      </c>
      <c r="B6" s="10" t="s">
        <v>905</v>
      </c>
      <c r="C6" s="8" t="s">
        <v>515</v>
      </c>
      <c r="D6" s="52" t="s">
        <v>324</v>
      </c>
      <c r="E6" s="52" t="s">
        <v>503</v>
      </c>
      <c r="F6" s="7"/>
      <c r="G6" s="8"/>
      <c r="H6" s="7" t="s">
        <v>293</v>
      </c>
      <c r="I6" s="6" t="s">
        <v>906</v>
      </c>
      <c r="J6" s="7"/>
      <c r="K6" s="15">
        <v>0.2</v>
      </c>
      <c r="L6" s="7"/>
      <c r="M6" s="8"/>
      <c r="N6" s="7"/>
      <c r="O6" s="8"/>
      <c r="P6" s="7"/>
      <c r="Q6" s="7"/>
      <c r="R6" s="8"/>
      <c r="S6" s="7"/>
      <c r="T6" s="9"/>
      <c r="U6" s="7" t="s">
        <v>186</v>
      </c>
      <c r="V6" s="7" t="s">
        <v>186</v>
      </c>
      <c r="W6" s="7"/>
      <c r="X6" s="7" t="s">
        <v>145</v>
      </c>
      <c r="Y6" s="8"/>
      <c r="Z6" s="7"/>
      <c r="AA6" s="58"/>
      <c r="AB6" s="62" t="s">
        <v>2093</v>
      </c>
      <c r="AC6" s="62" t="s">
        <v>318</v>
      </c>
    </row>
    <row r="7" spans="1:29" ht="14" thickTop="1" thickBot="1">
      <c r="A7" s="42" t="s">
        <v>2766</v>
      </c>
      <c r="B7" s="10" t="s">
        <v>907</v>
      </c>
      <c r="D7" s="52" t="s">
        <v>146</v>
      </c>
      <c r="E7" s="52" t="s">
        <v>457</v>
      </c>
      <c r="F7" s="7"/>
      <c r="G7" s="8"/>
      <c r="H7" s="7"/>
      <c r="I7" s="41" t="s">
        <v>328</v>
      </c>
      <c r="J7" s="7"/>
      <c r="K7" s="15">
        <v>0.3</v>
      </c>
      <c r="L7" s="7"/>
      <c r="M7" s="8"/>
      <c r="N7" s="7"/>
      <c r="O7" s="8"/>
      <c r="P7" s="7"/>
      <c r="Q7" s="7"/>
      <c r="R7" s="8"/>
      <c r="S7" s="7"/>
      <c r="T7" s="9"/>
      <c r="U7" s="7" t="s">
        <v>140</v>
      </c>
      <c r="V7" s="7" t="s">
        <v>140</v>
      </c>
      <c r="W7" s="7"/>
      <c r="X7" s="7"/>
      <c r="Y7" s="8"/>
      <c r="Z7" s="7"/>
      <c r="AA7" s="58"/>
      <c r="AB7" s="62" t="s">
        <v>2093</v>
      </c>
      <c r="AC7" s="62" t="s">
        <v>397</v>
      </c>
    </row>
    <row r="8" spans="1:29" ht="14" thickTop="1" thickBot="1">
      <c r="A8" s="65"/>
      <c r="B8" s="10" t="s">
        <v>908</v>
      </c>
      <c r="D8" s="52" t="s">
        <v>148</v>
      </c>
      <c r="E8" s="52" t="s">
        <v>475</v>
      </c>
      <c r="F8" s="7"/>
      <c r="G8" s="8"/>
      <c r="H8" s="7"/>
      <c r="I8" s="55" t="s">
        <v>909</v>
      </c>
      <c r="J8" s="7"/>
      <c r="K8" s="15">
        <v>0.4</v>
      </c>
      <c r="L8" s="7"/>
      <c r="M8" s="8"/>
      <c r="N8" s="7"/>
      <c r="O8" s="8"/>
      <c r="P8" s="7"/>
      <c r="Q8" s="7"/>
      <c r="R8" s="8"/>
      <c r="S8" s="7"/>
      <c r="T8" s="9"/>
      <c r="U8" s="65"/>
      <c r="V8" s="65"/>
      <c r="W8" s="7"/>
      <c r="X8" s="7"/>
      <c r="Y8" s="8"/>
      <c r="Z8" s="7"/>
      <c r="AA8" s="58"/>
      <c r="AB8" s="62" t="s">
        <v>2093</v>
      </c>
      <c r="AC8" s="62" t="s">
        <v>359</v>
      </c>
    </row>
    <row r="9" spans="1:29" ht="13.5" thickBot="1">
      <c r="A9" s="65"/>
      <c r="B9" s="10" t="s">
        <v>1756</v>
      </c>
      <c r="D9" s="52" t="s">
        <v>534</v>
      </c>
      <c r="E9" s="52" t="s">
        <v>495</v>
      </c>
      <c r="F9" s="7"/>
      <c r="G9" s="8"/>
      <c r="H9" s="7"/>
      <c r="I9" s="40" t="s">
        <v>910</v>
      </c>
      <c r="J9" s="7"/>
      <c r="K9" s="15">
        <v>0.5</v>
      </c>
      <c r="L9" s="7"/>
      <c r="M9" s="8"/>
      <c r="N9" s="7"/>
      <c r="O9" s="8"/>
      <c r="P9" s="7"/>
      <c r="Q9" s="7"/>
      <c r="R9" s="8"/>
      <c r="S9" s="7"/>
      <c r="T9" s="9"/>
      <c r="U9" s="7"/>
      <c r="V9" s="8"/>
      <c r="W9" s="7"/>
      <c r="X9" s="7"/>
      <c r="Y9" s="8"/>
      <c r="Z9" s="7"/>
      <c r="AA9" s="58"/>
      <c r="AB9" s="62" t="s">
        <v>2093</v>
      </c>
      <c r="AC9" s="62" t="s">
        <v>362</v>
      </c>
    </row>
    <row r="10" spans="1:29" ht="13.5" thickBot="1">
      <c r="B10" s="10" t="s">
        <v>311</v>
      </c>
      <c r="D10" s="52" t="s">
        <v>556</v>
      </c>
      <c r="E10" s="52" t="s">
        <v>676</v>
      </c>
      <c r="F10" s="7"/>
      <c r="G10" s="8"/>
      <c r="H10" s="7"/>
      <c r="I10" s="40" t="s">
        <v>912</v>
      </c>
      <c r="J10" s="7"/>
      <c r="K10" s="15">
        <v>0.6</v>
      </c>
      <c r="L10" s="7"/>
      <c r="M10" s="8"/>
      <c r="N10" s="7"/>
      <c r="O10" s="8"/>
      <c r="P10" s="7"/>
      <c r="Q10" s="7"/>
      <c r="R10" s="8"/>
      <c r="S10" s="7"/>
      <c r="T10" s="9"/>
      <c r="U10" s="7"/>
      <c r="V10" s="8"/>
      <c r="W10" s="7"/>
      <c r="X10" s="7"/>
      <c r="Y10" s="8"/>
      <c r="Z10" s="7"/>
      <c r="AA10" s="58"/>
      <c r="AB10" s="62" t="s">
        <v>2093</v>
      </c>
      <c r="AC10" s="62" t="s">
        <v>388</v>
      </c>
    </row>
    <row r="11" spans="1:29" ht="13.5" thickBot="1">
      <c r="B11" s="10" t="s">
        <v>911</v>
      </c>
      <c r="D11" s="52" t="s">
        <v>587</v>
      </c>
      <c r="E11" s="52" t="s">
        <v>430</v>
      </c>
      <c r="F11" s="7"/>
      <c r="G11" s="8"/>
      <c r="H11" s="7"/>
      <c r="I11" s="422" t="s">
        <v>307</v>
      </c>
      <c r="J11" s="7"/>
      <c r="K11" s="15">
        <v>0.7</v>
      </c>
      <c r="L11" s="7"/>
      <c r="M11" s="8"/>
      <c r="N11" s="7"/>
      <c r="O11" s="8"/>
      <c r="P11" s="7"/>
      <c r="Q11" s="7"/>
      <c r="R11" s="8"/>
      <c r="S11" s="7"/>
      <c r="T11" s="9"/>
      <c r="U11" s="7"/>
      <c r="V11" s="8"/>
      <c r="W11" s="7"/>
      <c r="X11" s="7"/>
      <c r="Y11" s="8"/>
      <c r="Z11" s="7"/>
      <c r="AA11" s="58"/>
      <c r="AB11" s="62" t="s">
        <v>2093</v>
      </c>
      <c r="AC11" s="62" t="s">
        <v>344</v>
      </c>
    </row>
    <row r="12" spans="1:29" ht="13.5" thickBot="1">
      <c r="A12" s="65"/>
      <c r="B12" s="10" t="s">
        <v>323</v>
      </c>
      <c r="D12" s="52" t="s">
        <v>801</v>
      </c>
      <c r="E12" s="52" t="s">
        <v>447</v>
      </c>
      <c r="F12" s="7"/>
      <c r="G12" s="8"/>
      <c r="H12" s="7"/>
      <c r="I12" s="30" t="s">
        <v>228</v>
      </c>
      <c r="J12" s="7"/>
      <c r="K12" s="15">
        <v>0.8</v>
      </c>
      <c r="L12" s="7"/>
      <c r="M12" s="8"/>
      <c r="N12" s="7"/>
      <c r="O12" s="8"/>
      <c r="P12" s="7"/>
      <c r="Q12" s="7"/>
      <c r="R12" s="8"/>
      <c r="S12" s="7"/>
      <c r="T12" s="9"/>
      <c r="U12" s="7"/>
      <c r="V12" s="8"/>
      <c r="W12" s="7"/>
      <c r="X12" s="7"/>
      <c r="Y12" s="8"/>
      <c r="Z12" s="7"/>
      <c r="AA12" s="58"/>
      <c r="AB12" s="62" t="s">
        <v>2093</v>
      </c>
      <c r="AC12" s="62" t="s">
        <v>305</v>
      </c>
    </row>
    <row r="13" spans="1:29" ht="13.5" thickBot="1">
      <c r="A13" s="65"/>
      <c r="B13" s="10" t="s">
        <v>913</v>
      </c>
      <c r="C13" s="65"/>
      <c r="D13" s="52" t="s">
        <v>519</v>
      </c>
      <c r="E13" s="52" t="s">
        <v>466</v>
      </c>
      <c r="F13" s="7"/>
      <c r="G13" s="8"/>
      <c r="H13" s="7"/>
      <c r="I13" s="30" t="s">
        <v>40</v>
      </c>
      <c r="J13" s="7"/>
      <c r="K13" s="15">
        <v>0.9</v>
      </c>
      <c r="L13" s="7"/>
      <c r="M13" s="8"/>
      <c r="N13" s="7"/>
      <c r="O13" s="8"/>
      <c r="P13" s="7"/>
      <c r="Q13" s="7"/>
      <c r="R13" s="8"/>
      <c r="S13" s="7"/>
      <c r="T13" s="9"/>
      <c r="U13" s="7"/>
      <c r="V13" s="8"/>
      <c r="W13" s="7"/>
      <c r="X13" s="7"/>
      <c r="Y13" s="8"/>
      <c r="Z13" s="7"/>
      <c r="AA13" s="58"/>
      <c r="AB13" s="62" t="s">
        <v>37</v>
      </c>
      <c r="AC13" s="62" t="s">
        <v>195</v>
      </c>
    </row>
    <row r="14" spans="1:29" ht="13.5" thickBot="1">
      <c r="A14" s="65"/>
      <c r="B14" s="10" t="s">
        <v>914</v>
      </c>
      <c r="D14" s="52" t="s">
        <v>346</v>
      </c>
      <c r="E14" s="52" t="s">
        <v>459</v>
      </c>
      <c r="F14" s="7"/>
      <c r="G14" s="8"/>
      <c r="H14" s="7"/>
      <c r="I14" s="46" t="s">
        <v>226</v>
      </c>
      <c r="J14" s="7"/>
      <c r="K14" s="15">
        <v>1</v>
      </c>
      <c r="L14" s="7"/>
      <c r="M14" s="8"/>
      <c r="N14" s="7"/>
      <c r="O14" s="8"/>
      <c r="P14" s="7"/>
      <c r="Q14" s="7"/>
      <c r="R14" s="8"/>
      <c r="S14" s="7"/>
      <c r="T14" s="9"/>
      <c r="U14" s="7"/>
      <c r="V14" s="8"/>
      <c r="W14" s="7"/>
      <c r="X14" s="7"/>
      <c r="Y14" s="8"/>
      <c r="Z14" s="7"/>
      <c r="AA14" s="58"/>
      <c r="AB14" s="62" t="s">
        <v>37</v>
      </c>
      <c r="AC14" s="62" t="s">
        <v>146</v>
      </c>
    </row>
    <row r="15" spans="1:29" ht="13.5" thickBot="1">
      <c r="A15" s="65"/>
      <c r="B15" s="10" t="s">
        <v>915</v>
      </c>
      <c r="D15" s="52" t="s">
        <v>310</v>
      </c>
      <c r="E15" s="52" t="s">
        <v>436</v>
      </c>
      <c r="F15" s="7"/>
      <c r="G15" s="8"/>
      <c r="H15" s="7"/>
      <c r="I15" s="30" t="s">
        <v>292</v>
      </c>
      <c r="J15" s="7"/>
      <c r="K15" s="8"/>
      <c r="L15" s="7"/>
      <c r="M15" s="8"/>
      <c r="N15" s="7"/>
      <c r="O15" s="8"/>
      <c r="P15" s="7"/>
      <c r="Q15" s="7"/>
      <c r="R15" s="8"/>
      <c r="S15" s="7"/>
      <c r="T15" s="9"/>
      <c r="U15" s="7"/>
      <c r="V15" s="8"/>
      <c r="W15" s="7"/>
      <c r="X15" s="7"/>
      <c r="Y15" s="8"/>
      <c r="Z15" s="7"/>
      <c r="AA15" s="58"/>
      <c r="AB15" s="62" t="s">
        <v>37</v>
      </c>
      <c r="AC15" s="62" t="s">
        <v>148</v>
      </c>
    </row>
    <row r="16" spans="1:29" ht="13.5" thickBot="1">
      <c r="B16" s="10" t="s">
        <v>916</v>
      </c>
      <c r="D16" s="52" t="s">
        <v>806</v>
      </c>
      <c r="E16" s="52" t="s">
        <v>437</v>
      </c>
      <c r="F16" s="7"/>
      <c r="G16" s="8"/>
      <c r="H16" s="7"/>
      <c r="I16" s="30" t="s">
        <v>518</v>
      </c>
      <c r="J16" s="7"/>
      <c r="K16" s="8"/>
      <c r="L16" s="7"/>
      <c r="M16" s="8"/>
      <c r="N16" s="7"/>
      <c r="O16" s="8"/>
      <c r="P16" s="7"/>
      <c r="Q16" s="7"/>
      <c r="R16" s="8"/>
      <c r="S16" s="7"/>
      <c r="T16" s="9"/>
      <c r="U16" s="7"/>
      <c r="V16" s="8"/>
      <c r="W16" s="7"/>
      <c r="X16" s="7"/>
      <c r="Y16" s="8"/>
      <c r="Z16" s="7"/>
      <c r="AA16" s="58"/>
      <c r="AB16" s="62" t="s">
        <v>37</v>
      </c>
      <c r="AC16" s="62" t="s">
        <v>587</v>
      </c>
    </row>
    <row r="17" spans="1:29" ht="13.5" thickBot="1">
      <c r="B17" s="10" t="s">
        <v>369</v>
      </c>
      <c r="D17" s="52" t="s">
        <v>38</v>
      </c>
      <c r="E17" s="52" t="s">
        <v>425</v>
      </c>
      <c r="F17" s="7"/>
      <c r="G17" s="8"/>
      <c r="H17" s="7"/>
      <c r="I17" s="30" t="s">
        <v>285</v>
      </c>
      <c r="J17" s="7"/>
      <c r="K17" s="8"/>
      <c r="L17" s="7"/>
      <c r="M17" s="8"/>
      <c r="N17" s="7"/>
      <c r="O17" s="8"/>
      <c r="P17" s="7"/>
      <c r="Q17" s="7"/>
      <c r="R17" s="8"/>
      <c r="S17" s="7"/>
      <c r="T17" s="9"/>
      <c r="U17" s="7"/>
      <c r="V17" s="8"/>
      <c r="W17" s="7"/>
      <c r="X17" s="7"/>
      <c r="Y17" s="8"/>
      <c r="Z17" s="7"/>
      <c r="AA17" s="58"/>
      <c r="AB17" s="62" t="s">
        <v>37</v>
      </c>
      <c r="AC17" s="62" t="s">
        <v>801</v>
      </c>
    </row>
    <row r="18" spans="1:29" ht="13.5" thickBot="1">
      <c r="A18" s="65"/>
      <c r="B18" s="10" t="s">
        <v>918</v>
      </c>
      <c r="D18" s="52" t="s">
        <v>522</v>
      </c>
      <c r="E18" s="52" t="s">
        <v>505</v>
      </c>
      <c r="F18" s="7"/>
      <c r="G18" s="8"/>
      <c r="H18" s="7"/>
      <c r="I18" s="30" t="s">
        <v>278</v>
      </c>
      <c r="J18" s="7"/>
      <c r="K18" s="8"/>
      <c r="L18" s="7"/>
      <c r="M18" s="8"/>
      <c r="N18" s="7"/>
      <c r="O18" s="8"/>
      <c r="P18" s="7"/>
      <c r="Q18" s="7"/>
      <c r="R18" s="8"/>
      <c r="S18" s="7"/>
      <c r="T18" s="9"/>
      <c r="U18" s="7"/>
      <c r="V18" s="8"/>
      <c r="W18" s="7"/>
      <c r="X18" s="7"/>
      <c r="Y18" s="8"/>
      <c r="Z18" s="7"/>
      <c r="AA18" s="58"/>
      <c r="AB18" s="62" t="s">
        <v>37</v>
      </c>
      <c r="AC18" s="62" t="s">
        <v>806</v>
      </c>
    </row>
    <row r="19" spans="1:29" ht="13.5" thickBot="1">
      <c r="B19" s="421" t="s">
        <v>2161</v>
      </c>
      <c r="D19" s="52" t="s">
        <v>312</v>
      </c>
      <c r="E19" s="52" t="s">
        <v>504</v>
      </c>
      <c r="F19" s="7"/>
      <c r="G19" s="8"/>
      <c r="H19" s="7"/>
      <c r="I19" s="30" t="s">
        <v>314</v>
      </c>
      <c r="J19" s="7"/>
      <c r="K19" s="8"/>
      <c r="L19" s="7"/>
      <c r="M19" s="8"/>
      <c r="N19" s="7"/>
      <c r="O19" s="8"/>
      <c r="P19" s="7"/>
      <c r="Q19" s="7"/>
      <c r="R19" s="8"/>
      <c r="S19" s="7"/>
      <c r="T19" s="9"/>
      <c r="U19" s="7"/>
      <c r="V19" s="8"/>
      <c r="W19" s="7"/>
      <c r="X19" s="7"/>
      <c r="Y19" s="8"/>
      <c r="Z19" s="7"/>
      <c r="AA19" s="58"/>
      <c r="AB19" s="62" t="s">
        <v>37</v>
      </c>
      <c r="AC19" s="62" t="s">
        <v>1025</v>
      </c>
    </row>
    <row r="20" spans="1:29" ht="13.5" thickBot="1">
      <c r="B20" s="10" t="s">
        <v>919</v>
      </c>
      <c r="D20" s="52" t="s">
        <v>318</v>
      </c>
      <c r="E20" s="52" t="s">
        <v>491</v>
      </c>
      <c r="F20" s="7"/>
      <c r="G20" s="8"/>
      <c r="H20" s="7"/>
      <c r="I20" s="30" t="s">
        <v>321</v>
      </c>
      <c r="J20" s="7"/>
      <c r="K20" s="8"/>
      <c r="L20" s="7"/>
      <c r="M20" s="8"/>
      <c r="N20" s="7"/>
      <c r="O20" s="8"/>
      <c r="P20" s="7"/>
      <c r="Q20" s="7"/>
      <c r="R20" s="8"/>
      <c r="S20" s="7"/>
      <c r="T20" s="9"/>
      <c r="U20" s="7"/>
      <c r="V20" s="8"/>
      <c r="W20" s="7"/>
      <c r="X20" s="7"/>
      <c r="Y20" s="8"/>
      <c r="Z20" s="7"/>
      <c r="AA20" s="58"/>
      <c r="AB20" s="62" t="s">
        <v>37</v>
      </c>
      <c r="AC20" s="62" t="s">
        <v>38</v>
      </c>
    </row>
    <row r="21" spans="1:29" ht="13.5" thickBot="1">
      <c r="B21" s="10" t="s">
        <v>141</v>
      </c>
      <c r="D21" s="52" t="s">
        <v>152</v>
      </c>
      <c r="E21" s="52" t="s">
        <v>456</v>
      </c>
      <c r="F21" s="7"/>
      <c r="G21" s="8"/>
      <c r="H21" s="7"/>
      <c r="I21" s="40" t="s">
        <v>922</v>
      </c>
      <c r="J21" s="7"/>
      <c r="K21" s="8"/>
      <c r="L21" s="7"/>
      <c r="M21" s="8"/>
      <c r="N21" s="7"/>
      <c r="O21" s="8"/>
      <c r="P21" s="7"/>
      <c r="Q21" s="7"/>
      <c r="R21" s="8"/>
      <c r="S21" s="7"/>
      <c r="T21" s="9"/>
      <c r="U21" s="7"/>
      <c r="V21" s="8"/>
      <c r="W21" s="7"/>
      <c r="X21" s="7"/>
      <c r="Y21" s="8"/>
      <c r="Z21" s="7"/>
      <c r="AA21" s="58"/>
      <c r="AB21" s="62" t="s">
        <v>37</v>
      </c>
      <c r="AC21" s="62" t="s">
        <v>152</v>
      </c>
    </row>
    <row r="22" spans="1:29" ht="13.5" thickBot="1">
      <c r="B22" s="10" t="s">
        <v>36</v>
      </c>
      <c r="D22" s="52" t="s">
        <v>157</v>
      </c>
      <c r="E22" s="52" t="s">
        <v>432</v>
      </c>
      <c r="F22" s="7"/>
      <c r="G22" s="8"/>
      <c r="H22" s="7"/>
      <c r="I22" s="40" t="s">
        <v>924</v>
      </c>
      <c r="J22" s="7"/>
      <c r="K22" s="8"/>
      <c r="L22" s="7"/>
      <c r="M22" s="8"/>
      <c r="N22" s="7"/>
      <c r="O22" s="8"/>
      <c r="P22" s="7"/>
      <c r="Q22" s="7"/>
      <c r="R22" s="8"/>
      <c r="S22" s="7"/>
      <c r="T22" s="9"/>
      <c r="U22" s="7"/>
      <c r="V22" s="8"/>
      <c r="W22" s="7"/>
      <c r="X22" s="7"/>
      <c r="Y22" s="8"/>
      <c r="Z22" s="7"/>
      <c r="AA22" s="58"/>
      <c r="AB22" s="62" t="s">
        <v>37</v>
      </c>
      <c r="AC22" s="62" t="s">
        <v>157</v>
      </c>
    </row>
    <row r="23" spans="1:29" ht="13.5" thickBot="1">
      <c r="B23" s="10" t="s">
        <v>921</v>
      </c>
      <c r="D23" s="52" t="s">
        <v>205</v>
      </c>
      <c r="E23" s="52" t="s">
        <v>501</v>
      </c>
      <c r="F23" s="7"/>
      <c r="G23" s="8"/>
      <c r="H23" s="7"/>
      <c r="I23" s="422" t="s">
        <v>331</v>
      </c>
      <c r="J23" s="7"/>
      <c r="K23" s="8"/>
      <c r="L23" s="7"/>
      <c r="M23" s="8"/>
      <c r="N23" s="7"/>
      <c r="O23" s="8"/>
      <c r="P23" s="7"/>
      <c r="Q23" s="7"/>
      <c r="R23" s="8"/>
      <c r="S23" s="7"/>
      <c r="T23" s="9"/>
      <c r="U23" s="7"/>
      <c r="V23" s="8"/>
      <c r="W23" s="7"/>
      <c r="X23" s="7"/>
      <c r="Y23" s="8"/>
      <c r="Z23" s="7"/>
      <c r="AA23" s="58"/>
      <c r="AB23" s="62" t="s">
        <v>37</v>
      </c>
      <c r="AC23" s="62" t="s">
        <v>205</v>
      </c>
    </row>
    <row r="24" spans="1:29" ht="13.5" thickBot="1">
      <c r="B24" s="10" t="s">
        <v>923</v>
      </c>
      <c r="D24" s="52" t="s">
        <v>397</v>
      </c>
      <c r="E24" s="52" t="s">
        <v>484</v>
      </c>
      <c r="F24" s="7"/>
      <c r="G24" s="8"/>
      <c r="H24" s="7"/>
      <c r="I24" s="422" t="s">
        <v>521</v>
      </c>
      <c r="J24" s="7"/>
      <c r="K24" s="8"/>
      <c r="L24" s="7"/>
      <c r="M24" s="8"/>
      <c r="N24" s="7"/>
      <c r="O24" s="8"/>
      <c r="P24" s="7"/>
      <c r="Q24" s="7"/>
      <c r="R24" s="8"/>
      <c r="S24" s="7"/>
      <c r="T24" s="9"/>
      <c r="U24" s="7"/>
      <c r="V24" s="8"/>
      <c r="W24" s="7"/>
      <c r="X24" s="7"/>
      <c r="Y24" s="8"/>
      <c r="Z24" s="7"/>
      <c r="AA24" s="58"/>
      <c r="AB24" s="62" t="s">
        <v>37</v>
      </c>
      <c r="AC24" s="62" t="s">
        <v>159</v>
      </c>
    </row>
    <row r="25" spans="1:29" ht="13.5" thickBot="1">
      <c r="B25" s="10" t="s">
        <v>925</v>
      </c>
      <c r="D25" s="52" t="s">
        <v>525</v>
      </c>
      <c r="E25" s="52" t="s">
        <v>481</v>
      </c>
      <c r="F25" s="7"/>
      <c r="G25" s="8"/>
      <c r="H25" s="7"/>
      <c r="I25" s="40" t="s">
        <v>928</v>
      </c>
      <c r="J25" s="7"/>
      <c r="K25" s="8"/>
      <c r="L25" s="7"/>
      <c r="M25" s="8"/>
      <c r="N25" s="7"/>
      <c r="O25" s="8"/>
      <c r="P25" s="7"/>
      <c r="Q25" s="7"/>
      <c r="R25" s="8"/>
      <c r="S25" s="7"/>
      <c r="T25" s="9"/>
      <c r="U25" s="7"/>
      <c r="V25" s="8"/>
      <c r="W25" s="7"/>
      <c r="X25" s="7"/>
      <c r="Y25" s="8"/>
      <c r="Z25" s="7"/>
      <c r="AA25" s="58"/>
      <c r="AB25" s="62" t="s">
        <v>37</v>
      </c>
      <c r="AC25" s="62" t="s">
        <v>917</v>
      </c>
    </row>
    <row r="26" spans="1:29" ht="13.5" thickBot="1">
      <c r="B26" s="10" t="s">
        <v>926</v>
      </c>
      <c r="D26" s="52" t="s">
        <v>359</v>
      </c>
      <c r="E26" s="52" t="s">
        <v>478</v>
      </c>
      <c r="F26" s="7"/>
      <c r="G26" s="8"/>
      <c r="H26" s="7"/>
      <c r="I26" s="30" t="s">
        <v>392</v>
      </c>
      <c r="J26" s="7"/>
      <c r="K26" s="8"/>
      <c r="L26" s="7"/>
      <c r="M26" s="8"/>
      <c r="N26" s="7"/>
      <c r="O26" s="8"/>
      <c r="P26" s="7"/>
      <c r="Q26" s="7"/>
      <c r="R26" s="8"/>
      <c r="S26" s="7"/>
      <c r="T26" s="9"/>
      <c r="U26" s="7"/>
      <c r="V26" s="8"/>
      <c r="W26" s="7"/>
      <c r="X26" s="7"/>
      <c r="Y26" s="8"/>
      <c r="Z26" s="7"/>
      <c r="AA26" s="58"/>
      <c r="AB26" s="62" t="s">
        <v>37</v>
      </c>
      <c r="AC26" s="62" t="s">
        <v>173</v>
      </c>
    </row>
    <row r="27" spans="1:29" ht="13.5" thickBot="1">
      <c r="B27" s="10" t="s">
        <v>303</v>
      </c>
      <c r="D27" s="52" t="s">
        <v>159</v>
      </c>
      <c r="E27" s="52" t="s">
        <v>428</v>
      </c>
      <c r="F27" s="7"/>
      <c r="G27" s="8"/>
      <c r="H27" s="7"/>
      <c r="I27" s="30" t="s">
        <v>334</v>
      </c>
      <c r="J27" s="7"/>
      <c r="K27" s="8"/>
      <c r="L27" s="7"/>
      <c r="M27" s="8"/>
      <c r="N27" s="7"/>
      <c r="O27" s="8"/>
      <c r="P27" s="7"/>
      <c r="Q27" s="7"/>
      <c r="R27" s="8"/>
      <c r="S27" s="7"/>
      <c r="T27" s="9"/>
      <c r="U27" s="7"/>
      <c r="V27" s="8"/>
      <c r="W27" s="7"/>
      <c r="X27" s="7"/>
      <c r="Y27" s="8"/>
      <c r="Z27" s="7"/>
      <c r="AA27" s="58"/>
      <c r="AB27" s="62" t="s">
        <v>37</v>
      </c>
      <c r="AC27" s="62" t="s">
        <v>214</v>
      </c>
    </row>
    <row r="28" spans="1:29" ht="13.5" thickBot="1">
      <c r="B28" s="10" t="s">
        <v>315</v>
      </c>
      <c r="D28" s="52" t="s">
        <v>516</v>
      </c>
      <c r="E28" s="52" t="s">
        <v>458</v>
      </c>
      <c r="F28" s="7"/>
      <c r="G28" s="8"/>
      <c r="H28" s="7"/>
      <c r="I28" s="30" t="s">
        <v>306</v>
      </c>
      <c r="J28" s="7"/>
      <c r="K28" s="8"/>
      <c r="L28" s="7"/>
      <c r="M28" s="8"/>
      <c r="N28" s="7"/>
      <c r="O28" s="8"/>
      <c r="P28" s="7"/>
      <c r="Q28" s="7"/>
      <c r="R28" s="8"/>
      <c r="S28" s="7"/>
      <c r="T28" s="9"/>
      <c r="U28" s="7"/>
      <c r="V28" s="8"/>
      <c r="W28" s="7"/>
      <c r="X28" s="7"/>
      <c r="Y28" s="8"/>
      <c r="Z28" s="7"/>
      <c r="AA28" s="58"/>
      <c r="AB28" s="62" t="s">
        <v>37</v>
      </c>
      <c r="AC28" s="62" t="s">
        <v>184</v>
      </c>
    </row>
    <row r="29" spans="1:29" ht="13.5" thickBot="1">
      <c r="B29" s="10" t="s">
        <v>929</v>
      </c>
      <c r="C29" s="65"/>
      <c r="D29" s="52" t="s">
        <v>536</v>
      </c>
      <c r="E29" s="52" t="s">
        <v>464</v>
      </c>
      <c r="F29" s="7"/>
      <c r="G29" s="8"/>
      <c r="H29" s="7"/>
      <c r="I29" s="30" t="s">
        <v>299</v>
      </c>
      <c r="J29" s="7"/>
      <c r="K29" s="8"/>
      <c r="L29" s="7"/>
      <c r="M29" s="8"/>
      <c r="N29" s="7"/>
      <c r="O29" s="8"/>
      <c r="P29" s="7"/>
      <c r="Q29" s="7"/>
      <c r="R29" s="8"/>
      <c r="S29" s="7"/>
      <c r="T29" s="9"/>
      <c r="U29" s="7"/>
      <c r="V29" s="8"/>
      <c r="W29" s="7"/>
      <c r="X29" s="7"/>
      <c r="Y29" s="8"/>
      <c r="Z29" s="7"/>
      <c r="AA29" s="58"/>
      <c r="AB29" s="62" t="s">
        <v>37</v>
      </c>
      <c r="AC29" s="62" t="s">
        <v>863</v>
      </c>
    </row>
    <row r="30" spans="1:29" ht="13.5" thickBot="1">
      <c r="B30" s="10" t="s">
        <v>930</v>
      </c>
      <c r="D30" s="52" t="s">
        <v>853</v>
      </c>
      <c r="E30" s="52" t="s">
        <v>496</v>
      </c>
      <c r="F30" s="7"/>
      <c r="G30" s="8"/>
      <c r="H30" s="7"/>
      <c r="I30" s="40" t="s">
        <v>932</v>
      </c>
      <c r="J30" s="7"/>
      <c r="K30" s="8"/>
      <c r="L30" s="7"/>
      <c r="M30" s="8"/>
      <c r="N30" s="7"/>
      <c r="O30" s="8"/>
      <c r="P30" s="7"/>
      <c r="Q30" s="7"/>
      <c r="R30" s="8"/>
      <c r="S30" s="7"/>
      <c r="T30" s="9"/>
      <c r="U30" s="7"/>
      <c r="V30" s="8"/>
      <c r="W30" s="7"/>
      <c r="X30" s="7"/>
      <c r="Y30" s="8"/>
      <c r="Z30" s="7"/>
      <c r="AA30" s="58"/>
      <c r="AB30" s="62" t="s">
        <v>37</v>
      </c>
      <c r="AC30" s="62" t="s">
        <v>920</v>
      </c>
    </row>
    <row r="31" spans="1:29" ht="13.5" thickBot="1">
      <c r="B31" s="10" t="s">
        <v>192</v>
      </c>
      <c r="D31" s="52" t="s">
        <v>362</v>
      </c>
      <c r="E31" s="52" t="s">
        <v>497</v>
      </c>
      <c r="F31" s="7"/>
      <c r="G31" s="8"/>
      <c r="H31" s="7"/>
      <c r="I31" s="422" t="s">
        <v>244</v>
      </c>
      <c r="J31" s="7"/>
      <c r="K31" s="8"/>
      <c r="L31" s="7"/>
      <c r="M31" s="8"/>
      <c r="N31" s="7"/>
      <c r="O31" s="8"/>
      <c r="P31" s="7"/>
      <c r="Q31" s="7"/>
      <c r="R31" s="8"/>
      <c r="S31" s="7"/>
      <c r="T31" s="9"/>
      <c r="U31" s="7"/>
      <c r="V31" s="8"/>
      <c r="W31" s="7"/>
      <c r="X31" s="7"/>
      <c r="Y31" s="8"/>
      <c r="Z31" s="7"/>
      <c r="AA31" s="58"/>
      <c r="AB31" s="62" t="s">
        <v>37</v>
      </c>
      <c r="AC31" s="62" t="s">
        <v>142</v>
      </c>
    </row>
    <row r="32" spans="1:29" ht="13.5" thickBot="1">
      <c r="B32" s="10" t="s">
        <v>931</v>
      </c>
      <c r="D32" s="52" t="s">
        <v>388</v>
      </c>
      <c r="E32" s="52" t="s">
        <v>681</v>
      </c>
      <c r="F32" s="7"/>
      <c r="G32" s="8"/>
      <c r="H32" s="7"/>
      <c r="I32" s="30" t="s">
        <v>539</v>
      </c>
      <c r="J32" s="7"/>
      <c r="K32" s="8"/>
      <c r="L32" s="7"/>
      <c r="M32" s="8"/>
      <c r="N32" s="7"/>
      <c r="O32" s="8"/>
      <c r="P32" s="7"/>
      <c r="Q32" s="7"/>
      <c r="R32" s="8"/>
      <c r="S32" s="7"/>
      <c r="T32" s="9"/>
      <c r="U32" s="7"/>
      <c r="V32" s="8"/>
      <c r="W32" s="7"/>
      <c r="X32" s="7"/>
      <c r="Y32" s="8"/>
      <c r="Z32" s="7"/>
      <c r="AA32" s="58"/>
      <c r="AB32" s="62" t="s">
        <v>2092</v>
      </c>
      <c r="AC32" s="62" t="s">
        <v>324</v>
      </c>
    </row>
    <row r="33" spans="2:29" ht="13.5" thickBot="1">
      <c r="B33" s="10" t="s">
        <v>934</v>
      </c>
      <c r="D33" s="52" t="s">
        <v>173</v>
      </c>
      <c r="E33" s="52" t="s">
        <v>427</v>
      </c>
      <c r="F33" s="7"/>
      <c r="G33" s="8"/>
      <c r="H33" s="7"/>
      <c r="I33" s="18" t="s">
        <v>297</v>
      </c>
      <c r="J33" s="7"/>
      <c r="K33" s="8"/>
      <c r="L33" s="7"/>
      <c r="M33" s="8"/>
      <c r="N33" s="7"/>
      <c r="O33" s="8"/>
      <c r="P33" s="7"/>
      <c r="Q33" s="7"/>
      <c r="R33" s="8"/>
      <c r="S33" s="7"/>
      <c r="T33" s="9"/>
      <c r="U33" s="7"/>
      <c r="V33" s="8"/>
      <c r="W33" s="7"/>
      <c r="X33" s="7"/>
      <c r="Y33" s="8"/>
      <c r="Z33" s="7"/>
      <c r="AA33" s="58"/>
      <c r="AB33" s="62" t="s">
        <v>2092</v>
      </c>
      <c r="AC33" s="62" t="s">
        <v>312</v>
      </c>
    </row>
    <row r="34" spans="2:29" ht="13.5" thickBot="1">
      <c r="B34" s="10" t="s">
        <v>935</v>
      </c>
      <c r="D34" s="52" t="s">
        <v>344</v>
      </c>
      <c r="E34" s="52" t="s">
        <v>502</v>
      </c>
      <c r="F34" s="7"/>
      <c r="G34" s="8"/>
      <c r="H34" s="7"/>
      <c r="I34" s="18" t="s">
        <v>1293</v>
      </c>
      <c r="J34" s="7"/>
      <c r="K34" s="8"/>
      <c r="L34" s="7"/>
      <c r="M34" s="8"/>
      <c r="N34" s="7"/>
      <c r="O34" s="8"/>
      <c r="P34" s="7"/>
      <c r="Q34" s="7"/>
      <c r="R34" s="8"/>
      <c r="S34" s="7"/>
      <c r="T34" s="9"/>
      <c r="U34" s="7"/>
      <c r="V34" s="8"/>
      <c r="W34" s="7"/>
      <c r="X34" s="7"/>
      <c r="Y34" s="8"/>
      <c r="Z34" s="7"/>
      <c r="AA34" s="58"/>
      <c r="AB34" s="62" t="s">
        <v>2092</v>
      </c>
      <c r="AC34" s="62" t="s">
        <v>333</v>
      </c>
    </row>
    <row r="35" spans="2:29" ht="13.5" thickBot="1">
      <c r="B35" s="10" t="s">
        <v>1495</v>
      </c>
      <c r="D35" s="52" t="s">
        <v>333</v>
      </c>
      <c r="E35" s="52" t="s">
        <v>483</v>
      </c>
      <c r="F35" s="7"/>
      <c r="G35" s="8"/>
      <c r="H35" s="7"/>
      <c r="I35" s="30" t="s">
        <v>1474</v>
      </c>
      <c r="J35" s="7"/>
      <c r="K35" s="8"/>
      <c r="L35" s="7"/>
      <c r="M35" s="8"/>
      <c r="N35" s="7"/>
      <c r="O35" s="8"/>
      <c r="P35" s="7"/>
      <c r="Q35" s="7"/>
      <c r="R35" s="8"/>
      <c r="S35" s="7"/>
      <c r="T35" s="9"/>
      <c r="U35" s="7"/>
      <c r="V35" s="8"/>
      <c r="W35" s="7"/>
      <c r="X35" s="7"/>
      <c r="Y35" s="8"/>
      <c r="Z35" s="7"/>
      <c r="AA35" s="58"/>
      <c r="AB35" s="62" t="s">
        <v>304</v>
      </c>
      <c r="AC35" s="62" t="s">
        <v>327</v>
      </c>
    </row>
    <row r="36" spans="2:29" ht="13.5" thickBot="1">
      <c r="B36" s="10" t="s">
        <v>936</v>
      </c>
      <c r="D36" s="52" t="s">
        <v>214</v>
      </c>
      <c r="E36" s="52" t="s">
        <v>499</v>
      </c>
      <c r="F36" s="7"/>
      <c r="G36" s="8"/>
      <c r="H36" s="7"/>
      <c r="I36" s="30" t="s">
        <v>144</v>
      </c>
      <c r="J36" s="7"/>
      <c r="K36" s="8"/>
      <c r="L36" s="7"/>
      <c r="M36" s="8"/>
      <c r="N36" s="7"/>
      <c r="O36" s="8"/>
      <c r="P36" s="7"/>
      <c r="Q36" s="7"/>
      <c r="R36" s="8"/>
      <c r="S36" s="7"/>
      <c r="T36" s="9"/>
      <c r="U36" s="7"/>
      <c r="V36" s="8"/>
      <c r="W36" s="7"/>
      <c r="X36" s="7"/>
      <c r="Y36" s="8"/>
      <c r="Z36" s="7"/>
      <c r="AA36" s="58"/>
      <c r="AB36" s="62" t="s">
        <v>304</v>
      </c>
      <c r="AC36" s="62" t="s">
        <v>927</v>
      </c>
    </row>
    <row r="37" spans="2:29" ht="13.5" thickBot="1">
      <c r="B37" s="10" t="s">
        <v>357</v>
      </c>
      <c r="D37" s="52" t="s">
        <v>305</v>
      </c>
      <c r="E37" s="52" t="s">
        <v>448</v>
      </c>
      <c r="F37" s="7"/>
      <c r="G37" s="8"/>
      <c r="H37" s="7"/>
      <c r="I37" s="30" t="s">
        <v>1474</v>
      </c>
      <c r="J37" s="7"/>
      <c r="K37" s="8"/>
      <c r="L37" s="7"/>
      <c r="M37" s="8"/>
      <c r="N37" s="7"/>
      <c r="O37" s="8"/>
      <c r="P37" s="7"/>
      <c r="Q37" s="7"/>
      <c r="R37" s="8"/>
      <c r="S37" s="7"/>
      <c r="T37" s="9"/>
      <c r="U37" s="7"/>
      <c r="V37" s="8"/>
      <c r="W37" s="7"/>
      <c r="X37" s="7"/>
      <c r="Y37" s="8"/>
      <c r="Z37" s="7"/>
      <c r="AA37" s="58"/>
      <c r="AB37" s="62" t="s">
        <v>304</v>
      </c>
      <c r="AC37" s="62" t="s">
        <v>933</v>
      </c>
    </row>
    <row r="38" spans="2:29" ht="13.5" thickBot="1">
      <c r="B38" s="10" t="s">
        <v>937</v>
      </c>
      <c r="D38" s="52" t="s">
        <v>184</v>
      </c>
      <c r="E38" s="52" t="s">
        <v>476</v>
      </c>
      <c r="F38" s="7"/>
      <c r="G38" s="8"/>
      <c r="H38" s="7"/>
      <c r="I38" s="40" t="s">
        <v>605</v>
      </c>
      <c r="J38" s="7"/>
      <c r="K38" s="8"/>
      <c r="L38" s="7"/>
      <c r="M38" s="8"/>
      <c r="N38" s="7"/>
      <c r="O38" s="8"/>
      <c r="P38" s="7"/>
      <c r="Q38" s="7"/>
      <c r="R38" s="8"/>
      <c r="S38" s="7"/>
      <c r="T38" s="9"/>
      <c r="U38" s="7"/>
      <c r="V38" s="8"/>
      <c r="W38" s="7"/>
      <c r="X38" s="7"/>
      <c r="Y38" s="8"/>
      <c r="Z38" s="7"/>
      <c r="AA38" s="58"/>
      <c r="AB38" s="62" t="s">
        <v>304</v>
      </c>
      <c r="AC38" s="62" t="s">
        <v>938</v>
      </c>
    </row>
    <row r="39" spans="2:29" ht="13.5" thickBot="1">
      <c r="B39" s="10" t="s">
        <v>309</v>
      </c>
      <c r="D39" s="52" t="s">
        <v>142</v>
      </c>
      <c r="E39" s="52" t="s">
        <v>941</v>
      </c>
      <c r="F39" s="7"/>
      <c r="G39" s="8"/>
      <c r="H39" s="7"/>
      <c r="I39" s="422" t="s">
        <v>241</v>
      </c>
      <c r="J39" s="7"/>
      <c r="K39" s="8"/>
      <c r="L39" s="7"/>
      <c r="M39" s="8"/>
      <c r="N39" s="7"/>
      <c r="O39" s="8"/>
      <c r="P39" s="7"/>
      <c r="Q39" s="7"/>
      <c r="R39" s="8"/>
      <c r="S39" s="7"/>
      <c r="T39" s="9"/>
      <c r="U39" s="7"/>
      <c r="V39" s="8"/>
      <c r="W39" s="7"/>
      <c r="X39" s="7"/>
      <c r="Y39" s="8"/>
      <c r="Z39" s="7"/>
      <c r="AA39" s="58"/>
      <c r="AB39" s="62" t="s">
        <v>304</v>
      </c>
      <c r="AC39" s="62" t="s">
        <v>940</v>
      </c>
    </row>
    <row r="40" spans="2:29" ht="13.5" thickBot="1">
      <c r="B40" s="421" t="s">
        <v>939</v>
      </c>
      <c r="D40" s="52"/>
      <c r="E40" s="52" t="s">
        <v>489</v>
      </c>
      <c r="F40" s="7"/>
      <c r="G40" s="8"/>
      <c r="H40" s="7"/>
      <c r="I40" s="30" t="s">
        <v>246</v>
      </c>
      <c r="J40" s="7"/>
      <c r="K40" s="8"/>
      <c r="L40" s="7"/>
      <c r="M40" s="8"/>
      <c r="N40" s="7"/>
      <c r="O40" s="8"/>
      <c r="P40" s="7"/>
      <c r="Q40" s="7"/>
      <c r="R40" s="8"/>
      <c r="S40" s="7"/>
      <c r="T40" s="9"/>
      <c r="U40" s="7"/>
      <c r="V40" s="8"/>
      <c r="W40" s="7"/>
      <c r="X40" s="7"/>
      <c r="Y40" s="8"/>
      <c r="Z40" s="7"/>
      <c r="AA40" s="58"/>
      <c r="AB40" s="62" t="s">
        <v>515</v>
      </c>
      <c r="AC40" s="62" t="s">
        <v>942</v>
      </c>
    </row>
    <row r="41" spans="2:29" ht="13.5" thickBot="1">
      <c r="B41" s="10" t="s">
        <v>355</v>
      </c>
      <c r="D41" s="52"/>
      <c r="E41" s="52" t="s">
        <v>494</v>
      </c>
      <c r="F41" s="7"/>
      <c r="G41" s="8"/>
      <c r="H41" s="7"/>
      <c r="I41" s="30" t="s">
        <v>194</v>
      </c>
      <c r="J41" s="7"/>
      <c r="K41" s="8"/>
      <c r="L41" s="7"/>
      <c r="M41" s="8"/>
      <c r="N41" s="7"/>
      <c r="O41" s="8"/>
      <c r="P41" s="7"/>
      <c r="Q41" s="7"/>
      <c r="R41" s="8"/>
      <c r="S41" s="7"/>
      <c r="T41" s="9"/>
      <c r="U41" s="7"/>
      <c r="V41" s="8"/>
      <c r="W41" s="7"/>
      <c r="X41" s="7"/>
      <c r="Y41" s="8"/>
      <c r="Z41" s="7"/>
      <c r="AA41" s="58"/>
      <c r="AB41" s="62" t="s">
        <v>515</v>
      </c>
      <c r="AC41" s="62" t="s">
        <v>944</v>
      </c>
    </row>
    <row r="42" spans="2:29" ht="13.5" thickBot="1">
      <c r="B42" s="10" t="s">
        <v>943</v>
      </c>
      <c r="D42" s="52"/>
      <c r="E42" s="52" t="s">
        <v>460</v>
      </c>
      <c r="F42" s="7"/>
      <c r="G42" s="8"/>
      <c r="H42" s="7"/>
      <c r="I42" s="30" t="s">
        <v>199</v>
      </c>
      <c r="J42" s="7"/>
      <c r="K42" s="8"/>
      <c r="L42" s="7"/>
      <c r="M42" s="8"/>
      <c r="N42" s="7"/>
      <c r="O42" s="8"/>
      <c r="P42" s="7"/>
      <c r="Q42" s="7"/>
      <c r="R42" s="8"/>
      <c r="S42" s="7"/>
      <c r="T42" s="9"/>
      <c r="U42" s="7"/>
      <c r="V42" s="8"/>
      <c r="W42" s="7"/>
      <c r="X42" s="7"/>
      <c r="Y42" s="8"/>
      <c r="Z42" s="7"/>
      <c r="AA42" s="58"/>
      <c r="AB42" s="62" t="s">
        <v>515</v>
      </c>
      <c r="AC42" s="62" t="s">
        <v>946</v>
      </c>
    </row>
    <row r="43" spans="2:29" ht="13.5" thickBot="1">
      <c r="B43" s="10" t="s">
        <v>945</v>
      </c>
      <c r="D43" s="52"/>
      <c r="E43" s="52" t="s">
        <v>434</v>
      </c>
      <c r="F43" s="7"/>
      <c r="G43" s="8"/>
      <c r="H43" s="7"/>
      <c r="I43" s="30" t="s">
        <v>208</v>
      </c>
      <c r="J43" s="7"/>
      <c r="K43" s="8"/>
      <c r="L43" s="7"/>
      <c r="M43" s="8"/>
      <c r="N43" s="7"/>
      <c r="O43" s="8"/>
      <c r="P43" s="7"/>
      <c r="Q43" s="7"/>
      <c r="R43" s="8"/>
      <c r="S43" s="7"/>
      <c r="T43" s="9"/>
      <c r="U43" s="7"/>
      <c r="V43" s="8"/>
      <c r="W43" s="7"/>
      <c r="X43" s="7"/>
      <c r="Y43" s="8"/>
      <c r="Z43" s="7"/>
      <c r="AA43" s="58"/>
      <c r="AB43" s="62" t="s">
        <v>515</v>
      </c>
      <c r="AC43" s="62" t="s">
        <v>948</v>
      </c>
    </row>
    <row r="44" spans="2:29" ht="13.5" thickBot="1">
      <c r="B44" s="364" t="s">
        <v>1757</v>
      </c>
      <c r="D44" s="52"/>
      <c r="E44" s="52" t="s">
        <v>498</v>
      </c>
      <c r="F44" s="7"/>
      <c r="G44" s="8"/>
      <c r="H44" s="7"/>
      <c r="I44" s="30" t="s">
        <v>529</v>
      </c>
      <c r="J44" s="7"/>
      <c r="K44" s="8"/>
      <c r="L44" s="7"/>
      <c r="M44" s="8"/>
      <c r="N44" s="7"/>
      <c r="O44" s="8"/>
      <c r="P44" s="7"/>
      <c r="Q44" s="7"/>
      <c r="R44" s="8"/>
      <c r="S44" s="7"/>
      <c r="T44" s="9"/>
      <c r="U44" s="7"/>
      <c r="V44" s="8"/>
      <c r="W44" s="7"/>
      <c r="X44" s="7"/>
      <c r="Y44" s="8"/>
      <c r="Z44" s="7"/>
      <c r="AA44" s="58"/>
      <c r="AB44" s="62" t="s">
        <v>515</v>
      </c>
      <c r="AC44" s="62" t="s">
        <v>949</v>
      </c>
    </row>
    <row r="45" spans="2:29" ht="13.5" thickBot="1">
      <c r="B45" s="364" t="s">
        <v>2090</v>
      </c>
      <c r="D45" s="52"/>
      <c r="E45" s="52" t="s">
        <v>435</v>
      </c>
      <c r="F45" s="7"/>
      <c r="G45" s="8"/>
      <c r="H45" s="7"/>
      <c r="I45" s="30" t="s">
        <v>197</v>
      </c>
      <c r="J45" s="7"/>
      <c r="K45" s="8"/>
      <c r="L45" s="7"/>
      <c r="M45" s="8"/>
      <c r="N45" s="7"/>
      <c r="O45" s="8"/>
      <c r="P45" s="7"/>
      <c r="Q45" s="7"/>
      <c r="R45" s="8"/>
      <c r="S45" s="7"/>
      <c r="T45" s="9"/>
      <c r="U45" s="7"/>
      <c r="V45" s="8"/>
      <c r="W45" s="7"/>
      <c r="X45" s="7"/>
      <c r="Y45" s="8"/>
      <c r="Z45" s="7"/>
      <c r="AA45" s="58"/>
      <c r="AB45" s="62" t="s">
        <v>515</v>
      </c>
      <c r="AC45" s="62" t="s">
        <v>534</v>
      </c>
    </row>
    <row r="46" spans="2:29" ht="13.5" thickBot="1">
      <c r="B46" s="364" t="s">
        <v>2081</v>
      </c>
      <c r="D46" s="52"/>
      <c r="E46" s="52" t="s">
        <v>680</v>
      </c>
      <c r="F46" s="7"/>
      <c r="G46" s="8"/>
      <c r="H46" s="7"/>
      <c r="I46" s="30" t="s">
        <v>212</v>
      </c>
      <c r="J46" s="7"/>
      <c r="K46" s="8"/>
      <c r="L46" s="7"/>
      <c r="M46" s="8"/>
      <c r="N46" s="7"/>
      <c r="O46" s="8"/>
      <c r="P46" s="7"/>
      <c r="Q46" s="7"/>
      <c r="R46" s="8"/>
      <c r="S46" s="7"/>
      <c r="T46" s="9"/>
      <c r="U46" s="7"/>
      <c r="V46" s="8"/>
      <c r="W46" s="7"/>
      <c r="X46" s="7"/>
      <c r="Y46" s="8"/>
      <c r="Z46" s="7"/>
      <c r="AA46" s="58"/>
      <c r="AB46" s="62" t="s">
        <v>515</v>
      </c>
      <c r="AC46" s="62" t="s">
        <v>556</v>
      </c>
    </row>
    <row r="47" spans="2:29" ht="13.5" thickBot="1">
      <c r="B47" s="10" t="s">
        <v>947</v>
      </c>
      <c r="D47" s="52"/>
      <c r="E47" s="52" t="s">
        <v>492</v>
      </c>
      <c r="F47" s="7"/>
      <c r="G47" s="8"/>
      <c r="H47" s="7"/>
      <c r="I47" s="30" t="s">
        <v>202</v>
      </c>
      <c r="J47" s="7"/>
      <c r="K47" s="8"/>
      <c r="L47" s="7"/>
      <c r="M47" s="8"/>
      <c r="N47" s="7"/>
      <c r="O47" s="8"/>
      <c r="P47" s="7"/>
      <c r="Q47" s="7"/>
      <c r="R47" s="8"/>
      <c r="S47" s="7"/>
      <c r="T47" s="9"/>
      <c r="U47" s="7"/>
      <c r="V47" s="8"/>
      <c r="W47" s="7"/>
      <c r="X47" s="7"/>
      <c r="Y47" s="8"/>
      <c r="Z47" s="7"/>
      <c r="AA47" s="58"/>
      <c r="AB47" s="62" t="s">
        <v>515</v>
      </c>
      <c r="AC47" s="62" t="s">
        <v>952</v>
      </c>
    </row>
    <row r="48" spans="2:29" ht="13.5" thickBot="1">
      <c r="B48" s="10" t="s">
        <v>358</v>
      </c>
      <c r="D48" s="52"/>
      <c r="E48" s="52" t="s">
        <v>665</v>
      </c>
      <c r="F48" s="7"/>
      <c r="G48" s="8"/>
      <c r="H48" s="7"/>
      <c r="I48" s="30" t="s">
        <v>533</v>
      </c>
      <c r="J48" s="7"/>
      <c r="K48" s="8"/>
      <c r="L48" s="7"/>
      <c r="M48" s="8"/>
      <c r="N48" s="7"/>
      <c r="O48" s="8"/>
      <c r="P48" s="7"/>
      <c r="Q48" s="7"/>
      <c r="R48" s="8"/>
      <c r="S48" s="7"/>
      <c r="T48" s="9"/>
      <c r="U48" s="7"/>
      <c r="V48" s="8"/>
      <c r="W48" s="7"/>
      <c r="X48" s="7"/>
      <c r="Y48" s="8"/>
      <c r="Z48" s="7"/>
      <c r="AA48" s="58"/>
      <c r="AB48" s="62" t="s">
        <v>515</v>
      </c>
      <c r="AC48" s="62" t="s">
        <v>954</v>
      </c>
    </row>
    <row r="49" spans="2:29" ht="13.5" thickBot="1">
      <c r="B49" s="10" t="s">
        <v>297</v>
      </c>
      <c r="D49" s="52"/>
      <c r="E49" s="52" t="s">
        <v>462</v>
      </c>
      <c r="F49" s="7"/>
      <c r="G49" s="8"/>
      <c r="H49" s="7"/>
      <c r="I49" s="30" t="s">
        <v>552</v>
      </c>
      <c r="J49" s="7"/>
      <c r="K49" s="8"/>
      <c r="L49" s="7"/>
      <c r="M49" s="8"/>
      <c r="N49" s="7"/>
      <c r="O49" s="8"/>
      <c r="P49" s="7"/>
      <c r="Q49" s="7"/>
      <c r="R49" s="8"/>
      <c r="S49" s="7"/>
      <c r="T49" s="9"/>
      <c r="U49" s="7"/>
      <c r="V49" s="8"/>
      <c r="W49" s="7"/>
      <c r="X49" s="7"/>
      <c r="Y49" s="8"/>
      <c r="Z49" s="7"/>
      <c r="AA49" s="58"/>
      <c r="AB49" s="62" t="s">
        <v>515</v>
      </c>
      <c r="AC49" s="62" t="s">
        <v>955</v>
      </c>
    </row>
    <row r="50" spans="2:29" ht="13.5" thickBot="1">
      <c r="B50" s="10" t="s">
        <v>950</v>
      </c>
      <c r="D50" s="52"/>
      <c r="E50" s="52" t="s">
        <v>451</v>
      </c>
      <c r="F50" s="7"/>
      <c r="G50" s="8"/>
      <c r="H50" s="7"/>
      <c r="I50" s="30" t="s">
        <v>532</v>
      </c>
      <c r="J50" s="7"/>
      <c r="K50" s="8"/>
      <c r="L50" s="7"/>
      <c r="M50" s="8"/>
      <c r="N50" s="7"/>
      <c r="O50" s="8"/>
      <c r="P50" s="7"/>
      <c r="Q50" s="7"/>
      <c r="R50" s="8"/>
      <c r="S50" s="7"/>
      <c r="T50" s="9"/>
      <c r="U50" s="7"/>
      <c r="V50" s="8"/>
      <c r="W50" s="7"/>
      <c r="X50" s="7"/>
      <c r="Y50" s="8"/>
      <c r="Z50" s="7"/>
      <c r="AA50" s="58"/>
      <c r="AB50" s="62" t="s">
        <v>515</v>
      </c>
      <c r="AC50" s="62" t="s">
        <v>956</v>
      </c>
    </row>
    <row r="51" spans="2:29" ht="13.5" thickBot="1">
      <c r="B51" s="10" t="s">
        <v>951</v>
      </c>
      <c r="D51" s="52"/>
      <c r="E51" s="52" t="s">
        <v>429</v>
      </c>
      <c r="F51" s="7"/>
      <c r="G51" s="8"/>
      <c r="H51" s="7"/>
      <c r="I51" s="30" t="s">
        <v>218</v>
      </c>
      <c r="J51" s="7"/>
      <c r="K51" s="8"/>
      <c r="L51" s="7"/>
      <c r="M51" s="8"/>
      <c r="N51" s="7"/>
      <c r="O51" s="8"/>
      <c r="P51" s="7"/>
      <c r="Q51" s="7"/>
      <c r="R51" s="8"/>
      <c r="S51" s="7"/>
      <c r="T51" s="9"/>
      <c r="U51" s="7"/>
      <c r="V51" s="8"/>
      <c r="W51" s="7"/>
      <c r="X51" s="7"/>
      <c r="Y51" s="8"/>
      <c r="Z51" s="7"/>
      <c r="AA51" s="58"/>
      <c r="AB51" s="62" t="s">
        <v>515</v>
      </c>
      <c r="AC51" s="62" t="s">
        <v>958</v>
      </c>
    </row>
    <row r="52" spans="2:29" ht="13.5" thickBot="1">
      <c r="B52" s="10" t="s">
        <v>953</v>
      </c>
      <c r="C52" s="65"/>
      <c r="D52" s="52"/>
      <c r="E52" s="52" t="s">
        <v>463</v>
      </c>
      <c r="F52" s="7"/>
      <c r="G52" s="8"/>
      <c r="H52" s="7"/>
      <c r="I52" s="422" t="s">
        <v>325</v>
      </c>
      <c r="J52" s="7"/>
      <c r="K52" s="8"/>
      <c r="L52" s="7"/>
      <c r="M52" s="8"/>
      <c r="N52" s="7"/>
      <c r="O52" s="8"/>
      <c r="P52" s="7"/>
      <c r="Q52" s="7"/>
      <c r="R52" s="8"/>
      <c r="S52" s="7"/>
      <c r="T52" s="9"/>
      <c r="U52" s="7"/>
      <c r="V52" s="8"/>
      <c r="W52" s="7"/>
      <c r="X52" s="7"/>
      <c r="Y52" s="8"/>
      <c r="Z52" s="7"/>
      <c r="AA52" s="58"/>
      <c r="AB52" s="62" t="s">
        <v>515</v>
      </c>
      <c r="AC52" s="62" t="s">
        <v>519</v>
      </c>
    </row>
    <row r="53" spans="2:29" ht="14" thickTop="1" thickBot="1">
      <c r="B53" s="10" t="s">
        <v>242</v>
      </c>
      <c r="D53" s="52"/>
      <c r="E53" s="52" t="s">
        <v>500</v>
      </c>
      <c r="F53" s="7"/>
      <c r="G53" s="8"/>
      <c r="H53" s="7"/>
      <c r="I53" s="6"/>
      <c r="J53" s="7"/>
      <c r="K53" s="8"/>
      <c r="L53" s="7"/>
      <c r="M53" s="8"/>
      <c r="N53" s="7"/>
      <c r="O53" s="8"/>
      <c r="P53" s="7"/>
      <c r="Q53" s="7"/>
      <c r="R53" s="8"/>
      <c r="S53" s="7"/>
      <c r="T53" s="9"/>
      <c r="U53" s="7"/>
      <c r="V53" s="8"/>
      <c r="W53" s="7"/>
      <c r="X53" s="7"/>
      <c r="Y53" s="8"/>
      <c r="Z53" s="7"/>
      <c r="AA53" s="58"/>
      <c r="AB53" s="62" t="s">
        <v>515</v>
      </c>
      <c r="AC53" s="62" t="s">
        <v>960</v>
      </c>
    </row>
    <row r="54" spans="2:29" ht="14" thickTop="1" thickBot="1">
      <c r="B54" s="10" t="s">
        <v>276</v>
      </c>
      <c r="D54" s="52"/>
      <c r="E54" s="52" t="s">
        <v>422</v>
      </c>
      <c r="F54" s="7"/>
      <c r="G54" s="8"/>
      <c r="H54" s="7"/>
      <c r="I54" s="6"/>
      <c r="J54" s="7"/>
      <c r="K54" s="8"/>
      <c r="L54" s="7"/>
      <c r="M54" s="8"/>
      <c r="N54" s="7"/>
      <c r="O54" s="8"/>
      <c r="P54" s="7"/>
      <c r="Q54" s="7"/>
      <c r="R54" s="8"/>
      <c r="S54" s="7"/>
      <c r="T54" s="9"/>
      <c r="U54" s="7"/>
      <c r="V54" s="8"/>
      <c r="W54" s="7"/>
      <c r="X54" s="7"/>
      <c r="Y54" s="8"/>
      <c r="Z54" s="7"/>
      <c r="AA54" s="58"/>
      <c r="AB54" s="62" t="s">
        <v>515</v>
      </c>
      <c r="AC54" s="62" t="s">
        <v>961</v>
      </c>
    </row>
    <row r="55" spans="2:29" ht="14" thickTop="1" thickBot="1">
      <c r="B55" s="10" t="s">
        <v>957</v>
      </c>
      <c r="D55" s="52"/>
      <c r="E55" s="52" t="s">
        <v>423</v>
      </c>
      <c r="F55" s="7"/>
      <c r="G55" s="8"/>
      <c r="H55" s="7"/>
      <c r="I55" s="6"/>
      <c r="J55" s="7"/>
      <c r="K55" s="8"/>
      <c r="L55" s="7"/>
      <c r="M55" s="8"/>
      <c r="N55" s="7"/>
      <c r="O55" s="8"/>
      <c r="P55" s="7"/>
      <c r="Q55" s="7"/>
      <c r="R55" s="8"/>
      <c r="S55" s="7"/>
      <c r="T55" s="9"/>
      <c r="U55" s="7"/>
      <c r="V55" s="8"/>
      <c r="W55" s="7"/>
      <c r="X55" s="7"/>
      <c r="Y55" s="8"/>
      <c r="Z55" s="7"/>
      <c r="AA55" s="58"/>
      <c r="AB55" s="62" t="s">
        <v>515</v>
      </c>
      <c r="AC55" s="62" t="s">
        <v>962</v>
      </c>
    </row>
    <row r="56" spans="2:29" ht="14" thickTop="1" thickBot="1">
      <c r="B56" s="10" t="s">
        <v>959</v>
      </c>
      <c r="D56" s="52"/>
      <c r="E56" s="52" t="s">
        <v>472</v>
      </c>
      <c r="F56" s="7"/>
      <c r="G56" s="8"/>
      <c r="H56" s="7"/>
      <c r="I56" s="6"/>
      <c r="J56" s="7"/>
      <c r="K56" s="8"/>
      <c r="L56" s="7"/>
      <c r="M56" s="8"/>
      <c r="N56" s="7"/>
      <c r="O56" s="8"/>
      <c r="P56" s="7"/>
      <c r="Q56" s="7"/>
      <c r="R56" s="8"/>
      <c r="S56" s="7"/>
      <c r="T56" s="9"/>
      <c r="U56" s="7"/>
      <c r="V56" s="8"/>
      <c r="W56" s="7"/>
      <c r="X56" s="7"/>
      <c r="Y56" s="8"/>
      <c r="Z56" s="7"/>
      <c r="AA56" s="58"/>
      <c r="AB56" s="62" t="s">
        <v>515</v>
      </c>
      <c r="AC56" s="62" t="s">
        <v>963</v>
      </c>
    </row>
    <row r="57" spans="2:29" ht="14" thickTop="1" thickBot="1">
      <c r="B57" s="421" t="s">
        <v>2675</v>
      </c>
      <c r="D57" s="52"/>
      <c r="E57" s="52" t="s">
        <v>474</v>
      </c>
      <c r="F57" s="7"/>
      <c r="G57" s="8"/>
      <c r="H57" s="7"/>
      <c r="I57" s="6"/>
      <c r="J57" s="7"/>
      <c r="K57" s="8"/>
      <c r="L57" s="7"/>
      <c r="M57" s="8"/>
      <c r="N57" s="7"/>
      <c r="O57" s="8"/>
      <c r="P57" s="7"/>
      <c r="Q57" s="7"/>
      <c r="R57" s="8"/>
      <c r="S57" s="7"/>
      <c r="T57" s="9"/>
      <c r="U57" s="7"/>
      <c r="V57" s="8"/>
      <c r="W57" s="7"/>
      <c r="X57" s="7"/>
      <c r="Y57" s="8"/>
      <c r="Z57" s="7"/>
      <c r="AA57" s="58"/>
      <c r="AB57" s="62" t="s">
        <v>515</v>
      </c>
      <c r="AC57" s="62" t="s">
        <v>964</v>
      </c>
    </row>
    <row r="58" spans="2:29" ht="14" thickTop="1" thickBot="1">
      <c r="B58" s="10" t="s">
        <v>241</v>
      </c>
      <c r="D58" s="52"/>
      <c r="E58" s="52" t="s">
        <v>439</v>
      </c>
      <c r="F58" s="7"/>
      <c r="G58" s="8"/>
      <c r="H58" s="7"/>
      <c r="I58" s="6"/>
      <c r="J58" s="7"/>
      <c r="K58" s="8"/>
      <c r="L58" s="7"/>
      <c r="M58" s="8"/>
      <c r="N58" s="7"/>
      <c r="O58" s="8"/>
      <c r="P58" s="7"/>
      <c r="Q58" s="7"/>
      <c r="R58" s="8"/>
      <c r="S58" s="7"/>
      <c r="T58" s="9"/>
      <c r="U58" s="7"/>
      <c r="V58" s="8"/>
      <c r="W58" s="7"/>
      <c r="X58" s="7"/>
      <c r="Y58" s="8"/>
      <c r="Z58" s="7"/>
      <c r="AA58" s="58"/>
      <c r="AB58" s="62" t="s">
        <v>515</v>
      </c>
      <c r="AC58" s="62" t="s">
        <v>965</v>
      </c>
    </row>
    <row r="59" spans="2:29" ht="14" thickTop="1" thickBot="1">
      <c r="B59" s="421" t="s">
        <v>2150</v>
      </c>
      <c r="D59" s="52"/>
      <c r="E59" s="52" t="s">
        <v>461</v>
      </c>
      <c r="F59" s="7"/>
      <c r="G59" s="8"/>
      <c r="H59" s="7"/>
      <c r="I59" s="6"/>
      <c r="J59" s="7"/>
      <c r="K59" s="8"/>
      <c r="L59" s="7"/>
      <c r="M59" s="8"/>
      <c r="N59" s="7"/>
      <c r="O59" s="8"/>
      <c r="P59" s="7"/>
      <c r="Q59" s="7"/>
      <c r="R59" s="8"/>
      <c r="S59" s="7"/>
      <c r="T59" s="9"/>
      <c r="U59" s="7"/>
      <c r="V59" s="8"/>
      <c r="W59" s="7"/>
      <c r="X59" s="7"/>
      <c r="Y59" s="8"/>
      <c r="Z59" s="7"/>
      <c r="AA59" s="58"/>
      <c r="AB59" s="62" t="s">
        <v>515</v>
      </c>
      <c r="AC59" s="62" t="s">
        <v>966</v>
      </c>
    </row>
    <row r="60" spans="2:29" ht="14" thickTop="1" thickBot="1">
      <c r="B60" s="421" t="s">
        <v>291</v>
      </c>
      <c r="D60" s="52"/>
      <c r="E60" s="52" t="s">
        <v>433</v>
      </c>
      <c r="F60" s="7"/>
      <c r="G60" s="8"/>
      <c r="H60" s="7"/>
      <c r="I60" s="6"/>
      <c r="J60" s="7"/>
      <c r="K60" s="8"/>
      <c r="L60" s="7"/>
      <c r="M60" s="8"/>
      <c r="N60" s="7"/>
      <c r="O60" s="8"/>
      <c r="P60" s="7"/>
      <c r="Q60" s="7"/>
      <c r="R60" s="8"/>
      <c r="S60" s="7"/>
      <c r="T60" s="9"/>
      <c r="U60" s="7"/>
      <c r="V60" s="8"/>
      <c r="W60" s="7"/>
      <c r="X60" s="7"/>
      <c r="Y60" s="8"/>
      <c r="Z60" s="7"/>
      <c r="AA60" s="58"/>
      <c r="AB60" s="62" t="s">
        <v>515</v>
      </c>
      <c r="AC60" s="62" t="s">
        <v>967</v>
      </c>
    </row>
    <row r="61" spans="2:29" ht="14" thickTop="1" thickBot="1">
      <c r="B61" s="398" t="s">
        <v>2129</v>
      </c>
      <c r="D61" s="52"/>
      <c r="E61" s="52" t="s">
        <v>682</v>
      </c>
      <c r="F61" s="7"/>
      <c r="G61" s="8"/>
      <c r="H61" s="7"/>
      <c r="I61" s="6"/>
      <c r="J61" s="7"/>
      <c r="K61" s="8"/>
      <c r="L61" s="7"/>
      <c r="M61" s="8"/>
      <c r="N61" s="7"/>
      <c r="O61" s="8"/>
      <c r="P61" s="7"/>
      <c r="Q61" s="7"/>
      <c r="R61" s="8"/>
      <c r="S61" s="7"/>
      <c r="T61" s="9"/>
      <c r="U61" s="7"/>
      <c r="V61" s="8"/>
      <c r="W61" s="7"/>
      <c r="X61" s="7"/>
      <c r="Y61" s="8"/>
      <c r="Z61" s="7"/>
      <c r="AA61" s="58"/>
      <c r="AB61" s="62" t="s">
        <v>515</v>
      </c>
      <c r="AC61" s="62" t="s">
        <v>968</v>
      </c>
    </row>
    <row r="62" spans="2:29" ht="14" thickTop="1" thickBot="1">
      <c r="B62" s="65" t="s">
        <v>1486</v>
      </c>
      <c r="D62" s="52"/>
      <c r="E62" s="52" t="s">
        <v>455</v>
      </c>
      <c r="F62" s="7"/>
      <c r="G62" s="8"/>
      <c r="H62" s="7"/>
      <c r="I62" s="6"/>
      <c r="J62" s="7"/>
      <c r="K62" s="8"/>
      <c r="L62" s="7"/>
      <c r="M62" s="8"/>
      <c r="N62" s="7"/>
      <c r="O62" s="8"/>
      <c r="P62" s="7"/>
      <c r="Q62" s="7"/>
      <c r="R62" s="8"/>
      <c r="S62" s="7"/>
      <c r="T62" s="9"/>
      <c r="U62" s="7"/>
      <c r="V62" s="8"/>
      <c r="W62" s="7"/>
      <c r="X62" s="7"/>
      <c r="Y62" s="8"/>
      <c r="Z62" s="7"/>
      <c r="AA62" s="58"/>
      <c r="AB62" s="62" t="s">
        <v>515</v>
      </c>
      <c r="AC62" s="62" t="s">
        <v>522</v>
      </c>
    </row>
    <row r="63" spans="2:29" ht="14" thickTop="1" thickBot="1">
      <c r="B63" s="10"/>
      <c r="D63" s="52"/>
      <c r="E63" s="52" t="s">
        <v>454</v>
      </c>
      <c r="F63" s="7"/>
      <c r="G63" s="8"/>
      <c r="H63" s="7"/>
      <c r="I63" s="6"/>
      <c r="J63" s="7"/>
      <c r="K63" s="8"/>
      <c r="L63" s="7"/>
      <c r="M63" s="8"/>
      <c r="N63" s="7"/>
      <c r="O63" s="8"/>
      <c r="P63" s="7"/>
      <c r="Q63" s="7"/>
      <c r="R63" s="8"/>
      <c r="S63" s="7"/>
      <c r="T63" s="9"/>
      <c r="U63" s="7"/>
      <c r="V63" s="8"/>
      <c r="W63" s="7"/>
      <c r="X63" s="7"/>
      <c r="Y63" s="8"/>
      <c r="Z63" s="7"/>
      <c r="AA63" s="58"/>
      <c r="AB63" s="62" t="s">
        <v>515</v>
      </c>
      <c r="AC63" s="62" t="s">
        <v>969</v>
      </c>
    </row>
    <row r="64" spans="2:29" ht="14" thickTop="1" thickBot="1">
      <c r="B64" s="10"/>
      <c r="D64" s="52"/>
      <c r="E64" s="52" t="s">
        <v>424</v>
      </c>
      <c r="F64" s="7"/>
      <c r="G64" s="8"/>
      <c r="H64" s="7"/>
      <c r="I64" s="6"/>
      <c r="J64" s="7"/>
      <c r="K64" s="8"/>
      <c r="L64" s="7"/>
      <c r="M64" s="8"/>
      <c r="N64" s="7"/>
      <c r="O64" s="8"/>
      <c r="P64" s="7"/>
      <c r="Q64" s="7"/>
      <c r="R64" s="8"/>
      <c r="S64" s="7"/>
      <c r="T64" s="9"/>
      <c r="U64" s="7"/>
      <c r="V64" s="8"/>
      <c r="W64" s="7"/>
      <c r="X64" s="7"/>
      <c r="Y64" s="8"/>
      <c r="Z64" s="7"/>
      <c r="AA64" s="58"/>
      <c r="AB64" s="62" t="s">
        <v>515</v>
      </c>
      <c r="AC64" s="62" t="s">
        <v>970</v>
      </c>
    </row>
    <row r="65" spans="2:29" ht="14" thickTop="1" thickBot="1">
      <c r="B65" s="10"/>
      <c r="D65" s="52"/>
      <c r="E65" s="52" t="s">
        <v>426</v>
      </c>
      <c r="F65" s="7"/>
      <c r="G65" s="8"/>
      <c r="H65" s="7"/>
      <c r="I65" s="6"/>
      <c r="J65" s="7"/>
      <c r="K65" s="8"/>
      <c r="L65" s="7"/>
      <c r="M65" s="8"/>
      <c r="N65" s="7"/>
      <c r="O65" s="8"/>
      <c r="P65" s="7"/>
      <c r="Q65" s="7"/>
      <c r="R65" s="8"/>
      <c r="S65" s="7"/>
      <c r="T65" s="9"/>
      <c r="U65" s="7"/>
      <c r="V65" s="8"/>
      <c r="W65" s="7"/>
      <c r="X65" s="7"/>
      <c r="Y65" s="8"/>
      <c r="Z65" s="7"/>
      <c r="AA65" s="58"/>
      <c r="AB65" s="62" t="s">
        <v>515</v>
      </c>
      <c r="AC65" s="62" t="s">
        <v>971</v>
      </c>
    </row>
    <row r="66" spans="2:29" ht="14" thickTop="1" thickBot="1">
      <c r="B66" s="10"/>
      <c r="D66" s="52"/>
      <c r="E66" s="52" t="s">
        <v>465</v>
      </c>
      <c r="F66" s="7"/>
      <c r="G66" s="8"/>
      <c r="H66" s="7"/>
      <c r="I66" s="6"/>
      <c r="J66" s="7"/>
      <c r="K66" s="8"/>
      <c r="L66" s="7"/>
      <c r="M66" s="8"/>
      <c r="N66" s="7"/>
      <c r="O66" s="8"/>
      <c r="P66" s="7"/>
      <c r="Q66" s="7"/>
      <c r="R66" s="8"/>
      <c r="S66" s="7"/>
      <c r="T66" s="9"/>
      <c r="U66" s="7"/>
      <c r="V66" s="8"/>
      <c r="W66" s="7"/>
      <c r="X66" s="7"/>
      <c r="Y66" s="8"/>
      <c r="Z66" s="7"/>
      <c r="AA66" s="58"/>
      <c r="AB66" s="62" t="s">
        <v>515</v>
      </c>
      <c r="AC66" s="62" t="s">
        <v>972</v>
      </c>
    </row>
    <row r="67" spans="2:29" ht="14" thickTop="1" thickBot="1">
      <c r="B67" s="10"/>
      <c r="D67" s="52"/>
      <c r="E67" s="52" t="s">
        <v>340</v>
      </c>
      <c r="F67" s="7"/>
      <c r="G67" s="8"/>
      <c r="H67" s="7"/>
      <c r="I67" s="6"/>
      <c r="J67" s="7"/>
      <c r="K67" s="8"/>
      <c r="L67" s="7"/>
      <c r="M67" s="8"/>
      <c r="N67" s="7"/>
      <c r="O67" s="8"/>
      <c r="P67" s="7"/>
      <c r="Q67" s="7"/>
      <c r="R67" s="8"/>
      <c r="S67" s="7"/>
      <c r="T67" s="9"/>
      <c r="U67" s="7"/>
      <c r="V67" s="8"/>
      <c r="W67" s="7"/>
      <c r="X67" s="7"/>
      <c r="Y67" s="8"/>
      <c r="Z67" s="7"/>
      <c r="AA67" s="58"/>
      <c r="AB67" s="62" t="s">
        <v>515</v>
      </c>
      <c r="AC67" s="62" t="s">
        <v>525</v>
      </c>
    </row>
    <row r="68" spans="2:29" ht="14" thickTop="1" thickBot="1">
      <c r="B68" s="10"/>
      <c r="D68" s="52"/>
      <c r="E68" s="52" t="s">
        <v>450</v>
      </c>
      <c r="F68" s="7"/>
      <c r="G68" s="8"/>
      <c r="H68" s="7"/>
      <c r="I68" s="6"/>
      <c r="J68" s="7"/>
      <c r="K68" s="8"/>
      <c r="L68" s="7"/>
      <c r="M68" s="8"/>
      <c r="N68" s="7"/>
      <c r="O68" s="8"/>
      <c r="P68" s="7"/>
      <c r="Q68" s="7"/>
      <c r="R68" s="8"/>
      <c r="S68" s="7"/>
      <c r="T68" s="9"/>
      <c r="U68" s="7"/>
      <c r="V68" s="8"/>
      <c r="W68" s="7"/>
      <c r="X68" s="7"/>
      <c r="Y68" s="8"/>
      <c r="Z68" s="7"/>
      <c r="AA68" s="58"/>
      <c r="AB68" s="62" t="s">
        <v>515</v>
      </c>
      <c r="AC68" s="62" t="s">
        <v>973</v>
      </c>
    </row>
    <row r="69" spans="2:29" ht="14" thickTop="1" thickBot="1">
      <c r="B69" s="10"/>
      <c r="D69" s="66"/>
      <c r="E69" s="52" t="s">
        <v>490</v>
      </c>
      <c r="F69" s="7"/>
      <c r="G69" s="8"/>
      <c r="H69" s="7"/>
      <c r="I69" s="6"/>
      <c r="J69" s="7"/>
      <c r="K69" s="8"/>
      <c r="L69" s="7"/>
      <c r="M69" s="8"/>
      <c r="N69" s="7"/>
      <c r="O69" s="8"/>
      <c r="P69" s="7"/>
      <c r="Q69" s="7"/>
      <c r="R69" s="8"/>
      <c r="S69" s="7"/>
      <c r="T69" s="9"/>
      <c r="U69" s="7"/>
      <c r="V69" s="8"/>
      <c r="W69" s="7"/>
      <c r="X69" s="7"/>
      <c r="Y69" s="8"/>
      <c r="Z69" s="7"/>
      <c r="AA69" s="58"/>
      <c r="AB69" s="62" t="s">
        <v>515</v>
      </c>
      <c r="AC69" s="62" t="s">
        <v>516</v>
      </c>
    </row>
    <row r="70" spans="2:29" ht="14" thickTop="1" thickBot="1">
      <c r="B70" s="10"/>
      <c r="D70" s="66"/>
      <c r="E70" s="52" t="s">
        <v>664</v>
      </c>
      <c r="F70" s="7"/>
      <c r="G70" s="8"/>
      <c r="H70" s="7"/>
      <c r="I70" s="6"/>
      <c r="J70" s="7"/>
      <c r="K70" s="8"/>
      <c r="L70" s="7"/>
      <c r="M70" s="8"/>
      <c r="N70" s="7"/>
      <c r="O70" s="8"/>
      <c r="P70" s="7"/>
      <c r="Q70" s="7"/>
      <c r="R70" s="8"/>
      <c r="S70" s="7"/>
      <c r="T70" s="9"/>
      <c r="U70" s="7"/>
      <c r="V70" s="8"/>
      <c r="W70" s="7"/>
      <c r="X70" s="7"/>
      <c r="Y70" s="8"/>
      <c r="Z70" s="7"/>
      <c r="AA70" s="58"/>
      <c r="AB70" s="62" t="s">
        <v>515</v>
      </c>
      <c r="AC70" s="62" t="s">
        <v>974</v>
      </c>
    </row>
    <row r="71" spans="2:29" ht="14" thickTop="1" thickBot="1">
      <c r="B71" s="10"/>
      <c r="D71" s="66"/>
      <c r="E71" s="52" t="s">
        <v>506</v>
      </c>
      <c r="F71" s="7"/>
      <c r="G71" s="8"/>
      <c r="H71" s="7"/>
      <c r="I71" s="6"/>
      <c r="J71" s="7"/>
      <c r="K71" s="8"/>
      <c r="L71" s="7"/>
      <c r="M71" s="8"/>
      <c r="N71" s="7"/>
      <c r="O71" s="8"/>
      <c r="P71" s="7"/>
      <c r="Q71" s="7"/>
      <c r="R71" s="8"/>
      <c r="S71" s="7"/>
      <c r="T71" s="9"/>
      <c r="U71" s="7"/>
      <c r="V71" s="8"/>
      <c r="W71" s="7"/>
      <c r="X71" s="7"/>
      <c r="Y71" s="8"/>
      <c r="Z71" s="7"/>
      <c r="AA71" s="58"/>
      <c r="AB71" s="62" t="s">
        <v>515</v>
      </c>
      <c r="AC71" s="62" t="s">
        <v>536</v>
      </c>
    </row>
    <row r="72" spans="2:29" ht="14" thickTop="1" thickBot="1">
      <c r="B72" s="10"/>
      <c r="D72" s="66"/>
      <c r="E72" s="52" t="s">
        <v>453</v>
      </c>
      <c r="F72" s="7"/>
      <c r="G72" s="8"/>
      <c r="H72" s="7"/>
      <c r="I72" s="6"/>
      <c r="J72" s="7"/>
      <c r="K72" s="8"/>
      <c r="L72" s="7"/>
      <c r="M72" s="8"/>
      <c r="N72" s="7"/>
      <c r="O72" s="8"/>
      <c r="P72" s="7"/>
      <c r="Q72" s="7"/>
      <c r="R72" s="8"/>
      <c r="S72" s="7"/>
      <c r="T72" s="9"/>
      <c r="U72" s="7"/>
      <c r="V72" s="8"/>
      <c r="W72" s="7"/>
      <c r="X72" s="7"/>
      <c r="Y72" s="8"/>
      <c r="Z72" s="7"/>
      <c r="AA72" s="58"/>
      <c r="AB72" s="62" t="s">
        <v>515</v>
      </c>
      <c r="AC72" s="62" t="s">
        <v>975</v>
      </c>
    </row>
    <row r="73" spans="2:29" ht="14" thickTop="1" thickBot="1">
      <c r="B73" s="10"/>
      <c r="D73" s="66"/>
      <c r="E73" s="52" t="s">
        <v>349</v>
      </c>
      <c r="F73" s="7"/>
      <c r="G73" s="8"/>
      <c r="H73" s="7"/>
      <c r="I73" s="6"/>
      <c r="J73" s="7"/>
      <c r="K73" s="8"/>
      <c r="L73" s="7"/>
      <c r="M73" s="8"/>
      <c r="N73" s="7"/>
      <c r="O73" s="8"/>
      <c r="P73" s="7"/>
      <c r="Q73" s="7"/>
      <c r="R73" s="8"/>
      <c r="S73" s="7"/>
      <c r="T73" s="9"/>
      <c r="U73" s="7"/>
      <c r="V73" s="8"/>
      <c r="W73" s="7"/>
      <c r="X73" s="7"/>
      <c r="Y73" s="8"/>
      <c r="Z73" s="7"/>
      <c r="AA73" s="58"/>
      <c r="AB73" s="62" t="s">
        <v>515</v>
      </c>
      <c r="AC73" s="62" t="s">
        <v>976</v>
      </c>
    </row>
    <row r="74" spans="2:29" ht="14" thickTop="1" thickBot="1">
      <c r="B74" s="10"/>
      <c r="D74" s="66"/>
      <c r="E74" s="52" t="s">
        <v>351</v>
      </c>
      <c r="F74" s="7"/>
      <c r="G74" s="8"/>
      <c r="H74" s="7"/>
      <c r="I74" s="6"/>
      <c r="J74" s="7"/>
      <c r="K74" s="8"/>
      <c r="L74" s="7"/>
      <c r="M74" s="8"/>
      <c r="N74" s="7"/>
      <c r="O74" s="8"/>
      <c r="P74" s="7"/>
      <c r="Q74" s="7"/>
      <c r="R74" s="8"/>
      <c r="S74" s="7"/>
      <c r="T74" s="9"/>
      <c r="U74" s="7"/>
      <c r="V74" s="8"/>
      <c r="W74" s="7"/>
      <c r="X74" s="7"/>
      <c r="Y74" s="8"/>
      <c r="Z74" s="7"/>
      <c r="AA74" s="58"/>
      <c r="AB74" s="62" t="s">
        <v>515</v>
      </c>
      <c r="AC74" s="62" t="s">
        <v>977</v>
      </c>
    </row>
    <row r="75" spans="2:29" ht="14" thickTop="1" thickBot="1">
      <c r="B75" s="10"/>
      <c r="D75" s="66"/>
      <c r="E75" s="52" t="s">
        <v>356</v>
      </c>
      <c r="F75" s="7"/>
      <c r="G75" s="8"/>
      <c r="H75" s="7"/>
      <c r="I75" s="6"/>
      <c r="J75" s="7"/>
      <c r="K75" s="8"/>
      <c r="L75" s="7"/>
      <c r="M75" s="8"/>
      <c r="N75" s="7"/>
      <c r="O75" s="8"/>
      <c r="P75" s="7"/>
      <c r="Q75" s="7"/>
      <c r="R75" s="8"/>
      <c r="S75" s="7"/>
      <c r="T75" s="9"/>
      <c r="U75" s="7"/>
      <c r="V75" s="8"/>
      <c r="W75" s="7"/>
      <c r="X75" s="7"/>
      <c r="Y75" s="8"/>
      <c r="Z75" s="7"/>
      <c r="AA75" s="58"/>
      <c r="AB75" s="62" t="s">
        <v>515</v>
      </c>
      <c r="AC75" s="62" t="s">
        <v>978</v>
      </c>
    </row>
    <row r="76" spans="2:29" ht="14" thickTop="1" thickBot="1">
      <c r="B76" s="10"/>
      <c r="D76" s="66"/>
      <c r="E76" s="52" t="s">
        <v>348</v>
      </c>
      <c r="F76" s="7"/>
      <c r="G76" s="8"/>
      <c r="H76" s="7"/>
      <c r="I76" s="6"/>
      <c r="J76" s="7"/>
      <c r="K76" s="8"/>
      <c r="L76" s="7"/>
      <c r="M76" s="8"/>
      <c r="N76" s="7"/>
      <c r="O76" s="8"/>
      <c r="P76" s="7"/>
      <c r="Q76" s="7"/>
      <c r="R76" s="8"/>
      <c r="S76" s="7"/>
      <c r="T76" s="9"/>
      <c r="U76" s="7"/>
      <c r="V76" s="8"/>
      <c r="W76" s="7"/>
      <c r="X76" s="7"/>
      <c r="Y76" s="8"/>
      <c r="Z76" s="7"/>
      <c r="AA76" s="58"/>
      <c r="AB76" s="62" t="s">
        <v>515</v>
      </c>
      <c r="AC76" s="62" t="s">
        <v>979</v>
      </c>
    </row>
    <row r="77" spans="2:29" ht="14" thickTop="1" thickBot="1">
      <c r="B77" s="10"/>
      <c r="D77" s="66"/>
      <c r="E77" s="52" t="s">
        <v>610</v>
      </c>
      <c r="F77" s="7"/>
      <c r="G77" s="8"/>
      <c r="H77" s="7"/>
      <c r="I77" s="6"/>
      <c r="J77" s="7"/>
      <c r="K77" s="8"/>
      <c r="L77" s="7"/>
      <c r="M77" s="8"/>
      <c r="N77" s="7"/>
      <c r="O77" s="8"/>
      <c r="P77" s="7"/>
      <c r="Q77" s="7"/>
      <c r="R77" s="8"/>
      <c r="S77" s="7"/>
      <c r="T77" s="9"/>
      <c r="U77" s="7"/>
      <c r="V77" s="8"/>
      <c r="W77" s="7"/>
      <c r="X77" s="7"/>
      <c r="Y77" s="8"/>
      <c r="Z77" s="7"/>
      <c r="AA77" s="58"/>
      <c r="AB77" s="62" t="s">
        <v>515</v>
      </c>
      <c r="AC77" s="62" t="s">
        <v>980</v>
      </c>
    </row>
    <row r="78" spans="2:29" ht="14" thickTop="1" thickBot="1">
      <c r="B78" s="10"/>
      <c r="D78" s="66"/>
      <c r="E78" s="52" t="s">
        <v>609</v>
      </c>
      <c r="F78" s="7"/>
      <c r="G78" s="8"/>
      <c r="H78" s="7"/>
      <c r="I78" s="6"/>
      <c r="J78" s="7"/>
      <c r="K78" s="8"/>
      <c r="L78" s="7"/>
      <c r="M78" s="8"/>
      <c r="N78" s="7"/>
      <c r="O78" s="8"/>
      <c r="P78" s="7"/>
      <c r="Q78" s="7"/>
      <c r="R78" s="8"/>
      <c r="S78" s="7"/>
      <c r="T78" s="9"/>
      <c r="U78" s="7"/>
      <c r="V78" s="8"/>
      <c r="W78" s="7"/>
      <c r="X78" s="7"/>
      <c r="Y78" s="8"/>
      <c r="Z78" s="7"/>
      <c r="AA78" s="58"/>
      <c r="AB78" s="62" t="s">
        <v>515</v>
      </c>
      <c r="AC78" s="62" t="s">
        <v>981</v>
      </c>
    </row>
    <row r="79" spans="2:29" ht="14" thickTop="1" thickBot="1">
      <c r="B79" s="10"/>
      <c r="D79" s="66"/>
      <c r="E79" s="52" t="s">
        <v>353</v>
      </c>
      <c r="F79" s="7"/>
      <c r="G79" s="8"/>
      <c r="H79" s="7"/>
      <c r="I79" s="6"/>
      <c r="J79" s="7"/>
      <c r="K79" s="8"/>
      <c r="L79" s="7"/>
      <c r="M79" s="8"/>
      <c r="N79" s="7"/>
      <c r="O79" s="8"/>
      <c r="P79" s="7"/>
      <c r="Q79" s="7"/>
      <c r="R79" s="8"/>
      <c r="S79" s="7"/>
      <c r="T79" s="9"/>
      <c r="U79" s="7"/>
      <c r="V79" s="8"/>
      <c r="W79" s="7"/>
      <c r="X79" s="7"/>
      <c r="Y79" s="8"/>
      <c r="Z79" s="7"/>
      <c r="AA79" s="58"/>
      <c r="AB79" s="62" t="s">
        <v>515</v>
      </c>
      <c r="AC79" s="62" t="s">
        <v>982</v>
      </c>
    </row>
    <row r="80" spans="2:29" ht="14" thickTop="1" thickBot="1">
      <c r="B80" s="10"/>
      <c r="D80" s="66"/>
      <c r="E80" s="52" t="s">
        <v>350</v>
      </c>
      <c r="F80" s="7"/>
      <c r="G80" s="8"/>
      <c r="H80" s="7"/>
      <c r="I80" s="6"/>
      <c r="J80" s="7"/>
      <c r="K80" s="8"/>
      <c r="L80" s="7"/>
      <c r="M80" s="8"/>
      <c r="N80" s="7"/>
      <c r="O80" s="8"/>
      <c r="P80" s="7"/>
      <c r="Q80" s="7"/>
      <c r="R80" s="8"/>
      <c r="S80" s="7"/>
      <c r="T80" s="9"/>
      <c r="U80" s="7"/>
      <c r="V80" s="8"/>
      <c r="W80" s="7"/>
      <c r="X80" s="7"/>
      <c r="Y80" s="8"/>
      <c r="Z80" s="7"/>
      <c r="AA80" s="58"/>
      <c r="AB80" s="62" t="s">
        <v>515</v>
      </c>
      <c r="AC80" s="62" t="s">
        <v>983</v>
      </c>
    </row>
    <row r="81" spans="2:29" ht="14" thickTop="1" thickBot="1">
      <c r="B81" s="10"/>
      <c r="D81" s="66"/>
      <c r="E81" s="52" t="s">
        <v>352</v>
      </c>
      <c r="F81" s="7"/>
      <c r="G81" s="8"/>
      <c r="H81" s="7"/>
      <c r="I81" s="6"/>
      <c r="J81" s="7"/>
      <c r="K81" s="8"/>
      <c r="L81" s="7"/>
      <c r="M81" s="8"/>
      <c r="N81" s="7"/>
      <c r="O81" s="8"/>
      <c r="P81" s="7"/>
      <c r="Q81" s="7"/>
      <c r="R81" s="8"/>
      <c r="S81" s="7"/>
      <c r="T81" s="9"/>
      <c r="U81" s="7"/>
      <c r="V81" s="8"/>
      <c r="W81" s="7"/>
      <c r="X81" s="7"/>
      <c r="Y81" s="8"/>
      <c r="Z81" s="7"/>
      <c r="AA81" s="58"/>
      <c r="AB81" s="62" t="s">
        <v>515</v>
      </c>
      <c r="AC81" s="62" t="s">
        <v>984</v>
      </c>
    </row>
    <row r="82" spans="2:29" ht="14" thickTop="1" thickBot="1">
      <c r="B82" s="10"/>
      <c r="D82" s="66"/>
      <c r="E82" s="52" t="s">
        <v>354</v>
      </c>
      <c r="F82" s="7"/>
      <c r="G82" s="8"/>
      <c r="H82" s="7"/>
      <c r="I82" s="6"/>
      <c r="J82" s="7"/>
      <c r="K82" s="8"/>
      <c r="L82" s="7"/>
      <c r="M82" s="8"/>
      <c r="N82" s="7"/>
      <c r="O82" s="8"/>
      <c r="P82" s="7"/>
      <c r="Q82" s="7"/>
      <c r="R82" s="8"/>
      <c r="S82" s="7"/>
      <c r="T82" s="9"/>
      <c r="U82" s="7"/>
      <c r="V82" s="8"/>
      <c r="W82" s="7"/>
      <c r="X82" s="7"/>
      <c r="Y82" s="8"/>
      <c r="Z82" s="7"/>
      <c r="AA82" s="58"/>
      <c r="AB82" s="62" t="s">
        <v>515</v>
      </c>
      <c r="AC82" s="62" t="s">
        <v>985</v>
      </c>
    </row>
    <row r="83" spans="2:29" ht="14" thickTop="1" thickBot="1">
      <c r="B83" s="10"/>
      <c r="D83" s="66"/>
      <c r="E83" s="52" t="s">
        <v>347</v>
      </c>
      <c r="F83" s="7"/>
      <c r="G83" s="8"/>
      <c r="H83" s="7"/>
      <c r="I83" s="6"/>
      <c r="J83" s="7"/>
      <c r="K83" s="8"/>
      <c r="L83" s="7"/>
      <c r="M83" s="8"/>
      <c r="N83" s="7"/>
      <c r="O83" s="8"/>
      <c r="P83" s="7"/>
      <c r="Q83" s="7"/>
      <c r="R83" s="8"/>
      <c r="S83" s="7"/>
      <c r="T83" s="9"/>
      <c r="U83" s="7"/>
      <c r="V83" s="8"/>
      <c r="W83" s="7"/>
      <c r="X83" s="7"/>
      <c r="Y83" s="8"/>
      <c r="Z83" s="7"/>
      <c r="AA83" s="58"/>
      <c r="AB83" s="64" t="s">
        <v>515</v>
      </c>
      <c r="AC83" s="64" t="s">
        <v>986</v>
      </c>
    </row>
    <row r="84" spans="2:29" ht="14" thickTop="1" thickBot="1">
      <c r="B84" s="10"/>
      <c r="D84" s="66"/>
      <c r="E84" s="52" t="s">
        <v>684</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6"/>
      <c r="E85" s="52" t="s">
        <v>683</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6"/>
      <c r="E86" s="52" t="s">
        <v>446</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6"/>
      <c r="E87" s="52" t="s">
        <v>438</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6"/>
      <c r="E88" s="52" t="s">
        <v>440</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6"/>
      <c r="E89" s="52" t="s">
        <v>479</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6"/>
      <c r="E90" s="52" t="s">
        <v>668</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6"/>
      <c r="E91" s="52" t="s">
        <v>493</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6"/>
      <c r="E92" s="52" t="s">
        <v>663</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6"/>
      <c r="E93" s="52" t="s">
        <v>480</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6"/>
      <c r="E94" s="52" t="s">
        <v>679</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6"/>
      <c r="E95" s="52" t="s">
        <v>860</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6"/>
      <c r="E96" s="52" t="s">
        <v>468</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6"/>
      <c r="E97" s="52" t="s">
        <v>470</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6"/>
      <c r="E98" s="52" t="s">
        <v>685</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6"/>
      <c r="E99" s="52" t="s">
        <v>482</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6"/>
      <c r="E100" s="52" t="s">
        <v>686</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6"/>
      <c r="E101" s="52" t="s">
        <v>670</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6"/>
      <c r="E102" s="52" t="s">
        <v>606</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6"/>
      <c r="E103" s="52" t="s">
        <v>452</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6"/>
      <c r="E104" s="52" t="s">
        <v>449</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6"/>
      <c r="E105" s="52" t="s">
        <v>673</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6"/>
      <c r="E106" s="52" t="s">
        <v>313</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6"/>
      <c r="E107" s="52" t="s">
        <v>987</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6"/>
      <c r="E108" s="52" t="s">
        <v>672</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6"/>
      <c r="E109" s="52" t="s">
        <v>316</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6"/>
      <c r="E110" s="52" t="s">
        <v>819</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6"/>
      <c r="E111" s="52" t="s">
        <v>687</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6"/>
      <c r="E112" s="52" t="s">
        <v>507</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6"/>
      <c r="E113" s="52" t="s">
        <v>445</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6"/>
      <c r="E114" s="52" t="s">
        <v>320</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6"/>
      <c r="E115" s="52" t="s">
        <v>322</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6"/>
      <c r="E116" s="52" t="s">
        <v>441</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6"/>
      <c r="E117" s="52" t="s">
        <v>512</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6"/>
      <c r="E118" s="52" t="s">
        <v>669</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6"/>
      <c r="E119" s="52" t="s">
        <v>488</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6"/>
      <c r="E120" s="52" t="s">
        <v>486</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6"/>
      <c r="E121" s="52" t="s">
        <v>485</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6"/>
      <c r="E122" s="52" t="s">
        <v>477</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6"/>
      <c r="E123" s="52" t="s">
        <v>671</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6"/>
      <c r="E124" s="52" t="s">
        <v>509</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6"/>
      <c r="E125" s="52" t="s">
        <v>513</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6"/>
      <c r="E126" s="52" t="s">
        <v>405</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6"/>
      <c r="E127" s="52" t="s">
        <v>419</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6"/>
      <c r="E128" s="52" t="s">
        <v>511</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6"/>
      <c r="E129" s="52" t="s">
        <v>444</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6"/>
      <c r="E130" s="52" t="s">
        <v>510</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6"/>
      <c r="E131" s="52" t="s">
        <v>326</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6"/>
      <c r="E132" s="52" t="s">
        <v>471</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6"/>
      <c r="E133" s="52" t="s">
        <v>675</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6"/>
      <c r="E134" s="52" t="s">
        <v>843</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6"/>
      <c r="E135" s="52" t="s">
        <v>845</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6"/>
      <c r="E136" s="52" t="s">
        <v>844</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6"/>
      <c r="E137" s="52" t="s">
        <v>988</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6"/>
      <c r="E138" s="52" t="s">
        <v>329</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6"/>
      <c r="E139" s="52" t="s">
        <v>330</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6"/>
      <c r="E140" s="52" t="s">
        <v>420</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6"/>
      <c r="E141" s="52" t="s">
        <v>469</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6"/>
      <c r="E142" s="52" t="s">
        <v>332</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6"/>
      <c r="E143" s="52" t="s">
        <v>473</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6"/>
      <c r="E144" s="52" t="s">
        <v>304</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6"/>
      <c r="E145" s="52" t="s">
        <v>335</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6"/>
      <c r="E146" s="52" t="s">
        <v>336</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6"/>
      <c r="E147" s="52" t="s">
        <v>508</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6"/>
      <c r="E148" s="52" t="s">
        <v>442</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6"/>
      <c r="E149" s="52" t="s">
        <v>337</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6"/>
      <c r="E150" s="52" t="s">
        <v>467</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6"/>
      <c r="E151" s="52" t="s">
        <v>677</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6"/>
      <c r="E152" s="52" t="s">
        <v>688</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6"/>
      <c r="E153" s="52" t="s">
        <v>689</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6"/>
      <c r="E154" s="52" t="s">
        <v>690</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6"/>
      <c r="E155" s="52" t="s">
        <v>338</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6"/>
      <c r="E156" s="52" t="s">
        <v>339</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6"/>
      <c r="E157" s="52" t="s">
        <v>341</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6"/>
      <c r="E158" s="52" t="s">
        <v>870</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6"/>
      <c r="E159" s="52" t="s">
        <v>514</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6"/>
      <c r="E160" s="52" t="s">
        <v>674</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6"/>
      <c r="E161" s="52" t="s">
        <v>678</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B162" s="10"/>
      <c r="D162" s="66"/>
      <c r="E162" s="52" t="s">
        <v>342</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B163" s="10"/>
      <c r="D163" s="66"/>
      <c r="E163" s="52" t="s">
        <v>343</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6"/>
      <c r="E164" s="52" t="s">
        <v>443</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6"/>
      <c r="E165" s="52" t="s">
        <v>666</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6"/>
      <c r="E166" s="52" t="s">
        <v>657</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6"/>
      <c r="E167" s="52" t="s">
        <v>615</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6"/>
      <c r="E168" s="52" t="s">
        <v>616</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6"/>
      <c r="E169" s="52" t="s">
        <v>618</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6"/>
      <c r="E170" s="52" t="s">
        <v>625</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6"/>
      <c r="E171" s="52" t="s">
        <v>623</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6"/>
      <c r="E172" s="52" t="s">
        <v>361</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6"/>
      <c r="E173" s="52" t="s">
        <v>635</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6"/>
      <c r="E174" s="52" t="s">
        <v>614</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6"/>
      <c r="E175" s="52" t="s">
        <v>617</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6"/>
      <c r="E176" s="52" t="s">
        <v>619</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6"/>
      <c r="E177" s="52" t="s">
        <v>360</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6"/>
      <c r="E178" s="52" t="s">
        <v>621</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6"/>
      <c r="E179" s="52" t="s">
        <v>627</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6"/>
      <c r="E180" s="52" t="s">
        <v>624</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6"/>
      <c r="E181" s="52" t="s">
        <v>626</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6"/>
      <c r="E182" s="52" t="s">
        <v>637</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6"/>
      <c r="E183" s="52" t="s">
        <v>370</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6"/>
      <c r="E184" s="52" t="s">
        <v>366</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6"/>
      <c r="E185" s="52" t="s">
        <v>367</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6"/>
      <c r="E186" s="52" t="s">
        <v>622</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6"/>
      <c r="E187" s="52" t="s">
        <v>368</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6"/>
      <c r="E188" s="52" t="s">
        <v>365</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6"/>
      <c r="E189" s="52" t="s">
        <v>364</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6"/>
      <c r="E190" s="52" t="s">
        <v>363</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6"/>
      <c r="E191" s="52" t="s">
        <v>653</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6"/>
      <c r="E192" s="52" t="s">
        <v>660</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6"/>
      <c r="E193" s="52" t="s">
        <v>651</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6"/>
      <c r="E194" s="52" t="s">
        <v>661</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6"/>
      <c r="E195" s="52" t="s">
        <v>418</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6"/>
      <c r="E196" s="52" t="s">
        <v>649</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6"/>
      <c r="E197" s="52" t="s">
        <v>399</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6"/>
      <c r="E198" s="52" t="s">
        <v>648</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6"/>
      <c r="E199" s="52" t="s">
        <v>662</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6"/>
      <c r="E200" s="52" t="s">
        <v>417</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6"/>
      <c r="E201" s="52" t="s">
        <v>647</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6"/>
      <c r="E202" s="52" t="s">
        <v>389</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6"/>
      <c r="E203" s="52" t="s">
        <v>390</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6"/>
      <c r="E204" s="52" t="s">
        <v>401</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6"/>
      <c r="E205" s="52" t="s">
        <v>391</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6"/>
      <c r="E206" s="52" t="s">
        <v>400</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6"/>
      <c r="E207" s="52" t="s">
        <v>411</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6"/>
      <c r="E208" s="52" t="s">
        <v>395</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6"/>
      <c r="E209" s="52" t="s">
        <v>345</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6"/>
      <c r="E210" s="52" t="s">
        <v>408</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6"/>
      <c r="E211" s="52" t="s">
        <v>412</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6"/>
      <c r="E212" s="52" t="s">
        <v>393</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6"/>
      <c r="E213" s="52" t="s">
        <v>655</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6"/>
      <c r="E214" s="52" t="s">
        <v>820</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6"/>
      <c r="E215" s="52" t="s">
        <v>407</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6"/>
      <c r="E216" s="52" t="s">
        <v>394</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6"/>
      <c r="E217" s="52" t="s">
        <v>414</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6"/>
      <c r="E218" s="52" t="s">
        <v>413</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6"/>
      <c r="E219" s="52" t="s">
        <v>658</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6"/>
      <c r="E220" s="52" t="s">
        <v>396</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6"/>
      <c r="E221" s="52" t="s">
        <v>654</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6"/>
      <c r="E222" s="52" t="s">
        <v>415</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6"/>
      <c r="E223" s="52" t="s">
        <v>402</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6"/>
      <c r="E224" s="52" t="s">
        <v>410</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6"/>
      <c r="E225" s="52" t="s">
        <v>650</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6"/>
      <c r="E226" s="52" t="s">
        <v>398</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6"/>
      <c r="E227" s="52" t="s">
        <v>656</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6"/>
      <c r="E228" s="52" t="s">
        <v>403</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6"/>
      <c r="E229" s="52" t="s">
        <v>406</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6"/>
      <c r="E230" s="52" t="s">
        <v>421</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6"/>
      <c r="E231" s="52" t="s">
        <v>416</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6"/>
      <c r="E232" s="52" t="s">
        <v>659</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6"/>
      <c r="E233" s="52" t="s">
        <v>652</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6"/>
      <c r="E234" s="52" t="s">
        <v>404</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6"/>
      <c r="E235" s="52" t="s">
        <v>409</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6"/>
      <c r="E236" s="52" t="s">
        <v>385</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6"/>
      <c r="E237" s="52" t="s">
        <v>386</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6"/>
      <c r="E238" s="52" t="s">
        <v>371</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6"/>
      <c r="E239" s="52" t="s">
        <v>629</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6"/>
      <c r="E240" s="52" t="s">
        <v>640</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6"/>
      <c r="E241" s="52" t="s">
        <v>821</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6"/>
      <c r="E242" s="52" t="s">
        <v>375</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6"/>
      <c r="E243" s="52" t="s">
        <v>308</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6"/>
      <c r="E244" s="52" t="s">
        <v>382</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6"/>
      <c r="E245" s="52" t="s">
        <v>639</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6"/>
      <c r="E246" s="52" t="s">
        <v>641</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6"/>
      <c r="E247" s="52" t="s">
        <v>387</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6"/>
      <c r="E248" s="52" t="s">
        <v>643</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6"/>
      <c r="E249" s="52" t="s">
        <v>384</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6"/>
      <c r="E250" s="52" t="s">
        <v>383</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6"/>
      <c r="E251" s="52" t="s">
        <v>381</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6"/>
      <c r="E252" s="52" t="s">
        <v>380</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6"/>
      <c r="E253" s="52" t="s">
        <v>377</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6"/>
      <c r="E254" s="52" t="s">
        <v>644</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6"/>
      <c r="E255" s="52" t="s">
        <v>642</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6"/>
      <c r="E256" s="52" t="s">
        <v>634</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6"/>
      <c r="E257" s="52" t="s">
        <v>628</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6"/>
      <c r="E258" s="52" t="s">
        <v>630</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6"/>
      <c r="E259" s="52" t="s">
        <v>631</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6"/>
      <c r="E260" s="52" t="s">
        <v>645</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6"/>
      <c r="E261" s="52" t="s">
        <v>632</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6"/>
      <c r="E262" s="52" t="s">
        <v>633</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6"/>
      <c r="E263" s="52" t="s">
        <v>373</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6"/>
      <c r="E264" s="52" t="s">
        <v>379</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6"/>
      <c r="E265" s="52" t="s">
        <v>376</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6"/>
      <c r="E266" s="52" t="s">
        <v>372</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6"/>
      <c r="E267" s="52" t="s">
        <v>374</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6"/>
      <c r="E268" s="52" t="s">
        <v>636</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6"/>
      <c r="E269" s="52" t="s">
        <v>638</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6"/>
      <c r="E270" s="52" t="s">
        <v>989</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6"/>
      <c r="E271" s="52" t="s">
        <v>378</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6"/>
      <c r="E272" s="52" t="s">
        <v>814</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6"/>
      <c r="E273" s="52" t="s">
        <v>990</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6"/>
      <c r="E274" s="52" t="s">
        <v>196</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6"/>
      <c r="E275" s="52" t="s">
        <v>822</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6"/>
      <c r="E276" s="52" t="s">
        <v>200</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6"/>
      <c r="E277" s="52" t="s">
        <v>201</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6"/>
      <c r="E278" s="52" t="s">
        <v>203</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6"/>
      <c r="E279" s="52" t="s">
        <v>991</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6"/>
      <c r="E280" s="52" t="s">
        <v>992</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6"/>
      <c r="E281" s="52" t="s">
        <v>739</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6"/>
      <c r="E282" s="52" t="s">
        <v>204</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6"/>
      <c r="E283" s="52" t="s">
        <v>825</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6"/>
      <c r="E284" s="52" t="s">
        <v>245</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6"/>
      <c r="E285" s="52" t="s">
        <v>147</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6"/>
      <c r="E286" s="52" t="s">
        <v>247</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6"/>
      <c r="E287" s="52" t="s">
        <v>225</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6"/>
      <c r="E288" s="52" t="s">
        <v>785</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6"/>
      <c r="E289" s="52" t="s">
        <v>786</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6"/>
      <c r="E290" s="52" t="s">
        <v>230</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6"/>
      <c r="E291" s="52" t="s">
        <v>248</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6"/>
      <c r="E292" s="52" t="s">
        <v>249</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6"/>
      <c r="E293" s="52" t="s">
        <v>250</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6"/>
      <c r="E294" s="52" t="s">
        <v>792</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6"/>
      <c r="E295" s="52" t="s">
        <v>251</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6"/>
      <c r="E296" s="52" t="s">
        <v>252</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6"/>
      <c r="E297" s="52" t="s">
        <v>149</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6"/>
      <c r="E298" s="52" t="s">
        <v>253</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6"/>
      <c r="E299" s="52" t="s">
        <v>254</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6"/>
      <c r="E300" s="52" t="s">
        <v>793</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6"/>
      <c r="E301" s="52" t="s">
        <v>255</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6"/>
      <c r="E302" s="52" t="s">
        <v>256</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6"/>
      <c r="E303" s="52" t="s">
        <v>257</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6"/>
      <c r="E304" s="52" t="s">
        <v>258</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6"/>
      <c r="E305" s="52" t="s">
        <v>231</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6"/>
      <c r="E306" s="52" t="s">
        <v>259</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6"/>
      <c r="E307" s="52" t="s">
        <v>260</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6"/>
      <c r="E308" s="52" t="s">
        <v>261</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6"/>
      <c r="E309" s="52" t="s">
        <v>262</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6"/>
      <c r="E310" s="52" t="s">
        <v>535</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6"/>
      <c r="E311" s="52" t="s">
        <v>558</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6"/>
      <c r="E312" s="52" t="s">
        <v>800</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6"/>
      <c r="E313" s="52" t="s">
        <v>540</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6"/>
      <c r="E314" s="52" t="s">
        <v>830</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6"/>
      <c r="E315" s="52" t="s">
        <v>541</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6"/>
      <c r="E316" s="52" t="s">
        <v>520</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6"/>
      <c r="E317" s="52" t="s">
        <v>549</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6"/>
      <c r="E318" s="52" t="s">
        <v>698</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6"/>
      <c r="E319" s="52" t="s">
        <v>701</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6"/>
      <c r="E320" s="52" t="s">
        <v>531</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6"/>
      <c r="E321" s="52" t="s">
        <v>847</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6"/>
      <c r="E322" s="52" t="s">
        <v>993</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6"/>
      <c r="E323" s="52" t="s">
        <v>538</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6"/>
      <c r="E324" s="52" t="s">
        <v>994</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6"/>
      <c r="E325" s="52" t="s">
        <v>718</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6"/>
      <c r="E326" s="52" t="s">
        <v>824</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6"/>
      <c r="E327" s="52" t="s">
        <v>707</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6"/>
      <c r="E328" s="52" t="s">
        <v>995</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6"/>
      <c r="E329" s="52" t="s">
        <v>996</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6"/>
      <c r="E330" s="52"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6"/>
      <c r="E331" s="52" t="s">
        <v>997</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6"/>
      <c r="E332" s="52" t="s">
        <v>998</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6"/>
      <c r="E333" s="52" t="s">
        <v>841</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6"/>
      <c r="E334" s="52" t="s">
        <v>706</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6"/>
      <c r="E335" s="52" t="s">
        <v>999</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6"/>
      <c r="E336" s="52" t="s">
        <v>725</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6"/>
      <c r="E337" s="52" t="s">
        <v>708</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6"/>
      <c r="E338" s="52" t="s">
        <v>548</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6"/>
      <c r="E339" s="52" t="s">
        <v>523</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6"/>
      <c r="E340" s="52" t="s">
        <v>153</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6"/>
      <c r="E341" s="52" t="s">
        <v>240</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6"/>
      <c r="E342" s="52" t="s">
        <v>154</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6"/>
      <c r="E343" s="52" t="s">
        <v>155</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6"/>
      <c r="E344" s="52" t="s">
        <v>156</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6"/>
      <c r="E345" s="52" t="s">
        <v>770</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6"/>
      <c r="E346" s="52" t="s">
        <v>762</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6"/>
      <c r="E347" s="52" t="s">
        <v>758</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6"/>
      <c r="E348" s="52" t="s">
        <v>1000</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6"/>
      <c r="E349" s="52" t="s">
        <v>239</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6"/>
      <c r="E350" s="52" t="s">
        <v>206</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6"/>
      <c r="E351" s="52" t="s">
        <v>749</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6"/>
      <c r="E352" s="52" t="s">
        <v>232</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6"/>
      <c r="E353" s="52" t="s">
        <v>217</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6"/>
      <c r="E354" s="52" t="s">
        <v>290</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6"/>
      <c r="E355" s="52" t="s">
        <v>207</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6"/>
      <c r="E356" s="52" t="s">
        <v>209</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6"/>
      <c r="E357" s="52" t="s">
        <v>740</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6"/>
      <c r="E358" s="52" t="s">
        <v>281</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6"/>
      <c r="E359" s="52" t="s">
        <v>282</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6"/>
      <c r="E360" s="52" t="s">
        <v>1001</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6"/>
      <c r="E361" s="52" t="s">
        <v>834</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6"/>
      <c r="E362" s="52" t="s">
        <v>836</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6"/>
      <c r="E363" s="52" t="s">
        <v>838</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6"/>
      <c r="E364" s="52" t="s">
        <v>1002</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6"/>
      <c r="E365" s="52" t="s">
        <v>839</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6"/>
      <c r="E366" s="52" t="s">
        <v>1003</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6"/>
      <c r="E367" s="52" t="s">
        <v>746</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6"/>
      <c r="E368" s="52" t="s">
        <v>210</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6"/>
      <c r="E369" s="52" t="s">
        <v>287</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6"/>
      <c r="E370" s="52" t="s">
        <v>744</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6"/>
      <c r="E371" s="52" t="s">
        <v>211</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6"/>
      <c r="E372" s="52" t="s">
        <v>213</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6"/>
      <c r="E373" s="52" t="s">
        <v>733</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6"/>
      <c r="E374" s="52" t="s">
        <v>742</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6"/>
      <c r="E375" s="52" t="s">
        <v>295</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6"/>
      <c r="E376" s="52" t="s">
        <v>735</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6"/>
      <c r="E377" s="52" t="s">
        <v>1004</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6"/>
      <c r="E378" s="52" t="s">
        <v>854</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6"/>
      <c r="E379" s="52" t="s">
        <v>855</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6"/>
      <c r="E380" s="52" t="s">
        <v>856</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6"/>
      <c r="E381" s="52" t="s">
        <v>857</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6"/>
      <c r="E382" s="52" t="s">
        <v>858</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6"/>
      <c r="E383" s="52" t="s">
        <v>859</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6"/>
      <c r="E384" s="52" t="s">
        <v>751</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6"/>
      <c r="E385" s="52" t="s">
        <v>748</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6"/>
      <c r="E386" s="52" t="s">
        <v>559</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6"/>
      <c r="E387" s="52" t="s">
        <v>723</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6"/>
      <c r="E388" s="52" t="s">
        <v>721</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6"/>
      <c r="E389" s="52" t="s">
        <v>719</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6"/>
      <c r="E390" s="52" t="s">
        <v>720</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6"/>
      <c r="E391" s="52" t="s">
        <v>1005</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6"/>
      <c r="E392" s="52" t="s">
        <v>782</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6"/>
      <c r="E393" s="52" t="s">
        <v>780</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6"/>
      <c r="E394" s="52" t="s">
        <v>781</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6"/>
      <c r="E395" s="52" t="s">
        <v>161</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6"/>
      <c r="E396" s="52" t="s">
        <v>233</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6"/>
      <c r="E397" s="52" t="s">
        <v>162</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6"/>
      <c r="E398" s="52" t="s">
        <v>163</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6"/>
      <c r="E399" s="52" t="s">
        <v>164</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6"/>
      <c r="E400" s="52" t="s">
        <v>165</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6"/>
      <c r="E401" s="52" t="s">
        <v>166</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6"/>
      <c r="E402" s="52" t="s">
        <v>263</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6"/>
      <c r="E403" s="52" t="s">
        <v>264</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6"/>
      <c r="E404" s="52" t="s">
        <v>234</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6"/>
      <c r="E405" s="52" t="s">
        <v>167</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6"/>
      <c r="E406" s="52" t="s">
        <v>235</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6"/>
      <c r="E407" s="52" t="s">
        <v>168</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6"/>
      <c r="E408" s="52" t="s">
        <v>265</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6"/>
      <c r="E409" s="52" t="s">
        <v>169</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6"/>
      <c r="E410" s="52" t="s">
        <v>868</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6"/>
      <c r="E411" s="52" t="s">
        <v>170</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6"/>
      <c r="E412" s="52" t="s">
        <v>267</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6"/>
      <c r="E413" s="52" t="s">
        <v>171</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6"/>
      <c r="E414" s="52" t="s">
        <v>172</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6"/>
      <c r="E415" s="52" t="s">
        <v>775</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6"/>
      <c r="E416" s="52" t="s">
        <v>709</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6"/>
      <c r="E417" s="52" t="s">
        <v>710</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6"/>
      <c r="E418" s="52" t="s">
        <v>527</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6"/>
      <c r="E419" s="52" t="s">
        <v>562</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6"/>
      <c r="E420" s="52" t="s">
        <v>517</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6"/>
      <c r="E421" s="52" t="s">
        <v>694</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6"/>
      <c r="E422" s="52" t="s">
        <v>1006</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6"/>
      <c r="E423" s="52" t="s">
        <v>827</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6"/>
      <c r="E424" s="52" t="s">
        <v>174</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6"/>
      <c r="E425" s="52" t="s">
        <v>851</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6"/>
      <c r="E426" s="52" t="s">
        <v>583</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6"/>
      <c r="E427" s="52" t="s">
        <v>215</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6"/>
      <c r="E428" s="52" t="s">
        <v>216</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6"/>
      <c r="E429" s="52" t="s">
        <v>862</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6"/>
      <c r="E430" s="52" t="s">
        <v>799</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6"/>
      <c r="E431" s="52" t="s">
        <v>850</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6"/>
      <c r="E432" s="52" t="s">
        <v>236</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6"/>
      <c r="E433" s="52" t="s">
        <v>219</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6"/>
      <c r="E434" s="52" t="s">
        <v>220</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6"/>
      <c r="E435" s="52" t="s">
        <v>268</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6"/>
      <c r="E436" s="52" t="s">
        <v>175</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6"/>
      <c r="E437" s="52" t="s">
        <v>176</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6"/>
      <c r="E438" s="52" t="s">
        <v>177</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6"/>
      <c r="E439" s="52" t="s">
        <v>269</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6"/>
      <c r="E440" s="52" t="s">
        <v>237</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6"/>
      <c r="E441" s="52" t="s">
        <v>178</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6"/>
      <c r="E442" s="52" t="s">
        <v>179</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6"/>
      <c r="E443" s="52" t="s">
        <v>270</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6"/>
      <c r="E444" s="52" t="s">
        <v>761</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6"/>
      <c r="E445" s="52" t="s">
        <v>238</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6"/>
      <c r="E446" s="52" t="s">
        <v>271</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6"/>
      <c r="E447" s="52" t="s">
        <v>181</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6"/>
      <c r="E448" s="52" t="s">
        <v>272</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6"/>
      <c r="E449" s="52" t="s">
        <v>273</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6"/>
      <c r="E450" s="52" t="s">
        <v>182</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6"/>
      <c r="E451" s="52" t="s">
        <v>274</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6"/>
      <c r="E452" s="52" t="s">
        <v>275</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6"/>
      <c r="E453" s="52" t="s">
        <v>773</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6"/>
      <c r="E454" s="52" t="s">
        <v>221</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6"/>
      <c r="E455" s="52" t="s">
        <v>1007</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6"/>
      <c r="E456" s="52" t="s">
        <v>223</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6"/>
      <c r="E457" s="52" t="s">
        <v>766</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6"/>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6"/>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6"/>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6"/>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6"/>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6"/>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6"/>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6"/>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6"/>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6"/>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6"/>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6"/>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6"/>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6"/>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6"/>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6"/>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6"/>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6"/>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6"/>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6"/>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6"/>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6"/>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6"/>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6"/>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6"/>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6"/>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6"/>
      <c r="U484" s="7"/>
      <c r="V484" s="8"/>
    </row>
    <row r="485" spans="4:27">
      <c r="D485" s="66"/>
    </row>
    <row r="486" spans="4:27">
      <c r="D486" s="66"/>
    </row>
    <row r="487" spans="4:27">
      <c r="D487" s="66"/>
    </row>
    <row r="488" spans="4:27">
      <c r="D488" s="66"/>
    </row>
    <row r="489" spans="4:27">
      <c r="D489" s="66"/>
    </row>
    <row r="490" spans="4:27">
      <c r="D490" s="66"/>
    </row>
    <row r="491" spans="4:27">
      <c r="D491" s="66"/>
    </row>
    <row r="492" spans="4:27">
      <c r="D492" s="66"/>
    </row>
    <row r="493" spans="4:27">
      <c r="D493" s="66"/>
    </row>
    <row r="494" spans="4:27">
      <c r="D494" s="66"/>
    </row>
    <row r="495" spans="4:27">
      <c r="D495" s="66"/>
    </row>
    <row r="496" spans="4:27">
      <c r="D496" s="66"/>
    </row>
    <row r="497" spans="4:4">
      <c r="D497" s="66"/>
    </row>
    <row r="498" spans="4:4">
      <c r="D498" s="66"/>
    </row>
    <row r="499" spans="4:4">
      <c r="D499" s="66"/>
    </row>
    <row r="500" spans="4:4">
      <c r="D500" s="66"/>
    </row>
    <row r="501" spans="4:4">
      <c r="D501" s="66"/>
    </row>
    <row r="502" spans="4:4">
      <c r="D502" s="66"/>
    </row>
    <row r="503" spans="4:4">
      <c r="D503" s="66"/>
    </row>
    <row r="504" spans="4:4">
      <c r="D504" s="66"/>
    </row>
    <row r="505" spans="4:4">
      <c r="D505" s="66"/>
    </row>
    <row r="506" spans="4:4">
      <c r="D506" s="66"/>
    </row>
    <row r="507" spans="4:4">
      <c r="D507" s="66"/>
    </row>
    <row r="508" spans="4:4">
      <c r="D508" s="66"/>
    </row>
    <row r="509" spans="4:4">
      <c r="D509" s="66"/>
    </row>
    <row r="510" spans="4:4">
      <c r="D510" s="66"/>
    </row>
    <row r="511" spans="4:4">
      <c r="D511" s="66"/>
    </row>
    <row r="512" spans="4:4">
      <c r="D512" s="66"/>
    </row>
    <row r="513" spans="4:4">
      <c r="D513" s="66"/>
    </row>
    <row r="514" spans="4:4">
      <c r="D514" s="66"/>
    </row>
    <row r="515" spans="4:4">
      <c r="D515" s="66"/>
    </row>
    <row r="516" spans="4:4">
      <c r="D516" s="66"/>
    </row>
    <row r="517" spans="4:4">
      <c r="D517" s="66"/>
    </row>
    <row r="518" spans="4:4">
      <c r="D518" s="66"/>
    </row>
    <row r="519" spans="4:4">
      <c r="D519" s="66"/>
    </row>
    <row r="520" spans="4:4">
      <c r="D520" s="66"/>
    </row>
    <row r="521" spans="4:4">
      <c r="D521" s="66"/>
    </row>
    <row r="522" spans="4:4">
      <c r="D522" s="66"/>
    </row>
    <row r="523" spans="4:4">
      <c r="D523" s="66"/>
    </row>
    <row r="524" spans="4:4">
      <c r="D524" s="66"/>
    </row>
    <row r="525" spans="4:4">
      <c r="D525" s="66"/>
    </row>
    <row r="526" spans="4:4">
      <c r="D526" s="66"/>
    </row>
    <row r="527" spans="4:4">
      <c r="D527" s="66"/>
    </row>
    <row r="528" spans="4:4">
      <c r="D528" s="66"/>
    </row>
    <row r="529" spans="4:4">
      <c r="D529" s="66"/>
    </row>
    <row r="530" spans="4:4">
      <c r="D530" s="66"/>
    </row>
    <row r="531" spans="4:4">
      <c r="D531" s="66"/>
    </row>
    <row r="532" spans="4:4">
      <c r="D532" s="66"/>
    </row>
    <row r="533" spans="4:4">
      <c r="D533" s="66"/>
    </row>
    <row r="534" spans="4:4">
      <c r="D534" s="66"/>
    </row>
    <row r="535" spans="4:4">
      <c r="D535" s="66"/>
    </row>
    <row r="536" spans="4:4">
      <c r="D536" s="66"/>
    </row>
    <row r="537" spans="4:4">
      <c r="D537" s="66"/>
    </row>
    <row r="538" spans="4:4">
      <c r="D538" s="66"/>
    </row>
    <row r="539" spans="4:4">
      <c r="D539" s="66"/>
    </row>
    <row r="540" spans="4:4">
      <c r="D540" s="66"/>
    </row>
    <row r="541" spans="4:4">
      <c r="D541" s="66"/>
    </row>
    <row r="542" spans="4:4">
      <c r="D542" s="66"/>
    </row>
    <row r="543" spans="4:4">
      <c r="D543" s="66"/>
    </row>
    <row r="544" spans="4:4">
      <c r="D544" s="66"/>
    </row>
    <row r="545" spans="4:4">
      <c r="D545" s="66"/>
    </row>
    <row r="546" spans="4:4">
      <c r="D546" s="66"/>
    </row>
    <row r="547" spans="4:4">
      <c r="D547" s="66"/>
    </row>
    <row r="548" spans="4:4">
      <c r="D548" s="66"/>
    </row>
    <row r="549" spans="4:4">
      <c r="D549" s="66"/>
    </row>
    <row r="550" spans="4:4">
      <c r="D550" s="66"/>
    </row>
    <row r="551" spans="4:4">
      <c r="D551" s="66"/>
    </row>
    <row r="552" spans="4:4">
      <c r="D552" s="66"/>
    </row>
    <row r="553" spans="4:4">
      <c r="D553" s="66"/>
    </row>
    <row r="554" spans="4:4">
      <c r="D554" s="66"/>
    </row>
    <row r="555" spans="4:4">
      <c r="D555" s="66"/>
    </row>
    <row r="556" spans="4:4">
      <c r="D556" s="66"/>
    </row>
    <row r="557" spans="4:4">
      <c r="D557" s="66"/>
    </row>
    <row r="558" spans="4:4">
      <c r="D558" s="66"/>
    </row>
    <row r="559" spans="4:4">
      <c r="D559" s="66"/>
    </row>
    <row r="560" spans="4:4">
      <c r="D560" s="66"/>
    </row>
    <row r="561" spans="4:4">
      <c r="D561" s="66"/>
    </row>
    <row r="562" spans="4:4">
      <c r="D562" s="66"/>
    </row>
    <row r="563" spans="4:4">
      <c r="D563" s="66"/>
    </row>
    <row r="564" spans="4:4">
      <c r="D564" s="66"/>
    </row>
    <row r="565" spans="4:4">
      <c r="D565" s="66"/>
    </row>
    <row r="566" spans="4:4">
      <c r="D566" s="66"/>
    </row>
    <row r="567" spans="4:4">
      <c r="D567" s="66"/>
    </row>
    <row r="568" spans="4:4">
      <c r="D568" s="66"/>
    </row>
    <row r="569" spans="4:4">
      <c r="D569" s="66"/>
    </row>
    <row r="570" spans="4:4">
      <c r="D570" s="66"/>
    </row>
    <row r="571" spans="4:4">
      <c r="D571" s="66"/>
    </row>
    <row r="572" spans="4:4">
      <c r="D572" s="66"/>
    </row>
    <row r="573" spans="4:4">
      <c r="D573" s="66"/>
    </row>
    <row r="574" spans="4:4">
      <c r="D574" s="66"/>
    </row>
    <row r="575" spans="4:4">
      <c r="D575" s="66"/>
    </row>
    <row r="576" spans="4:4">
      <c r="D576" s="66"/>
    </row>
    <row r="577" spans="4:4">
      <c r="D577" s="66"/>
    </row>
    <row r="578" spans="4:4">
      <c r="D578" s="66"/>
    </row>
    <row r="579" spans="4:4">
      <c r="D579" s="66"/>
    </row>
    <row r="580" spans="4:4">
      <c r="D580" s="66"/>
    </row>
    <row r="581" spans="4:4">
      <c r="D581" s="66"/>
    </row>
    <row r="582" spans="4:4">
      <c r="D582" s="66"/>
    </row>
    <row r="583" spans="4:4">
      <c r="D583" s="66"/>
    </row>
    <row r="584" spans="4:4">
      <c r="D584" s="66"/>
    </row>
    <row r="585" spans="4:4">
      <c r="D585" s="66"/>
    </row>
    <row r="586" spans="4:4">
      <c r="D586" s="66"/>
    </row>
    <row r="587" spans="4:4">
      <c r="D587" s="66"/>
    </row>
    <row r="588" spans="4:4">
      <c r="D588" s="66"/>
    </row>
    <row r="589" spans="4:4">
      <c r="D589" s="66"/>
    </row>
    <row r="590" spans="4:4">
      <c r="D590" s="66"/>
    </row>
    <row r="591" spans="4:4">
      <c r="D591" s="66"/>
    </row>
    <row r="592" spans="4:4">
      <c r="D592" s="66"/>
    </row>
    <row r="593" spans="4:4">
      <c r="D593" s="66"/>
    </row>
    <row r="594" spans="4:4">
      <c r="D594" s="66"/>
    </row>
    <row r="595" spans="4:4">
      <c r="D595" s="66"/>
    </row>
    <row r="596" spans="4:4">
      <c r="D596" s="66"/>
    </row>
    <row r="597" spans="4:4">
      <c r="D597" s="66"/>
    </row>
    <row r="598" spans="4:4">
      <c r="D598" s="66"/>
    </row>
    <row r="599" spans="4:4">
      <c r="D599" s="66"/>
    </row>
    <row r="600" spans="4:4">
      <c r="D600" s="66"/>
    </row>
    <row r="601" spans="4:4">
      <c r="D601" s="66"/>
    </row>
    <row r="602" spans="4:4">
      <c r="D602" s="66"/>
    </row>
    <row r="603" spans="4:4">
      <c r="D603" s="66"/>
    </row>
    <row r="604" spans="4:4">
      <c r="D604" s="66"/>
    </row>
    <row r="605" spans="4:4">
      <c r="D605" s="66"/>
    </row>
    <row r="606" spans="4:4">
      <c r="D606" s="66"/>
    </row>
    <row r="607" spans="4:4">
      <c r="D607" s="66"/>
    </row>
    <row r="608" spans="4:4">
      <c r="D608" s="66"/>
    </row>
    <row r="609" spans="4:4">
      <c r="D609" s="66"/>
    </row>
    <row r="610" spans="4:4">
      <c r="D610" s="66"/>
    </row>
    <row r="611" spans="4:4">
      <c r="D611" s="66"/>
    </row>
    <row r="612" spans="4:4">
      <c r="D612" s="66"/>
    </row>
    <row r="613" spans="4:4">
      <c r="D613" s="66"/>
    </row>
    <row r="614" spans="4:4">
      <c r="D614" s="66"/>
    </row>
    <row r="615" spans="4:4">
      <c r="D615" s="66"/>
    </row>
    <row r="616" spans="4:4">
      <c r="D616" s="66"/>
    </row>
    <row r="617" spans="4:4">
      <c r="D617" s="66"/>
    </row>
    <row r="618" spans="4:4">
      <c r="D618" s="66"/>
    </row>
    <row r="619" spans="4:4">
      <c r="D619" s="66"/>
    </row>
    <row r="620" spans="4:4">
      <c r="D620" s="66"/>
    </row>
    <row r="621" spans="4:4">
      <c r="D621" s="66"/>
    </row>
    <row r="622" spans="4:4">
      <c r="D622" s="66"/>
    </row>
    <row r="623" spans="4:4">
      <c r="D623" s="66"/>
    </row>
    <row r="624" spans="4:4">
      <c r="D624" s="66"/>
    </row>
    <row r="625" spans="4:4">
      <c r="D625" s="66"/>
    </row>
    <row r="626" spans="4:4">
      <c r="D626" s="66"/>
    </row>
    <row r="627" spans="4:4">
      <c r="D627" s="66"/>
    </row>
    <row r="628" spans="4:4">
      <c r="D628" s="66"/>
    </row>
    <row r="629" spans="4:4">
      <c r="D629" s="66"/>
    </row>
    <row r="630" spans="4:4">
      <c r="D630" s="66"/>
    </row>
    <row r="631" spans="4:4">
      <c r="D631" s="66"/>
    </row>
    <row r="632" spans="4:4">
      <c r="D632" s="66"/>
    </row>
    <row r="633" spans="4:4">
      <c r="D633" s="66"/>
    </row>
    <row r="634" spans="4:4">
      <c r="D634" s="66"/>
    </row>
    <row r="635" spans="4:4">
      <c r="D635" s="66"/>
    </row>
    <row r="636" spans="4:4">
      <c r="D636" s="66"/>
    </row>
    <row r="637" spans="4:4">
      <c r="D637" s="66"/>
    </row>
    <row r="638" spans="4:4">
      <c r="D638" s="66"/>
    </row>
    <row r="639" spans="4:4">
      <c r="D639" s="66"/>
    </row>
    <row r="640" spans="4:4">
      <c r="D640" s="66"/>
    </row>
    <row r="641" spans="4:4">
      <c r="D641" s="66"/>
    </row>
    <row r="642" spans="4:4">
      <c r="D642" s="66"/>
    </row>
    <row r="643" spans="4:4">
      <c r="D643" s="66"/>
    </row>
    <row r="644" spans="4:4">
      <c r="D644" s="66"/>
    </row>
    <row r="645" spans="4:4">
      <c r="D645" s="66"/>
    </row>
    <row r="646" spans="4:4">
      <c r="D646" s="66"/>
    </row>
    <row r="647" spans="4:4">
      <c r="D647" s="66"/>
    </row>
    <row r="648" spans="4:4">
      <c r="D648" s="66"/>
    </row>
    <row r="649" spans="4:4">
      <c r="D649" s="66"/>
    </row>
    <row r="650" spans="4:4">
      <c r="D650" s="66"/>
    </row>
    <row r="651" spans="4:4">
      <c r="D651" s="66"/>
    </row>
    <row r="652" spans="4:4">
      <c r="D652" s="66"/>
    </row>
    <row r="653" spans="4:4">
      <c r="D653" s="66"/>
    </row>
    <row r="654" spans="4:4">
      <c r="D654" s="66"/>
    </row>
    <row r="655" spans="4:4">
      <c r="D655" s="66"/>
    </row>
    <row r="656" spans="4:4">
      <c r="D656" s="66"/>
    </row>
    <row r="657" spans="4:4">
      <c r="D657" s="66"/>
    </row>
    <row r="658" spans="4:4">
      <c r="D658" s="66"/>
    </row>
    <row r="659" spans="4:4">
      <c r="D659" s="66"/>
    </row>
    <row r="660" spans="4:4">
      <c r="D660" s="66"/>
    </row>
    <row r="661" spans="4:4">
      <c r="D661" s="66"/>
    </row>
    <row r="662" spans="4:4">
      <c r="D662" s="66"/>
    </row>
    <row r="663" spans="4:4">
      <c r="D663" s="66"/>
    </row>
    <row r="664" spans="4:4">
      <c r="D664" s="66"/>
    </row>
    <row r="665" spans="4:4">
      <c r="D665" s="66"/>
    </row>
    <row r="666" spans="4:4">
      <c r="D666" s="66"/>
    </row>
    <row r="667" spans="4:4">
      <c r="D667" s="66"/>
    </row>
    <row r="668" spans="4:4">
      <c r="D668" s="66"/>
    </row>
    <row r="669" spans="4:4">
      <c r="D669" s="66"/>
    </row>
    <row r="670" spans="4:4">
      <c r="D670" s="66"/>
    </row>
    <row r="671" spans="4:4">
      <c r="D671" s="66"/>
    </row>
    <row r="672" spans="4:4">
      <c r="D672" s="66"/>
    </row>
    <row r="673" spans="4:4">
      <c r="D673" s="66"/>
    </row>
    <row r="674" spans="4:4">
      <c r="D674" s="66"/>
    </row>
    <row r="675" spans="4:4">
      <c r="D675" s="66"/>
    </row>
    <row r="676" spans="4:4">
      <c r="D676" s="66"/>
    </row>
    <row r="677" spans="4:4">
      <c r="D677" s="66"/>
    </row>
    <row r="678" spans="4:4">
      <c r="D678" s="66"/>
    </row>
    <row r="679" spans="4:4">
      <c r="D679" s="66"/>
    </row>
    <row r="680" spans="4:4">
      <c r="D680" s="66"/>
    </row>
    <row r="681" spans="4:4">
      <c r="D681" s="66"/>
    </row>
    <row r="682" spans="4:4">
      <c r="D682" s="66"/>
    </row>
    <row r="683" spans="4:4">
      <c r="D683" s="66"/>
    </row>
    <row r="684" spans="4:4">
      <c r="D684" s="66"/>
    </row>
    <row r="685" spans="4:4">
      <c r="D685" s="66"/>
    </row>
    <row r="686" spans="4:4">
      <c r="D686" s="66"/>
    </row>
    <row r="687" spans="4:4">
      <c r="D687" s="66"/>
    </row>
    <row r="688" spans="4:4">
      <c r="D688" s="66"/>
    </row>
    <row r="689" spans="4:4">
      <c r="D689" s="66"/>
    </row>
    <row r="690" spans="4:4">
      <c r="D690" s="66"/>
    </row>
    <row r="691" spans="4:4">
      <c r="D691" s="66"/>
    </row>
    <row r="692" spans="4:4">
      <c r="D692" s="66"/>
    </row>
    <row r="693" spans="4:4">
      <c r="D693" s="66"/>
    </row>
    <row r="694" spans="4:4">
      <c r="D694" s="66"/>
    </row>
    <row r="695" spans="4:4">
      <c r="D695" s="66"/>
    </row>
    <row r="696" spans="4:4">
      <c r="D696" s="66"/>
    </row>
    <row r="697" spans="4:4">
      <c r="D697" s="66"/>
    </row>
    <row r="698" spans="4:4">
      <c r="D698" s="66"/>
    </row>
    <row r="699" spans="4:4">
      <c r="D699" s="66"/>
    </row>
    <row r="700" spans="4:4">
      <c r="D700" s="66"/>
    </row>
    <row r="701" spans="4:4">
      <c r="D701" s="66"/>
    </row>
    <row r="702" spans="4:4">
      <c r="D702" s="66"/>
    </row>
    <row r="703" spans="4:4">
      <c r="D703" s="66"/>
    </row>
    <row r="704" spans="4:4">
      <c r="D704" s="66"/>
    </row>
    <row r="705" spans="4:4">
      <c r="D705" s="66"/>
    </row>
    <row r="706" spans="4:4">
      <c r="D706" s="66"/>
    </row>
    <row r="707" spans="4:4">
      <c r="D707" s="66"/>
    </row>
    <row r="708" spans="4:4">
      <c r="D708" s="66"/>
    </row>
    <row r="709" spans="4:4">
      <c r="D709" s="66"/>
    </row>
    <row r="710" spans="4:4">
      <c r="D710" s="66"/>
    </row>
    <row r="711" spans="4:4">
      <c r="D711" s="66"/>
    </row>
    <row r="712" spans="4:4">
      <c r="D712" s="66"/>
    </row>
    <row r="713" spans="4:4">
      <c r="D713" s="66"/>
    </row>
    <row r="714" spans="4:4">
      <c r="D714" s="66"/>
    </row>
    <row r="715" spans="4:4">
      <c r="D715" s="66"/>
    </row>
    <row r="716" spans="4:4">
      <c r="D716" s="66"/>
    </row>
    <row r="717" spans="4:4">
      <c r="D717" s="66"/>
    </row>
    <row r="718" spans="4:4">
      <c r="D718" s="66"/>
    </row>
    <row r="719" spans="4:4">
      <c r="D719" s="66"/>
    </row>
    <row r="720" spans="4:4">
      <c r="D720" s="66"/>
    </row>
    <row r="721" spans="4:4">
      <c r="D721" s="66"/>
    </row>
    <row r="722" spans="4:4">
      <c r="D722" s="66"/>
    </row>
    <row r="723" spans="4:4">
      <c r="D723" s="66"/>
    </row>
    <row r="724" spans="4:4">
      <c r="D724" s="66"/>
    </row>
    <row r="725" spans="4:4">
      <c r="D725" s="66"/>
    </row>
    <row r="726" spans="4:4">
      <c r="D726" s="66"/>
    </row>
    <row r="727" spans="4:4">
      <c r="D727" s="66"/>
    </row>
    <row r="728" spans="4:4">
      <c r="D728" s="66"/>
    </row>
    <row r="729" spans="4:4">
      <c r="D729" s="66"/>
    </row>
    <row r="730" spans="4:4">
      <c r="D730" s="66"/>
    </row>
    <row r="731" spans="4:4">
      <c r="D731" s="66"/>
    </row>
    <row r="732" spans="4:4">
      <c r="D732" s="66"/>
    </row>
    <row r="733" spans="4:4">
      <c r="D733" s="66"/>
    </row>
    <row r="734" spans="4:4">
      <c r="D734" s="66"/>
    </row>
    <row r="735" spans="4:4">
      <c r="D735" s="66"/>
    </row>
    <row r="736" spans="4:4">
      <c r="D736" s="66"/>
    </row>
    <row r="737" spans="4:4">
      <c r="D737" s="66"/>
    </row>
    <row r="738" spans="4:4">
      <c r="D738" s="66"/>
    </row>
    <row r="739" spans="4:4">
      <c r="D739" s="66"/>
    </row>
    <row r="740" spans="4:4">
      <c r="D740" s="66"/>
    </row>
    <row r="741" spans="4:4">
      <c r="D741" s="66"/>
    </row>
    <row r="742" spans="4:4">
      <c r="D742" s="66"/>
    </row>
    <row r="743" spans="4:4">
      <c r="D743" s="66"/>
    </row>
    <row r="744" spans="4:4">
      <c r="D744" s="66"/>
    </row>
    <row r="745" spans="4:4">
      <c r="D745" s="66"/>
    </row>
    <row r="746" spans="4:4">
      <c r="D746" s="66"/>
    </row>
    <row r="747" spans="4:4">
      <c r="D747" s="66"/>
    </row>
    <row r="748" spans="4:4">
      <c r="D748" s="66"/>
    </row>
    <row r="749" spans="4:4">
      <c r="D749" s="66"/>
    </row>
    <row r="750" spans="4:4">
      <c r="D750" s="66"/>
    </row>
    <row r="751" spans="4:4">
      <c r="D751" s="66"/>
    </row>
    <row r="752" spans="4:4">
      <c r="D752" s="66"/>
    </row>
    <row r="753" spans="4:4">
      <c r="D753" s="66"/>
    </row>
    <row r="754" spans="4:4">
      <c r="D754" s="66"/>
    </row>
    <row r="755" spans="4:4">
      <c r="D755" s="66"/>
    </row>
    <row r="756" spans="4:4">
      <c r="D756" s="66"/>
    </row>
    <row r="757" spans="4:4">
      <c r="D757" s="66"/>
    </row>
    <row r="758" spans="4:4">
      <c r="D758" s="66"/>
    </row>
    <row r="759" spans="4:4">
      <c r="D759" s="66"/>
    </row>
    <row r="760" spans="4:4">
      <c r="D760" s="66"/>
    </row>
    <row r="761" spans="4:4">
      <c r="D761" s="66"/>
    </row>
    <row r="762" spans="4:4">
      <c r="D762" s="66"/>
    </row>
    <row r="763" spans="4:4">
      <c r="D763" s="66"/>
    </row>
    <row r="764" spans="4:4">
      <c r="D764" s="66"/>
    </row>
    <row r="765" spans="4:4">
      <c r="D765" s="66"/>
    </row>
    <row r="766" spans="4:4">
      <c r="D766" s="66"/>
    </row>
    <row r="767" spans="4:4">
      <c r="D767" s="66"/>
    </row>
    <row r="768" spans="4:4">
      <c r="D768" s="66"/>
    </row>
    <row r="769" spans="4:4">
      <c r="D769" s="66"/>
    </row>
    <row r="770" spans="4:4">
      <c r="D770" s="66"/>
    </row>
    <row r="771" spans="4:4">
      <c r="D771" s="66"/>
    </row>
    <row r="772" spans="4:4">
      <c r="D772" s="66"/>
    </row>
    <row r="773" spans="4:4">
      <c r="D773" s="66"/>
    </row>
    <row r="774" spans="4:4">
      <c r="D774" s="66"/>
    </row>
    <row r="775" spans="4:4">
      <c r="D775" s="66"/>
    </row>
    <row r="776" spans="4:4">
      <c r="D776" s="66"/>
    </row>
    <row r="777" spans="4:4">
      <c r="D777" s="66"/>
    </row>
    <row r="778" spans="4:4">
      <c r="D778" s="66"/>
    </row>
    <row r="779" spans="4:4">
      <c r="D779" s="66"/>
    </row>
    <row r="780" spans="4:4">
      <c r="D780" s="66"/>
    </row>
    <row r="781" spans="4:4">
      <c r="D781" s="66"/>
    </row>
    <row r="782" spans="4:4">
      <c r="D782" s="66"/>
    </row>
    <row r="783" spans="4:4">
      <c r="D783" s="66"/>
    </row>
    <row r="784" spans="4:4">
      <c r="D784" s="66"/>
    </row>
    <row r="785" spans="4:4">
      <c r="D785" s="66"/>
    </row>
    <row r="786" spans="4:4">
      <c r="D786" s="66"/>
    </row>
    <row r="787" spans="4:4">
      <c r="D787" s="66"/>
    </row>
    <row r="788" spans="4:4">
      <c r="D788" s="66"/>
    </row>
    <row r="789" spans="4:4">
      <c r="D789" s="66"/>
    </row>
    <row r="790" spans="4:4">
      <c r="D790" s="66"/>
    </row>
    <row r="791" spans="4:4">
      <c r="D791" s="66"/>
    </row>
    <row r="792" spans="4:4">
      <c r="D792" s="66"/>
    </row>
    <row r="793" spans="4:4">
      <c r="D793" s="66"/>
    </row>
    <row r="794" spans="4:4">
      <c r="D794" s="66"/>
    </row>
    <row r="795" spans="4:4">
      <c r="D795" s="66"/>
    </row>
    <row r="796" spans="4:4">
      <c r="D796" s="66"/>
    </row>
    <row r="797" spans="4:4">
      <c r="D797" s="66"/>
    </row>
    <row r="798" spans="4:4">
      <c r="D798" s="66"/>
    </row>
    <row r="799" spans="4:4">
      <c r="D799" s="66"/>
    </row>
    <row r="800" spans="4:4">
      <c r="D800" s="66"/>
    </row>
    <row r="801" spans="4:4">
      <c r="D801" s="66"/>
    </row>
    <row r="802" spans="4:4">
      <c r="D802" s="66"/>
    </row>
    <row r="803" spans="4:4">
      <c r="D803" s="66"/>
    </row>
    <row r="804" spans="4:4">
      <c r="D804" s="66"/>
    </row>
    <row r="805" spans="4:4">
      <c r="D805" s="66"/>
    </row>
    <row r="806" spans="4:4">
      <c r="D806" s="66"/>
    </row>
    <row r="807" spans="4:4">
      <c r="D807" s="66"/>
    </row>
    <row r="808" spans="4:4">
      <c r="D808" s="66"/>
    </row>
    <row r="809" spans="4:4">
      <c r="D809" s="66"/>
    </row>
    <row r="810" spans="4:4">
      <c r="D810" s="66"/>
    </row>
    <row r="811" spans="4:4">
      <c r="D811" s="66"/>
    </row>
    <row r="812" spans="4:4">
      <c r="D812" s="66"/>
    </row>
    <row r="813" spans="4:4">
      <c r="D813" s="66"/>
    </row>
    <row r="814" spans="4:4">
      <c r="D814" s="66"/>
    </row>
    <row r="815" spans="4:4">
      <c r="D815" s="66"/>
    </row>
    <row r="816" spans="4:4">
      <c r="D816" s="66"/>
    </row>
    <row r="817" spans="4:4">
      <c r="D817" s="66"/>
    </row>
    <row r="818" spans="4:4">
      <c r="D818" s="66"/>
    </row>
    <row r="819" spans="4:4">
      <c r="D819" s="66"/>
    </row>
    <row r="820" spans="4:4">
      <c r="D820" s="66"/>
    </row>
    <row r="821" spans="4:4">
      <c r="D821" s="66"/>
    </row>
    <row r="822" spans="4:4">
      <c r="D822" s="66"/>
    </row>
    <row r="823" spans="4:4">
      <c r="D823" s="66"/>
    </row>
    <row r="824" spans="4:4">
      <c r="D824" s="66"/>
    </row>
    <row r="825" spans="4:4">
      <c r="D825" s="66"/>
    </row>
    <row r="826" spans="4:4">
      <c r="D826" s="66"/>
    </row>
    <row r="827" spans="4:4">
      <c r="D827" s="66"/>
    </row>
    <row r="828" spans="4:4">
      <c r="D828" s="66"/>
    </row>
    <row r="829" spans="4:4">
      <c r="D829" s="66"/>
    </row>
    <row r="830" spans="4:4">
      <c r="D830" s="66"/>
    </row>
    <row r="831" spans="4:4">
      <c r="D831" s="66"/>
    </row>
    <row r="832" spans="4:4">
      <c r="D832" s="66"/>
    </row>
    <row r="833" spans="4:4">
      <c r="D833" s="66"/>
    </row>
    <row r="834" spans="4:4">
      <c r="D834" s="66"/>
    </row>
    <row r="835" spans="4:4">
      <c r="D835" s="66"/>
    </row>
    <row r="836" spans="4:4">
      <c r="D836" s="66"/>
    </row>
    <row r="837" spans="4:4">
      <c r="D837" s="66"/>
    </row>
    <row r="838" spans="4:4">
      <c r="D838" s="66"/>
    </row>
    <row r="839" spans="4:4">
      <c r="D839" s="66"/>
    </row>
    <row r="840" spans="4:4">
      <c r="D840" s="66"/>
    </row>
    <row r="841" spans="4:4">
      <c r="D841" s="66"/>
    </row>
    <row r="842" spans="4:4">
      <c r="D842" s="66"/>
    </row>
    <row r="843" spans="4:4">
      <c r="D843" s="66"/>
    </row>
    <row r="844" spans="4:4">
      <c r="D844" s="66"/>
    </row>
    <row r="845" spans="4:4">
      <c r="D845" s="66"/>
    </row>
    <row r="846" spans="4:4">
      <c r="D846" s="66"/>
    </row>
    <row r="847" spans="4:4">
      <c r="D847" s="66"/>
    </row>
    <row r="848" spans="4:4">
      <c r="D848" s="66"/>
    </row>
    <row r="849" spans="4:4">
      <c r="D849" s="66"/>
    </row>
    <row r="850" spans="4:4">
      <c r="D850" s="66"/>
    </row>
    <row r="851" spans="4:4">
      <c r="D851" s="66"/>
    </row>
    <row r="852" spans="4:4">
      <c r="D852" s="66"/>
    </row>
    <row r="853" spans="4:4">
      <c r="D853" s="66"/>
    </row>
    <row r="854" spans="4:4">
      <c r="D854" s="66"/>
    </row>
    <row r="855" spans="4:4">
      <c r="D855" s="66"/>
    </row>
    <row r="856" spans="4:4">
      <c r="D856" s="66"/>
    </row>
    <row r="857" spans="4:4">
      <c r="D857" s="66"/>
    </row>
    <row r="858" spans="4:4">
      <c r="D858" s="66"/>
    </row>
    <row r="859" spans="4:4">
      <c r="D859" s="66"/>
    </row>
    <row r="860" spans="4:4">
      <c r="D860" s="66"/>
    </row>
    <row r="861" spans="4:4">
      <c r="D861" s="66"/>
    </row>
    <row r="862" spans="4:4">
      <c r="D862" s="66"/>
    </row>
    <row r="863" spans="4:4">
      <c r="D863" s="66"/>
    </row>
    <row r="864" spans="4:4">
      <c r="D864" s="66"/>
    </row>
    <row r="865" spans="4:4">
      <c r="D865" s="66"/>
    </row>
    <row r="866" spans="4:4">
      <c r="D866" s="66"/>
    </row>
    <row r="867" spans="4:4">
      <c r="D867" s="66"/>
    </row>
    <row r="868" spans="4:4">
      <c r="D868" s="66"/>
    </row>
    <row r="869" spans="4:4">
      <c r="D869" s="66"/>
    </row>
    <row r="870" spans="4:4">
      <c r="D870" s="66"/>
    </row>
    <row r="871" spans="4:4">
      <c r="D871" s="66"/>
    </row>
    <row r="872" spans="4:4">
      <c r="D872" s="66"/>
    </row>
    <row r="873" spans="4:4">
      <c r="D873" s="66"/>
    </row>
    <row r="874" spans="4:4">
      <c r="D874" s="66"/>
    </row>
    <row r="875" spans="4:4">
      <c r="D875" s="66"/>
    </row>
    <row r="876" spans="4:4">
      <c r="D876" s="66"/>
    </row>
    <row r="877" spans="4:4">
      <c r="D877" s="66"/>
    </row>
    <row r="878" spans="4:4">
      <c r="D878" s="66"/>
    </row>
    <row r="879" spans="4:4">
      <c r="D879" s="66"/>
    </row>
    <row r="880" spans="4:4">
      <c r="D880" s="66"/>
    </row>
    <row r="881" spans="4:4">
      <c r="D881" s="66"/>
    </row>
    <row r="882" spans="4:4">
      <c r="D882" s="66"/>
    </row>
    <row r="883" spans="4:4">
      <c r="D883" s="66"/>
    </row>
    <row r="884" spans="4:4">
      <c r="D884" s="66"/>
    </row>
    <row r="885" spans="4:4">
      <c r="D885" s="66"/>
    </row>
    <row r="886" spans="4:4">
      <c r="D886" s="66"/>
    </row>
    <row r="887" spans="4:4">
      <c r="D887" s="66"/>
    </row>
    <row r="888" spans="4:4">
      <c r="D888" s="66"/>
    </row>
    <row r="889" spans="4:4">
      <c r="D889" s="66"/>
    </row>
    <row r="890" spans="4:4">
      <c r="D890" s="66"/>
    </row>
    <row r="891" spans="4:4">
      <c r="D891" s="66"/>
    </row>
    <row r="892" spans="4:4">
      <c r="D892" s="66"/>
    </row>
    <row r="893" spans="4:4">
      <c r="D893" s="66"/>
    </row>
    <row r="894" spans="4:4">
      <c r="D894" s="66"/>
    </row>
    <row r="895" spans="4:4">
      <c r="D895" s="66"/>
    </row>
    <row r="896" spans="4:4">
      <c r="D896" s="66"/>
    </row>
    <row r="897" spans="4:4">
      <c r="D897" s="66"/>
    </row>
    <row r="898" spans="4:4">
      <c r="D898" s="66"/>
    </row>
    <row r="899" spans="4:4">
      <c r="D899" s="66"/>
    </row>
    <row r="900" spans="4:4">
      <c r="D900" s="66"/>
    </row>
    <row r="901" spans="4:4">
      <c r="D901" s="66"/>
    </row>
    <row r="902" spans="4:4">
      <c r="D902" s="66"/>
    </row>
    <row r="903" spans="4:4">
      <c r="D903" s="66"/>
    </row>
    <row r="904" spans="4:4">
      <c r="D904" s="66"/>
    </row>
    <row r="905" spans="4:4">
      <c r="D905" s="66"/>
    </row>
    <row r="906" spans="4:4">
      <c r="D906" s="66"/>
    </row>
    <row r="907" spans="4:4">
      <c r="D907" s="66"/>
    </row>
    <row r="908" spans="4:4">
      <c r="D908" s="66"/>
    </row>
    <row r="909" spans="4:4">
      <c r="D909" s="66"/>
    </row>
    <row r="910" spans="4:4">
      <c r="D910" s="66"/>
    </row>
    <row r="911" spans="4:4">
      <c r="D911" s="66"/>
    </row>
    <row r="912" spans="4:4">
      <c r="D912" s="66"/>
    </row>
    <row r="913" spans="4:4">
      <c r="D913" s="66"/>
    </row>
    <row r="914" spans="4:4">
      <c r="D914" s="66"/>
    </row>
    <row r="915" spans="4:4">
      <c r="D915" s="66"/>
    </row>
    <row r="916" spans="4:4">
      <c r="D916" s="66"/>
    </row>
    <row r="917" spans="4:4">
      <c r="D917" s="66"/>
    </row>
    <row r="918" spans="4:4">
      <c r="D918" s="66"/>
    </row>
    <row r="919" spans="4:4">
      <c r="D919" s="66"/>
    </row>
    <row r="920" spans="4:4">
      <c r="D920" s="66"/>
    </row>
    <row r="921" spans="4:4">
      <c r="D921" s="66"/>
    </row>
    <row r="922" spans="4:4">
      <c r="D922" s="66"/>
    </row>
    <row r="923" spans="4:4">
      <c r="D923" s="66"/>
    </row>
    <row r="924" spans="4:4">
      <c r="D924" s="66"/>
    </row>
    <row r="925" spans="4:4">
      <c r="D925" s="66"/>
    </row>
    <row r="926" spans="4:4">
      <c r="D926" s="66"/>
    </row>
    <row r="927" spans="4:4">
      <c r="D927" s="66"/>
    </row>
    <row r="928" spans="4:4">
      <c r="D928" s="66"/>
    </row>
    <row r="929" spans="4:4">
      <c r="D929" s="66"/>
    </row>
    <row r="930" spans="4:4">
      <c r="D930" s="66"/>
    </row>
    <row r="931" spans="4:4">
      <c r="D931" s="66"/>
    </row>
    <row r="932" spans="4:4">
      <c r="D932" s="66"/>
    </row>
    <row r="933" spans="4:4">
      <c r="D933" s="66"/>
    </row>
    <row r="934" spans="4:4">
      <c r="D934" s="66"/>
    </row>
    <row r="935" spans="4:4">
      <c r="D935" s="66"/>
    </row>
    <row r="936" spans="4:4">
      <c r="D936" s="66"/>
    </row>
    <row r="937" spans="4:4">
      <c r="D937" s="66"/>
    </row>
    <row r="938" spans="4:4">
      <c r="D938" s="66"/>
    </row>
    <row r="939" spans="4:4">
      <c r="D939" s="66"/>
    </row>
    <row r="940" spans="4:4">
      <c r="D940" s="66"/>
    </row>
    <row r="941" spans="4:4">
      <c r="D941" s="66"/>
    </row>
    <row r="942" spans="4:4">
      <c r="D942" s="66"/>
    </row>
    <row r="943" spans="4:4">
      <c r="D943" s="66"/>
    </row>
    <row r="944" spans="4:4">
      <c r="D944" s="66"/>
    </row>
    <row r="945" spans="4:4">
      <c r="D945" s="66"/>
    </row>
    <row r="946" spans="4:4">
      <c r="D946" s="66"/>
    </row>
    <row r="947" spans="4:4">
      <c r="D947" s="66"/>
    </row>
    <row r="948" spans="4:4">
      <c r="D948" s="66"/>
    </row>
    <row r="949" spans="4:4">
      <c r="D949" s="66"/>
    </row>
    <row r="950" spans="4:4">
      <c r="D950" s="66"/>
    </row>
    <row r="951" spans="4:4">
      <c r="D951" s="66"/>
    </row>
    <row r="952" spans="4:4">
      <c r="D952" s="66"/>
    </row>
    <row r="953" spans="4:4">
      <c r="D953" s="66"/>
    </row>
    <row r="954" spans="4:4">
      <c r="D954" s="66"/>
    </row>
    <row r="955" spans="4:4">
      <c r="D955" s="66"/>
    </row>
    <row r="956" spans="4:4">
      <c r="D956" s="66"/>
    </row>
    <row r="957" spans="4:4">
      <c r="D957" s="66"/>
    </row>
    <row r="958" spans="4:4">
      <c r="D958" s="66"/>
    </row>
    <row r="959" spans="4:4">
      <c r="D959" s="66"/>
    </row>
    <row r="960" spans="4:4">
      <c r="D960" s="66"/>
    </row>
    <row r="961" spans="4:4">
      <c r="D961" s="66"/>
    </row>
    <row r="962" spans="4:4">
      <c r="D962" s="66"/>
    </row>
    <row r="963" spans="4:4">
      <c r="D963" s="66"/>
    </row>
    <row r="964" spans="4:4">
      <c r="D964" s="66"/>
    </row>
    <row r="965" spans="4:4">
      <c r="D965" s="66"/>
    </row>
    <row r="966" spans="4:4">
      <c r="D966" s="66"/>
    </row>
    <row r="967" spans="4:4">
      <c r="D967" s="66"/>
    </row>
    <row r="968" spans="4:4">
      <c r="D968" s="66"/>
    </row>
    <row r="969" spans="4:4">
      <c r="D969" s="66"/>
    </row>
    <row r="970" spans="4:4">
      <c r="D970" s="66"/>
    </row>
    <row r="971" spans="4:4">
      <c r="D971" s="66"/>
    </row>
    <row r="972" spans="4:4">
      <c r="D972" s="66"/>
    </row>
    <row r="973" spans="4:4">
      <c r="D973" s="66"/>
    </row>
    <row r="974" spans="4:4">
      <c r="D974" s="66"/>
    </row>
    <row r="975" spans="4:4">
      <c r="D975" s="66"/>
    </row>
    <row r="976" spans="4:4">
      <c r="D976" s="66"/>
    </row>
    <row r="977" spans="4:4">
      <c r="D977" s="66"/>
    </row>
    <row r="978" spans="4:4">
      <c r="D978" s="66"/>
    </row>
    <row r="979" spans="4:4">
      <c r="D979" s="66"/>
    </row>
    <row r="980" spans="4:4">
      <c r="D980" s="66"/>
    </row>
    <row r="981" spans="4:4">
      <c r="D981" s="66"/>
    </row>
    <row r="982" spans="4:4">
      <c r="D982" s="66"/>
    </row>
    <row r="983" spans="4:4">
      <c r="D983" s="66"/>
    </row>
    <row r="984" spans="4:4">
      <c r="D984" s="66"/>
    </row>
    <row r="985" spans="4:4">
      <c r="D985" s="66"/>
    </row>
    <row r="986" spans="4:4">
      <c r="D986" s="66"/>
    </row>
    <row r="987" spans="4:4">
      <c r="D987" s="66"/>
    </row>
    <row r="988" spans="4:4">
      <c r="D988" s="66"/>
    </row>
    <row r="989" spans="4:4">
      <c r="D989" s="66"/>
    </row>
    <row r="990" spans="4:4">
      <c r="D990" s="66"/>
    </row>
    <row r="991" spans="4:4">
      <c r="D991" s="66"/>
    </row>
    <row r="992" spans="4:4">
      <c r="D992" s="66"/>
    </row>
    <row r="993" spans="4:4">
      <c r="D993" s="66"/>
    </row>
    <row r="994" spans="4:4">
      <c r="D994" s="66"/>
    </row>
    <row r="995" spans="4:4">
      <c r="D995" s="66"/>
    </row>
    <row r="996" spans="4:4">
      <c r="D996" s="66"/>
    </row>
    <row r="997" spans="4:4">
      <c r="D997" s="66"/>
    </row>
    <row r="998" spans="4:4">
      <c r="D998" s="66"/>
    </row>
    <row r="999" spans="4:4">
      <c r="D999" s="66"/>
    </row>
    <row r="1000" spans="4:4">
      <c r="D1000" s="66"/>
    </row>
    <row r="1001" spans="4:4">
      <c r="D1001" s="66"/>
    </row>
    <row r="1002" spans="4:4">
      <c r="D1002" s="66"/>
    </row>
    <row r="1003" spans="4:4">
      <c r="D1003" s="66"/>
    </row>
    <row r="1004" spans="4:4">
      <c r="D1004" s="66"/>
    </row>
    <row r="1005" spans="4:4">
      <c r="D1005" s="66"/>
    </row>
    <row r="1006" spans="4:4">
      <c r="D1006" s="66"/>
    </row>
    <row r="1007" spans="4:4">
      <c r="D1007" s="66"/>
    </row>
    <row r="1008" spans="4:4">
      <c r="D1008" s="66"/>
    </row>
    <row r="1009" spans="4:4">
      <c r="D1009" s="66"/>
    </row>
    <row r="1010" spans="4:4">
      <c r="D1010" s="66"/>
    </row>
    <row r="1011" spans="4:4">
      <c r="D1011" s="66"/>
    </row>
    <row r="1012" spans="4:4">
      <c r="D1012" s="66"/>
    </row>
    <row r="1013" spans="4:4">
      <c r="D1013" s="66"/>
    </row>
    <row r="1014" spans="4:4">
      <c r="D1014" s="66"/>
    </row>
    <row r="1015" spans="4:4">
      <c r="D1015" s="66"/>
    </row>
    <row r="1016" spans="4:4">
      <c r="D1016" s="66"/>
    </row>
    <row r="1017" spans="4:4">
      <c r="D1017" s="66"/>
    </row>
    <row r="1018" spans="4:4">
      <c r="D1018" s="66"/>
    </row>
    <row r="1019" spans="4:4">
      <c r="D1019" s="66"/>
    </row>
    <row r="1020" spans="4:4">
      <c r="D1020" s="66"/>
    </row>
    <row r="1021" spans="4:4">
      <c r="D1021" s="66"/>
    </row>
    <row r="1022" spans="4:4">
      <c r="D1022" s="66"/>
    </row>
    <row r="1023" spans="4:4">
      <c r="D1023" s="66"/>
    </row>
    <row r="1024" spans="4:4">
      <c r="D1024" s="66"/>
    </row>
    <row r="1025" spans="4:4">
      <c r="D1025" s="66"/>
    </row>
    <row r="1026" spans="4:4">
      <c r="D1026" s="66"/>
    </row>
    <row r="1027" spans="4:4">
      <c r="D1027" s="66"/>
    </row>
    <row r="1028" spans="4:4">
      <c r="D1028" s="66"/>
    </row>
    <row r="1029" spans="4:4">
      <c r="D1029" s="66"/>
    </row>
    <row r="1030" spans="4:4">
      <c r="D1030" s="66"/>
    </row>
    <row r="1031" spans="4:4">
      <c r="D1031" s="66"/>
    </row>
    <row r="1032" spans="4:4">
      <c r="D1032" s="66"/>
    </row>
    <row r="1033" spans="4:4">
      <c r="D1033" s="66"/>
    </row>
    <row r="1034" spans="4:4">
      <c r="D1034" s="66"/>
    </row>
    <row r="1035" spans="4:4">
      <c r="D1035" s="66"/>
    </row>
    <row r="1036" spans="4:4">
      <c r="D1036" s="66"/>
    </row>
    <row r="1037" spans="4:4">
      <c r="D1037" s="66"/>
    </row>
    <row r="1038" spans="4:4">
      <c r="D1038" s="66"/>
    </row>
    <row r="1039" spans="4:4">
      <c r="D1039" s="66"/>
    </row>
    <row r="1040" spans="4:4">
      <c r="D1040" s="66"/>
    </row>
    <row r="1041" spans="4:4">
      <c r="D1041" s="66"/>
    </row>
    <row r="1042" spans="4:4">
      <c r="D1042" s="66"/>
    </row>
    <row r="1043" spans="4:4">
      <c r="D1043" s="66"/>
    </row>
    <row r="1044" spans="4:4">
      <c r="D1044" s="66"/>
    </row>
    <row r="1045" spans="4:4">
      <c r="D1045" s="66"/>
    </row>
    <row r="1046" spans="4:4">
      <c r="D1046" s="66"/>
    </row>
    <row r="1047" spans="4:4">
      <c r="D1047" s="66"/>
    </row>
    <row r="1048" spans="4:4">
      <c r="D1048" s="66"/>
    </row>
    <row r="1049" spans="4:4">
      <c r="D1049" s="66"/>
    </row>
    <row r="1050" spans="4:4">
      <c r="D1050" s="66"/>
    </row>
    <row r="1051" spans="4:4">
      <c r="D1051" s="66"/>
    </row>
    <row r="1052" spans="4:4">
      <c r="D1052" s="66"/>
    </row>
    <row r="1053" spans="4:4">
      <c r="D1053" s="66"/>
    </row>
    <row r="1054" spans="4:4">
      <c r="D1054" s="66"/>
    </row>
    <row r="1055" spans="4:4">
      <c r="D1055" s="66"/>
    </row>
    <row r="1056" spans="4:4">
      <c r="D1056" s="66"/>
    </row>
    <row r="1057" spans="4:4">
      <c r="D1057" s="66"/>
    </row>
    <row r="1058" spans="4:4">
      <c r="D1058" s="66"/>
    </row>
    <row r="1059" spans="4:4">
      <c r="D1059" s="66"/>
    </row>
    <row r="1060" spans="4:4">
      <c r="D1060" s="66"/>
    </row>
    <row r="1061" spans="4:4">
      <c r="D1061" s="66"/>
    </row>
    <row r="1062" spans="4:4">
      <c r="D1062" s="66"/>
    </row>
    <row r="1063" spans="4:4">
      <c r="D1063" s="66"/>
    </row>
    <row r="1064" spans="4:4">
      <c r="D1064" s="66"/>
    </row>
    <row r="1065" spans="4:4">
      <c r="D1065" s="66"/>
    </row>
    <row r="1066" spans="4:4">
      <c r="D1066" s="66"/>
    </row>
    <row r="1067" spans="4:4">
      <c r="D1067" s="66"/>
    </row>
    <row r="1068" spans="4:4">
      <c r="D1068" s="66"/>
    </row>
    <row r="1069" spans="4:4">
      <c r="D1069" s="66"/>
    </row>
    <row r="1070" spans="4:4">
      <c r="D1070" s="66"/>
    </row>
    <row r="1071" spans="4:4">
      <c r="D1071" s="66"/>
    </row>
    <row r="1072" spans="4:4">
      <c r="D1072" s="66"/>
    </row>
    <row r="1073" spans="4:4">
      <c r="D1073" s="66"/>
    </row>
    <row r="1074" spans="4:4">
      <c r="D1074" s="66"/>
    </row>
    <row r="1075" spans="4:4">
      <c r="D1075" s="66"/>
    </row>
    <row r="1076" spans="4:4">
      <c r="D1076" s="66"/>
    </row>
    <row r="1077" spans="4:4">
      <c r="D1077" s="66"/>
    </row>
    <row r="1078" spans="4:4">
      <c r="D1078" s="66"/>
    </row>
    <row r="1079" spans="4:4">
      <c r="D1079" s="66"/>
    </row>
    <row r="1080" spans="4:4">
      <c r="D1080" s="66"/>
    </row>
    <row r="1081" spans="4:4">
      <c r="D1081" s="66"/>
    </row>
    <row r="1082" spans="4:4">
      <c r="D1082" s="66"/>
    </row>
    <row r="1083" spans="4:4">
      <c r="D1083" s="66"/>
    </row>
    <row r="1084" spans="4:4">
      <c r="D1084" s="66"/>
    </row>
    <row r="1085" spans="4:4">
      <c r="D1085" s="66"/>
    </row>
    <row r="1086" spans="4:4">
      <c r="D1086" s="66"/>
    </row>
    <row r="1087" spans="4:4">
      <c r="D1087" s="66"/>
    </row>
    <row r="1088" spans="4:4">
      <c r="D1088" s="66"/>
    </row>
    <row r="1089" spans="4:4">
      <c r="D1089" s="66"/>
    </row>
    <row r="1090" spans="4:4">
      <c r="D1090" s="66"/>
    </row>
    <row r="1091" spans="4:4">
      <c r="D1091" s="66"/>
    </row>
    <row r="1092" spans="4:4">
      <c r="D1092" s="66"/>
    </row>
    <row r="1093" spans="4:4">
      <c r="D1093" s="66"/>
    </row>
    <row r="1094" spans="4:4">
      <c r="D1094" s="66"/>
    </row>
    <row r="1095" spans="4:4">
      <c r="D1095" s="66"/>
    </row>
    <row r="1096" spans="4:4">
      <c r="D1096" s="66"/>
    </row>
    <row r="1097" spans="4:4">
      <c r="D1097" s="66"/>
    </row>
    <row r="1098" spans="4:4">
      <c r="D1098" s="66"/>
    </row>
    <row r="1099" spans="4:4">
      <c r="D1099" s="66"/>
    </row>
    <row r="1100" spans="4:4">
      <c r="D1100" s="66"/>
    </row>
    <row r="1101" spans="4:4">
      <c r="D1101" s="66"/>
    </row>
    <row r="1102" spans="4:4">
      <c r="D1102" s="66"/>
    </row>
    <row r="1103" spans="4:4">
      <c r="D1103" s="66"/>
    </row>
    <row r="1104" spans="4:4">
      <c r="D1104" s="66"/>
    </row>
    <row r="1105" spans="4:4">
      <c r="D1105" s="66"/>
    </row>
    <row r="1106" spans="4:4">
      <c r="D1106" s="66"/>
    </row>
    <row r="1107" spans="4:4">
      <c r="D1107" s="66"/>
    </row>
    <row r="1108" spans="4:4">
      <c r="D1108" s="66"/>
    </row>
    <row r="1109" spans="4:4">
      <c r="D1109" s="66"/>
    </row>
    <row r="1110" spans="4:4">
      <c r="D1110" s="66"/>
    </row>
    <row r="1111" spans="4:4">
      <c r="D1111" s="66"/>
    </row>
    <row r="1112" spans="4:4">
      <c r="D1112" s="66"/>
    </row>
    <row r="1113" spans="4:4">
      <c r="D1113" s="66"/>
    </row>
    <row r="1114" spans="4:4">
      <c r="D1114" s="66"/>
    </row>
    <row r="1115" spans="4:4">
      <c r="D1115" s="66"/>
    </row>
    <row r="1116" spans="4:4">
      <c r="D1116" s="66"/>
    </row>
    <row r="1117" spans="4:4">
      <c r="D1117" s="66"/>
    </row>
    <row r="1118" spans="4:4">
      <c r="D1118" s="66"/>
    </row>
    <row r="1119" spans="4:4">
      <c r="D1119" s="66"/>
    </row>
    <row r="1120" spans="4:4">
      <c r="D1120" s="66"/>
    </row>
    <row r="1121" spans="4:4">
      <c r="D1121" s="66"/>
    </row>
    <row r="1122" spans="4:4">
      <c r="D1122" s="66"/>
    </row>
    <row r="1123" spans="4:4">
      <c r="D1123" s="66"/>
    </row>
    <row r="1124" spans="4:4">
      <c r="D1124" s="66"/>
    </row>
    <row r="1125" spans="4:4">
      <c r="D1125" s="66"/>
    </row>
    <row r="1126" spans="4:4">
      <c r="D1126" s="66"/>
    </row>
    <row r="1127" spans="4:4">
      <c r="D1127" s="66"/>
    </row>
    <row r="1128" spans="4:4">
      <c r="D1128" s="66"/>
    </row>
    <row r="1129" spans="4:4">
      <c r="D1129" s="66"/>
    </row>
    <row r="1130" spans="4:4">
      <c r="D1130" s="66"/>
    </row>
    <row r="1131" spans="4:4">
      <c r="D1131" s="66"/>
    </row>
    <row r="1132" spans="4:4">
      <c r="D1132" s="66"/>
    </row>
    <row r="1133" spans="4:4">
      <c r="D1133" s="66"/>
    </row>
    <row r="1134" spans="4:4">
      <c r="D1134" s="66"/>
    </row>
    <row r="1135" spans="4:4">
      <c r="D1135" s="66"/>
    </row>
    <row r="1136" spans="4:4">
      <c r="D1136" s="66"/>
    </row>
    <row r="1137" spans="4:4">
      <c r="D1137" s="66"/>
    </row>
    <row r="1138" spans="4:4">
      <c r="D1138" s="66"/>
    </row>
    <row r="1139" spans="4:4">
      <c r="D1139" s="66"/>
    </row>
    <row r="1140" spans="4:4">
      <c r="D1140" s="66"/>
    </row>
    <row r="1141" spans="4:4">
      <c r="D1141" s="66"/>
    </row>
    <row r="1142" spans="4:4">
      <c r="D1142" s="66"/>
    </row>
    <row r="1143" spans="4:4">
      <c r="D1143" s="66"/>
    </row>
    <row r="1144" spans="4:4">
      <c r="D1144" s="66"/>
    </row>
    <row r="1145" spans="4:4">
      <c r="D1145" s="66"/>
    </row>
    <row r="1146" spans="4:4">
      <c r="D1146" s="66"/>
    </row>
    <row r="1147" spans="4:4">
      <c r="D1147" s="66"/>
    </row>
    <row r="1148" spans="4:4">
      <c r="D1148" s="66"/>
    </row>
    <row r="1149" spans="4:4">
      <c r="D1149" s="66"/>
    </row>
    <row r="1150" spans="4:4">
      <c r="D1150" s="66"/>
    </row>
    <row r="1151" spans="4:4">
      <c r="D1151" s="66"/>
    </row>
    <row r="1152" spans="4:4">
      <c r="D1152" s="66"/>
    </row>
    <row r="1153" spans="4:4">
      <c r="D1153" s="66"/>
    </row>
    <row r="1154" spans="4:4">
      <c r="D1154" s="66"/>
    </row>
    <row r="1155" spans="4:4">
      <c r="D1155" s="66"/>
    </row>
    <row r="1156" spans="4:4">
      <c r="D1156" s="66"/>
    </row>
    <row r="1157" spans="4:4">
      <c r="D1157" s="66"/>
    </row>
    <row r="1158" spans="4:4">
      <c r="D1158" s="66"/>
    </row>
    <row r="1159" spans="4:4">
      <c r="D1159" s="66"/>
    </row>
    <row r="1160" spans="4:4">
      <c r="D1160" s="66"/>
    </row>
    <row r="1161" spans="4:4">
      <c r="D1161" s="66"/>
    </row>
    <row r="1162" spans="4:4">
      <c r="D1162" s="66"/>
    </row>
    <row r="1163" spans="4:4">
      <c r="D1163" s="66"/>
    </row>
    <row r="1164" spans="4:4">
      <c r="D1164" s="66"/>
    </row>
    <row r="1165" spans="4:4">
      <c r="D1165" s="66"/>
    </row>
    <row r="1166" spans="4:4">
      <c r="D1166" s="66"/>
    </row>
    <row r="1167" spans="4:4">
      <c r="D1167" s="66"/>
    </row>
    <row r="1168" spans="4:4">
      <c r="D1168" s="66"/>
    </row>
    <row r="1169" spans="4:4">
      <c r="D1169" s="66"/>
    </row>
    <row r="1170" spans="4:4">
      <c r="D1170" s="66"/>
    </row>
    <row r="1171" spans="4:4">
      <c r="D1171" s="66"/>
    </row>
    <row r="1172" spans="4:4">
      <c r="D1172" s="66"/>
    </row>
    <row r="1173" spans="4:4">
      <c r="D1173" s="66"/>
    </row>
    <row r="1174" spans="4:4">
      <c r="D1174" s="66"/>
    </row>
    <row r="1175" spans="4:4">
      <c r="D1175" s="66"/>
    </row>
    <row r="1176" spans="4:4">
      <c r="D1176" s="66"/>
    </row>
    <row r="1177" spans="4:4">
      <c r="D1177" s="66"/>
    </row>
    <row r="1178" spans="4:4">
      <c r="D1178" s="66"/>
    </row>
    <row r="1179" spans="4:4">
      <c r="D1179" s="66"/>
    </row>
    <row r="1180" spans="4:4">
      <c r="D1180" s="66"/>
    </row>
    <row r="1181" spans="4:4">
      <c r="D1181" s="66"/>
    </row>
    <row r="1182" spans="4:4">
      <c r="D1182" s="66"/>
    </row>
    <row r="1183" spans="4:4">
      <c r="D1183" s="66"/>
    </row>
    <row r="1184" spans="4:4">
      <c r="D1184" s="66"/>
    </row>
    <row r="1185" spans="4:4">
      <c r="D1185" s="66"/>
    </row>
    <row r="1186" spans="4:4">
      <c r="D1186" s="66"/>
    </row>
    <row r="1187" spans="4:4">
      <c r="D1187" s="66"/>
    </row>
    <row r="1188" spans="4:4">
      <c r="D1188" s="66"/>
    </row>
    <row r="1189" spans="4:4">
      <c r="D1189" s="66"/>
    </row>
    <row r="1190" spans="4:4">
      <c r="D1190" s="66"/>
    </row>
    <row r="1191" spans="4:4">
      <c r="D1191" s="66"/>
    </row>
    <row r="1192" spans="4:4">
      <c r="D1192" s="66"/>
    </row>
    <row r="1193" spans="4:4">
      <c r="D1193" s="66"/>
    </row>
    <row r="1194" spans="4:4">
      <c r="D1194" s="66"/>
    </row>
    <row r="1195" spans="4:4">
      <c r="D1195" s="66"/>
    </row>
    <row r="1196" spans="4:4">
      <c r="D1196" s="66"/>
    </row>
    <row r="1197" spans="4:4">
      <c r="D1197" s="66"/>
    </row>
    <row r="1198" spans="4:4">
      <c r="D1198" s="66"/>
    </row>
    <row r="1199" spans="4:4">
      <c r="D1199" s="66"/>
    </row>
    <row r="1200" spans="4:4">
      <c r="D1200" s="66"/>
    </row>
    <row r="1201" spans="4:4">
      <c r="D1201" s="66"/>
    </row>
    <row r="1202" spans="4:4">
      <c r="D1202" s="66"/>
    </row>
    <row r="1203" spans="4:4">
      <c r="D1203" s="66"/>
    </row>
    <row r="1204" spans="4:4">
      <c r="D1204" s="66"/>
    </row>
    <row r="1205" spans="4:4">
      <c r="D1205" s="66"/>
    </row>
    <row r="1206" spans="4:4">
      <c r="D1206" s="66"/>
    </row>
    <row r="1207" spans="4:4">
      <c r="D1207" s="66"/>
    </row>
    <row r="1208" spans="4:4">
      <c r="D1208" s="66"/>
    </row>
    <row r="1209" spans="4:4">
      <c r="D1209" s="66"/>
    </row>
    <row r="1210" spans="4:4">
      <c r="D1210" s="66"/>
    </row>
    <row r="1211" spans="4:4">
      <c r="D1211" s="66"/>
    </row>
    <row r="1212" spans="4:4">
      <c r="D1212" s="66"/>
    </row>
    <row r="1213" spans="4:4">
      <c r="D1213" s="66"/>
    </row>
    <row r="1214" spans="4:4">
      <c r="D1214" s="66"/>
    </row>
    <row r="1215" spans="4:4">
      <c r="D1215" s="66"/>
    </row>
    <row r="1216" spans="4:4">
      <c r="D1216" s="66"/>
    </row>
    <row r="1217" spans="4:4">
      <c r="D1217" s="66"/>
    </row>
    <row r="1218" spans="4:4">
      <c r="D1218" s="66"/>
    </row>
    <row r="1219" spans="4:4">
      <c r="D1219" s="66"/>
    </row>
    <row r="1220" spans="4:4">
      <c r="D1220" s="66"/>
    </row>
    <row r="1221" spans="4:4">
      <c r="D1221" s="66"/>
    </row>
    <row r="1222" spans="4:4">
      <c r="D1222" s="66"/>
    </row>
    <row r="1223" spans="4:4">
      <c r="D1223" s="66"/>
    </row>
    <row r="1224" spans="4:4">
      <c r="D1224" s="66"/>
    </row>
    <row r="1225" spans="4:4">
      <c r="D1225" s="66"/>
    </row>
    <row r="1226" spans="4:4">
      <c r="D1226" s="66"/>
    </row>
    <row r="1227" spans="4:4">
      <c r="D1227" s="66"/>
    </row>
    <row r="1228" spans="4:4">
      <c r="D1228" s="66"/>
    </row>
    <row r="1229" spans="4:4">
      <c r="D1229" s="66"/>
    </row>
    <row r="1230" spans="4:4">
      <c r="D1230" s="66"/>
    </row>
    <row r="1231" spans="4:4">
      <c r="D1231" s="66"/>
    </row>
    <row r="1232" spans="4:4">
      <c r="D1232" s="66"/>
    </row>
    <row r="1233" spans="4:4">
      <c r="D1233" s="66"/>
    </row>
    <row r="1234" spans="4:4">
      <c r="D1234" s="66"/>
    </row>
    <row r="1235" spans="4:4">
      <c r="D1235" s="66"/>
    </row>
    <row r="1236" spans="4:4">
      <c r="D1236" s="66"/>
    </row>
    <row r="1237" spans="4:4">
      <c r="D1237" s="66"/>
    </row>
    <row r="1238" spans="4:4">
      <c r="D1238" s="66"/>
    </row>
    <row r="1239" spans="4:4">
      <c r="D1239" s="66"/>
    </row>
    <row r="1240" spans="4:4">
      <c r="D1240" s="66"/>
    </row>
    <row r="1241" spans="4:4">
      <c r="D1241" s="66"/>
    </row>
    <row r="1242" spans="4:4">
      <c r="D1242" s="66"/>
    </row>
    <row r="1243" spans="4:4">
      <c r="D1243" s="66"/>
    </row>
    <row r="1244" spans="4:4">
      <c r="D1244" s="66"/>
    </row>
    <row r="1245" spans="4:4">
      <c r="D1245" s="66"/>
    </row>
    <row r="1246" spans="4:4">
      <c r="D1246" s="66"/>
    </row>
    <row r="1247" spans="4:4">
      <c r="D1247" s="66"/>
    </row>
    <row r="1248" spans="4:4">
      <c r="D1248" s="66"/>
    </row>
    <row r="1249" spans="4:4">
      <c r="D1249" s="66"/>
    </row>
    <row r="1250" spans="4:4">
      <c r="D1250" s="66"/>
    </row>
    <row r="1251" spans="4:4">
      <c r="D1251" s="66"/>
    </row>
    <row r="1252" spans="4:4">
      <c r="D1252" s="66"/>
    </row>
    <row r="1253" spans="4:4">
      <c r="D1253" s="66"/>
    </row>
    <row r="1254" spans="4:4">
      <c r="D1254" s="66"/>
    </row>
    <row r="1255" spans="4:4">
      <c r="D1255" s="66"/>
    </row>
    <row r="1256" spans="4:4">
      <c r="D1256" s="66"/>
    </row>
    <row r="1257" spans="4:4">
      <c r="D1257" s="66"/>
    </row>
    <row r="1258" spans="4:4">
      <c r="D1258" s="66"/>
    </row>
    <row r="1259" spans="4:4">
      <c r="D1259" s="66"/>
    </row>
    <row r="1260" spans="4:4">
      <c r="D1260" s="66"/>
    </row>
    <row r="1261" spans="4:4">
      <c r="D1261" s="66"/>
    </row>
    <row r="1262" spans="4:4">
      <c r="D1262" s="66"/>
    </row>
    <row r="1263" spans="4:4">
      <c r="D1263" s="66"/>
    </row>
    <row r="1264" spans="4:4">
      <c r="D1264" s="66"/>
    </row>
    <row r="1265" spans="4:4">
      <c r="D1265" s="66"/>
    </row>
    <row r="1266" spans="4:4">
      <c r="D1266" s="66"/>
    </row>
    <row r="1267" spans="4:4">
      <c r="D1267" s="66"/>
    </row>
    <row r="1268" spans="4:4">
      <c r="D1268" s="66"/>
    </row>
    <row r="1269" spans="4:4">
      <c r="D1269" s="66"/>
    </row>
    <row r="1270" spans="4:4">
      <c r="D1270" s="66"/>
    </row>
    <row r="1271" spans="4:4">
      <c r="D1271" s="66"/>
    </row>
    <row r="1272" spans="4:4">
      <c r="D1272" s="66"/>
    </row>
    <row r="1273" spans="4:4">
      <c r="D1273" s="66"/>
    </row>
    <row r="1274" spans="4:4">
      <c r="D1274" s="66"/>
    </row>
    <row r="1275" spans="4:4">
      <c r="D1275" s="66"/>
    </row>
    <row r="1276" spans="4:4">
      <c r="D1276" s="66"/>
    </row>
    <row r="1277" spans="4:4">
      <c r="D1277" s="66"/>
    </row>
    <row r="1278" spans="4:4">
      <c r="D1278" s="66"/>
    </row>
    <row r="1279" spans="4:4">
      <c r="D1279" s="66"/>
    </row>
    <row r="1280" spans="4:4">
      <c r="D1280" s="66"/>
    </row>
    <row r="1281" spans="4:4">
      <c r="D1281" s="66"/>
    </row>
    <row r="1282" spans="4:4">
      <c r="D1282" s="66"/>
    </row>
    <row r="1283" spans="4:4">
      <c r="D1283" s="66"/>
    </row>
    <row r="1284" spans="4:4">
      <c r="D1284" s="66"/>
    </row>
    <row r="1285" spans="4:4">
      <c r="D1285" s="66"/>
    </row>
    <row r="1286" spans="4:4">
      <c r="D1286" s="66"/>
    </row>
    <row r="1287" spans="4:4">
      <c r="D1287" s="66"/>
    </row>
    <row r="1288" spans="4:4">
      <c r="D1288" s="66"/>
    </row>
    <row r="1289" spans="4:4">
      <c r="D1289" s="66"/>
    </row>
    <row r="1290" spans="4:4">
      <c r="D1290" s="66"/>
    </row>
    <row r="1291" spans="4:4">
      <c r="D1291" s="66"/>
    </row>
    <row r="1292" spans="4:4">
      <c r="D1292" s="66"/>
    </row>
    <row r="1293" spans="4:4">
      <c r="D1293" s="66"/>
    </row>
    <row r="1294" spans="4:4">
      <c r="D1294" s="66"/>
    </row>
    <row r="1295" spans="4:4">
      <c r="D1295" s="66"/>
    </row>
    <row r="1296" spans="4:4">
      <c r="D1296" s="66"/>
    </row>
    <row r="1297" spans="4:4">
      <c r="D1297" s="66"/>
    </row>
    <row r="1298" spans="4:4">
      <c r="D1298" s="66"/>
    </row>
    <row r="1299" spans="4:4">
      <c r="D1299" s="66"/>
    </row>
    <row r="1300" spans="4:4">
      <c r="D1300" s="66"/>
    </row>
    <row r="1301" spans="4:4">
      <c r="D1301" s="66"/>
    </row>
    <row r="1302" spans="4:4">
      <c r="D1302" s="66"/>
    </row>
    <row r="1303" spans="4:4">
      <c r="D1303" s="66"/>
    </row>
    <row r="1304" spans="4:4">
      <c r="D1304" s="66"/>
    </row>
    <row r="1305" spans="4:4">
      <c r="D1305" s="66"/>
    </row>
    <row r="1306" spans="4:4">
      <c r="D1306" s="66"/>
    </row>
    <row r="1307" spans="4:4">
      <c r="D1307" s="66"/>
    </row>
    <row r="1308" spans="4:4">
      <c r="D1308" s="66"/>
    </row>
    <row r="1309" spans="4:4">
      <c r="D1309" s="66"/>
    </row>
    <row r="1310" spans="4:4">
      <c r="D1310" s="66"/>
    </row>
    <row r="1311" spans="4:4">
      <c r="D1311" s="66"/>
    </row>
    <row r="1312" spans="4:4">
      <c r="D1312" s="66"/>
    </row>
    <row r="1313" spans="4:4">
      <c r="D1313" s="66"/>
    </row>
    <row r="1314" spans="4:4">
      <c r="D1314" s="66"/>
    </row>
    <row r="1315" spans="4:4">
      <c r="D1315" s="66"/>
    </row>
    <row r="1316" spans="4:4">
      <c r="D1316" s="66"/>
    </row>
    <row r="1317" spans="4:4">
      <c r="D1317" s="66"/>
    </row>
    <row r="1318" spans="4:4">
      <c r="D1318" s="66"/>
    </row>
    <row r="1319" spans="4:4">
      <c r="D1319" s="66"/>
    </row>
    <row r="1320" spans="4:4">
      <c r="D1320" s="66"/>
    </row>
    <row r="1321" spans="4:4">
      <c r="D1321" s="66"/>
    </row>
    <row r="1322" spans="4:4">
      <c r="D1322" s="66"/>
    </row>
    <row r="1323" spans="4:4">
      <c r="D1323" s="66"/>
    </row>
    <row r="1324" spans="4:4">
      <c r="D1324" s="66"/>
    </row>
    <row r="1325" spans="4:4">
      <c r="D1325" s="66"/>
    </row>
    <row r="1326" spans="4:4">
      <c r="D1326" s="66"/>
    </row>
    <row r="1327" spans="4:4">
      <c r="D1327" s="66"/>
    </row>
    <row r="1328" spans="4:4">
      <c r="D1328" s="66"/>
    </row>
    <row r="1329" spans="4:4">
      <c r="D1329" s="66"/>
    </row>
    <row r="1330" spans="4:4">
      <c r="D1330" s="66"/>
    </row>
    <row r="1331" spans="4:4">
      <c r="D1331" s="66"/>
    </row>
    <row r="1332" spans="4:4">
      <c r="D1332" s="66"/>
    </row>
    <row r="1333" spans="4:4">
      <c r="D1333" s="66"/>
    </row>
    <row r="1334" spans="4:4">
      <c r="D1334" s="66"/>
    </row>
    <row r="1335" spans="4:4">
      <c r="D1335" s="66"/>
    </row>
    <row r="1336" spans="4:4">
      <c r="D1336" s="66"/>
    </row>
    <row r="1337" spans="4:4">
      <c r="D1337" s="66"/>
    </row>
    <row r="1338" spans="4:4">
      <c r="D1338" s="66"/>
    </row>
    <row r="1339" spans="4:4">
      <c r="D1339" s="66"/>
    </row>
    <row r="1340" spans="4:4">
      <c r="D1340" s="66"/>
    </row>
    <row r="1341" spans="4:4">
      <c r="D1341" s="66"/>
    </row>
    <row r="1342" spans="4:4">
      <c r="D1342" s="66"/>
    </row>
    <row r="1343" spans="4:4">
      <c r="D1343" s="66"/>
    </row>
    <row r="1344" spans="4:4">
      <c r="D1344" s="66"/>
    </row>
    <row r="1345" spans="4:4">
      <c r="D1345" s="66"/>
    </row>
    <row r="1346" spans="4:4">
      <c r="D1346" s="66"/>
    </row>
    <row r="1347" spans="4:4">
      <c r="D1347" s="66"/>
    </row>
    <row r="1348" spans="4:4">
      <c r="D1348" s="66"/>
    </row>
    <row r="1349" spans="4:4">
      <c r="D1349" s="66"/>
    </row>
    <row r="1350" spans="4:4">
      <c r="D1350" s="66"/>
    </row>
    <row r="1351" spans="4:4">
      <c r="D1351" s="66"/>
    </row>
    <row r="1352" spans="4:4">
      <c r="D1352" s="66"/>
    </row>
    <row r="1353" spans="4:4">
      <c r="D1353" s="66"/>
    </row>
    <row r="1354" spans="4:4">
      <c r="D1354" s="66"/>
    </row>
    <row r="1355" spans="4:4">
      <c r="D1355" s="66"/>
    </row>
    <row r="1356" spans="4:4">
      <c r="D1356" s="66"/>
    </row>
    <row r="1357" spans="4:4">
      <c r="D1357" s="66"/>
    </row>
    <row r="1358" spans="4:4">
      <c r="D1358" s="66"/>
    </row>
    <row r="1359" spans="4:4">
      <c r="D1359" s="66"/>
    </row>
    <row r="1360" spans="4:4">
      <c r="D1360" s="66"/>
    </row>
    <row r="1361" spans="4:4">
      <c r="D1361" s="66"/>
    </row>
    <row r="1362" spans="4:4">
      <c r="D1362" s="66"/>
    </row>
    <row r="1363" spans="4:4">
      <c r="D1363" s="66"/>
    </row>
    <row r="1364" spans="4:4">
      <c r="D1364" s="66"/>
    </row>
    <row r="1365" spans="4:4">
      <c r="D1365" s="66"/>
    </row>
    <row r="1366" spans="4:4">
      <c r="D1366" s="66"/>
    </row>
    <row r="1367" spans="4:4">
      <c r="D1367" s="66"/>
    </row>
    <row r="1368" spans="4:4">
      <c r="D1368" s="66"/>
    </row>
    <row r="1369" spans="4:4">
      <c r="D1369" s="66"/>
    </row>
    <row r="1370" spans="4:4">
      <c r="D1370" s="66"/>
    </row>
    <row r="1371" spans="4:4">
      <c r="D1371" s="66"/>
    </row>
    <row r="1372" spans="4:4">
      <c r="D1372" s="66"/>
    </row>
    <row r="1373" spans="4:4">
      <c r="D1373" s="66"/>
    </row>
    <row r="1374" spans="4:4">
      <c r="D1374" s="66"/>
    </row>
    <row r="1375" spans="4:4">
      <c r="D1375" s="66"/>
    </row>
    <row r="1376" spans="4:4">
      <c r="D1376" s="66"/>
    </row>
    <row r="1377" spans="4:4">
      <c r="D1377" s="66"/>
    </row>
    <row r="1378" spans="4:4">
      <c r="D1378" s="66"/>
    </row>
    <row r="1379" spans="4:4">
      <c r="D1379" s="66"/>
    </row>
    <row r="1380" spans="4:4">
      <c r="D1380" s="66"/>
    </row>
    <row r="1381" spans="4:4">
      <c r="D1381" s="66"/>
    </row>
    <row r="1382" spans="4:4">
      <c r="D1382" s="66"/>
    </row>
    <row r="1383" spans="4:4">
      <c r="D1383" s="66"/>
    </row>
    <row r="1384" spans="4:4">
      <c r="D1384" s="66"/>
    </row>
    <row r="1385" spans="4:4">
      <c r="D1385" s="66"/>
    </row>
    <row r="1386" spans="4:4">
      <c r="D1386" s="66"/>
    </row>
    <row r="1387" spans="4:4">
      <c r="D1387" s="66"/>
    </row>
    <row r="1388" spans="4:4">
      <c r="D1388" s="66"/>
    </row>
    <row r="1389" spans="4:4">
      <c r="D1389" s="66"/>
    </row>
    <row r="1390" spans="4:4">
      <c r="D1390" s="66"/>
    </row>
    <row r="1391" spans="4:4">
      <c r="D1391" s="66"/>
    </row>
    <row r="1392" spans="4:4">
      <c r="D1392" s="66"/>
    </row>
    <row r="1393" spans="4:4">
      <c r="D1393" s="66"/>
    </row>
    <row r="1394" spans="4:4">
      <c r="D1394" s="66"/>
    </row>
    <row r="1395" spans="4:4">
      <c r="D1395" s="66"/>
    </row>
    <row r="1396" spans="4:4">
      <c r="D1396" s="66"/>
    </row>
    <row r="1397" spans="4:4">
      <c r="D1397" s="66"/>
    </row>
    <row r="1398" spans="4:4">
      <c r="D1398" s="66"/>
    </row>
    <row r="1399" spans="4:4">
      <c r="D1399" s="66"/>
    </row>
    <row r="1400" spans="4:4">
      <c r="D1400" s="66"/>
    </row>
    <row r="1401" spans="4:4">
      <c r="D1401" s="66"/>
    </row>
    <row r="1402" spans="4:4">
      <c r="D1402" s="66"/>
    </row>
    <row r="1403" spans="4:4">
      <c r="D1403" s="66"/>
    </row>
    <row r="1404" spans="4:4">
      <c r="D1404" s="66"/>
    </row>
    <row r="1405" spans="4:4">
      <c r="D1405" s="66"/>
    </row>
    <row r="1406" spans="4:4">
      <c r="D1406" s="66"/>
    </row>
    <row r="1407" spans="4:4">
      <c r="D1407" s="66"/>
    </row>
    <row r="1408" spans="4:4">
      <c r="D1408" s="66"/>
    </row>
    <row r="1409" spans="4:4">
      <c r="D1409" s="66"/>
    </row>
    <row r="1410" spans="4:4">
      <c r="D1410" s="66"/>
    </row>
    <row r="1411" spans="4:4">
      <c r="D1411" s="66"/>
    </row>
    <row r="1412" spans="4:4">
      <c r="D1412" s="66"/>
    </row>
    <row r="1413" spans="4:4">
      <c r="D1413" s="66"/>
    </row>
    <row r="1414" spans="4:4">
      <c r="D1414" s="66"/>
    </row>
    <row r="1415" spans="4:4">
      <c r="D1415" s="66"/>
    </row>
    <row r="1416" spans="4:4">
      <c r="D1416" s="66"/>
    </row>
    <row r="1417" spans="4:4">
      <c r="D1417" s="66"/>
    </row>
    <row r="1418" spans="4:4">
      <c r="D1418" s="66"/>
    </row>
    <row r="1419" spans="4:4">
      <c r="D1419" s="66"/>
    </row>
    <row r="1420" spans="4:4">
      <c r="D1420" s="66"/>
    </row>
    <row r="1421" spans="4:4">
      <c r="D1421" s="66"/>
    </row>
    <row r="1422" spans="4:4">
      <c r="D1422" s="66"/>
    </row>
    <row r="1423" spans="4:4">
      <c r="D1423" s="66"/>
    </row>
    <row r="1424" spans="4:4">
      <c r="D1424" s="66"/>
    </row>
    <row r="1425" spans="4:4">
      <c r="D1425" s="66"/>
    </row>
    <row r="1426" spans="4:4">
      <c r="D1426" s="66"/>
    </row>
    <row r="1427" spans="4:4">
      <c r="D1427" s="66"/>
    </row>
    <row r="1428" spans="4:4">
      <c r="D1428" s="66"/>
    </row>
    <row r="1429" spans="4:4">
      <c r="D1429" s="66"/>
    </row>
    <row r="1430" spans="4:4">
      <c r="D1430" s="66"/>
    </row>
    <row r="1431" spans="4:4">
      <c r="D1431" s="66"/>
    </row>
    <row r="1432" spans="4:4">
      <c r="D1432" s="66"/>
    </row>
    <row r="1433" spans="4:4">
      <c r="D1433" s="66"/>
    </row>
    <row r="1434" spans="4:4">
      <c r="D1434" s="66"/>
    </row>
    <row r="1435" spans="4:4">
      <c r="D1435" s="66"/>
    </row>
    <row r="1436" spans="4:4">
      <c r="D1436" s="66"/>
    </row>
    <row r="1437" spans="4:4">
      <c r="D1437" s="66"/>
    </row>
    <row r="1438" spans="4:4">
      <c r="D1438" s="66"/>
    </row>
    <row r="1439" spans="4:4">
      <c r="D1439" s="66"/>
    </row>
    <row r="1440" spans="4:4">
      <c r="D1440" s="66"/>
    </row>
    <row r="1441" spans="4:4">
      <c r="D1441" s="66"/>
    </row>
    <row r="1442" spans="4:4">
      <c r="D1442" s="66"/>
    </row>
    <row r="1443" spans="4:4">
      <c r="D1443" s="66"/>
    </row>
    <row r="1444" spans="4:4">
      <c r="D1444" s="66"/>
    </row>
    <row r="1445" spans="4:4">
      <c r="D1445" s="66"/>
    </row>
    <row r="1446" spans="4:4">
      <c r="D1446" s="66"/>
    </row>
    <row r="1447" spans="4:4">
      <c r="D1447" s="66"/>
    </row>
    <row r="1448" spans="4:4">
      <c r="D1448" s="66"/>
    </row>
    <row r="1449" spans="4:4">
      <c r="D1449" s="66"/>
    </row>
    <row r="1450" spans="4:4">
      <c r="D1450" s="66"/>
    </row>
    <row r="1451" spans="4:4">
      <c r="D1451" s="66"/>
    </row>
    <row r="1452" spans="4:4">
      <c r="D1452" s="66"/>
    </row>
    <row r="1453" spans="4:4">
      <c r="D1453" s="66"/>
    </row>
    <row r="1454" spans="4:4">
      <c r="D1454" s="66"/>
    </row>
    <row r="1455" spans="4:4">
      <c r="D1455" s="66"/>
    </row>
    <row r="1456" spans="4:4">
      <c r="D1456" s="66"/>
    </row>
    <row r="1457" spans="4:4">
      <c r="D1457" s="66"/>
    </row>
    <row r="1458" spans="4:4">
      <c r="D1458" s="66"/>
    </row>
    <row r="1459" spans="4:4">
      <c r="D1459" s="66"/>
    </row>
    <row r="1460" spans="4:4">
      <c r="D1460" s="66"/>
    </row>
    <row r="1461" spans="4:4">
      <c r="D1461" s="66"/>
    </row>
    <row r="1462" spans="4:4">
      <c r="D1462" s="66"/>
    </row>
    <row r="1463" spans="4:4">
      <c r="D1463" s="66"/>
    </row>
    <row r="1464" spans="4:4">
      <c r="D1464" s="66"/>
    </row>
    <row r="1465" spans="4:4">
      <c r="D1465" s="66"/>
    </row>
    <row r="1466" spans="4:4">
      <c r="D1466" s="66"/>
    </row>
    <row r="1467" spans="4:4">
      <c r="D1467" s="66"/>
    </row>
    <row r="1468" spans="4:4">
      <c r="D1468" s="66"/>
    </row>
    <row r="1469" spans="4:4">
      <c r="D1469" s="66"/>
    </row>
    <row r="1470" spans="4:4">
      <c r="D1470" s="66"/>
    </row>
    <row r="1471" spans="4:4">
      <c r="D1471" s="66"/>
    </row>
    <row r="1472" spans="4:4">
      <c r="D1472" s="66"/>
    </row>
    <row r="1473" spans="4:4">
      <c r="D1473" s="66"/>
    </row>
    <row r="1474" spans="4:4">
      <c r="D1474" s="66"/>
    </row>
    <row r="1475" spans="4:4">
      <c r="D1475" s="66"/>
    </row>
    <row r="1476" spans="4:4">
      <c r="D1476" s="66"/>
    </row>
    <row r="1477" spans="4:4">
      <c r="D1477" s="66"/>
    </row>
    <row r="1478" spans="4:4">
      <c r="D1478" s="66"/>
    </row>
    <row r="1479" spans="4:4">
      <c r="D1479" s="66"/>
    </row>
    <row r="1480" spans="4:4">
      <c r="D1480" s="66"/>
    </row>
    <row r="1481" spans="4:4">
      <c r="D1481" s="66"/>
    </row>
    <row r="1482" spans="4:4">
      <c r="D1482" s="66"/>
    </row>
    <row r="1483" spans="4:4">
      <c r="D1483" s="66"/>
    </row>
    <row r="1484" spans="4:4">
      <c r="D1484" s="66"/>
    </row>
    <row r="1485" spans="4:4">
      <c r="D1485" s="66"/>
    </row>
    <row r="1486" spans="4:4">
      <c r="D1486" s="66"/>
    </row>
    <row r="1487" spans="4:4">
      <c r="D1487" s="66"/>
    </row>
    <row r="1488" spans="4:4">
      <c r="D1488" s="66"/>
    </row>
    <row r="1489" spans="4:4">
      <c r="D1489" s="66"/>
    </row>
    <row r="1490" spans="4:4">
      <c r="D1490" s="66"/>
    </row>
    <row r="1491" spans="4:4">
      <c r="D1491" s="66"/>
    </row>
    <row r="1492" spans="4:4">
      <c r="D1492" s="66"/>
    </row>
    <row r="1493" spans="4:4">
      <c r="D1493" s="66"/>
    </row>
    <row r="1494" spans="4:4">
      <c r="D1494" s="66"/>
    </row>
    <row r="1495" spans="4:4">
      <c r="D1495" s="66"/>
    </row>
    <row r="1496" spans="4:4">
      <c r="D1496" s="66"/>
    </row>
    <row r="1497" spans="4:4">
      <c r="D1497" s="66"/>
    </row>
    <row r="1498" spans="4:4">
      <c r="D1498" s="66"/>
    </row>
    <row r="1499" spans="4:4">
      <c r="D1499" s="66"/>
    </row>
    <row r="1500" spans="4:4">
      <c r="D1500" s="66"/>
    </row>
    <row r="1501" spans="4:4">
      <c r="D1501" s="66"/>
    </row>
    <row r="1502" spans="4:4">
      <c r="D1502" s="66"/>
    </row>
    <row r="1503" spans="4:4">
      <c r="D1503" s="66"/>
    </row>
    <row r="1504" spans="4:4">
      <c r="D1504" s="66"/>
    </row>
    <row r="1505" spans="4:4">
      <c r="D1505" s="66"/>
    </row>
    <row r="1506" spans="4:4">
      <c r="D1506" s="66"/>
    </row>
    <row r="1507" spans="4:4">
      <c r="D1507" s="66"/>
    </row>
    <row r="1508" spans="4:4">
      <c r="D1508" s="66"/>
    </row>
    <row r="1509" spans="4:4">
      <c r="D1509" s="66"/>
    </row>
    <row r="1510" spans="4:4">
      <c r="D1510" s="66"/>
    </row>
    <row r="1511" spans="4:4">
      <c r="D1511" s="66"/>
    </row>
    <row r="1512" spans="4:4">
      <c r="D1512" s="66"/>
    </row>
    <row r="1513" spans="4:4">
      <c r="D1513" s="66"/>
    </row>
    <row r="1514" spans="4:4">
      <c r="D1514" s="66"/>
    </row>
    <row r="1515" spans="4:4">
      <c r="D1515" s="66"/>
    </row>
    <row r="1516" spans="4:4">
      <c r="D1516" s="66"/>
    </row>
    <row r="1517" spans="4:4">
      <c r="D1517" s="66"/>
    </row>
    <row r="1518" spans="4:4">
      <c r="D1518" s="66"/>
    </row>
    <row r="1519" spans="4:4">
      <c r="D1519" s="66"/>
    </row>
    <row r="1520" spans="4:4">
      <c r="D1520" s="66"/>
    </row>
    <row r="1521" spans="4:4">
      <c r="D1521" s="66"/>
    </row>
    <row r="1522" spans="4:4">
      <c r="D1522" s="66"/>
    </row>
    <row r="1523" spans="4:4">
      <c r="D1523" s="66"/>
    </row>
    <row r="1524" spans="4:4">
      <c r="D1524" s="66"/>
    </row>
    <row r="1525" spans="4:4">
      <c r="D1525" s="66"/>
    </row>
    <row r="1526" spans="4:4">
      <c r="D1526" s="66"/>
    </row>
    <row r="1527" spans="4:4">
      <c r="D1527" s="66"/>
    </row>
    <row r="1528" spans="4:4">
      <c r="D1528" s="66"/>
    </row>
    <row r="1529" spans="4:4">
      <c r="D1529" s="66"/>
    </row>
    <row r="1530" spans="4:4">
      <c r="D1530" s="66"/>
    </row>
    <row r="1531" spans="4:4">
      <c r="D1531" s="66"/>
    </row>
    <row r="1532" spans="4:4">
      <c r="D1532" s="66"/>
    </row>
    <row r="1533" spans="4:4">
      <c r="D1533" s="66"/>
    </row>
    <row r="1534" spans="4:4">
      <c r="D1534" s="66"/>
    </row>
    <row r="1535" spans="4:4">
      <c r="D1535" s="66"/>
    </row>
    <row r="1536" spans="4:4">
      <c r="D1536" s="66"/>
    </row>
    <row r="1537" spans="4:4">
      <c r="D1537" s="66"/>
    </row>
    <row r="1538" spans="4:4">
      <c r="D1538" s="66"/>
    </row>
    <row r="1539" spans="4:4">
      <c r="D1539" s="66"/>
    </row>
    <row r="1540" spans="4:4">
      <c r="D1540" s="66"/>
    </row>
    <row r="1541" spans="4:4">
      <c r="D1541" s="66"/>
    </row>
    <row r="1542" spans="4:4">
      <c r="D1542" s="66"/>
    </row>
    <row r="1543" spans="4:4">
      <c r="D1543" s="66"/>
    </row>
    <row r="1544" spans="4:4">
      <c r="D1544" s="66"/>
    </row>
    <row r="1545" spans="4:4">
      <c r="D1545" s="66"/>
    </row>
    <row r="1546" spans="4:4">
      <c r="D1546" s="66"/>
    </row>
    <row r="1547" spans="4:4">
      <c r="D1547" s="66"/>
    </row>
    <row r="1548" spans="4:4">
      <c r="D1548" s="66"/>
    </row>
    <row r="1549" spans="4:4">
      <c r="D1549" s="66"/>
    </row>
    <row r="1550" spans="4:4">
      <c r="D1550" s="66"/>
    </row>
    <row r="1551" spans="4:4">
      <c r="D1551" s="66"/>
    </row>
    <row r="1552" spans="4:4">
      <c r="D1552" s="66"/>
    </row>
    <row r="1553" spans="4:4">
      <c r="D1553" s="66"/>
    </row>
    <row r="1554" spans="4:4">
      <c r="D1554" s="66"/>
    </row>
    <row r="1555" spans="4:4">
      <c r="D1555" s="66"/>
    </row>
    <row r="1556" spans="4:4">
      <c r="D1556" s="66"/>
    </row>
    <row r="1557" spans="4:4">
      <c r="D1557" s="66"/>
    </row>
    <row r="1558" spans="4:4">
      <c r="D1558" s="66"/>
    </row>
    <row r="1559" spans="4:4">
      <c r="D1559" s="66"/>
    </row>
    <row r="1560" spans="4:4">
      <c r="D1560" s="66"/>
    </row>
    <row r="1561" spans="4:4">
      <c r="D1561" s="66"/>
    </row>
    <row r="1562" spans="4:4">
      <c r="D1562" s="66"/>
    </row>
    <row r="1563" spans="4:4">
      <c r="D1563" s="66"/>
    </row>
    <row r="1564" spans="4:4">
      <c r="D1564" s="66"/>
    </row>
    <row r="1565" spans="4:4">
      <c r="D1565" s="66"/>
    </row>
    <row r="1566" spans="4:4">
      <c r="D1566" s="66"/>
    </row>
    <row r="1567" spans="4:4">
      <c r="D1567" s="66"/>
    </row>
    <row r="1568" spans="4:4">
      <c r="D1568" s="66"/>
    </row>
    <row r="1569" spans="4:4">
      <c r="D1569" s="66"/>
    </row>
    <row r="1570" spans="4:4">
      <c r="D1570" s="66"/>
    </row>
    <row r="1571" spans="4:4">
      <c r="D1571" s="66"/>
    </row>
    <row r="1572" spans="4:4">
      <c r="D1572" s="66"/>
    </row>
    <row r="1573" spans="4:4">
      <c r="D1573" s="66"/>
    </row>
    <row r="1574" spans="4:4">
      <c r="D1574" s="66"/>
    </row>
    <row r="1575" spans="4:4">
      <c r="D1575" s="66"/>
    </row>
    <row r="1576" spans="4:4">
      <c r="D1576" s="66"/>
    </row>
    <row r="1577" spans="4:4">
      <c r="D1577" s="66"/>
    </row>
    <row r="1578" spans="4:4">
      <c r="D1578" s="66"/>
    </row>
    <row r="1579" spans="4:4">
      <c r="D1579" s="66"/>
    </row>
    <row r="1580" spans="4:4">
      <c r="D1580" s="66"/>
    </row>
    <row r="1581" spans="4:4">
      <c r="D1581" s="66"/>
    </row>
    <row r="1582" spans="4:4">
      <c r="D1582" s="66"/>
    </row>
    <row r="1583" spans="4:4">
      <c r="D1583" s="66"/>
    </row>
    <row r="1584" spans="4:4">
      <c r="D1584" s="66"/>
    </row>
    <row r="1585" spans="4:4">
      <c r="D1585" s="66"/>
    </row>
    <row r="1586" spans="4:4">
      <c r="D1586" s="66"/>
    </row>
    <row r="1587" spans="4:4">
      <c r="D1587" s="66"/>
    </row>
    <row r="1588" spans="4:4">
      <c r="D1588" s="66"/>
    </row>
    <row r="1589" spans="4:4">
      <c r="D1589" s="66"/>
    </row>
    <row r="1590" spans="4:4">
      <c r="D1590" s="66"/>
    </row>
    <row r="1591" spans="4:4">
      <c r="D1591" s="66"/>
    </row>
    <row r="1592" spans="4:4">
      <c r="D1592" s="66"/>
    </row>
    <row r="1593" spans="4:4">
      <c r="D1593" s="66"/>
    </row>
    <row r="1594" spans="4:4">
      <c r="D1594" s="66"/>
    </row>
    <row r="1595" spans="4:4">
      <c r="D1595" s="66"/>
    </row>
    <row r="1596" spans="4:4">
      <c r="D1596" s="66"/>
    </row>
    <row r="1597" spans="4:4">
      <c r="D1597" s="66"/>
    </row>
    <row r="1598" spans="4:4">
      <c r="D1598" s="66"/>
    </row>
    <row r="1599" spans="4:4">
      <c r="D1599" s="66"/>
    </row>
    <row r="1600" spans="4:4">
      <c r="D1600" s="66"/>
    </row>
    <row r="1601" spans="4:4">
      <c r="D1601" s="66"/>
    </row>
    <row r="1602" spans="4:4">
      <c r="D1602" s="66"/>
    </row>
    <row r="1603" spans="4:4">
      <c r="D1603" s="66"/>
    </row>
    <row r="1604" spans="4:4">
      <c r="D1604" s="66"/>
    </row>
    <row r="1605" spans="4:4">
      <c r="D1605" s="66"/>
    </row>
    <row r="1606" spans="4:4">
      <c r="D1606" s="66"/>
    </row>
    <row r="1607" spans="4:4">
      <c r="D1607" s="66"/>
    </row>
    <row r="1608" spans="4:4">
      <c r="D1608" s="66"/>
    </row>
    <row r="1609" spans="4:4">
      <c r="D1609" s="66"/>
    </row>
    <row r="1610" spans="4:4">
      <c r="D1610" s="66"/>
    </row>
    <row r="1611" spans="4:4">
      <c r="D1611" s="66"/>
    </row>
    <row r="1612" spans="4:4">
      <c r="D1612" s="66"/>
    </row>
    <row r="1613" spans="4:4">
      <c r="D1613" s="66"/>
    </row>
    <row r="1614" spans="4:4">
      <c r="D1614" s="66"/>
    </row>
    <row r="1615" spans="4:4">
      <c r="D1615" s="66"/>
    </row>
    <row r="1616" spans="4:4">
      <c r="D1616" s="66"/>
    </row>
    <row r="1617" spans="4:4">
      <c r="D1617" s="66"/>
    </row>
    <row r="1618" spans="4:4">
      <c r="D1618" s="66"/>
    </row>
    <row r="1619" spans="4:4">
      <c r="D1619" s="66"/>
    </row>
    <row r="1620" spans="4:4">
      <c r="D1620" s="66"/>
    </row>
    <row r="1621" spans="4:4">
      <c r="D1621" s="66"/>
    </row>
    <row r="1622" spans="4:4">
      <c r="D1622" s="66"/>
    </row>
    <row r="1623" spans="4:4">
      <c r="D1623" s="66"/>
    </row>
    <row r="1624" spans="4:4">
      <c r="D1624" s="66"/>
    </row>
    <row r="1625" spans="4:4">
      <c r="D1625" s="66"/>
    </row>
    <row r="1626" spans="4:4">
      <c r="D1626" s="66"/>
    </row>
    <row r="1627" spans="4:4">
      <c r="D1627" s="66"/>
    </row>
    <row r="1628" spans="4:4">
      <c r="D1628" s="66"/>
    </row>
    <row r="1629" spans="4:4">
      <c r="D1629" s="66"/>
    </row>
    <row r="1630" spans="4:4">
      <c r="D1630" s="66"/>
    </row>
    <row r="1631" spans="4:4">
      <c r="D1631" s="66"/>
    </row>
    <row r="1632" spans="4:4">
      <c r="D1632" s="66"/>
    </row>
    <row r="1633" spans="4:4">
      <c r="D1633" s="66"/>
    </row>
    <row r="1634" spans="4:4">
      <c r="D1634" s="66"/>
    </row>
    <row r="1635" spans="4:4">
      <c r="D1635" s="66"/>
    </row>
    <row r="1636" spans="4:4">
      <c r="D1636" s="66"/>
    </row>
    <row r="1637" spans="4:4">
      <c r="D1637" s="66"/>
    </row>
    <row r="1638" spans="4:4">
      <c r="D1638" s="66"/>
    </row>
    <row r="1639" spans="4:4">
      <c r="D1639" s="66"/>
    </row>
    <row r="1640" spans="4:4">
      <c r="D1640" s="66"/>
    </row>
    <row r="1641" spans="4:4">
      <c r="D1641" s="66"/>
    </row>
    <row r="1642" spans="4:4">
      <c r="D1642" s="66"/>
    </row>
    <row r="1643" spans="4:4">
      <c r="D1643" s="66"/>
    </row>
    <row r="1644" spans="4:4">
      <c r="D1644" s="66"/>
    </row>
    <row r="1645" spans="4:4">
      <c r="D1645" s="66"/>
    </row>
    <row r="1646" spans="4:4">
      <c r="D1646" s="66"/>
    </row>
    <row r="1647" spans="4:4">
      <c r="D1647" s="66"/>
    </row>
    <row r="1648" spans="4:4">
      <c r="D1648" s="66"/>
    </row>
    <row r="1649" spans="4:4">
      <c r="D1649" s="66"/>
    </row>
    <row r="1650" spans="4:4">
      <c r="D1650" s="66"/>
    </row>
    <row r="1651" spans="4:4">
      <c r="D1651" s="66"/>
    </row>
    <row r="1652" spans="4:4">
      <c r="D1652" s="66"/>
    </row>
    <row r="1653" spans="4:4">
      <c r="D1653" s="66"/>
    </row>
    <row r="1654" spans="4:4">
      <c r="D1654" s="66"/>
    </row>
    <row r="1655" spans="4:4">
      <c r="D1655" s="66"/>
    </row>
    <row r="1656" spans="4:4">
      <c r="D1656" s="66"/>
    </row>
    <row r="1657" spans="4:4">
      <c r="D1657" s="66"/>
    </row>
    <row r="1658" spans="4:4">
      <c r="D1658" s="66"/>
    </row>
    <row r="1659" spans="4:4">
      <c r="D1659" s="66"/>
    </row>
    <row r="1660" spans="4:4">
      <c r="D1660" s="66"/>
    </row>
    <row r="1661" spans="4:4">
      <c r="D1661" s="66"/>
    </row>
    <row r="1662" spans="4:4">
      <c r="D1662" s="66"/>
    </row>
    <row r="1663" spans="4:4">
      <c r="D1663" s="66"/>
    </row>
    <row r="1664" spans="4:4">
      <c r="D1664" s="66"/>
    </row>
    <row r="1665" spans="4:4">
      <c r="D1665" s="66"/>
    </row>
    <row r="1666" spans="4:4">
      <c r="D1666" s="66"/>
    </row>
    <row r="1667" spans="4:4">
      <c r="D1667" s="66"/>
    </row>
    <row r="1668" spans="4:4">
      <c r="D1668" s="66"/>
    </row>
    <row r="1669" spans="4:4">
      <c r="D1669" s="66"/>
    </row>
    <row r="1670" spans="4:4">
      <c r="D1670" s="66"/>
    </row>
    <row r="1671" spans="4:4">
      <c r="D1671" s="66"/>
    </row>
    <row r="1672" spans="4:4">
      <c r="D1672" s="66"/>
    </row>
    <row r="1673" spans="4:4">
      <c r="D1673" s="66"/>
    </row>
    <row r="1674" spans="4:4">
      <c r="D1674" s="66"/>
    </row>
    <row r="1675" spans="4:4">
      <c r="D1675" s="66"/>
    </row>
    <row r="1676" spans="4:4">
      <c r="D1676" s="66"/>
    </row>
    <row r="1677" spans="4:4">
      <c r="D1677" s="66"/>
    </row>
    <row r="1678" spans="4:4">
      <c r="D1678" s="66"/>
    </row>
    <row r="1679" spans="4:4">
      <c r="D1679" s="66"/>
    </row>
    <row r="1680" spans="4:4">
      <c r="D1680" s="66"/>
    </row>
    <row r="1681" spans="4:4">
      <c r="D1681" s="66"/>
    </row>
    <row r="1682" spans="4:4">
      <c r="D1682" s="66"/>
    </row>
    <row r="1683" spans="4:4">
      <c r="D1683" s="66"/>
    </row>
    <row r="1684" spans="4:4">
      <c r="D1684" s="66"/>
    </row>
    <row r="1685" spans="4:4">
      <c r="D1685" s="66"/>
    </row>
    <row r="1686" spans="4:4">
      <c r="D1686" s="66"/>
    </row>
    <row r="1687" spans="4:4">
      <c r="D1687" s="66"/>
    </row>
    <row r="1688" spans="4:4">
      <c r="D1688" s="66"/>
    </row>
    <row r="1689" spans="4:4">
      <c r="D1689" s="66"/>
    </row>
    <row r="1690" spans="4:4">
      <c r="D1690" s="66"/>
    </row>
    <row r="1691" spans="4:4">
      <c r="D1691" s="66"/>
    </row>
    <row r="1692" spans="4:4">
      <c r="D1692" s="66"/>
    </row>
    <row r="1693" spans="4:4">
      <c r="D1693" s="66"/>
    </row>
    <row r="1694" spans="4:4">
      <c r="D1694" s="66"/>
    </row>
    <row r="1695" spans="4:4">
      <c r="D1695" s="66"/>
    </row>
    <row r="1696" spans="4:4">
      <c r="D1696" s="66"/>
    </row>
    <row r="1697" spans="4:4">
      <c r="D1697" s="66"/>
    </row>
    <row r="1698" spans="4:4">
      <c r="D1698" s="66"/>
    </row>
    <row r="1699" spans="4:4">
      <c r="D1699" s="66"/>
    </row>
    <row r="1700" spans="4:4">
      <c r="D1700" s="66"/>
    </row>
    <row r="1701" spans="4:4">
      <c r="D1701" s="66"/>
    </row>
    <row r="1702" spans="4:4">
      <c r="D1702" s="66"/>
    </row>
    <row r="1703" spans="4:4">
      <c r="D1703" s="66"/>
    </row>
    <row r="1704" spans="4:4">
      <c r="D1704" s="66"/>
    </row>
    <row r="1705" spans="4:4">
      <c r="D1705" s="66"/>
    </row>
    <row r="1706" spans="4:4">
      <c r="D1706" s="66"/>
    </row>
    <row r="1707" spans="4:4">
      <c r="D1707" s="66"/>
    </row>
    <row r="1708" spans="4:4">
      <c r="D1708" s="66"/>
    </row>
    <row r="1709" spans="4:4">
      <c r="D1709" s="66"/>
    </row>
    <row r="1710" spans="4:4">
      <c r="D1710" s="66"/>
    </row>
    <row r="1711" spans="4:4">
      <c r="D1711" s="66"/>
    </row>
    <row r="1712" spans="4:4">
      <c r="D1712" s="66"/>
    </row>
    <row r="1713" spans="4:4">
      <c r="D1713" s="66"/>
    </row>
    <row r="1714" spans="4:4">
      <c r="D1714" s="66"/>
    </row>
    <row r="1715" spans="4:4">
      <c r="D1715" s="66"/>
    </row>
    <row r="1716" spans="4:4">
      <c r="D1716" s="66"/>
    </row>
    <row r="1717" spans="4:4">
      <c r="D1717" s="66"/>
    </row>
    <row r="1718" spans="4:4">
      <c r="D1718" s="66"/>
    </row>
    <row r="1719" spans="4:4">
      <c r="D1719" s="66"/>
    </row>
    <row r="1720" spans="4:4">
      <c r="D1720" s="66"/>
    </row>
    <row r="1721" spans="4:4">
      <c r="D1721" s="66"/>
    </row>
    <row r="1722" spans="4:4">
      <c r="D1722" s="66"/>
    </row>
    <row r="1723" spans="4:4">
      <c r="D1723" s="66"/>
    </row>
    <row r="1724" spans="4:4">
      <c r="D1724" s="66"/>
    </row>
    <row r="1725" spans="4:4">
      <c r="D1725" s="66"/>
    </row>
    <row r="1726" spans="4:4">
      <c r="D1726" s="66"/>
    </row>
    <row r="1727" spans="4:4">
      <c r="D1727" s="66"/>
    </row>
    <row r="1728" spans="4:4">
      <c r="D1728" s="66"/>
    </row>
    <row r="1729" spans="4:4">
      <c r="D1729" s="66"/>
    </row>
    <row r="1730" spans="4:4">
      <c r="D1730" s="66"/>
    </row>
    <row r="1731" spans="4:4">
      <c r="D1731" s="66"/>
    </row>
    <row r="1732" spans="4:4">
      <c r="D1732" s="66"/>
    </row>
    <row r="1733" spans="4:4">
      <c r="D1733" s="66"/>
    </row>
    <row r="1734" spans="4:4">
      <c r="D1734" s="66"/>
    </row>
    <row r="1735" spans="4:4">
      <c r="D1735" s="66"/>
    </row>
    <row r="1736" spans="4:4">
      <c r="D1736" s="66"/>
    </row>
    <row r="1737" spans="4:4">
      <c r="D1737" s="66"/>
    </row>
    <row r="1738" spans="4:4">
      <c r="D1738" s="66"/>
    </row>
    <row r="1739" spans="4:4">
      <c r="D1739" s="66"/>
    </row>
    <row r="1740" spans="4:4">
      <c r="D1740" s="66"/>
    </row>
    <row r="1741" spans="4:4">
      <c r="D1741" s="66"/>
    </row>
    <row r="1742" spans="4:4">
      <c r="D1742" s="66"/>
    </row>
    <row r="1743" spans="4:4">
      <c r="D1743" s="66"/>
    </row>
    <row r="1744" spans="4:4">
      <c r="D1744" s="66"/>
    </row>
    <row r="1745" spans="4:4">
      <c r="D1745" s="66"/>
    </row>
    <row r="1746" spans="4:4">
      <c r="D1746" s="66"/>
    </row>
    <row r="1747" spans="4:4">
      <c r="D1747" s="66"/>
    </row>
    <row r="1748" spans="4:4">
      <c r="D1748" s="66"/>
    </row>
    <row r="1749" spans="4:4">
      <c r="D1749" s="66"/>
    </row>
    <row r="1750" spans="4:4">
      <c r="D1750" s="66"/>
    </row>
    <row r="1751" spans="4:4">
      <c r="D1751" s="66"/>
    </row>
    <row r="1752" spans="4:4">
      <c r="D1752" s="66"/>
    </row>
    <row r="1753" spans="4:4">
      <c r="D1753" s="66"/>
    </row>
    <row r="1754" spans="4:4">
      <c r="D1754" s="66"/>
    </row>
    <row r="1755" spans="4:4">
      <c r="D1755" s="66"/>
    </row>
    <row r="1756" spans="4:4">
      <c r="D1756" s="66"/>
    </row>
    <row r="1757" spans="4:4">
      <c r="D1757" s="66"/>
    </row>
    <row r="1758" spans="4:4">
      <c r="D1758" s="66"/>
    </row>
    <row r="1759" spans="4:4">
      <c r="D1759" s="66"/>
    </row>
    <row r="1760" spans="4:4">
      <c r="D1760" s="66"/>
    </row>
    <row r="1761" spans="4:4">
      <c r="D1761" s="66"/>
    </row>
    <row r="1762" spans="4:4">
      <c r="D1762" s="66"/>
    </row>
    <row r="1763" spans="4:4">
      <c r="D1763" s="66"/>
    </row>
    <row r="1764" spans="4:4">
      <c r="D1764" s="66"/>
    </row>
    <row r="1765" spans="4:4">
      <c r="D1765" s="66"/>
    </row>
    <row r="1766" spans="4:4">
      <c r="D1766" s="66"/>
    </row>
    <row r="1767" spans="4:4">
      <c r="D1767" s="66"/>
    </row>
    <row r="1768" spans="4:4">
      <c r="D1768" s="66"/>
    </row>
    <row r="1769" spans="4:4">
      <c r="D1769" s="66"/>
    </row>
    <row r="1770" spans="4:4">
      <c r="D1770" s="66"/>
    </row>
    <row r="1771" spans="4:4">
      <c r="D1771" s="66"/>
    </row>
    <row r="1772" spans="4:4">
      <c r="D1772" s="66"/>
    </row>
    <row r="1773" spans="4:4">
      <c r="D1773" s="66"/>
    </row>
    <row r="1774" spans="4:4">
      <c r="D1774" s="66"/>
    </row>
    <row r="1775" spans="4:4">
      <c r="D1775" s="66"/>
    </row>
    <row r="1776" spans="4:4">
      <c r="D1776" s="66"/>
    </row>
    <row r="1777" spans="4:4">
      <c r="D1777" s="66"/>
    </row>
    <row r="1778" spans="4:4">
      <c r="D1778" s="66"/>
    </row>
    <row r="1779" spans="4:4">
      <c r="D1779" s="66"/>
    </row>
    <row r="1780" spans="4:4">
      <c r="D1780" s="66"/>
    </row>
    <row r="1781" spans="4:4">
      <c r="D1781" s="66"/>
    </row>
    <row r="1782" spans="4:4">
      <c r="D1782" s="66"/>
    </row>
    <row r="1783" spans="4:4">
      <c r="D1783" s="66"/>
    </row>
    <row r="1784" spans="4:4">
      <c r="D1784" s="66"/>
    </row>
    <row r="1785" spans="4:4">
      <c r="D1785" s="66"/>
    </row>
    <row r="1786" spans="4:4">
      <c r="D1786" s="66"/>
    </row>
    <row r="1787" spans="4:4">
      <c r="D1787" s="66"/>
    </row>
    <row r="1788" spans="4:4">
      <c r="D1788" s="66"/>
    </row>
    <row r="1789" spans="4:4">
      <c r="D1789" s="66"/>
    </row>
    <row r="1790" spans="4:4">
      <c r="D1790" s="66"/>
    </row>
    <row r="1791" spans="4:4">
      <c r="D1791" s="66"/>
    </row>
    <row r="1792" spans="4:4">
      <c r="D1792" s="66"/>
    </row>
    <row r="1793" spans="4:4">
      <c r="D1793" s="66"/>
    </row>
    <row r="1794" spans="4:4">
      <c r="D1794" s="66"/>
    </row>
    <row r="1795" spans="4:4">
      <c r="D1795" s="66"/>
    </row>
    <row r="1796" spans="4:4">
      <c r="D1796" s="66"/>
    </row>
    <row r="1797" spans="4:4">
      <c r="D1797" s="66"/>
    </row>
    <row r="1798" spans="4:4">
      <c r="D1798" s="66"/>
    </row>
    <row r="1799" spans="4:4">
      <c r="D1799" s="66"/>
    </row>
    <row r="1800" spans="4:4">
      <c r="D1800" s="66"/>
    </row>
    <row r="1801" spans="4:4">
      <c r="D1801" s="66"/>
    </row>
    <row r="1802" spans="4:4">
      <c r="D1802" s="66"/>
    </row>
    <row r="1803" spans="4:4">
      <c r="D1803" s="66"/>
    </row>
    <row r="1804" spans="4:4">
      <c r="D1804" s="66"/>
    </row>
    <row r="1805" spans="4:4">
      <c r="D1805" s="66"/>
    </row>
    <row r="1806" spans="4:4">
      <c r="D1806" s="66"/>
    </row>
    <row r="1807" spans="4:4">
      <c r="D1807" s="66"/>
    </row>
    <row r="1808" spans="4:4">
      <c r="D1808" s="66"/>
    </row>
    <row r="1809" spans="4:4">
      <c r="D1809" s="66"/>
    </row>
    <row r="1810" spans="4:4">
      <c r="D1810" s="66"/>
    </row>
    <row r="1811" spans="4:4">
      <c r="D1811" s="66"/>
    </row>
    <row r="1812" spans="4:4">
      <c r="D1812" s="66"/>
    </row>
    <row r="1813" spans="4:4">
      <c r="D1813" s="66"/>
    </row>
    <row r="1814" spans="4:4">
      <c r="D1814" s="66"/>
    </row>
    <row r="1815" spans="4:4">
      <c r="D1815" s="66"/>
    </row>
    <row r="1816" spans="4:4">
      <c r="D1816" s="66"/>
    </row>
    <row r="1817" spans="4:4">
      <c r="D1817" s="66"/>
    </row>
    <row r="1818" spans="4:4">
      <c r="D1818" s="66"/>
    </row>
    <row r="1819" spans="4:4">
      <c r="D1819" s="66"/>
    </row>
    <row r="1820" spans="4:4">
      <c r="D1820" s="66"/>
    </row>
    <row r="1821" spans="4:4">
      <c r="D1821" s="66"/>
    </row>
    <row r="1822" spans="4:4">
      <c r="D1822" s="66"/>
    </row>
    <row r="1823" spans="4:4">
      <c r="D1823" s="66"/>
    </row>
    <row r="1824" spans="4:4">
      <c r="D1824" s="66"/>
    </row>
    <row r="1825" spans="4:4">
      <c r="D1825" s="66"/>
    </row>
    <row r="1826" spans="4:4">
      <c r="D1826" s="66"/>
    </row>
    <row r="1827" spans="4:4">
      <c r="D1827" s="66"/>
    </row>
    <row r="1828" spans="4:4">
      <c r="D1828" s="66"/>
    </row>
    <row r="1829" spans="4:4">
      <c r="D1829" s="66"/>
    </row>
    <row r="1830" spans="4:4">
      <c r="D1830" s="66"/>
    </row>
    <row r="1831" spans="4:4">
      <c r="D1831" s="66"/>
    </row>
    <row r="1832" spans="4:4">
      <c r="D1832" s="66"/>
    </row>
    <row r="1833" spans="4:4">
      <c r="D1833" s="66"/>
    </row>
    <row r="1834" spans="4:4">
      <c r="D1834" s="66"/>
    </row>
    <row r="1835" spans="4:4">
      <c r="D1835" s="66"/>
    </row>
    <row r="1836" spans="4:4">
      <c r="D1836" s="66"/>
    </row>
    <row r="1837" spans="4:4">
      <c r="D1837" s="66"/>
    </row>
    <row r="1838" spans="4:4">
      <c r="D1838" s="66"/>
    </row>
    <row r="1839" spans="4:4">
      <c r="D1839" s="66"/>
    </row>
    <row r="1840" spans="4:4">
      <c r="D1840" s="66"/>
    </row>
    <row r="1841" spans="4:4">
      <c r="D1841" s="66"/>
    </row>
    <row r="1842" spans="4:4">
      <c r="D1842" s="66"/>
    </row>
    <row r="1843" spans="4:4">
      <c r="D1843" s="66"/>
    </row>
    <row r="1844" spans="4:4">
      <c r="D1844" s="66"/>
    </row>
    <row r="1845" spans="4:4">
      <c r="D1845" s="66"/>
    </row>
    <row r="1846" spans="4:4">
      <c r="D1846" s="66"/>
    </row>
    <row r="1847" spans="4:4">
      <c r="D1847" s="66"/>
    </row>
    <row r="1848" spans="4:4">
      <c r="D1848" s="66"/>
    </row>
    <row r="1849" spans="4:4">
      <c r="D1849" s="66"/>
    </row>
    <row r="1850" spans="4:4">
      <c r="D1850" s="66"/>
    </row>
    <row r="1851" spans="4:4">
      <c r="D1851" s="66"/>
    </row>
    <row r="1852" spans="4:4">
      <c r="D1852" s="66"/>
    </row>
    <row r="1853" spans="4:4">
      <c r="D1853" s="66"/>
    </row>
    <row r="1854" spans="4:4">
      <c r="D1854" s="66"/>
    </row>
    <row r="1855" spans="4:4">
      <c r="D1855" s="66"/>
    </row>
    <row r="1856" spans="4:4">
      <c r="D1856" s="66"/>
    </row>
    <row r="1857" spans="4:4">
      <c r="D1857" s="66"/>
    </row>
    <row r="1858" spans="4:4">
      <c r="D1858" s="66"/>
    </row>
    <row r="1859" spans="4:4">
      <c r="D1859" s="66"/>
    </row>
    <row r="1860" spans="4:4">
      <c r="D1860" s="66"/>
    </row>
    <row r="1861" spans="4:4">
      <c r="D1861" s="66"/>
    </row>
    <row r="1862" spans="4:4">
      <c r="D1862" s="66"/>
    </row>
    <row r="1863" spans="4:4">
      <c r="D1863" s="66"/>
    </row>
    <row r="1864" spans="4:4">
      <c r="D1864" s="66"/>
    </row>
    <row r="1865" spans="4:4">
      <c r="D1865" s="66"/>
    </row>
    <row r="1866" spans="4:4">
      <c r="D1866" s="66"/>
    </row>
    <row r="1867" spans="4:4">
      <c r="D1867" s="66"/>
    </row>
    <row r="1868" spans="4:4">
      <c r="D1868" s="66"/>
    </row>
    <row r="1869" spans="4:4">
      <c r="D1869" s="66"/>
    </row>
    <row r="1870" spans="4:4">
      <c r="D1870" s="66"/>
    </row>
    <row r="1871" spans="4:4">
      <c r="D1871" s="66"/>
    </row>
    <row r="1872" spans="4:4">
      <c r="D1872" s="66"/>
    </row>
    <row r="1873" spans="4:4">
      <c r="D1873" s="66"/>
    </row>
    <row r="1874" spans="4:4">
      <c r="D1874" s="66"/>
    </row>
    <row r="1875" spans="4:4">
      <c r="D1875" s="66"/>
    </row>
    <row r="1876" spans="4:4">
      <c r="D1876" s="66"/>
    </row>
    <row r="1877" spans="4:4">
      <c r="D1877" s="66"/>
    </row>
    <row r="1878" spans="4:4">
      <c r="D1878" s="66"/>
    </row>
    <row r="1879" spans="4:4">
      <c r="D1879" s="66"/>
    </row>
    <row r="1880" spans="4:4">
      <c r="D1880" s="66"/>
    </row>
    <row r="1881" spans="4:4">
      <c r="D1881" s="66"/>
    </row>
    <row r="1882" spans="4:4">
      <c r="D1882" s="66"/>
    </row>
    <row r="1883" spans="4:4">
      <c r="D1883" s="66"/>
    </row>
    <row r="1884" spans="4:4">
      <c r="D1884" s="66"/>
    </row>
    <row r="1885" spans="4:4">
      <c r="D1885" s="66"/>
    </row>
    <row r="1886" spans="4:4">
      <c r="D1886" s="66"/>
    </row>
    <row r="1887" spans="4:4">
      <c r="D1887" s="66"/>
    </row>
    <row r="1888" spans="4:4">
      <c r="D1888" s="66"/>
    </row>
    <row r="1889" spans="4:4">
      <c r="D1889" s="66"/>
    </row>
    <row r="1890" spans="4:4">
      <c r="D1890" s="66"/>
    </row>
    <row r="1891" spans="4:4">
      <c r="D1891" s="66"/>
    </row>
    <row r="1892" spans="4:4">
      <c r="D1892" s="66"/>
    </row>
    <row r="1893" spans="4:4">
      <c r="D1893" s="66"/>
    </row>
    <row r="1894" spans="4:4">
      <c r="D1894" s="66"/>
    </row>
    <row r="1895" spans="4:4">
      <c r="D1895" s="66"/>
    </row>
    <row r="1896" spans="4:4">
      <c r="D1896" s="66"/>
    </row>
    <row r="1897" spans="4:4">
      <c r="D1897" s="66"/>
    </row>
    <row r="1898" spans="4:4">
      <c r="D1898" s="66"/>
    </row>
    <row r="1899" spans="4:4">
      <c r="D1899" s="66"/>
    </row>
    <row r="1900" spans="4:4">
      <c r="D1900" s="66"/>
    </row>
    <row r="1901" spans="4:4">
      <c r="D1901" s="66"/>
    </row>
    <row r="1902" spans="4:4">
      <c r="D1902" s="66"/>
    </row>
    <row r="1903" spans="4:4">
      <c r="D1903" s="66"/>
    </row>
    <row r="1904" spans="4:4">
      <c r="D1904" s="66"/>
    </row>
    <row r="1905" spans="4:4">
      <c r="D1905" s="66"/>
    </row>
    <row r="1906" spans="4:4">
      <c r="D1906" s="66"/>
    </row>
    <row r="1907" spans="4:4">
      <c r="D1907" s="66"/>
    </row>
    <row r="1908" spans="4:4">
      <c r="D1908" s="66"/>
    </row>
    <row r="1909" spans="4:4">
      <c r="D1909" s="66"/>
    </row>
    <row r="1910" spans="4:4">
      <c r="D1910" s="66"/>
    </row>
    <row r="1911" spans="4:4">
      <c r="D1911" s="66"/>
    </row>
    <row r="1912" spans="4:4">
      <c r="D1912" s="66"/>
    </row>
    <row r="1913" spans="4:4">
      <c r="D1913" s="66"/>
    </row>
    <row r="1914" spans="4:4">
      <c r="D1914" s="66"/>
    </row>
    <row r="1915" spans="4:4">
      <c r="D1915" s="66"/>
    </row>
    <row r="1916" spans="4:4">
      <c r="D1916" s="66"/>
    </row>
    <row r="1917" spans="4:4">
      <c r="D1917" s="66"/>
    </row>
    <row r="1918" spans="4:4">
      <c r="D1918" s="66"/>
    </row>
    <row r="1919" spans="4:4">
      <c r="D1919" s="66"/>
    </row>
    <row r="1920" spans="4:4">
      <c r="D1920" s="66"/>
    </row>
    <row r="1921" spans="4:4">
      <c r="D1921" s="66"/>
    </row>
    <row r="1922" spans="4:4">
      <c r="D1922" s="66"/>
    </row>
    <row r="1923" spans="4:4">
      <c r="D1923" s="66"/>
    </row>
    <row r="1924" spans="4:4">
      <c r="D1924" s="66"/>
    </row>
    <row r="1925" spans="4:4">
      <c r="D1925" s="66"/>
    </row>
    <row r="1926" spans="4:4">
      <c r="D1926" s="66"/>
    </row>
    <row r="1927" spans="4:4">
      <c r="D1927" s="66"/>
    </row>
    <row r="1928" spans="4:4">
      <c r="D1928" s="66"/>
    </row>
    <row r="1929" spans="4:4">
      <c r="D1929" s="66"/>
    </row>
    <row r="1930" spans="4:4">
      <c r="D1930" s="66"/>
    </row>
    <row r="1931" spans="4:4">
      <c r="D1931" s="66"/>
    </row>
    <row r="1932" spans="4:4">
      <c r="D1932" s="66"/>
    </row>
    <row r="1933" spans="4:4">
      <c r="D1933" s="66"/>
    </row>
    <row r="1934" spans="4:4">
      <c r="D1934" s="66"/>
    </row>
    <row r="1935" spans="4:4">
      <c r="D1935" s="66"/>
    </row>
    <row r="1936" spans="4:4">
      <c r="D1936" s="66"/>
    </row>
    <row r="1937" spans="4:4">
      <c r="D1937" s="66"/>
    </row>
    <row r="1938" spans="4:4">
      <c r="D1938" s="66"/>
    </row>
    <row r="1939" spans="4:4">
      <c r="D1939" s="66"/>
    </row>
    <row r="1940" spans="4:4">
      <c r="D1940" s="66"/>
    </row>
    <row r="1941" spans="4:4">
      <c r="D1941" s="66"/>
    </row>
    <row r="1942" spans="4:4">
      <c r="D1942" s="66"/>
    </row>
    <row r="1943" spans="4:4">
      <c r="D1943" s="66"/>
    </row>
    <row r="1944" spans="4:4">
      <c r="D1944" s="66"/>
    </row>
    <row r="1945" spans="4:4">
      <c r="D1945" s="66"/>
    </row>
    <row r="1946" spans="4:4">
      <c r="D1946" s="66"/>
    </row>
    <row r="1947" spans="4:4">
      <c r="D1947" s="66"/>
    </row>
    <row r="1948" spans="4:4">
      <c r="D1948" s="66"/>
    </row>
    <row r="1949" spans="4:4">
      <c r="D1949" s="66"/>
    </row>
    <row r="1950" spans="4:4">
      <c r="D1950" s="66"/>
    </row>
    <row r="1951" spans="4:4">
      <c r="D1951" s="66"/>
    </row>
    <row r="1952" spans="4:4">
      <c r="D1952" s="66"/>
    </row>
    <row r="1953" spans="4:4">
      <c r="D1953" s="66"/>
    </row>
    <row r="1954" spans="4:4">
      <c r="D1954" s="66"/>
    </row>
    <row r="1955" spans="4:4">
      <c r="D1955" s="66"/>
    </row>
    <row r="1956" spans="4:4">
      <c r="D1956" s="66"/>
    </row>
    <row r="1957" spans="4:4">
      <c r="D1957" s="66"/>
    </row>
    <row r="1958" spans="4:4">
      <c r="D1958" s="66"/>
    </row>
    <row r="1959" spans="4:4">
      <c r="D1959" s="66"/>
    </row>
    <row r="1960" spans="4:4">
      <c r="D1960" s="66"/>
    </row>
    <row r="1961" spans="4:4">
      <c r="D1961" s="66"/>
    </row>
    <row r="1962" spans="4:4">
      <c r="D1962" s="66"/>
    </row>
    <row r="1963" spans="4:4">
      <c r="D1963" s="66"/>
    </row>
    <row r="1964" spans="4:4">
      <c r="D1964" s="66"/>
    </row>
    <row r="1965" spans="4:4">
      <c r="D1965" s="66"/>
    </row>
    <row r="1966" spans="4:4">
      <c r="D1966" s="66"/>
    </row>
    <row r="1967" spans="4:4">
      <c r="D1967" s="66"/>
    </row>
    <row r="1968" spans="4:4">
      <c r="D1968" s="66"/>
    </row>
    <row r="1969" spans="4:4">
      <c r="D1969" s="66"/>
    </row>
    <row r="1970" spans="4:4">
      <c r="D1970" s="66"/>
    </row>
    <row r="1971" spans="4:4">
      <c r="D1971" s="66"/>
    </row>
    <row r="1972" spans="4:4">
      <c r="D1972" s="66"/>
    </row>
    <row r="1973" spans="4:4">
      <c r="D1973" s="66"/>
    </row>
    <row r="1974" spans="4:4">
      <c r="D1974" s="66"/>
    </row>
    <row r="1975" spans="4:4">
      <c r="D1975" s="66"/>
    </row>
    <row r="1976" spans="4:4">
      <c r="D1976" s="66"/>
    </row>
    <row r="1977" spans="4:4">
      <c r="D1977" s="66"/>
    </row>
    <row r="1978" spans="4:4">
      <c r="D1978" s="66"/>
    </row>
    <row r="1979" spans="4:4">
      <c r="D1979" s="66"/>
    </row>
    <row r="1980" spans="4:4">
      <c r="D1980" s="66"/>
    </row>
    <row r="1981" spans="4:4">
      <c r="D1981" s="66"/>
    </row>
    <row r="1982" spans="4:4">
      <c r="D1982" s="66"/>
    </row>
    <row r="1983" spans="4:4">
      <c r="D1983" s="66"/>
    </row>
    <row r="1984" spans="4:4">
      <c r="D1984" s="66"/>
    </row>
    <row r="1985" spans="4:4">
      <c r="D1985" s="66"/>
    </row>
    <row r="1986" spans="4:4">
      <c r="D1986" s="66"/>
    </row>
    <row r="1987" spans="4:4">
      <c r="D1987" s="66"/>
    </row>
    <row r="1988" spans="4:4">
      <c r="D1988" s="66"/>
    </row>
    <row r="1989" spans="4:4">
      <c r="D1989" s="66"/>
    </row>
    <row r="1990" spans="4:4">
      <c r="D1990" s="66"/>
    </row>
    <row r="1991" spans="4:4">
      <c r="D1991" s="66"/>
    </row>
    <row r="1992" spans="4:4">
      <c r="D1992" s="66"/>
    </row>
    <row r="1993" spans="4:4">
      <c r="D1993" s="66"/>
    </row>
    <row r="1994" spans="4:4">
      <c r="D1994" s="66"/>
    </row>
    <row r="1995" spans="4:4">
      <c r="D1995" s="66"/>
    </row>
    <row r="1996" spans="4:4">
      <c r="D1996" s="66"/>
    </row>
    <row r="1997" spans="4:4">
      <c r="D1997" s="66"/>
    </row>
    <row r="1998" spans="4:4">
      <c r="D1998" s="66"/>
    </row>
    <row r="1999" spans="4:4">
      <c r="D1999" s="66"/>
    </row>
    <row r="2000" spans="4:4">
      <c r="D2000" s="66"/>
    </row>
    <row r="2001" spans="4:4">
      <c r="D2001" s="66"/>
    </row>
    <row r="2002" spans="4:4">
      <c r="D2002" s="66"/>
    </row>
    <row r="2003" spans="4:4">
      <c r="D2003" s="66"/>
    </row>
    <row r="2004" spans="4:4">
      <c r="D2004" s="66"/>
    </row>
    <row r="2005" spans="4:4">
      <c r="D2005" s="66"/>
    </row>
    <row r="2006" spans="4:4">
      <c r="D2006" s="66"/>
    </row>
    <row r="2007" spans="4:4">
      <c r="D2007" s="66"/>
    </row>
    <row r="2008" spans="4:4">
      <c r="D2008" s="66"/>
    </row>
    <row r="2009" spans="4:4">
      <c r="D2009" s="66"/>
    </row>
    <row r="2010" spans="4:4">
      <c r="D2010" s="66"/>
    </row>
    <row r="2011" spans="4:4">
      <c r="D2011" s="66"/>
    </row>
    <row r="2012" spans="4:4">
      <c r="D2012" s="66"/>
    </row>
    <row r="2013" spans="4:4">
      <c r="D2013" s="66"/>
    </row>
    <row r="2014" spans="4:4">
      <c r="D2014" s="66"/>
    </row>
    <row r="2015" spans="4:4">
      <c r="D2015" s="66"/>
    </row>
    <row r="2016" spans="4:4">
      <c r="D2016" s="66"/>
    </row>
    <row r="2017" spans="4:4">
      <c r="D2017" s="66"/>
    </row>
    <row r="2018" spans="4:4">
      <c r="D2018" s="66"/>
    </row>
    <row r="2019" spans="4:4">
      <c r="D2019" s="66"/>
    </row>
    <row r="2020" spans="4:4">
      <c r="D2020" s="66"/>
    </row>
    <row r="2021" spans="4:4">
      <c r="D2021" s="66"/>
    </row>
    <row r="2022" spans="4:4">
      <c r="D2022" s="66"/>
    </row>
    <row r="2023" spans="4:4">
      <c r="D2023" s="66"/>
    </row>
    <row r="2024" spans="4:4">
      <c r="D2024" s="66"/>
    </row>
    <row r="2025" spans="4:4">
      <c r="D2025" s="66"/>
    </row>
    <row r="2026" spans="4:4">
      <c r="D2026" s="66"/>
    </row>
    <row r="2027" spans="4:4">
      <c r="D2027" s="66"/>
    </row>
    <row r="2028" spans="4:4">
      <c r="D2028" s="66"/>
    </row>
    <row r="2029" spans="4:4">
      <c r="D2029" s="66"/>
    </row>
    <row r="2030" spans="4:4">
      <c r="D2030" s="66"/>
    </row>
    <row r="2031" spans="4:4">
      <c r="D2031" s="66"/>
    </row>
    <row r="2032" spans="4:4">
      <c r="D2032" s="66"/>
    </row>
    <row r="2033" spans="4:4">
      <c r="D2033" s="66"/>
    </row>
    <row r="2034" spans="4:4">
      <c r="D2034" s="66"/>
    </row>
    <row r="2035" spans="4:4">
      <c r="D2035" s="66"/>
    </row>
    <row r="2036" spans="4:4">
      <c r="D2036" s="66"/>
    </row>
    <row r="2037" spans="4:4">
      <c r="D2037" s="66"/>
    </row>
    <row r="2038" spans="4:4">
      <c r="D2038" s="66"/>
    </row>
    <row r="2039" spans="4:4">
      <c r="D2039" s="66"/>
    </row>
    <row r="2040" spans="4:4">
      <c r="D2040" s="66"/>
    </row>
    <row r="2041" spans="4:4">
      <c r="D2041" s="66"/>
    </row>
    <row r="2042" spans="4:4">
      <c r="D2042" s="66"/>
    </row>
    <row r="2043" spans="4:4">
      <c r="D2043" s="66"/>
    </row>
    <row r="2044" spans="4:4">
      <c r="D2044" s="66"/>
    </row>
    <row r="2045" spans="4:4">
      <c r="D2045" s="66"/>
    </row>
    <row r="2046" spans="4:4">
      <c r="D2046" s="66"/>
    </row>
    <row r="2047" spans="4:4">
      <c r="D2047" s="66"/>
    </row>
    <row r="2048" spans="4:4">
      <c r="D2048" s="66"/>
    </row>
    <row r="2049" spans="4:4">
      <c r="D2049" s="66"/>
    </row>
    <row r="2050" spans="4:4">
      <c r="D2050" s="66"/>
    </row>
    <row r="2051" spans="4:4">
      <c r="D2051" s="66"/>
    </row>
    <row r="2052" spans="4:4">
      <c r="D2052" s="66"/>
    </row>
    <row r="2053" spans="4:4">
      <c r="D2053" s="66"/>
    </row>
    <row r="2054" spans="4:4">
      <c r="D2054" s="66"/>
    </row>
    <row r="2055" spans="4:4">
      <c r="D2055" s="66"/>
    </row>
    <row r="2056" spans="4:4">
      <c r="D2056" s="66"/>
    </row>
    <row r="2057" spans="4:4">
      <c r="D2057" s="66"/>
    </row>
    <row r="2058" spans="4:4">
      <c r="D2058" s="66"/>
    </row>
    <row r="2059" spans="4:4">
      <c r="D2059" s="66"/>
    </row>
    <row r="2060" spans="4:4">
      <c r="D2060" s="66"/>
    </row>
    <row r="2061" spans="4:4">
      <c r="D2061" s="66"/>
    </row>
    <row r="2062" spans="4:4">
      <c r="D2062" s="66"/>
    </row>
    <row r="2063" spans="4:4">
      <c r="D2063" s="66"/>
    </row>
    <row r="2064" spans="4:4">
      <c r="D2064" s="66"/>
    </row>
    <row r="2065" spans="4:4">
      <c r="D2065" s="66"/>
    </row>
    <row r="2066" spans="4:4">
      <c r="D2066" s="66"/>
    </row>
    <row r="2067" spans="4:4">
      <c r="D2067" s="66"/>
    </row>
    <row r="2068" spans="4:4">
      <c r="D2068" s="66"/>
    </row>
    <row r="2069" spans="4:4">
      <c r="D2069" s="66"/>
    </row>
    <row r="2070" spans="4:4">
      <c r="D2070" s="66"/>
    </row>
    <row r="2071" spans="4:4">
      <c r="D2071" s="66"/>
    </row>
    <row r="2072" spans="4:4">
      <c r="D2072" s="66"/>
    </row>
    <row r="2073" spans="4:4">
      <c r="D2073" s="66"/>
    </row>
    <row r="2074" spans="4:4">
      <c r="D2074" s="66"/>
    </row>
    <row r="2075" spans="4:4">
      <c r="D2075" s="66"/>
    </row>
    <row r="2076" spans="4:4">
      <c r="D2076" s="66"/>
    </row>
    <row r="2077" spans="4:4">
      <c r="D2077" s="66"/>
    </row>
    <row r="2078" spans="4:4">
      <c r="D2078" s="66"/>
    </row>
    <row r="2079" spans="4:4">
      <c r="D2079" s="66"/>
    </row>
    <row r="2080" spans="4:4">
      <c r="D2080" s="66"/>
    </row>
    <row r="2081" spans="4:4">
      <c r="D2081" s="66"/>
    </row>
    <row r="2082" spans="4:4">
      <c r="D2082" s="66"/>
    </row>
    <row r="2083" spans="4:4">
      <c r="D2083" s="66"/>
    </row>
    <row r="2084" spans="4:4">
      <c r="D2084" s="66"/>
    </row>
    <row r="2085" spans="4:4">
      <c r="D2085" s="66"/>
    </row>
    <row r="2086" spans="4:4">
      <c r="D2086" s="66"/>
    </row>
    <row r="2087" spans="4:4">
      <c r="D2087" s="66"/>
    </row>
    <row r="2088" spans="4:4">
      <c r="D2088" s="66"/>
    </row>
    <row r="2089" spans="4:4">
      <c r="D2089" s="66"/>
    </row>
    <row r="2090" spans="4:4">
      <c r="D2090" s="66"/>
    </row>
    <row r="2091" spans="4:4">
      <c r="D2091" s="66"/>
    </row>
    <row r="2092" spans="4:4">
      <c r="D2092" s="66"/>
    </row>
    <row r="2093" spans="4:4">
      <c r="D2093" s="66"/>
    </row>
    <row r="2094" spans="4:4">
      <c r="D2094" s="66"/>
    </row>
    <row r="2095" spans="4:4">
      <c r="D2095" s="66"/>
    </row>
    <row r="2096" spans="4:4">
      <c r="D2096" s="66"/>
    </row>
    <row r="2097" spans="4:4">
      <c r="D2097" s="66"/>
    </row>
    <row r="2098" spans="4:4">
      <c r="D2098" s="66"/>
    </row>
    <row r="2099" spans="4:4">
      <c r="D2099" s="66"/>
    </row>
    <row r="2100" spans="4:4">
      <c r="D2100" s="66"/>
    </row>
    <row r="2101" spans="4:4">
      <c r="D2101" s="66"/>
    </row>
    <row r="2102" spans="4:4">
      <c r="D2102" s="66"/>
    </row>
    <row r="2103" spans="4:4">
      <c r="D2103" s="66"/>
    </row>
    <row r="2104" spans="4:4">
      <c r="D2104" s="66"/>
    </row>
    <row r="2105" spans="4:4">
      <c r="D2105" s="66"/>
    </row>
    <row r="2106" spans="4:4">
      <c r="D2106" s="66"/>
    </row>
    <row r="2107" spans="4:4">
      <c r="D2107" s="66"/>
    </row>
    <row r="2108" spans="4:4">
      <c r="D2108" s="66"/>
    </row>
    <row r="2109" spans="4:4">
      <c r="D2109" s="66"/>
    </row>
    <row r="2110" spans="4:4">
      <c r="D2110" s="66"/>
    </row>
    <row r="2111" spans="4:4">
      <c r="D2111" s="66"/>
    </row>
    <row r="2112" spans="4:4">
      <c r="D2112" s="66"/>
    </row>
    <row r="2113" spans="4:4">
      <c r="D2113" s="66"/>
    </row>
    <row r="2114" spans="4:4">
      <c r="D2114" s="66"/>
    </row>
    <row r="2115" spans="4:4">
      <c r="D2115" s="66"/>
    </row>
    <row r="2116" spans="4:4">
      <c r="D2116" s="66"/>
    </row>
    <row r="2117" spans="4:4">
      <c r="D2117" s="66"/>
    </row>
    <row r="2118" spans="4:4">
      <c r="D2118" s="66"/>
    </row>
    <row r="2119" spans="4:4">
      <c r="D2119" s="66"/>
    </row>
    <row r="2120" spans="4:4">
      <c r="D2120" s="66"/>
    </row>
    <row r="2121" spans="4:4">
      <c r="D2121" s="66"/>
    </row>
    <row r="2122" spans="4:4">
      <c r="D2122" s="66"/>
    </row>
    <row r="2123" spans="4:4">
      <c r="D2123" s="66"/>
    </row>
    <row r="2124" spans="4:4">
      <c r="D2124" s="66"/>
    </row>
    <row r="2125" spans="4:4">
      <c r="D2125" s="66"/>
    </row>
    <row r="2126" spans="4:4">
      <c r="D2126" s="66"/>
    </row>
    <row r="2127" spans="4:4">
      <c r="D2127" s="66"/>
    </row>
    <row r="2128" spans="4:4">
      <c r="D2128" s="66"/>
    </row>
    <row r="2129" spans="4:4">
      <c r="D2129" s="66"/>
    </row>
    <row r="2130" spans="4:4">
      <c r="D2130" s="66"/>
    </row>
    <row r="2131" spans="4:4">
      <c r="D2131" s="66"/>
    </row>
    <row r="2132" spans="4:4">
      <c r="D2132" s="66"/>
    </row>
    <row r="2133" spans="4:4">
      <c r="D2133" s="66"/>
    </row>
    <row r="2134" spans="4:4">
      <c r="D2134" s="66"/>
    </row>
    <row r="2135" spans="4:4">
      <c r="D2135" s="66"/>
    </row>
    <row r="2136" spans="4:4">
      <c r="D2136" s="66"/>
    </row>
    <row r="2137" spans="4:4">
      <c r="D2137" s="66"/>
    </row>
    <row r="2138" spans="4:4">
      <c r="D2138" s="66"/>
    </row>
    <row r="2139" spans="4:4">
      <c r="D2139" s="66"/>
    </row>
    <row r="2140" spans="4:4">
      <c r="D2140" s="66"/>
    </row>
    <row r="2141" spans="4:4">
      <c r="D2141" s="66"/>
    </row>
    <row r="2142" spans="4:4">
      <c r="D2142" s="66"/>
    </row>
    <row r="2143" spans="4:4">
      <c r="D2143" s="66"/>
    </row>
    <row r="2144" spans="4:4">
      <c r="D2144" s="66"/>
    </row>
    <row r="2145" spans="4:4">
      <c r="D2145" s="66"/>
    </row>
    <row r="2146" spans="4:4">
      <c r="D2146" s="66"/>
    </row>
    <row r="2147" spans="4:4">
      <c r="D2147" s="66"/>
    </row>
    <row r="2148" spans="4:4">
      <c r="D2148" s="66"/>
    </row>
    <row r="2149" spans="4:4">
      <c r="D2149" s="66"/>
    </row>
    <row r="2150" spans="4:4">
      <c r="D2150" s="66"/>
    </row>
    <row r="2151" spans="4:4">
      <c r="D2151" s="66"/>
    </row>
    <row r="2152" spans="4:4">
      <c r="D2152" s="66"/>
    </row>
    <row r="2153" spans="4:4">
      <c r="D2153" s="66"/>
    </row>
    <row r="2154" spans="4:4">
      <c r="D2154" s="66"/>
    </row>
    <row r="2155" spans="4:4">
      <c r="D2155" s="66"/>
    </row>
    <row r="2156" spans="4:4">
      <c r="D2156" s="66"/>
    </row>
    <row r="2157" spans="4:4">
      <c r="D2157" s="66"/>
    </row>
    <row r="2158" spans="4:4">
      <c r="D2158" s="66"/>
    </row>
    <row r="2159" spans="4:4">
      <c r="D2159" s="66"/>
    </row>
    <row r="2160" spans="4:4">
      <c r="D2160" s="66"/>
    </row>
    <row r="2161" spans="4:4">
      <c r="D2161" s="66"/>
    </row>
    <row r="2162" spans="4:4">
      <c r="D2162" s="66"/>
    </row>
    <row r="2163" spans="4:4">
      <c r="D2163" s="66"/>
    </row>
    <row r="2164" spans="4:4">
      <c r="D2164" s="66"/>
    </row>
    <row r="2165" spans="4:4">
      <c r="D2165" s="66"/>
    </row>
    <row r="2166" spans="4:4">
      <c r="D2166" s="66"/>
    </row>
    <row r="2167" spans="4:4">
      <c r="D2167" s="66"/>
    </row>
    <row r="2168" spans="4:4">
      <c r="D2168" s="66"/>
    </row>
    <row r="2169" spans="4:4">
      <c r="D2169" s="66"/>
    </row>
    <row r="2170" spans="4:4">
      <c r="D2170" s="66"/>
    </row>
    <row r="2171" spans="4:4">
      <c r="D2171" s="66"/>
    </row>
    <row r="2172" spans="4:4">
      <c r="D2172" s="66"/>
    </row>
    <row r="2173" spans="4:4">
      <c r="D2173" s="66"/>
    </row>
    <row r="2174" spans="4:4">
      <c r="D2174" s="66"/>
    </row>
    <row r="2175" spans="4:4">
      <c r="D2175" s="66"/>
    </row>
    <row r="2176" spans="4:4">
      <c r="D2176" s="66"/>
    </row>
    <row r="2177" spans="4:4">
      <c r="D2177" s="66"/>
    </row>
    <row r="2178" spans="4:4">
      <c r="D2178" s="66"/>
    </row>
    <row r="2179" spans="4:4">
      <c r="D2179" s="66"/>
    </row>
    <row r="2180" spans="4:4">
      <c r="D2180" s="66"/>
    </row>
    <row r="2181" spans="4:4">
      <c r="D2181" s="66"/>
    </row>
    <row r="2182" spans="4:4">
      <c r="D2182" s="66"/>
    </row>
    <row r="2183" spans="4:4">
      <c r="D2183" s="66"/>
    </row>
    <row r="2184" spans="4:4">
      <c r="D2184" s="66"/>
    </row>
    <row r="2185" spans="4:4">
      <c r="D2185" s="66"/>
    </row>
    <row r="2186" spans="4:4">
      <c r="D2186" s="66"/>
    </row>
    <row r="2187" spans="4:4">
      <c r="D2187" s="66"/>
    </row>
    <row r="2188" spans="4:4">
      <c r="D2188" s="66"/>
    </row>
    <row r="2189" spans="4:4">
      <c r="D2189" s="66"/>
    </row>
    <row r="2190" spans="4:4">
      <c r="D2190" s="66"/>
    </row>
    <row r="2191" spans="4:4">
      <c r="D2191" s="66"/>
    </row>
    <row r="2192" spans="4:4">
      <c r="D2192" s="66"/>
    </row>
    <row r="2193" spans="4:4">
      <c r="D2193" s="66"/>
    </row>
    <row r="2194" spans="4:4">
      <c r="D2194" s="66"/>
    </row>
    <row r="2195" spans="4:4">
      <c r="D2195" s="66"/>
    </row>
    <row r="2196" spans="4:4">
      <c r="D2196" s="66"/>
    </row>
    <row r="2197" spans="4:4">
      <c r="D2197" s="66"/>
    </row>
    <row r="2198" spans="4:4">
      <c r="D2198" s="66"/>
    </row>
    <row r="2199" spans="4:4">
      <c r="D2199" s="66"/>
    </row>
    <row r="2200" spans="4:4">
      <c r="D2200" s="66"/>
    </row>
    <row r="2201" spans="4:4">
      <c r="D2201" s="66"/>
    </row>
    <row r="2202" spans="4:4">
      <c r="D2202" s="66"/>
    </row>
    <row r="2203" spans="4:4">
      <c r="D2203" s="66"/>
    </row>
    <row r="2204" spans="4:4">
      <c r="D2204" s="66"/>
    </row>
    <row r="2205" spans="4:4">
      <c r="D2205" s="66"/>
    </row>
    <row r="2206" spans="4:4">
      <c r="D2206" s="66"/>
    </row>
    <row r="2207" spans="4:4">
      <c r="D2207" s="66"/>
    </row>
    <row r="2208" spans="4:4">
      <c r="D2208" s="66"/>
    </row>
    <row r="2209" spans="4:4">
      <c r="D2209" s="66"/>
    </row>
    <row r="2210" spans="4:4">
      <c r="D2210" s="66"/>
    </row>
    <row r="2211" spans="4:4">
      <c r="D2211" s="66"/>
    </row>
    <row r="2212" spans="4:4">
      <c r="D2212" s="66"/>
    </row>
    <row r="2213" spans="4:4">
      <c r="D2213" s="66"/>
    </row>
    <row r="2214" spans="4:4">
      <c r="D2214" s="66"/>
    </row>
    <row r="2215" spans="4:4">
      <c r="D2215" s="66"/>
    </row>
    <row r="2216" spans="4:4">
      <c r="D2216" s="66"/>
    </row>
    <row r="2217" spans="4:4">
      <c r="D2217" s="66"/>
    </row>
    <row r="2218" spans="4:4">
      <c r="D2218" s="66"/>
    </row>
    <row r="2219" spans="4:4">
      <c r="D2219" s="66"/>
    </row>
    <row r="2220" spans="4:4">
      <c r="D2220" s="66"/>
    </row>
    <row r="2221" spans="4:4">
      <c r="D2221" s="66"/>
    </row>
    <row r="2222" spans="4:4">
      <c r="D2222" s="66"/>
    </row>
    <row r="2223" spans="4:4">
      <c r="D2223" s="66"/>
    </row>
    <row r="2224" spans="4:4">
      <c r="D2224" s="66"/>
    </row>
    <row r="2225" spans="4:4">
      <c r="D2225" s="66"/>
    </row>
    <row r="2226" spans="4:4">
      <c r="D2226" s="66"/>
    </row>
    <row r="2227" spans="4:4">
      <c r="D2227" s="66"/>
    </row>
    <row r="2228" spans="4:4">
      <c r="D2228" s="66"/>
    </row>
    <row r="2229" spans="4:4">
      <c r="D2229" s="66"/>
    </row>
    <row r="2230" spans="4:4">
      <c r="D2230" s="66"/>
    </row>
    <row r="2231" spans="4:4">
      <c r="D2231" s="66"/>
    </row>
    <row r="2232" spans="4:4">
      <c r="D2232" s="66"/>
    </row>
    <row r="2233" spans="4:4">
      <c r="D2233" s="66"/>
    </row>
    <row r="2234" spans="4:4">
      <c r="D2234" s="66"/>
    </row>
    <row r="2235" spans="4:4">
      <c r="D2235" s="66"/>
    </row>
    <row r="2236" spans="4:4">
      <c r="D2236" s="66"/>
    </row>
    <row r="2237" spans="4:4">
      <c r="D2237" s="66"/>
    </row>
    <row r="2238" spans="4:4">
      <c r="D2238" s="66"/>
    </row>
    <row r="2239" spans="4:4">
      <c r="D2239" s="66"/>
    </row>
    <row r="2240" spans="4:4">
      <c r="D2240" s="66"/>
    </row>
    <row r="2241" spans="4:4">
      <c r="D2241" s="66"/>
    </row>
    <row r="2242" spans="4:4">
      <c r="D2242" s="66"/>
    </row>
    <row r="2243" spans="4:4">
      <c r="D2243" s="66"/>
    </row>
    <row r="2244" spans="4:4">
      <c r="D2244" s="66"/>
    </row>
    <row r="2245" spans="4:4">
      <c r="D2245" s="66"/>
    </row>
    <row r="2246" spans="4:4">
      <c r="D2246" s="66"/>
    </row>
    <row r="2247" spans="4:4">
      <c r="D2247" s="66"/>
    </row>
    <row r="2248" spans="4:4">
      <c r="D2248" s="66"/>
    </row>
    <row r="2249" spans="4:4">
      <c r="D2249" s="66"/>
    </row>
    <row r="2250" spans="4:4">
      <c r="D2250" s="66"/>
    </row>
    <row r="2251" spans="4:4">
      <c r="D2251" s="66"/>
    </row>
    <row r="2252" spans="4:4">
      <c r="D2252" s="66"/>
    </row>
    <row r="2253" spans="4:4">
      <c r="D2253" s="66"/>
    </row>
    <row r="2254" spans="4:4">
      <c r="D2254" s="66"/>
    </row>
    <row r="2255" spans="4:4">
      <c r="D2255" s="66"/>
    </row>
    <row r="2256" spans="4:4">
      <c r="D2256" s="66"/>
    </row>
    <row r="2257" spans="4:4">
      <c r="D2257" s="66"/>
    </row>
    <row r="2258" spans="4:4">
      <c r="D2258" s="66"/>
    </row>
    <row r="2259" spans="4:4">
      <c r="D2259" s="66"/>
    </row>
    <row r="2260" spans="4:4">
      <c r="D2260" s="66"/>
    </row>
    <row r="2261" spans="4:4">
      <c r="D2261" s="66"/>
    </row>
    <row r="2262" spans="4:4">
      <c r="D2262" s="66"/>
    </row>
    <row r="2263" spans="4:4">
      <c r="D2263" s="66"/>
    </row>
    <row r="2264" spans="4:4">
      <c r="D2264" s="66"/>
    </row>
    <row r="2265" spans="4:4">
      <c r="D2265" s="66"/>
    </row>
    <row r="2266" spans="4:4">
      <c r="D2266" s="66"/>
    </row>
    <row r="2267" spans="4:4">
      <c r="D2267" s="66"/>
    </row>
    <row r="2268" spans="4:4">
      <c r="D2268" s="66"/>
    </row>
    <row r="2269" spans="4:4">
      <c r="D2269" s="66"/>
    </row>
    <row r="2270" spans="4:4">
      <c r="D2270" s="66"/>
    </row>
    <row r="2271" spans="4:4">
      <c r="D2271" s="66"/>
    </row>
    <row r="2272" spans="4:4">
      <c r="D2272" s="66"/>
    </row>
    <row r="2273" spans="4:4">
      <c r="D2273" s="66"/>
    </row>
    <row r="2274" spans="4:4">
      <c r="D2274" s="66"/>
    </row>
    <row r="2275" spans="4:4">
      <c r="D2275" s="66"/>
    </row>
    <row r="2276" spans="4:4">
      <c r="D2276" s="66"/>
    </row>
    <row r="2277" spans="4:4">
      <c r="D2277" s="66"/>
    </row>
    <row r="2278" spans="4:4">
      <c r="D2278" s="66"/>
    </row>
    <row r="2279" spans="4:4">
      <c r="D2279" s="66"/>
    </row>
    <row r="2280" spans="4:4">
      <c r="D2280" s="66"/>
    </row>
    <row r="2281" spans="4:4">
      <c r="D2281" s="66"/>
    </row>
    <row r="2282" spans="4:4">
      <c r="D2282" s="66"/>
    </row>
    <row r="2283" spans="4:4">
      <c r="D2283" s="66"/>
    </row>
    <row r="2284" spans="4:4">
      <c r="D2284" s="66"/>
    </row>
    <row r="2285" spans="4:4">
      <c r="D2285" s="66"/>
    </row>
    <row r="2286" spans="4:4">
      <c r="D2286" s="66"/>
    </row>
    <row r="2287" spans="4:4">
      <c r="D2287" s="66"/>
    </row>
    <row r="2288" spans="4:4">
      <c r="D2288" s="66"/>
    </row>
    <row r="2289" spans="4:4">
      <c r="D2289" s="66"/>
    </row>
    <row r="2290" spans="4:4">
      <c r="D2290" s="66"/>
    </row>
    <row r="2291" spans="4:4">
      <c r="D2291" s="66"/>
    </row>
    <row r="2292" spans="4:4">
      <c r="D2292" s="66"/>
    </row>
    <row r="2293" spans="4:4">
      <c r="D2293" s="66"/>
    </row>
    <row r="2294" spans="4:4">
      <c r="D2294" s="66"/>
    </row>
    <row r="2295" spans="4:4">
      <c r="D2295" s="66"/>
    </row>
    <row r="2296" spans="4:4">
      <c r="D2296" s="66"/>
    </row>
    <row r="2297" spans="4:4">
      <c r="D2297" s="66"/>
    </row>
    <row r="2298" spans="4:4">
      <c r="D2298" s="66"/>
    </row>
    <row r="2299" spans="4:4">
      <c r="D2299" s="66"/>
    </row>
    <row r="2300" spans="4:4">
      <c r="D2300" s="66"/>
    </row>
    <row r="2301" spans="4:4">
      <c r="D2301" s="66"/>
    </row>
    <row r="2302" spans="4:4">
      <c r="D2302" s="66"/>
    </row>
    <row r="2303" spans="4:4">
      <c r="D2303" s="66"/>
    </row>
    <row r="2304" spans="4:4">
      <c r="D2304" s="66"/>
    </row>
    <row r="2305" spans="4:4">
      <c r="D2305" s="66"/>
    </row>
    <row r="2306" spans="4:4">
      <c r="D2306" s="66"/>
    </row>
    <row r="2307" spans="4:4">
      <c r="D2307" s="66"/>
    </row>
    <row r="2308" spans="4:4">
      <c r="D2308" s="66"/>
    </row>
    <row r="2309" spans="4:4">
      <c r="D2309" s="66"/>
    </row>
    <row r="2310" spans="4:4">
      <c r="D2310" s="66"/>
    </row>
    <row r="2311" spans="4:4">
      <c r="D2311" s="66"/>
    </row>
    <row r="2312" spans="4:4">
      <c r="D2312" s="66"/>
    </row>
    <row r="2313" spans="4:4">
      <c r="D2313" s="66"/>
    </row>
    <row r="2314" spans="4:4">
      <c r="D2314" s="66"/>
    </row>
    <row r="2315" spans="4:4">
      <c r="D2315" s="66"/>
    </row>
    <row r="2316" spans="4:4">
      <c r="D2316" s="66"/>
    </row>
    <row r="2317" spans="4:4">
      <c r="D2317" s="66"/>
    </row>
    <row r="2318" spans="4:4">
      <c r="D2318" s="66"/>
    </row>
    <row r="2319" spans="4:4">
      <c r="D2319" s="66"/>
    </row>
    <row r="2320" spans="4:4">
      <c r="D2320" s="66"/>
    </row>
    <row r="2321" spans="4:4">
      <c r="D2321" s="66"/>
    </row>
    <row r="2322" spans="4:4">
      <c r="D2322" s="66"/>
    </row>
    <row r="2323" spans="4:4">
      <c r="D2323" s="66"/>
    </row>
    <row r="2324" spans="4:4">
      <c r="D2324" s="66"/>
    </row>
    <row r="2325" spans="4:4">
      <c r="D2325" s="66"/>
    </row>
    <row r="2326" spans="4:4">
      <c r="D2326" s="66"/>
    </row>
    <row r="2327" spans="4:4">
      <c r="D2327" s="66"/>
    </row>
    <row r="2328" spans="4:4">
      <c r="D2328" s="66"/>
    </row>
    <row r="2329" spans="4:4">
      <c r="D2329" s="66"/>
    </row>
    <row r="2330" spans="4:4">
      <c r="D2330" s="66"/>
    </row>
    <row r="2331" spans="4:4">
      <c r="D2331" s="66"/>
    </row>
    <row r="2332" spans="4:4">
      <c r="D2332" s="66"/>
    </row>
    <row r="2333" spans="4:4">
      <c r="D2333" s="66"/>
    </row>
    <row r="2334" spans="4:4">
      <c r="D2334" s="66"/>
    </row>
    <row r="2335" spans="4:4">
      <c r="D2335" s="66"/>
    </row>
    <row r="2336" spans="4:4">
      <c r="D2336" s="66"/>
    </row>
    <row r="2337" spans="4:4">
      <c r="D2337" s="66"/>
    </row>
    <row r="2338" spans="4:4">
      <c r="D2338" s="66"/>
    </row>
    <row r="2339" spans="4:4">
      <c r="D2339" s="66"/>
    </row>
    <row r="2340" spans="4:4">
      <c r="D2340" s="66"/>
    </row>
    <row r="2341" spans="4:4">
      <c r="D2341" s="66"/>
    </row>
    <row r="2342" spans="4:4">
      <c r="D2342" s="66"/>
    </row>
    <row r="2343" spans="4:4">
      <c r="D2343" s="66"/>
    </row>
    <row r="2344" spans="4:4">
      <c r="D2344" s="66"/>
    </row>
    <row r="2345" spans="4:4">
      <c r="D2345" s="66"/>
    </row>
    <row r="2346" spans="4:4">
      <c r="D2346" s="66"/>
    </row>
    <row r="2347" spans="4:4">
      <c r="D2347" s="66"/>
    </row>
    <row r="2348" spans="4:4">
      <c r="D2348" s="66"/>
    </row>
    <row r="2349" spans="4:4">
      <c r="D2349" s="66"/>
    </row>
    <row r="2350" spans="4:4">
      <c r="D2350" s="66"/>
    </row>
    <row r="2351" spans="4:4">
      <c r="D2351" s="66"/>
    </row>
    <row r="2352" spans="4:4">
      <c r="D2352" s="66"/>
    </row>
    <row r="2353" spans="4:4">
      <c r="D2353" s="66"/>
    </row>
    <row r="2354" spans="4:4">
      <c r="D2354" s="66"/>
    </row>
    <row r="2355" spans="4:4">
      <c r="D2355" s="66"/>
    </row>
    <row r="2356" spans="4:4">
      <c r="D2356" s="66"/>
    </row>
    <row r="2357" spans="4:4">
      <c r="D2357" s="66"/>
    </row>
    <row r="2358" spans="4:4">
      <c r="D2358" s="66"/>
    </row>
    <row r="2359" spans="4:4">
      <c r="D2359" s="66"/>
    </row>
    <row r="2360" spans="4:4">
      <c r="D2360" s="66"/>
    </row>
    <row r="2361" spans="4:4">
      <c r="D2361" s="66"/>
    </row>
    <row r="2362" spans="4:4">
      <c r="D2362" s="66"/>
    </row>
    <row r="2363" spans="4:4">
      <c r="D2363" s="66"/>
    </row>
    <row r="2364" spans="4:4">
      <c r="D2364" s="66"/>
    </row>
    <row r="2365" spans="4:4">
      <c r="D2365" s="66"/>
    </row>
    <row r="2366" spans="4:4">
      <c r="D2366" s="66"/>
    </row>
    <row r="2367" spans="4:4">
      <c r="D2367" s="66"/>
    </row>
    <row r="2368" spans="4:4">
      <c r="D2368" s="66"/>
    </row>
    <row r="2369" spans="4:4">
      <c r="D2369" s="66"/>
    </row>
    <row r="2370" spans="4:4">
      <c r="D2370" s="66"/>
    </row>
    <row r="2371" spans="4:4">
      <c r="D2371" s="66"/>
    </row>
    <row r="2372" spans="4:4">
      <c r="D2372" s="66"/>
    </row>
    <row r="2373" spans="4:4">
      <c r="D2373" s="66"/>
    </row>
    <row r="2374" spans="4:4">
      <c r="D2374" s="66"/>
    </row>
    <row r="2375" spans="4:4">
      <c r="D2375" s="66"/>
    </row>
    <row r="2376" spans="4:4">
      <c r="D2376" s="66"/>
    </row>
    <row r="2377" spans="4:4">
      <c r="D2377" s="66"/>
    </row>
    <row r="2378" spans="4:4">
      <c r="D2378" s="66"/>
    </row>
    <row r="2379" spans="4:4">
      <c r="D2379" s="66"/>
    </row>
    <row r="2380" spans="4:4">
      <c r="D2380" s="66"/>
    </row>
    <row r="2381" spans="4:4">
      <c r="D2381" s="66"/>
    </row>
    <row r="2382" spans="4:4">
      <c r="D2382" s="66"/>
    </row>
    <row r="2383" spans="4:4">
      <c r="D2383" s="66"/>
    </row>
    <row r="2384" spans="4:4">
      <c r="D2384" s="66"/>
    </row>
    <row r="2385" spans="4:4">
      <c r="D2385" s="66"/>
    </row>
    <row r="2386" spans="4:4">
      <c r="D2386" s="66"/>
    </row>
    <row r="2387" spans="4:4">
      <c r="D2387" s="66"/>
    </row>
    <row r="2388" spans="4:4">
      <c r="D2388" s="66"/>
    </row>
    <row r="2389" spans="4:4">
      <c r="D2389" s="66"/>
    </row>
    <row r="2390" spans="4:4">
      <c r="D2390" s="66"/>
    </row>
    <row r="2391" spans="4:4">
      <c r="D2391" s="66"/>
    </row>
    <row r="2392" spans="4:4">
      <c r="D2392" s="66"/>
    </row>
    <row r="2393" spans="4:4">
      <c r="D2393" s="66"/>
    </row>
    <row r="2394" spans="4:4">
      <c r="D2394" s="66"/>
    </row>
    <row r="2395" spans="4:4">
      <c r="D2395" s="66"/>
    </row>
    <row r="2396" spans="4:4">
      <c r="D2396" s="66"/>
    </row>
    <row r="2397" spans="4:4">
      <c r="D2397" s="66"/>
    </row>
    <row r="2398" spans="4:4">
      <c r="D2398" s="66"/>
    </row>
    <row r="2399" spans="4:4">
      <c r="D2399" s="66"/>
    </row>
    <row r="2400" spans="4:4">
      <c r="D2400" s="66"/>
    </row>
    <row r="2401" spans="4:4">
      <c r="D2401" s="66"/>
    </row>
    <row r="2402" spans="4:4">
      <c r="D2402" s="66"/>
    </row>
    <row r="2403" spans="4:4">
      <c r="D2403" s="66"/>
    </row>
    <row r="2404" spans="4:4">
      <c r="D2404" s="66"/>
    </row>
    <row r="2405" spans="4:4">
      <c r="D2405" s="66"/>
    </row>
    <row r="2406" spans="4:4">
      <c r="D2406" s="66"/>
    </row>
    <row r="2407" spans="4:4">
      <c r="D2407" s="66"/>
    </row>
    <row r="2408" spans="4:4">
      <c r="D2408" s="66"/>
    </row>
    <row r="2409" spans="4:4">
      <c r="D2409" s="66"/>
    </row>
    <row r="2410" spans="4:4">
      <c r="D2410" s="66"/>
    </row>
    <row r="2411" spans="4:4">
      <c r="D2411" s="66"/>
    </row>
    <row r="2412" spans="4:4">
      <c r="D2412" s="66"/>
    </row>
    <row r="2413" spans="4:4">
      <c r="D2413" s="66"/>
    </row>
    <row r="2414" spans="4:4">
      <c r="D2414" s="66"/>
    </row>
    <row r="2415" spans="4:4">
      <c r="D2415" s="66"/>
    </row>
    <row r="2416" spans="4:4">
      <c r="D2416" s="66"/>
    </row>
    <row r="2417" spans="4:4">
      <c r="D2417" s="66"/>
    </row>
    <row r="2418" spans="4:4">
      <c r="D2418" s="66"/>
    </row>
    <row r="2419" spans="4:4">
      <c r="D2419" s="66"/>
    </row>
    <row r="2420" spans="4:4">
      <c r="D2420" s="66"/>
    </row>
    <row r="2421" spans="4:4">
      <c r="D2421" s="66"/>
    </row>
    <row r="2422" spans="4:4">
      <c r="D2422" s="66"/>
    </row>
    <row r="2423" spans="4:4">
      <c r="D2423" s="66"/>
    </row>
    <row r="2424" spans="4:4">
      <c r="D2424" s="66"/>
    </row>
    <row r="2425" spans="4:4">
      <c r="D2425" s="66"/>
    </row>
    <row r="2426" spans="4:4">
      <c r="D2426" s="66"/>
    </row>
    <row r="2427" spans="4:4">
      <c r="D2427" s="66"/>
    </row>
    <row r="2428" spans="4:4">
      <c r="D2428" s="66"/>
    </row>
    <row r="2429" spans="4:4">
      <c r="D2429" s="66"/>
    </row>
    <row r="2430" spans="4:4">
      <c r="D2430" s="66"/>
    </row>
    <row r="2431" spans="4:4">
      <c r="D2431" s="66"/>
    </row>
    <row r="2432" spans="4:4">
      <c r="D2432" s="66"/>
    </row>
    <row r="2433" spans="4:4">
      <c r="D2433" s="66"/>
    </row>
    <row r="2434" spans="4:4">
      <c r="D2434" s="66"/>
    </row>
    <row r="2435" spans="4:4">
      <c r="D2435" s="66"/>
    </row>
    <row r="2436" spans="4:4">
      <c r="D2436" s="66"/>
    </row>
    <row r="2437" spans="4:4">
      <c r="D2437" s="66"/>
    </row>
    <row r="2438" spans="4:4">
      <c r="D2438" s="66"/>
    </row>
    <row r="2439" spans="4:4">
      <c r="D2439" s="66"/>
    </row>
    <row r="2440" spans="4:4">
      <c r="D2440" s="66"/>
    </row>
    <row r="2441" spans="4:4">
      <c r="D2441" s="66"/>
    </row>
    <row r="2442" spans="4:4">
      <c r="D2442" s="66"/>
    </row>
    <row r="2443" spans="4:4">
      <c r="D2443" s="66"/>
    </row>
    <row r="2444" spans="4:4">
      <c r="D2444" s="66"/>
    </row>
    <row r="2445" spans="4:4">
      <c r="D2445" s="66"/>
    </row>
    <row r="2446" spans="4:4">
      <c r="D2446" s="66"/>
    </row>
    <row r="2447" spans="4:4">
      <c r="D2447" s="66"/>
    </row>
    <row r="2448" spans="4:4">
      <c r="D2448" s="66"/>
    </row>
    <row r="2449" spans="4:4">
      <c r="D2449" s="66"/>
    </row>
    <row r="2450" spans="4:4">
      <c r="D2450" s="66"/>
    </row>
    <row r="2451" spans="4:4">
      <c r="D2451" s="66"/>
    </row>
    <row r="2452" spans="4:4">
      <c r="D2452" s="66"/>
    </row>
    <row r="2453" spans="4:4">
      <c r="D2453" s="66"/>
    </row>
    <row r="2454" spans="4:4">
      <c r="D2454" s="66"/>
    </row>
    <row r="2455" spans="4:4">
      <c r="D2455" s="66"/>
    </row>
    <row r="2456" spans="4:4">
      <c r="D2456" s="66"/>
    </row>
    <row r="2457" spans="4:4">
      <c r="D2457" s="66"/>
    </row>
    <row r="2458" spans="4:4">
      <c r="D2458" s="66"/>
    </row>
    <row r="2459" spans="4:4">
      <c r="D2459" s="66"/>
    </row>
    <row r="2460" spans="4:4">
      <c r="D2460" s="66"/>
    </row>
    <row r="2461" spans="4:4">
      <c r="D2461" s="66"/>
    </row>
    <row r="2462" spans="4:4">
      <c r="D2462" s="66"/>
    </row>
    <row r="2463" spans="4:4">
      <c r="D2463" s="66"/>
    </row>
    <row r="2464" spans="4:4">
      <c r="D2464" s="66"/>
    </row>
    <row r="2465" spans="4:4">
      <c r="D2465" s="66"/>
    </row>
    <row r="2466" spans="4:4">
      <c r="D2466" s="66"/>
    </row>
    <row r="2467" spans="4:4">
      <c r="D2467" s="66"/>
    </row>
    <row r="2468" spans="4:4">
      <c r="D2468" s="66"/>
    </row>
    <row r="2469" spans="4:4">
      <c r="D2469" s="66"/>
    </row>
    <row r="2470" spans="4:4">
      <c r="D2470" s="66"/>
    </row>
    <row r="2471" spans="4:4">
      <c r="D2471" s="66"/>
    </row>
    <row r="2472" spans="4:4">
      <c r="D2472" s="66"/>
    </row>
    <row r="2473" spans="4:4">
      <c r="D2473" s="66"/>
    </row>
    <row r="2474" spans="4:4">
      <c r="D2474" s="66"/>
    </row>
    <row r="2475" spans="4:4">
      <c r="D2475" s="66"/>
    </row>
    <row r="2476" spans="4:4">
      <c r="D2476" s="66"/>
    </row>
    <row r="2477" spans="4:4">
      <c r="D2477" s="66"/>
    </row>
    <row r="2478" spans="4:4">
      <c r="D2478" s="66"/>
    </row>
    <row r="2479" spans="4:4">
      <c r="D2479" s="66"/>
    </row>
    <row r="2480" spans="4:4">
      <c r="D2480" s="66"/>
    </row>
    <row r="2481" spans="4:4">
      <c r="D2481" s="66"/>
    </row>
    <row r="2482" spans="4:4">
      <c r="D2482" s="66"/>
    </row>
    <row r="2483" spans="4:4">
      <c r="D2483" s="66"/>
    </row>
    <row r="2484" spans="4:4">
      <c r="D2484" s="66"/>
    </row>
    <row r="2485" spans="4:4">
      <c r="D2485" s="66"/>
    </row>
    <row r="2486" spans="4:4">
      <c r="D2486" s="66"/>
    </row>
    <row r="2487" spans="4:4">
      <c r="D2487" s="66"/>
    </row>
    <row r="2488" spans="4:4">
      <c r="D2488" s="66"/>
    </row>
    <row r="2489" spans="4:4">
      <c r="D2489" s="66"/>
    </row>
    <row r="2490" spans="4:4">
      <c r="D2490" s="66"/>
    </row>
    <row r="2491" spans="4:4">
      <c r="D2491" s="66"/>
    </row>
    <row r="2492" spans="4:4">
      <c r="D2492" s="66"/>
    </row>
    <row r="2493" spans="4:4">
      <c r="D2493" s="66"/>
    </row>
    <row r="2494" spans="4:4">
      <c r="D2494" s="66"/>
    </row>
    <row r="2495" spans="4:4">
      <c r="D2495" s="66"/>
    </row>
    <row r="2496" spans="4:4">
      <c r="D2496" s="66"/>
    </row>
    <row r="2497" spans="4:4">
      <c r="D2497" s="66"/>
    </row>
    <row r="2498" spans="4:4">
      <c r="D2498" s="66"/>
    </row>
    <row r="2499" spans="4:4">
      <c r="D2499" s="66"/>
    </row>
    <row r="2500" spans="4:4">
      <c r="D2500" s="66"/>
    </row>
    <row r="2501" spans="4:4">
      <c r="D2501" s="66"/>
    </row>
    <row r="2502" spans="4:4">
      <c r="D2502" s="66"/>
    </row>
    <row r="2503" spans="4:4">
      <c r="D2503" s="66"/>
    </row>
    <row r="2504" spans="4:4">
      <c r="D2504" s="66"/>
    </row>
    <row r="2505" spans="4:4">
      <c r="D2505" s="66"/>
    </row>
    <row r="2506" spans="4:4">
      <c r="D2506" s="66"/>
    </row>
    <row r="2507" spans="4:4">
      <c r="D2507" s="66"/>
    </row>
    <row r="2508" spans="4:4">
      <c r="D2508" s="66"/>
    </row>
    <row r="2509" spans="4:4">
      <c r="D2509" s="66"/>
    </row>
    <row r="2510" spans="4:4">
      <c r="D2510" s="66"/>
    </row>
    <row r="2511" spans="4:4">
      <c r="D2511" s="66"/>
    </row>
    <row r="2512" spans="4:4">
      <c r="D2512" s="66"/>
    </row>
    <row r="2513" spans="4:4">
      <c r="D2513" s="66"/>
    </row>
    <row r="2514" spans="4:4">
      <c r="D2514" s="66"/>
    </row>
    <row r="2515" spans="4:4">
      <c r="D2515" s="66"/>
    </row>
    <row r="2516" spans="4:4">
      <c r="D2516" s="66"/>
    </row>
    <row r="2517" spans="4:4">
      <c r="D2517" s="66"/>
    </row>
    <row r="2518" spans="4:4">
      <c r="D2518" s="66"/>
    </row>
    <row r="2519" spans="4:4">
      <c r="D2519" s="66"/>
    </row>
    <row r="2520" spans="4:4">
      <c r="D2520" s="66"/>
    </row>
    <row r="2521" spans="4:4">
      <c r="D2521" s="66"/>
    </row>
    <row r="2522" spans="4:4">
      <c r="D2522" s="66"/>
    </row>
    <row r="2523" spans="4:4">
      <c r="D2523" s="66"/>
    </row>
    <row r="2524" spans="4:4">
      <c r="D2524" s="66"/>
    </row>
    <row r="2525" spans="4:4">
      <c r="D2525" s="66"/>
    </row>
    <row r="2526" spans="4:4">
      <c r="D2526" s="66"/>
    </row>
    <row r="2527" spans="4:4">
      <c r="D2527" s="66"/>
    </row>
    <row r="2528" spans="4:4">
      <c r="D2528" s="66"/>
    </row>
    <row r="2529" spans="4:4">
      <c r="D2529" s="66"/>
    </row>
    <row r="2530" spans="4:4">
      <c r="D2530" s="66"/>
    </row>
    <row r="2531" spans="4:4">
      <c r="D2531" s="66"/>
    </row>
    <row r="2532" spans="4:4">
      <c r="D2532" s="66"/>
    </row>
    <row r="2533" spans="4:4">
      <c r="D2533" s="66"/>
    </row>
    <row r="2534" spans="4:4">
      <c r="D2534" s="66"/>
    </row>
    <row r="2535" spans="4:4">
      <c r="D2535" s="66"/>
    </row>
    <row r="2536" spans="4:4">
      <c r="D2536" s="66"/>
    </row>
    <row r="2537" spans="4:4">
      <c r="D2537" s="66"/>
    </row>
    <row r="2538" spans="4:4">
      <c r="D2538" s="66"/>
    </row>
    <row r="2539" spans="4:4">
      <c r="D2539" s="66"/>
    </row>
    <row r="2540" spans="4:4">
      <c r="D2540" s="66"/>
    </row>
    <row r="2541" spans="4:4">
      <c r="D2541" s="66"/>
    </row>
    <row r="2542" spans="4:4">
      <c r="D2542" s="66"/>
    </row>
    <row r="2543" spans="4:4">
      <c r="D2543" s="66"/>
    </row>
    <row r="2544" spans="4:4">
      <c r="D2544" s="66"/>
    </row>
    <row r="2545" spans="4:4">
      <c r="D2545" s="66"/>
    </row>
    <row r="2546" spans="4:4">
      <c r="D2546" s="66"/>
    </row>
    <row r="2547" spans="4:4">
      <c r="D2547" s="66"/>
    </row>
    <row r="2548" spans="4:4">
      <c r="D2548" s="66"/>
    </row>
    <row r="2549" spans="4:4">
      <c r="D2549" s="66"/>
    </row>
    <row r="2550" spans="4:4">
      <c r="D2550" s="66"/>
    </row>
    <row r="2551" spans="4:4">
      <c r="D2551" s="66"/>
    </row>
    <row r="2552" spans="4:4">
      <c r="D2552" s="66"/>
    </row>
    <row r="2553" spans="4:4">
      <c r="D2553" s="66"/>
    </row>
    <row r="2554" spans="4:4">
      <c r="D2554" s="66"/>
    </row>
    <row r="2555" spans="4:4">
      <c r="D2555" s="66"/>
    </row>
    <row r="2556" spans="4:4">
      <c r="D2556" s="66"/>
    </row>
    <row r="2557" spans="4:4">
      <c r="D2557" s="66"/>
    </row>
    <row r="2558" spans="4:4">
      <c r="D2558" s="66"/>
    </row>
    <row r="2559" spans="4:4">
      <c r="D2559" s="66"/>
    </row>
    <row r="2560" spans="4:4">
      <c r="D2560" s="66"/>
    </row>
    <row r="2561" spans="4:4">
      <c r="D2561" s="66"/>
    </row>
    <row r="2562" spans="4:4">
      <c r="D2562" s="66"/>
    </row>
    <row r="2563" spans="4:4">
      <c r="D2563" s="66"/>
    </row>
    <row r="2564" spans="4:4">
      <c r="D2564" s="66"/>
    </row>
    <row r="2565" spans="4:4">
      <c r="D2565" s="66"/>
    </row>
    <row r="2566" spans="4:4">
      <c r="D2566" s="66"/>
    </row>
    <row r="2567" spans="4:4">
      <c r="D2567" s="66"/>
    </row>
    <row r="2568" spans="4:4">
      <c r="D2568" s="66"/>
    </row>
    <row r="2569" spans="4:4">
      <c r="D2569" s="66"/>
    </row>
    <row r="2570" spans="4:4">
      <c r="D2570" s="66"/>
    </row>
    <row r="2571" spans="4:4">
      <c r="D2571" s="66"/>
    </row>
    <row r="2572" spans="4:4">
      <c r="D2572" s="66"/>
    </row>
    <row r="2573" spans="4:4">
      <c r="D2573" s="66"/>
    </row>
    <row r="2574" spans="4:4">
      <c r="D2574" s="66"/>
    </row>
    <row r="2575" spans="4:4">
      <c r="D2575" s="66"/>
    </row>
    <row r="2576" spans="4:4">
      <c r="D2576" s="66"/>
    </row>
    <row r="2577" spans="4:4">
      <c r="D2577" s="66"/>
    </row>
    <row r="2578" spans="4:4">
      <c r="D2578" s="66"/>
    </row>
    <row r="2579" spans="4:4">
      <c r="D2579" s="66"/>
    </row>
    <row r="2580" spans="4:4">
      <c r="D2580" s="66"/>
    </row>
    <row r="2581" spans="4:4">
      <c r="D2581" s="66"/>
    </row>
    <row r="2582" spans="4:4">
      <c r="D2582" s="66"/>
    </row>
    <row r="2583" spans="4:4">
      <c r="D2583" s="66"/>
    </row>
    <row r="2584" spans="4:4">
      <c r="D2584" s="66"/>
    </row>
    <row r="2585" spans="4:4">
      <c r="D2585" s="66"/>
    </row>
    <row r="2586" spans="4:4">
      <c r="D2586" s="66"/>
    </row>
    <row r="2587" spans="4:4">
      <c r="D2587" s="66"/>
    </row>
    <row r="2588" spans="4:4">
      <c r="D2588" s="66"/>
    </row>
    <row r="2589" spans="4:4">
      <c r="D2589" s="66"/>
    </row>
    <row r="2590" spans="4:4">
      <c r="D2590" s="66"/>
    </row>
    <row r="2591" spans="4:4">
      <c r="D2591" s="66"/>
    </row>
    <row r="2592" spans="4:4">
      <c r="D2592" s="66"/>
    </row>
    <row r="2593" spans="4:4">
      <c r="D2593" s="66"/>
    </row>
    <row r="2594" spans="4:4">
      <c r="D2594" s="66"/>
    </row>
    <row r="2595" spans="4:4">
      <c r="D2595" s="66"/>
    </row>
    <row r="2596" spans="4:4">
      <c r="D2596" s="66"/>
    </row>
    <row r="2597" spans="4:4">
      <c r="D2597" s="66"/>
    </row>
    <row r="2598" spans="4:4">
      <c r="D2598" s="66"/>
    </row>
    <row r="2599" spans="4:4">
      <c r="D2599" s="66"/>
    </row>
    <row r="2600" spans="4:4">
      <c r="D2600" s="66"/>
    </row>
    <row r="2601" spans="4:4">
      <c r="D2601" s="66"/>
    </row>
    <row r="2602" spans="4:4">
      <c r="D2602" s="66"/>
    </row>
    <row r="2603" spans="4:4">
      <c r="D2603" s="66"/>
    </row>
    <row r="2604" spans="4:4">
      <c r="D2604" s="66"/>
    </row>
    <row r="2605" spans="4:4">
      <c r="D2605" s="66"/>
    </row>
    <row r="2606" spans="4:4">
      <c r="D2606" s="66"/>
    </row>
    <row r="2607" spans="4:4">
      <c r="D2607" s="66"/>
    </row>
    <row r="2608" spans="4:4">
      <c r="D2608" s="66"/>
    </row>
    <row r="2609" spans="4:4">
      <c r="D2609" s="66"/>
    </row>
    <row r="2610" spans="4:4">
      <c r="D2610" s="66"/>
    </row>
    <row r="2611" spans="4:4">
      <c r="D2611" s="66"/>
    </row>
    <row r="2612" spans="4:4">
      <c r="D2612" s="66"/>
    </row>
    <row r="2613" spans="4:4">
      <c r="D2613" s="66"/>
    </row>
    <row r="2614" spans="4:4">
      <c r="D2614" s="66"/>
    </row>
    <row r="2615" spans="4:4">
      <c r="D2615" s="66"/>
    </row>
    <row r="2616" spans="4:4">
      <c r="D2616" s="66"/>
    </row>
    <row r="2617" spans="4:4">
      <c r="D2617" s="66"/>
    </row>
    <row r="2618" spans="4:4">
      <c r="D2618" s="66"/>
    </row>
    <row r="2619" spans="4:4">
      <c r="D2619" s="66"/>
    </row>
    <row r="2620" spans="4:4">
      <c r="D2620" s="66"/>
    </row>
    <row r="2621" spans="4:4">
      <c r="D2621" s="66"/>
    </row>
    <row r="2622" spans="4:4">
      <c r="D2622" s="66"/>
    </row>
    <row r="2623" spans="4:4">
      <c r="D2623" s="66"/>
    </row>
    <row r="2624" spans="4:4">
      <c r="D2624" s="66"/>
    </row>
    <row r="2625" spans="4:4">
      <c r="D2625" s="66"/>
    </row>
    <row r="2626" spans="4:4">
      <c r="D2626" s="66"/>
    </row>
    <row r="2627" spans="4:4">
      <c r="D2627" s="66"/>
    </row>
    <row r="2628" spans="4:4">
      <c r="D2628" s="66"/>
    </row>
    <row r="2629" spans="4:4">
      <c r="D2629" s="66"/>
    </row>
    <row r="2630" spans="4:4">
      <c r="D2630" s="66"/>
    </row>
    <row r="2631" spans="4:4">
      <c r="D2631" s="66"/>
    </row>
    <row r="2632" spans="4:4">
      <c r="D2632" s="66"/>
    </row>
    <row r="2633" spans="4:4">
      <c r="D2633" s="66"/>
    </row>
    <row r="2634" spans="4:4">
      <c r="D2634" s="66"/>
    </row>
    <row r="2635" spans="4:4">
      <c r="D2635" s="66"/>
    </row>
    <row r="2636" spans="4:4">
      <c r="D2636" s="66"/>
    </row>
    <row r="2637" spans="4:4">
      <c r="D2637" s="66"/>
    </row>
    <row r="2638" spans="4:4">
      <c r="D2638" s="66"/>
    </row>
    <row r="2639" spans="4:4">
      <c r="D2639" s="66"/>
    </row>
    <row r="2640" spans="4:4">
      <c r="D2640" s="66"/>
    </row>
    <row r="2641" spans="4:4">
      <c r="D2641" s="66"/>
    </row>
    <row r="2642" spans="4:4">
      <c r="D2642" s="66"/>
    </row>
    <row r="2643" spans="4:4">
      <c r="D2643" s="66"/>
    </row>
    <row r="2644" spans="4:4">
      <c r="D2644" s="66"/>
    </row>
    <row r="2645" spans="4:4">
      <c r="D2645" s="66"/>
    </row>
    <row r="2646" spans="4:4">
      <c r="D2646" s="66"/>
    </row>
    <row r="2647" spans="4:4">
      <c r="D2647" s="66"/>
    </row>
    <row r="2648" spans="4:4">
      <c r="D2648" s="66"/>
    </row>
    <row r="2649" spans="4:4">
      <c r="D2649" s="66"/>
    </row>
    <row r="2650" spans="4:4">
      <c r="D2650" s="66"/>
    </row>
    <row r="2651" spans="4:4">
      <c r="D2651" s="66"/>
    </row>
    <row r="2652" spans="4:4">
      <c r="D2652" s="66"/>
    </row>
    <row r="2653" spans="4:4">
      <c r="D2653" s="66"/>
    </row>
    <row r="2654" spans="4:4">
      <c r="D2654" s="66"/>
    </row>
    <row r="2655" spans="4:4">
      <c r="D2655" s="66"/>
    </row>
    <row r="2656" spans="4:4">
      <c r="D2656" s="66"/>
    </row>
    <row r="2657" spans="4:4">
      <c r="D2657" s="66"/>
    </row>
    <row r="2658" spans="4:4">
      <c r="D2658" s="66"/>
    </row>
    <row r="2659" spans="4:4">
      <c r="D2659" s="66"/>
    </row>
    <row r="2660" spans="4:4">
      <c r="D2660" s="66"/>
    </row>
    <row r="2661" spans="4:4">
      <c r="D2661" s="66"/>
    </row>
    <row r="2662" spans="4:4">
      <c r="D2662" s="66"/>
    </row>
    <row r="2663" spans="4:4">
      <c r="D2663" s="66"/>
    </row>
    <row r="2664" spans="4:4">
      <c r="D2664" s="66"/>
    </row>
    <row r="2665" spans="4:4">
      <c r="D2665" s="66"/>
    </row>
    <row r="2666" spans="4:4">
      <c r="D2666" s="66"/>
    </row>
    <row r="2667" spans="4:4">
      <c r="D2667" s="66"/>
    </row>
    <row r="2668" spans="4:4">
      <c r="D2668" s="66"/>
    </row>
    <row r="2669" spans="4:4">
      <c r="D2669" s="66"/>
    </row>
    <row r="2670" spans="4:4">
      <c r="D2670" s="66"/>
    </row>
    <row r="2671" spans="4:4">
      <c r="D2671" s="66"/>
    </row>
    <row r="2672" spans="4:4">
      <c r="D2672" s="66"/>
    </row>
    <row r="2673" spans="4:4">
      <c r="D2673" s="66"/>
    </row>
    <row r="2674" spans="4:4">
      <c r="D2674" s="66"/>
    </row>
    <row r="2675" spans="4:4">
      <c r="D2675" s="66"/>
    </row>
    <row r="2676" spans="4:4">
      <c r="D2676" s="66"/>
    </row>
    <row r="2677" spans="4:4">
      <c r="D2677" s="66"/>
    </row>
    <row r="2678" spans="4:4">
      <c r="D2678" s="66"/>
    </row>
    <row r="2679" spans="4:4">
      <c r="D2679" s="66"/>
    </row>
    <row r="2680" spans="4:4">
      <c r="D2680" s="66"/>
    </row>
    <row r="2681" spans="4:4">
      <c r="D2681" s="66"/>
    </row>
    <row r="2682" spans="4:4">
      <c r="D2682" s="66"/>
    </row>
    <row r="2683" spans="4:4">
      <c r="D2683" s="66"/>
    </row>
    <row r="2684" spans="4:4">
      <c r="D2684" s="66"/>
    </row>
    <row r="2685" spans="4:4">
      <c r="D2685" s="66"/>
    </row>
    <row r="2686" spans="4:4">
      <c r="D2686" s="66"/>
    </row>
    <row r="2687" spans="4:4">
      <c r="D2687" s="66"/>
    </row>
    <row r="2688" spans="4:4">
      <c r="D2688" s="66"/>
    </row>
    <row r="2689" spans="4:4">
      <c r="D2689" s="66"/>
    </row>
    <row r="2690" spans="4:4">
      <c r="D2690" s="66"/>
    </row>
    <row r="2691" spans="4:4">
      <c r="D2691" s="66"/>
    </row>
    <row r="2692" spans="4:4">
      <c r="D2692" s="66"/>
    </row>
    <row r="2693" spans="4:4">
      <c r="D2693" s="66"/>
    </row>
    <row r="2694" spans="4:4">
      <c r="D2694" s="66"/>
    </row>
    <row r="2695" spans="4:4">
      <c r="D2695" s="66"/>
    </row>
    <row r="2696" spans="4:4">
      <c r="D2696" s="66"/>
    </row>
    <row r="2697" spans="4:4">
      <c r="D2697" s="66"/>
    </row>
    <row r="2698" spans="4:4">
      <c r="D2698" s="66"/>
    </row>
    <row r="2699" spans="4:4">
      <c r="D2699" s="66"/>
    </row>
    <row r="2700" spans="4:4">
      <c r="D2700" s="66"/>
    </row>
    <row r="2701" spans="4:4">
      <c r="D2701" s="66"/>
    </row>
    <row r="2702" spans="4:4">
      <c r="D2702" s="66"/>
    </row>
    <row r="2703" spans="4:4">
      <c r="D2703" s="66"/>
    </row>
    <row r="2704" spans="4:4">
      <c r="D2704" s="66"/>
    </row>
    <row r="2705" spans="4:4">
      <c r="D2705" s="66"/>
    </row>
    <row r="2706" spans="4:4">
      <c r="D2706" s="66"/>
    </row>
    <row r="2707" spans="4:4">
      <c r="D2707" s="66"/>
    </row>
    <row r="2708" spans="4:4">
      <c r="D2708" s="66"/>
    </row>
    <row r="2709" spans="4:4">
      <c r="D2709" s="66"/>
    </row>
    <row r="2710" spans="4:4">
      <c r="D2710" s="66"/>
    </row>
    <row r="2711" spans="4:4">
      <c r="D2711" s="66"/>
    </row>
    <row r="2712" spans="4:4">
      <c r="D2712" s="66"/>
    </row>
    <row r="2713" spans="4:4">
      <c r="D2713" s="66"/>
    </row>
    <row r="2714" spans="4:4">
      <c r="D2714" s="66"/>
    </row>
    <row r="2715" spans="4:4">
      <c r="D2715" s="66"/>
    </row>
    <row r="2716" spans="4:4">
      <c r="D2716" s="66"/>
    </row>
    <row r="2717" spans="4:4">
      <c r="D2717" s="66"/>
    </row>
    <row r="2718" spans="4:4">
      <c r="D2718" s="66"/>
    </row>
    <row r="2719" spans="4:4">
      <c r="D2719" s="66"/>
    </row>
    <row r="2720" spans="4:4">
      <c r="D2720" s="66"/>
    </row>
    <row r="2721" spans="4:4">
      <c r="D2721" s="66"/>
    </row>
    <row r="2722" spans="4:4">
      <c r="D2722" s="66"/>
    </row>
    <row r="2723" spans="4:4">
      <c r="D2723" s="66"/>
    </row>
    <row r="2724" spans="4:4">
      <c r="D2724" s="66"/>
    </row>
    <row r="2725" spans="4:4">
      <c r="D2725" s="66"/>
    </row>
    <row r="2726" spans="4:4">
      <c r="D2726" s="66"/>
    </row>
    <row r="2727" spans="4:4">
      <c r="D2727" s="66"/>
    </row>
    <row r="2728" spans="4:4">
      <c r="D2728" s="66"/>
    </row>
    <row r="2729" spans="4:4">
      <c r="D2729" s="66"/>
    </row>
    <row r="2730" spans="4:4">
      <c r="D2730" s="66"/>
    </row>
    <row r="2731" spans="4:4">
      <c r="D2731" s="66"/>
    </row>
    <row r="2732" spans="4:4">
      <c r="D2732" s="66"/>
    </row>
    <row r="2733" spans="4:4">
      <c r="D2733" s="66"/>
    </row>
    <row r="2734" spans="4:4">
      <c r="D2734" s="66"/>
    </row>
    <row r="2735" spans="4:4">
      <c r="D2735" s="66"/>
    </row>
    <row r="2736" spans="4:4">
      <c r="D2736" s="66"/>
    </row>
    <row r="2737" spans="4:4">
      <c r="D2737" s="66"/>
    </row>
    <row r="2738" spans="4:4">
      <c r="D2738" s="66"/>
    </row>
    <row r="2739" spans="4:4">
      <c r="D2739" s="66"/>
    </row>
    <row r="2740" spans="4:4">
      <c r="D2740" s="66"/>
    </row>
    <row r="2741" spans="4:4">
      <c r="D2741" s="66"/>
    </row>
    <row r="2742" spans="4:4">
      <c r="D2742" s="66"/>
    </row>
    <row r="2743" spans="4:4">
      <c r="D2743" s="66"/>
    </row>
    <row r="2744" spans="4:4">
      <c r="D2744" s="66"/>
    </row>
    <row r="2745" spans="4:4">
      <c r="D2745" s="66"/>
    </row>
    <row r="2746" spans="4:4">
      <c r="D2746" s="66"/>
    </row>
    <row r="2747" spans="4:4">
      <c r="D2747" s="66"/>
    </row>
    <row r="2748" spans="4:4">
      <c r="D2748" s="66"/>
    </row>
    <row r="2749" spans="4:4">
      <c r="D2749" s="66"/>
    </row>
    <row r="2750" spans="4:4">
      <c r="D2750" s="66"/>
    </row>
    <row r="2751" spans="4:4">
      <c r="D2751" s="66"/>
    </row>
    <row r="2752" spans="4:4">
      <c r="D2752" s="66"/>
    </row>
    <row r="2753" spans="4:4">
      <c r="D2753" s="66"/>
    </row>
    <row r="2754" spans="4:4">
      <c r="D2754" s="66"/>
    </row>
    <row r="2755" spans="4:4">
      <c r="D2755" s="66"/>
    </row>
    <row r="2756" spans="4:4">
      <c r="D2756" s="66"/>
    </row>
    <row r="2757" spans="4:4">
      <c r="D2757" s="66"/>
    </row>
    <row r="2758" spans="4:4">
      <c r="D2758" s="66"/>
    </row>
    <row r="2759" spans="4:4">
      <c r="D2759" s="66"/>
    </row>
    <row r="2760" spans="4:4">
      <c r="D2760" s="66"/>
    </row>
    <row r="2761" spans="4:4">
      <c r="D2761" s="66"/>
    </row>
    <row r="2762" spans="4:4">
      <c r="D2762" s="66"/>
    </row>
    <row r="2763" spans="4:4">
      <c r="D2763" s="66"/>
    </row>
    <row r="2764" spans="4:4">
      <c r="D2764" s="66"/>
    </row>
    <row r="2765" spans="4:4">
      <c r="D2765" s="66"/>
    </row>
    <row r="2766" spans="4:4">
      <c r="D2766" s="66"/>
    </row>
    <row r="2767" spans="4:4">
      <c r="D2767" s="66"/>
    </row>
    <row r="2768" spans="4:4">
      <c r="D2768" s="66"/>
    </row>
    <row r="2769" spans="4:4">
      <c r="D2769" s="66"/>
    </row>
    <row r="2770" spans="4:4">
      <c r="D2770" s="66"/>
    </row>
    <row r="2771" spans="4:4">
      <c r="D2771" s="66"/>
    </row>
    <row r="2772" spans="4:4">
      <c r="D2772" s="66"/>
    </row>
    <row r="2773" spans="4:4">
      <c r="D2773" s="66"/>
    </row>
    <row r="2774" spans="4:4">
      <c r="D2774" s="66"/>
    </row>
    <row r="2775" spans="4:4">
      <c r="D2775" s="66"/>
    </row>
    <row r="2776" spans="4:4">
      <c r="D2776" s="66"/>
    </row>
    <row r="2777" spans="4:4">
      <c r="D2777" s="66"/>
    </row>
    <row r="2778" spans="4:4">
      <c r="D2778" s="66"/>
    </row>
    <row r="2779" spans="4:4">
      <c r="D2779" s="66"/>
    </row>
    <row r="2780" spans="4:4">
      <c r="D2780" s="66"/>
    </row>
    <row r="2781" spans="4:4">
      <c r="D2781" s="66"/>
    </row>
    <row r="2782" spans="4:4">
      <c r="D2782" s="66"/>
    </row>
    <row r="2783" spans="4:4">
      <c r="D2783" s="66"/>
    </row>
    <row r="2784" spans="4:4">
      <c r="D2784" s="66"/>
    </row>
    <row r="2785" spans="4:4">
      <c r="D2785" s="66"/>
    </row>
    <row r="2786" spans="4:4">
      <c r="D2786" s="66"/>
    </row>
    <row r="2787" spans="4:4">
      <c r="D2787" s="66"/>
    </row>
    <row r="2788" spans="4:4">
      <c r="D2788" s="66"/>
    </row>
    <row r="2789" spans="4:4">
      <c r="D2789" s="66"/>
    </row>
    <row r="2790" spans="4:4">
      <c r="D2790" s="66"/>
    </row>
    <row r="2791" spans="4:4">
      <c r="D2791" s="66"/>
    </row>
    <row r="2792" spans="4:4">
      <c r="D2792" s="66"/>
    </row>
    <row r="2793" spans="4:4">
      <c r="D2793" s="66"/>
    </row>
    <row r="2794" spans="4:4">
      <c r="D2794" s="66"/>
    </row>
    <row r="2795" spans="4:4">
      <c r="D2795" s="66"/>
    </row>
    <row r="2796" spans="4:4">
      <c r="D2796" s="66"/>
    </row>
    <row r="2797" spans="4:4">
      <c r="D2797" s="66"/>
    </row>
    <row r="2798" spans="4:4">
      <c r="D2798" s="66"/>
    </row>
    <row r="2799" spans="4:4">
      <c r="D2799" s="66"/>
    </row>
    <row r="2800" spans="4:4">
      <c r="D2800" s="66"/>
    </row>
    <row r="2801" spans="4:4">
      <c r="D2801" s="66"/>
    </row>
    <row r="2802" spans="4:4">
      <c r="D2802" s="66"/>
    </row>
    <row r="2803" spans="4:4">
      <c r="D2803" s="66"/>
    </row>
    <row r="2804" spans="4:4">
      <c r="D2804" s="66"/>
    </row>
    <row r="2805" spans="4:4">
      <c r="D2805" s="66"/>
    </row>
    <row r="2806" spans="4:4">
      <c r="D2806" s="66"/>
    </row>
    <row r="2807" spans="4:4">
      <c r="D2807" s="66"/>
    </row>
    <row r="2808" spans="4:4">
      <c r="D2808" s="66"/>
    </row>
    <row r="2809" spans="4:4">
      <c r="D2809" s="66"/>
    </row>
    <row r="2810" spans="4:4">
      <c r="D2810" s="66"/>
    </row>
    <row r="2811" spans="4:4">
      <c r="D2811" s="66"/>
    </row>
    <row r="2812" spans="4:4">
      <c r="D2812" s="66"/>
    </row>
    <row r="2813" spans="4:4">
      <c r="D2813" s="66"/>
    </row>
    <row r="2814" spans="4:4">
      <c r="D2814" s="66"/>
    </row>
    <row r="2815" spans="4:4">
      <c r="D2815" s="66"/>
    </row>
    <row r="2816" spans="4:4">
      <c r="D2816" s="66"/>
    </row>
    <row r="2817" spans="4:4">
      <c r="D2817" s="66"/>
    </row>
    <row r="2818" spans="4:4">
      <c r="D2818" s="66"/>
    </row>
    <row r="2819" spans="4:4">
      <c r="D2819" s="66"/>
    </row>
    <row r="2820" spans="4:4">
      <c r="D2820" s="66"/>
    </row>
    <row r="2821" spans="4:4">
      <c r="D2821" s="66"/>
    </row>
    <row r="2822" spans="4:4">
      <c r="D2822" s="66"/>
    </row>
    <row r="2823" spans="4:4">
      <c r="D2823" s="66"/>
    </row>
    <row r="2824" spans="4:4">
      <c r="D2824" s="66"/>
    </row>
    <row r="2825" spans="4:4">
      <c r="D2825" s="66"/>
    </row>
    <row r="2826" spans="4:4">
      <c r="D2826" s="66"/>
    </row>
    <row r="2827" spans="4:4">
      <c r="D2827" s="66"/>
    </row>
    <row r="2828" spans="4:4">
      <c r="D2828" s="66"/>
    </row>
    <row r="2829" spans="4:4">
      <c r="D2829" s="66"/>
    </row>
    <row r="2830" spans="4:4">
      <c r="D2830" s="66"/>
    </row>
    <row r="2831" spans="4:4">
      <c r="D2831" s="66"/>
    </row>
    <row r="2832" spans="4:4">
      <c r="D2832" s="66"/>
    </row>
    <row r="2833" spans="4:4">
      <c r="D2833" s="66"/>
    </row>
    <row r="2834" spans="4:4">
      <c r="D2834" s="66"/>
    </row>
    <row r="2835" spans="4:4">
      <c r="D2835" s="66"/>
    </row>
    <row r="2836" spans="4:4">
      <c r="D2836" s="66"/>
    </row>
    <row r="2837" spans="4:4">
      <c r="D2837" s="66"/>
    </row>
    <row r="2838" spans="4:4">
      <c r="D2838" s="66"/>
    </row>
    <row r="2839" spans="4:4">
      <c r="D2839" s="66"/>
    </row>
    <row r="2840" spans="4:4">
      <c r="D2840" s="66"/>
    </row>
    <row r="2841" spans="4:4">
      <c r="D2841" s="66"/>
    </row>
    <row r="2842" spans="4:4">
      <c r="D2842" s="66"/>
    </row>
    <row r="2843" spans="4:4">
      <c r="D2843" s="66"/>
    </row>
    <row r="2844" spans="4:4">
      <c r="D2844" s="66"/>
    </row>
    <row r="2845" spans="4:4">
      <c r="D2845" s="66"/>
    </row>
    <row r="2846" spans="4:4">
      <c r="D2846" s="66"/>
    </row>
    <row r="2847" spans="4:4">
      <c r="D2847" s="66"/>
    </row>
    <row r="2848" spans="4:4">
      <c r="D2848" s="66"/>
    </row>
    <row r="2849" spans="4:4">
      <c r="D2849" s="66"/>
    </row>
    <row r="2850" spans="4:4">
      <c r="D2850" s="66"/>
    </row>
    <row r="2851" spans="4:4">
      <c r="D2851" s="66"/>
    </row>
    <row r="2852" spans="4:4">
      <c r="D2852" s="66"/>
    </row>
    <row r="2853" spans="4:4">
      <c r="D2853" s="66"/>
    </row>
    <row r="2854" spans="4:4">
      <c r="D2854" s="66"/>
    </row>
    <row r="2855" spans="4:4">
      <c r="D2855" s="66"/>
    </row>
    <row r="2856" spans="4:4">
      <c r="D2856" s="66"/>
    </row>
    <row r="2857" spans="4:4">
      <c r="D2857" s="66"/>
    </row>
    <row r="2858" spans="4:4">
      <c r="D2858" s="66"/>
    </row>
    <row r="2859" spans="4:4">
      <c r="D2859" s="66"/>
    </row>
    <row r="2860" spans="4:4">
      <c r="D2860" s="66"/>
    </row>
    <row r="2861" spans="4:4">
      <c r="D2861" s="66"/>
    </row>
    <row r="2862" spans="4:4">
      <c r="D2862" s="66"/>
    </row>
    <row r="2863" spans="4:4">
      <c r="D2863" s="66"/>
    </row>
    <row r="2864" spans="4:4">
      <c r="D2864" s="66"/>
    </row>
    <row r="2865" spans="4:4">
      <c r="D2865" s="66"/>
    </row>
    <row r="2866" spans="4:4">
      <c r="D2866" s="66"/>
    </row>
    <row r="2867" spans="4:4">
      <c r="D2867" s="66"/>
    </row>
    <row r="2868" spans="4:4">
      <c r="D2868" s="66"/>
    </row>
    <row r="2869" spans="4:4">
      <c r="D2869" s="66"/>
    </row>
    <row r="2870" spans="4:4">
      <c r="D2870" s="66"/>
    </row>
    <row r="2871" spans="4:4">
      <c r="D2871" s="66"/>
    </row>
    <row r="2872" spans="4:4">
      <c r="D2872" s="66"/>
    </row>
    <row r="2873" spans="4:4">
      <c r="D2873" s="66"/>
    </row>
    <row r="2874" spans="4:4">
      <c r="D2874" s="66"/>
    </row>
    <row r="2875" spans="4:4">
      <c r="D2875" s="66"/>
    </row>
    <row r="2876" spans="4:4">
      <c r="D2876" s="66"/>
    </row>
    <row r="2877" spans="4:4">
      <c r="D2877" s="66"/>
    </row>
    <row r="2878" spans="4:4">
      <c r="D2878" s="66"/>
    </row>
    <row r="2879" spans="4:4">
      <c r="D2879" s="66"/>
    </row>
    <row r="2880" spans="4:4">
      <c r="D2880" s="66"/>
    </row>
    <row r="2881" spans="4:4">
      <c r="D2881" s="66"/>
    </row>
    <row r="2882" spans="4:4">
      <c r="D2882" s="66"/>
    </row>
    <row r="2883" spans="4:4">
      <c r="D2883" s="66"/>
    </row>
    <row r="2884" spans="4:4">
      <c r="D2884" s="66"/>
    </row>
    <row r="2885" spans="4:4">
      <c r="D2885" s="66"/>
    </row>
    <row r="2886" spans="4:4">
      <c r="D2886" s="66"/>
    </row>
    <row r="2887" spans="4:4">
      <c r="D2887" s="66"/>
    </row>
    <row r="2888" spans="4:4">
      <c r="D2888" s="66"/>
    </row>
    <row r="2889" spans="4:4">
      <c r="D2889" s="66"/>
    </row>
    <row r="2890" spans="4:4">
      <c r="D2890" s="66"/>
    </row>
    <row r="2891" spans="4:4">
      <c r="D2891" s="66"/>
    </row>
    <row r="2892" spans="4:4">
      <c r="D2892" s="66"/>
    </row>
    <row r="2893" spans="4:4">
      <c r="D2893" s="66"/>
    </row>
    <row r="2894" spans="4:4">
      <c r="D2894" s="66"/>
    </row>
    <row r="2895" spans="4:4">
      <c r="D2895" s="66"/>
    </row>
    <row r="2896" spans="4:4">
      <c r="D2896" s="66"/>
    </row>
    <row r="2897" spans="4:4">
      <c r="D2897" s="66"/>
    </row>
    <row r="2898" spans="4:4">
      <c r="D2898" s="66"/>
    </row>
    <row r="2899" spans="4:4">
      <c r="D2899" s="66"/>
    </row>
    <row r="2900" spans="4:4">
      <c r="D2900" s="66"/>
    </row>
    <row r="2901" spans="4:4">
      <c r="D2901" s="66"/>
    </row>
    <row r="2902" spans="4:4">
      <c r="D2902" s="66"/>
    </row>
    <row r="2903" spans="4:4">
      <c r="D2903" s="66"/>
    </row>
    <row r="2904" spans="4:4">
      <c r="D2904" s="66"/>
    </row>
    <row r="2905" spans="4:4">
      <c r="D2905" s="66"/>
    </row>
    <row r="2906" spans="4:4">
      <c r="D2906" s="66"/>
    </row>
    <row r="2907" spans="4:4">
      <c r="D2907" s="66"/>
    </row>
    <row r="2908" spans="4:4">
      <c r="D2908" s="66"/>
    </row>
    <row r="2909" spans="4:4">
      <c r="D2909" s="66"/>
    </row>
    <row r="2910" spans="4:4">
      <c r="D2910" s="66"/>
    </row>
    <row r="2911" spans="4:4">
      <c r="D2911" s="66"/>
    </row>
    <row r="2912" spans="4:4">
      <c r="D2912" s="66"/>
    </row>
    <row r="2913" spans="4:4">
      <c r="D2913" s="66"/>
    </row>
    <row r="2914" spans="4:4">
      <c r="D2914" s="66"/>
    </row>
    <row r="2915" spans="4:4">
      <c r="D2915" s="66"/>
    </row>
    <row r="2916" spans="4:4">
      <c r="D2916" s="66"/>
    </row>
    <row r="2917" spans="4:4">
      <c r="D2917" s="66"/>
    </row>
    <row r="2918" spans="4:4">
      <c r="D2918" s="66"/>
    </row>
    <row r="2919" spans="4:4">
      <c r="D2919" s="66"/>
    </row>
    <row r="2920" spans="4:4">
      <c r="D2920" s="66"/>
    </row>
    <row r="2921" spans="4:4">
      <c r="D2921" s="66"/>
    </row>
    <row r="2922" spans="4:4">
      <c r="D2922" s="66"/>
    </row>
    <row r="2923" spans="4:4">
      <c r="D2923" s="66"/>
    </row>
    <row r="2924" spans="4:4">
      <c r="D2924" s="66"/>
    </row>
    <row r="2925" spans="4:4">
      <c r="D2925" s="66"/>
    </row>
    <row r="2926" spans="4:4">
      <c r="D2926" s="66"/>
    </row>
    <row r="2927" spans="4:4">
      <c r="D2927" s="66"/>
    </row>
    <row r="2928" spans="4:4">
      <c r="D2928" s="66"/>
    </row>
    <row r="2929" spans="4:4">
      <c r="D2929" s="66"/>
    </row>
    <row r="2930" spans="4:4">
      <c r="D2930" s="66"/>
    </row>
    <row r="2931" spans="4:4">
      <c r="D2931" s="66"/>
    </row>
    <row r="2932" spans="4:4">
      <c r="D2932" s="66"/>
    </row>
    <row r="2933" spans="4:4">
      <c r="D2933" s="66"/>
    </row>
    <row r="2934" spans="4:4">
      <c r="D2934" s="66"/>
    </row>
    <row r="2935" spans="4:4">
      <c r="D2935" s="66"/>
    </row>
    <row r="2936" spans="4:4">
      <c r="D2936" s="66"/>
    </row>
    <row r="2937" spans="4:4">
      <c r="D2937" s="66"/>
    </row>
    <row r="2938" spans="4:4">
      <c r="D2938" s="66"/>
    </row>
    <row r="2939" spans="4:4">
      <c r="D2939" s="66"/>
    </row>
    <row r="2940" spans="4:4">
      <c r="D2940" s="66"/>
    </row>
    <row r="2941" spans="4:4">
      <c r="D2941" s="66"/>
    </row>
    <row r="2942" spans="4:4">
      <c r="D2942" s="66"/>
    </row>
    <row r="2943" spans="4:4">
      <c r="D2943" s="66"/>
    </row>
    <row r="2944" spans="4:4">
      <c r="D2944" s="66"/>
    </row>
    <row r="2945" spans="4:4">
      <c r="D2945" s="66"/>
    </row>
    <row r="2946" spans="4:4">
      <c r="D2946" s="66"/>
    </row>
    <row r="2947" spans="4:4">
      <c r="D2947" s="66"/>
    </row>
    <row r="2948" spans="4:4">
      <c r="D2948" s="66"/>
    </row>
    <row r="2949" spans="4:4">
      <c r="D2949" s="66"/>
    </row>
    <row r="2950" spans="4:4">
      <c r="D2950" s="66"/>
    </row>
    <row r="2951" spans="4:4">
      <c r="D2951" s="66"/>
    </row>
    <row r="2952" spans="4:4">
      <c r="D2952" s="66"/>
    </row>
    <row r="2953" spans="4:4">
      <c r="D2953" s="66"/>
    </row>
    <row r="2954" spans="4:4">
      <c r="D2954" s="66"/>
    </row>
    <row r="2955" spans="4:4">
      <c r="D2955" s="66"/>
    </row>
    <row r="2956" spans="4:4">
      <c r="D2956" s="66"/>
    </row>
    <row r="2957" spans="4:4">
      <c r="D2957" s="66"/>
    </row>
    <row r="2958" spans="4:4">
      <c r="D2958" s="66"/>
    </row>
    <row r="2959" spans="4:4">
      <c r="D2959" s="66"/>
    </row>
    <row r="2960" spans="4:4">
      <c r="D2960" s="66"/>
    </row>
    <row r="2961" spans="4:4">
      <c r="D2961" s="66"/>
    </row>
    <row r="2962" spans="4:4">
      <c r="D2962" s="66"/>
    </row>
    <row r="2963" spans="4:4">
      <c r="D2963" s="66"/>
    </row>
    <row r="2964" spans="4:4">
      <c r="D2964" s="66"/>
    </row>
    <row r="2965" spans="4:4">
      <c r="D2965" s="66"/>
    </row>
    <row r="2966" spans="4:4">
      <c r="D2966" s="66"/>
    </row>
    <row r="2967" spans="4:4">
      <c r="D2967" s="66"/>
    </row>
    <row r="2968" spans="4:4">
      <c r="D2968" s="66"/>
    </row>
    <row r="2969" spans="4:4">
      <c r="D2969" s="66"/>
    </row>
    <row r="2970" spans="4:4">
      <c r="D2970" s="66"/>
    </row>
    <row r="2971" spans="4:4">
      <c r="D2971" s="66"/>
    </row>
    <row r="2972" spans="4:4">
      <c r="D2972" s="66"/>
    </row>
    <row r="2973" spans="4:4">
      <c r="D2973" s="66"/>
    </row>
    <row r="2974" spans="4:4">
      <c r="D2974" s="66"/>
    </row>
    <row r="2975" spans="4:4">
      <c r="D2975" s="66"/>
    </row>
    <row r="2976" spans="4:4">
      <c r="D2976" s="66"/>
    </row>
    <row r="2977" spans="4:4">
      <c r="D2977" s="66"/>
    </row>
    <row r="2978" spans="4:4">
      <c r="D2978" s="66"/>
    </row>
    <row r="2979" spans="4:4">
      <c r="D2979" s="66"/>
    </row>
    <row r="2980" spans="4:4">
      <c r="D2980" s="66"/>
    </row>
    <row r="2981" spans="4:4">
      <c r="D2981" s="66"/>
    </row>
    <row r="2982" spans="4:4">
      <c r="D2982" s="66"/>
    </row>
    <row r="2983" spans="4:4">
      <c r="D2983" s="66"/>
    </row>
    <row r="2984" spans="4:4">
      <c r="D2984" s="66"/>
    </row>
    <row r="2985" spans="4:4">
      <c r="D2985" s="66"/>
    </row>
    <row r="2986" spans="4:4">
      <c r="D2986" s="66"/>
    </row>
    <row r="2987" spans="4:4">
      <c r="D2987" s="66"/>
    </row>
    <row r="2988" spans="4:4">
      <c r="D2988" s="66"/>
    </row>
    <row r="2989" spans="4:4">
      <c r="D2989" s="66"/>
    </row>
    <row r="2990" spans="4:4">
      <c r="D2990" s="66"/>
    </row>
    <row r="2991" spans="4:4">
      <c r="D2991" s="66"/>
    </row>
    <row r="2992" spans="4:4">
      <c r="D2992" s="66"/>
    </row>
    <row r="2993" spans="4:4">
      <c r="D2993" s="66"/>
    </row>
    <row r="2994" spans="4:4">
      <c r="D2994" s="66"/>
    </row>
    <row r="2995" spans="4:4">
      <c r="D2995" s="66"/>
    </row>
    <row r="2996" spans="4:4">
      <c r="D2996" s="66"/>
    </row>
    <row r="2997" spans="4:4">
      <c r="D2997" s="66"/>
    </row>
    <row r="2998" spans="4:4">
      <c r="D2998" s="66"/>
    </row>
    <row r="2999" spans="4:4">
      <c r="D2999" s="66"/>
    </row>
    <row r="3000" spans="4:4">
      <c r="D3000" s="66"/>
    </row>
    <row r="3001" spans="4:4">
      <c r="D3001" s="66"/>
    </row>
    <row r="3002" spans="4:4">
      <c r="D3002" s="66"/>
    </row>
    <row r="3003" spans="4:4">
      <c r="D3003" s="66"/>
    </row>
    <row r="3004" spans="4:4">
      <c r="D3004" s="66"/>
    </row>
    <row r="3005" spans="4:4">
      <c r="D3005" s="66"/>
    </row>
    <row r="3006" spans="4:4">
      <c r="D3006" s="66"/>
    </row>
    <row r="3007" spans="4:4">
      <c r="D3007" s="66"/>
    </row>
    <row r="3008" spans="4:4">
      <c r="D3008" s="66"/>
    </row>
    <row r="3009" spans="4:4">
      <c r="D3009" s="66"/>
    </row>
    <row r="3010" spans="4:4">
      <c r="D3010" s="66"/>
    </row>
    <row r="3011" spans="4:4">
      <c r="D3011" s="66"/>
    </row>
    <row r="3012" spans="4:4">
      <c r="D3012" s="66"/>
    </row>
    <row r="3013" spans="4:4">
      <c r="D3013" s="66"/>
    </row>
    <row r="3014" spans="4:4">
      <c r="D3014" s="66"/>
    </row>
    <row r="3015" spans="4:4">
      <c r="D3015" s="66"/>
    </row>
    <row r="3016" spans="4:4">
      <c r="D3016" s="66"/>
    </row>
    <row r="3017" spans="4:4">
      <c r="D3017" s="66"/>
    </row>
    <row r="3018" spans="4:4">
      <c r="D3018" s="66"/>
    </row>
    <row r="3019" spans="4:4">
      <c r="D3019" s="66"/>
    </row>
    <row r="3020" spans="4:4">
      <c r="D3020" s="66"/>
    </row>
    <row r="3021" spans="4:4">
      <c r="D3021" s="66"/>
    </row>
    <row r="3022" spans="4:4">
      <c r="D3022" s="66"/>
    </row>
    <row r="3023" spans="4:4">
      <c r="D3023" s="66"/>
    </row>
    <row r="3024" spans="4:4">
      <c r="D3024" s="66"/>
    </row>
    <row r="3025" spans="4:4">
      <c r="D3025" s="66"/>
    </row>
    <row r="3026" spans="4:4">
      <c r="D3026" s="66"/>
    </row>
    <row r="3027" spans="4:4">
      <c r="D3027" s="66"/>
    </row>
    <row r="3028" spans="4:4">
      <c r="D3028" s="66"/>
    </row>
    <row r="3029" spans="4:4">
      <c r="D3029" s="66"/>
    </row>
    <row r="3030" spans="4:4">
      <c r="D3030" s="66"/>
    </row>
    <row r="3031" spans="4:4">
      <c r="D3031" s="66"/>
    </row>
    <row r="3032" spans="4:4">
      <c r="D3032" s="66"/>
    </row>
    <row r="3033" spans="4:4">
      <c r="D3033" s="66"/>
    </row>
    <row r="3034" spans="4:4">
      <c r="D3034" s="66"/>
    </row>
    <row r="3035" spans="4:4">
      <c r="D3035" s="66"/>
    </row>
    <row r="3036" spans="4:4">
      <c r="D3036" s="66"/>
    </row>
    <row r="3037" spans="4:4">
      <c r="D3037" s="66"/>
    </row>
    <row r="3038" spans="4:4">
      <c r="D3038" s="66"/>
    </row>
    <row r="3039" spans="4:4">
      <c r="D3039" s="66"/>
    </row>
    <row r="3040" spans="4:4">
      <c r="D3040" s="66"/>
    </row>
    <row r="3041" spans="4:4">
      <c r="D3041" s="66"/>
    </row>
    <row r="3042" spans="4:4">
      <c r="D3042" s="66"/>
    </row>
    <row r="3043" spans="4:4">
      <c r="D3043" s="66"/>
    </row>
    <row r="3044" spans="4:4">
      <c r="D3044" s="66"/>
    </row>
    <row r="3045" spans="4:4">
      <c r="D3045" s="66"/>
    </row>
    <row r="3046" spans="4:4">
      <c r="D3046" s="66"/>
    </row>
    <row r="3047" spans="4:4">
      <c r="D3047" s="66"/>
    </row>
    <row r="3048" spans="4:4">
      <c r="D3048" s="66"/>
    </row>
    <row r="3049" spans="4:4">
      <c r="D3049" s="66"/>
    </row>
    <row r="3050" spans="4:4">
      <c r="D3050" s="66"/>
    </row>
    <row r="3051" spans="4:4">
      <c r="D3051" s="66"/>
    </row>
    <row r="3052" spans="4:4">
      <c r="D3052" s="66"/>
    </row>
    <row r="3053" spans="4:4">
      <c r="D3053" s="66"/>
    </row>
    <row r="3054" spans="4:4">
      <c r="D3054" s="66"/>
    </row>
    <row r="3055" spans="4:4">
      <c r="D3055" s="66"/>
    </row>
    <row r="3056" spans="4:4">
      <c r="D3056" s="66"/>
    </row>
    <row r="3057" spans="4:4">
      <c r="D3057" s="66"/>
    </row>
    <row r="3058" spans="4:4">
      <c r="D3058" s="66"/>
    </row>
    <row r="3059" spans="4:4">
      <c r="D3059" s="66"/>
    </row>
    <row r="3060" spans="4:4">
      <c r="D3060" s="66"/>
    </row>
    <row r="3061" spans="4:4">
      <c r="D3061" s="66"/>
    </row>
    <row r="3062" spans="4:4">
      <c r="D3062" s="66"/>
    </row>
    <row r="3063" spans="4:4">
      <c r="D3063" s="66"/>
    </row>
    <row r="3064" spans="4:4">
      <c r="D3064" s="66"/>
    </row>
    <row r="3065" spans="4:4">
      <c r="D3065" s="66"/>
    </row>
    <row r="3066" spans="4:4">
      <c r="D3066" s="66"/>
    </row>
    <row r="3067" spans="4:4">
      <c r="D3067" s="66"/>
    </row>
    <row r="3068" spans="4:4">
      <c r="D3068" s="66"/>
    </row>
    <row r="3069" spans="4:4">
      <c r="D3069" s="66"/>
    </row>
    <row r="3070" spans="4:4">
      <c r="D3070" s="66"/>
    </row>
    <row r="3071" spans="4:4">
      <c r="D3071" s="66"/>
    </row>
    <row r="3072" spans="4:4">
      <c r="D3072" s="66"/>
    </row>
    <row r="3073" spans="4:4">
      <c r="D3073" s="66"/>
    </row>
    <row r="3074" spans="4:4">
      <c r="D3074" s="66"/>
    </row>
    <row r="3075" spans="4:4">
      <c r="D3075" s="66"/>
    </row>
    <row r="3076" spans="4:4">
      <c r="D3076" s="66"/>
    </row>
    <row r="3077" spans="4:4">
      <c r="D3077" s="66"/>
    </row>
    <row r="3078" spans="4:4">
      <c r="D3078" s="66"/>
    </row>
    <row r="3079" spans="4:4">
      <c r="D3079" s="66"/>
    </row>
    <row r="3080" spans="4:4">
      <c r="D3080" s="66"/>
    </row>
    <row r="3081" spans="4:4">
      <c r="D3081" s="66"/>
    </row>
    <row r="3082" spans="4:4">
      <c r="D3082" s="66"/>
    </row>
    <row r="3083" spans="4:4">
      <c r="D3083" s="66"/>
    </row>
    <row r="3084" spans="4:4">
      <c r="D3084" s="66"/>
    </row>
    <row r="3085" spans="4:4">
      <c r="D3085" s="66"/>
    </row>
    <row r="3086" spans="4:4">
      <c r="D3086" s="66"/>
    </row>
    <row r="3087" spans="4:4">
      <c r="D3087" s="66"/>
    </row>
    <row r="3088" spans="4:4">
      <c r="D3088" s="66"/>
    </row>
    <row r="3089" spans="4:4">
      <c r="D3089" s="66"/>
    </row>
    <row r="3090" spans="4:4">
      <c r="D3090" s="66"/>
    </row>
    <row r="3091" spans="4:4">
      <c r="D3091" s="66"/>
    </row>
    <row r="3092" spans="4:4">
      <c r="D3092" s="66"/>
    </row>
    <row r="3093" spans="4:4">
      <c r="D3093" s="66"/>
    </row>
    <row r="3094" spans="4:4">
      <c r="D3094" s="66"/>
    </row>
    <row r="3095" spans="4:4">
      <c r="D3095" s="66"/>
    </row>
    <row r="3096" spans="4:4">
      <c r="D3096" s="66"/>
    </row>
    <row r="3097" spans="4:4">
      <c r="D3097" s="66"/>
    </row>
    <row r="3098" spans="4:4">
      <c r="D3098" s="66"/>
    </row>
    <row r="3099" spans="4:4">
      <c r="D3099" s="66"/>
    </row>
    <row r="3100" spans="4:4">
      <c r="D3100" s="66"/>
    </row>
    <row r="3101" spans="4:4">
      <c r="D3101" s="66"/>
    </row>
    <row r="3102" spans="4:4">
      <c r="D3102" s="66"/>
    </row>
    <row r="3103" spans="4:4">
      <c r="D3103" s="66"/>
    </row>
    <row r="3104" spans="4:4">
      <c r="D3104" s="66"/>
    </row>
    <row r="3105" spans="4:4">
      <c r="D3105" s="66"/>
    </row>
    <row r="3106" spans="4:4">
      <c r="D3106" s="66"/>
    </row>
    <row r="3107" spans="4:4">
      <c r="D3107" s="66"/>
    </row>
    <row r="3108" spans="4:4">
      <c r="D3108" s="66"/>
    </row>
    <row r="3109" spans="4:4">
      <c r="D3109" s="66"/>
    </row>
    <row r="3110" spans="4:4">
      <c r="D3110" s="66"/>
    </row>
    <row r="3111" spans="4:4">
      <c r="D3111" s="66"/>
    </row>
    <row r="3112" spans="4:4">
      <c r="D3112" s="66"/>
    </row>
    <row r="3113" spans="4:4">
      <c r="D3113" s="66"/>
    </row>
    <row r="3114" spans="4:4">
      <c r="D3114" s="66"/>
    </row>
    <row r="3115" spans="4:4">
      <c r="D3115" s="66"/>
    </row>
    <row r="3116" spans="4:4">
      <c r="D3116" s="66"/>
    </row>
    <row r="3117" spans="4:4">
      <c r="D3117" s="66"/>
    </row>
    <row r="3118" spans="4:4">
      <c r="D3118" s="66"/>
    </row>
    <row r="3119" spans="4:4">
      <c r="D3119" s="66"/>
    </row>
    <row r="3120" spans="4:4">
      <c r="D3120" s="66"/>
    </row>
    <row r="3121" spans="4:4">
      <c r="D3121" s="66"/>
    </row>
    <row r="3122" spans="4:4">
      <c r="D3122" s="66"/>
    </row>
    <row r="3123" spans="4:4">
      <c r="D3123" s="66"/>
    </row>
    <row r="3124" spans="4:4">
      <c r="D3124" s="66"/>
    </row>
    <row r="3125" spans="4:4">
      <c r="D3125" s="66"/>
    </row>
    <row r="3126" spans="4:4">
      <c r="D3126" s="66"/>
    </row>
    <row r="3127" spans="4:4">
      <c r="D3127" s="66"/>
    </row>
    <row r="3128" spans="4:4">
      <c r="D3128" s="66"/>
    </row>
    <row r="3129" spans="4:4">
      <c r="D3129" s="66"/>
    </row>
    <row r="3130" spans="4:4">
      <c r="D3130" s="66"/>
    </row>
    <row r="3131" spans="4:4">
      <c r="D3131" s="66"/>
    </row>
    <row r="3132" spans="4:4">
      <c r="D3132" s="66"/>
    </row>
    <row r="3133" spans="4:4">
      <c r="D3133" s="66"/>
    </row>
    <row r="3134" spans="4:4">
      <c r="D3134" s="66"/>
    </row>
    <row r="3135" spans="4:4">
      <c r="D3135" s="66"/>
    </row>
    <row r="3136" spans="4:4">
      <c r="D3136" s="66"/>
    </row>
    <row r="3137" spans="4:4">
      <c r="D3137" s="66"/>
    </row>
    <row r="3138" spans="4:4">
      <c r="D3138" s="66"/>
    </row>
    <row r="3139" spans="4:4">
      <c r="D3139" s="66"/>
    </row>
    <row r="3140" spans="4:4">
      <c r="D3140" s="66"/>
    </row>
    <row r="3141" spans="4:4">
      <c r="D3141" s="66"/>
    </row>
    <row r="3142" spans="4:4">
      <c r="D3142" s="66"/>
    </row>
    <row r="3143" spans="4:4">
      <c r="D3143" s="66"/>
    </row>
    <row r="3144" spans="4:4">
      <c r="D3144" s="66"/>
    </row>
    <row r="3145" spans="4:4">
      <c r="D3145" s="66"/>
    </row>
    <row r="3146" spans="4:4">
      <c r="D3146" s="66"/>
    </row>
    <row r="3147" spans="4:4">
      <c r="D3147" s="66"/>
    </row>
    <row r="3148" spans="4:4">
      <c r="D3148" s="66"/>
    </row>
    <row r="3149" spans="4:4">
      <c r="D3149" s="66"/>
    </row>
    <row r="3150" spans="4:4">
      <c r="D3150" s="66"/>
    </row>
    <row r="3151" spans="4:4">
      <c r="D3151" s="66"/>
    </row>
    <row r="3152" spans="4:4">
      <c r="D3152" s="66"/>
    </row>
    <row r="3153" spans="4:4">
      <c r="D3153" s="66"/>
    </row>
    <row r="3154" spans="4:4">
      <c r="D3154" s="66"/>
    </row>
    <row r="3155" spans="4:4">
      <c r="D3155" s="66"/>
    </row>
    <row r="3156" spans="4:4">
      <c r="D3156" s="66"/>
    </row>
    <row r="3157" spans="4:4">
      <c r="D3157" s="66"/>
    </row>
    <row r="3158" spans="4:4">
      <c r="D3158" s="66"/>
    </row>
    <row r="3159" spans="4:4">
      <c r="D3159" s="66"/>
    </row>
    <row r="3160" spans="4:4">
      <c r="D3160" s="66"/>
    </row>
    <row r="3161" spans="4:4">
      <c r="D3161" s="66"/>
    </row>
    <row r="3162" spans="4:4">
      <c r="D3162" s="66"/>
    </row>
    <row r="3163" spans="4:4">
      <c r="D3163" s="66"/>
    </row>
    <row r="3164" spans="4:4">
      <c r="D3164" s="66"/>
    </row>
    <row r="3165" spans="4:4">
      <c r="D3165" s="66"/>
    </row>
    <row r="3166" spans="4:4">
      <c r="D3166" s="66"/>
    </row>
    <row r="3167" spans="4:4">
      <c r="D3167" s="66"/>
    </row>
    <row r="3168" spans="4:4">
      <c r="D3168" s="66"/>
    </row>
    <row r="3169" spans="4:4">
      <c r="D3169" s="66"/>
    </row>
    <row r="3170" spans="4:4">
      <c r="D3170" s="66"/>
    </row>
    <row r="3171" spans="4:4">
      <c r="D3171" s="66"/>
    </row>
    <row r="3172" spans="4:4">
      <c r="D3172" s="66"/>
    </row>
    <row r="3173" spans="4:4">
      <c r="D3173" s="66"/>
    </row>
    <row r="3174" spans="4:4">
      <c r="D3174" s="66"/>
    </row>
    <row r="3175" spans="4:4">
      <c r="D3175" s="66"/>
    </row>
    <row r="3176" spans="4:4">
      <c r="D3176" s="66"/>
    </row>
    <row r="3177" spans="4:4">
      <c r="D3177" s="66"/>
    </row>
    <row r="3178" spans="4:4">
      <c r="D3178" s="66"/>
    </row>
    <row r="3179" spans="4:4">
      <c r="D3179" s="66"/>
    </row>
    <row r="3180" spans="4:4">
      <c r="D3180" s="66"/>
    </row>
    <row r="3181" spans="4:4">
      <c r="D3181" s="66"/>
    </row>
    <row r="3182" spans="4:4">
      <c r="D3182" s="66"/>
    </row>
    <row r="3183" spans="4:4">
      <c r="D3183" s="66"/>
    </row>
    <row r="3184" spans="4:4">
      <c r="D3184" s="66"/>
    </row>
    <row r="3185" spans="4:4">
      <c r="D3185" s="66"/>
    </row>
    <row r="3186" spans="4:4">
      <c r="D3186" s="66"/>
    </row>
    <row r="3187" spans="4:4">
      <c r="D3187" s="66"/>
    </row>
    <row r="3188" spans="4:4">
      <c r="D3188" s="66"/>
    </row>
    <row r="3189" spans="4:4">
      <c r="D3189" s="66"/>
    </row>
    <row r="3190" spans="4:4">
      <c r="D3190" s="66"/>
    </row>
    <row r="3191" spans="4:4">
      <c r="D3191" s="66"/>
    </row>
    <row r="3192" spans="4:4">
      <c r="D3192" s="66"/>
    </row>
    <row r="3193" spans="4:4">
      <c r="D3193" s="66"/>
    </row>
    <row r="3194" spans="4:4">
      <c r="D3194" s="66"/>
    </row>
    <row r="3195" spans="4:4">
      <c r="D3195" s="66"/>
    </row>
    <row r="3196" spans="4:4">
      <c r="D3196" s="66"/>
    </row>
    <row r="3197" spans="4:4">
      <c r="D3197" s="66"/>
    </row>
    <row r="3198" spans="4:4">
      <c r="D3198" s="66"/>
    </row>
    <row r="3199" spans="4:4">
      <c r="D3199" s="66"/>
    </row>
    <row r="3200" spans="4:4">
      <c r="D3200" s="66"/>
    </row>
    <row r="3201" spans="4:4">
      <c r="D3201" s="66"/>
    </row>
    <row r="3202" spans="4:4">
      <c r="D3202" s="66"/>
    </row>
    <row r="3203" spans="4:4">
      <c r="D3203" s="66"/>
    </row>
    <row r="3204" spans="4:4">
      <c r="D3204" s="66"/>
    </row>
    <row r="3205" spans="4:4">
      <c r="D3205" s="66"/>
    </row>
    <row r="3206" spans="4:4">
      <c r="D3206" s="66"/>
    </row>
    <row r="3207" spans="4:4">
      <c r="D3207" s="66"/>
    </row>
    <row r="3208" spans="4:4">
      <c r="D3208" s="66"/>
    </row>
    <row r="3209" spans="4:4">
      <c r="D3209" s="66"/>
    </row>
    <row r="3210" spans="4:4">
      <c r="D3210" s="66"/>
    </row>
    <row r="3211" spans="4:4">
      <c r="D3211" s="66"/>
    </row>
    <row r="3212" spans="4:4">
      <c r="D3212" s="66"/>
    </row>
    <row r="3213" spans="4:4">
      <c r="D3213" s="66"/>
    </row>
    <row r="3214" spans="4:4">
      <c r="D3214" s="66"/>
    </row>
    <row r="3215" spans="4:4">
      <c r="D3215" s="66"/>
    </row>
    <row r="3216" spans="4:4">
      <c r="D3216" s="66"/>
    </row>
    <row r="3217" spans="4:4">
      <c r="D3217" s="66"/>
    </row>
    <row r="3218" spans="4:4">
      <c r="D3218" s="66"/>
    </row>
    <row r="3219" spans="4:4">
      <c r="D3219" s="66"/>
    </row>
    <row r="3220" spans="4:4">
      <c r="D3220" s="66"/>
    </row>
    <row r="3221" spans="4:4">
      <c r="D3221" s="66"/>
    </row>
    <row r="3222" spans="4:4">
      <c r="D3222" s="66"/>
    </row>
    <row r="3223" spans="4:4">
      <c r="D3223" s="66"/>
    </row>
    <row r="3224" spans="4:4">
      <c r="D3224" s="66"/>
    </row>
    <row r="3225" spans="4:4">
      <c r="D3225" s="66"/>
    </row>
    <row r="3226" spans="4:4">
      <c r="D3226" s="66"/>
    </row>
    <row r="3227" spans="4:4">
      <c r="D3227" s="66"/>
    </row>
    <row r="3228" spans="4:4">
      <c r="D3228" s="66"/>
    </row>
    <row r="3229" spans="4:4">
      <c r="D3229" s="66"/>
    </row>
    <row r="3230" spans="4:4">
      <c r="D3230" s="66"/>
    </row>
    <row r="3231" spans="4:4">
      <c r="D3231" s="66"/>
    </row>
    <row r="3232" spans="4:4">
      <c r="D3232" s="66"/>
    </row>
    <row r="3233" spans="4:4">
      <c r="D3233" s="66"/>
    </row>
    <row r="3234" spans="4:4">
      <c r="D3234" s="66"/>
    </row>
    <row r="3235" spans="4:4">
      <c r="D3235" s="66"/>
    </row>
    <row r="3236" spans="4:4">
      <c r="D3236" s="66"/>
    </row>
    <row r="3237" spans="4:4">
      <c r="D3237" s="66"/>
    </row>
    <row r="3238" spans="4:4">
      <c r="D3238" s="66"/>
    </row>
    <row r="3239" spans="4:4">
      <c r="D3239" s="66"/>
    </row>
    <row r="3240" spans="4:4">
      <c r="D3240" s="66"/>
    </row>
    <row r="3241" spans="4:4">
      <c r="D3241" s="66"/>
    </row>
    <row r="3242" spans="4:4">
      <c r="D3242" s="66"/>
    </row>
    <row r="3243" spans="4:4">
      <c r="D3243" s="66"/>
    </row>
    <row r="3244" spans="4:4">
      <c r="D3244" s="66"/>
    </row>
    <row r="3245" spans="4:4">
      <c r="D3245" s="66"/>
    </row>
    <row r="3246" spans="4:4">
      <c r="D3246" s="66"/>
    </row>
    <row r="3247" spans="4:4">
      <c r="D3247" s="66"/>
    </row>
    <row r="3248" spans="4:4">
      <c r="D3248" s="66"/>
    </row>
    <row r="3249" spans="4:4">
      <c r="D3249" s="66"/>
    </row>
    <row r="3250" spans="4:4">
      <c r="D3250" s="66"/>
    </row>
    <row r="3251" spans="4:4">
      <c r="D3251" s="66"/>
    </row>
    <row r="3252" spans="4:4">
      <c r="D3252" s="66"/>
    </row>
    <row r="3253" spans="4:4">
      <c r="D3253" s="66"/>
    </row>
    <row r="3254" spans="4:4">
      <c r="D3254" s="66"/>
    </row>
    <row r="3255" spans="4:4">
      <c r="D3255" s="66"/>
    </row>
    <row r="3256" spans="4:4">
      <c r="D3256" s="66"/>
    </row>
    <row r="3257" spans="4:4">
      <c r="D3257" s="66"/>
    </row>
    <row r="3258" spans="4:4">
      <c r="D3258" s="66"/>
    </row>
    <row r="3259" spans="4:4">
      <c r="D3259" s="66"/>
    </row>
    <row r="3260" spans="4:4">
      <c r="D3260" s="66"/>
    </row>
    <row r="3261" spans="4:4">
      <c r="D3261" s="66"/>
    </row>
    <row r="3262" spans="4:4">
      <c r="D3262" s="66"/>
    </row>
    <row r="3263" spans="4:4">
      <c r="D3263" s="66"/>
    </row>
    <row r="3264" spans="4:4">
      <c r="D3264" s="66"/>
    </row>
    <row r="3265" spans="4:4">
      <c r="D3265" s="66"/>
    </row>
    <row r="3266" spans="4:4">
      <c r="D3266" s="66"/>
    </row>
    <row r="3267" spans="4:4">
      <c r="D3267" s="66"/>
    </row>
    <row r="3268" spans="4:4">
      <c r="D3268" s="66"/>
    </row>
    <row r="3269" spans="4:4">
      <c r="D3269" s="66"/>
    </row>
    <row r="3270" spans="4:4">
      <c r="D3270" s="66"/>
    </row>
    <row r="3271" spans="4:4">
      <c r="D3271" s="66"/>
    </row>
    <row r="3272" spans="4:4">
      <c r="D3272" s="66"/>
    </row>
    <row r="3273" spans="4:4">
      <c r="D3273" s="66"/>
    </row>
    <row r="3274" spans="4:4">
      <c r="D3274" s="66"/>
    </row>
    <row r="3275" spans="4:4">
      <c r="D3275" s="66"/>
    </row>
    <row r="3276" spans="4:4">
      <c r="D3276" s="66"/>
    </row>
    <row r="3277" spans="4:4">
      <c r="D3277" s="66"/>
    </row>
    <row r="3278" spans="4:4">
      <c r="D3278" s="66"/>
    </row>
    <row r="3279" spans="4:4">
      <c r="D3279" s="66"/>
    </row>
    <row r="3280" spans="4:4">
      <c r="D3280" s="66"/>
    </row>
    <row r="3281" spans="4:4">
      <c r="D3281" s="66"/>
    </row>
    <row r="3282" spans="4:4">
      <c r="D3282" s="66"/>
    </row>
    <row r="3283" spans="4:4">
      <c r="D3283" s="66"/>
    </row>
    <row r="3284" spans="4:4">
      <c r="D3284" s="66"/>
    </row>
    <row r="3285" spans="4:4">
      <c r="D3285" s="66"/>
    </row>
    <row r="3286" spans="4:4">
      <c r="D3286" s="66"/>
    </row>
    <row r="3287" spans="4:4">
      <c r="D3287" s="66"/>
    </row>
    <row r="3288" spans="4:4">
      <c r="D3288" s="66"/>
    </row>
    <row r="3289" spans="4:4">
      <c r="D3289" s="66"/>
    </row>
    <row r="3290" spans="4:4">
      <c r="D3290" s="66"/>
    </row>
    <row r="3291" spans="4:4">
      <c r="D3291" s="66"/>
    </row>
    <row r="3292" spans="4:4">
      <c r="D3292" s="66"/>
    </row>
    <row r="3293" spans="4:4">
      <c r="D3293" s="66"/>
    </row>
    <row r="3294" spans="4:4">
      <c r="D3294" s="66"/>
    </row>
    <row r="3295" spans="4:4">
      <c r="D3295" s="66"/>
    </row>
    <row r="3296" spans="4:4">
      <c r="D3296" s="66"/>
    </row>
    <row r="3297" spans="4:4">
      <c r="D3297" s="66"/>
    </row>
    <row r="3298" spans="4:4">
      <c r="D3298" s="66"/>
    </row>
    <row r="3299" spans="4:4">
      <c r="D3299" s="66"/>
    </row>
    <row r="3300" spans="4:4">
      <c r="D3300" s="66"/>
    </row>
    <row r="3301" spans="4:4">
      <c r="D3301" s="66"/>
    </row>
    <row r="3302" spans="4:4">
      <c r="D3302" s="66"/>
    </row>
    <row r="3303" spans="4:4">
      <c r="D3303" s="66"/>
    </row>
    <row r="3304" spans="4:4">
      <c r="D3304" s="66"/>
    </row>
    <row r="3305" spans="4:4">
      <c r="D3305" s="66"/>
    </row>
    <row r="3306" spans="4:4">
      <c r="D3306" s="66"/>
    </row>
    <row r="3307" spans="4:4">
      <c r="D3307" s="66"/>
    </row>
    <row r="3308" spans="4:4">
      <c r="D3308" s="66"/>
    </row>
    <row r="3309" spans="4:4">
      <c r="D3309" s="66"/>
    </row>
    <row r="3310" spans="4:4">
      <c r="D3310" s="66"/>
    </row>
    <row r="3311" spans="4:4">
      <c r="D3311" s="66"/>
    </row>
    <row r="3312" spans="4:4">
      <c r="D3312" s="66"/>
    </row>
    <row r="3313" spans="4:4">
      <c r="D3313" s="66"/>
    </row>
    <row r="3314" spans="4:4">
      <c r="D3314" s="66"/>
    </row>
    <row r="3315" spans="4:4">
      <c r="D3315" s="66"/>
    </row>
    <row r="3316" spans="4:4">
      <c r="D3316" s="66"/>
    </row>
    <row r="3317" spans="4:4">
      <c r="D3317" s="66"/>
    </row>
    <row r="3318" spans="4:4">
      <c r="D3318" s="66"/>
    </row>
    <row r="3319" spans="4:4">
      <c r="D3319" s="66"/>
    </row>
    <row r="3320" spans="4:4">
      <c r="D3320" s="66"/>
    </row>
    <row r="3321" spans="4:4">
      <c r="D3321" s="66"/>
    </row>
    <row r="3322" spans="4:4">
      <c r="D3322" s="66"/>
    </row>
    <row r="3323" spans="4:4">
      <c r="D3323" s="66"/>
    </row>
    <row r="3324" spans="4:4">
      <c r="D3324" s="66"/>
    </row>
    <row r="3325" spans="4:4">
      <c r="D3325" s="66"/>
    </row>
    <row r="3326" spans="4:4">
      <c r="D3326" s="66"/>
    </row>
    <row r="3327" spans="4:4">
      <c r="D3327" s="66"/>
    </row>
    <row r="3328" spans="4:4">
      <c r="D3328" s="66"/>
    </row>
    <row r="3329" spans="4:4">
      <c r="D3329" s="66"/>
    </row>
    <row r="3330" spans="4:4">
      <c r="D3330" s="66"/>
    </row>
  </sheetData>
  <autoFilter ref="A3:AA457" xr:uid="{00000000-0009-0000-0000-00000F000000}"/>
  <sortState xmlns:xlrd2="http://schemas.microsoft.com/office/spreadsheetml/2017/richdata2" ref="B4:B65">
    <sortCondition ref="B3"/>
  </sortState>
  <phoneticPr fontId="149" type="noConversion"/>
  <pageMargins left="0.7" right="0.7" top="0.75" bottom="0.75" header="0.3" footer="0.3"/>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P588"/>
  <sheetViews>
    <sheetView tabSelected="1" zoomScale="70" zoomScaleNormal="70" zoomScaleSheetLayoutView="40" workbookViewId="0">
      <pane xSplit="8" ySplit="6" topLeftCell="DY397" activePane="bottomRight" state="frozen"/>
      <selection pane="topRight" activeCell="I1" sqref="I1"/>
      <selection pane="bottomLeft" activeCell="A7" sqref="A7"/>
      <selection pane="bottomRight" activeCell="EB7" sqref="EB7:ED588"/>
    </sheetView>
  </sheetViews>
  <sheetFormatPr defaultColWidth="9" defaultRowHeight="15.5" outlineLevelCol="1"/>
  <cols>
    <col min="1" max="2" width="9.08203125" style="35" customWidth="1"/>
    <col min="3" max="3" width="8.5" style="20" customWidth="1"/>
    <col min="4" max="4" width="15.33203125" style="20" customWidth="1"/>
    <col min="5" max="5" width="9.6640625" style="20" customWidth="1"/>
    <col min="6" max="6" width="10" style="20" customWidth="1"/>
    <col min="7" max="7" width="15.6640625" style="20" bestFit="1" customWidth="1"/>
    <col min="8" max="8" width="28.08203125" style="20" customWidth="1"/>
    <col min="9" max="9" width="7.6640625" style="20" customWidth="1"/>
    <col min="10" max="10" width="8.5" style="38" customWidth="1"/>
    <col min="11" max="11" width="14.6640625" style="20" customWidth="1"/>
    <col min="12" max="12" width="17.6640625" customWidth="1"/>
    <col min="13" max="13" width="12.08203125" customWidth="1"/>
    <col min="14" max="14" width="18.6640625" customWidth="1"/>
    <col min="15" max="15" width="17.1640625" style="36" customWidth="1"/>
    <col min="16" max="16" width="15.1640625" style="33" customWidth="1"/>
    <col min="17" max="17" width="16.58203125" style="33" customWidth="1"/>
    <col min="18" max="18" width="10.6640625" customWidth="1"/>
    <col min="19" max="21" width="16.5" customWidth="1"/>
    <col min="22" max="24" width="13.08203125" style="31" customWidth="1"/>
    <col min="25" max="25" width="14.58203125" style="31" customWidth="1"/>
    <col min="26" max="26" width="13.08203125" style="31" customWidth="1"/>
    <col min="27" max="27" width="16.9140625" style="31" customWidth="1"/>
    <col min="28" max="29" width="13.08203125" style="31" customWidth="1"/>
    <col min="30" max="30" width="18.1640625" style="31" customWidth="1"/>
    <col min="31" max="31" width="13.08203125" style="31" customWidth="1"/>
    <col min="32" max="32" width="19.1640625" style="31" customWidth="1"/>
    <col min="33" max="35" width="13.08203125" style="31" customWidth="1"/>
    <col min="36" max="36" width="17.58203125" style="31" customWidth="1"/>
    <col min="37" max="37" width="13.08203125" style="31" customWidth="1"/>
    <col min="38" max="38" width="18.6640625" style="31" customWidth="1"/>
    <col min="39" max="39" width="27.6640625" style="31" customWidth="1"/>
    <col min="40" max="41" width="25.08203125" style="31" customWidth="1"/>
    <col min="42" max="42" width="20.1640625" style="31" customWidth="1"/>
    <col min="43" max="43" width="22.08203125" style="20" customWidth="1"/>
    <col min="44" max="44" width="18.58203125" style="32" customWidth="1"/>
    <col min="45" max="45" width="13.1640625" style="32" customWidth="1"/>
    <col min="46" max="46" width="10.58203125" style="33" customWidth="1"/>
    <col min="47" max="47" width="13.08203125" style="33" customWidth="1"/>
    <col min="48" max="48" width="9.1640625" style="20" customWidth="1"/>
    <col min="49" max="49" width="25.6640625" style="20" customWidth="1"/>
    <col min="50" max="50" width="27.6640625" style="33" customWidth="1"/>
    <col min="51" max="51" width="13.08203125" style="33" customWidth="1"/>
    <col min="52" max="52" width="17.5" style="33" customWidth="1"/>
    <col min="53" max="54" width="13.08203125" style="33" customWidth="1"/>
    <col min="55" max="56" width="30.6640625" style="37" customWidth="1"/>
    <col min="57" max="57" width="13.08203125" style="37" customWidth="1"/>
    <col min="58" max="58" width="26.6640625" style="37" customWidth="1"/>
    <col min="59" max="59" width="12.1640625" style="37" customWidth="1"/>
    <col min="60" max="65" width="13.08203125" style="37" customWidth="1"/>
    <col min="66" max="66" width="17.9140625" style="37" customWidth="1"/>
    <col min="67" max="67" width="24.08203125" style="37" customWidth="1"/>
    <col min="68" max="71" width="13.08203125" style="37" customWidth="1"/>
    <col min="72" max="72" width="26.08203125" style="37" customWidth="1"/>
    <col min="73" max="73" width="26" style="37" customWidth="1"/>
    <col min="74" max="74" width="23.6640625" style="37" customWidth="1"/>
    <col min="75" max="75" width="22.5" style="37" customWidth="1"/>
    <col min="76" max="78" width="13.08203125" style="37" customWidth="1"/>
    <col min="79" max="79" width="16.6640625" style="37" customWidth="1"/>
    <col min="80" max="81" width="13.08203125" style="37" customWidth="1"/>
    <col min="82" max="82" width="20.6640625" style="37" customWidth="1"/>
    <col min="83" max="83" width="13.08203125" style="37" customWidth="1" outlineLevel="1"/>
    <col min="84" max="84" width="18.1640625" style="37" customWidth="1" outlineLevel="1"/>
    <col min="85" max="87" width="9" customWidth="1" outlineLevel="1"/>
    <col min="88" max="88" width="13" customWidth="1" outlineLevel="1"/>
    <col min="89" max="90" width="15.5" customWidth="1" outlineLevel="1"/>
    <col min="91" max="91" width="21.83203125" style="420" customWidth="1" outlineLevel="1"/>
    <col min="92" max="92" width="24.33203125" style="420" customWidth="1" outlineLevel="1"/>
    <col min="93" max="93" width="14.5" style="33" customWidth="1" outlineLevel="1"/>
    <col min="94" max="94" width="16.1640625" style="33" customWidth="1" outlineLevel="1"/>
    <col min="95" max="95" width="20.1640625" style="33" customWidth="1" outlineLevel="1"/>
    <col min="96" max="96" width="20.58203125" style="33" customWidth="1" outlineLevel="1"/>
    <col min="97" max="97" width="17.08203125" style="33" customWidth="1" outlineLevel="1"/>
    <col min="98" max="98" width="16.9140625" style="33" customWidth="1" outlineLevel="1"/>
    <col min="99" max="99" width="15.6640625" style="31" customWidth="1" outlineLevel="1"/>
    <col min="100" max="100" width="25.58203125" style="31" customWidth="1" outlineLevel="1"/>
    <col min="101" max="101" width="13.08203125" style="31" customWidth="1" outlineLevel="1"/>
    <col min="102" max="102" width="13.08203125" style="33" customWidth="1" outlineLevel="1"/>
    <col min="103" max="103" width="15.5" style="31" customWidth="1" outlineLevel="1"/>
    <col min="104" max="104" width="14" style="31" customWidth="1" outlineLevel="1"/>
    <col min="105" max="107" width="12" style="33" customWidth="1" outlineLevel="1"/>
    <col min="108" max="108" width="19.58203125" style="33" customWidth="1" outlineLevel="1"/>
    <col min="109" max="109" width="19.1640625" style="33" customWidth="1" outlineLevel="1"/>
    <col min="110" max="110" width="12.1640625" style="33" customWidth="1" outlineLevel="1"/>
    <col min="111" max="111" width="10.6640625" style="33" customWidth="1" outlineLevel="1"/>
    <col min="112" max="112" width="9" customWidth="1" outlineLevel="1"/>
    <col min="113" max="113" width="12.08203125" style="32" customWidth="1" outlineLevel="1"/>
    <col min="114" max="114" width="15.1640625" style="33" customWidth="1" outlineLevel="1"/>
    <col min="115" max="115" width="18" customWidth="1" outlineLevel="1"/>
    <col min="116" max="116" width="16.1640625" style="33" customWidth="1" outlineLevel="1"/>
    <col min="117" max="117" width="13.1640625" style="33" customWidth="1" outlineLevel="1"/>
    <col min="118" max="118" width="12" style="33" customWidth="1" outlineLevel="1"/>
    <col min="119" max="119" width="15.5" style="33" customWidth="1" outlineLevel="1"/>
    <col min="120" max="120" width="23.08203125" style="33" customWidth="1" outlineLevel="1"/>
    <col min="121" max="121" width="14.1640625" style="33" customWidth="1" outlineLevel="1"/>
    <col min="122" max="122" width="11.6640625" style="33" customWidth="1" outlineLevel="1"/>
    <col min="123" max="123" width="12.1640625" style="33" customWidth="1" outlineLevel="1"/>
    <col min="124" max="124" width="12.6640625" style="33" customWidth="1" outlineLevel="1"/>
    <col min="125" max="125" width="12.6640625" customWidth="1" outlineLevel="1"/>
    <col min="126" max="128" width="17.6640625" customWidth="1" outlineLevel="1"/>
    <col min="129" max="130" width="16.1640625" style="363" customWidth="1" outlineLevel="1"/>
    <col min="131" max="134" width="16.1640625" style="420" customWidth="1" outlineLevel="1"/>
    <col min="135" max="138" width="12" style="33" customWidth="1"/>
    <col min="139" max="139" width="11.6640625" customWidth="1"/>
    <col min="140" max="140" width="13.6640625" style="33" customWidth="1"/>
    <col min="141" max="141" width="12" style="33" customWidth="1"/>
    <col min="142" max="142" width="22.6640625" style="37" customWidth="1"/>
    <col min="143" max="144" width="12" style="31" customWidth="1"/>
    <col min="145" max="16384" width="9" style="20"/>
  </cols>
  <sheetData>
    <row r="1" spans="1:146" s="19" customFormat="1" ht="16.5" hidden="1" customHeight="1" thickBot="1">
      <c r="A1" s="193"/>
      <c r="B1" s="204" t="s">
        <v>1851</v>
      </c>
      <c r="C1" s="204"/>
      <c r="D1" s="204"/>
      <c r="E1" s="202" t="s">
        <v>1849</v>
      </c>
      <c r="F1" s="183"/>
      <c r="G1" s="183"/>
      <c r="H1" s="183"/>
      <c r="I1" s="183"/>
      <c r="J1" s="183"/>
      <c r="K1" s="1172" t="s">
        <v>1850</v>
      </c>
      <c r="L1" s="1173"/>
      <c r="M1" s="70"/>
      <c r="N1" s="70"/>
      <c r="O1" s="70"/>
      <c r="P1" s="70"/>
      <c r="Q1" s="70"/>
      <c r="R1" s="70"/>
      <c r="S1" s="70"/>
      <c r="T1" s="198" t="s">
        <v>1582</v>
      </c>
      <c r="U1" s="198"/>
      <c r="V1" s="198"/>
      <c r="W1" s="198"/>
      <c r="X1" s="198"/>
      <c r="Y1" s="198"/>
      <c r="Z1" s="198"/>
      <c r="AA1" s="198"/>
      <c r="AB1" s="198"/>
      <c r="AC1" s="198"/>
      <c r="AD1" s="198"/>
      <c r="AE1" s="198"/>
      <c r="AF1" s="198"/>
      <c r="AG1" s="198"/>
      <c r="AH1" s="198"/>
      <c r="AI1" s="198"/>
      <c r="AJ1" s="198"/>
      <c r="AK1" s="198"/>
      <c r="AL1" s="198"/>
      <c r="AM1" s="198"/>
      <c r="AN1" s="198"/>
      <c r="AO1" s="198"/>
      <c r="AP1" s="198"/>
      <c r="AQ1" s="199" t="s">
        <v>1583</v>
      </c>
      <c r="AR1" s="199"/>
      <c r="AS1" s="199"/>
      <c r="AT1" s="199"/>
      <c r="AU1" s="199"/>
      <c r="AV1" s="199"/>
      <c r="AW1" s="199"/>
      <c r="AX1" s="199"/>
      <c r="AY1" s="199"/>
      <c r="AZ1" s="199"/>
      <c r="BA1" s="199"/>
      <c r="BB1" s="199"/>
      <c r="BC1" s="199"/>
      <c r="BD1" s="199"/>
      <c r="BE1" s="199"/>
      <c r="BF1" s="199"/>
      <c r="BG1" s="200" t="s">
        <v>1584</v>
      </c>
      <c r="BH1" s="200"/>
      <c r="BI1" s="200"/>
      <c r="BJ1" s="200"/>
      <c r="BK1" s="200"/>
      <c r="BL1" s="200"/>
      <c r="BM1" s="200"/>
      <c r="BN1" s="200"/>
      <c r="BO1" s="200"/>
      <c r="BP1" s="200"/>
      <c r="BQ1" s="274"/>
      <c r="BR1" s="274"/>
      <c r="BS1" s="274"/>
      <c r="BT1" s="1182" t="s">
        <v>2226</v>
      </c>
      <c r="BU1" s="1183"/>
      <c r="BV1" s="1183"/>
      <c r="BW1" s="1184"/>
      <c r="BX1" s="1185" t="s">
        <v>2309</v>
      </c>
      <c r="BY1" s="1186"/>
      <c r="BZ1" s="1186"/>
      <c r="CA1" s="772"/>
      <c r="CB1" s="772"/>
      <c r="CC1" s="772"/>
      <c r="CD1" s="772"/>
      <c r="CE1" s="71" t="s">
        <v>114</v>
      </c>
      <c r="CF1" s="71"/>
      <c r="CG1" s="71"/>
      <c r="CH1" s="71"/>
      <c r="CI1" s="71"/>
      <c r="CJ1" s="71"/>
      <c r="CK1" s="71"/>
      <c r="CL1" s="71"/>
      <c r="CM1" s="71"/>
      <c r="CN1" s="71"/>
      <c r="CO1" s="71"/>
      <c r="CP1" s="71"/>
      <c r="CQ1" s="71"/>
      <c r="CR1" s="72"/>
      <c r="CS1" s="71"/>
      <c r="CT1" s="71"/>
      <c r="CU1" s="71"/>
      <c r="CV1" s="72"/>
      <c r="CW1" s="72"/>
      <c r="CX1" s="71"/>
      <c r="CY1" s="71"/>
      <c r="CZ1" s="71"/>
      <c r="DA1" s="71"/>
      <c r="DB1" s="71"/>
      <c r="DC1" s="71"/>
      <c r="DD1" s="72"/>
      <c r="DE1" s="72"/>
      <c r="DF1" s="72"/>
      <c r="DG1" s="72"/>
      <c r="DH1" s="71"/>
      <c r="DI1" s="71"/>
      <c r="DJ1" s="71"/>
      <c r="DK1" s="71"/>
      <c r="DL1" s="72"/>
      <c r="DM1" s="72"/>
      <c r="DN1" s="72"/>
      <c r="DO1" s="72"/>
      <c r="DP1" s="72"/>
      <c r="DQ1" s="71"/>
      <c r="DR1" s="71"/>
      <c r="DS1" s="71"/>
      <c r="DT1" s="71"/>
      <c r="DU1" s="71"/>
      <c r="DV1" s="72"/>
      <c r="DW1" s="71"/>
      <c r="DX1" s="71"/>
      <c r="DY1" s="71"/>
      <c r="DZ1" s="71"/>
      <c r="EA1" s="71"/>
      <c r="EB1" s="71"/>
      <c r="EC1" s="71"/>
      <c r="ED1" s="71"/>
      <c r="EE1" s="153"/>
      <c r="EF1" s="153"/>
      <c r="EG1" s="154"/>
      <c r="EH1" s="154"/>
      <c r="EI1" s="154"/>
      <c r="EJ1" s="154"/>
      <c r="EK1" s="154"/>
      <c r="EL1" s="154"/>
      <c r="EM1" s="154"/>
      <c r="EN1" s="154"/>
    </row>
    <row r="2" spans="1:146" s="19" customFormat="1" ht="21" customHeight="1" thickBot="1">
      <c r="A2" s="182" t="s">
        <v>0</v>
      </c>
      <c r="B2" s="203" t="s">
        <v>1</v>
      </c>
      <c r="C2" s="203" t="s">
        <v>2</v>
      </c>
      <c r="D2" s="203" t="s">
        <v>3</v>
      </c>
      <c r="E2" s="183" t="s">
        <v>4</v>
      </c>
      <c r="F2" s="183" t="s">
        <v>874</v>
      </c>
      <c r="G2" s="183" t="s">
        <v>5</v>
      </c>
      <c r="H2" s="183" t="s">
        <v>6</v>
      </c>
      <c r="I2" s="183" t="s">
        <v>47</v>
      </c>
      <c r="J2" s="183" t="s">
        <v>48</v>
      </c>
      <c r="K2" s="181" t="s">
        <v>51</v>
      </c>
      <c r="L2" s="181" t="s">
        <v>53</v>
      </c>
      <c r="M2" s="182" t="s">
        <v>54</v>
      </c>
      <c r="N2" s="182" t="s">
        <v>115</v>
      </c>
      <c r="O2" s="182" t="s">
        <v>116</v>
      </c>
      <c r="P2" s="182" t="s">
        <v>59</v>
      </c>
      <c r="Q2" s="182" t="s">
        <v>57</v>
      </c>
      <c r="R2" s="182" t="s">
        <v>61</v>
      </c>
      <c r="S2" s="182" t="s">
        <v>875</v>
      </c>
      <c r="T2" s="201" t="s">
        <v>62</v>
      </c>
      <c r="U2" s="201" t="s">
        <v>63</v>
      </c>
      <c r="V2" s="201" t="s">
        <v>64</v>
      </c>
      <c r="W2" s="201" t="s">
        <v>66</v>
      </c>
      <c r="X2" s="201" t="s">
        <v>876</v>
      </c>
      <c r="Y2" s="201" t="s">
        <v>67</v>
      </c>
      <c r="Z2" s="201" t="s">
        <v>68</v>
      </c>
      <c r="AA2" s="201" t="s">
        <v>69</v>
      </c>
      <c r="AB2" s="201" t="s">
        <v>70</v>
      </c>
      <c r="AC2" s="201" t="s">
        <v>1011</v>
      </c>
      <c r="AD2" s="201" t="s">
        <v>1012</v>
      </c>
      <c r="AE2" s="201" t="s">
        <v>1013</v>
      </c>
      <c r="AF2" s="201" t="s">
        <v>1014</v>
      </c>
      <c r="AG2" s="201" t="s">
        <v>1015</v>
      </c>
      <c r="AH2" s="201" t="s">
        <v>1016</v>
      </c>
      <c r="AI2" s="201" t="s">
        <v>1017</v>
      </c>
      <c r="AJ2" s="201" t="s">
        <v>1018</v>
      </c>
      <c r="AK2" s="201" t="s">
        <v>1019</v>
      </c>
      <c r="AL2" s="201" t="s">
        <v>1020</v>
      </c>
      <c r="AM2" s="201" t="s">
        <v>1568</v>
      </c>
      <c r="AN2" s="201" t="s">
        <v>1570</v>
      </c>
      <c r="AO2" s="201"/>
      <c r="AP2" s="201" t="s">
        <v>1713</v>
      </c>
      <c r="AQ2" s="185" t="s">
        <v>1788</v>
      </c>
      <c r="AR2" s="185" t="s">
        <v>1790</v>
      </c>
      <c r="AS2" s="185" t="s">
        <v>1791</v>
      </c>
      <c r="AT2" s="185" t="s">
        <v>1792</v>
      </c>
      <c r="AU2" s="185" t="s">
        <v>1793</v>
      </c>
      <c r="AV2" s="185" t="s">
        <v>1794</v>
      </c>
      <c r="AW2" s="185" t="s">
        <v>1795</v>
      </c>
      <c r="AX2" s="185" t="s">
        <v>1797</v>
      </c>
      <c r="AY2" s="185" t="s">
        <v>1799</v>
      </c>
      <c r="AZ2" s="185" t="s">
        <v>1800</v>
      </c>
      <c r="BA2" s="185" t="s">
        <v>1801</v>
      </c>
      <c r="BB2" s="185" t="s">
        <v>1802</v>
      </c>
      <c r="BC2" s="185" t="s">
        <v>1803</v>
      </c>
      <c r="BD2" s="185" t="s">
        <v>1805</v>
      </c>
      <c r="BE2" s="185" t="s">
        <v>1807</v>
      </c>
      <c r="BF2" s="185" t="s">
        <v>1809</v>
      </c>
      <c r="BG2" s="192" t="s">
        <v>1812</v>
      </c>
      <c r="BH2" s="192" t="s">
        <v>1815</v>
      </c>
      <c r="BI2" s="192" t="s">
        <v>1817</v>
      </c>
      <c r="BJ2" s="192" t="s">
        <v>1818</v>
      </c>
      <c r="BK2" s="192" t="s">
        <v>1819</v>
      </c>
      <c r="BL2" s="192" t="s">
        <v>1820</v>
      </c>
      <c r="BM2" s="192" t="s">
        <v>1954</v>
      </c>
      <c r="BN2" s="192" t="s">
        <v>1955</v>
      </c>
      <c r="BO2" s="192" t="s">
        <v>2018</v>
      </c>
      <c r="BP2" s="192" t="s">
        <v>2021</v>
      </c>
      <c r="BQ2" s="192" t="s">
        <v>2023</v>
      </c>
      <c r="BR2" s="192" t="s">
        <v>2185</v>
      </c>
      <c r="BS2" s="192" t="s">
        <v>2186</v>
      </c>
      <c r="BT2" s="489" t="s">
        <v>2187</v>
      </c>
      <c r="BU2" s="489" t="s">
        <v>2188</v>
      </c>
      <c r="BV2" s="489" t="s">
        <v>2189</v>
      </c>
      <c r="BW2" s="489" t="s">
        <v>2273</v>
      </c>
      <c r="BX2" s="514" t="s">
        <v>2274</v>
      </c>
      <c r="BY2" s="514" t="s">
        <v>2275</v>
      </c>
      <c r="BZ2" s="514" t="s">
        <v>2321</v>
      </c>
      <c r="CA2" s="773" t="s">
        <v>2744</v>
      </c>
      <c r="CB2" s="773" t="s">
        <v>2745</v>
      </c>
      <c r="CC2" s="773" t="s">
        <v>2746</v>
      </c>
      <c r="CD2" s="773" t="s">
        <v>2748</v>
      </c>
      <c r="CE2" s="1174" t="s">
        <v>1600</v>
      </c>
      <c r="CF2" s="1175"/>
      <c r="CG2" s="1176"/>
      <c r="CH2" s="1177" t="s">
        <v>1601</v>
      </c>
      <c r="CI2" s="1175"/>
      <c r="CJ2" s="1175"/>
      <c r="CK2" s="1175"/>
      <c r="CL2" s="1175"/>
      <c r="CM2" s="1175"/>
      <c r="CN2" s="1175"/>
      <c r="CO2" s="1175"/>
      <c r="CP2" s="1175"/>
      <c r="CQ2" s="1175"/>
      <c r="CR2" s="1151" t="s">
        <v>2056</v>
      </c>
      <c r="CS2" s="1178" t="s">
        <v>1602</v>
      </c>
      <c r="CT2" s="1179"/>
      <c r="CU2" s="1151"/>
      <c r="CV2" s="1151" t="s">
        <v>77</v>
      </c>
      <c r="CW2" s="1165"/>
      <c r="CX2" s="1168" t="s">
        <v>2062</v>
      </c>
      <c r="CY2" s="1169"/>
      <c r="CZ2" s="1161" t="s">
        <v>2061</v>
      </c>
      <c r="DA2" s="1162"/>
      <c r="DB2" s="1167"/>
      <c r="DC2" s="386"/>
      <c r="DD2" s="1167" t="s">
        <v>2064</v>
      </c>
      <c r="DE2" s="1167" t="s">
        <v>1281</v>
      </c>
      <c r="DF2" s="1167"/>
      <c r="DG2" s="556"/>
      <c r="DH2" s="1156"/>
      <c r="DI2" s="1157" t="s">
        <v>1519</v>
      </c>
      <c r="DJ2" s="1158"/>
      <c r="DK2" s="1155"/>
      <c r="DL2" s="330" t="s">
        <v>1475</v>
      </c>
      <c r="DM2" s="331"/>
      <c r="DN2" s="331"/>
      <c r="DO2" s="331"/>
      <c r="DP2" s="331"/>
      <c r="DQ2" s="340"/>
      <c r="DR2" s="349" t="s">
        <v>1519</v>
      </c>
      <c r="DS2" s="345"/>
      <c r="DT2" s="331"/>
      <c r="DU2" s="331"/>
      <c r="DV2" s="331"/>
      <c r="DW2" s="331"/>
      <c r="DX2" s="331"/>
      <c r="DY2" s="331"/>
      <c r="DZ2" s="331"/>
      <c r="EA2" s="502"/>
      <c r="EB2" s="502"/>
      <c r="EC2" s="502"/>
      <c r="ED2" s="502"/>
      <c r="EE2" s="39" t="s">
        <v>7</v>
      </c>
      <c r="EF2" s="34" t="s">
        <v>8</v>
      </c>
      <c r="EG2" s="34" t="s">
        <v>9</v>
      </c>
      <c r="EH2" s="34" t="s">
        <v>10</v>
      </c>
      <c r="EI2" s="34" t="s">
        <v>11</v>
      </c>
      <c r="EJ2" s="34" t="s">
        <v>12</v>
      </c>
      <c r="EK2" s="34" t="s">
        <v>13</v>
      </c>
      <c r="EL2" s="34" t="s">
        <v>14</v>
      </c>
      <c r="EM2" s="34" t="s">
        <v>15</v>
      </c>
      <c r="EN2" s="34"/>
    </row>
    <row r="3" spans="1:146" s="226" customFormat="1" ht="77.5" hidden="1" customHeight="1" thickBot="1">
      <c r="A3" s="520" t="s">
        <v>1857</v>
      </c>
      <c r="B3" s="521" t="s">
        <v>1858</v>
      </c>
      <c r="C3" s="521" t="s">
        <v>1859</v>
      </c>
      <c r="D3" s="521" t="s">
        <v>1860</v>
      </c>
      <c r="E3" s="522" t="s">
        <v>1861</v>
      </c>
      <c r="F3" s="522" t="s">
        <v>1862</v>
      </c>
      <c r="G3" s="522" t="s">
        <v>1863</v>
      </c>
      <c r="H3" s="522" t="s">
        <v>1864</v>
      </c>
      <c r="I3" s="522" t="s">
        <v>1904</v>
      </c>
      <c r="J3" s="522" t="s">
        <v>1903</v>
      </c>
      <c r="K3" s="523" t="s">
        <v>1865</v>
      </c>
      <c r="L3" s="523" t="s">
        <v>1866</v>
      </c>
      <c r="M3" s="520" t="s">
        <v>2024</v>
      </c>
      <c r="N3" s="520" t="s">
        <v>1572</v>
      </c>
      <c r="O3" s="520" t="s">
        <v>1868</v>
      </c>
      <c r="P3" s="520" t="s">
        <v>1870</v>
      </c>
      <c r="Q3" s="520" t="s">
        <v>1872</v>
      </c>
      <c r="R3" s="520" t="s">
        <v>1873</v>
      </c>
      <c r="S3" s="524" t="s">
        <v>1874</v>
      </c>
      <c r="T3" s="546" t="s">
        <v>1945</v>
      </c>
      <c r="U3" s="546" t="s">
        <v>1913</v>
      </c>
      <c r="V3" s="546" t="s">
        <v>1914</v>
      </c>
      <c r="W3" s="547" t="s">
        <v>2025</v>
      </c>
      <c r="X3" s="546" t="s">
        <v>1947</v>
      </c>
      <c r="Y3" s="547" t="s">
        <v>2026</v>
      </c>
      <c r="Z3" s="546" t="s">
        <v>2027</v>
      </c>
      <c r="AA3" s="547" t="s">
        <v>1975</v>
      </c>
      <c r="AB3" s="547" t="s">
        <v>1980</v>
      </c>
      <c r="AC3" s="547" t="s">
        <v>2028</v>
      </c>
      <c r="AD3" s="547" t="s">
        <v>2322</v>
      </c>
      <c r="AE3" s="547" t="s">
        <v>1927</v>
      </c>
      <c r="AF3" s="547" t="s">
        <v>2323</v>
      </c>
      <c r="AG3" s="547" t="s">
        <v>2030</v>
      </c>
      <c r="AH3" s="547" t="s">
        <v>2031</v>
      </c>
      <c r="AI3" s="547" t="s">
        <v>1918</v>
      </c>
      <c r="AJ3" s="548" t="s">
        <v>2278</v>
      </c>
      <c r="AK3" s="547" t="s">
        <v>1921</v>
      </c>
      <c r="AL3" s="547" t="s">
        <v>2279</v>
      </c>
      <c r="AM3" s="547" t="s">
        <v>2285</v>
      </c>
      <c r="AN3" s="547" t="s">
        <v>2286</v>
      </c>
      <c r="AO3" s="547"/>
      <c r="AP3" s="547" t="s">
        <v>1877</v>
      </c>
      <c r="AQ3" s="549" t="s">
        <v>1976</v>
      </c>
      <c r="AR3" s="549" t="s">
        <v>2033</v>
      </c>
      <c r="AS3" s="549" t="s">
        <v>2308</v>
      </c>
      <c r="AT3" s="549" t="s">
        <v>2036</v>
      </c>
      <c r="AU3" s="549" t="s">
        <v>2038</v>
      </c>
      <c r="AV3" s="549" t="s">
        <v>1922</v>
      </c>
      <c r="AW3" s="549" t="s">
        <v>1925</v>
      </c>
      <c r="AX3" s="549" t="s">
        <v>1926</v>
      </c>
      <c r="AY3" s="550" t="s">
        <v>1879</v>
      </c>
      <c r="AZ3" s="550" t="s">
        <v>1899</v>
      </c>
      <c r="BA3" s="550" t="s">
        <v>1882</v>
      </c>
      <c r="BB3" s="550" t="s">
        <v>1884</v>
      </c>
      <c r="BC3" s="550" t="s">
        <v>2332</v>
      </c>
      <c r="BD3" s="550" t="s">
        <v>2333</v>
      </c>
      <c r="BE3" s="550" t="s">
        <v>2194</v>
      </c>
      <c r="BF3" s="550" t="s">
        <v>1886</v>
      </c>
      <c r="BG3" s="551" t="s">
        <v>1888</v>
      </c>
      <c r="BH3" s="551" t="s">
        <v>1978</v>
      </c>
      <c r="BI3" s="551" t="s">
        <v>1890</v>
      </c>
      <c r="BJ3" s="551" t="s">
        <v>1891</v>
      </c>
      <c r="BK3" s="551" t="s">
        <v>1979</v>
      </c>
      <c r="BL3" s="552" t="s">
        <v>1900</v>
      </c>
      <c r="BM3" s="552" t="s">
        <v>1902</v>
      </c>
      <c r="BN3" s="552" t="s">
        <v>1894</v>
      </c>
      <c r="BO3" s="552" t="s">
        <v>2328</v>
      </c>
      <c r="BP3" s="552" t="s">
        <v>1895</v>
      </c>
      <c r="BQ3" s="552" t="s">
        <v>2040</v>
      </c>
      <c r="BR3" s="552" t="s">
        <v>2041</v>
      </c>
      <c r="BS3" s="552" t="s">
        <v>1896</v>
      </c>
      <c r="BT3" s="525" t="s">
        <v>2199</v>
      </c>
      <c r="BU3" s="525" t="s">
        <v>2200</v>
      </c>
      <c r="BV3" s="525" t="s">
        <v>2201</v>
      </c>
      <c r="BW3" s="525" t="s">
        <v>2197</v>
      </c>
      <c r="BX3" s="545"/>
      <c r="BY3" s="545"/>
      <c r="BZ3" s="545"/>
      <c r="CA3" s="774"/>
      <c r="CB3" s="774"/>
      <c r="CC3" s="774"/>
      <c r="CD3" s="774"/>
      <c r="CE3" s="1174"/>
      <c r="CF3" s="1175"/>
      <c r="CG3" s="1176"/>
      <c r="CH3" s="1177"/>
      <c r="CI3" s="1175"/>
      <c r="CJ3" s="1175"/>
      <c r="CK3" s="1175"/>
      <c r="CL3" s="1175"/>
      <c r="CM3" s="1175"/>
      <c r="CN3" s="1175"/>
      <c r="CO3" s="1175"/>
      <c r="CP3" s="1175"/>
      <c r="CQ3" s="1175"/>
      <c r="CR3" s="1151"/>
      <c r="CS3" s="1180"/>
      <c r="CT3" s="1181"/>
      <c r="CU3" s="1151"/>
      <c r="CV3" s="1151" t="s">
        <v>77</v>
      </c>
      <c r="CW3" s="1166"/>
      <c r="CX3" s="1170"/>
      <c r="CY3" s="1171"/>
      <c r="CZ3" s="1163"/>
      <c r="DA3" s="1164"/>
      <c r="DB3" s="1167"/>
      <c r="DC3" s="553"/>
      <c r="DD3" s="1167" t="s">
        <v>2064</v>
      </c>
      <c r="DE3" s="1167"/>
      <c r="DF3" s="1167"/>
      <c r="DG3" s="556"/>
      <c r="DH3" s="1156"/>
      <c r="DI3" s="1159"/>
      <c r="DJ3" s="1160"/>
      <c r="DK3" s="1155"/>
      <c r="DL3" s="554" t="s">
        <v>2070</v>
      </c>
      <c r="DM3" s="332"/>
      <c r="DN3" s="332"/>
      <c r="DO3" s="554" t="s">
        <v>2069</v>
      </c>
      <c r="DP3" s="555" t="s">
        <v>1267</v>
      </c>
      <c r="DQ3" s="341"/>
      <c r="DR3" s="350"/>
      <c r="DS3" s="346"/>
      <c r="DT3" s="332"/>
      <c r="DU3" s="332"/>
      <c r="DV3" s="333"/>
      <c r="DW3" s="332"/>
      <c r="DX3" s="332"/>
      <c r="DY3" s="332"/>
      <c r="DZ3" s="332"/>
      <c r="EA3" s="503"/>
      <c r="EB3" s="503"/>
      <c r="EC3" s="503"/>
      <c r="ED3" s="503"/>
      <c r="EE3" s="224"/>
      <c r="EF3" s="225"/>
      <c r="EG3" s="225"/>
      <c r="EH3" s="225"/>
      <c r="EI3" s="225"/>
      <c r="EJ3" s="225"/>
      <c r="EK3" s="225"/>
      <c r="EL3" s="225"/>
      <c r="EM3" s="225"/>
      <c r="EN3" s="225"/>
    </row>
    <row r="4" spans="1:146" s="234" customFormat="1" ht="71.5" customHeight="1" thickBot="1">
      <c r="A4" s="275" t="s">
        <v>1762</v>
      </c>
      <c r="B4" s="276" t="s">
        <v>1764</v>
      </c>
      <c r="C4" s="276" t="s">
        <v>1766</v>
      </c>
      <c r="D4" s="276" t="s">
        <v>1768</v>
      </c>
      <c r="E4" s="277" t="s">
        <v>21</v>
      </c>
      <c r="F4" s="277" t="s">
        <v>22</v>
      </c>
      <c r="G4" s="277" t="s">
        <v>1770</v>
      </c>
      <c r="H4" s="277" t="s">
        <v>1772</v>
      </c>
      <c r="I4" s="277" t="s">
        <v>24</v>
      </c>
      <c r="J4" s="277" t="s">
        <v>1487</v>
      </c>
      <c r="K4" s="278" t="s">
        <v>1774</v>
      </c>
      <c r="L4" s="278" t="s">
        <v>1776</v>
      </c>
      <c r="M4" s="275" t="s">
        <v>1988</v>
      </c>
      <c r="N4" s="275" t="s">
        <v>1569</v>
      </c>
      <c r="O4" s="275" t="s">
        <v>1571</v>
      </c>
      <c r="P4" s="275" t="s">
        <v>1778</v>
      </c>
      <c r="Q4" s="275" t="s">
        <v>1779</v>
      </c>
      <c r="R4" s="275" t="s">
        <v>1781</v>
      </c>
      <c r="S4" s="279" t="s">
        <v>1782</v>
      </c>
      <c r="T4" s="530" t="s">
        <v>1948</v>
      </c>
      <c r="U4" s="530" t="s">
        <v>1909</v>
      </c>
      <c r="V4" s="530" t="s">
        <v>1911</v>
      </c>
      <c r="W4" s="531" t="s">
        <v>1944</v>
      </c>
      <c r="X4" s="531" t="s">
        <v>1949</v>
      </c>
      <c r="Y4" s="531" t="s">
        <v>1995</v>
      </c>
      <c r="Z4" s="531" t="s">
        <v>1997</v>
      </c>
      <c r="AA4" s="531" t="s">
        <v>1999</v>
      </c>
      <c r="AB4" s="531" t="s">
        <v>1957</v>
      </c>
      <c r="AC4" s="531" t="s">
        <v>1958</v>
      </c>
      <c r="AD4" s="569" t="s">
        <v>2313</v>
      </c>
      <c r="AE4" s="531" t="s">
        <v>1930</v>
      </c>
      <c r="AF4" s="531" t="s">
        <v>2314</v>
      </c>
      <c r="AG4" s="531" t="s">
        <v>2004</v>
      </c>
      <c r="AH4" s="531" t="s">
        <v>1786</v>
      </c>
      <c r="AI4" s="532" t="s">
        <v>2261</v>
      </c>
      <c r="AJ4" s="532" t="s">
        <v>2264</v>
      </c>
      <c r="AK4" s="532" t="s">
        <v>2266</v>
      </c>
      <c r="AL4" s="532" t="s">
        <v>2267</v>
      </c>
      <c r="AM4" s="533" t="s">
        <v>2289</v>
      </c>
      <c r="AN4" s="530" t="s">
        <v>2831</v>
      </c>
      <c r="AO4" s="530" t="s">
        <v>2834</v>
      </c>
      <c r="AP4" s="533" t="s">
        <v>60</v>
      </c>
      <c r="AQ4" s="534" t="s">
        <v>1951</v>
      </c>
      <c r="AR4" s="534" t="s">
        <v>1952</v>
      </c>
      <c r="AS4" s="534" t="s">
        <v>2006</v>
      </c>
      <c r="AT4" s="534" t="s">
        <v>2007</v>
      </c>
      <c r="AU4" s="534" t="s">
        <v>2008</v>
      </c>
      <c r="AV4" s="534" t="s">
        <v>2010</v>
      </c>
      <c r="AW4" s="535" t="s">
        <v>1905</v>
      </c>
      <c r="AX4" s="534" t="s">
        <v>2013</v>
      </c>
      <c r="AY4" s="536" t="s">
        <v>1828</v>
      </c>
      <c r="AZ4" s="537" t="s">
        <v>1829</v>
      </c>
      <c r="BA4" s="538" t="s">
        <v>2301</v>
      </c>
      <c r="BB4" s="538" t="s">
        <v>2302</v>
      </c>
      <c r="BC4" s="260" t="s">
        <v>2315</v>
      </c>
      <c r="BD4" s="260" t="s">
        <v>2317</v>
      </c>
      <c r="BE4" s="539" t="s">
        <v>2299</v>
      </c>
      <c r="BF4" s="538" t="s">
        <v>65</v>
      </c>
      <c r="BG4" s="540" t="s">
        <v>1931</v>
      </c>
      <c r="BH4" s="540" t="s">
        <v>1961</v>
      </c>
      <c r="BI4" s="541" t="s">
        <v>1932</v>
      </c>
      <c r="BJ4" s="541" t="s">
        <v>1933</v>
      </c>
      <c r="BK4" s="541" t="s">
        <v>1963</v>
      </c>
      <c r="BL4" s="541" t="s">
        <v>1810</v>
      </c>
      <c r="BM4" s="541" t="s">
        <v>1813</v>
      </c>
      <c r="BN4" s="541" t="s">
        <v>1816</v>
      </c>
      <c r="BO4" s="541" t="s">
        <v>2319</v>
      </c>
      <c r="BP4" s="542" t="s">
        <v>2017</v>
      </c>
      <c r="BQ4" s="542" t="s">
        <v>2019</v>
      </c>
      <c r="BR4" s="543" t="s">
        <v>2022</v>
      </c>
      <c r="BS4" s="543" t="s">
        <v>72</v>
      </c>
      <c r="BT4" s="544" t="s">
        <v>2181</v>
      </c>
      <c r="BU4" s="544" t="s">
        <v>2182</v>
      </c>
      <c r="BV4" s="544" t="s">
        <v>2183</v>
      </c>
      <c r="BW4" s="544" t="s">
        <v>2184</v>
      </c>
      <c r="BX4" s="545" t="s">
        <v>2270</v>
      </c>
      <c r="BY4" s="545" t="s">
        <v>2271</v>
      </c>
      <c r="BZ4" s="545" t="s">
        <v>2272</v>
      </c>
      <c r="CA4" s="775" t="s">
        <v>2735</v>
      </c>
      <c r="CB4" s="775" t="s">
        <v>2736</v>
      </c>
      <c r="CC4" s="775" t="s">
        <v>2737</v>
      </c>
      <c r="CD4" s="775" t="s">
        <v>2738</v>
      </c>
      <c r="CE4" s="289" t="s">
        <v>2046</v>
      </c>
      <c r="CF4" s="285" t="s">
        <v>2047</v>
      </c>
      <c r="CG4" s="290" t="s">
        <v>2048</v>
      </c>
      <c r="CH4" s="287" t="s">
        <v>2049</v>
      </c>
      <c r="CI4" s="284" t="s">
        <v>2050</v>
      </c>
      <c r="CJ4" s="284" t="s">
        <v>2051</v>
      </c>
      <c r="CK4" s="284" t="s">
        <v>2055</v>
      </c>
      <c r="CL4" s="284" t="s">
        <v>2002</v>
      </c>
      <c r="CM4" s="284" t="s">
        <v>2844</v>
      </c>
      <c r="CN4" s="284" t="s">
        <v>2843</v>
      </c>
      <c r="CO4" s="285" t="s">
        <v>117</v>
      </c>
      <c r="CP4" s="285" t="s">
        <v>118</v>
      </c>
      <c r="CQ4" s="285" t="s">
        <v>119</v>
      </c>
      <c r="CR4" s="298" t="s">
        <v>120</v>
      </c>
      <c r="CS4" s="284" t="s">
        <v>1481</v>
      </c>
      <c r="CT4" s="298" t="s">
        <v>121</v>
      </c>
      <c r="CU4" s="284" t="s">
        <v>122</v>
      </c>
      <c r="CV4" s="297" t="s">
        <v>2059</v>
      </c>
      <c r="CW4" s="296" t="s">
        <v>123</v>
      </c>
      <c r="CX4" s="289" t="s">
        <v>124</v>
      </c>
      <c r="CY4" s="308" t="s">
        <v>2065</v>
      </c>
      <c r="CZ4" s="305" t="s">
        <v>125</v>
      </c>
      <c r="DA4" s="296" t="s">
        <v>126</v>
      </c>
      <c r="DB4" s="310" t="s">
        <v>1852</v>
      </c>
      <c r="DC4" s="310" t="s">
        <v>2112</v>
      </c>
      <c r="DD4" s="312" t="s">
        <v>2063</v>
      </c>
      <c r="DE4" s="311" t="s">
        <v>1855</v>
      </c>
      <c r="DF4" s="311" t="s">
        <v>1856</v>
      </c>
      <c r="DG4" s="311" t="s">
        <v>2341</v>
      </c>
      <c r="DH4" s="317" t="s">
        <v>128</v>
      </c>
      <c r="DI4" s="323" t="s">
        <v>127</v>
      </c>
      <c r="DJ4" s="324" t="s">
        <v>2111</v>
      </c>
      <c r="DK4" s="320" t="s">
        <v>1965</v>
      </c>
      <c r="DL4" s="329" t="s">
        <v>78</v>
      </c>
      <c r="DM4" s="329" t="s">
        <v>1503</v>
      </c>
      <c r="DN4" s="329" t="s">
        <v>1504</v>
      </c>
      <c r="DO4" s="329" t="s">
        <v>1502</v>
      </c>
      <c r="DP4" s="338" t="s">
        <v>2071</v>
      </c>
      <c r="DQ4" s="339" t="s">
        <v>129</v>
      </c>
      <c r="DR4" s="351" t="s">
        <v>1966</v>
      </c>
      <c r="DS4" s="344" t="s">
        <v>130</v>
      </c>
      <c r="DT4" s="329" t="s">
        <v>131</v>
      </c>
      <c r="DU4" s="329" t="s">
        <v>132</v>
      </c>
      <c r="DV4" s="329" t="s">
        <v>2067</v>
      </c>
      <c r="DW4" s="329" t="s">
        <v>133</v>
      </c>
      <c r="DX4" s="329" t="s">
        <v>2074</v>
      </c>
      <c r="DY4" s="329" t="s">
        <v>2095</v>
      </c>
      <c r="DZ4" s="329" t="s">
        <v>2133</v>
      </c>
      <c r="EA4" s="486" t="s">
        <v>2252</v>
      </c>
      <c r="EB4" s="571" t="s">
        <v>2345</v>
      </c>
      <c r="EC4" s="571" t="s">
        <v>2841</v>
      </c>
      <c r="ED4" s="571" t="s">
        <v>2842</v>
      </c>
      <c r="EE4" s="232" t="s">
        <v>27</v>
      </c>
      <c r="EF4" s="233" t="s">
        <v>28</v>
      </c>
      <c r="EG4" s="233" t="s">
        <v>135</v>
      </c>
      <c r="EH4" s="233" t="s">
        <v>29</v>
      </c>
      <c r="EI4" s="233" t="s">
        <v>30</v>
      </c>
      <c r="EJ4" s="233" t="s">
        <v>31</v>
      </c>
      <c r="EK4" s="233" t="s">
        <v>32</v>
      </c>
      <c r="EL4" s="233" t="s">
        <v>33</v>
      </c>
      <c r="EM4" s="233" t="s">
        <v>34</v>
      </c>
      <c r="EN4" s="233" t="s">
        <v>35</v>
      </c>
    </row>
    <row r="5" spans="1:146" s="244" customFormat="1" ht="39.75" customHeight="1" thickBot="1">
      <c r="A5" s="235" t="s">
        <v>16</v>
      </c>
      <c r="B5" s="236" t="s">
        <v>16</v>
      </c>
      <c r="C5" s="236" t="s">
        <v>16</v>
      </c>
      <c r="D5" s="236" t="s">
        <v>18</v>
      </c>
      <c r="E5" s="237" t="s">
        <v>16</v>
      </c>
      <c r="F5" s="237" t="s">
        <v>16</v>
      </c>
      <c r="G5" s="237" t="s">
        <v>1942</v>
      </c>
      <c r="H5" s="237" t="s">
        <v>16</v>
      </c>
      <c r="I5" s="237" t="s">
        <v>17</v>
      </c>
      <c r="J5" s="237" t="s">
        <v>17</v>
      </c>
      <c r="K5" s="238" t="s">
        <v>19</v>
      </c>
      <c r="L5" s="238" t="s">
        <v>19</v>
      </c>
      <c r="M5" s="235" t="s">
        <v>17</v>
      </c>
      <c r="N5" s="235" t="s">
        <v>17</v>
      </c>
      <c r="O5" s="235" t="s">
        <v>17</v>
      </c>
      <c r="P5" s="235" t="s">
        <v>17</v>
      </c>
      <c r="Q5" s="235" t="s">
        <v>1780</v>
      </c>
      <c r="R5" s="235" t="s">
        <v>17</v>
      </c>
      <c r="S5" s="235" t="s">
        <v>17</v>
      </c>
      <c r="T5" s="239" t="s">
        <v>17</v>
      </c>
      <c r="U5" s="239" t="s">
        <v>17</v>
      </c>
      <c r="V5" s="239" t="s">
        <v>17</v>
      </c>
      <c r="W5" s="239" t="s">
        <v>17</v>
      </c>
      <c r="X5" s="239" t="s">
        <v>17</v>
      </c>
      <c r="Y5" s="239" t="s">
        <v>17</v>
      </c>
      <c r="Z5" s="239" t="s">
        <v>17</v>
      </c>
      <c r="AA5" s="239" t="s">
        <v>2000</v>
      </c>
      <c r="AB5" s="239" t="s">
        <v>2000</v>
      </c>
      <c r="AC5" s="239" t="s">
        <v>2000</v>
      </c>
      <c r="AD5" s="239" t="s">
        <v>17</v>
      </c>
      <c r="AE5" s="239" t="s">
        <v>17</v>
      </c>
      <c r="AF5" s="239" t="s">
        <v>2584</v>
      </c>
      <c r="AG5" s="239" t="s">
        <v>17</v>
      </c>
      <c r="AH5" s="239" t="s">
        <v>17</v>
      </c>
      <c r="AI5" s="239" t="s">
        <v>17</v>
      </c>
      <c r="AJ5" s="239" t="s">
        <v>17</v>
      </c>
      <c r="AK5" s="239" t="s">
        <v>17</v>
      </c>
      <c r="AL5" s="239" t="s">
        <v>17</v>
      </c>
      <c r="AM5" s="239" t="s">
        <v>17</v>
      </c>
      <c r="AN5" s="239" t="s">
        <v>17</v>
      </c>
      <c r="AO5" s="239" t="s">
        <v>17</v>
      </c>
      <c r="AP5" s="239" t="s">
        <v>18</v>
      </c>
      <c r="AQ5" s="240" t="s">
        <v>17</v>
      </c>
      <c r="AR5" s="240" t="s">
        <v>17</v>
      </c>
      <c r="AS5" s="240" t="s">
        <v>18</v>
      </c>
      <c r="AT5" s="240" t="s">
        <v>17</v>
      </c>
      <c r="AU5" s="240" t="s">
        <v>17</v>
      </c>
      <c r="AV5" s="240" t="s">
        <v>17</v>
      </c>
      <c r="AW5" s="240" t="s">
        <v>2000</v>
      </c>
      <c r="AX5" s="240" t="s">
        <v>17</v>
      </c>
      <c r="AY5" s="240" t="s">
        <v>1912</v>
      </c>
      <c r="AZ5" s="240" t="s">
        <v>1908</v>
      </c>
      <c r="BA5" s="240" t="s">
        <v>17</v>
      </c>
      <c r="BB5" s="240" t="s">
        <v>17</v>
      </c>
      <c r="BC5" s="240" t="s">
        <v>17</v>
      </c>
      <c r="BD5" s="240" t="s">
        <v>17</v>
      </c>
      <c r="BE5" s="240" t="s">
        <v>17</v>
      </c>
      <c r="BF5" s="240" t="s">
        <v>18</v>
      </c>
      <c r="BG5" s="241" t="s">
        <v>17</v>
      </c>
      <c r="BH5" s="241" t="s">
        <v>17</v>
      </c>
      <c r="BI5" s="241" t="s">
        <v>17</v>
      </c>
      <c r="BJ5" s="241" t="s">
        <v>17</v>
      </c>
      <c r="BK5" s="241" t="s">
        <v>17</v>
      </c>
      <c r="BL5" s="241" t="s">
        <v>17</v>
      </c>
      <c r="BM5" s="241" t="s">
        <v>17</v>
      </c>
      <c r="BN5" s="241" t="s">
        <v>17</v>
      </c>
      <c r="BO5" s="241" t="s">
        <v>17</v>
      </c>
      <c r="BP5" s="241" t="s">
        <v>1907</v>
      </c>
      <c r="BQ5" s="241" t="s">
        <v>17</v>
      </c>
      <c r="BR5" s="241" t="s">
        <v>52</v>
      </c>
      <c r="BS5" s="280" t="s">
        <v>18</v>
      </c>
      <c r="BT5" s="489" t="s">
        <v>52</v>
      </c>
      <c r="BU5" s="489" t="s">
        <v>52</v>
      </c>
      <c r="BV5" s="489" t="s">
        <v>17</v>
      </c>
      <c r="BW5" s="489" t="s">
        <v>52</v>
      </c>
      <c r="BX5" s="519" t="s">
        <v>17</v>
      </c>
      <c r="BY5" s="519" t="s">
        <v>17</v>
      </c>
      <c r="BZ5" s="519" t="s">
        <v>17</v>
      </c>
      <c r="CA5" s="776" t="s">
        <v>17</v>
      </c>
      <c r="CB5" s="776" t="s">
        <v>17</v>
      </c>
      <c r="CC5" s="776" t="s">
        <v>2739</v>
      </c>
      <c r="CD5" s="776" t="s">
        <v>18</v>
      </c>
      <c r="CE5" s="1152"/>
      <c r="CF5" s="1153"/>
      <c r="CG5" s="1154"/>
      <c r="CH5" s="288" t="s">
        <v>17</v>
      </c>
      <c r="CI5" s="286" t="s">
        <v>17</v>
      </c>
      <c r="CJ5" s="286" t="s">
        <v>2000</v>
      </c>
      <c r="CK5" s="286" t="s">
        <v>1906</v>
      </c>
      <c r="CL5" s="286" t="s">
        <v>1906</v>
      </c>
      <c r="CM5" s="286" t="s">
        <v>17</v>
      </c>
      <c r="CN5" s="286" t="s">
        <v>17</v>
      </c>
      <c r="CO5" s="286" t="s">
        <v>52</v>
      </c>
      <c r="CP5" s="286" t="s">
        <v>52</v>
      </c>
      <c r="CQ5" s="286" t="s">
        <v>52</v>
      </c>
      <c r="CR5" s="294" t="s">
        <v>17</v>
      </c>
      <c r="CS5" s="286" t="s">
        <v>52</v>
      </c>
      <c r="CT5" s="300" t="s">
        <v>17</v>
      </c>
      <c r="CU5" s="300"/>
      <c r="CV5" s="300"/>
      <c r="CW5" s="303"/>
      <c r="CX5" s="1152" t="s">
        <v>1603</v>
      </c>
      <c r="CY5" s="1154"/>
      <c r="CZ5" s="306" t="s">
        <v>17</v>
      </c>
      <c r="DA5" s="303" t="s">
        <v>17</v>
      </c>
      <c r="DB5" s="313" t="s">
        <v>17</v>
      </c>
      <c r="DC5" s="313" t="s">
        <v>52</v>
      </c>
      <c r="DD5" s="314" t="s">
        <v>17</v>
      </c>
      <c r="DE5" s="315" t="s">
        <v>17</v>
      </c>
      <c r="DF5" s="315" t="s">
        <v>17</v>
      </c>
      <c r="DG5" s="570" t="s">
        <v>17</v>
      </c>
      <c r="DH5" s="318" t="s">
        <v>17</v>
      </c>
      <c r="DI5" s="325" t="s">
        <v>17</v>
      </c>
      <c r="DJ5" s="326" t="s">
        <v>52</v>
      </c>
      <c r="DK5" s="321" t="s">
        <v>52</v>
      </c>
      <c r="DL5" s="334" t="s">
        <v>17</v>
      </c>
      <c r="DM5" s="335" t="s">
        <v>17</v>
      </c>
      <c r="DN5" s="335" t="s">
        <v>17</v>
      </c>
      <c r="DO5" s="335" t="s">
        <v>17</v>
      </c>
      <c r="DP5" s="335"/>
      <c r="DQ5" s="342" t="s">
        <v>52</v>
      </c>
      <c r="DR5" s="352" t="s">
        <v>52</v>
      </c>
      <c r="DS5" s="347" t="s">
        <v>52</v>
      </c>
      <c r="DT5" s="335" t="s">
        <v>52</v>
      </c>
      <c r="DU5" s="335" t="s">
        <v>52</v>
      </c>
      <c r="DV5" s="335" t="s">
        <v>17</v>
      </c>
      <c r="DW5" s="335" t="s">
        <v>17</v>
      </c>
      <c r="DX5" s="335" t="s">
        <v>17</v>
      </c>
      <c r="DY5" s="335" t="s">
        <v>17</v>
      </c>
      <c r="DZ5" s="401"/>
      <c r="EA5" s="489" t="s">
        <v>52</v>
      </c>
      <c r="EB5" s="572" t="s">
        <v>17</v>
      </c>
      <c r="EC5" s="572" t="s">
        <v>17</v>
      </c>
      <c r="ED5" s="572" t="s">
        <v>17</v>
      </c>
      <c r="EE5" s="242"/>
      <c r="EF5" s="243"/>
      <c r="EG5" s="243"/>
      <c r="EH5" s="243"/>
      <c r="EI5" s="243"/>
      <c r="EJ5" s="243"/>
      <c r="EK5" s="243"/>
      <c r="EL5" s="243"/>
      <c r="EM5" s="243"/>
      <c r="EN5" s="243"/>
      <c r="EO5" s="1149" t="s">
        <v>2691</v>
      </c>
      <c r="EP5" s="1150"/>
    </row>
    <row r="6" spans="1:146" s="210" customFormat="1" ht="21.75" customHeight="1" thickTop="1" thickBot="1">
      <c r="A6" s="205" t="s">
        <v>20</v>
      </c>
      <c r="B6" s="186" t="s">
        <v>1764</v>
      </c>
      <c r="C6" s="186" t="s">
        <v>1766</v>
      </c>
      <c r="D6" s="186" t="s">
        <v>26</v>
      </c>
      <c r="E6" s="187" t="s">
        <v>21</v>
      </c>
      <c r="F6" s="187" t="s">
        <v>22</v>
      </c>
      <c r="G6" s="187" t="s">
        <v>134</v>
      </c>
      <c r="H6" s="187" t="s">
        <v>23</v>
      </c>
      <c r="I6" s="187" t="s">
        <v>24</v>
      </c>
      <c r="J6" s="187" t="s">
        <v>25</v>
      </c>
      <c r="K6" s="188" t="s">
        <v>1774</v>
      </c>
      <c r="L6" s="188" t="s">
        <v>1776</v>
      </c>
      <c r="M6" s="205" t="s">
        <v>2042</v>
      </c>
      <c r="N6" s="205" t="s">
        <v>1831</v>
      </c>
      <c r="O6" s="205" t="s">
        <v>1832</v>
      </c>
      <c r="P6" s="205" t="s">
        <v>49</v>
      </c>
      <c r="Q6" s="205" t="s">
        <v>1984</v>
      </c>
      <c r="R6" s="205" t="s">
        <v>1833</v>
      </c>
      <c r="S6" s="205" t="s">
        <v>1834</v>
      </c>
      <c r="T6" s="206" t="s">
        <v>1985</v>
      </c>
      <c r="U6" s="206" t="s">
        <v>1835</v>
      </c>
      <c r="V6" s="206" t="s">
        <v>1836</v>
      </c>
      <c r="W6" s="184" t="s">
        <v>1986</v>
      </c>
      <c r="X6" s="184" t="s">
        <v>1839</v>
      </c>
      <c r="Y6" s="184" t="s">
        <v>1837</v>
      </c>
      <c r="Z6" s="184" t="s">
        <v>1838</v>
      </c>
      <c r="AA6" s="184" t="s">
        <v>1934</v>
      </c>
      <c r="AB6" s="184" t="s">
        <v>1840</v>
      </c>
      <c r="AC6" s="184" t="s">
        <v>1841</v>
      </c>
      <c r="AD6" s="184" t="s">
        <v>2336</v>
      </c>
      <c r="AE6" s="184" t="s">
        <v>1935</v>
      </c>
      <c r="AF6" s="184" t="s">
        <v>2337</v>
      </c>
      <c r="AG6" s="184" t="s">
        <v>2043</v>
      </c>
      <c r="AH6" s="184" t="s">
        <v>1842</v>
      </c>
      <c r="AI6" s="184" t="s">
        <v>2283</v>
      </c>
      <c r="AJ6" s="184" t="s">
        <v>2281</v>
      </c>
      <c r="AK6" s="184" t="s">
        <v>2282</v>
      </c>
      <c r="AL6" s="184" t="s">
        <v>2284</v>
      </c>
      <c r="AM6" s="184" t="s">
        <v>2830</v>
      </c>
      <c r="AN6" s="184" t="s">
        <v>2832</v>
      </c>
      <c r="AO6" s="184" t="s">
        <v>2833</v>
      </c>
      <c r="AP6" s="184" t="s">
        <v>1273</v>
      </c>
      <c r="AQ6" s="189" t="s">
        <v>1987</v>
      </c>
      <c r="AR6" s="189" t="s">
        <v>1824</v>
      </c>
      <c r="AS6" s="189" t="s">
        <v>2044</v>
      </c>
      <c r="AT6" s="189" t="s">
        <v>1822</v>
      </c>
      <c r="AU6" s="189" t="s">
        <v>1823</v>
      </c>
      <c r="AV6" s="189" t="s">
        <v>1825</v>
      </c>
      <c r="AW6" s="194" t="s">
        <v>1826</v>
      </c>
      <c r="AX6" s="195" t="s">
        <v>1827</v>
      </c>
      <c r="AY6" s="196" t="s">
        <v>1830</v>
      </c>
      <c r="AZ6" s="197" t="s">
        <v>1829</v>
      </c>
      <c r="BA6" s="190" t="s">
        <v>1936</v>
      </c>
      <c r="BB6" s="190" t="s">
        <v>1937</v>
      </c>
      <c r="BC6" s="190" t="s">
        <v>2315</v>
      </c>
      <c r="BD6" s="190" t="s">
        <v>2340</v>
      </c>
      <c r="BE6" s="485" t="s">
        <v>2342</v>
      </c>
      <c r="BF6" s="190" t="s">
        <v>1274</v>
      </c>
      <c r="BG6" s="190" t="s">
        <v>1938</v>
      </c>
      <c r="BH6" s="191" t="s">
        <v>1981</v>
      </c>
      <c r="BI6" s="191" t="s">
        <v>1982</v>
      </c>
      <c r="BJ6" s="191" t="s">
        <v>1939</v>
      </c>
      <c r="BK6" s="191" t="s">
        <v>1983</v>
      </c>
      <c r="BL6" s="191" t="s">
        <v>1843</v>
      </c>
      <c r="BM6" s="191" t="s">
        <v>1844</v>
      </c>
      <c r="BN6" s="191" t="s">
        <v>1845</v>
      </c>
      <c r="BO6" s="191" t="s">
        <v>2344</v>
      </c>
      <c r="BP6" s="191" t="s">
        <v>71</v>
      </c>
      <c r="BQ6" s="191" t="s">
        <v>1846</v>
      </c>
      <c r="BR6" s="191" t="s">
        <v>2045</v>
      </c>
      <c r="BS6" s="191" t="s">
        <v>1847</v>
      </c>
      <c r="BT6" s="488" t="s">
        <v>2190</v>
      </c>
      <c r="BU6" s="488" t="s">
        <v>2191</v>
      </c>
      <c r="BV6" s="488" t="s">
        <v>2192</v>
      </c>
      <c r="BW6" s="488" t="s">
        <v>2193</v>
      </c>
      <c r="BX6" s="487" t="s">
        <v>2270</v>
      </c>
      <c r="BY6" s="487" t="s">
        <v>2271</v>
      </c>
      <c r="BZ6" s="487" t="s">
        <v>2272</v>
      </c>
      <c r="CA6" s="778" t="s">
        <v>2740</v>
      </c>
      <c r="CB6" s="778" t="s">
        <v>2741</v>
      </c>
      <c r="CC6" s="778" t="s">
        <v>2742</v>
      </c>
      <c r="CD6" s="778" t="s">
        <v>2743</v>
      </c>
      <c r="CE6" s="291" t="s">
        <v>2334</v>
      </c>
      <c r="CF6" s="292" t="s">
        <v>2335</v>
      </c>
      <c r="CG6" s="293" t="s">
        <v>2048</v>
      </c>
      <c r="CH6" s="281" t="s">
        <v>2052</v>
      </c>
      <c r="CI6" s="281" t="s">
        <v>2053</v>
      </c>
      <c r="CJ6" s="281" t="s">
        <v>2054</v>
      </c>
      <c r="CK6" s="281" t="s">
        <v>2338</v>
      </c>
      <c r="CL6" s="281" t="s">
        <v>2339</v>
      </c>
      <c r="CM6" s="281" t="s">
        <v>2828</v>
      </c>
      <c r="CN6" s="281" t="s">
        <v>2829</v>
      </c>
      <c r="CO6" s="282" t="s">
        <v>1268</v>
      </c>
      <c r="CP6" s="283" t="s">
        <v>1269</v>
      </c>
      <c r="CQ6" s="295" t="s">
        <v>1270</v>
      </c>
      <c r="CR6" s="299" t="s">
        <v>2058</v>
      </c>
      <c r="CS6" s="301" t="s">
        <v>2099</v>
      </c>
      <c r="CT6" s="299" t="s">
        <v>1282</v>
      </c>
      <c r="CU6" s="302" t="s">
        <v>2057</v>
      </c>
      <c r="CV6" s="354" t="s">
        <v>77</v>
      </c>
      <c r="CW6" s="304" t="s">
        <v>1271</v>
      </c>
      <c r="CX6" s="291" t="s">
        <v>1522</v>
      </c>
      <c r="CY6" s="293" t="s">
        <v>2060</v>
      </c>
      <c r="CZ6" s="307" t="s">
        <v>1272</v>
      </c>
      <c r="DA6" s="309" t="s">
        <v>126</v>
      </c>
      <c r="DB6" s="316" t="s">
        <v>1853</v>
      </c>
      <c r="DC6" s="316" t="s">
        <v>2112</v>
      </c>
      <c r="DD6" s="355" t="s">
        <v>2064</v>
      </c>
      <c r="DE6" s="316" t="s">
        <v>1854</v>
      </c>
      <c r="DF6" s="316" t="s">
        <v>2343</v>
      </c>
      <c r="DG6" s="316" t="s">
        <v>2839</v>
      </c>
      <c r="DH6" s="319" t="s">
        <v>128</v>
      </c>
      <c r="DI6" s="327" t="s">
        <v>127</v>
      </c>
      <c r="DJ6" s="328" t="s">
        <v>1523</v>
      </c>
      <c r="DK6" s="322" t="s">
        <v>1493</v>
      </c>
      <c r="DL6" s="336" t="s">
        <v>1494</v>
      </c>
      <c r="DM6" s="337" t="s">
        <v>1503</v>
      </c>
      <c r="DN6" s="337" t="s">
        <v>1504</v>
      </c>
      <c r="DO6" s="336" t="s">
        <v>1505</v>
      </c>
      <c r="DP6" s="356" t="s">
        <v>2068</v>
      </c>
      <c r="DQ6" s="343" t="s">
        <v>1275</v>
      </c>
      <c r="DR6" s="353" t="s">
        <v>1276</v>
      </c>
      <c r="DS6" s="348" t="s">
        <v>1277</v>
      </c>
      <c r="DT6" s="337" t="s">
        <v>1278</v>
      </c>
      <c r="DU6" s="337" t="s">
        <v>132</v>
      </c>
      <c r="DV6" s="337" t="s">
        <v>2066</v>
      </c>
      <c r="DW6" s="337" t="s">
        <v>1279</v>
      </c>
      <c r="DX6" s="337" t="s">
        <v>2073</v>
      </c>
      <c r="DY6" s="376" t="s">
        <v>2095</v>
      </c>
      <c r="DZ6" s="376" t="s">
        <v>2133</v>
      </c>
      <c r="EA6" s="488" t="s">
        <v>2251</v>
      </c>
      <c r="EB6" s="573" t="s">
        <v>2346</v>
      </c>
      <c r="EC6" s="573" t="s">
        <v>2347</v>
      </c>
      <c r="ED6" s="573" t="s">
        <v>2840</v>
      </c>
      <c r="EE6" s="207" t="s">
        <v>27</v>
      </c>
      <c r="EF6" s="207" t="s">
        <v>28</v>
      </c>
      <c r="EG6" s="207" t="s">
        <v>135</v>
      </c>
      <c r="EH6" s="207" t="s">
        <v>29</v>
      </c>
      <c r="EI6" s="207" t="s">
        <v>30</v>
      </c>
      <c r="EJ6" s="207" t="s">
        <v>31</v>
      </c>
      <c r="EK6" s="207" t="s">
        <v>32</v>
      </c>
      <c r="EL6" s="207" t="s">
        <v>33</v>
      </c>
      <c r="EM6" s="208" t="s">
        <v>34</v>
      </c>
      <c r="EN6" s="209" t="s">
        <v>35</v>
      </c>
      <c r="EO6" s="660" t="s">
        <v>2621</v>
      </c>
      <c r="EP6" s="660" t="s">
        <v>2622</v>
      </c>
    </row>
    <row r="7" spans="1:146" hidden="1">
      <c r="A7" s="725" t="s">
        <v>2763</v>
      </c>
      <c r="B7" s="725" t="s">
        <v>309</v>
      </c>
      <c r="C7" s="726" t="s">
        <v>309</v>
      </c>
      <c r="D7" s="726"/>
      <c r="E7" s="726" t="s">
        <v>37</v>
      </c>
      <c r="F7" s="726" t="s">
        <v>195</v>
      </c>
      <c r="G7" s="591" t="str">
        <f>VLOOKUP(WWWW[[#This Row],[Site Name]],SiteDB6[[Site Name]:[Location Type]],8,FALSE)</f>
        <v>Camp</v>
      </c>
      <c r="H7" s="726" t="s">
        <v>3030</v>
      </c>
      <c r="I7" s="728">
        <v>12</v>
      </c>
      <c r="J7" s="728">
        <v>60</v>
      </c>
      <c r="K7" s="729"/>
      <c r="L7" s="730"/>
      <c r="M7" s="728"/>
      <c r="N7" s="728"/>
      <c r="O7" s="728"/>
      <c r="P7" s="728"/>
      <c r="Q7" s="731"/>
      <c r="R7" s="728"/>
      <c r="S7" s="728"/>
      <c r="T7" s="448"/>
      <c r="U7" s="728"/>
      <c r="V7" s="728"/>
      <c r="W7" s="728"/>
      <c r="X7" s="728"/>
      <c r="Y7" s="728"/>
      <c r="Z7" s="728"/>
      <c r="AA7" s="728"/>
      <c r="AB7" s="728"/>
      <c r="AC7" s="728"/>
      <c r="AD7" s="728" t="s">
        <v>3189</v>
      </c>
      <c r="AE7" s="728"/>
      <c r="AF7" s="728"/>
      <c r="AG7" s="728"/>
      <c r="AH7" s="728"/>
      <c r="AI7" s="728"/>
      <c r="AJ7" s="728"/>
      <c r="AK7" s="728"/>
      <c r="AL7" s="728"/>
      <c r="AM7" s="728"/>
      <c r="AN7" s="728"/>
      <c r="AO7" s="728"/>
      <c r="AP7" s="732"/>
      <c r="AQ7" s="728"/>
      <c r="AR7" s="728"/>
      <c r="AS7" s="733"/>
      <c r="AT7" s="728"/>
      <c r="AU7" s="728"/>
      <c r="AV7" s="728"/>
      <c r="AW7" s="728"/>
      <c r="AX7" s="728"/>
      <c r="AY7" s="425" t="s">
        <v>140</v>
      </c>
      <c r="AZ7" s="860" t="s">
        <v>140</v>
      </c>
      <c r="BA7" s="728"/>
      <c r="BB7" s="728"/>
      <c r="BC7" s="728"/>
      <c r="BD7" s="448"/>
      <c r="BE7" s="448"/>
      <c r="BF7" s="727"/>
      <c r="BG7" s="728">
        <v>1</v>
      </c>
      <c r="BH7" s="728"/>
      <c r="BI7" s="728"/>
      <c r="BJ7" s="728">
        <v>1</v>
      </c>
      <c r="BK7" s="728"/>
      <c r="BL7" s="728"/>
      <c r="BM7" s="728"/>
      <c r="BN7" s="728">
        <v>6</v>
      </c>
      <c r="BO7" s="728">
        <v>5</v>
      </c>
      <c r="BP7" s="727"/>
      <c r="BQ7" s="734"/>
      <c r="BR7" s="733"/>
      <c r="BS7" s="727"/>
      <c r="BT7" s="423"/>
      <c r="BU7" s="423"/>
      <c r="BV7" s="425"/>
      <c r="BW7" s="423"/>
      <c r="BX7" s="448"/>
      <c r="BY7" s="448"/>
      <c r="BZ7" s="448"/>
      <c r="CA7" s="448"/>
      <c r="CB7" s="448"/>
      <c r="CC7" s="777"/>
      <c r="CD7" s="448"/>
      <c r="CE7" s="735" t="str">
        <f>IFERROR(WWWW[[#This Row],['#_Water sources passed]]/WWWW[[#This Row],['#_Water sources tested for fecal coliform ]],"no test")</f>
        <v>no test</v>
      </c>
      <c r="CF7" s="733" t="str">
        <f>IFERROR(WWWW[[#This Row],['#_Household passed]]/WWWW[[#This Row],['#_Household water samples tested for fecal coliform]],"no test")</f>
        <v>no test</v>
      </c>
      <c r="CG7" s="734" t="str">
        <f>IF(AND(WWWW[[#This Row],[% of water sources passed]]="no test",WWWW[[#This Row],[% Household passed]]="no test"),"No Test","Tested")</f>
        <v>No Test</v>
      </c>
      <c r="CH7" s="734">
        <f>WWWW[[#This Row],['#_Constructed/existing protected hand dug well]]-WWWW[[#This Row],['#_Non-functional protected hand dug well]]</f>
        <v>0</v>
      </c>
      <c r="CI7" s="734">
        <f>(WWWW[[#This Row],['#_Constructed/Existing tube wells/boreholes/handpumps_WASH_agency]]+WWWW[[#This Row],['#_Non-Cluster partner water tube-wells/boreholes/handpumps]])-WWWW[[#This Row],['#_Non-functional tube wells/boreholes/handpumps]]</f>
        <v>0</v>
      </c>
      <c r="CJ7" s="734">
        <f>WWWW[[#This Row],['#_Constructed/Existingwater storage tank with gravity fed reticulation system]]-WWWW[[#This Row],['#_Non-functional storage tank gravity fed reticulation system]]</f>
        <v>0</v>
      </c>
      <c r="CK7" s="734" t="e">
        <f>(WWWW[[#This Row],['#_Water_Liters_supplied_by_Water boating or water trucking]]/90)/15</f>
        <v>#VALUE!</v>
      </c>
      <c r="CL7" s="734">
        <f>WWWW[[#This Row],['#_Water_Liters_from_Constructed/Existing water distribution system from river or natural spring]]/90/15</f>
        <v>0</v>
      </c>
      <c r="CM7" s="424">
        <f>IF(WWWW[[#This Row],['#_of water points in TLS/CFS]]*500&gt;WWWW[[#This Row],[Total PoP ]],WWWW[[#This Row],[Total PoP ]],WWWW[[#This Row],['#_of water points in TLS/CFS]]*500)</f>
        <v>0</v>
      </c>
      <c r="CN7" s="424">
        <f>IF(WWWW[[#This Row],['#_of water points in THF]]*500&gt;WWWW[[#This Row],[Total PoP ]],WWWW[[#This Row],[Total PoP ]],WWWW[[#This Row],['#_of water points in THF]]*500)</f>
        <v>0</v>
      </c>
      <c r="CO7" s="735" t="e">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#VALUE!</v>
      </c>
      <c r="CP7" s="735" t="e">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#VALUE!</v>
      </c>
      <c r="CQ7" s="733" t="e">
        <f>IF(WWWW[[#This Row],[Location Type 1]]="Village",WWWW[[#This Row],[Access to safe drinking water for Village]],WWWW[[#This Row],[Access to safe drinking water for Camp]])</f>
        <v>#VALUE!</v>
      </c>
      <c r="CR7" s="731" t="e">
        <f>WWWW[[#This Row],[%Equitable and continuous access to sufficient quantity of safe drinking water]]*WWWW[[#This Row],[Total PoP ]]</f>
        <v>#VALUE!</v>
      </c>
      <c r="CS7" s="733">
        <f>IF((WWWW[[#This Row],['#_Constructed/Existing protected/fenced ponds]]*250)/WWWW[[#This Row],[Total PoP ]]&gt;1,1,(WWWW[[#This Row],['#_Constructed/Existing protected/fenced ponds]]*250)/WWWW[[#This Row],[Total PoP ]])</f>
        <v>0</v>
      </c>
      <c r="CT7" s="731">
        <f>WWWW[[#This Row],[% Access to unimproved water points]]*WWWW[[#This Row],[Total PoP ]]</f>
        <v>0</v>
      </c>
      <c r="CU7" s="733" t="e">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#VALUE!</v>
      </c>
      <c r="CV7" s="731" t="e">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#VALUE!</v>
      </c>
      <c r="CW7" s="731" t="e">
        <f>WWWW[[#This Row],[HRP1]]/500</f>
        <v>#VALUE!</v>
      </c>
      <c r="CX7" s="736" t="e">
        <f>1-WWWW[[#This Row],[% Equitable and continuous access to sufficient quantity of domestic water]]</f>
        <v>#VALUE!</v>
      </c>
      <c r="CY7" s="731" t="e">
        <f>WWWW[[#This Row],[%equitable and continuous access to sufficient quantity of safe drinking and domestic water''s GAP]]*WWWW[[#This Row],[Total PoP ]]</f>
        <v>#VALUE!</v>
      </c>
      <c r="CZ7" s="734" t="e">
        <f>IF(WWWW[[#This Row],[Total required water points]]-WWWW[[#This Row],['#Water points coverage]]&lt;0,0,WWWW[[#This Row],[Total required water points]]-WWWW[[#This Row],['#Water points coverage]])</f>
        <v>#VALUE!</v>
      </c>
      <c r="DA7" s="734">
        <f>ROUND(IF(WWWW[[#This Row],[Total PoP ]]&lt;500,1,WWWW[[#This Row],[Total PoP ]]/500),0)</f>
        <v>1</v>
      </c>
      <c r="DB7" s="734">
        <f>(WWWW[[#This Row],['#_Constructed latrines_by_WASHAgencies]]+WWWW[[#This Row],['#_Non Cluster partner latrines]])-WWWW[[#This Row],['#_Non-functional latrines]]</f>
        <v>0</v>
      </c>
      <c r="DC7" s="631">
        <f>WWWW[[#This Row],[HRP2]]/WWWW[[#This Row],[Total PoP ]]</f>
        <v>0</v>
      </c>
      <c r="DD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 s="424">
        <f>IF(WWWW[[#This Row],['# of functional latrines in THF supported by WASH partners during the reporting period2]]="",0,WWWW[[#This Row],['# of functional latrines in THF supported by WASH partners during the reporting period2]]*50)</f>
        <v>0</v>
      </c>
      <c r="DH7" s="734">
        <f>ROUND(IF(WWWW[[#This Row],[Location Type 1]]="camp",WWWW[[#This Row],[Total PoP ]]/20,IF(WWWW[[#This Row],[Location Type 1]]="Temporary Location",WWWW[[#This Row],[Total PoP ]]/50,(WWWW[[#This Row],[Total PoP ]]/6))),0)</f>
        <v>3</v>
      </c>
      <c r="DI7" s="734">
        <f>IF(WWWW[[#This Row],[Total required Latrines]]-(WWWW[[#This Row],['#_Constructed latrines_by_WASHAgencies]]+WWWW[[#This Row],['#_Non Cluster partner latrines]])&lt;0,0,WWWW[[#This Row],[Total required Latrines]]-(WWWW[[#This Row],['#_Constructed latrines_by_WASHAgencies]]+WWWW[[#This Row],['#_Non Cluster partner latrines]]))</f>
        <v>3</v>
      </c>
      <c r="DJ7" s="736">
        <f>1-WWWW[[#This Row],[% people access to functioning Latrine]]</f>
        <v>1</v>
      </c>
      <c r="DK7" s="735">
        <f>IF(OR(WWWW[[#This Row],['#_Non-functional latrines]]="",WWWW[[#This Row],['#_Non-functional latrines]]=0),0,WWWW[[#This Row],['#_Non-functional latrines]]/(WWWW[[#This Row],['#_Constructed latrines_by_WASHAgencies]]+WWWW[[#This Row],['#_Non Cluster partner latrines]]))</f>
        <v>0</v>
      </c>
      <c r="DL7" s="731">
        <f>IF(500*(WWWW[[#This Row],['#_male hygiene promoters]]+WWWW[[#This Row],['#_female hygiene promoters]])&gt;WWWW[[#This Row],[Total PoP ]],WWWW[[#This Row],[Total PoP ]],500*(WWWW[[#This Row],['#_male hygiene promoters]]+WWWW[[#This Row],['#_female hygiene promoters]]))</f>
        <v>0</v>
      </c>
      <c r="DM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7" s="734">
        <f>IF(WWWW[[#This Row],['# People with access to soap]]&gt;WWWW[[#This Row],['# People with access to Sanity Pads]],WWWW[[#This Row],['# People with access to soap]],WWWW[[#This Row],['# People with access to Sanity Pads]])</f>
        <v>30</v>
      </c>
      <c r="DP7" s="734">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7" s="736">
        <f>IF(WWWW[[#This Row],[HRP3]]/WWWW[[#This Row],[Total PoP ]]&gt;1,1,WWWW[[#This Row],[HRP3]]/WWWW[[#This Row],[Total PoP ]])</f>
        <v>0.5</v>
      </c>
      <c r="DR7" s="735">
        <f>1-WWWW[[#This Row],[Hygiene Coverage%]]</f>
        <v>0.5</v>
      </c>
      <c r="DS7" s="733">
        <f>WWWW[[#This Row],['# people reached by regular dedicated hygiene promotion_5]]/WWWW[[#This Row],[Total PoP ]]</f>
        <v>0</v>
      </c>
      <c r="DT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0.41666666666666669</v>
      </c>
      <c r="DV7" s="734">
        <f>WWWW[[#This Row],['#_Constructed/Existing hand washing stations]]-WWWW[[#This Row],['#_Non-Functional_hand_washing_stations]]</f>
        <v>1</v>
      </c>
      <c r="DW7" s="731">
        <f>IF(WWWW[[#This Row],['# Functional hand washing stations during reporting period]]*20&gt;WWWW[[#This Row],[Total HH]],WWWW[[#This Row],[Total HH]],WWWW[[#This Row],['# Functional hand washing stations during reporting period]]*20)</f>
        <v>12</v>
      </c>
      <c r="DX7" s="731">
        <f>IF(WWWW[[#This Row],[Is sufficient soap available for TLS? (Yes/No)]]="yes",WWWW[[#This Row],['#_Constructed/Existing hand washing stations at TLS/CFS/THF]],0)</f>
        <v>0</v>
      </c>
      <c r="DY7" s="428">
        <f>IF(WWWW[[#This Row],['# Functional hand washing stations during reporting period]]*100&gt;WWWW[[#This Row],[Total PoP ]],WWWW[[#This Row],[Total PoP ]],WWWW[[#This Row],['# Functional hand washing stations during reporting period]]*100)</f>
        <v>60</v>
      </c>
      <c r="DZ7" s="428" t="str">
        <f>IF(OR(WWWW[[#This Row],['#_students at TLS_CFS]]="",WWWW[[#This Row],['#_students at TLS_CFS]]=0),"No","Yes")</f>
        <v>No</v>
      </c>
      <c r="EA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 s="727" t="str">
        <f>VLOOKUP(WWWW[[#This Row],[Site Name]],SiteDB6[[Site Name]:[CCCM Management]],6,FALSE)</f>
        <v>Yes</v>
      </c>
      <c r="EF7" s="727" t="str">
        <f>VLOOKUP(WWWW[[#This Row],[Site Name]],SiteDB6[[Site Name]:[CCCM Focal Agency]],7,FALSE)</f>
        <v>Shalom</v>
      </c>
      <c r="EG7" s="727" t="str">
        <f>VLOOKUP(WWWW[[#This Row],[Site Name]],SiteDB6[[Site Name]:[Location Type 1]],9,FALSE)</f>
        <v>Camp</v>
      </c>
      <c r="EH7" s="727" t="str">
        <f>VLOOKUP(WWWW[[#This Row],[Site Name]],SiteDB6[[Site Name]:[Type of Accommodation]],10,FALSE)</f>
        <v>Camp</v>
      </c>
      <c r="EI7" s="727" t="str">
        <f>VLOOKUP(WWWW[[#This Row],[Site Name]],SiteDB6[[Site Name]:[Ethnic or GCA/NGCA]],11,FALSE)</f>
        <v>GCA</v>
      </c>
      <c r="EJ7" s="727">
        <f>VLOOKUP(WWWW[[#This Row],[Site Name]],SiteDB6[[Site Name]:[Lat]],12,FALSE)</f>
        <v>24.154199999999999</v>
      </c>
      <c r="EK7" s="727">
        <f>VLOOKUP(WWWW[[#This Row],[Site Name]],SiteDB6[[Site Name]:[Long]],13,FALSE)</f>
        <v>97.160600000000002</v>
      </c>
      <c r="EL7" s="727" t="str">
        <f>VLOOKUP(WWWW[[#This Row],[Site Name]],SiteDB6[[Site Name]:[Pcode]],3,FALSE)</f>
        <v>MMR001CMP281</v>
      </c>
      <c r="EM7" s="732" t="str">
        <f t="shared" ref="EM7:EM70" si="0">IF(C7="none","Notcovered","Covered")</f>
        <v>Notcovered</v>
      </c>
      <c r="EN7" s="732"/>
      <c r="EO7" s="727">
        <f>VLOOKUP(WWWW[[#This Row],[Site Name]],SiteDB6[[Site Name]:[Pop
(Kachin/Shan-CCCM as of July 2021)]],16,FALSE)</f>
        <v>97</v>
      </c>
      <c r="EP7" s="727">
        <f>VLOOKUP(WWWW[[#This Row],[Site Name]],SiteDB6[[Site Name]:[Pop
(Kachin/Shan-CCCM as of July 2021)]],17,FALSE)</f>
        <v>480</v>
      </c>
    </row>
    <row r="8" spans="1:146" hidden="1">
      <c r="A8" s="725" t="s">
        <v>2763</v>
      </c>
      <c r="B8" s="369" t="s">
        <v>309</v>
      </c>
      <c r="C8" s="369" t="s">
        <v>309</v>
      </c>
      <c r="D8" s="726"/>
      <c r="E8" s="726" t="s">
        <v>37</v>
      </c>
      <c r="F8" s="726" t="s">
        <v>195</v>
      </c>
      <c r="G8" s="591" t="str">
        <f>VLOOKUP(WWWW[[#This Row],[Site Name]],SiteDB6[[Site Name]:[Location Type]],8,FALSE)</f>
        <v>Camp_not registered</v>
      </c>
      <c r="H8" s="726" t="s">
        <v>2203</v>
      </c>
      <c r="I8" s="728"/>
      <c r="J8" s="728"/>
      <c r="K8" s="729">
        <v>43833</v>
      </c>
      <c r="L8" s="730">
        <v>44620</v>
      </c>
      <c r="M8" s="728"/>
      <c r="N8" s="728"/>
      <c r="O8" s="728"/>
      <c r="P8" s="728"/>
      <c r="Q8" s="731" t="s">
        <v>41</v>
      </c>
      <c r="R8" s="728"/>
      <c r="S8" s="728"/>
      <c r="T8" s="448"/>
      <c r="U8" s="728"/>
      <c r="V8" s="728"/>
      <c r="W8" s="728"/>
      <c r="X8" s="728"/>
      <c r="Y8" s="728"/>
      <c r="Z8" s="728"/>
      <c r="AA8" s="728"/>
      <c r="AB8" s="728"/>
      <c r="AC8" s="728"/>
      <c r="AD8" s="728"/>
      <c r="AE8" s="728"/>
      <c r="AF8" s="728"/>
      <c r="AG8" s="728"/>
      <c r="AH8" s="728"/>
      <c r="AI8" s="728"/>
      <c r="AJ8" s="728"/>
      <c r="AK8" s="728"/>
      <c r="AL8" s="728"/>
      <c r="AM8" s="728"/>
      <c r="AN8" s="728"/>
      <c r="AO8" s="728"/>
      <c r="AP8" s="732"/>
      <c r="AQ8" s="728">
        <v>8</v>
      </c>
      <c r="AR8" s="728"/>
      <c r="AS8" s="733"/>
      <c r="AT8" s="728"/>
      <c r="AU8" s="728"/>
      <c r="AV8" s="728"/>
      <c r="AW8" s="728"/>
      <c r="AX8" s="728"/>
      <c r="AY8" s="727" t="s">
        <v>41</v>
      </c>
      <c r="AZ8" s="732" t="s">
        <v>140</v>
      </c>
      <c r="BA8" s="728"/>
      <c r="BB8" s="728"/>
      <c r="BC8" s="728"/>
      <c r="BD8" s="448"/>
      <c r="BE8" s="448"/>
      <c r="BF8" s="727"/>
      <c r="BG8" s="728">
        <v>1</v>
      </c>
      <c r="BH8" s="728"/>
      <c r="BI8" s="728"/>
      <c r="BJ8" s="728">
        <v>3</v>
      </c>
      <c r="BK8" s="728"/>
      <c r="BL8" s="728"/>
      <c r="BM8" s="728"/>
      <c r="BN8" s="728">
        <v>41</v>
      </c>
      <c r="BO8" s="728">
        <v>85</v>
      </c>
      <c r="BP8" s="727"/>
      <c r="BQ8" s="734"/>
      <c r="BR8" s="733"/>
      <c r="BS8" s="727"/>
      <c r="BT8" s="423"/>
      <c r="BU8" s="423"/>
      <c r="BV8" s="425"/>
      <c r="BW8" s="423"/>
      <c r="BX8" s="448"/>
      <c r="BY8" s="448"/>
      <c r="BZ8" s="448"/>
      <c r="CA8" s="448"/>
      <c r="CB8" s="448"/>
      <c r="CC8" s="777"/>
      <c r="CD8" s="448"/>
      <c r="CE8" s="735" t="str">
        <f>IFERROR(WWWW[[#This Row],['#_Water sources passed]]/WWWW[[#This Row],['#_Water sources tested for fecal coliform ]],"no test")</f>
        <v>no test</v>
      </c>
      <c r="CF8" s="733" t="str">
        <f>IFERROR(WWWW[[#This Row],['#_Household passed]]/WWWW[[#This Row],['#_Household water samples tested for fecal coliform]],"no test")</f>
        <v>no test</v>
      </c>
      <c r="CG8" s="734" t="str">
        <f>IF(AND(WWWW[[#This Row],[% of water sources passed]]="no test",WWWW[[#This Row],[% Household passed]]="no test"),"No Test","Tested")</f>
        <v>No Test</v>
      </c>
      <c r="CH8" s="734">
        <f>WWWW[[#This Row],['#_Constructed/existing protected hand dug well]]-WWWW[[#This Row],['#_Non-functional protected hand dug well]]</f>
        <v>0</v>
      </c>
      <c r="CI8" s="734">
        <f>(WWWW[[#This Row],['#_Constructed/Existing tube wells/boreholes/handpumps_WASH_agency]]+WWWW[[#This Row],['#_Non-Cluster partner water tube-wells/boreholes/handpumps]])-WWWW[[#This Row],['#_Non-functional tube wells/boreholes/handpumps]]</f>
        <v>0</v>
      </c>
      <c r="CJ8" s="734">
        <f>WWWW[[#This Row],['#_Constructed/Existingwater storage tank with gravity fed reticulation system]]-WWWW[[#This Row],['#_Non-functional storage tank gravity fed reticulation system]]</f>
        <v>0</v>
      </c>
      <c r="CK8" s="734">
        <f>(WWWW[[#This Row],['#_Water_Liters_supplied_by_Water boating or water trucking]]/90)/15</f>
        <v>0</v>
      </c>
      <c r="CL8" s="734">
        <f>WWWW[[#This Row],['#_Water_Liters_from_Constructed/Existing water distribution system from river or natural spring]]/90/15</f>
        <v>0</v>
      </c>
      <c r="CM8" s="424">
        <f>IF(WWWW[[#This Row],['#_of water points in TLS/CFS]]*500&gt;WWWW[[#This Row],[Total PoP ]],WWWW[[#This Row],[Total PoP ]],WWWW[[#This Row],['#_of water points in TLS/CFS]]*500)</f>
        <v>0</v>
      </c>
      <c r="CN8" s="424">
        <f>IF(WWWW[[#This Row],['#_of water points in THF]]*500&gt;WWWW[[#This Row],[Total PoP ]],WWWW[[#This Row],[Total PoP ]],WWWW[[#This Row],['#_of water points in THF]]*500)</f>
        <v>0</v>
      </c>
      <c r="CO8" s="735"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8" s="735"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8" s="733" t="str">
        <f>IF(WWWW[[#This Row],[Location Type 1]]="Village",WWWW[[#This Row],[Access to safe drinking water for Village]],WWWW[[#This Row],[Access to safe drinking water for Camp]])</f>
        <v/>
      </c>
      <c r="CR8" s="731"/>
      <c r="CS8" s="733"/>
      <c r="CT8" s="731">
        <f>WWWW[[#This Row],[% Access to unimproved water points]]*WWWW[[#This Row],[Total PoP ]]</f>
        <v>0</v>
      </c>
      <c r="CU8" s="733"/>
      <c r="CV8" s="731"/>
      <c r="CW8" s="731">
        <f>WWWW[[#This Row],[HRP1]]/500</f>
        <v>0</v>
      </c>
      <c r="CX8" s="736"/>
      <c r="CY8" s="731"/>
      <c r="CZ8" s="734">
        <f>IF(WWWW[[#This Row],[Total required water points]]-WWWW[[#This Row],['#Water points coverage]]&lt;0,0,WWWW[[#This Row],[Total required water points]]-WWWW[[#This Row],['#Water points coverage]])</f>
        <v>1</v>
      </c>
      <c r="DA8" s="734">
        <f>ROUND(IF(WWWW[[#This Row],[Total PoP ]]&lt;500,1,WWWW[[#This Row],[Total PoP ]]/500),0)</f>
        <v>1</v>
      </c>
      <c r="DB8" s="734">
        <f>(WWWW[[#This Row],['#_Constructed latrines_by_WASHAgencies]]+WWWW[[#This Row],['#_Non Cluster partner latrines]])-WWWW[[#This Row],['#_Non-functional latrines]]</f>
        <v>8</v>
      </c>
      <c r="DC8" s="631"/>
      <c r="DD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 s="424">
        <f>IF(WWWW[[#This Row],['# of functional latrines in THF supported by WASH partners during the reporting period2]]="",0,WWWW[[#This Row],['# of functional latrines in THF supported by WASH partners during the reporting period2]]*50)</f>
        <v>0</v>
      </c>
      <c r="DH8" s="734">
        <f>ROUND(IF(WWWW[[#This Row],[Location Type 1]]="camp",WWWW[[#This Row],[Total PoP ]]/20,IF(WWWW[[#This Row],[Location Type 1]]="Temporary Location",WWWW[[#This Row],[Total PoP ]]/50,(WWWW[[#This Row],[Total PoP ]]/6))),0)</f>
        <v>0</v>
      </c>
      <c r="DI8" s="734">
        <f>IF(WWWW[[#This Row],[Total required Latrines]]-(WWWW[[#This Row],['#_Constructed latrines_by_WASHAgencies]]+WWWW[[#This Row],['#_Non Cluster partner latrines]])&lt;0,0,WWWW[[#This Row],[Total required Latrines]]-(WWWW[[#This Row],['#_Constructed latrines_by_WASHAgencies]]+WWWW[[#This Row],['#_Non Cluster partner latrines]]))</f>
        <v>0</v>
      </c>
      <c r="DJ8" s="736"/>
      <c r="DK8" s="735"/>
      <c r="DL8" s="731">
        <f>IF(500*(WWWW[[#This Row],['#_male hygiene promoters]]+WWWW[[#This Row],['#_female hygiene promoters]])&gt;WWWW[[#This Row],[Total PoP ]],WWWW[[#This Row],[Total PoP ]],500*(WWWW[[#This Row],['#_male hygiene promoters]]+WWWW[[#This Row],['#_female hygiene promoters]]))</f>
        <v>0</v>
      </c>
      <c r="DM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8" s="734">
        <f>IF(WWWW[[#This Row],['# People with access to soap]]&gt;WWWW[[#This Row],['# People with access to Sanity Pads]],WWWW[[#This Row],['# People with access to soap]],WWWW[[#This Row],['# People with access to Sanity Pads]])</f>
        <v>0</v>
      </c>
      <c r="DP8" s="73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8" s="736"/>
      <c r="DR8" s="735"/>
      <c r="DS8" s="733"/>
      <c r="DT8" s="735"/>
      <c r="DU8" s="733"/>
      <c r="DV8" s="734">
        <f>WWWW[[#This Row],['#_Constructed/Existing hand washing stations]]-WWWW[[#This Row],['#_Non-Functional_hand_washing_stations]]</f>
        <v>1</v>
      </c>
      <c r="DW8" s="731">
        <f>IF(WWWW[[#This Row],['# Functional hand washing stations during reporting period]]*20&gt;WWWW[[#This Row],[Total HH]],WWWW[[#This Row],[Total HH]],WWWW[[#This Row],['# Functional hand washing stations during reporting period]]*20)</f>
        <v>0</v>
      </c>
      <c r="DX8" s="731">
        <f>IF(WWWW[[#This Row],[Is sufficient soap available for TLS? (Yes/No)]]="yes",WWWW[[#This Row],['#_Constructed/Existing hand washing stations at TLS/CFS/THF]],0)</f>
        <v>0</v>
      </c>
      <c r="DY8" s="428">
        <f>IF(WWWW[[#This Row],['# Functional hand washing stations during reporting period]]*100&gt;WWWW[[#This Row],[Total PoP ]],WWWW[[#This Row],[Total PoP ]],WWWW[[#This Row],['# Functional hand washing stations during reporting period]]*100)</f>
        <v>0</v>
      </c>
      <c r="DZ8" s="428" t="str">
        <f>IF(OR(WWWW[[#This Row],['#_students at TLS_CFS]]="",WWWW[[#This Row],['#_students at TLS_CFS]]=0),"No","Yes")</f>
        <v>No</v>
      </c>
      <c r="EA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 s="727">
        <f>VLOOKUP(WWWW[[#This Row],[Site Name]],SiteDB6[[Site Name]:[CCCM Management]],6,FALSE)</f>
        <v>0</v>
      </c>
      <c r="EF8" s="727">
        <f>VLOOKUP(WWWW[[#This Row],[Site Name]],SiteDB6[[Site Name]:[CCCM Focal Agency]],7,FALSE)</f>
        <v>0</v>
      </c>
      <c r="EG8" s="727" t="str">
        <f>VLOOKUP(WWWW[[#This Row],[Site Name]],SiteDB6[[Site Name]:[Location Type 1]],9,FALSE)</f>
        <v>Camp</v>
      </c>
      <c r="EH8" s="727" t="str">
        <f>VLOOKUP(WWWW[[#This Row],[Site Name]],SiteDB6[[Site Name]:[Type of Accommodation]],10,FALSE)</f>
        <v>School</v>
      </c>
      <c r="EI8" s="727" t="str">
        <f>VLOOKUP(WWWW[[#This Row],[Site Name]],SiteDB6[[Site Name]:[Ethnic or GCA/NGCA]],11,FALSE)</f>
        <v>GCA</v>
      </c>
      <c r="EJ8" s="727">
        <f>VLOOKUP(WWWW[[#This Row],[Site Name]],SiteDB6[[Site Name]:[Lat]],12,FALSE)</f>
        <v>0</v>
      </c>
      <c r="EK8" s="727">
        <f>VLOOKUP(WWWW[[#This Row],[Site Name]],SiteDB6[[Site Name]:[Long]],13,FALSE)</f>
        <v>0</v>
      </c>
      <c r="EL8" s="727">
        <f>VLOOKUP(WWWW[[#This Row],[Site Name]],SiteDB6[[Site Name]:[Pcode]],3,FALSE)</f>
        <v>0</v>
      </c>
      <c r="EM8" s="732" t="str">
        <f t="shared" si="0"/>
        <v>Notcovered</v>
      </c>
      <c r="EN8" s="732"/>
      <c r="EO8" s="727">
        <f>VLOOKUP(WWWW[[#This Row],[Site Name]],SiteDB6[[Site Name]:[Pop
(Kachin/Shan-CCCM as of July 2021)]],16,FALSE)</f>
        <v>0</v>
      </c>
      <c r="EP8" s="727">
        <f>VLOOKUP(WWWW[[#This Row],[Site Name]],SiteDB6[[Site Name]:[Pop
(Kachin/Shan-CCCM as of July 2021)]],17,FALSE)</f>
        <v>0</v>
      </c>
    </row>
    <row r="9" spans="1:146" hidden="1">
      <c r="A9" s="725" t="s">
        <v>2763</v>
      </c>
      <c r="B9" s="725" t="s">
        <v>276</v>
      </c>
      <c r="C9" s="726" t="s">
        <v>276</v>
      </c>
      <c r="D9" s="369" t="s">
        <v>292</v>
      </c>
      <c r="E9" s="726" t="s">
        <v>37</v>
      </c>
      <c r="F9" s="726" t="s">
        <v>195</v>
      </c>
      <c r="G9" s="591" t="str">
        <f>VLOOKUP(WWWW[[#This Row],[Site Name]],SiteDB6[[Site Name]:[Location Type]],8,FALSE)</f>
        <v>Camp_not registered</v>
      </c>
      <c r="H9" s="726" t="s">
        <v>814</v>
      </c>
      <c r="I9" s="448">
        <v>8</v>
      </c>
      <c r="J9" s="448">
        <v>54</v>
      </c>
      <c r="K9" s="588">
        <v>44652</v>
      </c>
      <c r="L9" s="589">
        <v>44895</v>
      </c>
      <c r="M9" s="728"/>
      <c r="N9" s="728"/>
      <c r="O9" s="728"/>
      <c r="P9" s="728"/>
      <c r="Q9" s="731" t="s">
        <v>41</v>
      </c>
      <c r="R9" s="728">
        <v>2</v>
      </c>
      <c r="S9" s="728">
        <v>2</v>
      </c>
      <c r="T9" s="448"/>
      <c r="U9" s="728"/>
      <c r="V9" s="728"/>
      <c r="W9" s="728">
        <v>1</v>
      </c>
      <c r="X9" s="728"/>
      <c r="Y9" s="728"/>
      <c r="Z9" s="728"/>
      <c r="AA9" s="728"/>
      <c r="AB9" s="728"/>
      <c r="AC9" s="728"/>
      <c r="AD9" s="728"/>
      <c r="AE9" s="728"/>
      <c r="AF9" s="728"/>
      <c r="AG9" s="728"/>
      <c r="AH9" s="728"/>
      <c r="AI9" s="448">
        <v>1</v>
      </c>
      <c r="AJ9" s="448">
        <v>1</v>
      </c>
      <c r="AK9" s="448">
        <v>3</v>
      </c>
      <c r="AL9" s="448">
        <v>2</v>
      </c>
      <c r="AM9" s="728">
        <v>5</v>
      </c>
      <c r="AN9" s="728"/>
      <c r="AO9" s="728"/>
      <c r="AP9" s="732"/>
      <c r="AQ9" s="728">
        <v>13</v>
      </c>
      <c r="AR9" s="728"/>
      <c r="AS9" s="733"/>
      <c r="AT9" s="728"/>
      <c r="AU9" s="742"/>
      <c r="AV9" s="742"/>
      <c r="AW9" s="742"/>
      <c r="AX9" s="728"/>
      <c r="AY9" s="727" t="s">
        <v>41</v>
      </c>
      <c r="AZ9" s="732" t="s">
        <v>137</v>
      </c>
      <c r="BA9" s="728"/>
      <c r="BB9" s="728"/>
      <c r="BC9" s="728"/>
      <c r="BD9" s="448"/>
      <c r="BE9" s="448">
        <v>1</v>
      </c>
      <c r="BF9" s="727"/>
      <c r="BG9" s="728">
        <v>3</v>
      </c>
      <c r="BH9" s="728"/>
      <c r="BI9" s="728"/>
      <c r="BJ9" s="728">
        <v>2</v>
      </c>
      <c r="BK9" s="728"/>
      <c r="BL9" s="728"/>
      <c r="BM9" s="728"/>
      <c r="BN9" s="742"/>
      <c r="BO9" s="728"/>
      <c r="BP9" s="727"/>
      <c r="BQ9" s="744"/>
      <c r="BR9" s="733"/>
      <c r="BS9" s="727"/>
      <c r="BT9" s="423"/>
      <c r="BU9" s="423"/>
      <c r="BV9" s="425"/>
      <c r="BW9" s="423"/>
      <c r="BX9" s="448"/>
      <c r="BY9" s="448"/>
      <c r="BZ9" s="448"/>
      <c r="CA9" s="448"/>
      <c r="CB9" s="448"/>
      <c r="CC9" s="777"/>
      <c r="CD9" s="448"/>
      <c r="CE9" s="735">
        <f>IFERROR(WWWW[[#This Row],['#_Water sources passed]]/WWWW[[#This Row],['#_Water sources tested for fecal coliform ]],"no test")</f>
        <v>1</v>
      </c>
      <c r="CF9" s="733">
        <f>IFERROR(WWWW[[#This Row],['#_Household passed]]/WWWW[[#This Row],['#_Household water samples tested for fecal coliform]],"no test")</f>
        <v>0.66666666666666663</v>
      </c>
      <c r="CG9" s="734" t="str">
        <f>IF(AND(WWWW[[#This Row],[% of water sources passed]]="no test",WWWW[[#This Row],[% Household passed]]="no test"),"No Test","Tested")</f>
        <v>Tested</v>
      </c>
      <c r="CH9" s="734">
        <f>WWWW[[#This Row],['#_Constructed/existing protected hand dug well]]-WWWW[[#This Row],['#_Non-functional protected hand dug well]]</f>
        <v>0</v>
      </c>
      <c r="CI9" s="734">
        <f>(WWWW[[#This Row],['#_Constructed/Existing tube wells/boreholes/handpumps_WASH_agency]]+WWWW[[#This Row],['#_Non-Cluster partner water tube-wells/boreholes/handpumps]])-WWWW[[#This Row],['#_Non-functional tube wells/boreholes/handpumps]]</f>
        <v>1</v>
      </c>
      <c r="CJ9" s="734">
        <f>WWWW[[#This Row],['#_Constructed/Existingwater storage tank with gravity fed reticulation system]]-WWWW[[#This Row],['#_Non-functional storage tank gravity fed reticulation system]]</f>
        <v>0</v>
      </c>
      <c r="CK9" s="734">
        <f>(WWWW[[#This Row],['#_Water_Liters_supplied_by_Water boating or water trucking]]/90)/15</f>
        <v>0</v>
      </c>
      <c r="CL9" s="734">
        <f>WWWW[[#This Row],['#_Water_Liters_from_Constructed/Existing water distribution system from river or natural spring]]/90/15</f>
        <v>0</v>
      </c>
      <c r="CM9" s="424">
        <f>IF(WWWW[[#This Row],['#_of water points in TLS/CFS]]*500&gt;WWWW[[#This Row],[Total PoP ]],WWWW[[#This Row],[Total PoP ]],WWWW[[#This Row],['#_of water points in TLS/CFS]]*500)</f>
        <v>0</v>
      </c>
      <c r="CN9" s="424">
        <f>IF(WWWW[[#This Row],['#_of water points in THF]]*500&gt;WWWW[[#This Row],[Total PoP ]],WWWW[[#This Row],[Total PoP ]],WWWW[[#This Row],['#_of water points in THF]]*500)</f>
        <v>0</v>
      </c>
      <c r="CO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 s="733">
        <f>IF(WWWW[[#This Row],[Location Type 1]]="Village",WWWW[[#This Row],[Access to safe drinking water for Village]],WWWW[[#This Row],[Access to safe drinking water for Camp]])</f>
        <v>1</v>
      </c>
      <c r="CR9" s="731">
        <f>WWWW[[#This Row],[%Equitable and continuous access to sufficient quantity of safe drinking water]]*WWWW[[#This Row],[Total PoP ]]</f>
        <v>54</v>
      </c>
      <c r="CS9" s="733">
        <f>IF((WWWW[[#This Row],['#_Constructed/Existing protected/fenced ponds]]*250)/WWWW[[#This Row],[Total PoP ]]&gt;1,1,(WWWW[[#This Row],['#_Constructed/Existing protected/fenced ponds]]*250)/WWWW[[#This Row],[Total PoP ]])</f>
        <v>0</v>
      </c>
      <c r="CT9" s="731">
        <f>WWWW[[#This Row],[% Access to unimproved water points]]*WWWW[[#This Row],[Total PoP ]]</f>
        <v>0</v>
      </c>
      <c r="CU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v>
      </c>
      <c r="CW9" s="731">
        <f>WWWW[[#This Row],[HRP1]]/500</f>
        <v>0.108</v>
      </c>
      <c r="CX9" s="736">
        <f>1-WWWW[[#This Row],[% Equitable and continuous access to sufficient quantity of domestic water]]</f>
        <v>0</v>
      </c>
      <c r="CY9" s="731">
        <f>WWWW[[#This Row],[%equitable and continuous access to sufficient quantity of safe drinking and domestic water''s GAP]]*WWWW[[#This Row],[Total PoP ]]</f>
        <v>0</v>
      </c>
      <c r="CZ9" s="734">
        <f>IF(WWWW[[#This Row],[Total required water points]]-WWWW[[#This Row],['#Water points coverage]]&lt;0,0,WWWW[[#This Row],[Total required water points]]-WWWW[[#This Row],['#Water points coverage]])</f>
        <v>0.89200000000000002</v>
      </c>
      <c r="DA9" s="734">
        <f>ROUND(IF(WWWW[[#This Row],[Total PoP ]]&lt;500,1,WWWW[[#This Row],[Total PoP ]]/500),0)</f>
        <v>1</v>
      </c>
      <c r="DB9" s="734">
        <f>(WWWW[[#This Row],['#_Constructed latrines_by_WASHAgencies]]+WWWW[[#This Row],['#_Non Cluster partner latrines]])-WWWW[[#This Row],['#_Non-functional latrines]]</f>
        <v>13</v>
      </c>
      <c r="DC9" s="631">
        <f>WWWW[[#This Row],[HRP2]]/WWWW[[#This Row],[Total PoP ]]</f>
        <v>1</v>
      </c>
      <c r="DD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v>
      </c>
      <c r="DE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 s="424">
        <f>IF(WWWW[[#This Row],['# of functional latrines in THF supported by WASH partners during the reporting period2]]="",0,WWWW[[#This Row],['# of functional latrines in THF supported by WASH partners during the reporting period2]]*50)</f>
        <v>0</v>
      </c>
      <c r="DH9" s="734">
        <f>ROUND(IF(WWWW[[#This Row],[Location Type 1]]="camp",WWWW[[#This Row],[Total PoP ]]/20,IF(WWWW[[#This Row],[Location Type 1]]="Temporary Location",WWWW[[#This Row],[Total PoP ]]/50,(WWWW[[#This Row],[Total PoP ]]/6))),0)</f>
        <v>3</v>
      </c>
      <c r="DI9" s="734">
        <f>IF(WWWW[[#This Row],[Total required Latrines]]-(WWWW[[#This Row],['#_Constructed latrines_by_WASHAgencies]]+WWWW[[#This Row],['#_Non Cluster partner latrines]])&lt;0,0,WWWW[[#This Row],[Total required Latrines]]-(WWWW[[#This Row],['#_Constructed latrines_by_WASHAgencies]]+WWWW[[#This Row],['#_Non Cluster partner latrines]]))</f>
        <v>0</v>
      </c>
      <c r="DJ9" s="736">
        <f>1-WWWW[[#This Row],[% people access to functioning Latrine]]</f>
        <v>0</v>
      </c>
      <c r="DK9" s="735">
        <f>IF(OR(WWWW[[#This Row],['#_Non-functional latrines]]="",WWWW[[#This Row],['#_Non-functional latrines]]=0),0,WWWW[[#This Row],['#_Non-functional latrines]]/(WWWW[[#This Row],['#_Constructed latrines_by_WASHAgencies]]+WWWW[[#This Row],['#_Non Cluster partner latrines]]))</f>
        <v>0</v>
      </c>
      <c r="DL9" s="731">
        <f>IF(500*(WWWW[[#This Row],['#_male hygiene promoters]]+WWWW[[#This Row],['#_female hygiene promoters]])&gt;WWWW[[#This Row],[Total PoP ]],WWWW[[#This Row],[Total PoP ]],500*(WWWW[[#This Row],['#_male hygiene promoters]]+WWWW[[#This Row],['#_female hygiene promoters]]))</f>
        <v>0</v>
      </c>
      <c r="DM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9" s="734">
        <f>IF(WWWW[[#This Row],['# People with access to soap]]&gt;WWWW[[#This Row],['# People with access to Sanity Pads]],WWWW[[#This Row],['# People with access to soap]],WWWW[[#This Row],['# People with access to Sanity Pads]])</f>
        <v>0</v>
      </c>
      <c r="DP9" s="73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9" s="736">
        <f>IF(WWWW[[#This Row],[HRP3]]/WWWW[[#This Row],[Total PoP ]]&gt;1,1,WWWW[[#This Row],[HRP3]]/WWWW[[#This Row],[Total PoP ]])</f>
        <v>0</v>
      </c>
      <c r="DR9" s="735">
        <f>1-WWWW[[#This Row],[Hygiene Coverage%]]</f>
        <v>1</v>
      </c>
      <c r="DS9" s="733">
        <f>WWWW[[#This Row],['# people reached by regular dedicated hygiene promotion_5]]/WWWW[[#This Row],[Total PoP ]]</f>
        <v>0</v>
      </c>
      <c r="DT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9" s="734">
        <f>WWWW[[#This Row],['#_Constructed/Existing hand washing stations]]-WWWW[[#This Row],['#_Non-Functional_hand_washing_stations]]</f>
        <v>3</v>
      </c>
      <c r="DW9" s="731">
        <f>IF(WWWW[[#This Row],['# Functional hand washing stations during reporting period]]*20&gt;WWWW[[#This Row],[Total HH]],WWWW[[#This Row],[Total HH]],WWWW[[#This Row],['# Functional hand washing stations during reporting period]]*20)</f>
        <v>8</v>
      </c>
      <c r="DX9" s="731">
        <f>IF(WWWW[[#This Row],[Is sufficient soap available for TLS? (Yes/No)]]="yes",WWWW[[#This Row],['#_Constructed/Existing hand washing stations at TLS/CFS/THF]],0)</f>
        <v>0</v>
      </c>
      <c r="DY9" s="428">
        <f>IF(WWWW[[#This Row],['# Functional hand washing stations during reporting period]]*100&gt;WWWW[[#This Row],[Total PoP ]],WWWW[[#This Row],[Total PoP ]],WWWW[[#This Row],['# Functional hand washing stations during reporting period]]*100)</f>
        <v>54</v>
      </c>
      <c r="DZ9" s="428" t="str">
        <f>IF(OR(WWWW[[#This Row],['#_students at TLS_CFS]]="",WWWW[[#This Row],['#_students at TLS_CFS]]=0),"No","Yes")</f>
        <v>No</v>
      </c>
      <c r="EA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 s="727">
        <f>VLOOKUP(WWWW[[#This Row],[Site Name]],SiteDB6[[Site Name]:[CCCM Management]],6,FALSE)</f>
        <v>0</v>
      </c>
      <c r="EF9" s="727">
        <f>VLOOKUP(WWWW[[#This Row],[Site Name]],SiteDB6[[Site Name]:[CCCM Focal Agency]],7,FALSE)</f>
        <v>0</v>
      </c>
      <c r="EG9" s="727" t="str">
        <f>VLOOKUP(WWWW[[#This Row],[Site Name]],SiteDB6[[Site Name]:[Location Type 1]],9,FALSE)</f>
        <v>Camp</v>
      </c>
      <c r="EH9" s="727" t="str">
        <f>VLOOKUP(WWWW[[#This Row],[Site Name]],SiteDB6[[Site Name]:[Type of Accommodation]],10,FALSE)</f>
        <v>camp</v>
      </c>
      <c r="EI9" s="727" t="str">
        <f>VLOOKUP(WWWW[[#This Row],[Site Name]],SiteDB6[[Site Name]:[Ethnic or GCA/NGCA]],11,FALSE)</f>
        <v>GCA</v>
      </c>
      <c r="EJ9" s="727">
        <f>VLOOKUP(WWWW[[#This Row],[Site Name]],SiteDB6[[Site Name]:[Lat]],12,FALSE)</f>
        <v>0</v>
      </c>
      <c r="EK9" s="727">
        <f>VLOOKUP(WWWW[[#This Row],[Site Name]],SiteDB6[[Site Name]:[Long]],13,FALSE)</f>
        <v>0</v>
      </c>
      <c r="EL9" s="727">
        <f>VLOOKUP(WWWW[[#This Row],[Site Name]],SiteDB6[[Site Name]:[Pcode]],3,FALSE)</f>
        <v>0</v>
      </c>
      <c r="EM9" s="732" t="str">
        <f t="shared" si="0"/>
        <v>Covered</v>
      </c>
      <c r="EN9" s="732"/>
      <c r="EO9" s="727">
        <f>VLOOKUP(WWWW[[#This Row],[Site Name]],SiteDB6[[Site Name]:[Pop
(Kachin/Shan-CCCM as of July 2021)]],16,FALSE)</f>
        <v>0</v>
      </c>
      <c r="EP9" s="727">
        <f>VLOOKUP(WWWW[[#This Row],[Site Name]],SiteDB6[[Site Name]:[Pop
(Kachin/Shan-CCCM as of July 2021)]],17,FALSE)</f>
        <v>0</v>
      </c>
    </row>
    <row r="10" spans="1:146" hidden="1">
      <c r="A10" s="725" t="s">
        <v>2763</v>
      </c>
      <c r="B10" s="725" t="s">
        <v>276</v>
      </c>
      <c r="C10" s="726" t="s">
        <v>276</v>
      </c>
      <c r="D10" s="369" t="s">
        <v>292</v>
      </c>
      <c r="E10" s="726" t="s">
        <v>37</v>
      </c>
      <c r="F10" s="726" t="s">
        <v>195</v>
      </c>
      <c r="G10" s="591" t="str">
        <f>VLOOKUP(WWWW[[#This Row],[Site Name]],SiteDB6[[Site Name]:[Location Type]],8,FALSE)</f>
        <v>Camp</v>
      </c>
      <c r="H10" s="369" t="s">
        <v>277</v>
      </c>
      <c r="I10" s="448">
        <v>245</v>
      </c>
      <c r="J10" s="448">
        <v>1226</v>
      </c>
      <c r="K10" s="588">
        <v>44652</v>
      </c>
      <c r="L10" s="589">
        <v>44895</v>
      </c>
      <c r="M10" s="728"/>
      <c r="N10" s="728"/>
      <c r="O10" s="728"/>
      <c r="P10" s="728"/>
      <c r="Q10" s="731" t="s">
        <v>41</v>
      </c>
      <c r="R10" s="728">
        <v>7</v>
      </c>
      <c r="S10" s="728">
        <v>5</v>
      </c>
      <c r="T10" s="448">
        <v>2</v>
      </c>
      <c r="U10" s="728"/>
      <c r="V10" s="728"/>
      <c r="W10" s="728">
        <v>8</v>
      </c>
      <c r="X10" s="728"/>
      <c r="Y10" s="728"/>
      <c r="Z10" s="728"/>
      <c r="AA10" s="728"/>
      <c r="AB10" s="728"/>
      <c r="AC10" s="728"/>
      <c r="AD10" s="728"/>
      <c r="AE10" s="728"/>
      <c r="AF10" s="728"/>
      <c r="AG10" s="728"/>
      <c r="AH10" s="728"/>
      <c r="AI10" s="448">
        <v>4</v>
      </c>
      <c r="AJ10" s="448">
        <v>4</v>
      </c>
      <c r="AK10" s="448">
        <v>18</v>
      </c>
      <c r="AL10" s="448">
        <v>18</v>
      </c>
      <c r="AM10" s="728">
        <v>9</v>
      </c>
      <c r="AN10" s="728"/>
      <c r="AO10" s="728"/>
      <c r="AP10" s="732"/>
      <c r="AQ10" s="728">
        <v>39</v>
      </c>
      <c r="AR10" s="728"/>
      <c r="AS10" s="733"/>
      <c r="AT10" s="728"/>
      <c r="AU10" s="742"/>
      <c r="AV10" s="742"/>
      <c r="AW10" s="742"/>
      <c r="AX10" s="728"/>
      <c r="AY10" s="727" t="s">
        <v>41</v>
      </c>
      <c r="AZ10" s="732" t="s">
        <v>137</v>
      </c>
      <c r="BA10" s="728"/>
      <c r="BB10" s="728"/>
      <c r="BC10" s="728"/>
      <c r="BD10" s="448"/>
      <c r="BE10" s="448">
        <v>9</v>
      </c>
      <c r="BF10" s="727"/>
      <c r="BG10" s="728">
        <v>6</v>
      </c>
      <c r="BH10" s="728"/>
      <c r="BI10" s="728"/>
      <c r="BJ10" s="728">
        <v>3</v>
      </c>
      <c r="BK10" s="728"/>
      <c r="BL10" s="728"/>
      <c r="BM10" s="728">
        <v>3</v>
      </c>
      <c r="BN10" s="742"/>
      <c r="BO10" s="728"/>
      <c r="BP10" s="727"/>
      <c r="BQ10" s="744"/>
      <c r="BR10" s="733"/>
      <c r="BS10" s="727"/>
      <c r="BT10" s="903">
        <v>1</v>
      </c>
      <c r="BU10" s="903">
        <v>1</v>
      </c>
      <c r="BV10" s="590">
        <v>26</v>
      </c>
      <c r="BW10" s="903">
        <v>1</v>
      </c>
      <c r="BX10" s="448"/>
      <c r="BY10" s="448"/>
      <c r="BZ10" s="448"/>
      <c r="CA10" s="448"/>
      <c r="CB10" s="448"/>
      <c r="CC10" s="777"/>
      <c r="CD10" s="448"/>
      <c r="CE10" s="735">
        <f>IFERROR(WWWW[[#This Row],['#_Water sources passed]]/WWWW[[#This Row],['#_Water sources tested for fecal coliform ]],"no test")</f>
        <v>1</v>
      </c>
      <c r="CF10" s="733">
        <f>IFERROR(WWWW[[#This Row],['#_Household passed]]/WWWW[[#This Row],['#_Household water samples tested for fecal coliform]],"no test")</f>
        <v>1</v>
      </c>
      <c r="CG10" s="734" t="str">
        <f>IF(AND(WWWW[[#This Row],[% of water sources passed]]="no test",WWWW[[#This Row],[% Household passed]]="no test"),"No Test","Tested")</f>
        <v>Tested</v>
      </c>
      <c r="CH10" s="734">
        <f>WWWW[[#This Row],['#_Constructed/existing protected hand dug well]]-WWWW[[#This Row],['#_Non-functional protected hand dug well]]</f>
        <v>2</v>
      </c>
      <c r="CI10" s="734">
        <f>(WWWW[[#This Row],['#_Constructed/Existing tube wells/boreholes/handpumps_WASH_agency]]+WWWW[[#This Row],['#_Non-Cluster partner water tube-wells/boreholes/handpumps]])-WWWW[[#This Row],['#_Non-functional tube wells/boreholes/handpumps]]</f>
        <v>8</v>
      </c>
      <c r="CJ10" s="734">
        <f>WWWW[[#This Row],['#_Constructed/Existingwater storage tank with gravity fed reticulation system]]-WWWW[[#This Row],['#_Non-functional storage tank gravity fed reticulation system]]</f>
        <v>0</v>
      </c>
      <c r="CK10" s="734">
        <f>(WWWW[[#This Row],['#_Water_Liters_supplied_by_Water boating or water trucking]]/90)/15</f>
        <v>0</v>
      </c>
      <c r="CL10" s="734">
        <f>WWWW[[#This Row],['#_Water_Liters_from_Constructed/Existing water distribution system from river or natural spring]]/90/15</f>
        <v>0</v>
      </c>
      <c r="CM10" s="424">
        <f>IF(WWWW[[#This Row],['#_of water points in TLS/CFS]]*500&gt;WWWW[[#This Row],[Total PoP ]],WWWW[[#This Row],[Total PoP ]],WWWW[[#This Row],['#_of water points in TLS/CFS]]*500)</f>
        <v>0</v>
      </c>
      <c r="CN10" s="424">
        <f>IF(WWWW[[#This Row],['#_of water points in THF]]*500&gt;WWWW[[#This Row],[Total PoP ]],WWWW[[#This Row],[Total PoP ]],WWWW[[#This Row],['#_of water points in THF]]*500)</f>
        <v>0</v>
      </c>
      <c r="CO1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 s="733">
        <f>IF(WWWW[[#This Row],[Location Type 1]]="Village",WWWW[[#This Row],[Access to safe drinking water for Village]],WWWW[[#This Row],[Access to safe drinking water for Camp]])</f>
        <v>1</v>
      </c>
      <c r="CR10" s="731">
        <f>WWWW[[#This Row],[%Equitable and continuous access to sufficient quantity of safe drinking water]]*WWWW[[#This Row],[Total PoP ]]</f>
        <v>1226</v>
      </c>
      <c r="CS10" s="733">
        <f>IF((WWWW[[#This Row],['#_Constructed/Existing protected/fenced ponds]]*250)/WWWW[[#This Row],[Total PoP ]]&gt;1,1,(WWWW[[#This Row],['#_Constructed/Existing protected/fenced ponds]]*250)/WWWW[[#This Row],[Total PoP ]])</f>
        <v>0</v>
      </c>
      <c r="CT10" s="731">
        <f>WWWW[[#This Row],[% Access to unimproved water points]]*WWWW[[#This Row],[Total PoP ]]</f>
        <v>0</v>
      </c>
      <c r="CU1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1226</v>
      </c>
      <c r="CW10" s="731">
        <f>WWWW[[#This Row],[HRP1]]/500</f>
        <v>2.452</v>
      </c>
      <c r="CX10" s="736">
        <f>1-WWWW[[#This Row],[% Equitable and continuous access to sufficient quantity of domestic water]]</f>
        <v>0</v>
      </c>
      <c r="CY10" s="731">
        <f>WWWW[[#This Row],[%equitable and continuous access to sufficient quantity of safe drinking and domestic water''s GAP]]*WWWW[[#This Row],[Total PoP ]]</f>
        <v>0</v>
      </c>
      <c r="CZ10" s="734">
        <f>IF(WWWW[[#This Row],[Total required water points]]-WWWW[[#This Row],['#Water points coverage]]&lt;0,0,WWWW[[#This Row],[Total required water points]]-WWWW[[#This Row],['#Water points coverage]])</f>
        <v>0</v>
      </c>
      <c r="DA10" s="734">
        <f>ROUND(IF(WWWW[[#This Row],[Total PoP ]]&lt;500,1,WWWW[[#This Row],[Total PoP ]]/500),0)</f>
        <v>2</v>
      </c>
      <c r="DB10" s="734">
        <f>(WWWW[[#This Row],['#_Constructed latrines_by_WASHAgencies]]+WWWW[[#This Row],['#_Non Cluster partner latrines]])-WWWW[[#This Row],['#_Non-functional latrines]]</f>
        <v>39</v>
      </c>
      <c r="DC10" s="631">
        <f>WWWW[[#This Row],[HRP2]]/WWWW[[#This Row],[Total PoP ]]</f>
        <v>0.64355628058727565</v>
      </c>
      <c r="DD1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DE1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 s="424">
        <f>IF(WWWW[[#This Row],['# of functional latrines in THF supported by WASH partners during the reporting period2]]="",0,WWWW[[#This Row],['# of functional latrines in THF supported by WASH partners during the reporting period2]]*50)</f>
        <v>0</v>
      </c>
      <c r="DH10" s="734">
        <f>ROUND(IF(WWWW[[#This Row],[Location Type 1]]="camp",WWWW[[#This Row],[Total PoP ]]/20,IF(WWWW[[#This Row],[Location Type 1]]="Temporary Location",WWWW[[#This Row],[Total PoP ]]/50,(WWWW[[#This Row],[Total PoP ]]/6))),0)</f>
        <v>61</v>
      </c>
      <c r="DI10" s="734">
        <f>IF(WWWW[[#This Row],[Total required Latrines]]-(WWWW[[#This Row],['#_Constructed latrines_by_WASHAgencies]]+WWWW[[#This Row],['#_Non Cluster partner latrines]])&lt;0,0,WWWW[[#This Row],[Total required Latrines]]-(WWWW[[#This Row],['#_Constructed latrines_by_WASHAgencies]]+WWWW[[#This Row],['#_Non Cluster partner latrines]]))</f>
        <v>22</v>
      </c>
      <c r="DJ10" s="736">
        <f>1-WWWW[[#This Row],[% people access to functioning Latrine]]</f>
        <v>0.35644371941272435</v>
      </c>
      <c r="DK10" s="735">
        <f>IF(OR(WWWW[[#This Row],['#_Non-functional latrines]]="",WWWW[[#This Row],['#_Non-functional latrines]]=0),0,WWWW[[#This Row],['#_Non-functional latrines]]/(WWWW[[#This Row],['#_Constructed latrines_by_WASHAgencies]]+WWWW[[#This Row],['#_Non Cluster partner latrines]]))</f>
        <v>0</v>
      </c>
      <c r="DL10" s="731">
        <f>IF(500*(WWWW[[#This Row],['#_male hygiene promoters]]+WWWW[[#This Row],['#_female hygiene promoters]])&gt;WWWW[[#This Row],[Total PoP ]],WWWW[[#This Row],[Total PoP ]],500*(WWWW[[#This Row],['#_male hygiene promoters]]+WWWW[[#This Row],['#_female hygiene promoters]]))</f>
        <v>1226</v>
      </c>
      <c r="DM1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0" s="734">
        <f>IF(WWWW[[#This Row],['# People with access to soap]]&gt;WWWW[[#This Row],['# People with access to Sanity Pads]],WWWW[[#This Row],['# People with access to soap]],WWWW[[#This Row],['# People with access to Sanity Pads]])</f>
        <v>0</v>
      </c>
      <c r="DP10" s="734">
        <f>IF(WWWW[[#This Row],['# people reached by regular dedicated hygiene promotion_5]]&gt;WWWW[[#This Row],['# People received regular supply of hygiene items_6]],WWWW[[#This Row],['# people reached by regular dedicated hygiene promotion_5]],WWWW[[#This Row],['# People received regular supply of hygiene items_6]])</f>
        <v>1226</v>
      </c>
      <c r="DQ10" s="736">
        <f>IF(WWWW[[#This Row],[HRP3]]/WWWW[[#This Row],[Total PoP ]]&gt;1,1,WWWW[[#This Row],[HRP3]]/WWWW[[#This Row],[Total PoP ]])</f>
        <v>1</v>
      </c>
      <c r="DR10" s="735">
        <f>1-WWWW[[#This Row],[Hygiene Coverage%]]</f>
        <v>0</v>
      </c>
      <c r="DS10" s="733">
        <f>WWWW[[#This Row],['# people reached by regular dedicated hygiene promotion_5]]/WWWW[[#This Row],[Total PoP ]]</f>
        <v>1</v>
      </c>
      <c r="DT1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0" s="734">
        <f>WWWW[[#This Row],['#_Constructed/Existing hand washing stations]]-WWWW[[#This Row],['#_Non-Functional_hand_washing_stations]]</f>
        <v>6</v>
      </c>
      <c r="DW10" s="731">
        <f>IF(WWWW[[#This Row],['# Functional hand washing stations during reporting period]]*20&gt;WWWW[[#This Row],[Total HH]],WWWW[[#This Row],[Total HH]],WWWW[[#This Row],['# Functional hand washing stations during reporting period]]*20)</f>
        <v>120</v>
      </c>
      <c r="DX10" s="731">
        <f>IF(WWWW[[#This Row],[Is sufficient soap available for TLS? (Yes/No)]]="yes",WWWW[[#This Row],['#_Constructed/Existing hand washing stations at TLS/CFS/THF]],0)</f>
        <v>0</v>
      </c>
      <c r="DY10" s="428">
        <f>IF(WWWW[[#This Row],['# Functional hand washing stations during reporting period]]*100&gt;WWWW[[#This Row],[Total PoP ]],WWWW[[#This Row],[Total PoP ]],WWWW[[#This Row],['# Functional hand washing stations during reporting period]]*100)</f>
        <v>600</v>
      </c>
      <c r="DZ10" s="428" t="str">
        <f>IF(OR(WWWW[[#This Row],['#_students at TLS_CFS]]="",WWWW[[#This Row],['#_students at TLS_CFS]]=0),"No","Yes")</f>
        <v>No</v>
      </c>
      <c r="EA10" s="631">
        <f>IF(WWWW[[#This Row],['#_of_affected_people_surveyed_who_report_feeling_informed_about_the_different_WASH_services_available_to_them]]="","",WWWW[[#This Row],['#_of_affected_people_surveyed_who_report_feeling_informed_about_the_different_WASH_services_available_to_them]]/WWWW[[#This Row],[Total PoP ]])</f>
        <v>2.1207177814029365E-2</v>
      </c>
      <c r="EB1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 s="727" t="str">
        <f>VLOOKUP(WWWW[[#This Row],[Site Name]],SiteDB6[[Site Name]:[CCCM Management]],6,FALSE)</f>
        <v>Yes</v>
      </c>
      <c r="EF10" s="727" t="str">
        <f>VLOOKUP(WWWW[[#This Row],[Site Name]],SiteDB6[[Site Name]:[CCCM Focal Agency]],7,FALSE)</f>
        <v>KMSS-BMO</v>
      </c>
      <c r="EG10" s="727" t="str">
        <f>VLOOKUP(WWWW[[#This Row],[Site Name]],SiteDB6[[Site Name]:[Location Type 1]],9,FALSE)</f>
        <v>Camp</v>
      </c>
      <c r="EH10" s="727" t="str">
        <f>VLOOKUP(WWWW[[#This Row],[Site Name]],SiteDB6[[Site Name]:[Type of Accommodation]],10,FALSE)</f>
        <v>Camp</v>
      </c>
      <c r="EI10" s="727" t="str">
        <f>VLOOKUP(WWWW[[#This Row],[Site Name]],SiteDB6[[Site Name]:[Ethnic or GCA/NGCA]],11,FALSE)</f>
        <v>GCA</v>
      </c>
      <c r="EJ10" s="727">
        <f>VLOOKUP(WWWW[[#This Row],[Site Name]],SiteDB6[[Site Name]:[Lat]],12,FALSE)</f>
        <v>24.260719999999999</v>
      </c>
      <c r="EK10" s="727">
        <f>VLOOKUP(WWWW[[#This Row],[Site Name]],SiteDB6[[Site Name]:[Long]],13,FALSE)</f>
        <v>97.238829999999993</v>
      </c>
      <c r="EL10" s="727" t="str">
        <f>VLOOKUP(WWWW[[#This Row],[Site Name]],SiteDB6[[Site Name]:[Pcode]],3,FALSE)</f>
        <v>MMR001CMP050</v>
      </c>
      <c r="EM10" s="732" t="str">
        <f t="shared" si="0"/>
        <v>Covered</v>
      </c>
      <c r="EN10" s="732"/>
      <c r="EO10" s="727">
        <f>VLOOKUP(WWWW[[#This Row],[Site Name]],SiteDB6[[Site Name]:[Pop
(Kachin/Shan-CCCM as of July 2021)]],16,FALSE)</f>
        <v>222</v>
      </c>
      <c r="EP10" s="727">
        <f>VLOOKUP(WWWW[[#This Row],[Site Name]],SiteDB6[[Site Name]:[Pop
(Kachin/Shan-CCCM as of July 2021)]],17,FALSE)</f>
        <v>1055</v>
      </c>
    </row>
    <row r="11" spans="1:146" hidden="1">
      <c r="A11" s="725" t="s">
        <v>2763</v>
      </c>
      <c r="B11" s="725" t="s">
        <v>242</v>
      </c>
      <c r="C11" s="726" t="s">
        <v>242</v>
      </c>
      <c r="D11" s="726" t="s">
        <v>307</v>
      </c>
      <c r="E11" s="726" t="s">
        <v>37</v>
      </c>
      <c r="F11" s="726" t="s">
        <v>148</v>
      </c>
      <c r="G11" s="591" t="str">
        <f>VLOOKUP(WWWW[[#This Row],[Site Name]],SiteDB6[[Site Name]:[Location Type]],8,FALSE)</f>
        <v>Camp</v>
      </c>
      <c r="H11" s="726" t="s">
        <v>248</v>
      </c>
      <c r="I11" s="874">
        <v>94</v>
      </c>
      <c r="J11" s="874">
        <v>435</v>
      </c>
      <c r="K11" s="588">
        <v>44197</v>
      </c>
      <c r="L11" s="589">
        <v>44651</v>
      </c>
      <c r="M11" s="448">
        <v>60</v>
      </c>
      <c r="N11" s="448">
        <v>1</v>
      </c>
      <c r="O11" s="728"/>
      <c r="P11" s="728"/>
      <c r="Q11" s="731" t="s">
        <v>41</v>
      </c>
      <c r="R11" s="448">
        <v>5</v>
      </c>
      <c r="S11" s="448">
        <v>5</v>
      </c>
      <c r="T11" s="448">
        <v>3</v>
      </c>
      <c r="U11" s="728"/>
      <c r="V11" s="728"/>
      <c r="W11" s="728"/>
      <c r="X11" s="448">
        <v>3</v>
      </c>
      <c r="Y11" s="728"/>
      <c r="Z11" s="728"/>
      <c r="AA11" s="728"/>
      <c r="AB11" s="728"/>
      <c r="AC11" s="728"/>
      <c r="AD11" s="728"/>
      <c r="AE11" s="728"/>
      <c r="AF11" s="728"/>
      <c r="AG11" s="728"/>
      <c r="AH11" s="728"/>
      <c r="AI11" s="728"/>
      <c r="AJ11" s="728"/>
      <c r="AK11" s="728"/>
      <c r="AL11" s="728"/>
      <c r="AM11" s="728"/>
      <c r="AN11" s="448">
        <v>1</v>
      </c>
      <c r="AO11" s="448"/>
      <c r="AP11" s="590" t="s">
        <v>2892</v>
      </c>
      <c r="AQ11" s="448">
        <v>7</v>
      </c>
      <c r="AR11" s="448">
        <v>8</v>
      </c>
      <c r="AS11" s="423" t="s">
        <v>2135</v>
      </c>
      <c r="AT11" s="448"/>
      <c r="AU11" s="448"/>
      <c r="AV11" s="448"/>
      <c r="AW11" s="728"/>
      <c r="AX11" s="728"/>
      <c r="AY11" s="727" t="s">
        <v>41</v>
      </c>
      <c r="AZ11" s="732" t="s">
        <v>136</v>
      </c>
      <c r="BA11" s="728"/>
      <c r="BB11" s="728"/>
      <c r="BC11" s="728"/>
      <c r="BD11" s="448"/>
      <c r="BE11" s="448">
        <v>8</v>
      </c>
      <c r="BF11" s="425" t="s">
        <v>2896</v>
      </c>
      <c r="BG11" s="448">
        <v>7</v>
      </c>
      <c r="BH11" s="448"/>
      <c r="BI11" s="448"/>
      <c r="BJ11" s="448">
        <v>7</v>
      </c>
      <c r="BK11" s="448"/>
      <c r="BL11" s="448"/>
      <c r="BM11" s="448">
        <v>1</v>
      </c>
      <c r="BN11" s="448">
        <v>104</v>
      </c>
      <c r="BO11" s="448">
        <v>148</v>
      </c>
      <c r="BP11" s="727"/>
      <c r="BQ11" s="734">
        <v>3</v>
      </c>
      <c r="BR11" s="733"/>
      <c r="BS11" s="727" t="s">
        <v>2902</v>
      </c>
      <c r="BT11" s="423"/>
      <c r="BU11" s="423"/>
      <c r="BV11" s="425">
        <v>5</v>
      </c>
      <c r="BW11" s="423"/>
      <c r="BX11" s="448"/>
      <c r="BY11" s="448"/>
      <c r="BZ11" s="448"/>
      <c r="CA11" s="448"/>
      <c r="CB11" s="448"/>
      <c r="CC11" s="777"/>
      <c r="CD11" s="448"/>
      <c r="CE11" s="735" t="str">
        <f>IFERROR(WWWW[[#This Row],['#_Water sources passed]]/WWWW[[#This Row],['#_Water sources tested for fecal coliform ]],"no test")</f>
        <v>no test</v>
      </c>
      <c r="CF11" s="733" t="str">
        <f>IFERROR(WWWW[[#This Row],['#_Household passed]]/WWWW[[#This Row],['#_Household water samples tested for fecal coliform]],"no test")</f>
        <v>no test</v>
      </c>
      <c r="CG11" s="734" t="str">
        <f>IF(AND(WWWW[[#This Row],[% of water sources passed]]="no test",WWWW[[#This Row],[% Household passed]]="no test"),"No Test","Tested")</f>
        <v>No Test</v>
      </c>
      <c r="CH11" s="734">
        <f>WWWW[[#This Row],['#_Constructed/existing protected hand dug well]]-WWWW[[#This Row],['#_Non-functional protected hand dug well]]</f>
        <v>3</v>
      </c>
      <c r="CI11" s="734">
        <f>(WWWW[[#This Row],['#_Constructed/Existing tube wells/boreholes/handpumps_WASH_agency]]+WWWW[[#This Row],['#_Non-Cluster partner water tube-wells/boreholes/handpumps]])-WWWW[[#This Row],['#_Non-functional tube wells/boreholes/handpumps]]</f>
        <v>3</v>
      </c>
      <c r="CJ11" s="734">
        <f>WWWW[[#This Row],['#_Constructed/Existingwater storage tank with gravity fed reticulation system]]-WWWW[[#This Row],['#_Non-functional storage tank gravity fed reticulation system]]</f>
        <v>0</v>
      </c>
      <c r="CK11" s="734">
        <f>(WWWW[[#This Row],['#_Water_Liters_supplied_by_Water boating or water trucking]]/90)/15</f>
        <v>0</v>
      </c>
      <c r="CL11" s="734">
        <f>WWWW[[#This Row],['#_Water_Liters_from_Constructed/Existing water distribution system from river or natural spring]]/90/15</f>
        <v>0</v>
      </c>
      <c r="CM11" s="424">
        <f>IF(WWWW[[#This Row],['#_of water points in TLS/CFS]]*500&gt;WWWW[[#This Row],[Total PoP ]],WWWW[[#This Row],[Total PoP ]],WWWW[[#This Row],['#_of water points in TLS/CFS]]*500)</f>
        <v>435</v>
      </c>
      <c r="CN11" s="424">
        <f>IF(WWWW[[#This Row],['#_of water points in THF]]*500&gt;WWWW[[#This Row],[Total PoP ]],WWWW[[#This Row],[Total PoP ]],WWWW[[#This Row],['#_of water points in THF]]*500)</f>
        <v>0</v>
      </c>
      <c r="CO1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 s="733">
        <f>IF(WWWW[[#This Row],[Location Type 1]]="Village",WWWW[[#This Row],[Access to safe drinking water for Village]],WWWW[[#This Row],[Access to safe drinking water for Camp]])</f>
        <v>1</v>
      </c>
      <c r="CR11" s="731">
        <f>WWWW[[#This Row],[%Equitable and continuous access to sufficient quantity of safe drinking water]]*WWWW[[#This Row],[Total PoP ]]</f>
        <v>435</v>
      </c>
      <c r="CS11" s="733">
        <f>IF((WWWW[[#This Row],['#_Constructed/Existing protected/fenced ponds]]*250)/WWWW[[#This Row],[Total PoP ]]&gt;1,1,(WWWW[[#This Row],['#_Constructed/Existing protected/fenced ponds]]*250)/WWWW[[#This Row],[Total PoP ]])</f>
        <v>0</v>
      </c>
      <c r="CT11" s="731">
        <f>WWWW[[#This Row],[% Access to unimproved water points]]*WWWW[[#This Row],[Total PoP ]]</f>
        <v>0</v>
      </c>
      <c r="CU1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435</v>
      </c>
      <c r="CW11" s="731">
        <f>WWWW[[#This Row],[HRP1]]/500</f>
        <v>0.87</v>
      </c>
      <c r="CX11" s="736">
        <f>1-WWWW[[#This Row],[% Equitable and continuous access to sufficient quantity of domestic water]]</f>
        <v>0</v>
      </c>
      <c r="CY11" s="731">
        <f>WWWW[[#This Row],[%equitable and continuous access to sufficient quantity of safe drinking and domestic water''s GAP]]*WWWW[[#This Row],[Total PoP ]]</f>
        <v>0</v>
      </c>
      <c r="CZ11" s="734">
        <f>IF(WWWW[[#This Row],[Total required water points]]-WWWW[[#This Row],['#Water points coverage]]&lt;0,0,WWWW[[#This Row],[Total required water points]]-WWWW[[#This Row],['#Water points coverage]])</f>
        <v>0.13</v>
      </c>
      <c r="DA11" s="734">
        <f>ROUND(IF(WWWW[[#This Row],[Total PoP ]]&lt;500,1,WWWW[[#This Row],[Total PoP ]]/500),0)</f>
        <v>1</v>
      </c>
      <c r="DB11" s="734">
        <f>(WWWW[[#This Row],['#_Constructed latrines_by_WASHAgencies]]+WWWW[[#This Row],['#_Non Cluster partner latrines]])-WWWW[[#This Row],['#_Non-functional latrines]]</f>
        <v>15</v>
      </c>
      <c r="DC11" s="631">
        <f>WWWW[[#This Row],[HRP2]]/WWWW[[#This Row],[Total PoP ]]</f>
        <v>0.7080459770114943</v>
      </c>
      <c r="DD1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308</v>
      </c>
      <c r="DE1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 s="424">
        <f>IF(WWWW[[#This Row],['# of functional latrines in THF supported by WASH partners during the reporting period2]]="",0,WWWW[[#This Row],['# of functional latrines in THF supported by WASH partners during the reporting period2]]*50)</f>
        <v>0</v>
      </c>
      <c r="DH11" s="734">
        <f>ROUND(IF(WWWW[[#This Row],[Location Type 1]]="camp",WWWW[[#This Row],[Total PoP ]]/20,IF(WWWW[[#This Row],[Location Type 1]]="Temporary Location",WWWW[[#This Row],[Total PoP ]]/50,(WWWW[[#This Row],[Total PoP ]]/6))),0)</f>
        <v>22</v>
      </c>
      <c r="DI11" s="734">
        <f>IF(WWWW[[#This Row],[Total required Latrines]]-(WWWW[[#This Row],['#_Constructed latrines_by_WASHAgencies]]+WWWW[[#This Row],['#_Non Cluster partner latrines]])&lt;0,0,WWWW[[#This Row],[Total required Latrines]]-(WWWW[[#This Row],['#_Constructed latrines_by_WASHAgencies]]+WWWW[[#This Row],['#_Non Cluster partner latrines]]))</f>
        <v>7</v>
      </c>
      <c r="DJ11" s="736">
        <f>1-WWWW[[#This Row],[% people access to functioning Latrine]]</f>
        <v>0.2919540229885057</v>
      </c>
      <c r="DK11" s="735">
        <f>IF(OR(WWWW[[#This Row],['#_Non-functional latrines]]="",WWWW[[#This Row],['#_Non-functional latrines]]=0),0,WWWW[[#This Row],['#_Non-functional latrines]]/(WWWW[[#This Row],['#_Constructed latrines_by_WASHAgencies]]+WWWW[[#This Row],['#_Non Cluster partner latrines]]))</f>
        <v>0</v>
      </c>
      <c r="DL11" s="731">
        <f>IF(500*(WWWW[[#This Row],['#_male hygiene promoters]]+WWWW[[#This Row],['#_female hygiene promoters]])&gt;WWWW[[#This Row],[Total PoP ]],WWWW[[#This Row],[Total PoP ]],500*(WWWW[[#This Row],['#_male hygiene promoters]]+WWWW[[#This Row],['#_female hygiene promoters]]))</f>
        <v>435</v>
      </c>
      <c r="DM1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435</v>
      </c>
      <c r="DN1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1" s="734">
        <f>IF(WWWW[[#This Row],['# People with access to soap]]&gt;WWWW[[#This Row],['# People with access to Sanity Pads]],WWWW[[#This Row],['# People with access to soap]],WWWW[[#This Row],['# People with access to Sanity Pads]])</f>
        <v>435</v>
      </c>
      <c r="DP11" s="734">
        <f>IF(WWWW[[#This Row],['# people reached by regular dedicated hygiene promotion_5]]&gt;WWWW[[#This Row],['# People received regular supply of hygiene items_6]],WWWW[[#This Row],['# people reached by regular dedicated hygiene promotion_5]],WWWW[[#This Row],['# People received regular supply of hygiene items_6]])</f>
        <v>435</v>
      </c>
      <c r="DQ11" s="736">
        <f>IF(WWWW[[#This Row],[HRP3]]/WWWW[[#This Row],[Total PoP ]]&gt;1,1,WWWW[[#This Row],[HRP3]]/WWWW[[#This Row],[Total PoP ]])</f>
        <v>1</v>
      </c>
      <c r="DR11" s="735">
        <f>1-WWWW[[#This Row],[Hygiene Coverage%]]</f>
        <v>0</v>
      </c>
      <c r="DS11" s="733">
        <f>WWWW[[#This Row],['# people reached by regular dedicated hygiene promotion_5]]/WWWW[[#This Row],[Total PoP ]]</f>
        <v>1</v>
      </c>
      <c r="DT1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 s="734">
        <f>WWWW[[#This Row],['#_Constructed/Existing hand washing stations]]-WWWW[[#This Row],['#_Non-Functional_hand_washing_stations]]</f>
        <v>7</v>
      </c>
      <c r="DW11" s="731">
        <f>IF(WWWW[[#This Row],['# Functional hand washing stations during reporting period]]*20&gt;WWWW[[#This Row],[Total HH]],WWWW[[#This Row],[Total HH]],WWWW[[#This Row],['# Functional hand washing stations during reporting period]]*20)</f>
        <v>94</v>
      </c>
      <c r="DX11" s="731">
        <f>IF(WWWW[[#This Row],[Is sufficient soap available for TLS? (Yes/No)]]="yes",WWWW[[#This Row],['#_Constructed/Existing hand washing stations at TLS/CFS/THF]],0)</f>
        <v>0</v>
      </c>
      <c r="DY11" s="428">
        <f>IF(WWWW[[#This Row],['# Functional hand washing stations during reporting period]]*100&gt;WWWW[[#This Row],[Total PoP ]],WWWW[[#This Row],[Total PoP ]],WWWW[[#This Row],['# Functional hand washing stations during reporting period]]*100)</f>
        <v>435</v>
      </c>
      <c r="DZ11" s="428" t="str">
        <f>IF(OR(WWWW[[#This Row],['#_students at TLS_CFS]]="",WWWW[[#This Row],['#_students at TLS_CFS]]=0),"No","Yes")</f>
        <v>Yes</v>
      </c>
      <c r="EA11" s="631">
        <f>IF(WWWW[[#This Row],['#_of_affected_people_surveyed_who_report_feeling_informed_about_the_different_WASH_services_available_to_them]]="","",WWWW[[#This Row],['#_of_affected_people_surveyed_who_report_feeling_informed_about_the_different_WASH_services_available_to_them]]/WWWW[[#This Row],[Total PoP ]])</f>
        <v>1.1494252873563218E-2</v>
      </c>
      <c r="EB1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435</v>
      </c>
      <c r="ED1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 s="727" t="str">
        <f>VLOOKUP(WWWW[[#This Row],[Site Name]],SiteDB6[[Site Name]:[CCCM Management]],6,FALSE)</f>
        <v>Yes</v>
      </c>
      <c r="EF11" s="727" t="str">
        <f>VLOOKUP(WWWW[[#This Row],[Site Name]],SiteDB6[[Site Name]:[CCCM Focal Agency]],7,FALSE)</f>
        <v>Shalom</v>
      </c>
      <c r="EG11" s="727" t="str">
        <f>VLOOKUP(WWWW[[#This Row],[Site Name]],SiteDB6[[Site Name]:[Location Type 1]],9,FALSE)</f>
        <v>Camp</v>
      </c>
      <c r="EH11" s="727" t="str">
        <f>VLOOKUP(WWWW[[#This Row],[Site Name]],SiteDB6[[Site Name]:[Type of Accommodation]],10,FALSE)</f>
        <v>Camp</v>
      </c>
      <c r="EI11" s="727" t="str">
        <f>VLOOKUP(WWWW[[#This Row],[Site Name]],SiteDB6[[Site Name]:[Ethnic or GCA/NGCA]],11,FALSE)</f>
        <v>GCA</v>
      </c>
      <c r="EJ11" s="727">
        <f>VLOOKUP(WWWW[[#This Row],[Site Name]],SiteDB6[[Site Name]:[Lat]],12,FALSE)</f>
        <v>25.635300000000001</v>
      </c>
      <c r="EK11" s="727">
        <f>VLOOKUP(WWWW[[#This Row],[Site Name]],SiteDB6[[Site Name]:[Long]],13,FALSE)</f>
        <v>96.345569999999995</v>
      </c>
      <c r="EL11" s="727" t="str">
        <f>VLOOKUP(WWWW[[#This Row],[Site Name]],SiteDB6[[Site Name]:[Pcode]],3,FALSE)</f>
        <v>MMR001CMP176</v>
      </c>
      <c r="EM11" s="732" t="str">
        <f t="shared" si="0"/>
        <v>Covered</v>
      </c>
      <c r="EN11" s="732"/>
      <c r="EO11" s="727">
        <f>VLOOKUP(WWWW[[#This Row],[Site Name]],SiteDB6[[Site Name]:[Pop
(Kachin/Shan-CCCM as of July 2021)]],16,FALSE)</f>
        <v>94</v>
      </c>
      <c r="EP11" s="727">
        <f>VLOOKUP(WWWW[[#This Row],[Site Name]],SiteDB6[[Site Name]:[Pop
(Kachin/Shan-CCCM as of July 2021)]],17,FALSE)</f>
        <v>438</v>
      </c>
    </row>
    <row r="12" spans="1:146" hidden="1">
      <c r="A12" s="725" t="s">
        <v>2763</v>
      </c>
      <c r="B12" s="725" t="s">
        <v>242</v>
      </c>
      <c r="C12" s="726" t="s">
        <v>242</v>
      </c>
      <c r="D12" s="726" t="s">
        <v>307</v>
      </c>
      <c r="E12" s="726" t="s">
        <v>37</v>
      </c>
      <c r="F12" s="726" t="s">
        <v>148</v>
      </c>
      <c r="G12" s="591" t="str">
        <f>VLOOKUP(WWWW[[#This Row],[Site Name]],SiteDB6[[Site Name]:[Location Type]],8,FALSE)</f>
        <v>Camp</v>
      </c>
      <c r="H12" s="726" t="s">
        <v>249</v>
      </c>
      <c r="I12" s="448">
        <v>14</v>
      </c>
      <c r="J12" s="448">
        <v>72</v>
      </c>
      <c r="K12" s="588">
        <v>44197</v>
      </c>
      <c r="L12" s="589">
        <v>44651</v>
      </c>
      <c r="M12" s="448"/>
      <c r="N12" s="448">
        <v>1</v>
      </c>
      <c r="O12" s="728"/>
      <c r="P12" s="728"/>
      <c r="Q12" s="731" t="s">
        <v>41</v>
      </c>
      <c r="R12" s="448">
        <v>2</v>
      </c>
      <c r="S12" s="448">
        <v>3</v>
      </c>
      <c r="T12" s="448">
        <v>1</v>
      </c>
      <c r="U12" s="728"/>
      <c r="V12" s="728"/>
      <c r="W12" s="728"/>
      <c r="X12" s="728"/>
      <c r="Y12" s="728"/>
      <c r="Z12" s="728"/>
      <c r="AA12" s="728">
        <v>2</v>
      </c>
      <c r="AB12" s="728"/>
      <c r="AC12" s="728"/>
      <c r="AD12" s="728"/>
      <c r="AE12" s="728"/>
      <c r="AF12" s="728"/>
      <c r="AG12" s="728">
        <v>1</v>
      </c>
      <c r="AH12" s="728"/>
      <c r="AI12" s="728"/>
      <c r="AJ12" s="728"/>
      <c r="AK12" s="728"/>
      <c r="AL12" s="728"/>
      <c r="AM12" s="728">
        <v>3</v>
      </c>
      <c r="AN12" s="448">
        <v>1</v>
      </c>
      <c r="AO12" s="448"/>
      <c r="AP12" s="590"/>
      <c r="AQ12" s="448">
        <v>5</v>
      </c>
      <c r="AR12" s="728"/>
      <c r="AS12" s="733"/>
      <c r="AT12" s="448"/>
      <c r="AU12" s="448"/>
      <c r="AV12" s="448"/>
      <c r="AW12" s="728"/>
      <c r="AX12" s="728"/>
      <c r="AY12" s="727" t="s">
        <v>41</v>
      </c>
      <c r="AZ12" s="732" t="s">
        <v>137</v>
      </c>
      <c r="BA12" s="728"/>
      <c r="BB12" s="728">
        <v>1</v>
      </c>
      <c r="BC12" s="728"/>
      <c r="BD12" s="448"/>
      <c r="BE12" s="448"/>
      <c r="BF12" s="425"/>
      <c r="BG12" s="448">
        <v>7</v>
      </c>
      <c r="BH12" s="448"/>
      <c r="BI12" s="448"/>
      <c r="BJ12" s="448">
        <v>4</v>
      </c>
      <c r="BK12" s="448"/>
      <c r="BL12" s="448"/>
      <c r="BM12" s="448">
        <v>1</v>
      </c>
      <c r="BN12" s="448">
        <v>124</v>
      </c>
      <c r="BO12" s="448">
        <v>198</v>
      </c>
      <c r="BP12" s="727" t="s">
        <v>41</v>
      </c>
      <c r="BQ12" s="424">
        <v>3</v>
      </c>
      <c r="BR12" s="423">
        <v>0.75</v>
      </c>
      <c r="BS12" s="425" t="s">
        <v>2903</v>
      </c>
      <c r="BT12" s="423">
        <v>0.8</v>
      </c>
      <c r="BU12" s="423">
        <v>1</v>
      </c>
      <c r="BV12" s="425">
        <v>4</v>
      </c>
      <c r="BW12" s="423">
        <v>0.7</v>
      </c>
      <c r="BX12" s="448"/>
      <c r="BY12" s="448"/>
      <c r="BZ12" s="448"/>
      <c r="CA12" s="448"/>
      <c r="CB12" s="448"/>
      <c r="CC12" s="777"/>
      <c r="CD12" s="448"/>
      <c r="CE12" s="735" t="str">
        <f>IFERROR(WWWW[[#This Row],['#_Water sources passed]]/WWWW[[#This Row],['#_Water sources tested for fecal coliform ]],"no test")</f>
        <v>no test</v>
      </c>
      <c r="CF12" s="733" t="str">
        <f>IFERROR(WWWW[[#This Row],['#_Household passed]]/WWWW[[#This Row],['#_Household water samples tested for fecal coliform]],"no test")</f>
        <v>no test</v>
      </c>
      <c r="CG12" s="734" t="str">
        <f>IF(AND(WWWW[[#This Row],[% of water sources passed]]="no test",WWWW[[#This Row],[% Household passed]]="no test"),"No Test","Tested")</f>
        <v>No Test</v>
      </c>
      <c r="CH12" s="734">
        <f>WWWW[[#This Row],['#_Constructed/existing protected hand dug well]]-WWWW[[#This Row],['#_Non-functional protected hand dug well]]</f>
        <v>1</v>
      </c>
      <c r="CI12" s="734">
        <f>(WWWW[[#This Row],['#_Constructed/Existing tube wells/boreholes/handpumps_WASH_agency]]+WWWW[[#This Row],['#_Non-Cluster partner water tube-wells/boreholes/handpumps]])-WWWW[[#This Row],['#_Non-functional tube wells/boreholes/handpumps]]</f>
        <v>0</v>
      </c>
      <c r="CJ12" s="734">
        <f>WWWW[[#This Row],['#_Constructed/Existingwater storage tank with gravity fed reticulation system]]-WWWW[[#This Row],['#_Non-functional storage tank gravity fed reticulation system]]</f>
        <v>2</v>
      </c>
      <c r="CK12" s="734">
        <f>(WWWW[[#This Row],['#_Water_Liters_supplied_by_Water boating or water trucking]]/90)/15</f>
        <v>0</v>
      </c>
      <c r="CL12" s="734">
        <f>WWWW[[#This Row],['#_Water_Liters_from_Constructed/Existing water distribution system from river or natural spring]]/90/15</f>
        <v>0</v>
      </c>
      <c r="CM12" s="424">
        <f>IF(WWWW[[#This Row],['#_of water points in TLS/CFS]]*500&gt;WWWW[[#This Row],[Total PoP ]],WWWW[[#This Row],[Total PoP ]],WWWW[[#This Row],['#_of water points in TLS/CFS]]*500)</f>
        <v>72</v>
      </c>
      <c r="CN12" s="424">
        <f>IF(WWWW[[#This Row],['#_of water points in THF]]*500&gt;WWWW[[#This Row],[Total PoP ]],WWWW[[#This Row],[Total PoP ]],WWWW[[#This Row],['#_of water points in THF]]*500)</f>
        <v>0</v>
      </c>
      <c r="CO1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 s="733">
        <f>IF(WWWW[[#This Row],[Location Type 1]]="Village",WWWW[[#This Row],[Access to safe drinking water for Village]],WWWW[[#This Row],[Access to safe drinking water for Camp]])</f>
        <v>1</v>
      </c>
      <c r="CR12" s="731">
        <f>WWWW[[#This Row],[%Equitable and continuous access to sufficient quantity of safe drinking water]]*WWWW[[#This Row],[Total PoP ]]</f>
        <v>72</v>
      </c>
      <c r="CS12" s="733">
        <f>IF((WWWW[[#This Row],['#_Constructed/Existing protected/fenced ponds]]*250)/WWWW[[#This Row],[Total PoP ]]&gt;1,1,(WWWW[[#This Row],['#_Constructed/Existing protected/fenced ponds]]*250)/WWWW[[#This Row],[Total PoP ]])</f>
        <v>0</v>
      </c>
      <c r="CT12" s="731">
        <f>WWWW[[#This Row],[% Access to unimproved water points]]*WWWW[[#This Row],[Total PoP ]]</f>
        <v>0</v>
      </c>
      <c r="CU1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v>
      </c>
      <c r="CW12" s="731">
        <f>WWWW[[#This Row],[HRP1]]/500</f>
        <v>0.14399999999999999</v>
      </c>
      <c r="CX12" s="736">
        <f>1-WWWW[[#This Row],[% Equitable and continuous access to sufficient quantity of domestic water]]</f>
        <v>0</v>
      </c>
      <c r="CY12" s="731">
        <f>WWWW[[#This Row],[%equitable and continuous access to sufficient quantity of safe drinking and domestic water''s GAP]]*WWWW[[#This Row],[Total PoP ]]</f>
        <v>0</v>
      </c>
      <c r="CZ12" s="734">
        <f>IF(WWWW[[#This Row],[Total required water points]]-WWWW[[#This Row],['#Water points coverage]]&lt;0,0,WWWW[[#This Row],[Total required water points]]-WWWW[[#This Row],['#Water points coverage]])</f>
        <v>0.85599999999999998</v>
      </c>
      <c r="DA12" s="734">
        <f>ROUND(IF(WWWW[[#This Row],[Total PoP ]]&lt;500,1,WWWW[[#This Row],[Total PoP ]]/500),0)</f>
        <v>1</v>
      </c>
      <c r="DB12" s="734">
        <f>(WWWW[[#This Row],['#_Constructed latrines_by_WASHAgencies]]+WWWW[[#This Row],['#_Non Cluster partner latrines]])-WWWW[[#This Row],['#_Non-functional latrines]]</f>
        <v>5</v>
      </c>
      <c r="DC12" s="631">
        <f>WWWW[[#This Row],[HRP2]]/WWWW[[#This Row],[Total PoP ]]</f>
        <v>1</v>
      </c>
      <c r="DD1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v>
      </c>
      <c r="DE1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 s="424">
        <f>IF(WWWW[[#This Row],['# of functional latrines in THF supported by WASH partners during the reporting period2]]="",0,WWWW[[#This Row],['# of functional latrines in THF supported by WASH partners during the reporting period2]]*50)</f>
        <v>0</v>
      </c>
      <c r="DH12" s="734">
        <f>ROUND(IF(WWWW[[#This Row],[Location Type 1]]="camp",WWWW[[#This Row],[Total PoP ]]/20,IF(WWWW[[#This Row],[Location Type 1]]="Temporary Location",WWWW[[#This Row],[Total PoP ]]/50,(WWWW[[#This Row],[Total PoP ]]/6))),0)</f>
        <v>4</v>
      </c>
      <c r="DI12" s="734">
        <f>IF(WWWW[[#This Row],[Total required Latrines]]-(WWWW[[#This Row],['#_Constructed latrines_by_WASHAgencies]]+WWWW[[#This Row],['#_Non Cluster partner latrines]])&lt;0,0,WWWW[[#This Row],[Total required Latrines]]-(WWWW[[#This Row],['#_Constructed latrines_by_WASHAgencies]]+WWWW[[#This Row],['#_Non Cluster partner latrines]]))</f>
        <v>0</v>
      </c>
      <c r="DJ12" s="736">
        <f>1-WWWW[[#This Row],[% people access to functioning Latrine]]</f>
        <v>0</v>
      </c>
      <c r="DK12" s="735">
        <f>IF(OR(WWWW[[#This Row],['#_Non-functional latrines]]="",WWWW[[#This Row],['#_Non-functional latrines]]=0),0,WWWW[[#This Row],['#_Non-functional latrines]]/(WWWW[[#This Row],['#_Constructed latrines_by_WASHAgencies]]+WWWW[[#This Row],['#_Non Cluster partner latrines]]))</f>
        <v>0</v>
      </c>
      <c r="DL12" s="731">
        <f>IF(500*(WWWW[[#This Row],['#_male hygiene promoters]]+WWWW[[#This Row],['#_female hygiene promoters]])&gt;WWWW[[#This Row],[Total PoP ]],WWWW[[#This Row],[Total PoP ]],500*(WWWW[[#This Row],['#_male hygiene promoters]]+WWWW[[#This Row],['#_female hygiene promoters]]))</f>
        <v>72</v>
      </c>
      <c r="DM1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72</v>
      </c>
      <c r="DN1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72</v>
      </c>
      <c r="DO12" s="734">
        <f>IF(WWWW[[#This Row],['# People with access to soap]]&gt;WWWW[[#This Row],['# People with access to Sanity Pads]],WWWW[[#This Row],['# People with access to soap]],WWWW[[#This Row],['# People with access to Sanity Pads]])</f>
        <v>72</v>
      </c>
      <c r="DP12" s="734">
        <f>IF(WWWW[[#This Row],['# people reached by regular dedicated hygiene promotion_5]]&gt;WWWW[[#This Row],['# People received regular supply of hygiene items_6]],WWWW[[#This Row],['# people reached by regular dedicated hygiene promotion_5]],WWWW[[#This Row],['# People received regular supply of hygiene items_6]])</f>
        <v>72</v>
      </c>
      <c r="DQ12" s="736">
        <f>IF(WWWW[[#This Row],[HRP3]]/WWWW[[#This Row],[Total PoP ]]&gt;1,1,WWWW[[#This Row],[HRP3]]/WWWW[[#This Row],[Total PoP ]])</f>
        <v>1</v>
      </c>
      <c r="DR12" s="735">
        <f>1-WWWW[[#This Row],[Hygiene Coverage%]]</f>
        <v>0</v>
      </c>
      <c r="DS12" s="733">
        <f>WWWW[[#This Row],['# people reached by regular dedicated hygiene promotion_5]]/WWWW[[#This Row],[Total PoP ]]</f>
        <v>1</v>
      </c>
      <c r="DT1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 s="734">
        <f>WWWW[[#This Row],['#_Constructed/Existing hand washing stations]]-WWWW[[#This Row],['#_Non-Functional_hand_washing_stations]]</f>
        <v>7</v>
      </c>
      <c r="DW12" s="731">
        <f>IF(WWWW[[#This Row],['# Functional hand washing stations during reporting period]]*20&gt;WWWW[[#This Row],[Total HH]],WWWW[[#This Row],[Total HH]],WWWW[[#This Row],['# Functional hand washing stations during reporting period]]*20)</f>
        <v>14</v>
      </c>
      <c r="DX12" s="731">
        <f>IF(WWWW[[#This Row],[Is sufficient soap available for TLS? (Yes/No)]]="yes",WWWW[[#This Row],['#_Constructed/Existing hand washing stations at TLS/CFS/THF]],0)</f>
        <v>3</v>
      </c>
      <c r="DY12" s="428">
        <f>IF(WWWW[[#This Row],['# Functional hand washing stations during reporting period]]*100&gt;WWWW[[#This Row],[Total PoP ]],WWWW[[#This Row],[Total PoP ]],WWWW[[#This Row],['# Functional hand washing stations during reporting period]]*100)</f>
        <v>72</v>
      </c>
      <c r="DZ12" s="428" t="str">
        <f>IF(OR(WWWW[[#This Row],['#_students at TLS_CFS]]="",WWWW[[#This Row],['#_students at TLS_CFS]]=0),"No","Yes")</f>
        <v>No</v>
      </c>
      <c r="EA12" s="631">
        <f>IF(WWWW[[#This Row],['#_of_affected_people_surveyed_who_report_feeling_informed_about_the_different_WASH_services_available_to_them]]="","",WWWW[[#This Row],['#_of_affected_people_surveyed_who_report_feeling_informed_about_the_different_WASH_services_available_to_them]]/WWWW[[#This Row],[Total PoP ]])</f>
        <v>5.5555555555555552E-2</v>
      </c>
      <c r="EB1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72</v>
      </c>
      <c r="ED1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 s="727" t="str">
        <f>VLOOKUP(WWWW[[#This Row],[Site Name]],SiteDB6[[Site Name]:[CCCM Management]],6,FALSE)</f>
        <v>Yes</v>
      </c>
      <c r="EF12" s="727" t="str">
        <f>VLOOKUP(WWWW[[#This Row],[Site Name]],SiteDB6[[Site Name]:[CCCM Focal Agency]],7,FALSE)</f>
        <v>Shalom</v>
      </c>
      <c r="EG12" s="727" t="str">
        <f>VLOOKUP(WWWW[[#This Row],[Site Name]],SiteDB6[[Site Name]:[Location Type 1]],9,FALSE)</f>
        <v>Camp</v>
      </c>
      <c r="EH12" s="727" t="str">
        <f>VLOOKUP(WWWW[[#This Row],[Site Name]],SiteDB6[[Site Name]:[Type of Accommodation]],10,FALSE)</f>
        <v>Camp</v>
      </c>
      <c r="EI12" s="727" t="str">
        <f>VLOOKUP(WWWW[[#This Row],[Site Name]],SiteDB6[[Site Name]:[Ethnic or GCA/NGCA]],11,FALSE)</f>
        <v>GCA</v>
      </c>
      <c r="EJ12" s="727">
        <f>VLOOKUP(WWWW[[#This Row],[Site Name]],SiteDB6[[Site Name]:[Lat]],12,FALSE)</f>
        <v>25.616509000000001</v>
      </c>
      <c r="EK12" s="727">
        <f>VLOOKUP(WWWW[[#This Row],[Site Name]],SiteDB6[[Site Name]:[Long]],13,FALSE)</f>
        <v>96.317350000000005</v>
      </c>
      <c r="EL12" s="727" t="str">
        <f>VLOOKUP(WWWW[[#This Row],[Site Name]],SiteDB6[[Site Name]:[Pcode]],3,FALSE)</f>
        <v>MMR001CMP190</v>
      </c>
      <c r="EM12" s="732" t="str">
        <f t="shared" si="0"/>
        <v>Covered</v>
      </c>
      <c r="EN12" s="732"/>
      <c r="EO12" s="727">
        <f>VLOOKUP(WWWW[[#This Row],[Site Name]],SiteDB6[[Site Name]:[Pop
(Kachin/Shan-CCCM as of July 2021)]],16,FALSE)</f>
        <v>14</v>
      </c>
      <c r="EP12" s="727">
        <f>VLOOKUP(WWWW[[#This Row],[Site Name]],SiteDB6[[Site Name]:[Pop
(Kachin/Shan-CCCM as of July 2021)]],17,FALSE)</f>
        <v>72</v>
      </c>
    </row>
    <row r="13" spans="1:146" hidden="1">
      <c r="A13" s="725" t="s">
        <v>2763</v>
      </c>
      <c r="B13" s="725" t="s">
        <v>192</v>
      </c>
      <c r="C13" s="726" t="s">
        <v>192</v>
      </c>
      <c r="D13" s="726" t="s">
        <v>2679</v>
      </c>
      <c r="E13" s="726" t="s">
        <v>37</v>
      </c>
      <c r="F13" s="726" t="s">
        <v>205</v>
      </c>
      <c r="G13" s="591" t="str">
        <f>VLOOKUP(WWWW[[#This Row],[Site Name]],SiteDB6[[Site Name]:[Location Type]],8,FALSE)</f>
        <v>Camp_not registered</v>
      </c>
      <c r="H13" s="726" t="s">
        <v>206</v>
      </c>
      <c r="I13" s="728">
        <v>139</v>
      </c>
      <c r="J13" s="728">
        <v>605</v>
      </c>
      <c r="K13" s="729" t="s">
        <v>2670</v>
      </c>
      <c r="L13" s="730" t="s">
        <v>2680</v>
      </c>
      <c r="M13" s="728"/>
      <c r="N13" s="728"/>
      <c r="O13" s="728"/>
      <c r="P13" s="728"/>
      <c r="Q13" s="731" t="s">
        <v>41</v>
      </c>
      <c r="R13" s="728">
        <v>2</v>
      </c>
      <c r="S13" s="728">
        <v>3</v>
      </c>
      <c r="T13" s="448">
        <v>1</v>
      </c>
      <c r="U13" s="728"/>
      <c r="V13" s="728"/>
      <c r="W13" s="728">
        <v>1</v>
      </c>
      <c r="X13" s="728">
        <v>1</v>
      </c>
      <c r="Y13" s="728"/>
      <c r="Z13" s="728"/>
      <c r="AA13" s="728"/>
      <c r="AB13" s="728"/>
      <c r="AC13" s="728"/>
      <c r="AD13" s="728"/>
      <c r="AE13" s="728"/>
      <c r="AF13" s="728"/>
      <c r="AG13" s="728"/>
      <c r="AH13" s="728"/>
      <c r="AI13" s="728"/>
      <c r="AJ13" s="728"/>
      <c r="AK13" s="728"/>
      <c r="AL13" s="728"/>
      <c r="AM13" s="728">
        <v>2</v>
      </c>
      <c r="AN13" s="728"/>
      <c r="AO13" s="728"/>
      <c r="AP13" s="732"/>
      <c r="AQ13" s="728">
        <v>28</v>
      </c>
      <c r="AR13" s="728"/>
      <c r="AS13" s="733"/>
      <c r="AT13" s="728"/>
      <c r="AU13" s="728"/>
      <c r="AV13" s="728"/>
      <c r="AW13" s="728"/>
      <c r="AX13" s="728"/>
      <c r="AY13" s="727" t="s">
        <v>41</v>
      </c>
      <c r="AZ13" s="732" t="s">
        <v>137</v>
      </c>
      <c r="BA13" s="728"/>
      <c r="BB13" s="728"/>
      <c r="BC13" s="728">
        <v>3</v>
      </c>
      <c r="BD13" s="448"/>
      <c r="BE13" s="448"/>
      <c r="BF13" s="727"/>
      <c r="BG13" s="728">
        <v>8</v>
      </c>
      <c r="BH13" s="728"/>
      <c r="BI13" s="728"/>
      <c r="BJ13" s="728">
        <v>3</v>
      </c>
      <c r="BK13" s="728"/>
      <c r="BL13" s="728"/>
      <c r="BM13" s="728">
        <v>1</v>
      </c>
      <c r="BN13" s="728">
        <v>91</v>
      </c>
      <c r="BO13" s="728">
        <v>124</v>
      </c>
      <c r="BP13" s="727"/>
      <c r="BQ13" s="734"/>
      <c r="BR13" s="733"/>
      <c r="BS13" s="727"/>
      <c r="BT13" s="423"/>
      <c r="BU13" s="423"/>
      <c r="BV13" s="425"/>
      <c r="BW13" s="423"/>
      <c r="BX13" s="448"/>
      <c r="BY13" s="448"/>
      <c r="BZ13" s="448"/>
      <c r="CA13" s="448"/>
      <c r="CB13" s="448"/>
      <c r="CC13" s="777"/>
      <c r="CD13" s="448"/>
      <c r="CE13" s="735" t="str">
        <f>IFERROR(WWWW[[#This Row],['#_Water sources passed]]/WWWW[[#This Row],['#_Water sources tested for fecal coliform ]],"no test")</f>
        <v>no test</v>
      </c>
      <c r="CF13" s="733" t="str">
        <f>IFERROR(WWWW[[#This Row],['#_Household passed]]/WWWW[[#This Row],['#_Household water samples tested for fecal coliform]],"no test")</f>
        <v>no test</v>
      </c>
      <c r="CG13" s="734" t="str">
        <f>IF(AND(WWWW[[#This Row],[% of water sources passed]]="no test",WWWW[[#This Row],[% Household passed]]="no test"),"No Test","Tested")</f>
        <v>No Test</v>
      </c>
      <c r="CH13" s="734">
        <f>WWWW[[#This Row],['#_Constructed/existing protected hand dug well]]-WWWW[[#This Row],['#_Non-functional protected hand dug well]]</f>
        <v>1</v>
      </c>
      <c r="CI13" s="734">
        <f>(WWWW[[#This Row],['#_Constructed/Existing tube wells/boreholes/handpumps_WASH_agency]]+WWWW[[#This Row],['#_Non-Cluster partner water tube-wells/boreholes/handpumps]])-WWWW[[#This Row],['#_Non-functional tube wells/boreholes/handpumps]]</f>
        <v>2</v>
      </c>
      <c r="CJ13" s="734">
        <f>WWWW[[#This Row],['#_Constructed/Existingwater storage tank with gravity fed reticulation system]]-WWWW[[#This Row],['#_Non-functional storage tank gravity fed reticulation system]]</f>
        <v>0</v>
      </c>
      <c r="CK13" s="734">
        <f>(WWWW[[#This Row],['#_Water_Liters_supplied_by_Water boating or water trucking]]/90)/15</f>
        <v>0</v>
      </c>
      <c r="CL13" s="734">
        <f>WWWW[[#This Row],['#_Water_Liters_from_Constructed/Existing water distribution system from river or natural spring]]/90/15</f>
        <v>0</v>
      </c>
      <c r="CM13" s="424">
        <f>IF(WWWW[[#This Row],['#_of water points in TLS/CFS]]*500&gt;WWWW[[#This Row],[Total PoP ]],WWWW[[#This Row],[Total PoP ]],WWWW[[#This Row],['#_of water points in TLS/CFS]]*500)</f>
        <v>0</v>
      </c>
      <c r="CN13" s="424">
        <f>IF(WWWW[[#This Row],['#_of water points in THF]]*500&gt;WWWW[[#This Row],[Total PoP ]],WWWW[[#This Row],[Total PoP ]],WWWW[[#This Row],['#_of water points in THF]]*500)</f>
        <v>0</v>
      </c>
      <c r="CO1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 s="733">
        <f>IF(WWWW[[#This Row],[Location Type 1]]="Village",WWWW[[#This Row],[Access to safe drinking water for Village]],WWWW[[#This Row],[Access to safe drinking water for Camp]])</f>
        <v>1</v>
      </c>
      <c r="CR13" s="731">
        <f>WWWW[[#This Row],[%Equitable and continuous access to sufficient quantity of safe drinking water]]*WWWW[[#This Row],[Total PoP ]]</f>
        <v>605</v>
      </c>
      <c r="CS13" s="733">
        <f>IF((WWWW[[#This Row],['#_Constructed/Existing protected/fenced ponds]]*250)/WWWW[[#This Row],[Total PoP ]]&gt;1,1,(WWWW[[#This Row],['#_Constructed/Existing protected/fenced ponds]]*250)/WWWW[[#This Row],[Total PoP ]])</f>
        <v>0</v>
      </c>
      <c r="CT13" s="731">
        <f>WWWW[[#This Row],[% Access to unimproved water points]]*WWWW[[#This Row],[Total PoP ]]</f>
        <v>0</v>
      </c>
      <c r="CU1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605</v>
      </c>
      <c r="CW13" s="731">
        <f>WWWW[[#This Row],[HRP1]]/500</f>
        <v>1.21</v>
      </c>
      <c r="CX13" s="736">
        <f>1-WWWW[[#This Row],[% Equitable and continuous access to sufficient quantity of domestic water]]</f>
        <v>0</v>
      </c>
      <c r="CY13" s="731">
        <f>WWWW[[#This Row],[%equitable and continuous access to sufficient quantity of safe drinking and domestic water''s GAP]]*WWWW[[#This Row],[Total PoP ]]</f>
        <v>0</v>
      </c>
      <c r="CZ13" s="734">
        <f>IF(WWWW[[#This Row],[Total required water points]]-WWWW[[#This Row],['#Water points coverage]]&lt;0,0,WWWW[[#This Row],[Total required water points]]-WWWW[[#This Row],['#Water points coverage]])</f>
        <v>0</v>
      </c>
      <c r="DA13" s="734">
        <f>ROUND(IF(WWWW[[#This Row],[Total PoP ]]&lt;500,1,WWWW[[#This Row],[Total PoP ]]/500),0)</f>
        <v>1</v>
      </c>
      <c r="DB13" s="734">
        <f>(WWWW[[#This Row],['#_Constructed latrines_by_WASHAgencies]]+WWWW[[#This Row],['#_Non Cluster partner latrines]])-WWWW[[#This Row],['#_Non-functional latrines]]</f>
        <v>28</v>
      </c>
      <c r="DC13" s="631">
        <f>WWWW[[#This Row],[HRP2]]/WWWW[[#This Row],[Total PoP ]]</f>
        <v>0.92561983471074383</v>
      </c>
      <c r="DD1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DE1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 s="424">
        <f>IF(WWWW[[#This Row],['# of functional latrines in THF supported by WASH partners during the reporting period2]]="",0,WWWW[[#This Row],['# of functional latrines in THF supported by WASH partners during the reporting period2]]*50)</f>
        <v>0</v>
      </c>
      <c r="DH13" s="734">
        <f>ROUND(IF(WWWW[[#This Row],[Location Type 1]]="camp",WWWW[[#This Row],[Total PoP ]]/20,IF(WWWW[[#This Row],[Location Type 1]]="Temporary Location",WWWW[[#This Row],[Total PoP ]]/50,(WWWW[[#This Row],[Total PoP ]]/6))),0)</f>
        <v>30</v>
      </c>
      <c r="DI13" s="734">
        <f>IF(WWWW[[#This Row],[Total required Latrines]]-(WWWW[[#This Row],['#_Constructed latrines_by_WASHAgencies]]+WWWW[[#This Row],['#_Non Cluster partner latrines]])&lt;0,0,WWWW[[#This Row],[Total required Latrines]]-(WWWW[[#This Row],['#_Constructed latrines_by_WASHAgencies]]+WWWW[[#This Row],['#_Non Cluster partner latrines]]))</f>
        <v>2</v>
      </c>
      <c r="DJ13" s="736">
        <f>1-WWWW[[#This Row],[% people access to functioning Latrine]]</f>
        <v>7.4380165289256173E-2</v>
      </c>
      <c r="DK13" s="735">
        <f>IF(OR(WWWW[[#This Row],['#_Non-functional latrines]]="",WWWW[[#This Row],['#_Non-functional latrines]]=0),0,WWWW[[#This Row],['#_Non-functional latrines]]/(WWWW[[#This Row],['#_Constructed latrines_by_WASHAgencies]]+WWWW[[#This Row],['#_Non Cluster partner latrines]]))</f>
        <v>0</v>
      </c>
      <c r="DL13" s="731">
        <f>IF(500*(WWWW[[#This Row],['#_male hygiene promoters]]+WWWW[[#This Row],['#_female hygiene promoters]])&gt;WWWW[[#This Row],[Total PoP ]],WWWW[[#This Row],[Total PoP ]],500*(WWWW[[#This Row],['#_male hygiene promoters]]+WWWW[[#This Row],['#_female hygiene promoters]]))</f>
        <v>500</v>
      </c>
      <c r="DM1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3" s="734">
        <f>IF(WWWW[[#This Row],['# People with access to soap]]&gt;WWWW[[#This Row],['# People with access to Sanity Pads]],WWWW[[#This Row],['# People with access to soap]],WWWW[[#This Row],['# People with access to Sanity Pads]])</f>
        <v>455</v>
      </c>
      <c r="DP13" s="73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3" s="736">
        <f>IF(WWWW[[#This Row],[HRP3]]/WWWW[[#This Row],[Total PoP ]]&gt;1,1,WWWW[[#This Row],[HRP3]]/WWWW[[#This Row],[Total PoP ]])</f>
        <v>0.82644628099173556</v>
      </c>
      <c r="DR13" s="735">
        <f>1-WWWW[[#This Row],[Hygiene Coverage%]]</f>
        <v>0.17355371900826444</v>
      </c>
      <c r="DS13" s="733">
        <f>WWWW[[#This Row],['# people reached by regular dedicated hygiene promotion_5]]/WWWW[[#This Row],[Total PoP ]]</f>
        <v>0.82644628099173556</v>
      </c>
      <c r="DT1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0.8920863309352518</v>
      </c>
      <c r="DV13" s="734">
        <f>WWWW[[#This Row],['#_Constructed/Existing hand washing stations]]-WWWW[[#This Row],['#_Non-Functional_hand_washing_stations]]</f>
        <v>8</v>
      </c>
      <c r="DW13" s="731">
        <f>IF(WWWW[[#This Row],['# Functional hand washing stations during reporting period]]*20&gt;WWWW[[#This Row],[Total HH]],WWWW[[#This Row],[Total HH]],WWWW[[#This Row],['# Functional hand washing stations during reporting period]]*20)</f>
        <v>139</v>
      </c>
      <c r="DX13" s="731">
        <f>IF(WWWW[[#This Row],[Is sufficient soap available for TLS? (Yes/No)]]="yes",WWWW[[#This Row],['#_Constructed/Existing hand washing stations at TLS/CFS/THF]],0)</f>
        <v>0</v>
      </c>
      <c r="DY13" s="428">
        <f>IF(WWWW[[#This Row],['# Functional hand washing stations during reporting period]]*100&gt;WWWW[[#This Row],[Total PoP ]],WWWW[[#This Row],[Total PoP ]],WWWW[[#This Row],['# Functional hand washing stations during reporting period]]*100)</f>
        <v>605</v>
      </c>
      <c r="DZ13" s="428" t="str">
        <f>IF(OR(WWWW[[#This Row],['#_students at TLS_CFS]]="",WWWW[[#This Row],['#_students at TLS_CFS]]=0),"No","Yes")</f>
        <v>No</v>
      </c>
      <c r="EA1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 s="727">
        <f>VLOOKUP(WWWW[[#This Row],[Site Name]],SiteDB6[[Site Name]:[CCCM Management]],6,FALSE)</f>
        <v>0</v>
      </c>
      <c r="EF13" s="727">
        <f>VLOOKUP(WWWW[[#This Row],[Site Name]],SiteDB6[[Site Name]:[CCCM Focal Agency]],7,FALSE)</f>
        <v>0</v>
      </c>
      <c r="EG13" s="727" t="str">
        <f>VLOOKUP(WWWW[[#This Row],[Site Name]],SiteDB6[[Site Name]:[Location Type 1]],9,FALSE)</f>
        <v>Camp</v>
      </c>
      <c r="EH13" s="727" t="str">
        <f>VLOOKUP(WWWW[[#This Row],[Site Name]],SiteDB6[[Site Name]:[Type of Accommodation]],10,FALSE)</f>
        <v>Camp</v>
      </c>
      <c r="EI13" s="727" t="str">
        <f>VLOOKUP(WWWW[[#This Row],[Site Name]],SiteDB6[[Site Name]:[Ethnic or GCA/NGCA]],11,FALSE)</f>
        <v>GCA</v>
      </c>
      <c r="EJ13" s="727">
        <f>VLOOKUP(WWWW[[#This Row],[Site Name]],SiteDB6[[Site Name]:[Lat]],12,FALSE)</f>
        <v>0</v>
      </c>
      <c r="EK13" s="727">
        <f>VLOOKUP(WWWW[[#This Row],[Site Name]],SiteDB6[[Site Name]:[Long]],13,FALSE)</f>
        <v>0</v>
      </c>
      <c r="EL13" s="727">
        <f>VLOOKUP(WWWW[[#This Row],[Site Name]],SiteDB6[[Site Name]:[Pcode]],3,FALSE)</f>
        <v>0</v>
      </c>
      <c r="EM13" s="732" t="str">
        <f t="shared" si="0"/>
        <v>Covered</v>
      </c>
      <c r="EN13" s="732"/>
      <c r="EO13" s="727">
        <f>VLOOKUP(WWWW[[#This Row],[Site Name]],SiteDB6[[Site Name]:[Pop
(Kachin/Shan-CCCM as of July 2021)]],16,FALSE)</f>
        <v>0</v>
      </c>
      <c r="EP13" s="727">
        <f>VLOOKUP(WWWW[[#This Row],[Site Name]],SiteDB6[[Site Name]:[Pop
(Kachin/Shan-CCCM as of July 2021)]],17,FALSE)</f>
        <v>0</v>
      </c>
    </row>
    <row r="14" spans="1:146" hidden="1">
      <c r="A14" s="725" t="s">
        <v>2763</v>
      </c>
      <c r="B14" s="725" t="s">
        <v>192</v>
      </c>
      <c r="C14" s="726" t="s">
        <v>192</v>
      </c>
      <c r="D14" s="726" t="s">
        <v>2679</v>
      </c>
      <c r="E14" s="726" t="s">
        <v>37</v>
      </c>
      <c r="F14" s="726" t="s">
        <v>195</v>
      </c>
      <c r="G14" s="591" t="str">
        <f>VLOOKUP(WWWW[[#This Row],[Site Name]],SiteDB6[[Site Name]:[Location Type]],8,FALSE)</f>
        <v>Camp</v>
      </c>
      <c r="H14" s="726" t="s">
        <v>196</v>
      </c>
      <c r="I14" s="728">
        <v>11</v>
      </c>
      <c r="J14" s="728">
        <v>51</v>
      </c>
      <c r="K14" s="729" t="s">
        <v>2670</v>
      </c>
      <c r="L14" s="730" t="s">
        <v>2680</v>
      </c>
      <c r="M14" s="728"/>
      <c r="N14" s="728"/>
      <c r="O14" s="728"/>
      <c r="P14" s="728"/>
      <c r="Q14" s="731" t="s">
        <v>136</v>
      </c>
      <c r="R14" s="728"/>
      <c r="S14" s="728">
        <v>1</v>
      </c>
      <c r="T14" s="448"/>
      <c r="U14" s="728"/>
      <c r="V14" s="728"/>
      <c r="W14" s="728"/>
      <c r="X14" s="728">
        <v>1</v>
      </c>
      <c r="Y14" s="728"/>
      <c r="Z14" s="728"/>
      <c r="AA14" s="728"/>
      <c r="AB14" s="728"/>
      <c r="AC14" s="728"/>
      <c r="AD14" s="728"/>
      <c r="AE14" s="728"/>
      <c r="AF14" s="728"/>
      <c r="AG14" s="728"/>
      <c r="AH14" s="728"/>
      <c r="AI14" s="728"/>
      <c r="AJ14" s="728"/>
      <c r="AK14" s="728"/>
      <c r="AL14" s="728"/>
      <c r="AM14" s="728"/>
      <c r="AN14" s="728"/>
      <c r="AO14" s="728"/>
      <c r="AP14" s="732"/>
      <c r="AQ14" s="728">
        <v>2</v>
      </c>
      <c r="AR14" s="728"/>
      <c r="AS14" s="733"/>
      <c r="AT14" s="728"/>
      <c r="AU14" s="728"/>
      <c r="AV14" s="728"/>
      <c r="AW14" s="728"/>
      <c r="AX14" s="728"/>
      <c r="AY14" s="727" t="s">
        <v>41</v>
      </c>
      <c r="AZ14" s="732" t="s">
        <v>140</v>
      </c>
      <c r="BA14" s="728"/>
      <c r="BB14" s="728"/>
      <c r="BC14" s="728"/>
      <c r="BD14" s="448"/>
      <c r="BE14" s="448"/>
      <c r="BF14" s="727"/>
      <c r="BG14" s="728">
        <v>7</v>
      </c>
      <c r="BH14" s="728"/>
      <c r="BI14" s="728"/>
      <c r="BJ14" s="728">
        <v>7</v>
      </c>
      <c r="BK14" s="728"/>
      <c r="BL14" s="728"/>
      <c r="BM14" s="728"/>
      <c r="BN14" s="728">
        <v>104</v>
      </c>
      <c r="BO14" s="728">
        <v>148</v>
      </c>
      <c r="BP14" s="727"/>
      <c r="BQ14" s="734"/>
      <c r="BR14" s="733"/>
      <c r="BS14" s="727"/>
      <c r="BT14" s="423"/>
      <c r="BU14" s="423"/>
      <c r="BV14" s="425"/>
      <c r="BW14" s="423"/>
      <c r="BX14" s="448"/>
      <c r="BY14" s="448"/>
      <c r="BZ14" s="448"/>
      <c r="CA14" s="448"/>
      <c r="CB14" s="448"/>
      <c r="CC14" s="777"/>
      <c r="CD14" s="448"/>
      <c r="CE14" s="735" t="str">
        <f>IFERROR(WWWW[[#This Row],['#_Water sources passed]]/WWWW[[#This Row],['#_Water sources tested for fecal coliform ]],"no test")</f>
        <v>no test</v>
      </c>
      <c r="CF14" s="733" t="str">
        <f>IFERROR(WWWW[[#This Row],['#_Household passed]]/WWWW[[#This Row],['#_Household water samples tested for fecal coliform]],"no test")</f>
        <v>no test</v>
      </c>
      <c r="CG14" s="734" t="str">
        <f>IF(AND(WWWW[[#This Row],[% of water sources passed]]="no test",WWWW[[#This Row],[% Household passed]]="no test"),"No Test","Tested")</f>
        <v>No Test</v>
      </c>
      <c r="CH14" s="734">
        <f>WWWW[[#This Row],['#_Constructed/existing protected hand dug well]]-WWWW[[#This Row],['#_Non-functional protected hand dug well]]</f>
        <v>0</v>
      </c>
      <c r="CI14" s="734">
        <f>(WWWW[[#This Row],['#_Constructed/Existing tube wells/boreholes/handpumps_WASH_agency]]+WWWW[[#This Row],['#_Non-Cluster partner water tube-wells/boreholes/handpumps]])-WWWW[[#This Row],['#_Non-functional tube wells/boreholes/handpumps]]</f>
        <v>1</v>
      </c>
      <c r="CJ14" s="734">
        <f>WWWW[[#This Row],['#_Constructed/Existingwater storage tank with gravity fed reticulation system]]-WWWW[[#This Row],['#_Non-functional storage tank gravity fed reticulation system]]</f>
        <v>0</v>
      </c>
      <c r="CK14" s="734">
        <f>(WWWW[[#This Row],['#_Water_Liters_supplied_by_Water boating or water trucking]]/90)/15</f>
        <v>0</v>
      </c>
      <c r="CL14" s="734">
        <f>WWWW[[#This Row],['#_Water_Liters_from_Constructed/Existing water distribution system from river or natural spring]]/90/15</f>
        <v>0</v>
      </c>
      <c r="CM14" s="424">
        <f>IF(WWWW[[#This Row],['#_of water points in TLS/CFS]]*500&gt;WWWW[[#This Row],[Total PoP ]],WWWW[[#This Row],[Total PoP ]],WWWW[[#This Row],['#_of water points in TLS/CFS]]*500)</f>
        <v>0</v>
      </c>
      <c r="CN14" s="424">
        <f>IF(WWWW[[#This Row],['#_of water points in THF]]*500&gt;WWWW[[#This Row],[Total PoP ]],WWWW[[#This Row],[Total PoP ]],WWWW[[#This Row],['#_of water points in THF]]*500)</f>
        <v>0</v>
      </c>
      <c r="CO1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4" s="733">
        <f>IF(WWWW[[#This Row],[Location Type 1]]="Village",WWWW[[#This Row],[Access to safe drinking water for Village]],WWWW[[#This Row],[Access to safe drinking water for Camp]])</f>
        <v>1</v>
      </c>
      <c r="CR14" s="731">
        <f>WWWW[[#This Row],[%Equitable and continuous access to sufficient quantity of safe drinking water]]*WWWW[[#This Row],[Total PoP ]]</f>
        <v>51</v>
      </c>
      <c r="CS14" s="733">
        <f>IF((WWWW[[#This Row],['#_Constructed/Existing protected/fenced ponds]]*250)/WWWW[[#This Row],[Total PoP ]]&gt;1,1,(WWWW[[#This Row],['#_Constructed/Existing protected/fenced ponds]]*250)/WWWW[[#This Row],[Total PoP ]])</f>
        <v>0</v>
      </c>
      <c r="CT14" s="731">
        <f>WWWW[[#This Row],[% Access to unimproved water points]]*WWWW[[#This Row],[Total PoP ]]</f>
        <v>0</v>
      </c>
      <c r="CU1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v>
      </c>
      <c r="CW14" s="731">
        <f>WWWW[[#This Row],[HRP1]]/500</f>
        <v>0.10199999999999999</v>
      </c>
      <c r="CX14" s="736">
        <f>1-WWWW[[#This Row],[% Equitable and continuous access to sufficient quantity of domestic water]]</f>
        <v>0</v>
      </c>
      <c r="CY14" s="731">
        <f>WWWW[[#This Row],[%equitable and continuous access to sufficient quantity of safe drinking and domestic water''s GAP]]*WWWW[[#This Row],[Total PoP ]]</f>
        <v>0</v>
      </c>
      <c r="CZ14" s="734">
        <f>IF(WWWW[[#This Row],[Total required water points]]-WWWW[[#This Row],['#Water points coverage]]&lt;0,0,WWWW[[#This Row],[Total required water points]]-WWWW[[#This Row],['#Water points coverage]])</f>
        <v>0.89800000000000002</v>
      </c>
      <c r="DA14" s="734">
        <f>ROUND(IF(WWWW[[#This Row],[Total PoP ]]&lt;500,1,WWWW[[#This Row],[Total PoP ]]/500),0)</f>
        <v>1</v>
      </c>
      <c r="DB14" s="734">
        <f>(WWWW[[#This Row],['#_Constructed latrines_by_WASHAgencies]]+WWWW[[#This Row],['#_Non Cluster partner latrines]])-WWWW[[#This Row],['#_Non-functional latrines]]</f>
        <v>2</v>
      </c>
      <c r="DC14" s="631">
        <f>WWWW[[#This Row],[HRP2]]/WWWW[[#This Row],[Total PoP ]]</f>
        <v>0.78431372549019607</v>
      </c>
      <c r="DD1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1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 s="424">
        <f>IF(WWWW[[#This Row],['# of functional latrines in THF supported by WASH partners during the reporting period2]]="",0,WWWW[[#This Row],['# of functional latrines in THF supported by WASH partners during the reporting period2]]*50)</f>
        <v>0</v>
      </c>
      <c r="DH14" s="734">
        <f>ROUND(IF(WWWW[[#This Row],[Location Type 1]]="camp",WWWW[[#This Row],[Total PoP ]]/20,IF(WWWW[[#This Row],[Location Type 1]]="Temporary Location",WWWW[[#This Row],[Total PoP ]]/50,(WWWW[[#This Row],[Total PoP ]]/6))),0)</f>
        <v>3</v>
      </c>
      <c r="DI14" s="734">
        <f>IF(WWWW[[#This Row],[Total required Latrines]]-(WWWW[[#This Row],['#_Constructed latrines_by_WASHAgencies]]+WWWW[[#This Row],['#_Non Cluster partner latrines]])&lt;0,0,WWWW[[#This Row],[Total required Latrines]]-(WWWW[[#This Row],['#_Constructed latrines_by_WASHAgencies]]+WWWW[[#This Row],['#_Non Cluster partner latrines]]))</f>
        <v>1</v>
      </c>
      <c r="DJ14" s="736">
        <f>1-WWWW[[#This Row],[% people access to functioning Latrine]]</f>
        <v>0.21568627450980393</v>
      </c>
      <c r="DK14" s="735">
        <f>IF(OR(WWWW[[#This Row],['#_Non-functional latrines]]="",WWWW[[#This Row],['#_Non-functional latrines]]=0),0,WWWW[[#This Row],['#_Non-functional latrines]]/(WWWW[[#This Row],['#_Constructed latrines_by_WASHAgencies]]+WWWW[[#This Row],['#_Non Cluster partner latrines]]))</f>
        <v>0</v>
      </c>
      <c r="DL14" s="731">
        <f>IF(500*(WWWW[[#This Row],['#_male hygiene promoters]]+WWWW[[#This Row],['#_female hygiene promoters]])&gt;WWWW[[#This Row],[Total PoP ]],WWWW[[#This Row],[Total PoP ]],500*(WWWW[[#This Row],['#_male hygiene promoters]]+WWWW[[#This Row],['#_female hygiene promoters]]))</f>
        <v>0</v>
      </c>
      <c r="DM1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51</v>
      </c>
      <c r="DN1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51</v>
      </c>
      <c r="DO14" s="734">
        <f>IF(WWWW[[#This Row],['# People with access to soap]]&gt;WWWW[[#This Row],['# People with access to Sanity Pads]],WWWW[[#This Row],['# People with access to soap]],WWWW[[#This Row],['# People with access to Sanity Pads]])</f>
        <v>51</v>
      </c>
      <c r="DP14" s="734">
        <f>IF(WWWW[[#This Row],['# people reached by regular dedicated hygiene promotion_5]]&gt;WWWW[[#This Row],['# People received regular supply of hygiene items_6]],WWWW[[#This Row],['# people reached by regular dedicated hygiene promotion_5]],WWWW[[#This Row],['# People received regular supply of hygiene items_6]])</f>
        <v>51</v>
      </c>
      <c r="DQ14" s="736">
        <f>IF(WWWW[[#This Row],[HRP3]]/WWWW[[#This Row],[Total PoP ]]&gt;1,1,WWWW[[#This Row],[HRP3]]/WWWW[[#This Row],[Total PoP ]])</f>
        <v>1</v>
      </c>
      <c r="DR14" s="735">
        <f>1-WWWW[[#This Row],[Hygiene Coverage%]]</f>
        <v>0</v>
      </c>
      <c r="DS14" s="733">
        <f>WWWW[[#This Row],['# people reached by regular dedicated hygiene promotion_5]]/WWWW[[#This Row],[Total PoP ]]</f>
        <v>0</v>
      </c>
      <c r="DT1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 s="734">
        <f>WWWW[[#This Row],['#_Constructed/Existing hand washing stations]]-WWWW[[#This Row],['#_Non-Functional_hand_washing_stations]]</f>
        <v>7</v>
      </c>
      <c r="DW14" s="731">
        <f>IF(WWWW[[#This Row],['# Functional hand washing stations during reporting period]]*20&gt;WWWW[[#This Row],[Total HH]],WWWW[[#This Row],[Total HH]],WWWW[[#This Row],['# Functional hand washing stations during reporting period]]*20)</f>
        <v>11</v>
      </c>
      <c r="DX14" s="731">
        <f>IF(WWWW[[#This Row],[Is sufficient soap available for TLS? (Yes/No)]]="yes",WWWW[[#This Row],['#_Constructed/Existing hand washing stations at TLS/CFS/THF]],0)</f>
        <v>0</v>
      </c>
      <c r="DY14" s="428">
        <f>IF(WWWW[[#This Row],['# Functional hand washing stations during reporting period]]*100&gt;WWWW[[#This Row],[Total PoP ]],WWWW[[#This Row],[Total PoP ]],WWWW[[#This Row],['# Functional hand washing stations during reporting period]]*100)</f>
        <v>51</v>
      </c>
      <c r="DZ14" s="428" t="str">
        <f>IF(OR(WWWW[[#This Row],['#_students at TLS_CFS]]="",WWWW[[#This Row],['#_students at TLS_CFS]]=0),"No","Yes")</f>
        <v>No</v>
      </c>
      <c r="EA1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 s="727" t="str">
        <f>VLOOKUP(WWWW[[#This Row],[Site Name]],SiteDB6[[Site Name]:[CCCM Management]],6,FALSE)</f>
        <v>Yes</v>
      </c>
      <c r="EF14" s="727" t="str">
        <f>VLOOKUP(WWWW[[#This Row],[Site Name]],SiteDB6[[Site Name]:[CCCM Focal Agency]],7,FALSE)</f>
        <v>KBC-BMO</v>
      </c>
      <c r="EG14" s="727" t="str">
        <f>VLOOKUP(WWWW[[#This Row],[Site Name]],SiteDB6[[Site Name]:[Location Type 1]],9,FALSE)</f>
        <v>Camp</v>
      </c>
      <c r="EH14" s="727" t="str">
        <f>VLOOKUP(WWWW[[#This Row],[Site Name]],SiteDB6[[Site Name]:[Type of Accommodation]],10,FALSE)</f>
        <v>Camp</v>
      </c>
      <c r="EI14" s="727" t="str">
        <f>VLOOKUP(WWWW[[#This Row],[Site Name]],SiteDB6[[Site Name]:[Ethnic or GCA/NGCA]],11,FALSE)</f>
        <v>GCA</v>
      </c>
      <c r="EJ14" s="727">
        <f>VLOOKUP(WWWW[[#This Row],[Site Name]],SiteDB6[[Site Name]:[Lat]],12,FALSE)</f>
        <v>24.260466999999998</v>
      </c>
      <c r="EK14" s="727">
        <f>VLOOKUP(WWWW[[#This Row],[Site Name]],SiteDB6[[Site Name]:[Long]],13,FALSE)</f>
        <v>97.252650000000003</v>
      </c>
      <c r="EL14" s="727" t="str">
        <f>VLOOKUP(WWWW[[#This Row],[Site Name]],SiteDB6[[Site Name]:[Pcode]],3,FALSE)</f>
        <v>MMR001CMP194</v>
      </c>
      <c r="EM14" s="732" t="str">
        <f t="shared" si="0"/>
        <v>Covered</v>
      </c>
      <c r="EN14" s="732"/>
      <c r="EO14" s="727">
        <f>VLOOKUP(WWWW[[#This Row],[Site Name]],SiteDB6[[Site Name]:[Pop
(Kachin/Shan-CCCM as of July 2021)]],16,FALSE)</f>
        <v>9</v>
      </c>
      <c r="EP14" s="727">
        <f>VLOOKUP(WWWW[[#This Row],[Site Name]],SiteDB6[[Site Name]:[Pop
(Kachin/Shan-CCCM as of July 2021)]],17,FALSE)</f>
        <v>37</v>
      </c>
    </row>
    <row r="15" spans="1:146" hidden="1">
      <c r="A15" s="725" t="s">
        <v>2763</v>
      </c>
      <c r="B15" s="725" t="s">
        <v>242</v>
      </c>
      <c r="C15" s="726" t="s">
        <v>242</v>
      </c>
      <c r="D15" s="726" t="s">
        <v>307</v>
      </c>
      <c r="E15" s="726" t="s">
        <v>37</v>
      </c>
      <c r="F15" s="726" t="s">
        <v>148</v>
      </c>
      <c r="G15" s="591" t="str">
        <f>VLOOKUP(WWWW[[#This Row],[Site Name]],SiteDB6[[Site Name]:[Location Type]],8,FALSE)</f>
        <v>Camp</v>
      </c>
      <c r="H15" s="726" t="s">
        <v>250</v>
      </c>
      <c r="I15" s="448">
        <v>41</v>
      </c>
      <c r="J15" s="448">
        <v>250</v>
      </c>
      <c r="K15" s="588">
        <v>44197</v>
      </c>
      <c r="L15" s="589">
        <v>44651</v>
      </c>
      <c r="M15" s="448"/>
      <c r="N15" s="448">
        <v>1</v>
      </c>
      <c r="O15" s="728"/>
      <c r="P15" s="728"/>
      <c r="Q15" s="731" t="s">
        <v>41</v>
      </c>
      <c r="R15" s="448">
        <v>1</v>
      </c>
      <c r="S15" s="448">
        <v>5</v>
      </c>
      <c r="T15" s="448">
        <v>2</v>
      </c>
      <c r="U15" s="728"/>
      <c r="V15" s="728"/>
      <c r="W15" s="728"/>
      <c r="X15" s="728"/>
      <c r="Y15" s="728"/>
      <c r="Z15" s="728"/>
      <c r="AA15" s="728"/>
      <c r="AB15" s="728"/>
      <c r="AC15" s="728"/>
      <c r="AD15" s="728"/>
      <c r="AE15" s="728"/>
      <c r="AF15" s="728"/>
      <c r="AG15" s="728">
        <v>1</v>
      </c>
      <c r="AH15" s="728"/>
      <c r="AI15" s="728"/>
      <c r="AJ15" s="728"/>
      <c r="AK15" s="728"/>
      <c r="AL15" s="728"/>
      <c r="AM15" s="728"/>
      <c r="AN15" s="448"/>
      <c r="AO15" s="448"/>
      <c r="AP15" s="590" t="s">
        <v>2893</v>
      </c>
      <c r="AQ15" s="448">
        <v>10</v>
      </c>
      <c r="AR15" s="728"/>
      <c r="AS15" s="733"/>
      <c r="AT15" s="448"/>
      <c r="AU15" s="448"/>
      <c r="AV15" s="448"/>
      <c r="AW15" s="728"/>
      <c r="AX15" s="728"/>
      <c r="AY15" s="727" t="s">
        <v>136</v>
      </c>
      <c r="AZ15" s="732" t="s">
        <v>137</v>
      </c>
      <c r="BA15" s="728"/>
      <c r="BB15" s="728"/>
      <c r="BC15" s="728"/>
      <c r="BD15" s="448"/>
      <c r="BE15" s="448"/>
      <c r="BF15" s="425" t="s">
        <v>2897</v>
      </c>
      <c r="BG15" s="448">
        <v>3</v>
      </c>
      <c r="BH15" s="448"/>
      <c r="BI15" s="448">
        <v>1</v>
      </c>
      <c r="BJ15" s="448">
        <v>2</v>
      </c>
      <c r="BK15" s="448"/>
      <c r="BL15" s="448"/>
      <c r="BM15" s="448">
        <v>1</v>
      </c>
      <c r="BN15" s="448">
        <v>88</v>
      </c>
      <c r="BO15" s="448">
        <v>100</v>
      </c>
      <c r="BP15" s="727"/>
      <c r="BQ15" s="424">
        <v>4</v>
      </c>
      <c r="BR15" s="423"/>
      <c r="BS15" s="425" t="s">
        <v>2904</v>
      </c>
      <c r="BT15" s="423"/>
      <c r="BU15" s="423"/>
      <c r="BV15" s="425">
        <v>10</v>
      </c>
      <c r="BW15" s="423"/>
      <c r="BX15" s="448"/>
      <c r="BY15" s="448"/>
      <c r="BZ15" s="448"/>
      <c r="CA15" s="448"/>
      <c r="CB15" s="448"/>
      <c r="CC15" s="777"/>
      <c r="CD15" s="448"/>
      <c r="CE15" s="735" t="str">
        <f>IFERROR(WWWW[[#This Row],['#_Water sources passed]]/WWWW[[#This Row],['#_Water sources tested for fecal coliform ]],"no test")</f>
        <v>no test</v>
      </c>
      <c r="CF15" s="733" t="str">
        <f>IFERROR(WWWW[[#This Row],['#_Household passed]]/WWWW[[#This Row],['#_Household water samples tested for fecal coliform]],"no test")</f>
        <v>no test</v>
      </c>
      <c r="CG15" s="734" t="str">
        <f>IF(AND(WWWW[[#This Row],[% of water sources passed]]="no test",WWWW[[#This Row],[% Household passed]]="no test"),"No Test","Tested")</f>
        <v>No Test</v>
      </c>
      <c r="CH15" s="734">
        <f>WWWW[[#This Row],['#_Constructed/existing protected hand dug well]]-WWWW[[#This Row],['#_Non-functional protected hand dug well]]</f>
        <v>2</v>
      </c>
      <c r="CI15" s="734">
        <f>(WWWW[[#This Row],['#_Constructed/Existing tube wells/boreholes/handpumps_WASH_agency]]+WWWW[[#This Row],['#_Non-Cluster partner water tube-wells/boreholes/handpumps]])-WWWW[[#This Row],['#_Non-functional tube wells/boreholes/handpumps]]</f>
        <v>0</v>
      </c>
      <c r="CJ15" s="734">
        <f>WWWW[[#This Row],['#_Constructed/Existingwater storage tank with gravity fed reticulation system]]-WWWW[[#This Row],['#_Non-functional storage tank gravity fed reticulation system]]</f>
        <v>0</v>
      </c>
      <c r="CK15" s="734">
        <f>(WWWW[[#This Row],['#_Water_Liters_supplied_by_Water boating or water trucking]]/90)/15</f>
        <v>0</v>
      </c>
      <c r="CL15" s="734">
        <f>WWWW[[#This Row],['#_Water_Liters_from_Constructed/Existing water distribution system from river or natural spring]]/90/15</f>
        <v>0</v>
      </c>
      <c r="CM15" s="424">
        <f>IF(WWWW[[#This Row],['#_of water points in TLS/CFS]]*500&gt;WWWW[[#This Row],[Total PoP ]],WWWW[[#This Row],[Total PoP ]],WWWW[[#This Row],['#_of water points in TLS/CFS]]*500)</f>
        <v>0</v>
      </c>
      <c r="CN15" s="424">
        <f>IF(WWWW[[#This Row],['#_of water points in THF]]*500&gt;WWWW[[#This Row],[Total PoP ]],WWWW[[#This Row],[Total PoP ]],WWWW[[#This Row],['#_of water points in THF]]*500)</f>
        <v>0</v>
      </c>
      <c r="CO1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5" s="733">
        <f>IF(WWWW[[#This Row],[Location Type 1]]="Village",WWWW[[#This Row],[Access to safe drinking water for Village]],WWWW[[#This Row],[Access to safe drinking water for Camp]])</f>
        <v>1</v>
      </c>
      <c r="CR15" s="731">
        <f>WWWW[[#This Row],[%Equitable and continuous access to sufficient quantity of safe drinking water]]*WWWW[[#This Row],[Total PoP ]]</f>
        <v>250</v>
      </c>
      <c r="CS15" s="733">
        <f>IF((WWWW[[#This Row],['#_Constructed/Existing protected/fenced ponds]]*250)/WWWW[[#This Row],[Total PoP ]]&gt;1,1,(WWWW[[#This Row],['#_Constructed/Existing protected/fenced ponds]]*250)/WWWW[[#This Row],[Total PoP ]])</f>
        <v>0</v>
      </c>
      <c r="CT15" s="731">
        <f>WWWW[[#This Row],[% Access to unimproved water points]]*WWWW[[#This Row],[Total PoP ]]</f>
        <v>0</v>
      </c>
      <c r="CU1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15" s="731">
        <f>WWWW[[#This Row],[HRP1]]/500</f>
        <v>0.5</v>
      </c>
      <c r="CX15" s="736">
        <f>1-WWWW[[#This Row],[% Equitable and continuous access to sufficient quantity of domestic water]]</f>
        <v>0</v>
      </c>
      <c r="CY15" s="731">
        <f>WWWW[[#This Row],[%equitable and continuous access to sufficient quantity of safe drinking and domestic water''s GAP]]*WWWW[[#This Row],[Total PoP ]]</f>
        <v>0</v>
      </c>
      <c r="CZ15" s="734">
        <f>IF(WWWW[[#This Row],[Total required water points]]-WWWW[[#This Row],['#Water points coverage]]&lt;0,0,WWWW[[#This Row],[Total required water points]]-WWWW[[#This Row],['#Water points coverage]])</f>
        <v>0.5</v>
      </c>
      <c r="DA15" s="734">
        <f>ROUND(IF(WWWW[[#This Row],[Total PoP ]]&lt;500,1,WWWW[[#This Row],[Total PoP ]]/500),0)</f>
        <v>1</v>
      </c>
      <c r="DB15" s="734">
        <f>(WWWW[[#This Row],['#_Constructed latrines_by_WASHAgencies]]+WWWW[[#This Row],['#_Non Cluster partner latrines]])-WWWW[[#This Row],['#_Non-functional latrines]]</f>
        <v>10</v>
      </c>
      <c r="DC15" s="631">
        <f>WWWW[[#This Row],[HRP2]]/WWWW[[#This Row],[Total PoP ]]</f>
        <v>0.8</v>
      </c>
      <c r="DD1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1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 s="424">
        <f>IF(WWWW[[#This Row],['# of functional latrines in THF supported by WASH partners during the reporting period2]]="",0,WWWW[[#This Row],['# of functional latrines in THF supported by WASH partners during the reporting period2]]*50)</f>
        <v>0</v>
      </c>
      <c r="DH15" s="734">
        <f>ROUND(IF(WWWW[[#This Row],[Location Type 1]]="camp",WWWW[[#This Row],[Total PoP ]]/20,IF(WWWW[[#This Row],[Location Type 1]]="Temporary Location",WWWW[[#This Row],[Total PoP ]]/50,(WWWW[[#This Row],[Total PoP ]]/6))),0)</f>
        <v>13</v>
      </c>
      <c r="DI15" s="734">
        <f>IF(WWWW[[#This Row],[Total required Latrines]]-(WWWW[[#This Row],['#_Constructed latrines_by_WASHAgencies]]+WWWW[[#This Row],['#_Non Cluster partner latrines]])&lt;0,0,WWWW[[#This Row],[Total required Latrines]]-(WWWW[[#This Row],['#_Constructed latrines_by_WASHAgencies]]+WWWW[[#This Row],['#_Non Cluster partner latrines]]))</f>
        <v>3</v>
      </c>
      <c r="DJ15" s="736">
        <f>1-WWWW[[#This Row],[% people access to functioning Latrine]]</f>
        <v>0.19999999999999996</v>
      </c>
      <c r="DK15" s="735">
        <f>IF(OR(WWWW[[#This Row],['#_Non-functional latrines]]="",WWWW[[#This Row],['#_Non-functional latrines]]=0),0,WWWW[[#This Row],['#_Non-functional latrines]]/(WWWW[[#This Row],['#_Constructed latrines_by_WASHAgencies]]+WWWW[[#This Row],['#_Non Cluster partner latrines]]))</f>
        <v>0</v>
      </c>
      <c r="DL15" s="731">
        <f>IF(500*(WWWW[[#This Row],['#_male hygiene promoters]]+WWWW[[#This Row],['#_female hygiene promoters]])&gt;WWWW[[#This Row],[Total PoP ]],WWWW[[#This Row],[Total PoP ]],500*(WWWW[[#This Row],['#_male hygiene promoters]]+WWWW[[#This Row],['#_female hygiene promoters]]))</f>
        <v>250</v>
      </c>
      <c r="DM1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1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5" s="734">
        <f>IF(WWWW[[#This Row],['# People with access to soap]]&gt;WWWW[[#This Row],['# People with access to Sanity Pads]],WWWW[[#This Row],['# People with access to soap]],WWWW[[#This Row],['# People with access to Sanity Pads]])</f>
        <v>250</v>
      </c>
      <c r="DP15" s="734">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15" s="736">
        <f>IF(WWWW[[#This Row],[HRP3]]/WWWW[[#This Row],[Total PoP ]]&gt;1,1,WWWW[[#This Row],[HRP3]]/WWWW[[#This Row],[Total PoP ]])</f>
        <v>1</v>
      </c>
      <c r="DR15" s="735">
        <f>1-WWWW[[#This Row],[Hygiene Coverage%]]</f>
        <v>0</v>
      </c>
      <c r="DS15" s="733">
        <f>WWWW[[#This Row],['# people reached by regular dedicated hygiene promotion_5]]/WWWW[[#This Row],[Total PoP ]]</f>
        <v>1</v>
      </c>
      <c r="DT1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 s="734">
        <f>WWWW[[#This Row],['#_Constructed/Existing hand washing stations]]-WWWW[[#This Row],['#_Non-Functional_hand_washing_stations]]</f>
        <v>3</v>
      </c>
      <c r="DW15" s="731">
        <f>IF(WWWW[[#This Row],['# Functional hand washing stations during reporting period]]*20&gt;WWWW[[#This Row],[Total HH]],WWWW[[#This Row],[Total HH]],WWWW[[#This Row],['# Functional hand washing stations during reporting period]]*20)</f>
        <v>41</v>
      </c>
      <c r="DX15" s="731">
        <f>IF(WWWW[[#This Row],[Is sufficient soap available for TLS? (Yes/No)]]="yes",WWWW[[#This Row],['#_Constructed/Existing hand washing stations at TLS/CFS/THF]],0)</f>
        <v>0</v>
      </c>
      <c r="DY15" s="428">
        <f>IF(WWWW[[#This Row],['# Functional hand washing stations during reporting period]]*100&gt;WWWW[[#This Row],[Total PoP ]],WWWW[[#This Row],[Total PoP ]],WWWW[[#This Row],['# Functional hand washing stations during reporting period]]*100)</f>
        <v>250</v>
      </c>
      <c r="DZ15" s="428" t="str">
        <f>IF(OR(WWWW[[#This Row],['#_students at TLS_CFS]]="",WWWW[[#This Row],['#_students at TLS_CFS]]=0),"No","Yes")</f>
        <v>No</v>
      </c>
      <c r="EA15" s="631">
        <f>IF(WWWW[[#This Row],['#_of_affected_people_surveyed_who_report_feeling_informed_about_the_different_WASH_services_available_to_them]]="","",WWWW[[#This Row],['#_of_affected_people_surveyed_who_report_feeling_informed_about_the_different_WASH_services_available_to_them]]/WWWW[[#This Row],[Total PoP ]])</f>
        <v>0.04</v>
      </c>
      <c r="EB1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 s="727" t="str">
        <f>VLOOKUP(WWWW[[#This Row],[Site Name]],SiteDB6[[Site Name]:[CCCM Management]],6,FALSE)</f>
        <v>Yes</v>
      </c>
      <c r="EF15" s="727" t="str">
        <f>VLOOKUP(WWWW[[#This Row],[Site Name]],SiteDB6[[Site Name]:[CCCM Focal Agency]],7,FALSE)</f>
        <v>KBC-MYT</v>
      </c>
      <c r="EG15" s="727" t="str">
        <f>VLOOKUP(WWWW[[#This Row],[Site Name]],SiteDB6[[Site Name]:[Location Type 1]],9,FALSE)</f>
        <v>Camp</v>
      </c>
      <c r="EH15" s="727" t="str">
        <f>VLOOKUP(WWWW[[#This Row],[Site Name]],SiteDB6[[Site Name]:[Type of Accommodation]],10,FALSE)</f>
        <v>Camp</v>
      </c>
      <c r="EI15" s="727" t="str">
        <f>VLOOKUP(WWWW[[#This Row],[Site Name]],SiteDB6[[Site Name]:[Ethnic or GCA/NGCA]],11,FALSE)</f>
        <v>GCA</v>
      </c>
      <c r="EJ15" s="727">
        <f>VLOOKUP(WWWW[[#This Row],[Site Name]],SiteDB6[[Site Name]:[Lat]],12,FALSE)</f>
        <v>25.647649999999999</v>
      </c>
      <c r="EK15" s="727">
        <f>VLOOKUP(WWWW[[#This Row],[Site Name]],SiteDB6[[Site Name]:[Long]],13,FALSE)</f>
        <v>96.346469999999997</v>
      </c>
      <c r="EL15" s="727" t="str">
        <f>VLOOKUP(WWWW[[#This Row],[Site Name]],SiteDB6[[Site Name]:[Pcode]],3,FALSE)</f>
        <v>MMR001CMP169</v>
      </c>
      <c r="EM15" s="732" t="str">
        <f t="shared" si="0"/>
        <v>Covered</v>
      </c>
      <c r="EN15" s="732"/>
      <c r="EO15" s="727">
        <f>VLOOKUP(WWWW[[#This Row],[Site Name]],SiteDB6[[Site Name]:[Pop
(Kachin/Shan-CCCM as of July 2021)]],16,FALSE)</f>
        <v>41</v>
      </c>
      <c r="EP15" s="727">
        <f>VLOOKUP(WWWW[[#This Row],[Site Name]],SiteDB6[[Site Name]:[Pop
(Kachin/Shan-CCCM as of July 2021)]],17,FALSE)</f>
        <v>249</v>
      </c>
    </row>
    <row r="16" spans="1:146" hidden="1">
      <c r="A16" s="725" t="s">
        <v>2763</v>
      </c>
      <c r="B16" s="725" t="s">
        <v>309</v>
      </c>
      <c r="C16" s="726" t="s">
        <v>309</v>
      </c>
      <c r="D16" s="726"/>
      <c r="E16" s="726" t="s">
        <v>37</v>
      </c>
      <c r="F16" s="726" t="s">
        <v>195</v>
      </c>
      <c r="G16" s="591" t="str">
        <f>VLOOKUP(WWWW[[#This Row],[Site Name]],SiteDB6[[Site Name]:[Location Type]],8,FALSE)</f>
        <v>Camp</v>
      </c>
      <c r="H16" s="726" t="s">
        <v>3020</v>
      </c>
      <c r="I16" s="728">
        <v>181</v>
      </c>
      <c r="J16" s="728">
        <v>906</v>
      </c>
      <c r="K16" s="729" t="s">
        <v>2650</v>
      </c>
      <c r="L16" s="730" t="s">
        <v>2651</v>
      </c>
      <c r="M16" s="728"/>
      <c r="N16" s="728"/>
      <c r="O16" s="728"/>
      <c r="P16" s="728"/>
      <c r="Q16" s="731"/>
      <c r="R16" s="728"/>
      <c r="S16" s="728">
        <v>4</v>
      </c>
      <c r="T16" s="448"/>
      <c r="U16" s="728"/>
      <c r="V16" s="728"/>
      <c r="W16" s="728"/>
      <c r="X16" s="728"/>
      <c r="Y16" s="728"/>
      <c r="Z16" s="728"/>
      <c r="AA16" s="728"/>
      <c r="AB16" s="728"/>
      <c r="AC16" s="728"/>
      <c r="AD16" s="728"/>
      <c r="AE16" s="728"/>
      <c r="AF16" s="728"/>
      <c r="AG16" s="728"/>
      <c r="AH16" s="728"/>
      <c r="AI16" s="728"/>
      <c r="AJ16" s="728"/>
      <c r="AK16" s="728"/>
      <c r="AL16" s="728"/>
      <c r="AM16" s="728"/>
      <c r="AN16" s="728"/>
      <c r="AO16" s="728"/>
      <c r="AP16" s="732"/>
      <c r="AQ16" s="728"/>
      <c r="AR16" s="728"/>
      <c r="AS16" s="733"/>
      <c r="AT16" s="728"/>
      <c r="AU16" s="728"/>
      <c r="AV16" s="728"/>
      <c r="AW16" s="728"/>
      <c r="AX16" s="728"/>
      <c r="AY16" s="425" t="s">
        <v>140</v>
      </c>
      <c r="AZ16" s="860" t="s">
        <v>140</v>
      </c>
      <c r="BA16" s="728"/>
      <c r="BB16" s="728"/>
      <c r="BC16" s="728"/>
      <c r="BD16" s="448"/>
      <c r="BE16" s="448"/>
      <c r="BF16" s="727"/>
      <c r="BG16" s="728">
        <v>7</v>
      </c>
      <c r="BH16" s="728"/>
      <c r="BI16" s="728"/>
      <c r="BJ16" s="728">
        <v>7</v>
      </c>
      <c r="BK16" s="728"/>
      <c r="BL16" s="728"/>
      <c r="BM16" s="728"/>
      <c r="BN16" s="728">
        <v>104</v>
      </c>
      <c r="BO16" s="728">
        <v>148</v>
      </c>
      <c r="BP16" s="727"/>
      <c r="BQ16" s="734"/>
      <c r="BR16" s="733"/>
      <c r="BS16" s="727"/>
      <c r="BT16" s="423"/>
      <c r="BU16" s="423"/>
      <c r="BV16" s="425"/>
      <c r="BW16" s="423"/>
      <c r="BX16" s="448"/>
      <c r="BY16" s="448"/>
      <c r="BZ16" s="448"/>
      <c r="CA16" s="448"/>
      <c r="CB16" s="448"/>
      <c r="CC16" s="777"/>
      <c r="CD16" s="448"/>
      <c r="CE16" s="735" t="str">
        <f>IFERROR(WWWW[[#This Row],['#_Water sources passed]]/WWWW[[#This Row],['#_Water sources tested for fecal coliform ]],"no test")</f>
        <v>no test</v>
      </c>
      <c r="CF16" s="733" t="str">
        <f>IFERROR(WWWW[[#This Row],['#_Household passed]]/WWWW[[#This Row],['#_Household water samples tested for fecal coliform]],"no test")</f>
        <v>no test</v>
      </c>
      <c r="CG16" s="734" t="str">
        <f>IF(AND(WWWW[[#This Row],[% of water sources passed]]="no test",WWWW[[#This Row],[% Household passed]]="no test"),"No Test","Tested")</f>
        <v>No Test</v>
      </c>
      <c r="CH16" s="734">
        <f>WWWW[[#This Row],['#_Constructed/existing protected hand dug well]]-WWWW[[#This Row],['#_Non-functional protected hand dug well]]</f>
        <v>0</v>
      </c>
      <c r="CI16" s="734">
        <f>(WWWW[[#This Row],['#_Constructed/Existing tube wells/boreholes/handpumps_WASH_agency]]+WWWW[[#This Row],['#_Non-Cluster partner water tube-wells/boreholes/handpumps]])-WWWW[[#This Row],['#_Non-functional tube wells/boreholes/handpumps]]</f>
        <v>0</v>
      </c>
      <c r="CJ16" s="734">
        <f>WWWW[[#This Row],['#_Constructed/Existingwater storage tank with gravity fed reticulation system]]-WWWW[[#This Row],['#_Non-functional storage tank gravity fed reticulation system]]</f>
        <v>0</v>
      </c>
      <c r="CK16" s="734">
        <f>(WWWW[[#This Row],['#_Water_Liters_supplied_by_Water boating or water trucking]]/90)/15</f>
        <v>0</v>
      </c>
      <c r="CL16" s="734">
        <f>WWWW[[#This Row],['#_Water_Liters_from_Constructed/Existing water distribution system from river or natural spring]]/90/15</f>
        <v>0</v>
      </c>
      <c r="CM16" s="424">
        <f>IF(WWWW[[#This Row],['#_of water points in TLS/CFS]]*500&gt;WWWW[[#This Row],[Total PoP ]],WWWW[[#This Row],[Total PoP ]],WWWW[[#This Row],['#_of water points in TLS/CFS]]*500)</f>
        <v>0</v>
      </c>
      <c r="CN16" s="424">
        <f>IF(WWWW[[#This Row],['#_of water points in THF]]*500&gt;WWWW[[#This Row],[Total PoP ]],WWWW[[#This Row],[Total PoP ]],WWWW[[#This Row],['#_of water points in THF]]*500)</f>
        <v>0</v>
      </c>
      <c r="CO1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6" s="733">
        <f>IF(WWWW[[#This Row],[Location Type 1]]="Village",WWWW[[#This Row],[Access to safe drinking water for Village]],WWWW[[#This Row],[Access to safe drinking water for Camp]])</f>
        <v>0</v>
      </c>
      <c r="CR16" s="731">
        <f>WWWW[[#This Row],[%Equitable and continuous access to sufficient quantity of safe drinking water]]*WWWW[[#This Row],[Total PoP ]]</f>
        <v>0</v>
      </c>
      <c r="CS16" s="733">
        <f>IF((WWWW[[#This Row],['#_Constructed/Existing protected/fenced ponds]]*250)/WWWW[[#This Row],[Total PoP ]]&gt;1,1,(WWWW[[#This Row],['#_Constructed/Existing protected/fenced ponds]]*250)/WWWW[[#This Row],[Total PoP ]])</f>
        <v>0</v>
      </c>
      <c r="CT16" s="731">
        <f>WWWW[[#This Row],[% Access to unimproved water points]]*WWWW[[#This Row],[Total PoP ]]</f>
        <v>0</v>
      </c>
      <c r="CU1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6" s="731">
        <f>WWWW[[#This Row],[HRP1]]/500</f>
        <v>0</v>
      </c>
      <c r="CX16" s="736">
        <f>1-WWWW[[#This Row],[% Equitable and continuous access to sufficient quantity of domestic water]]</f>
        <v>1</v>
      </c>
      <c r="CY16" s="731">
        <f>WWWW[[#This Row],[%equitable and continuous access to sufficient quantity of safe drinking and domestic water''s GAP]]*WWWW[[#This Row],[Total PoP ]]</f>
        <v>906</v>
      </c>
      <c r="CZ16" s="734">
        <f>IF(WWWW[[#This Row],[Total required water points]]-WWWW[[#This Row],['#Water points coverage]]&lt;0,0,WWWW[[#This Row],[Total required water points]]-WWWW[[#This Row],['#Water points coverage]])</f>
        <v>2</v>
      </c>
      <c r="DA16" s="734">
        <f>ROUND(IF(WWWW[[#This Row],[Total PoP ]]&lt;500,1,WWWW[[#This Row],[Total PoP ]]/500),0)</f>
        <v>2</v>
      </c>
      <c r="DB16" s="734">
        <f>(WWWW[[#This Row],['#_Constructed latrines_by_WASHAgencies]]+WWWW[[#This Row],['#_Non Cluster partner latrines]])-WWWW[[#This Row],['#_Non-functional latrines]]</f>
        <v>0</v>
      </c>
      <c r="DC16" s="631">
        <f>WWWW[[#This Row],[HRP2]]/WWWW[[#This Row],[Total PoP ]]</f>
        <v>0</v>
      </c>
      <c r="DD1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 s="424">
        <f>IF(WWWW[[#This Row],['# of functional latrines in THF supported by WASH partners during the reporting period2]]="",0,WWWW[[#This Row],['# of functional latrines in THF supported by WASH partners during the reporting period2]]*50)</f>
        <v>0</v>
      </c>
      <c r="DH16" s="734">
        <f>ROUND(IF(WWWW[[#This Row],[Location Type 1]]="camp",WWWW[[#This Row],[Total PoP ]]/20,IF(WWWW[[#This Row],[Location Type 1]]="Temporary Location",WWWW[[#This Row],[Total PoP ]]/50,(WWWW[[#This Row],[Total PoP ]]/6))),0)</f>
        <v>45</v>
      </c>
      <c r="DI16" s="734">
        <f>IF(WWWW[[#This Row],[Total required Latrines]]-(WWWW[[#This Row],['#_Constructed latrines_by_WASHAgencies]]+WWWW[[#This Row],['#_Non Cluster partner latrines]])&lt;0,0,WWWW[[#This Row],[Total required Latrines]]-(WWWW[[#This Row],['#_Constructed latrines_by_WASHAgencies]]+WWWW[[#This Row],['#_Non Cluster partner latrines]]))</f>
        <v>45</v>
      </c>
      <c r="DJ16" s="736">
        <f>1-WWWW[[#This Row],[% people access to functioning Latrine]]</f>
        <v>1</v>
      </c>
      <c r="DK16" s="735">
        <f>IF(OR(WWWW[[#This Row],['#_Non-functional latrines]]="",WWWW[[#This Row],['#_Non-functional latrines]]=0),0,WWWW[[#This Row],['#_Non-functional latrines]]/(WWWW[[#This Row],['#_Constructed latrines_by_WASHAgencies]]+WWWW[[#This Row],['#_Non Cluster partner latrines]]))</f>
        <v>0</v>
      </c>
      <c r="DL16" s="731">
        <f>IF(500*(WWWW[[#This Row],['#_male hygiene promoters]]+WWWW[[#This Row],['#_female hygiene promoters]])&gt;WWWW[[#This Row],[Total PoP ]],WWWW[[#This Row],[Total PoP ]],500*(WWWW[[#This Row],['#_male hygiene promoters]]+WWWW[[#This Row],['#_female hygiene promoters]]))</f>
        <v>0</v>
      </c>
      <c r="DM1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1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6" s="734">
        <f>IF(WWWW[[#This Row],['# People with access to soap]]&gt;WWWW[[#This Row],['# People with access to Sanity Pads]],WWWW[[#This Row],['# People with access to soap]],WWWW[[#This Row],['# People with access to Sanity Pads]])</f>
        <v>520</v>
      </c>
      <c r="DP16" s="734">
        <f>IF(WWWW[[#This Row],['# people reached by regular dedicated hygiene promotion_5]]&gt;WWWW[[#This Row],['# People received regular supply of hygiene items_6]],WWWW[[#This Row],['# people reached by regular dedicated hygiene promotion_5]],WWWW[[#This Row],['# People received regular supply of hygiene items_6]])</f>
        <v>520</v>
      </c>
      <c r="DQ16" s="736">
        <f>IF(WWWW[[#This Row],[HRP3]]/WWWW[[#This Row],[Total PoP ]]&gt;1,1,WWWW[[#This Row],[HRP3]]/WWWW[[#This Row],[Total PoP ]])</f>
        <v>0.57395143487858724</v>
      </c>
      <c r="DR16" s="735">
        <f>1-WWWW[[#This Row],[Hygiene Coverage%]]</f>
        <v>0.42604856512141276</v>
      </c>
      <c r="DS16" s="733">
        <f>WWWW[[#This Row],['# people reached by regular dedicated hygiene promotion_5]]/WWWW[[#This Row],[Total PoP ]]</f>
        <v>0</v>
      </c>
      <c r="DT1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0.81767955801104975</v>
      </c>
      <c r="DV16" s="734">
        <f>WWWW[[#This Row],['#_Constructed/Existing hand washing stations]]-WWWW[[#This Row],['#_Non-Functional_hand_washing_stations]]</f>
        <v>7</v>
      </c>
      <c r="DW16" s="731">
        <f>IF(WWWW[[#This Row],['# Functional hand washing stations during reporting period]]*20&gt;WWWW[[#This Row],[Total HH]],WWWW[[#This Row],[Total HH]],WWWW[[#This Row],['# Functional hand washing stations during reporting period]]*20)</f>
        <v>140</v>
      </c>
      <c r="DX16" s="731">
        <f>IF(WWWW[[#This Row],[Is sufficient soap available for TLS? (Yes/No)]]="yes",WWWW[[#This Row],['#_Constructed/Existing hand washing stations at TLS/CFS/THF]],0)</f>
        <v>0</v>
      </c>
      <c r="DY16" s="428">
        <f>IF(WWWW[[#This Row],['# Functional hand washing stations during reporting period]]*100&gt;WWWW[[#This Row],[Total PoP ]],WWWW[[#This Row],[Total PoP ]],WWWW[[#This Row],['# Functional hand washing stations during reporting period]]*100)</f>
        <v>700</v>
      </c>
      <c r="DZ16" s="428" t="str">
        <f>IF(OR(WWWW[[#This Row],['#_students at TLS_CFS]]="",WWWW[[#This Row],['#_students at TLS_CFS]]=0),"No","Yes")</f>
        <v>No</v>
      </c>
      <c r="EA1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 s="727">
        <f>VLOOKUP(WWWW[[#This Row],[Site Name]],SiteDB6[[Site Name]:[CCCM Management]],6,FALSE)</f>
        <v>0</v>
      </c>
      <c r="EF16" s="727" t="str">
        <f>VLOOKUP(WWWW[[#This Row],[Site Name]],SiteDB6[[Site Name]:[CCCM Focal Agency]],7,FALSE)</f>
        <v>uncovered</v>
      </c>
      <c r="EG16" s="727" t="str">
        <f>VLOOKUP(WWWW[[#This Row],[Site Name]],SiteDB6[[Site Name]:[Location Type 1]],9,FALSE)</f>
        <v>Camp</v>
      </c>
      <c r="EH16" s="727" t="str">
        <f>VLOOKUP(WWWW[[#This Row],[Site Name]],SiteDB6[[Site Name]:[Type of Accommodation]],10,FALSE)</f>
        <v>IDPs in host</v>
      </c>
      <c r="EI16" s="727" t="str">
        <f>VLOOKUP(WWWW[[#This Row],[Site Name]],SiteDB6[[Site Name]:[Ethnic or GCA/NGCA]],11,FALSE)</f>
        <v>GCA</v>
      </c>
      <c r="EJ16" s="727">
        <f>VLOOKUP(WWWW[[#This Row],[Site Name]],SiteDB6[[Site Name]:[Lat]],12,FALSE)</f>
        <v>24.263786</v>
      </c>
      <c r="EK16" s="727">
        <f>VLOOKUP(WWWW[[#This Row],[Site Name]],SiteDB6[[Site Name]:[Long]],13,FALSE)</f>
        <v>97.228835000000004</v>
      </c>
      <c r="EL16" s="727" t="str">
        <f>VLOOKUP(WWWW[[#This Row],[Site Name]],SiteDB6[[Site Name]:[Pcode]],3,FALSE)</f>
        <v>MMR001CMP163</v>
      </c>
      <c r="EM16" s="732" t="str">
        <f t="shared" si="0"/>
        <v>Notcovered</v>
      </c>
      <c r="EN16" s="732"/>
      <c r="EO16" s="727">
        <f>VLOOKUP(WWWW[[#This Row],[Site Name]],SiteDB6[[Site Name]:[Pop
(Kachin/Shan-CCCM as of July 2021)]],16,FALSE)</f>
        <v>65</v>
      </c>
      <c r="EP16" s="727">
        <f>VLOOKUP(WWWW[[#This Row],[Site Name]],SiteDB6[[Site Name]:[Pop
(Kachin/Shan-CCCM as of July 2021)]],17,FALSE)</f>
        <v>337</v>
      </c>
    </row>
    <row r="17" spans="1:146" hidden="1">
      <c r="A17" s="725" t="s">
        <v>2763</v>
      </c>
      <c r="B17" s="725" t="s">
        <v>36</v>
      </c>
      <c r="C17" s="726" t="s">
        <v>36</v>
      </c>
      <c r="D17" s="726" t="s">
        <v>241</v>
      </c>
      <c r="E17" s="726" t="s">
        <v>37</v>
      </c>
      <c r="F17" s="726" t="s">
        <v>142</v>
      </c>
      <c r="G17" s="591" t="str">
        <f>VLOOKUP(WWWW[[#This Row],[Site Name]],SiteDB6[[Site Name]:[Location Type]],8,FALSE)</f>
        <v>Camp</v>
      </c>
      <c r="H17" s="726" t="s">
        <v>236</v>
      </c>
      <c r="I17" s="728">
        <v>119</v>
      </c>
      <c r="J17" s="728">
        <v>421</v>
      </c>
      <c r="K17" s="798">
        <v>44414</v>
      </c>
      <c r="L17" s="799">
        <v>44778</v>
      </c>
      <c r="M17" s="728"/>
      <c r="N17" s="728"/>
      <c r="O17" s="728"/>
      <c r="P17" s="728"/>
      <c r="Q17" s="731" t="s">
        <v>41</v>
      </c>
      <c r="R17" s="728">
        <v>4</v>
      </c>
      <c r="S17" s="728">
        <v>3</v>
      </c>
      <c r="T17" s="448"/>
      <c r="U17" s="728"/>
      <c r="V17" s="728"/>
      <c r="W17" s="728"/>
      <c r="X17" s="728"/>
      <c r="Y17" s="728"/>
      <c r="Z17" s="728"/>
      <c r="AA17" s="728"/>
      <c r="AB17" s="728"/>
      <c r="AC17" s="728"/>
      <c r="AD17" s="728"/>
      <c r="AE17" s="728"/>
      <c r="AF17" s="728"/>
      <c r="AG17" s="728"/>
      <c r="AH17" s="728"/>
      <c r="AI17" s="728"/>
      <c r="AJ17" s="728"/>
      <c r="AK17" s="728"/>
      <c r="AL17" s="728"/>
      <c r="AM17" s="728">
        <v>4</v>
      </c>
      <c r="AN17" s="728"/>
      <c r="AO17" s="728"/>
      <c r="AP17" s="732"/>
      <c r="AQ17" s="728">
        <v>90</v>
      </c>
      <c r="AR17" s="728"/>
      <c r="AS17" s="733"/>
      <c r="AT17" s="728"/>
      <c r="AU17" s="728"/>
      <c r="AV17" s="728"/>
      <c r="AW17" s="728"/>
      <c r="AX17" s="728"/>
      <c r="AY17" s="727" t="s">
        <v>41</v>
      </c>
      <c r="AZ17" s="732" t="s">
        <v>137</v>
      </c>
      <c r="BA17" s="728"/>
      <c r="BB17" s="728"/>
      <c r="BC17" s="728"/>
      <c r="BD17" s="448"/>
      <c r="BE17" s="448"/>
      <c r="BF17" s="727"/>
      <c r="BG17" s="728">
        <v>1</v>
      </c>
      <c r="BH17" s="728"/>
      <c r="BI17" s="728"/>
      <c r="BJ17" s="728">
        <v>1</v>
      </c>
      <c r="BK17" s="728"/>
      <c r="BL17" s="728"/>
      <c r="BM17" s="728">
        <v>2</v>
      </c>
      <c r="BN17" s="728">
        <v>6</v>
      </c>
      <c r="BO17" s="728">
        <v>5</v>
      </c>
      <c r="BP17" s="727"/>
      <c r="BQ17" s="734"/>
      <c r="BR17" s="733"/>
      <c r="BS17" s="727"/>
      <c r="BT17" s="423"/>
      <c r="BU17" s="423"/>
      <c r="BV17" s="425"/>
      <c r="BW17" s="423"/>
      <c r="BX17" s="448"/>
      <c r="BY17" s="448"/>
      <c r="BZ17" s="448"/>
      <c r="CA17" s="448"/>
      <c r="CB17" s="448"/>
      <c r="CC17" s="777"/>
      <c r="CD17" s="448"/>
      <c r="CE17" s="735" t="str">
        <f>IFERROR(WWWW[[#This Row],['#_Water sources passed]]/WWWW[[#This Row],['#_Water sources tested for fecal coliform ]],"no test")</f>
        <v>no test</v>
      </c>
      <c r="CF17" s="733" t="str">
        <f>IFERROR(WWWW[[#This Row],['#_Household passed]]/WWWW[[#This Row],['#_Household water samples tested for fecal coliform]],"no test")</f>
        <v>no test</v>
      </c>
      <c r="CG17" s="734" t="str">
        <f>IF(AND(WWWW[[#This Row],[% of water sources passed]]="no test",WWWW[[#This Row],[% Household passed]]="no test"),"No Test","Tested")</f>
        <v>No Test</v>
      </c>
      <c r="CH17" s="734">
        <f>WWWW[[#This Row],['#_Constructed/existing protected hand dug well]]-WWWW[[#This Row],['#_Non-functional protected hand dug well]]</f>
        <v>0</v>
      </c>
      <c r="CI17" s="734">
        <f>(WWWW[[#This Row],['#_Constructed/Existing tube wells/boreholes/handpumps_WASH_agency]]+WWWW[[#This Row],['#_Non-Cluster partner water tube-wells/boreholes/handpumps]])-WWWW[[#This Row],['#_Non-functional tube wells/boreholes/handpumps]]</f>
        <v>0</v>
      </c>
      <c r="CJ17" s="734">
        <f>WWWW[[#This Row],['#_Constructed/Existingwater storage tank with gravity fed reticulation system]]-WWWW[[#This Row],['#_Non-functional storage tank gravity fed reticulation system]]</f>
        <v>0</v>
      </c>
      <c r="CK17" s="734">
        <f>(WWWW[[#This Row],['#_Water_Liters_supplied_by_Water boating or water trucking]]/90)/15</f>
        <v>0</v>
      </c>
      <c r="CL17" s="734">
        <f>WWWW[[#This Row],['#_Water_Liters_from_Constructed/Existing water distribution system from river or natural spring]]/90/15</f>
        <v>0</v>
      </c>
      <c r="CM17" s="424">
        <f>IF(WWWW[[#This Row],['#_of water points in TLS/CFS]]*500&gt;WWWW[[#This Row],[Total PoP ]],WWWW[[#This Row],[Total PoP ]],WWWW[[#This Row],['#_of water points in TLS/CFS]]*500)</f>
        <v>0</v>
      </c>
      <c r="CN17" s="424">
        <f>IF(WWWW[[#This Row],['#_of water points in THF]]*500&gt;WWWW[[#This Row],[Total PoP ]],WWWW[[#This Row],[Total PoP ]],WWWW[[#This Row],['#_of water points in THF]]*500)</f>
        <v>0</v>
      </c>
      <c r="CO1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7" s="733">
        <f>IF(WWWW[[#This Row],[Location Type 1]]="Village",WWWW[[#This Row],[Access to safe drinking water for Village]],WWWW[[#This Row],[Access to safe drinking water for Camp]])</f>
        <v>0</v>
      </c>
      <c r="CR17" s="731">
        <f>WWWW[[#This Row],[%Equitable and continuous access to sufficient quantity of safe drinking water]]*WWWW[[#This Row],[Total PoP ]]</f>
        <v>0</v>
      </c>
      <c r="CS17" s="733">
        <f>IF((WWWW[[#This Row],['#_Constructed/Existing protected/fenced ponds]]*250)/WWWW[[#This Row],[Total PoP ]]&gt;1,1,(WWWW[[#This Row],['#_Constructed/Existing protected/fenced ponds]]*250)/WWWW[[#This Row],[Total PoP ]])</f>
        <v>0</v>
      </c>
      <c r="CT17" s="731">
        <f>WWWW[[#This Row],[% Access to unimproved water points]]*WWWW[[#This Row],[Total PoP ]]</f>
        <v>0</v>
      </c>
      <c r="CU1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7" s="731">
        <f>WWWW[[#This Row],[HRP1]]/500</f>
        <v>0</v>
      </c>
      <c r="CX17" s="736">
        <f>1-WWWW[[#This Row],[% Equitable and continuous access to sufficient quantity of domestic water]]</f>
        <v>1</v>
      </c>
      <c r="CY17" s="731">
        <f>WWWW[[#This Row],[%equitable and continuous access to sufficient quantity of safe drinking and domestic water''s GAP]]*WWWW[[#This Row],[Total PoP ]]</f>
        <v>421</v>
      </c>
      <c r="CZ17" s="734">
        <f>IF(WWWW[[#This Row],[Total required water points]]-WWWW[[#This Row],['#Water points coverage]]&lt;0,0,WWWW[[#This Row],[Total required water points]]-WWWW[[#This Row],['#Water points coverage]])</f>
        <v>1</v>
      </c>
      <c r="DA17" s="734">
        <f>ROUND(IF(WWWW[[#This Row],[Total PoP ]]&lt;500,1,WWWW[[#This Row],[Total PoP ]]/500),0)</f>
        <v>1</v>
      </c>
      <c r="DB17" s="734">
        <f>(WWWW[[#This Row],['#_Constructed latrines_by_WASHAgencies]]+WWWW[[#This Row],['#_Non Cluster partner latrines]])-WWWW[[#This Row],['#_Non-functional latrines]]</f>
        <v>90</v>
      </c>
      <c r="DC17" s="631">
        <f>WWWW[[#This Row],[HRP2]]/WWWW[[#This Row],[Total PoP ]]</f>
        <v>1</v>
      </c>
      <c r="DD1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421</v>
      </c>
      <c r="DE1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 s="424">
        <f>IF(WWWW[[#This Row],['# of functional latrines in THF supported by WASH partners during the reporting period2]]="",0,WWWW[[#This Row],['# of functional latrines in THF supported by WASH partners during the reporting period2]]*50)</f>
        <v>0</v>
      </c>
      <c r="DH17" s="734">
        <f>ROUND(IF(WWWW[[#This Row],[Location Type 1]]="camp",WWWW[[#This Row],[Total PoP ]]/20,IF(WWWW[[#This Row],[Location Type 1]]="Temporary Location",WWWW[[#This Row],[Total PoP ]]/50,(WWWW[[#This Row],[Total PoP ]]/6))),0)</f>
        <v>21</v>
      </c>
      <c r="DI17" s="734">
        <f>IF(WWWW[[#This Row],[Total required Latrines]]-(WWWW[[#This Row],['#_Constructed latrines_by_WASHAgencies]]+WWWW[[#This Row],['#_Non Cluster partner latrines]])&lt;0,0,WWWW[[#This Row],[Total required Latrines]]-(WWWW[[#This Row],['#_Constructed latrines_by_WASHAgencies]]+WWWW[[#This Row],['#_Non Cluster partner latrines]]))</f>
        <v>0</v>
      </c>
      <c r="DJ17" s="736">
        <f>1-WWWW[[#This Row],[% people access to functioning Latrine]]</f>
        <v>0</v>
      </c>
      <c r="DK17" s="735">
        <f>IF(OR(WWWW[[#This Row],['#_Non-functional latrines]]="",WWWW[[#This Row],['#_Non-functional latrines]]=0),0,WWWW[[#This Row],['#_Non-functional latrines]]/(WWWW[[#This Row],['#_Constructed latrines_by_WASHAgencies]]+WWWW[[#This Row],['#_Non Cluster partner latrines]]))</f>
        <v>0</v>
      </c>
      <c r="DL17" s="731">
        <f>IF(500*(WWWW[[#This Row],['#_male hygiene promoters]]+WWWW[[#This Row],['#_female hygiene promoters]])&gt;WWWW[[#This Row],[Total PoP ]],WWWW[[#This Row],[Total PoP ]],500*(WWWW[[#This Row],['#_male hygiene promoters]]+WWWW[[#This Row],['#_female hygiene promoters]]))</f>
        <v>421</v>
      </c>
      <c r="DM1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7" s="734">
        <f>IF(WWWW[[#This Row],['# People with access to soap]]&gt;WWWW[[#This Row],['# People with access to Sanity Pads]],WWWW[[#This Row],['# People with access to soap]],WWWW[[#This Row],['# People with access to Sanity Pads]])</f>
        <v>30</v>
      </c>
      <c r="DP17" s="734">
        <f>IF(WWWW[[#This Row],['# people reached by regular dedicated hygiene promotion_5]]&gt;WWWW[[#This Row],['# People received regular supply of hygiene items_6]],WWWW[[#This Row],['# people reached by regular dedicated hygiene promotion_5]],WWWW[[#This Row],['# People received regular supply of hygiene items_6]])</f>
        <v>421</v>
      </c>
      <c r="DQ17" s="736">
        <f>IF(WWWW[[#This Row],[HRP3]]/WWWW[[#This Row],[Total PoP ]]&gt;1,1,WWWW[[#This Row],[HRP3]]/WWWW[[#This Row],[Total PoP ]])</f>
        <v>1</v>
      </c>
      <c r="DR17" s="735">
        <f>1-WWWW[[#This Row],[Hygiene Coverage%]]</f>
        <v>0</v>
      </c>
      <c r="DS17" s="733">
        <f>WWWW[[#This Row],['# people reached by regular dedicated hygiene promotion_5]]/WWWW[[#This Row],[Total PoP ]]</f>
        <v>1</v>
      </c>
      <c r="DT1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5.0420168067226892E-2</v>
      </c>
      <c r="DU1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4.2016806722689079E-2</v>
      </c>
      <c r="DV17" s="734">
        <f>WWWW[[#This Row],['#_Constructed/Existing hand washing stations]]-WWWW[[#This Row],['#_Non-Functional_hand_washing_stations]]</f>
        <v>1</v>
      </c>
      <c r="DW17" s="731">
        <f>IF(WWWW[[#This Row],['# Functional hand washing stations during reporting period]]*20&gt;WWWW[[#This Row],[Total HH]],WWWW[[#This Row],[Total HH]],WWWW[[#This Row],['# Functional hand washing stations during reporting period]]*20)</f>
        <v>20</v>
      </c>
      <c r="DX17" s="731">
        <f>IF(WWWW[[#This Row],[Is sufficient soap available for TLS? (Yes/No)]]="yes",WWWW[[#This Row],['#_Constructed/Existing hand washing stations at TLS/CFS/THF]],0)</f>
        <v>0</v>
      </c>
      <c r="DY17" s="428">
        <f>IF(WWWW[[#This Row],['# Functional hand washing stations during reporting period]]*100&gt;WWWW[[#This Row],[Total PoP ]],WWWW[[#This Row],[Total PoP ]],WWWW[[#This Row],['# Functional hand washing stations during reporting period]]*100)</f>
        <v>100</v>
      </c>
      <c r="DZ17" s="428" t="str">
        <f>IF(OR(WWWW[[#This Row],['#_students at TLS_CFS]]="",WWWW[[#This Row],['#_students at TLS_CFS]]=0),"No","Yes")</f>
        <v>No</v>
      </c>
      <c r="EA1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 s="727" t="str">
        <f>VLOOKUP(WWWW[[#This Row],[Site Name]],SiteDB6[[Site Name]:[CCCM Management]],6,FALSE)</f>
        <v>Yes</v>
      </c>
      <c r="EF17" s="727" t="str">
        <f>VLOOKUP(WWWW[[#This Row],[Site Name]],SiteDB6[[Site Name]:[CCCM Focal Agency]],7,FALSE)</f>
        <v>KMSS-MYT</v>
      </c>
      <c r="EG17" s="727" t="str">
        <f>VLOOKUP(WWWW[[#This Row],[Site Name]],SiteDB6[[Site Name]:[Location Type 1]],9,FALSE)</f>
        <v>Camp</v>
      </c>
      <c r="EH17" s="727" t="str">
        <f>VLOOKUP(WWWW[[#This Row],[Site Name]],SiteDB6[[Site Name]:[Type of Accommodation]],10,FALSE)</f>
        <v>Camp</v>
      </c>
      <c r="EI17" s="727" t="str">
        <f>VLOOKUP(WWWW[[#This Row],[Site Name]],SiteDB6[[Site Name]:[Ethnic or GCA/NGCA]],11,FALSE)</f>
        <v>NGCA</v>
      </c>
      <c r="EJ17" s="727">
        <f>VLOOKUP(WWWW[[#This Row],[Site Name]],SiteDB6[[Site Name]:[Lat]],12,FALSE)</f>
        <v>25.220278</v>
      </c>
      <c r="EK17" s="727">
        <f>VLOOKUP(WWWW[[#This Row],[Site Name]],SiteDB6[[Site Name]:[Long]],13,FALSE)</f>
        <v>97.915833000000006</v>
      </c>
      <c r="EL17" s="727" t="str">
        <f>VLOOKUP(WWWW[[#This Row],[Site Name]],SiteDB6[[Site Name]:[Pcode]],3,FALSE)</f>
        <v>MMR001CMP113</v>
      </c>
      <c r="EM17" s="732" t="str">
        <f t="shared" si="0"/>
        <v>Covered</v>
      </c>
      <c r="EN17" s="732"/>
      <c r="EO17" s="727">
        <f>VLOOKUP(WWWW[[#This Row],[Site Name]],SiteDB6[[Site Name]:[Pop
(Kachin/Shan-CCCM as of July 2021)]],16,FALSE)</f>
        <v>118</v>
      </c>
      <c r="EP17" s="727">
        <f>VLOOKUP(WWWW[[#This Row],[Site Name]],SiteDB6[[Site Name]:[Pop
(Kachin/Shan-CCCM as of July 2021)]],17,FALSE)</f>
        <v>419</v>
      </c>
    </row>
    <row r="18" spans="1:146" ht="117" hidden="1">
      <c r="A18" s="725" t="s">
        <v>2763</v>
      </c>
      <c r="B18" s="725" t="s">
        <v>2675</v>
      </c>
      <c r="C18" s="725" t="s">
        <v>2675</v>
      </c>
      <c r="D18" s="726" t="s">
        <v>2719</v>
      </c>
      <c r="E18" s="726" t="s">
        <v>37</v>
      </c>
      <c r="F18" s="726" t="s">
        <v>587</v>
      </c>
      <c r="G18" s="591" t="str">
        <f>VLOOKUP(WWWW[[#This Row],[Site Name]],SiteDB6[[Site Name]:[Location Type]],8,FALSE)</f>
        <v>Camp</v>
      </c>
      <c r="H18" s="726" t="s">
        <v>2693</v>
      </c>
      <c r="I18" s="728">
        <v>131</v>
      </c>
      <c r="J18" s="728">
        <v>586</v>
      </c>
      <c r="K18" s="740" t="s">
        <v>2720</v>
      </c>
      <c r="L18" s="741" t="s">
        <v>2721</v>
      </c>
      <c r="M18" s="728"/>
      <c r="N18" s="728"/>
      <c r="O18" s="728"/>
      <c r="P18" s="728"/>
      <c r="Q18" s="731"/>
      <c r="R18" s="728"/>
      <c r="S18" s="728"/>
      <c r="T18" s="448"/>
      <c r="U18" s="728"/>
      <c r="V18" s="728"/>
      <c r="W18" s="728"/>
      <c r="X18" s="728"/>
      <c r="Y18" s="728"/>
      <c r="Z18" s="728"/>
      <c r="AA18" s="728"/>
      <c r="AB18" s="728"/>
      <c r="AC18" s="728"/>
      <c r="AD18" s="728"/>
      <c r="AE18" s="728"/>
      <c r="AF18" s="728"/>
      <c r="AG18" s="728"/>
      <c r="AH18" s="728"/>
      <c r="AI18" s="728"/>
      <c r="AJ18" s="728"/>
      <c r="AK18" s="728"/>
      <c r="AL18" s="728"/>
      <c r="AM18" s="728">
        <v>12</v>
      </c>
      <c r="AN18" s="728"/>
      <c r="AO18" s="728"/>
      <c r="AP18" s="738" t="s">
        <v>2722</v>
      </c>
      <c r="AQ18" s="728">
        <v>12</v>
      </c>
      <c r="AR18" s="728"/>
      <c r="AS18" s="733"/>
      <c r="AT18" s="728"/>
      <c r="AU18" s="728">
        <v>10</v>
      </c>
      <c r="AV18" s="728"/>
      <c r="AW18" s="728"/>
      <c r="AX18" s="728"/>
      <c r="AY18" s="425" t="s">
        <v>140</v>
      </c>
      <c r="AZ18" s="860" t="s">
        <v>140</v>
      </c>
      <c r="BA18" s="728"/>
      <c r="BB18" s="728"/>
      <c r="BC18" s="728"/>
      <c r="BD18" s="448"/>
      <c r="BE18" s="448">
        <v>25</v>
      </c>
      <c r="BF18" s="739" t="s">
        <v>2723</v>
      </c>
      <c r="BG18" s="728">
        <v>3</v>
      </c>
      <c r="BH18" s="728"/>
      <c r="BI18" s="728"/>
      <c r="BJ18" s="728">
        <v>2</v>
      </c>
      <c r="BK18" s="728">
        <v>4</v>
      </c>
      <c r="BL18" s="728">
        <v>2</v>
      </c>
      <c r="BM18" s="728"/>
      <c r="BN18" s="728">
        <v>10</v>
      </c>
      <c r="BO18" s="728">
        <v>18</v>
      </c>
      <c r="BP18" s="727"/>
      <c r="BQ18" s="734"/>
      <c r="BR18" s="733"/>
      <c r="BS18" s="739" t="s">
        <v>2724</v>
      </c>
      <c r="BT18" s="423"/>
      <c r="BU18" s="423"/>
      <c r="BV18" s="425"/>
      <c r="BW18" s="423"/>
      <c r="BX18" s="448"/>
      <c r="BY18" s="448"/>
      <c r="BZ18" s="448"/>
      <c r="CA18" s="448"/>
      <c r="CB18" s="448"/>
      <c r="CC18" s="777"/>
      <c r="CD18" s="448"/>
      <c r="CE18" s="735" t="str">
        <f>IFERROR(WWWW[[#This Row],['#_Water sources passed]]/WWWW[[#This Row],['#_Water sources tested for fecal coliform ]],"no test")</f>
        <v>no test</v>
      </c>
      <c r="CF18" s="733" t="str">
        <f>IFERROR(WWWW[[#This Row],['#_Household passed]]/WWWW[[#This Row],['#_Household water samples tested for fecal coliform]],"no test")</f>
        <v>no test</v>
      </c>
      <c r="CG18" s="734" t="str">
        <f>IF(AND(WWWW[[#This Row],[% of water sources passed]]="no test",WWWW[[#This Row],[% Household passed]]="no test"),"No Test","Tested")</f>
        <v>No Test</v>
      </c>
      <c r="CH18" s="734">
        <f>WWWW[[#This Row],['#_Constructed/existing protected hand dug well]]-WWWW[[#This Row],['#_Non-functional protected hand dug well]]</f>
        <v>0</v>
      </c>
      <c r="CI18" s="734">
        <f>(WWWW[[#This Row],['#_Constructed/Existing tube wells/boreholes/handpumps_WASH_agency]]+WWWW[[#This Row],['#_Non-Cluster partner water tube-wells/boreholes/handpumps]])-WWWW[[#This Row],['#_Non-functional tube wells/boreholes/handpumps]]</f>
        <v>0</v>
      </c>
      <c r="CJ18" s="734">
        <f>WWWW[[#This Row],['#_Constructed/Existingwater storage tank with gravity fed reticulation system]]-WWWW[[#This Row],['#_Non-functional storage tank gravity fed reticulation system]]</f>
        <v>0</v>
      </c>
      <c r="CK18" s="734">
        <f>(WWWW[[#This Row],['#_Water_Liters_supplied_by_Water boating or water trucking]]/90)/15</f>
        <v>0</v>
      </c>
      <c r="CL18" s="734">
        <f>WWWW[[#This Row],['#_Water_Liters_from_Constructed/Existing water distribution system from river or natural spring]]/90/15</f>
        <v>0</v>
      </c>
      <c r="CM18" s="424">
        <f>IF(WWWW[[#This Row],['#_of water points in TLS/CFS]]*500&gt;WWWW[[#This Row],[Total PoP ]],WWWW[[#This Row],[Total PoP ]],WWWW[[#This Row],['#_of water points in TLS/CFS]]*500)</f>
        <v>0</v>
      </c>
      <c r="CN18" s="424">
        <f>IF(WWWW[[#This Row],['#_of water points in THF]]*500&gt;WWWW[[#This Row],[Total PoP ]],WWWW[[#This Row],[Total PoP ]],WWWW[[#This Row],['#_of water points in THF]]*500)</f>
        <v>0</v>
      </c>
      <c r="CO1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8" s="733">
        <f>IF(WWWW[[#This Row],[Location Type 1]]="Village",WWWW[[#This Row],[Access to safe drinking water for Village]],WWWW[[#This Row],[Access to safe drinking water for Camp]])</f>
        <v>0</v>
      </c>
      <c r="CR18" s="731">
        <f>WWWW[[#This Row],[%Equitable and continuous access to sufficient quantity of safe drinking water]]*WWWW[[#This Row],[Total PoP ]]</f>
        <v>0</v>
      </c>
      <c r="CS18" s="733">
        <f>IF((WWWW[[#This Row],['#_Constructed/Existing protected/fenced ponds]]*250)/WWWW[[#This Row],[Total PoP ]]&gt;1,1,(WWWW[[#This Row],['#_Constructed/Existing protected/fenced ponds]]*250)/WWWW[[#This Row],[Total PoP ]])</f>
        <v>0</v>
      </c>
      <c r="CT18" s="731">
        <f>WWWW[[#This Row],[% Access to unimproved water points]]*WWWW[[#This Row],[Total PoP ]]</f>
        <v>0</v>
      </c>
      <c r="CU1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8" s="731">
        <f>WWWW[[#This Row],[HRP1]]/500</f>
        <v>0</v>
      </c>
      <c r="CX18" s="736">
        <f>1-WWWW[[#This Row],[% Equitable and continuous access to sufficient quantity of domestic water]]</f>
        <v>1</v>
      </c>
      <c r="CY18" s="731">
        <f>WWWW[[#This Row],[%equitable and continuous access to sufficient quantity of safe drinking and domestic water''s GAP]]*WWWW[[#This Row],[Total PoP ]]</f>
        <v>586</v>
      </c>
      <c r="CZ18" s="734">
        <f>IF(WWWW[[#This Row],[Total required water points]]-WWWW[[#This Row],['#Water points coverage]]&lt;0,0,WWWW[[#This Row],[Total required water points]]-WWWW[[#This Row],['#Water points coverage]])</f>
        <v>1</v>
      </c>
      <c r="DA18" s="734">
        <f>ROUND(IF(WWWW[[#This Row],[Total PoP ]]&lt;500,1,WWWW[[#This Row],[Total PoP ]]/500),0)</f>
        <v>1</v>
      </c>
      <c r="DB18" s="734">
        <f>(WWWW[[#This Row],['#_Constructed latrines_by_WASHAgencies]]+WWWW[[#This Row],['#_Non Cluster partner latrines]])-WWWW[[#This Row],['#_Non-functional latrines]]</f>
        <v>12</v>
      </c>
      <c r="DC18" s="631">
        <f>WWWW[[#This Row],[HRP2]]/WWWW[[#This Row],[Total PoP ]]</f>
        <v>0.4522184300341297</v>
      </c>
      <c r="DD1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265</v>
      </c>
      <c r="DE1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 s="424">
        <f>IF(WWWW[[#This Row],['# of functional latrines in THF supported by WASH partners during the reporting period2]]="",0,WWWW[[#This Row],['# of functional latrines in THF supported by WASH partners during the reporting period2]]*50)</f>
        <v>0</v>
      </c>
      <c r="DH18" s="734">
        <f>ROUND(IF(WWWW[[#This Row],[Location Type 1]]="camp",WWWW[[#This Row],[Total PoP ]]/20,IF(WWWW[[#This Row],[Location Type 1]]="Temporary Location",WWWW[[#This Row],[Total PoP ]]/50,(WWWW[[#This Row],[Total PoP ]]/6))),0)</f>
        <v>29</v>
      </c>
      <c r="DI18" s="734">
        <f>IF(WWWW[[#This Row],[Total required Latrines]]-(WWWW[[#This Row],['#_Constructed latrines_by_WASHAgencies]]+WWWW[[#This Row],['#_Non Cluster partner latrines]])&lt;0,0,WWWW[[#This Row],[Total required Latrines]]-(WWWW[[#This Row],['#_Constructed latrines_by_WASHAgencies]]+WWWW[[#This Row],['#_Non Cluster partner latrines]]))</f>
        <v>17</v>
      </c>
      <c r="DJ18" s="736">
        <f>1-WWWW[[#This Row],[% people access to functioning Latrine]]</f>
        <v>0.54778156996587035</v>
      </c>
      <c r="DK18" s="735">
        <f>IF(OR(WWWW[[#This Row],['#_Non-functional latrines]]="",WWWW[[#This Row],['#_Non-functional latrines]]=0),0,WWWW[[#This Row],['#_Non-functional latrines]]/(WWWW[[#This Row],['#_Constructed latrines_by_WASHAgencies]]+WWWW[[#This Row],['#_Non Cluster partner latrines]]))</f>
        <v>0</v>
      </c>
      <c r="DL18" s="731">
        <f>IF(500*(WWWW[[#This Row],['#_male hygiene promoters]]+WWWW[[#This Row],['#_female hygiene promoters]])&gt;WWWW[[#This Row],[Total PoP ]],WWWW[[#This Row],[Total PoP ]],500*(WWWW[[#This Row],['#_male hygiene promoters]]+WWWW[[#This Row],['#_female hygiene promoters]]))</f>
        <v>586</v>
      </c>
      <c r="DM1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8" s="734">
        <f>IF(WWWW[[#This Row],['# People with access to soap]]&gt;WWWW[[#This Row],['# People with access to Sanity Pads]],WWWW[[#This Row],['# People with access to soap]],WWWW[[#This Row],['# People with access to Sanity Pads]])</f>
        <v>50</v>
      </c>
      <c r="DP18" s="734">
        <f>IF(WWWW[[#This Row],['# people reached by regular dedicated hygiene promotion_5]]&gt;WWWW[[#This Row],['# People received regular supply of hygiene items_6]],WWWW[[#This Row],['# people reached by regular dedicated hygiene promotion_5]],WWWW[[#This Row],['# People received regular supply of hygiene items_6]])</f>
        <v>586</v>
      </c>
      <c r="DQ18" s="736">
        <f>IF(WWWW[[#This Row],[HRP3]]/WWWW[[#This Row],[Total PoP ]]&gt;1,1,WWWW[[#This Row],[HRP3]]/WWWW[[#This Row],[Total PoP ]])</f>
        <v>1</v>
      </c>
      <c r="DR18" s="735">
        <f>1-WWWW[[#This Row],[Hygiene Coverage%]]</f>
        <v>0</v>
      </c>
      <c r="DS18" s="733">
        <f>WWWW[[#This Row],['# people reached by regular dedicated hygiene promotion_5]]/WWWW[[#This Row],[Total PoP ]]</f>
        <v>1</v>
      </c>
      <c r="DT1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7.6335877862595422E-2</v>
      </c>
      <c r="DU1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0.13740458015267176</v>
      </c>
      <c r="DV18" s="734">
        <f>WWWW[[#This Row],['#_Constructed/Existing hand washing stations]]-WWWW[[#This Row],['#_Non-Functional_hand_washing_stations]]</f>
        <v>3</v>
      </c>
      <c r="DW18" s="731">
        <f>IF(WWWW[[#This Row],['# Functional hand washing stations during reporting period]]*20&gt;WWWW[[#This Row],[Total HH]],WWWW[[#This Row],[Total HH]],WWWW[[#This Row],['# Functional hand washing stations during reporting period]]*20)</f>
        <v>60</v>
      </c>
      <c r="DX18" s="731">
        <f>IF(WWWW[[#This Row],[Is sufficient soap available for TLS? (Yes/No)]]="yes",WWWW[[#This Row],['#_Constructed/Existing hand washing stations at TLS/CFS/THF]],0)</f>
        <v>0</v>
      </c>
      <c r="DY18" s="428">
        <f>IF(WWWW[[#This Row],['# Functional hand washing stations during reporting period]]*100&gt;WWWW[[#This Row],[Total PoP ]],WWWW[[#This Row],[Total PoP ]],WWWW[[#This Row],['# Functional hand washing stations during reporting period]]*100)</f>
        <v>300</v>
      </c>
      <c r="DZ18" s="428" t="str">
        <f>IF(OR(WWWW[[#This Row],['#_students at TLS_CFS]]="",WWWW[[#This Row],['#_students at TLS_CFS]]=0),"No","Yes")</f>
        <v>No</v>
      </c>
      <c r="EA1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 s="727" t="str">
        <f>VLOOKUP(WWWW[[#This Row],[Site Name]],SiteDB6[[Site Name]:[CCCM Management]],6,FALSE)</f>
        <v>Yes</v>
      </c>
      <c r="EF18" s="727" t="str">
        <f>VLOOKUP(WWWW[[#This Row],[Site Name]],SiteDB6[[Site Name]:[CCCM Focal Agency]],7,FALSE)</f>
        <v>STW/KMSS-MYT</v>
      </c>
      <c r="EG18" s="727" t="str">
        <f>VLOOKUP(WWWW[[#This Row],[Site Name]],SiteDB6[[Site Name]:[Location Type 1]],9,FALSE)</f>
        <v>Camp</v>
      </c>
      <c r="EH18" s="727" t="str">
        <f>VLOOKUP(WWWW[[#This Row],[Site Name]],SiteDB6[[Site Name]:[Type of Accommodation]],10,FALSE)</f>
        <v>Camp</v>
      </c>
      <c r="EI18" s="727" t="str">
        <f>VLOOKUP(WWWW[[#This Row],[Site Name]],SiteDB6[[Site Name]:[Ethnic or GCA/NGCA]],11,FALSE)</f>
        <v>NGCA</v>
      </c>
      <c r="EJ18" s="727">
        <f>VLOOKUP(WWWW[[#This Row],[Site Name]],SiteDB6[[Site Name]:[Lat]],12,FALSE)</f>
        <v>26.007408000000002</v>
      </c>
      <c r="EK18" s="727">
        <f>VLOOKUP(WWWW[[#This Row],[Site Name]],SiteDB6[[Site Name]:[Long]],13,FALSE)</f>
        <v>97.823777000000007</v>
      </c>
      <c r="EL18" s="727" t="str">
        <f>VLOOKUP(WWWW[[#This Row],[Site Name]],SiteDB6[[Site Name]:[Pcode]],3,FALSE)</f>
        <v>MMR001CMP280</v>
      </c>
      <c r="EM18" s="732" t="str">
        <f t="shared" si="0"/>
        <v>Covered</v>
      </c>
      <c r="EN18" s="732"/>
      <c r="EO18" s="727">
        <f>VLOOKUP(WWWW[[#This Row],[Site Name]],SiteDB6[[Site Name]:[Pop
(Kachin/Shan-CCCM as of July 2021)]],16,FALSE)</f>
        <v>140</v>
      </c>
      <c r="EP18" s="727">
        <f>VLOOKUP(WWWW[[#This Row],[Site Name]],SiteDB6[[Site Name]:[Pop
(Kachin/Shan-CCCM as of July 2021)]],17,FALSE)</f>
        <v>659</v>
      </c>
    </row>
    <row r="19" spans="1:146" hidden="1">
      <c r="A19" s="725" t="s">
        <v>2763</v>
      </c>
      <c r="B19" s="725" t="s">
        <v>291</v>
      </c>
      <c r="C19" s="726" t="s">
        <v>291</v>
      </c>
      <c r="D19" s="726" t="s">
        <v>2626</v>
      </c>
      <c r="E19" s="726" t="s">
        <v>37</v>
      </c>
      <c r="F19" s="726" t="s">
        <v>38</v>
      </c>
      <c r="G19" s="591" t="str">
        <f>VLOOKUP(WWWW[[#This Row],[Site Name]],SiteDB6[[Site Name]:[Location Type]],8,FALSE)</f>
        <v>Camp</v>
      </c>
      <c r="H19" s="726" t="s">
        <v>1490</v>
      </c>
      <c r="I19" s="728">
        <v>361</v>
      </c>
      <c r="J19" s="728">
        <v>1887</v>
      </c>
      <c r="K19" s="729">
        <v>43952</v>
      </c>
      <c r="L19" s="730">
        <v>43889</v>
      </c>
      <c r="M19" s="728"/>
      <c r="N19" s="728"/>
      <c r="O19" s="728"/>
      <c r="P19" s="728"/>
      <c r="Q19" s="731" t="s">
        <v>41</v>
      </c>
      <c r="R19" s="728"/>
      <c r="S19" s="728"/>
      <c r="T19" s="448">
        <v>4</v>
      </c>
      <c r="U19" s="728"/>
      <c r="V19" s="728"/>
      <c r="W19" s="728"/>
      <c r="X19" s="728"/>
      <c r="Y19" s="728"/>
      <c r="Z19" s="728"/>
      <c r="AA19" s="728"/>
      <c r="AB19" s="728"/>
      <c r="AC19" s="728"/>
      <c r="AD19" s="728"/>
      <c r="AE19" s="728">
        <v>5</v>
      </c>
      <c r="AF19" s="728"/>
      <c r="AG19" s="728"/>
      <c r="AH19" s="728">
        <v>5</v>
      </c>
      <c r="AI19" s="728"/>
      <c r="AJ19" s="728"/>
      <c r="AK19" s="728"/>
      <c r="AL19" s="728"/>
      <c r="AM19" s="728">
        <v>0</v>
      </c>
      <c r="AN19" s="728">
        <v>5</v>
      </c>
      <c r="AO19" s="728"/>
      <c r="AP19" s="732"/>
      <c r="AQ19" s="728">
        <v>185</v>
      </c>
      <c r="AR19" s="728"/>
      <c r="AS19" s="733"/>
      <c r="AT19" s="728"/>
      <c r="AU19" s="728"/>
      <c r="AV19" s="728"/>
      <c r="AW19" s="728"/>
      <c r="AX19" s="728">
        <v>73</v>
      </c>
      <c r="AY19" s="727" t="s">
        <v>136</v>
      </c>
      <c r="AZ19" s="732" t="s">
        <v>137</v>
      </c>
      <c r="BA19" s="728">
        <v>4</v>
      </c>
      <c r="BB19" s="728">
        <v>60</v>
      </c>
      <c r="BC19" s="728">
        <v>15</v>
      </c>
      <c r="BD19" s="448">
        <v>2</v>
      </c>
      <c r="BE19" s="448"/>
      <c r="BF19" s="727"/>
      <c r="BG19" s="728">
        <v>1</v>
      </c>
      <c r="BH19" s="728"/>
      <c r="BI19" s="728">
        <v>60</v>
      </c>
      <c r="BJ19" s="728">
        <v>1</v>
      </c>
      <c r="BK19" s="728"/>
      <c r="BL19" s="728">
        <v>2</v>
      </c>
      <c r="BM19" s="728">
        <v>6</v>
      </c>
      <c r="BN19" s="728">
        <v>6</v>
      </c>
      <c r="BO19" s="728">
        <v>5</v>
      </c>
      <c r="BP19" s="727"/>
      <c r="BQ19" s="734"/>
      <c r="BR19" s="733"/>
      <c r="BS19" s="727"/>
      <c r="BT19" s="423"/>
      <c r="BU19" s="423"/>
      <c r="BV19" s="425"/>
      <c r="BW19" s="423"/>
      <c r="BX19" s="448"/>
      <c r="BY19" s="448"/>
      <c r="BZ19" s="448"/>
      <c r="CA19" s="448"/>
      <c r="CB19" s="448"/>
      <c r="CC19" s="777"/>
      <c r="CD19" s="448"/>
      <c r="CE19" s="735" t="str">
        <f>IFERROR(WWWW[[#This Row],['#_Water sources passed]]/WWWW[[#This Row],['#_Water sources tested for fecal coliform ]],"no test")</f>
        <v>no test</v>
      </c>
      <c r="CF19" s="733" t="str">
        <f>IFERROR(WWWW[[#This Row],['#_Household passed]]/WWWW[[#This Row],['#_Household water samples tested for fecal coliform]],"no test")</f>
        <v>no test</v>
      </c>
      <c r="CG19" s="734" t="str">
        <f>IF(AND(WWWW[[#This Row],[% of water sources passed]]="no test",WWWW[[#This Row],[% Household passed]]="no test"),"No Test","Tested")</f>
        <v>No Test</v>
      </c>
      <c r="CH19" s="734">
        <f>WWWW[[#This Row],['#_Constructed/existing protected hand dug well]]-WWWW[[#This Row],['#_Non-functional protected hand dug well]]</f>
        <v>4</v>
      </c>
      <c r="CI19" s="734">
        <f>(WWWW[[#This Row],['#_Constructed/Existing tube wells/boreholes/handpumps_WASH_agency]]+WWWW[[#This Row],['#_Non-Cluster partner water tube-wells/boreholes/handpumps]])-WWWW[[#This Row],['#_Non-functional tube wells/boreholes/handpumps]]</f>
        <v>0</v>
      </c>
      <c r="CJ19" s="734">
        <f>WWWW[[#This Row],['#_Constructed/Existingwater storage tank with gravity fed reticulation system]]-WWWW[[#This Row],['#_Non-functional storage tank gravity fed reticulation system]]</f>
        <v>0</v>
      </c>
      <c r="CK19" s="734">
        <f>(WWWW[[#This Row],['#_Water_Liters_supplied_by_Water boating or water trucking]]/90)/15</f>
        <v>0</v>
      </c>
      <c r="CL19" s="734">
        <f>WWWW[[#This Row],['#_Water_Liters_from_Constructed/Existing water distribution system from river or natural spring]]/90/15</f>
        <v>0</v>
      </c>
      <c r="CM19" s="424">
        <f>IF(WWWW[[#This Row],['#_of water points in TLS/CFS]]*500&gt;WWWW[[#This Row],[Total PoP ]],WWWW[[#This Row],[Total PoP ]],WWWW[[#This Row],['#_of water points in TLS/CFS]]*500)</f>
        <v>1887</v>
      </c>
      <c r="CN19" s="424">
        <f>IF(WWWW[[#This Row],['#_of water points in THF]]*500&gt;WWWW[[#This Row],[Total PoP ]],WWWW[[#This Row],[Total PoP ]],WWWW[[#This Row],['#_of water points in THF]]*500)</f>
        <v>0</v>
      </c>
      <c r="CO1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0.84790673025967145</v>
      </c>
      <c r="CP1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0.52994170641229466</v>
      </c>
      <c r="CQ19" s="733">
        <f>IF(WWWW[[#This Row],[Location Type 1]]="Village",WWWW[[#This Row],[Access to safe drinking water for Village]],WWWW[[#This Row],[Access to safe drinking water for Camp]])</f>
        <v>0.84790673025967145</v>
      </c>
      <c r="CR19" s="731">
        <f>WWWW[[#This Row],[%Equitable and continuous access to sufficient quantity of safe drinking water]]*WWWW[[#This Row],[Total PoP ]]</f>
        <v>1600</v>
      </c>
      <c r="CS19" s="733">
        <f>IF((WWWW[[#This Row],['#_Constructed/Existing protected/fenced ponds]]*250)/WWWW[[#This Row],[Total PoP ]]&gt;1,1,(WWWW[[#This Row],['#_Constructed/Existing protected/fenced ponds]]*250)/WWWW[[#This Row],[Total PoP ]])</f>
        <v>0.66242713301536826</v>
      </c>
      <c r="CT19" s="731">
        <f>WWWW[[#This Row],[% Access to unimproved water points]]*WWWW[[#This Row],[Total PoP ]]</f>
        <v>1250</v>
      </c>
      <c r="CU1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1887</v>
      </c>
      <c r="CW19" s="731">
        <f>WWWW[[#This Row],[HRP1]]/500</f>
        <v>3.774</v>
      </c>
      <c r="CX19" s="736">
        <f>1-WWWW[[#This Row],[% Equitable and continuous access to sufficient quantity of domestic water]]</f>
        <v>0</v>
      </c>
      <c r="CY19" s="731">
        <f>WWWW[[#This Row],[%equitable and continuous access to sufficient quantity of safe drinking and domestic water''s GAP]]*WWWW[[#This Row],[Total PoP ]]</f>
        <v>0</v>
      </c>
      <c r="CZ19" s="734">
        <f>IF(WWWW[[#This Row],[Total required water points]]-WWWW[[#This Row],['#Water points coverage]]&lt;0,0,WWWW[[#This Row],[Total required water points]]-WWWW[[#This Row],['#Water points coverage]])</f>
        <v>0.22599999999999998</v>
      </c>
      <c r="DA19" s="734">
        <f>ROUND(IF(WWWW[[#This Row],[Total PoP ]]&lt;500,1,WWWW[[#This Row],[Total PoP ]]/500),0)</f>
        <v>4</v>
      </c>
      <c r="DB19" s="734">
        <f>(WWWW[[#This Row],['#_Constructed latrines_by_WASHAgencies]]+WWWW[[#This Row],['#_Non Cluster partner latrines]])-WWWW[[#This Row],['#_Non-functional latrines]]</f>
        <v>185</v>
      </c>
      <c r="DC19" s="631">
        <f>WWWW[[#This Row],[HRP2]]/WWWW[[#This Row],[Total PoP ]]</f>
        <v>1</v>
      </c>
      <c r="DD1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1887</v>
      </c>
      <c r="DE1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 s="424">
        <f>IF(WWWW[[#This Row],['# of functional latrines in THF supported by WASH partners during the reporting period2]]="",0,WWWW[[#This Row],['# of functional latrines in THF supported by WASH partners during the reporting period2]]*50)</f>
        <v>100</v>
      </c>
      <c r="DH19" s="734">
        <f>ROUND(IF(WWWW[[#This Row],[Location Type 1]]="camp",WWWW[[#This Row],[Total PoP ]]/20,IF(WWWW[[#This Row],[Location Type 1]]="Temporary Location",WWWW[[#This Row],[Total PoP ]]/50,(WWWW[[#This Row],[Total PoP ]]/6))),0)</f>
        <v>94</v>
      </c>
      <c r="DI19" s="734">
        <f>IF(WWWW[[#This Row],[Total required Latrines]]-(WWWW[[#This Row],['#_Constructed latrines_by_WASHAgencies]]+WWWW[[#This Row],['#_Non Cluster partner latrines]])&lt;0,0,WWWW[[#This Row],[Total required Latrines]]-(WWWW[[#This Row],['#_Constructed latrines_by_WASHAgencies]]+WWWW[[#This Row],['#_Non Cluster partner latrines]]))</f>
        <v>0</v>
      </c>
      <c r="DJ19" s="736">
        <f>1-WWWW[[#This Row],[% people access to functioning Latrine]]</f>
        <v>0</v>
      </c>
      <c r="DK19" s="735">
        <f>IF(OR(WWWW[[#This Row],['#_Non-functional latrines]]="",WWWW[[#This Row],['#_Non-functional latrines]]=0),0,WWWW[[#This Row],['#_Non-functional latrines]]/(WWWW[[#This Row],['#_Constructed latrines_by_WASHAgencies]]+WWWW[[#This Row],['#_Non Cluster partner latrines]]))</f>
        <v>0</v>
      </c>
      <c r="DL19" s="731">
        <f>IF(500*(WWWW[[#This Row],['#_male hygiene promoters]]+WWWW[[#This Row],['#_female hygiene promoters]])&gt;WWWW[[#This Row],[Total PoP ]],WWWW[[#This Row],[Total PoP ]],500*(WWWW[[#This Row],['#_male hygiene promoters]]+WWWW[[#This Row],['#_female hygiene promoters]]))</f>
        <v>1887</v>
      </c>
      <c r="DM1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9" s="734">
        <f>IF(WWWW[[#This Row],['# People with access to soap]]&gt;WWWW[[#This Row],['# People with access to Sanity Pads]],WWWW[[#This Row],['# People with access to soap]],WWWW[[#This Row],['# People with access to Sanity Pads]])</f>
        <v>30</v>
      </c>
      <c r="DP19" s="734">
        <f>IF(WWWW[[#This Row],['# people reached by regular dedicated hygiene promotion_5]]&gt;WWWW[[#This Row],['# People received regular supply of hygiene items_6]],WWWW[[#This Row],['# people reached by regular dedicated hygiene promotion_5]],WWWW[[#This Row],['# People received regular supply of hygiene items_6]])</f>
        <v>1887</v>
      </c>
      <c r="DQ19" s="736">
        <f>IF(WWWW[[#This Row],[HRP3]]/WWWW[[#This Row],[Total PoP ]]&gt;1,1,WWWW[[#This Row],[HRP3]]/WWWW[[#This Row],[Total PoP ]])</f>
        <v>1</v>
      </c>
      <c r="DR19" s="735">
        <f>1-WWWW[[#This Row],[Hygiene Coverage%]]</f>
        <v>0</v>
      </c>
      <c r="DS19" s="733">
        <f>WWWW[[#This Row],['# people reached by regular dedicated hygiene promotion_5]]/WWWW[[#This Row],[Total PoP ]]</f>
        <v>1</v>
      </c>
      <c r="DT1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1.662049861495845E-2</v>
      </c>
      <c r="DU1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1.3850415512465374E-2</v>
      </c>
      <c r="DV19" s="734">
        <f>WWWW[[#This Row],['#_Constructed/Existing hand washing stations]]-WWWW[[#This Row],['#_Non-Functional_hand_washing_stations]]</f>
        <v>1</v>
      </c>
      <c r="DW19" s="731">
        <f>IF(WWWW[[#This Row],['# Functional hand washing stations during reporting period]]*20&gt;WWWW[[#This Row],[Total HH]],WWWW[[#This Row],[Total HH]],WWWW[[#This Row],['# Functional hand washing stations during reporting period]]*20)</f>
        <v>20</v>
      </c>
      <c r="DX19" s="731">
        <f>IF(WWWW[[#This Row],[Is sufficient soap available for TLS? (Yes/No)]]="yes",WWWW[[#This Row],['#_Constructed/Existing hand washing stations at TLS/CFS/THF]],0)</f>
        <v>0</v>
      </c>
      <c r="DY19" s="428">
        <f>IF(WWWW[[#This Row],['# Functional hand washing stations during reporting period]]*100&gt;WWWW[[#This Row],[Total PoP ]],WWWW[[#This Row],[Total PoP ]],WWWW[[#This Row],['# Functional hand washing stations during reporting period]]*100)</f>
        <v>100</v>
      </c>
      <c r="DZ19" s="428" t="str">
        <f>IF(OR(WWWW[[#This Row],['#_students at TLS_CFS]]="",WWWW[[#This Row],['#_students at TLS_CFS]]=0),"No","Yes")</f>
        <v>No</v>
      </c>
      <c r="EA1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1887</v>
      </c>
      <c r="ED1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19" s="727" t="str">
        <f>VLOOKUP(WWWW[[#This Row],[Site Name]],SiteDB6[[Site Name]:[CCCM Management]],6,FALSE)</f>
        <v>Yes</v>
      </c>
      <c r="EF19" s="727" t="str">
        <f>VLOOKUP(WWWW[[#This Row],[Site Name]],SiteDB6[[Site Name]:[CCCM Focal Agency]],7,FALSE)</f>
        <v>KMSS-BMO</v>
      </c>
      <c r="EG19" s="727" t="str">
        <f>VLOOKUP(WWWW[[#This Row],[Site Name]],SiteDB6[[Site Name]:[Location Type 1]],9,FALSE)</f>
        <v>Camp</v>
      </c>
      <c r="EH19" s="727" t="str">
        <f>VLOOKUP(WWWW[[#This Row],[Site Name]],SiteDB6[[Site Name]:[Type of Accommodation]],10,FALSE)</f>
        <v>Camp</v>
      </c>
      <c r="EI19" s="727" t="str">
        <f>VLOOKUP(WWWW[[#This Row],[Site Name]],SiteDB6[[Site Name]:[Ethnic or GCA/NGCA]],11,FALSE)</f>
        <v>NGCA</v>
      </c>
      <c r="EJ19" s="727">
        <f>VLOOKUP(WWWW[[#This Row],[Site Name]],SiteDB6[[Site Name]:[Lat]],12,FALSE)</f>
        <v>24.002433</v>
      </c>
      <c r="EK19" s="727">
        <f>VLOOKUP(WWWW[[#This Row],[Site Name]],SiteDB6[[Site Name]:[Long]],13,FALSE)</f>
        <v>97.609832999999995</v>
      </c>
      <c r="EL19" s="727" t="str">
        <f>VLOOKUP(WWWW[[#This Row],[Site Name]],SiteDB6[[Site Name]:[Pcode]],3,FALSE)</f>
        <v>MMR001CMP129</v>
      </c>
      <c r="EM19" s="732" t="str">
        <f t="shared" si="0"/>
        <v>Covered</v>
      </c>
      <c r="EN19" s="732"/>
      <c r="EO19" s="727">
        <f>VLOOKUP(WWWW[[#This Row],[Site Name]],SiteDB6[[Site Name]:[Pop
(Kachin/Shan-CCCM as of July 2021)]],16,FALSE)</f>
        <v>388</v>
      </c>
      <c r="EP19" s="727">
        <f>VLOOKUP(WWWW[[#This Row],[Site Name]],SiteDB6[[Site Name]:[Pop
(Kachin/Shan-CCCM as of July 2021)]],17,FALSE)</f>
        <v>1900</v>
      </c>
    </row>
    <row r="20" spans="1:146" hidden="1">
      <c r="A20" s="725" t="s">
        <v>2763</v>
      </c>
      <c r="B20" s="725" t="s">
        <v>242</v>
      </c>
      <c r="C20" s="726" t="s">
        <v>242</v>
      </c>
      <c r="D20" s="726" t="s">
        <v>307</v>
      </c>
      <c r="E20" s="726" t="s">
        <v>37</v>
      </c>
      <c r="F20" s="726" t="s">
        <v>148</v>
      </c>
      <c r="G20" s="591" t="str">
        <f>VLOOKUP(WWWW[[#This Row],[Site Name]],SiteDB6[[Site Name]:[Location Type]],8,FALSE)</f>
        <v>Camp</v>
      </c>
      <c r="H20" s="726" t="s">
        <v>251</v>
      </c>
      <c r="I20" s="448">
        <v>5</v>
      </c>
      <c r="J20" s="448">
        <v>24</v>
      </c>
      <c r="K20" s="588">
        <v>44197</v>
      </c>
      <c r="L20" s="589">
        <v>44651</v>
      </c>
      <c r="M20" s="448"/>
      <c r="N20" s="448">
        <v>1</v>
      </c>
      <c r="O20" s="728"/>
      <c r="P20" s="728"/>
      <c r="Q20" s="731" t="s">
        <v>41</v>
      </c>
      <c r="R20" s="448">
        <v>2</v>
      </c>
      <c r="S20" s="448">
        <v>1</v>
      </c>
      <c r="T20" s="448">
        <v>0</v>
      </c>
      <c r="U20" s="728"/>
      <c r="V20" s="728"/>
      <c r="W20" s="728"/>
      <c r="X20" s="728"/>
      <c r="Y20" s="728"/>
      <c r="Z20" s="728"/>
      <c r="AA20" s="728">
        <v>4</v>
      </c>
      <c r="AB20" s="728"/>
      <c r="AC20" s="728"/>
      <c r="AD20" s="728"/>
      <c r="AE20" s="728"/>
      <c r="AF20" s="728"/>
      <c r="AG20" s="728"/>
      <c r="AH20" s="728"/>
      <c r="AI20" s="728"/>
      <c r="AJ20" s="728"/>
      <c r="AK20" s="728"/>
      <c r="AL20" s="728"/>
      <c r="AM20" s="728">
        <v>1</v>
      </c>
      <c r="AN20" s="448"/>
      <c r="AO20" s="448"/>
      <c r="AP20" s="590"/>
      <c r="AQ20" s="448">
        <v>2</v>
      </c>
      <c r="AR20" s="728"/>
      <c r="AS20" s="733"/>
      <c r="AT20" s="448"/>
      <c r="AU20" s="448"/>
      <c r="AV20" s="448"/>
      <c r="AW20" s="728"/>
      <c r="AX20" s="728"/>
      <c r="AY20" s="727" t="s">
        <v>41</v>
      </c>
      <c r="AZ20" s="732" t="s">
        <v>137</v>
      </c>
      <c r="BA20" s="728"/>
      <c r="BB20" s="728"/>
      <c r="BC20" s="728"/>
      <c r="BD20" s="448"/>
      <c r="BE20" s="448"/>
      <c r="BF20" s="425" t="s">
        <v>2898</v>
      </c>
      <c r="BG20" s="448">
        <v>3</v>
      </c>
      <c r="BH20" s="448"/>
      <c r="BI20" s="448"/>
      <c r="BJ20" s="448">
        <v>2</v>
      </c>
      <c r="BK20" s="448"/>
      <c r="BL20" s="448"/>
      <c r="BM20" s="448">
        <v>1</v>
      </c>
      <c r="BN20" s="448">
        <v>10</v>
      </c>
      <c r="BO20" s="448">
        <v>18</v>
      </c>
      <c r="BP20" s="425" t="s">
        <v>41</v>
      </c>
      <c r="BQ20" s="424">
        <v>1</v>
      </c>
      <c r="BR20" s="423">
        <v>0.85</v>
      </c>
      <c r="BS20" s="425" t="s">
        <v>2905</v>
      </c>
      <c r="BT20" s="423">
        <v>0.8</v>
      </c>
      <c r="BU20" s="423">
        <v>0.5</v>
      </c>
      <c r="BV20" s="425">
        <v>5</v>
      </c>
      <c r="BW20" s="423">
        <v>0.8</v>
      </c>
      <c r="BX20" s="448"/>
      <c r="BY20" s="448"/>
      <c r="BZ20" s="448"/>
      <c r="CA20" s="448"/>
      <c r="CB20" s="448"/>
      <c r="CC20" s="777"/>
      <c r="CD20" s="448"/>
      <c r="CE20" s="735" t="str">
        <f>IFERROR(WWWW[[#This Row],['#_Water sources passed]]/WWWW[[#This Row],['#_Water sources tested for fecal coliform ]],"no test")</f>
        <v>no test</v>
      </c>
      <c r="CF20" s="733" t="str">
        <f>IFERROR(WWWW[[#This Row],['#_Household passed]]/WWWW[[#This Row],['#_Household water samples tested for fecal coliform]],"no test")</f>
        <v>no test</v>
      </c>
      <c r="CG20" s="734" t="str">
        <f>IF(AND(WWWW[[#This Row],[% of water sources passed]]="no test",WWWW[[#This Row],[% Household passed]]="no test"),"No Test","Tested")</f>
        <v>No Test</v>
      </c>
      <c r="CH20" s="734">
        <f>WWWW[[#This Row],['#_Constructed/existing protected hand dug well]]-WWWW[[#This Row],['#_Non-functional protected hand dug well]]</f>
        <v>0</v>
      </c>
      <c r="CI20" s="734">
        <f>(WWWW[[#This Row],['#_Constructed/Existing tube wells/boreholes/handpumps_WASH_agency]]+WWWW[[#This Row],['#_Non-Cluster partner water tube-wells/boreholes/handpumps]])-WWWW[[#This Row],['#_Non-functional tube wells/boreholes/handpumps]]</f>
        <v>0</v>
      </c>
      <c r="CJ20" s="734">
        <f>WWWW[[#This Row],['#_Constructed/Existingwater storage tank with gravity fed reticulation system]]-WWWW[[#This Row],['#_Non-functional storage tank gravity fed reticulation system]]</f>
        <v>4</v>
      </c>
      <c r="CK20" s="734">
        <f>(WWWW[[#This Row],['#_Water_Liters_supplied_by_Water boating or water trucking]]/90)/15</f>
        <v>0</v>
      </c>
      <c r="CL20" s="734">
        <f>WWWW[[#This Row],['#_Water_Liters_from_Constructed/Existing water distribution system from river or natural spring]]/90/15</f>
        <v>0</v>
      </c>
      <c r="CM20" s="424">
        <f>IF(WWWW[[#This Row],['#_of water points in TLS/CFS]]*500&gt;WWWW[[#This Row],[Total PoP ]],WWWW[[#This Row],[Total PoP ]],WWWW[[#This Row],['#_of water points in TLS/CFS]]*500)</f>
        <v>0</v>
      </c>
      <c r="CN20" s="424">
        <f>IF(WWWW[[#This Row],['#_of water points in THF]]*500&gt;WWWW[[#This Row],[Total PoP ]],WWWW[[#This Row],[Total PoP ]],WWWW[[#This Row],['#_of water points in THF]]*500)</f>
        <v>0</v>
      </c>
      <c r="CO2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 s="733">
        <f>IF(WWWW[[#This Row],[Location Type 1]]="Village",WWWW[[#This Row],[Access to safe drinking water for Village]],WWWW[[#This Row],[Access to safe drinking water for Camp]])</f>
        <v>1</v>
      </c>
      <c r="CR20" s="731">
        <f>WWWW[[#This Row],[%Equitable and continuous access to sufficient quantity of safe drinking water]]*WWWW[[#This Row],[Total PoP ]]</f>
        <v>24</v>
      </c>
      <c r="CS20" s="733">
        <f>IF((WWWW[[#This Row],['#_Constructed/Existing protected/fenced ponds]]*250)/WWWW[[#This Row],[Total PoP ]]&gt;1,1,(WWWW[[#This Row],['#_Constructed/Existing protected/fenced ponds]]*250)/WWWW[[#This Row],[Total PoP ]])</f>
        <v>0</v>
      </c>
      <c r="CT20" s="731">
        <f>WWWW[[#This Row],[% Access to unimproved water points]]*WWWW[[#This Row],[Total PoP ]]</f>
        <v>0</v>
      </c>
      <c r="CU2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W20" s="731">
        <f>WWWW[[#This Row],[HRP1]]/500</f>
        <v>4.8000000000000001E-2</v>
      </c>
      <c r="CX20" s="736">
        <f>1-WWWW[[#This Row],[% Equitable and continuous access to sufficient quantity of domestic water]]</f>
        <v>0</v>
      </c>
      <c r="CY20" s="731">
        <f>WWWW[[#This Row],[%equitable and continuous access to sufficient quantity of safe drinking and domestic water''s GAP]]*WWWW[[#This Row],[Total PoP ]]</f>
        <v>0</v>
      </c>
      <c r="CZ20" s="734">
        <f>IF(WWWW[[#This Row],[Total required water points]]-WWWW[[#This Row],['#Water points coverage]]&lt;0,0,WWWW[[#This Row],[Total required water points]]-WWWW[[#This Row],['#Water points coverage]])</f>
        <v>0.95199999999999996</v>
      </c>
      <c r="DA20" s="734">
        <f>ROUND(IF(WWWW[[#This Row],[Total PoP ]]&lt;500,1,WWWW[[#This Row],[Total PoP ]]/500),0)</f>
        <v>1</v>
      </c>
      <c r="DB20" s="734">
        <f>(WWWW[[#This Row],['#_Constructed latrines_by_WASHAgencies]]+WWWW[[#This Row],['#_Non Cluster partner latrines]])-WWWW[[#This Row],['#_Non-functional latrines]]</f>
        <v>2</v>
      </c>
      <c r="DC20" s="631">
        <f>WWWW[[#This Row],[HRP2]]/WWWW[[#This Row],[Total PoP ]]</f>
        <v>1</v>
      </c>
      <c r="DD2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2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 s="424">
        <f>IF(WWWW[[#This Row],['# of functional latrines in THF supported by WASH partners during the reporting period2]]="",0,WWWW[[#This Row],['# of functional latrines in THF supported by WASH partners during the reporting period2]]*50)</f>
        <v>0</v>
      </c>
      <c r="DH20" s="734">
        <f>ROUND(IF(WWWW[[#This Row],[Location Type 1]]="camp",WWWW[[#This Row],[Total PoP ]]/20,IF(WWWW[[#This Row],[Location Type 1]]="Temporary Location",WWWW[[#This Row],[Total PoP ]]/50,(WWWW[[#This Row],[Total PoP ]]/6))),0)</f>
        <v>1</v>
      </c>
      <c r="DI20" s="734">
        <f>IF(WWWW[[#This Row],[Total required Latrines]]-(WWWW[[#This Row],['#_Constructed latrines_by_WASHAgencies]]+WWWW[[#This Row],['#_Non Cluster partner latrines]])&lt;0,0,WWWW[[#This Row],[Total required Latrines]]-(WWWW[[#This Row],['#_Constructed latrines_by_WASHAgencies]]+WWWW[[#This Row],['#_Non Cluster partner latrines]]))</f>
        <v>0</v>
      </c>
      <c r="DJ20" s="736">
        <f>1-WWWW[[#This Row],[% people access to functioning Latrine]]</f>
        <v>0</v>
      </c>
      <c r="DK20" s="735">
        <f>IF(OR(WWWW[[#This Row],['#_Non-functional latrines]]="",WWWW[[#This Row],['#_Non-functional latrines]]=0),0,WWWW[[#This Row],['#_Non-functional latrines]]/(WWWW[[#This Row],['#_Constructed latrines_by_WASHAgencies]]+WWWW[[#This Row],['#_Non Cluster partner latrines]]))</f>
        <v>0</v>
      </c>
      <c r="DL20" s="731">
        <f>IF(500*(WWWW[[#This Row],['#_male hygiene promoters]]+WWWW[[#This Row],['#_female hygiene promoters]])&gt;WWWW[[#This Row],[Total PoP ]],WWWW[[#This Row],[Total PoP ]],500*(WWWW[[#This Row],['#_male hygiene promoters]]+WWWW[[#This Row],['#_female hygiene promoters]]))</f>
        <v>24</v>
      </c>
      <c r="DM2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N2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20" s="734">
        <f>IF(WWWW[[#This Row],['# People with access to soap]]&gt;WWWW[[#This Row],['# People with access to Sanity Pads]],WWWW[[#This Row],['# People with access to soap]],WWWW[[#This Row],['# People with access to Sanity Pads]])</f>
        <v>24</v>
      </c>
      <c r="DP20" s="734">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20" s="736">
        <f>IF(WWWW[[#This Row],[HRP3]]/WWWW[[#This Row],[Total PoP ]]&gt;1,1,WWWW[[#This Row],[HRP3]]/WWWW[[#This Row],[Total PoP ]])</f>
        <v>1</v>
      </c>
      <c r="DR20" s="735">
        <f>1-WWWW[[#This Row],[Hygiene Coverage%]]</f>
        <v>0</v>
      </c>
      <c r="DS20" s="733">
        <f>WWWW[[#This Row],['# people reached by regular dedicated hygiene promotion_5]]/WWWW[[#This Row],[Total PoP ]]</f>
        <v>1</v>
      </c>
      <c r="DT2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0" s="734">
        <f>WWWW[[#This Row],['#_Constructed/Existing hand washing stations]]-WWWW[[#This Row],['#_Non-Functional_hand_washing_stations]]</f>
        <v>3</v>
      </c>
      <c r="DW20" s="731">
        <f>IF(WWWW[[#This Row],['# Functional hand washing stations during reporting period]]*20&gt;WWWW[[#This Row],[Total HH]],WWWW[[#This Row],[Total HH]],WWWW[[#This Row],['# Functional hand washing stations during reporting period]]*20)</f>
        <v>5</v>
      </c>
      <c r="DX20" s="731">
        <f>IF(WWWW[[#This Row],[Is sufficient soap available for TLS? (Yes/No)]]="yes",WWWW[[#This Row],['#_Constructed/Existing hand washing stations at TLS/CFS/THF]],0)</f>
        <v>1</v>
      </c>
      <c r="DY20" s="428">
        <f>IF(WWWW[[#This Row],['# Functional hand washing stations during reporting period]]*100&gt;WWWW[[#This Row],[Total PoP ]],WWWW[[#This Row],[Total PoP ]],WWWW[[#This Row],['# Functional hand washing stations during reporting period]]*100)</f>
        <v>24</v>
      </c>
      <c r="DZ20" s="428" t="str">
        <f>IF(OR(WWWW[[#This Row],['#_students at TLS_CFS]]="",WWWW[[#This Row],['#_students at TLS_CFS]]=0),"No","Yes")</f>
        <v>No</v>
      </c>
      <c r="EA20" s="631">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2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 s="727" t="str">
        <f>VLOOKUP(WWWW[[#This Row],[Site Name]],SiteDB6[[Site Name]:[CCCM Management]],6,FALSE)</f>
        <v>Yes</v>
      </c>
      <c r="EF20" s="727" t="str">
        <f>VLOOKUP(WWWW[[#This Row],[Site Name]],SiteDB6[[Site Name]:[CCCM Focal Agency]],7,FALSE)</f>
        <v>Shalom</v>
      </c>
      <c r="EG20" s="727" t="str">
        <f>VLOOKUP(WWWW[[#This Row],[Site Name]],SiteDB6[[Site Name]:[Location Type 1]],9,FALSE)</f>
        <v>Camp</v>
      </c>
      <c r="EH20" s="727" t="str">
        <f>VLOOKUP(WWWW[[#This Row],[Site Name]],SiteDB6[[Site Name]:[Type of Accommodation]],10,FALSE)</f>
        <v>Camp like setting</v>
      </c>
      <c r="EI20" s="727" t="str">
        <f>VLOOKUP(WWWW[[#This Row],[Site Name]],SiteDB6[[Site Name]:[Ethnic or GCA/NGCA]],11,FALSE)</f>
        <v>GCA</v>
      </c>
      <c r="EJ20" s="727">
        <f>VLOOKUP(WWWW[[#This Row],[Site Name]],SiteDB6[[Site Name]:[Lat]],12,FALSE)</f>
        <v>25.582065</v>
      </c>
      <c r="EK20" s="727">
        <f>VLOOKUP(WWWW[[#This Row],[Site Name]],SiteDB6[[Site Name]:[Long]],13,FALSE)</f>
        <v>96.283377000000002</v>
      </c>
      <c r="EL20" s="727" t="str">
        <f>VLOOKUP(WWWW[[#This Row],[Site Name]],SiteDB6[[Site Name]:[Pcode]],3,FALSE)</f>
        <v>MMR001CMP109</v>
      </c>
      <c r="EM20" s="732" t="str">
        <f t="shared" si="0"/>
        <v>Covered</v>
      </c>
      <c r="EN20" s="732"/>
      <c r="EO20" s="727">
        <f>VLOOKUP(WWWW[[#This Row],[Site Name]],SiteDB6[[Site Name]:[Pop
(Kachin/Shan-CCCM as of July 2021)]],16,FALSE)</f>
        <v>5</v>
      </c>
      <c r="EP20" s="727">
        <f>VLOOKUP(WWWW[[#This Row],[Site Name]],SiteDB6[[Site Name]:[Pop
(Kachin/Shan-CCCM as of July 2021)]],17,FALSE)</f>
        <v>24</v>
      </c>
    </row>
    <row r="21" spans="1:146" hidden="1">
      <c r="A21" s="725" t="s">
        <v>2763</v>
      </c>
      <c r="B21" s="725" t="s">
        <v>242</v>
      </c>
      <c r="C21" s="726" t="s">
        <v>242</v>
      </c>
      <c r="D21" s="726" t="s">
        <v>307</v>
      </c>
      <c r="E21" s="726" t="s">
        <v>37</v>
      </c>
      <c r="F21" s="726" t="s">
        <v>146</v>
      </c>
      <c r="G21" s="591" t="str">
        <f>VLOOKUP(WWWW[[#This Row],[Site Name]],SiteDB6[[Site Name]:[Location Type]],8,FALSE)</f>
        <v>Camp</v>
      </c>
      <c r="H21" s="726" t="s">
        <v>245</v>
      </c>
      <c r="I21" s="448">
        <v>165</v>
      </c>
      <c r="J21" s="448">
        <v>878</v>
      </c>
      <c r="K21" s="588">
        <v>44197</v>
      </c>
      <c r="L21" s="589">
        <v>44651</v>
      </c>
      <c r="M21" s="728"/>
      <c r="N21" s="728">
        <v>1</v>
      </c>
      <c r="O21" s="728"/>
      <c r="P21" s="728"/>
      <c r="Q21" s="731" t="s">
        <v>41</v>
      </c>
      <c r="R21" s="728">
        <v>2</v>
      </c>
      <c r="S21" s="728">
        <v>5</v>
      </c>
      <c r="T21" s="448"/>
      <c r="U21" s="728"/>
      <c r="V21" s="728"/>
      <c r="W21" s="728"/>
      <c r="X21" s="728"/>
      <c r="Y21" s="728"/>
      <c r="Z21" s="728"/>
      <c r="AA21" s="728">
        <v>4</v>
      </c>
      <c r="AB21" s="728"/>
      <c r="AC21" s="728">
        <v>4</v>
      </c>
      <c r="AD21" s="728"/>
      <c r="AE21" s="728">
        <v>9</v>
      </c>
      <c r="AF21" s="728"/>
      <c r="AG21" s="728"/>
      <c r="AH21" s="728">
        <v>2</v>
      </c>
      <c r="AI21" s="728"/>
      <c r="AJ21" s="728"/>
      <c r="AK21" s="728"/>
      <c r="AL21" s="728"/>
      <c r="AM21" s="728">
        <v>6</v>
      </c>
      <c r="AN21" s="728"/>
      <c r="AO21" s="728"/>
      <c r="AP21" s="590" t="s">
        <v>2878</v>
      </c>
      <c r="AQ21" s="728">
        <v>30</v>
      </c>
      <c r="AR21" s="728">
        <v>12</v>
      </c>
      <c r="AS21" s="733" t="s">
        <v>939</v>
      </c>
      <c r="AT21" s="728">
        <v>10</v>
      </c>
      <c r="AU21" s="728"/>
      <c r="AV21" s="728">
        <v>6</v>
      </c>
      <c r="AW21" s="728"/>
      <c r="AX21" s="728">
        <v>0</v>
      </c>
      <c r="AY21" s="727" t="s">
        <v>41</v>
      </c>
      <c r="AZ21" s="732" t="s">
        <v>137</v>
      </c>
      <c r="BA21" s="728"/>
      <c r="BB21" s="728"/>
      <c r="BC21" s="728">
        <v>2</v>
      </c>
      <c r="BD21" s="448"/>
      <c r="BE21" s="448"/>
      <c r="BF21" s="727"/>
      <c r="BG21" s="728">
        <v>2</v>
      </c>
      <c r="BH21" s="728"/>
      <c r="BI21" s="728"/>
      <c r="BJ21" s="728">
        <v>1</v>
      </c>
      <c r="BK21" s="728"/>
      <c r="BL21" s="728"/>
      <c r="BM21" s="728">
        <v>1</v>
      </c>
      <c r="BN21" s="448">
        <v>6</v>
      </c>
      <c r="BO21" s="448">
        <v>5</v>
      </c>
      <c r="BP21" s="727"/>
      <c r="BQ21" s="734"/>
      <c r="BR21" s="733">
        <v>0.5</v>
      </c>
      <c r="BS21" s="425" t="s">
        <v>2882</v>
      </c>
      <c r="BT21" s="423">
        <v>0.7</v>
      </c>
      <c r="BU21" s="423">
        <v>0.8</v>
      </c>
      <c r="BV21" s="425"/>
      <c r="BW21" s="423">
        <v>0.9</v>
      </c>
      <c r="BX21" s="448">
        <v>2</v>
      </c>
      <c r="BY21" s="448">
        <v>165</v>
      </c>
      <c r="BZ21" s="448">
        <v>1</v>
      </c>
      <c r="CA21" s="448"/>
      <c r="CB21" s="448"/>
      <c r="CC21" s="777"/>
      <c r="CD21" s="448"/>
      <c r="CE21" s="735" t="str">
        <f>IFERROR(WWWW[[#This Row],['#_Water sources passed]]/WWWW[[#This Row],['#_Water sources tested for fecal coliform ]],"no test")</f>
        <v>no test</v>
      </c>
      <c r="CF21" s="733" t="str">
        <f>IFERROR(WWWW[[#This Row],['#_Household passed]]/WWWW[[#This Row],['#_Household water samples tested for fecal coliform]],"no test")</f>
        <v>no test</v>
      </c>
      <c r="CG21" s="734" t="str">
        <f>IF(AND(WWWW[[#This Row],[% of water sources passed]]="no test",WWWW[[#This Row],[% Household passed]]="no test"),"No Test","Tested")</f>
        <v>No Test</v>
      </c>
      <c r="CH21" s="734">
        <f>WWWW[[#This Row],['#_Constructed/existing protected hand dug well]]-WWWW[[#This Row],['#_Non-functional protected hand dug well]]</f>
        <v>0</v>
      </c>
      <c r="CI21" s="734">
        <f>(WWWW[[#This Row],['#_Constructed/Existing tube wells/boreholes/handpumps_WASH_agency]]+WWWW[[#This Row],['#_Non-Cluster partner water tube-wells/boreholes/handpumps]])-WWWW[[#This Row],['#_Non-functional tube wells/boreholes/handpumps]]</f>
        <v>0</v>
      </c>
      <c r="CJ21" s="734">
        <f>WWWW[[#This Row],['#_Constructed/Existingwater storage tank with gravity fed reticulation system]]-WWWW[[#This Row],['#_Non-functional storage tank gravity fed reticulation system]]</f>
        <v>4</v>
      </c>
      <c r="CK21" s="734">
        <f>(WWWW[[#This Row],['#_Water_Liters_supplied_by_Water boating or water trucking]]/90)/15</f>
        <v>0</v>
      </c>
      <c r="CL21" s="734">
        <f>WWWW[[#This Row],['#_Water_Liters_from_Constructed/Existing water distribution system from river or natural spring]]/90/15</f>
        <v>0</v>
      </c>
      <c r="CM21" s="424">
        <f>IF(WWWW[[#This Row],['#_of water points in TLS/CFS]]*500&gt;WWWW[[#This Row],[Total PoP ]],WWWW[[#This Row],[Total PoP ]],WWWW[[#This Row],['#_of water points in TLS/CFS]]*500)</f>
        <v>0</v>
      </c>
      <c r="CN21" s="424">
        <f>IF(WWWW[[#This Row],['#_of water points in THF]]*500&gt;WWWW[[#This Row],[Total PoP ]],WWWW[[#This Row],[Total PoP ]],WWWW[[#This Row],['#_of water points in THF]]*500)</f>
        <v>0</v>
      </c>
      <c r="CO2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0.30372057706909644</v>
      </c>
      <c r="CP2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0.30372057706909644</v>
      </c>
      <c r="CQ21" s="733">
        <f>IF(WWWW[[#This Row],[Location Type 1]]="Village",WWWW[[#This Row],[Access to safe drinking water for Village]],WWWW[[#This Row],[Access to safe drinking water for Camp]])</f>
        <v>0.30372057706909644</v>
      </c>
      <c r="CR21" s="731">
        <f>WWWW[[#This Row],[%Equitable and continuous access to sufficient quantity of safe drinking water]]*WWWW[[#This Row],[Total PoP ]]</f>
        <v>266.66666666666669</v>
      </c>
      <c r="CS21" s="733">
        <f>IF((WWWW[[#This Row],['#_Constructed/Existing protected/fenced ponds]]*250)/WWWW[[#This Row],[Total PoP ]]&gt;1,1,(WWWW[[#This Row],['#_Constructed/Existing protected/fenced ponds]]*250)/WWWW[[#This Row],[Total PoP ]])</f>
        <v>1</v>
      </c>
      <c r="CT21" s="731">
        <f>WWWW[[#This Row],[% Access to unimproved water points]]*WWWW[[#This Row],[Total PoP ]]</f>
        <v>878</v>
      </c>
      <c r="CU2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878</v>
      </c>
      <c r="CW21" s="731">
        <f>WWWW[[#This Row],[HRP1]]/500</f>
        <v>1.756</v>
      </c>
      <c r="CX21" s="736">
        <f>1-WWWW[[#This Row],[% Equitable and continuous access to sufficient quantity of domestic water]]</f>
        <v>0</v>
      </c>
      <c r="CY21" s="731">
        <f>WWWW[[#This Row],[%equitable and continuous access to sufficient quantity of safe drinking and domestic water''s GAP]]*WWWW[[#This Row],[Total PoP ]]</f>
        <v>0</v>
      </c>
      <c r="CZ21" s="734">
        <f>IF(WWWW[[#This Row],[Total required water points]]-WWWW[[#This Row],['#Water points coverage]]&lt;0,0,WWWW[[#This Row],[Total required water points]]-WWWW[[#This Row],['#Water points coverage]])</f>
        <v>0.24399999999999999</v>
      </c>
      <c r="DA21" s="734">
        <f>ROUND(IF(WWWW[[#This Row],[Total PoP ]]&lt;500,1,WWWW[[#This Row],[Total PoP ]]/500),0)</f>
        <v>2</v>
      </c>
      <c r="DB21" s="734">
        <f>(WWWW[[#This Row],['#_Constructed latrines_by_WASHAgencies]]+WWWW[[#This Row],['#_Non Cluster partner latrines]])-WWWW[[#This Row],['#_Non-functional latrines]]</f>
        <v>32</v>
      </c>
      <c r="DC21" s="631">
        <f>WWWW[[#This Row],[HRP2]]/WWWW[[#This Row],[Total PoP ]]</f>
        <v>0.72892938496583148</v>
      </c>
      <c r="DD2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2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2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 s="424">
        <f>IF(WWWW[[#This Row],['# of functional latrines in THF supported by WASH partners during the reporting period2]]="",0,WWWW[[#This Row],['# of functional latrines in THF supported by WASH partners during the reporting period2]]*50)</f>
        <v>0</v>
      </c>
      <c r="DH21" s="734">
        <f>ROUND(IF(WWWW[[#This Row],[Location Type 1]]="camp",WWWW[[#This Row],[Total PoP ]]/20,IF(WWWW[[#This Row],[Location Type 1]]="Temporary Location",WWWW[[#This Row],[Total PoP ]]/50,(WWWW[[#This Row],[Total PoP ]]/6))),0)</f>
        <v>44</v>
      </c>
      <c r="DI21" s="734">
        <f>IF(WWWW[[#This Row],[Total required Latrines]]-(WWWW[[#This Row],['#_Constructed latrines_by_WASHAgencies]]+WWWW[[#This Row],['#_Non Cluster partner latrines]])&lt;0,0,WWWW[[#This Row],[Total required Latrines]]-(WWWW[[#This Row],['#_Constructed latrines_by_WASHAgencies]]+WWWW[[#This Row],['#_Non Cluster partner latrines]]))</f>
        <v>2</v>
      </c>
      <c r="DJ21" s="736">
        <f>1-WWWW[[#This Row],[% people access to functioning Latrine]]</f>
        <v>0.27107061503416852</v>
      </c>
      <c r="DK21" s="735">
        <f>IF(OR(WWWW[[#This Row],['#_Non-functional latrines]]="",WWWW[[#This Row],['#_Non-functional latrines]]=0),0,WWWW[[#This Row],['#_Non-functional latrines]]/(WWWW[[#This Row],['#_Constructed latrines_by_WASHAgencies]]+WWWW[[#This Row],['#_Non Cluster partner latrines]]))</f>
        <v>0.23809523809523808</v>
      </c>
      <c r="DL21" s="731">
        <f>IF(500*(WWWW[[#This Row],['#_male hygiene promoters]]+WWWW[[#This Row],['#_female hygiene promoters]])&gt;WWWW[[#This Row],[Total PoP ]],WWWW[[#This Row],[Total PoP ]],500*(WWWW[[#This Row],['#_male hygiene promoters]]+WWWW[[#This Row],['#_female hygiene promoters]]))</f>
        <v>500</v>
      </c>
      <c r="DM2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2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21" s="734">
        <f>IF(WWWW[[#This Row],['# People with access to soap]]&gt;WWWW[[#This Row],['# People with access to Sanity Pads]],WWWW[[#This Row],['# People with access to soap]],WWWW[[#This Row],['# People with access to Sanity Pads]])</f>
        <v>30</v>
      </c>
      <c r="DP21" s="73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1" s="736">
        <f>IF(WWWW[[#This Row],[HRP3]]/WWWW[[#This Row],[Total PoP ]]&gt;1,1,WWWW[[#This Row],[HRP3]]/WWWW[[#This Row],[Total PoP ]])</f>
        <v>0.56947608200455579</v>
      </c>
      <c r="DR21" s="735">
        <f>1-WWWW[[#This Row],[Hygiene Coverage%]]</f>
        <v>0.43052391799544421</v>
      </c>
      <c r="DS21" s="733">
        <f>WWWW[[#This Row],['# people reached by regular dedicated hygiene promotion_5]]/WWWW[[#This Row],[Total PoP ]]</f>
        <v>0.56947608200455579</v>
      </c>
      <c r="DT2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0.14545454545454545</v>
      </c>
      <c r="DU2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3.0303030303030304E-2</v>
      </c>
      <c r="DV21" s="734">
        <f>WWWW[[#This Row],['#_Constructed/Existing hand washing stations]]-WWWW[[#This Row],['#_Non-Functional_hand_washing_stations]]</f>
        <v>2</v>
      </c>
      <c r="DW21" s="731">
        <f>IF(WWWW[[#This Row],['# Functional hand washing stations during reporting period]]*20&gt;WWWW[[#This Row],[Total HH]],WWWW[[#This Row],[Total HH]],WWWW[[#This Row],['# Functional hand washing stations during reporting period]]*20)</f>
        <v>40</v>
      </c>
      <c r="DX21" s="731">
        <f>IF(WWWW[[#This Row],[Is sufficient soap available for TLS? (Yes/No)]]="yes",WWWW[[#This Row],['#_Constructed/Existing hand washing stations at TLS/CFS/THF]],0)</f>
        <v>0</v>
      </c>
      <c r="DY21" s="428">
        <f>IF(WWWW[[#This Row],['# Functional hand washing stations during reporting period]]*100&gt;WWWW[[#This Row],[Total PoP ]],WWWW[[#This Row],[Total PoP ]],WWWW[[#This Row],['# Functional hand washing stations during reporting period]]*100)</f>
        <v>200</v>
      </c>
      <c r="DZ21" s="428" t="str">
        <f>IF(OR(WWWW[[#This Row],['#_students at TLS_CFS]]="",WWWW[[#This Row],['#_students at TLS_CFS]]=0),"No","Yes")</f>
        <v>No</v>
      </c>
      <c r="EA2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168</v>
      </c>
      <c r="EC2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 s="727" t="str">
        <f>VLOOKUP(WWWW[[#This Row],[Site Name]],SiteDB6[[Site Name]:[CCCM Management]],6,FALSE)</f>
        <v>Yes</v>
      </c>
      <c r="EF21" s="727" t="str">
        <f>VLOOKUP(WWWW[[#This Row],[Site Name]],SiteDB6[[Site Name]:[CCCM Focal Agency]],7,FALSE)</f>
        <v>Shalom</v>
      </c>
      <c r="EG21" s="727" t="str">
        <f>VLOOKUP(WWWW[[#This Row],[Site Name]],SiteDB6[[Site Name]:[Location Type 1]],9,FALSE)</f>
        <v>Camp</v>
      </c>
      <c r="EH21" s="727" t="str">
        <f>VLOOKUP(WWWW[[#This Row],[Site Name]],SiteDB6[[Site Name]:[Type of Accommodation]],10,FALSE)</f>
        <v>Camp</v>
      </c>
      <c r="EI21" s="727" t="str">
        <f>VLOOKUP(WWWW[[#This Row],[Site Name]],SiteDB6[[Site Name]:[Ethnic or GCA/NGCA]],11,FALSE)</f>
        <v>GCA</v>
      </c>
      <c r="EJ21" s="727">
        <f>VLOOKUP(WWWW[[#This Row],[Site Name]],SiteDB6[[Site Name]:[Lat]],12,FALSE)</f>
        <v>25.889410000000002</v>
      </c>
      <c r="EK21" s="727">
        <f>VLOOKUP(WWWW[[#This Row],[Site Name]],SiteDB6[[Site Name]:[Long]],13,FALSE)</f>
        <v>98.131550000000004</v>
      </c>
      <c r="EL21" s="727" t="str">
        <f>VLOOKUP(WWWW[[#This Row],[Site Name]],SiteDB6[[Site Name]:[Pcode]],3,FALSE)</f>
        <v>MMR001CMP042</v>
      </c>
      <c r="EM21" s="732" t="str">
        <f t="shared" si="0"/>
        <v>Covered</v>
      </c>
      <c r="EN21" s="732"/>
      <c r="EO21" s="727">
        <f>VLOOKUP(WWWW[[#This Row],[Site Name]],SiteDB6[[Site Name]:[Pop
(Kachin/Shan-CCCM as of July 2021)]],16,FALSE)</f>
        <v>138</v>
      </c>
      <c r="EP21" s="727">
        <f>VLOOKUP(WWWW[[#This Row],[Site Name]],SiteDB6[[Site Name]:[Pop
(Kachin/Shan-CCCM as of July 2021)]],17,FALSE)</f>
        <v>706</v>
      </c>
    </row>
    <row r="22" spans="1:146" hidden="1">
      <c r="A22" s="725" t="s">
        <v>2763</v>
      </c>
      <c r="B22" s="707" t="s">
        <v>309</v>
      </c>
      <c r="C22" s="707" t="s">
        <v>309</v>
      </c>
      <c r="D22" s="369"/>
      <c r="E22" s="726" t="s">
        <v>37</v>
      </c>
      <c r="F22" s="726" t="s">
        <v>146</v>
      </c>
      <c r="G22" s="591" t="str">
        <f>VLOOKUP(WWWW[[#This Row],[Site Name]],SiteDB6[[Site Name]:[Location Type]],8,FALSE)</f>
        <v>Camp</v>
      </c>
      <c r="H22" s="726" t="s">
        <v>3023</v>
      </c>
      <c r="I22" s="728">
        <v>57</v>
      </c>
      <c r="J22" s="728">
        <v>264</v>
      </c>
      <c r="K22" s="729"/>
      <c r="L22" s="730"/>
      <c r="M22" s="728"/>
      <c r="N22" s="728"/>
      <c r="O22" s="728"/>
      <c r="P22" s="728"/>
      <c r="Q22" s="731" t="s">
        <v>41</v>
      </c>
      <c r="R22" s="728"/>
      <c r="S22" s="728"/>
      <c r="T22" s="448"/>
      <c r="U22" s="728"/>
      <c r="V22" s="728"/>
      <c r="W22" s="728"/>
      <c r="X22" s="728"/>
      <c r="Y22" s="728"/>
      <c r="Z22" s="728"/>
      <c r="AA22" s="728"/>
      <c r="AB22" s="728"/>
      <c r="AC22" s="728"/>
      <c r="AD22" s="728"/>
      <c r="AE22" s="728"/>
      <c r="AF22" s="728"/>
      <c r="AG22" s="728"/>
      <c r="AH22" s="728"/>
      <c r="AI22" s="728"/>
      <c r="AJ22" s="728"/>
      <c r="AK22" s="728"/>
      <c r="AL22" s="728"/>
      <c r="AM22" s="728"/>
      <c r="AN22" s="728"/>
      <c r="AO22" s="728"/>
      <c r="AP22" s="732"/>
      <c r="AQ22" s="728">
        <v>28</v>
      </c>
      <c r="AR22" s="728"/>
      <c r="AS22" s="733"/>
      <c r="AT22" s="728"/>
      <c r="AU22" s="728"/>
      <c r="AV22" s="728"/>
      <c r="AW22" s="728"/>
      <c r="AX22" s="728"/>
      <c r="AY22" s="727" t="s">
        <v>41</v>
      </c>
      <c r="AZ22" s="732" t="s">
        <v>137</v>
      </c>
      <c r="BA22" s="728">
        <v>2</v>
      </c>
      <c r="BB22" s="728"/>
      <c r="BC22" s="728"/>
      <c r="BD22" s="448"/>
      <c r="BE22" s="448"/>
      <c r="BF22" s="727"/>
      <c r="BG22" s="728">
        <v>3</v>
      </c>
      <c r="BH22" s="728"/>
      <c r="BI22" s="728"/>
      <c r="BJ22" s="728">
        <v>2</v>
      </c>
      <c r="BK22" s="728"/>
      <c r="BL22" s="728"/>
      <c r="BM22" s="728"/>
      <c r="BN22" s="728">
        <v>88</v>
      </c>
      <c r="BO22" s="728">
        <v>100</v>
      </c>
      <c r="BP22" s="727"/>
      <c r="BQ22" s="734"/>
      <c r="BR22" s="733"/>
      <c r="BS22" s="727"/>
      <c r="BT22" s="423"/>
      <c r="BU22" s="423"/>
      <c r="BV22" s="425"/>
      <c r="BW22" s="423"/>
      <c r="BX22" s="448"/>
      <c r="BY22" s="448"/>
      <c r="BZ22" s="448"/>
      <c r="CA22" s="448"/>
      <c r="CB22" s="448"/>
      <c r="CC22" s="777"/>
      <c r="CD22" s="448"/>
      <c r="CE22" s="735" t="str">
        <f>IFERROR(WWWW[[#This Row],['#_Water sources passed]]/WWWW[[#This Row],['#_Water sources tested for fecal coliform ]],"no test")</f>
        <v>no test</v>
      </c>
      <c r="CF22" s="733" t="str">
        <f>IFERROR(WWWW[[#This Row],['#_Household passed]]/WWWW[[#This Row],['#_Household water samples tested for fecal coliform]],"no test")</f>
        <v>no test</v>
      </c>
      <c r="CG22" s="734" t="str">
        <f>IF(AND(WWWW[[#This Row],[% of water sources passed]]="no test",WWWW[[#This Row],[% Household passed]]="no test"),"No Test","Tested")</f>
        <v>No Test</v>
      </c>
      <c r="CH22" s="734">
        <f>WWWW[[#This Row],['#_Constructed/existing protected hand dug well]]-WWWW[[#This Row],['#_Non-functional protected hand dug well]]</f>
        <v>0</v>
      </c>
      <c r="CI22" s="734">
        <f>(WWWW[[#This Row],['#_Constructed/Existing tube wells/boreholes/handpumps_WASH_agency]]+WWWW[[#This Row],['#_Non-Cluster partner water tube-wells/boreholes/handpumps]])-WWWW[[#This Row],['#_Non-functional tube wells/boreholes/handpumps]]</f>
        <v>0</v>
      </c>
      <c r="CJ22" s="734">
        <f>WWWW[[#This Row],['#_Constructed/Existingwater storage tank with gravity fed reticulation system]]-WWWW[[#This Row],['#_Non-functional storage tank gravity fed reticulation system]]</f>
        <v>0</v>
      </c>
      <c r="CK22" s="734">
        <f>(WWWW[[#This Row],['#_Water_Liters_supplied_by_Water boating or water trucking]]/90)/15</f>
        <v>0</v>
      </c>
      <c r="CL22" s="734">
        <f>WWWW[[#This Row],['#_Water_Liters_from_Constructed/Existing water distribution system from river or natural spring]]/90/15</f>
        <v>0</v>
      </c>
      <c r="CM22" s="424">
        <f>IF(WWWW[[#This Row],['#_of water points in TLS/CFS]]*500&gt;WWWW[[#This Row],[Total PoP ]],WWWW[[#This Row],[Total PoP ]],WWWW[[#This Row],['#_of water points in TLS/CFS]]*500)</f>
        <v>0</v>
      </c>
      <c r="CN22" s="424">
        <f>IF(WWWW[[#This Row],['#_of water points in THF]]*500&gt;WWWW[[#This Row],[Total PoP ]],WWWW[[#This Row],[Total PoP ]],WWWW[[#This Row],['#_of water points in THF]]*500)</f>
        <v>0</v>
      </c>
      <c r="CO2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2" s="733">
        <f>IF(WWWW[[#This Row],[Location Type 1]]="Village",WWWW[[#This Row],[Access to safe drinking water for Village]],WWWW[[#This Row],[Access to safe drinking water for Camp]])</f>
        <v>0</v>
      </c>
      <c r="CR22" s="731">
        <f>WWWW[[#This Row],[%Equitable and continuous access to sufficient quantity of safe drinking water]]*WWWW[[#This Row],[Total PoP ]]</f>
        <v>0</v>
      </c>
      <c r="CS22" s="733">
        <f>IF((WWWW[[#This Row],['#_Constructed/Existing protected/fenced ponds]]*250)/WWWW[[#This Row],[Total PoP ]]&gt;1,1,(WWWW[[#This Row],['#_Constructed/Existing protected/fenced ponds]]*250)/WWWW[[#This Row],[Total PoP ]])</f>
        <v>0</v>
      </c>
      <c r="CT22" s="731">
        <f>WWWW[[#This Row],[% Access to unimproved water points]]*WWWW[[#This Row],[Total PoP ]]</f>
        <v>0</v>
      </c>
      <c r="CU2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2" s="731">
        <f>WWWW[[#This Row],[HRP1]]/500</f>
        <v>0</v>
      </c>
      <c r="CX22" s="736">
        <f>1-WWWW[[#This Row],[% Equitable and continuous access to sufficient quantity of domestic water]]</f>
        <v>1</v>
      </c>
      <c r="CY22" s="731">
        <f>WWWW[[#This Row],[%equitable and continuous access to sufficient quantity of safe drinking and domestic water''s GAP]]*WWWW[[#This Row],[Total PoP ]]</f>
        <v>264</v>
      </c>
      <c r="CZ22" s="734">
        <f>IF(WWWW[[#This Row],[Total required water points]]-WWWW[[#This Row],['#Water points coverage]]&lt;0,0,WWWW[[#This Row],[Total required water points]]-WWWW[[#This Row],['#Water points coverage]])</f>
        <v>1</v>
      </c>
      <c r="DA22" s="734">
        <f>ROUND(IF(WWWW[[#This Row],[Total PoP ]]&lt;500,1,WWWW[[#This Row],[Total PoP ]]/500),0)</f>
        <v>1</v>
      </c>
      <c r="DB22" s="734">
        <f>(WWWW[[#This Row],['#_Constructed latrines_by_WASHAgencies]]+WWWW[[#This Row],['#_Non Cluster partner latrines]])-WWWW[[#This Row],['#_Non-functional latrines]]</f>
        <v>28</v>
      </c>
      <c r="DC22" s="631">
        <f>WWWW[[#This Row],[HRP2]]/WWWW[[#This Row],[Total PoP ]]</f>
        <v>1</v>
      </c>
      <c r="DD2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DE2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 s="424">
        <f>IF(WWWW[[#This Row],['# of functional latrines in THF supported by WASH partners during the reporting period2]]="",0,WWWW[[#This Row],['# of functional latrines in THF supported by WASH partners during the reporting period2]]*50)</f>
        <v>0</v>
      </c>
      <c r="DH22" s="734">
        <f>ROUND(IF(WWWW[[#This Row],[Location Type 1]]="camp",WWWW[[#This Row],[Total PoP ]]/20,IF(WWWW[[#This Row],[Location Type 1]]="Temporary Location",WWWW[[#This Row],[Total PoP ]]/50,(WWWW[[#This Row],[Total PoP ]]/6))),0)</f>
        <v>13</v>
      </c>
      <c r="DI22" s="734">
        <f>IF(WWWW[[#This Row],[Total required Latrines]]-(WWWW[[#This Row],['#_Constructed latrines_by_WASHAgencies]]+WWWW[[#This Row],['#_Non Cluster partner latrines]])&lt;0,0,WWWW[[#This Row],[Total required Latrines]]-(WWWW[[#This Row],['#_Constructed latrines_by_WASHAgencies]]+WWWW[[#This Row],['#_Non Cluster partner latrines]]))</f>
        <v>0</v>
      </c>
      <c r="DJ22" s="736">
        <f>1-WWWW[[#This Row],[% people access to functioning Latrine]]</f>
        <v>0</v>
      </c>
      <c r="DK22" s="735">
        <f>IF(OR(WWWW[[#This Row],['#_Non-functional latrines]]="",WWWW[[#This Row],['#_Non-functional latrines]]=0),0,WWWW[[#This Row],['#_Non-functional latrines]]/(WWWW[[#This Row],['#_Constructed latrines_by_WASHAgencies]]+WWWW[[#This Row],['#_Non Cluster partner latrines]]))</f>
        <v>0</v>
      </c>
      <c r="DL22" s="731">
        <f>IF(500*(WWWW[[#This Row],['#_male hygiene promoters]]+WWWW[[#This Row],['#_female hygiene promoters]])&gt;WWWW[[#This Row],[Total PoP ]],WWWW[[#This Row],[Total PoP ]],500*(WWWW[[#This Row],['#_male hygiene promoters]]+WWWW[[#This Row],['#_female hygiene promoters]]))</f>
        <v>0</v>
      </c>
      <c r="DM2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264</v>
      </c>
      <c r="DN2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22" s="734">
        <f>IF(WWWW[[#This Row],['# People with access to soap]]&gt;WWWW[[#This Row],['# People with access to Sanity Pads]],WWWW[[#This Row],['# People with access to soap]],WWWW[[#This Row],['# People with access to Sanity Pads]])</f>
        <v>264</v>
      </c>
      <c r="DP22" s="734">
        <f>IF(WWWW[[#This Row],['# people reached by regular dedicated hygiene promotion_5]]&gt;WWWW[[#This Row],['# People received regular supply of hygiene items_6]],WWWW[[#This Row],['# people reached by regular dedicated hygiene promotion_5]],WWWW[[#This Row],['# People received regular supply of hygiene items_6]])</f>
        <v>264</v>
      </c>
      <c r="DQ22" s="736">
        <f>IF(WWWW[[#This Row],[HRP3]]/WWWW[[#This Row],[Total PoP ]]&gt;1,1,WWWW[[#This Row],[HRP3]]/WWWW[[#This Row],[Total PoP ]])</f>
        <v>1</v>
      </c>
      <c r="DR22" s="735">
        <f>1-WWWW[[#This Row],[Hygiene Coverage%]]</f>
        <v>0</v>
      </c>
      <c r="DS22" s="733">
        <f>WWWW[[#This Row],['# people reached by regular dedicated hygiene promotion_5]]/WWWW[[#This Row],[Total PoP ]]</f>
        <v>0</v>
      </c>
      <c r="DT2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2" s="734">
        <f>WWWW[[#This Row],['#_Constructed/Existing hand washing stations]]-WWWW[[#This Row],['#_Non-Functional_hand_washing_stations]]</f>
        <v>3</v>
      </c>
      <c r="DW22" s="731">
        <f>IF(WWWW[[#This Row],['# Functional hand washing stations during reporting period]]*20&gt;WWWW[[#This Row],[Total HH]],WWWW[[#This Row],[Total HH]],WWWW[[#This Row],['# Functional hand washing stations during reporting period]]*20)</f>
        <v>57</v>
      </c>
      <c r="DX22" s="731">
        <f>IF(WWWW[[#This Row],[Is sufficient soap available for TLS? (Yes/No)]]="yes",WWWW[[#This Row],['#_Constructed/Existing hand washing stations at TLS/CFS/THF]],0)</f>
        <v>0</v>
      </c>
      <c r="DY22" s="428">
        <f>IF(WWWW[[#This Row],['# Functional hand washing stations during reporting period]]*100&gt;WWWW[[#This Row],[Total PoP ]],WWWW[[#This Row],[Total PoP ]],WWWW[[#This Row],['# Functional hand washing stations during reporting period]]*100)</f>
        <v>264</v>
      </c>
      <c r="DZ22" s="428" t="str">
        <f>IF(OR(WWWW[[#This Row],['#_students at TLS_CFS]]="",WWWW[[#This Row],['#_students at TLS_CFS]]=0),"No","Yes")</f>
        <v>No</v>
      </c>
      <c r="EA2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 s="727" t="str">
        <f>VLOOKUP(WWWW[[#This Row],[Site Name]],SiteDB6[[Site Name]:[CCCM Management]],6,FALSE)</f>
        <v>Yes</v>
      </c>
      <c r="EF22" s="727" t="str">
        <f>VLOOKUP(WWWW[[#This Row],[Site Name]],SiteDB6[[Site Name]:[CCCM Focal Agency]],7,FALSE)</f>
        <v>KMSS-MYT</v>
      </c>
      <c r="EG22" s="727" t="str">
        <f>VLOOKUP(WWWW[[#This Row],[Site Name]],SiteDB6[[Site Name]:[Location Type 1]],9,FALSE)</f>
        <v>Camp</v>
      </c>
      <c r="EH22" s="727" t="str">
        <f>VLOOKUP(WWWW[[#This Row],[Site Name]],SiteDB6[[Site Name]:[Type of Accommodation]],10,FALSE)</f>
        <v>IDPs in host</v>
      </c>
      <c r="EI22" s="727" t="str">
        <f>VLOOKUP(WWWW[[#This Row],[Site Name]],SiteDB6[[Site Name]:[Ethnic or GCA/NGCA]],11,FALSE)</f>
        <v>GCA</v>
      </c>
      <c r="EJ22" s="727">
        <f>VLOOKUP(WWWW[[#This Row],[Site Name]],SiteDB6[[Site Name]:[Lat]],12,FALSE)</f>
        <v>25.60867</v>
      </c>
      <c r="EK22" s="727">
        <f>VLOOKUP(WWWW[[#This Row],[Site Name]],SiteDB6[[Site Name]:[Long]],13,FALSE)</f>
        <v>98.377780000000001</v>
      </c>
      <c r="EL22" s="727" t="str">
        <f>VLOOKUP(WWWW[[#This Row],[Site Name]],SiteDB6[[Site Name]:[Pcode]],3,FALSE)</f>
        <v>MMR001CMP210</v>
      </c>
      <c r="EM22" s="732" t="str">
        <f t="shared" si="0"/>
        <v>Notcovered</v>
      </c>
      <c r="EN22" s="732"/>
      <c r="EO22" s="727">
        <f>VLOOKUP(WWWW[[#This Row],[Site Name]],SiteDB6[[Site Name]:[Pop
(Kachin/Shan-CCCM as of July 2021)]],16,FALSE)</f>
        <v>4</v>
      </c>
      <c r="EP22" s="727">
        <f>VLOOKUP(WWWW[[#This Row],[Site Name]],SiteDB6[[Site Name]:[Pop
(Kachin/Shan-CCCM as of July 2021)]],17,FALSE)</f>
        <v>20</v>
      </c>
    </row>
    <row r="23" spans="1:146" hidden="1">
      <c r="A23" s="725" t="s">
        <v>2763</v>
      </c>
      <c r="B23" s="725" t="s">
        <v>242</v>
      </c>
      <c r="C23" s="726" t="s">
        <v>242</v>
      </c>
      <c r="D23" s="726" t="s">
        <v>307</v>
      </c>
      <c r="E23" s="726" t="s">
        <v>37</v>
      </c>
      <c r="F23" s="726" t="s">
        <v>148</v>
      </c>
      <c r="G23" s="591" t="str">
        <f>VLOOKUP(WWWW[[#This Row],[Site Name]],SiteDB6[[Site Name]:[Location Type]],8,FALSE)</f>
        <v>Camp</v>
      </c>
      <c r="H23" s="726" t="s">
        <v>252</v>
      </c>
      <c r="I23" s="448">
        <v>91</v>
      </c>
      <c r="J23" s="448">
        <v>442</v>
      </c>
      <c r="K23" s="588">
        <v>44197</v>
      </c>
      <c r="L23" s="589">
        <v>44651</v>
      </c>
      <c r="M23" s="448">
        <v>125</v>
      </c>
      <c r="N23" s="448">
        <v>1</v>
      </c>
      <c r="O23" s="728"/>
      <c r="P23" s="728"/>
      <c r="Q23" s="731" t="s">
        <v>41</v>
      </c>
      <c r="R23" s="448">
        <v>3</v>
      </c>
      <c r="S23" s="448">
        <v>6</v>
      </c>
      <c r="T23" s="448"/>
      <c r="U23" s="728"/>
      <c r="V23" s="728"/>
      <c r="W23" s="728">
        <v>1</v>
      </c>
      <c r="X23" s="728"/>
      <c r="Y23" s="728"/>
      <c r="Z23" s="728"/>
      <c r="AA23" s="728"/>
      <c r="AB23" s="728"/>
      <c r="AC23" s="728"/>
      <c r="AD23" s="728"/>
      <c r="AE23" s="728">
        <v>2</v>
      </c>
      <c r="AF23" s="728"/>
      <c r="AG23" s="728"/>
      <c r="AH23" s="728"/>
      <c r="AI23" s="728"/>
      <c r="AJ23" s="728"/>
      <c r="AK23" s="728"/>
      <c r="AL23" s="728"/>
      <c r="AM23" s="728">
        <v>1</v>
      </c>
      <c r="AN23" s="448">
        <v>1</v>
      </c>
      <c r="AO23" s="448"/>
      <c r="AP23" s="590" t="s">
        <v>2894</v>
      </c>
      <c r="AQ23" s="448">
        <v>23</v>
      </c>
      <c r="AR23" s="728"/>
      <c r="AS23" s="733"/>
      <c r="AT23" s="448"/>
      <c r="AU23" s="448"/>
      <c r="AV23" s="448">
        <v>3</v>
      </c>
      <c r="AW23" s="728"/>
      <c r="AX23" s="728"/>
      <c r="AY23" s="727" t="s">
        <v>41</v>
      </c>
      <c r="AZ23" s="732" t="s">
        <v>137</v>
      </c>
      <c r="BA23" s="728"/>
      <c r="BB23" s="728">
        <v>1</v>
      </c>
      <c r="BC23" s="728"/>
      <c r="BD23" s="448"/>
      <c r="BE23" s="448">
        <v>7</v>
      </c>
      <c r="BF23" s="425" t="s">
        <v>2899</v>
      </c>
      <c r="BG23" s="448">
        <v>3</v>
      </c>
      <c r="BH23" s="448"/>
      <c r="BI23" s="448"/>
      <c r="BJ23" s="448">
        <v>3</v>
      </c>
      <c r="BK23" s="448"/>
      <c r="BL23" s="448"/>
      <c r="BM23" s="448">
        <v>1</v>
      </c>
      <c r="BN23" s="448">
        <v>41</v>
      </c>
      <c r="BO23" s="448">
        <v>85</v>
      </c>
      <c r="BP23" s="425" t="s">
        <v>136</v>
      </c>
      <c r="BQ23" s="424">
        <v>3</v>
      </c>
      <c r="BR23" s="423"/>
      <c r="BS23" s="425" t="s">
        <v>2902</v>
      </c>
      <c r="BT23" s="423"/>
      <c r="BU23" s="423"/>
      <c r="BV23" s="425">
        <v>50</v>
      </c>
      <c r="BW23" s="423"/>
      <c r="BX23" s="448"/>
      <c r="BY23" s="448"/>
      <c r="BZ23" s="448"/>
      <c r="CA23" s="448"/>
      <c r="CB23" s="448"/>
      <c r="CC23" s="777"/>
      <c r="CD23" s="448"/>
      <c r="CE23" s="735" t="str">
        <f>IFERROR(WWWW[[#This Row],['#_Water sources passed]]/WWWW[[#This Row],['#_Water sources tested for fecal coliform ]],"no test")</f>
        <v>no test</v>
      </c>
      <c r="CF23" s="733" t="str">
        <f>IFERROR(WWWW[[#This Row],['#_Household passed]]/WWWW[[#This Row],['#_Household water samples tested for fecal coliform]],"no test")</f>
        <v>no test</v>
      </c>
      <c r="CG23" s="734" t="str">
        <f>IF(AND(WWWW[[#This Row],[% of water sources passed]]="no test",WWWW[[#This Row],[% Household passed]]="no test"),"No Test","Tested")</f>
        <v>No Test</v>
      </c>
      <c r="CH23" s="734">
        <f>WWWW[[#This Row],['#_Constructed/existing protected hand dug well]]-WWWW[[#This Row],['#_Non-functional protected hand dug well]]</f>
        <v>0</v>
      </c>
      <c r="CI23" s="734">
        <f>(WWWW[[#This Row],['#_Constructed/Existing tube wells/boreholes/handpumps_WASH_agency]]+WWWW[[#This Row],['#_Non-Cluster partner water tube-wells/boreholes/handpumps]])-WWWW[[#This Row],['#_Non-functional tube wells/boreholes/handpumps]]</f>
        <v>1</v>
      </c>
      <c r="CJ23" s="734">
        <f>WWWW[[#This Row],['#_Constructed/Existingwater storage tank with gravity fed reticulation system]]-WWWW[[#This Row],['#_Non-functional storage tank gravity fed reticulation system]]</f>
        <v>0</v>
      </c>
      <c r="CK23" s="734">
        <f>(WWWW[[#This Row],['#_Water_Liters_supplied_by_Water boating or water trucking]]/90)/15</f>
        <v>0</v>
      </c>
      <c r="CL23" s="734">
        <f>WWWW[[#This Row],['#_Water_Liters_from_Constructed/Existing water distribution system from river or natural spring]]/90/15</f>
        <v>0</v>
      </c>
      <c r="CM23" s="424">
        <f>IF(WWWW[[#This Row],['#_of water points in TLS/CFS]]*500&gt;WWWW[[#This Row],[Total PoP ]],WWWW[[#This Row],[Total PoP ]],WWWW[[#This Row],['#_of water points in TLS/CFS]]*500)</f>
        <v>442</v>
      </c>
      <c r="CN23" s="424">
        <f>IF(WWWW[[#This Row],['#_of water points in THF]]*500&gt;WWWW[[#This Row],[Total PoP ]],WWWW[[#This Row],[Total PoP ]],WWWW[[#This Row],['#_of water points in THF]]*500)</f>
        <v>0</v>
      </c>
      <c r="CO2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0.56561085972850678</v>
      </c>
      <c r="CQ23" s="733">
        <f>IF(WWWW[[#This Row],[Location Type 1]]="Village",WWWW[[#This Row],[Access to safe drinking water for Village]],WWWW[[#This Row],[Access to safe drinking water for Camp]])</f>
        <v>1</v>
      </c>
      <c r="CR23" s="731">
        <f>WWWW[[#This Row],[%Equitable and continuous access to sufficient quantity of safe drinking water]]*WWWW[[#This Row],[Total PoP ]]</f>
        <v>442</v>
      </c>
      <c r="CS23" s="733">
        <f>IF((WWWW[[#This Row],['#_Constructed/Existing protected/fenced ponds]]*250)/WWWW[[#This Row],[Total PoP ]]&gt;1,1,(WWWW[[#This Row],['#_Constructed/Existing protected/fenced ponds]]*250)/WWWW[[#This Row],[Total PoP ]])</f>
        <v>1</v>
      </c>
      <c r="CT23" s="731">
        <f>WWWW[[#This Row],[% Access to unimproved water points]]*WWWW[[#This Row],[Total PoP ]]</f>
        <v>442</v>
      </c>
      <c r="CU2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442</v>
      </c>
      <c r="CW23" s="731">
        <f>WWWW[[#This Row],[HRP1]]/500</f>
        <v>0.88400000000000001</v>
      </c>
      <c r="CX23" s="736">
        <f>1-WWWW[[#This Row],[% Equitable and continuous access to sufficient quantity of domestic water]]</f>
        <v>0</v>
      </c>
      <c r="CY23" s="731">
        <f>WWWW[[#This Row],[%equitable and continuous access to sufficient quantity of safe drinking and domestic water''s GAP]]*WWWW[[#This Row],[Total PoP ]]</f>
        <v>0</v>
      </c>
      <c r="CZ23" s="734">
        <f>IF(WWWW[[#This Row],[Total required water points]]-WWWW[[#This Row],['#Water points coverage]]&lt;0,0,WWWW[[#This Row],[Total required water points]]-WWWW[[#This Row],['#Water points coverage]])</f>
        <v>0.11599999999999999</v>
      </c>
      <c r="DA23" s="734">
        <f>ROUND(IF(WWWW[[#This Row],[Total PoP ]]&lt;500,1,WWWW[[#This Row],[Total PoP ]]/500),0)</f>
        <v>1</v>
      </c>
      <c r="DB23" s="734">
        <f>(WWWW[[#This Row],['#_Constructed latrines_by_WASHAgencies]]+WWWW[[#This Row],['#_Non Cluster partner latrines]])-WWWW[[#This Row],['#_Non-functional latrines]]</f>
        <v>23</v>
      </c>
      <c r="DC23" s="631">
        <f>WWWW[[#This Row],[HRP2]]/WWWW[[#This Row],[Total PoP ]]</f>
        <v>1</v>
      </c>
      <c r="DD2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442</v>
      </c>
      <c r="DE2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2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 s="424">
        <f>IF(WWWW[[#This Row],['# of functional latrines in THF supported by WASH partners during the reporting period2]]="",0,WWWW[[#This Row],['# of functional latrines in THF supported by WASH partners during the reporting period2]]*50)</f>
        <v>0</v>
      </c>
      <c r="DH23" s="734">
        <f>ROUND(IF(WWWW[[#This Row],[Location Type 1]]="camp",WWWW[[#This Row],[Total PoP ]]/20,IF(WWWW[[#This Row],[Location Type 1]]="Temporary Location",WWWW[[#This Row],[Total PoP ]]/50,(WWWW[[#This Row],[Total PoP ]]/6))),0)</f>
        <v>22</v>
      </c>
      <c r="DI23" s="734">
        <f>IF(WWWW[[#This Row],[Total required Latrines]]-(WWWW[[#This Row],['#_Constructed latrines_by_WASHAgencies]]+WWWW[[#This Row],['#_Non Cluster partner latrines]])&lt;0,0,WWWW[[#This Row],[Total required Latrines]]-(WWWW[[#This Row],['#_Constructed latrines_by_WASHAgencies]]+WWWW[[#This Row],['#_Non Cluster partner latrines]]))</f>
        <v>0</v>
      </c>
      <c r="DJ23" s="736">
        <f>1-WWWW[[#This Row],[% people access to functioning Latrine]]</f>
        <v>0</v>
      </c>
      <c r="DK23" s="735">
        <f>IF(OR(WWWW[[#This Row],['#_Non-functional latrines]]="",WWWW[[#This Row],['#_Non-functional latrines]]=0),0,WWWW[[#This Row],['#_Non-functional latrines]]/(WWWW[[#This Row],['#_Constructed latrines_by_WASHAgencies]]+WWWW[[#This Row],['#_Non Cluster partner latrines]]))</f>
        <v>0</v>
      </c>
      <c r="DL23" s="731">
        <f>IF(500*(WWWW[[#This Row],['#_male hygiene promoters]]+WWWW[[#This Row],['#_female hygiene promoters]])&gt;WWWW[[#This Row],[Total PoP ]],WWWW[[#This Row],[Total PoP ]],500*(WWWW[[#This Row],['#_male hygiene promoters]]+WWWW[[#This Row],['#_female hygiene promoters]]))</f>
        <v>442</v>
      </c>
      <c r="DM2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2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23" s="734">
        <f>IF(WWWW[[#This Row],['# People with access to soap]]&gt;WWWW[[#This Row],['# People with access to Sanity Pads]],WWWW[[#This Row],['# People with access to soap]],WWWW[[#This Row],['# People with access to Sanity Pads]])</f>
        <v>205</v>
      </c>
      <c r="DP23" s="734">
        <f>IF(WWWW[[#This Row],['# people reached by regular dedicated hygiene promotion_5]]&gt;WWWW[[#This Row],['# People received regular supply of hygiene items_6]],WWWW[[#This Row],['# people reached by regular dedicated hygiene promotion_5]],WWWW[[#This Row],['# People received regular supply of hygiene items_6]])</f>
        <v>442</v>
      </c>
      <c r="DQ23" s="736">
        <f>IF(WWWW[[#This Row],[HRP3]]/WWWW[[#This Row],[Total PoP ]]&gt;1,1,WWWW[[#This Row],[HRP3]]/WWWW[[#This Row],[Total PoP ]])</f>
        <v>1</v>
      </c>
      <c r="DR23" s="735">
        <f>1-WWWW[[#This Row],[Hygiene Coverage%]]</f>
        <v>0</v>
      </c>
      <c r="DS23" s="733">
        <f>WWWW[[#This Row],['# people reached by regular dedicated hygiene promotion_5]]/WWWW[[#This Row],[Total PoP ]]</f>
        <v>1</v>
      </c>
      <c r="DT2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0.93406593406593408</v>
      </c>
      <c r="DV23" s="734">
        <f>WWWW[[#This Row],['#_Constructed/Existing hand washing stations]]-WWWW[[#This Row],['#_Non-Functional_hand_washing_stations]]</f>
        <v>3</v>
      </c>
      <c r="DW23" s="731">
        <f>IF(WWWW[[#This Row],['# Functional hand washing stations during reporting period]]*20&gt;WWWW[[#This Row],[Total HH]],WWWW[[#This Row],[Total HH]],WWWW[[#This Row],['# Functional hand washing stations during reporting period]]*20)</f>
        <v>60</v>
      </c>
      <c r="DX23" s="731">
        <f>IF(WWWW[[#This Row],[Is sufficient soap available for TLS? (Yes/No)]]="yes",WWWW[[#This Row],['#_Constructed/Existing hand washing stations at TLS/CFS/THF]],0)</f>
        <v>0</v>
      </c>
      <c r="DY23" s="428">
        <f>IF(WWWW[[#This Row],['# Functional hand washing stations during reporting period]]*100&gt;WWWW[[#This Row],[Total PoP ]],WWWW[[#This Row],[Total PoP ]],WWWW[[#This Row],['# Functional hand washing stations during reporting period]]*100)</f>
        <v>300</v>
      </c>
      <c r="DZ23" s="428" t="str">
        <f>IF(OR(WWWW[[#This Row],['#_students at TLS_CFS]]="",WWWW[[#This Row],['#_students at TLS_CFS]]=0),"No","Yes")</f>
        <v>Yes</v>
      </c>
      <c r="EA23" s="631">
        <f>IF(WWWW[[#This Row],['#_of_affected_people_surveyed_who_report_feeling_informed_about_the_different_WASH_services_available_to_them]]="","",WWWW[[#This Row],['#_of_affected_people_surveyed_who_report_feeling_informed_about_the_different_WASH_services_available_to_them]]/WWWW[[#This Row],[Total PoP ]])</f>
        <v>0.11312217194570136</v>
      </c>
      <c r="EB2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442</v>
      </c>
      <c r="ED2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 s="727" t="str">
        <f>VLOOKUP(WWWW[[#This Row],[Site Name]],SiteDB6[[Site Name]:[CCCM Management]],6,FALSE)</f>
        <v>Yes</v>
      </c>
      <c r="EF23" s="727" t="str">
        <f>VLOOKUP(WWWW[[#This Row],[Site Name]],SiteDB6[[Site Name]:[CCCM Focal Agency]],7,FALSE)</f>
        <v>Shalom</v>
      </c>
      <c r="EG23" s="727" t="str">
        <f>VLOOKUP(WWWW[[#This Row],[Site Name]],SiteDB6[[Site Name]:[Location Type 1]],9,FALSE)</f>
        <v>Camp</v>
      </c>
      <c r="EH23" s="727" t="str">
        <f>VLOOKUP(WWWW[[#This Row],[Site Name]],SiteDB6[[Site Name]:[Type of Accommodation]],10,FALSE)</f>
        <v>Camp</v>
      </c>
      <c r="EI23" s="727" t="str">
        <f>VLOOKUP(WWWW[[#This Row],[Site Name]],SiteDB6[[Site Name]:[Ethnic or GCA/NGCA]],11,FALSE)</f>
        <v>GCA</v>
      </c>
      <c r="EJ23" s="727">
        <f>VLOOKUP(WWWW[[#This Row],[Site Name]],SiteDB6[[Site Name]:[Lat]],12,FALSE)</f>
        <v>25.637309999999999</v>
      </c>
      <c r="EK23" s="727">
        <f>VLOOKUP(WWWW[[#This Row],[Site Name]],SiteDB6[[Site Name]:[Long]],13,FALSE)</f>
        <v>96.35257</v>
      </c>
      <c r="EL23" s="727" t="str">
        <f>VLOOKUP(WWWW[[#This Row],[Site Name]],SiteDB6[[Site Name]:[Pcode]],3,FALSE)</f>
        <v>MMR001CMP174</v>
      </c>
      <c r="EM23" s="732" t="str">
        <f t="shared" si="0"/>
        <v>Covered</v>
      </c>
      <c r="EN23" s="732"/>
      <c r="EO23" s="727">
        <f>VLOOKUP(WWWW[[#This Row],[Site Name]],SiteDB6[[Site Name]:[Pop
(Kachin/Shan-CCCM as of July 2021)]],16,FALSE)</f>
        <v>91</v>
      </c>
      <c r="EP23" s="727">
        <f>VLOOKUP(WWWW[[#This Row],[Site Name]],SiteDB6[[Site Name]:[Pop
(Kachin/Shan-CCCM as of July 2021)]],17,FALSE)</f>
        <v>442</v>
      </c>
    </row>
    <row r="24" spans="1:146" hidden="1">
      <c r="A24" s="725" t="s">
        <v>2763</v>
      </c>
      <c r="B24" s="725" t="s">
        <v>309</v>
      </c>
      <c r="C24" s="726" t="s">
        <v>309</v>
      </c>
      <c r="D24" s="786"/>
      <c r="E24" s="786" t="s">
        <v>37</v>
      </c>
      <c r="F24" s="786" t="s">
        <v>142</v>
      </c>
      <c r="G24" s="591" t="str">
        <f>VLOOKUP(WWWW[[#This Row],[Site Name]],SiteDB6[[Site Name]:[Location Type]],8,FALSE)</f>
        <v>Camp</v>
      </c>
      <c r="H24" s="786" t="s">
        <v>2781</v>
      </c>
      <c r="I24" s="788">
        <v>48</v>
      </c>
      <c r="J24" s="788">
        <v>240</v>
      </c>
      <c r="K24" s="789"/>
      <c r="L24" s="790"/>
      <c r="M24" s="788"/>
      <c r="N24" s="788"/>
      <c r="O24" s="788"/>
      <c r="P24" s="788"/>
      <c r="Q24" s="791"/>
      <c r="R24" s="788"/>
      <c r="S24" s="788"/>
      <c r="T24" s="448"/>
      <c r="U24" s="788"/>
      <c r="V24" s="788"/>
      <c r="W24" s="788"/>
      <c r="X24" s="788"/>
      <c r="Y24" s="788"/>
      <c r="Z24" s="788"/>
      <c r="AA24" s="788"/>
      <c r="AB24" s="788"/>
      <c r="AC24" s="788"/>
      <c r="AD24" s="788"/>
      <c r="AE24" s="788"/>
      <c r="AF24" s="788"/>
      <c r="AG24" s="788"/>
      <c r="AH24" s="788"/>
      <c r="AI24" s="788"/>
      <c r="AJ24" s="788"/>
      <c r="AK24" s="788"/>
      <c r="AL24" s="788"/>
      <c r="AM24" s="788"/>
      <c r="AN24" s="788"/>
      <c r="AO24" s="788"/>
      <c r="AP24" s="792"/>
      <c r="AQ24" s="788"/>
      <c r="AR24" s="788"/>
      <c r="AS24" s="793"/>
      <c r="AT24" s="788"/>
      <c r="AU24" s="788"/>
      <c r="AV24" s="788"/>
      <c r="AW24" s="788"/>
      <c r="AX24" s="788"/>
      <c r="AY24" s="425" t="s">
        <v>140</v>
      </c>
      <c r="AZ24" s="860" t="s">
        <v>140</v>
      </c>
      <c r="BA24" s="788"/>
      <c r="BB24" s="788"/>
      <c r="BC24" s="788"/>
      <c r="BD24" s="448"/>
      <c r="BE24" s="448"/>
      <c r="BF24" s="787"/>
      <c r="BG24" s="788">
        <v>7</v>
      </c>
      <c r="BH24" s="788"/>
      <c r="BI24" s="788"/>
      <c r="BJ24" s="788">
        <v>4</v>
      </c>
      <c r="BK24" s="788"/>
      <c r="BL24" s="788"/>
      <c r="BM24" s="788"/>
      <c r="BN24" s="788">
        <v>124</v>
      </c>
      <c r="BO24" s="788">
        <v>198</v>
      </c>
      <c r="BP24" s="787"/>
      <c r="BQ24" s="794"/>
      <c r="BR24" s="793"/>
      <c r="BS24" s="787"/>
      <c r="BT24" s="423"/>
      <c r="BU24" s="423"/>
      <c r="BV24" s="425"/>
      <c r="BW24" s="423"/>
      <c r="BX24" s="448"/>
      <c r="BY24" s="448"/>
      <c r="BZ24" s="448"/>
      <c r="CA24" s="448"/>
      <c r="CB24" s="448"/>
      <c r="CC24" s="777"/>
      <c r="CD24" s="448"/>
      <c r="CE24" s="795" t="str">
        <f>IFERROR(WWWW[[#This Row],['#_Water sources passed]]/WWWW[[#This Row],['#_Water sources tested for fecal coliform ]],"no test")</f>
        <v>no test</v>
      </c>
      <c r="CF24" s="793" t="str">
        <f>IFERROR(WWWW[[#This Row],['#_Household passed]]/WWWW[[#This Row],['#_Household water samples tested for fecal coliform]],"no test")</f>
        <v>no test</v>
      </c>
      <c r="CG24" s="794" t="str">
        <f>IF(AND(WWWW[[#This Row],[% of water sources passed]]="no test",WWWW[[#This Row],[% Household passed]]="no test"),"No Test","Tested")</f>
        <v>No Test</v>
      </c>
      <c r="CH24" s="794">
        <f>WWWW[[#This Row],['#_Constructed/existing protected hand dug well]]-WWWW[[#This Row],['#_Non-functional protected hand dug well]]</f>
        <v>0</v>
      </c>
      <c r="CI24" s="794">
        <f>(WWWW[[#This Row],['#_Constructed/Existing tube wells/boreholes/handpumps_WASH_agency]]+WWWW[[#This Row],['#_Non-Cluster partner water tube-wells/boreholes/handpumps]])-WWWW[[#This Row],['#_Non-functional tube wells/boreholes/handpumps]]</f>
        <v>0</v>
      </c>
      <c r="CJ24" s="794">
        <f>WWWW[[#This Row],['#_Constructed/Existingwater storage tank with gravity fed reticulation system]]-WWWW[[#This Row],['#_Non-functional storage tank gravity fed reticulation system]]</f>
        <v>0</v>
      </c>
      <c r="CK24" s="794">
        <f>(WWWW[[#This Row],['#_Water_Liters_supplied_by_Water boating or water trucking]]/90)/15</f>
        <v>0</v>
      </c>
      <c r="CL24" s="794">
        <f>WWWW[[#This Row],['#_Water_Liters_from_Constructed/Existing water distribution system from river or natural spring]]/90/15</f>
        <v>0</v>
      </c>
      <c r="CM24" s="424">
        <f>IF(WWWW[[#This Row],['#_of water points in TLS/CFS]]*500&gt;WWWW[[#This Row],[Total PoP ]],WWWW[[#This Row],[Total PoP ]],WWWW[[#This Row],['#_of water points in TLS/CFS]]*500)</f>
        <v>0</v>
      </c>
      <c r="CN24" s="424">
        <f>IF(WWWW[[#This Row],['#_of water points in THF]]*500&gt;WWWW[[#This Row],[Total PoP ]],WWWW[[#This Row],[Total PoP ]],WWWW[[#This Row],['#_of water points in THF]]*500)</f>
        <v>0</v>
      </c>
      <c r="CO24"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4"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4" s="793">
        <f>IF(WWWW[[#This Row],[Location Type 1]]="Village",WWWW[[#This Row],[Access to safe drinking water for Village]],WWWW[[#This Row],[Access to safe drinking water for Camp]])</f>
        <v>0</v>
      </c>
      <c r="CR24" s="791">
        <f>WWWW[[#This Row],[%Equitable and continuous access to sufficient quantity of safe drinking water]]*WWWW[[#This Row],[Total PoP ]]</f>
        <v>0</v>
      </c>
      <c r="CS24" s="793">
        <f>IF((WWWW[[#This Row],['#_Constructed/Existing protected/fenced ponds]]*250)/WWWW[[#This Row],[Total PoP ]]&gt;1,1,(WWWW[[#This Row],['#_Constructed/Existing protected/fenced ponds]]*250)/WWWW[[#This Row],[Total PoP ]])</f>
        <v>0</v>
      </c>
      <c r="CT24" s="791">
        <f>WWWW[[#This Row],[% Access to unimproved water points]]*WWWW[[#This Row],[Total PoP ]]</f>
        <v>0</v>
      </c>
      <c r="CU24"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4"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4" s="791">
        <f>WWWW[[#This Row],[HRP1]]/500</f>
        <v>0</v>
      </c>
      <c r="CX24" s="796">
        <f>1-WWWW[[#This Row],[% Equitable and continuous access to sufficient quantity of domestic water]]</f>
        <v>1</v>
      </c>
      <c r="CY24" s="791">
        <f>WWWW[[#This Row],[%equitable and continuous access to sufficient quantity of safe drinking and domestic water''s GAP]]*WWWW[[#This Row],[Total PoP ]]</f>
        <v>240</v>
      </c>
      <c r="CZ24" s="794">
        <f>IF(WWWW[[#This Row],[Total required water points]]-WWWW[[#This Row],['#Water points coverage]]&lt;0,0,WWWW[[#This Row],[Total required water points]]-WWWW[[#This Row],['#Water points coverage]])</f>
        <v>1</v>
      </c>
      <c r="DA24" s="794">
        <f>ROUND(IF(WWWW[[#This Row],[Total PoP ]]&lt;500,1,WWWW[[#This Row],[Total PoP ]]/500),0)</f>
        <v>1</v>
      </c>
      <c r="DB24" s="794">
        <f>(WWWW[[#This Row],['#_Constructed latrines_by_WASHAgencies]]+WWWW[[#This Row],['#_Non Cluster partner latrines]])-WWWW[[#This Row],['#_Non-functional latrines]]</f>
        <v>0</v>
      </c>
      <c r="DC24" s="631">
        <f>WWWW[[#This Row],[HRP2]]/WWWW[[#This Row],[Total PoP ]]</f>
        <v>0</v>
      </c>
      <c r="DD24"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4"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 s="424">
        <f>IF(WWWW[[#This Row],['# of functional latrines in THF supported by WASH partners during the reporting period2]]="",0,WWWW[[#This Row],['# of functional latrines in THF supported by WASH partners during the reporting period2]]*50)</f>
        <v>0</v>
      </c>
      <c r="DH24" s="794">
        <f>ROUND(IF(WWWW[[#This Row],[Location Type 1]]="camp",WWWW[[#This Row],[Total PoP ]]/20,IF(WWWW[[#This Row],[Location Type 1]]="Temporary Location",WWWW[[#This Row],[Total PoP ]]/50,(WWWW[[#This Row],[Total PoP ]]/6))),0)</f>
        <v>12</v>
      </c>
      <c r="DI24" s="794">
        <f>IF(WWWW[[#This Row],[Total required Latrines]]-(WWWW[[#This Row],['#_Constructed latrines_by_WASHAgencies]]+WWWW[[#This Row],['#_Non Cluster partner latrines]])&lt;0,0,WWWW[[#This Row],[Total required Latrines]]-(WWWW[[#This Row],['#_Constructed latrines_by_WASHAgencies]]+WWWW[[#This Row],['#_Non Cluster partner latrines]]))</f>
        <v>12</v>
      </c>
      <c r="DJ24" s="796">
        <f>1-WWWW[[#This Row],[% people access to functioning Latrine]]</f>
        <v>1</v>
      </c>
      <c r="DK24" s="795">
        <f>IF(OR(WWWW[[#This Row],['#_Non-functional latrines]]="",WWWW[[#This Row],['#_Non-functional latrines]]=0),0,WWWW[[#This Row],['#_Non-functional latrines]]/(WWWW[[#This Row],['#_Constructed latrines_by_WASHAgencies]]+WWWW[[#This Row],['#_Non Cluster partner latrines]]))</f>
        <v>0</v>
      </c>
      <c r="DL24" s="791">
        <f>IF(500*(WWWW[[#This Row],['#_male hygiene promoters]]+WWWW[[#This Row],['#_female hygiene promoters]])&gt;WWWW[[#This Row],[Total PoP ]],WWWW[[#This Row],[Total PoP ]],500*(WWWW[[#This Row],['#_male hygiene promoters]]+WWWW[[#This Row],['#_female hygiene promoters]]))</f>
        <v>0</v>
      </c>
      <c r="DM24"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240</v>
      </c>
      <c r="DN24"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24" s="794">
        <f>IF(WWWW[[#This Row],['# People with access to soap]]&gt;WWWW[[#This Row],['# People with access to Sanity Pads]],WWWW[[#This Row],['# People with access to soap]],WWWW[[#This Row],['# People with access to Sanity Pads]])</f>
        <v>240</v>
      </c>
      <c r="DP24" s="794">
        <f>IF(WWWW[[#This Row],['# people reached by regular dedicated hygiene promotion_5]]&gt;WWWW[[#This Row],['# People received regular supply of hygiene items_6]],WWWW[[#This Row],['# people reached by regular dedicated hygiene promotion_5]],WWWW[[#This Row],['# People received regular supply of hygiene items_6]])</f>
        <v>240</v>
      </c>
      <c r="DQ24" s="796">
        <f>IF(WWWW[[#This Row],[HRP3]]/WWWW[[#This Row],[Total PoP ]]&gt;1,1,WWWW[[#This Row],[HRP3]]/WWWW[[#This Row],[Total PoP ]])</f>
        <v>1</v>
      </c>
      <c r="DR24" s="795">
        <f>1-WWWW[[#This Row],[Hygiene Coverage%]]</f>
        <v>0</v>
      </c>
      <c r="DS24" s="793">
        <f>WWWW[[#This Row],['# people reached by regular dedicated hygiene promotion_5]]/WWWW[[#This Row],[Total PoP ]]</f>
        <v>0</v>
      </c>
      <c r="DT24"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4"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4" s="794">
        <f>WWWW[[#This Row],['#_Constructed/Existing hand washing stations]]-WWWW[[#This Row],['#_Non-Functional_hand_washing_stations]]</f>
        <v>7</v>
      </c>
      <c r="DW24" s="791">
        <f>IF(WWWW[[#This Row],['# Functional hand washing stations during reporting period]]*20&gt;WWWW[[#This Row],[Total HH]],WWWW[[#This Row],[Total HH]],WWWW[[#This Row],['# Functional hand washing stations during reporting period]]*20)</f>
        <v>48</v>
      </c>
      <c r="DX24" s="791">
        <f>IF(WWWW[[#This Row],[Is sufficient soap available for TLS? (Yes/No)]]="yes",WWWW[[#This Row],['#_Constructed/Existing hand washing stations at TLS/CFS/THF]],0)</f>
        <v>0</v>
      </c>
      <c r="DY24" s="428">
        <f>IF(WWWW[[#This Row],['# Functional hand washing stations during reporting period]]*100&gt;WWWW[[#This Row],[Total PoP ]],WWWW[[#This Row],[Total PoP ]],WWWW[[#This Row],['# Functional hand washing stations during reporting period]]*100)</f>
        <v>240</v>
      </c>
      <c r="DZ24" s="428" t="str">
        <f>IF(OR(WWWW[[#This Row],['#_students at TLS_CFS]]="",WWWW[[#This Row],['#_students at TLS_CFS]]=0),"No","Yes")</f>
        <v>No</v>
      </c>
      <c r="EA2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 s="787">
        <f>VLOOKUP(WWWW[[#This Row],[Site Name]],SiteDB6[[Site Name]:[CCCM Management]],6,FALSE)</f>
        <v>0</v>
      </c>
      <c r="EF24" s="787" t="str">
        <f>VLOOKUP(WWWW[[#This Row],[Site Name]],SiteDB6[[Site Name]:[CCCM Focal Agency]],7,FALSE)</f>
        <v xml:space="preserve">Uncovered  </v>
      </c>
      <c r="EG24" s="787" t="str">
        <f>VLOOKUP(WWWW[[#This Row],[Site Name]],SiteDB6[[Site Name]:[Location Type 1]],9,FALSE)</f>
        <v>Camp</v>
      </c>
      <c r="EH24" s="787" t="str">
        <f>VLOOKUP(WWWW[[#This Row],[Site Name]],SiteDB6[[Site Name]:[Type of Accommodation]],10,FALSE)</f>
        <v>Camp like setting</v>
      </c>
      <c r="EI24" s="787" t="str">
        <f>VLOOKUP(WWWW[[#This Row],[Site Name]],SiteDB6[[Site Name]:[Ethnic or GCA/NGCA]],11,FALSE)</f>
        <v>GCA</v>
      </c>
      <c r="EJ24" s="787">
        <f>VLOOKUP(WWWW[[#This Row],[Site Name]],SiteDB6[[Site Name]:[Lat]],12,FALSE)</f>
        <v>0</v>
      </c>
      <c r="EK24" s="787">
        <f>VLOOKUP(WWWW[[#This Row],[Site Name]],SiteDB6[[Site Name]:[Long]],13,FALSE)</f>
        <v>0</v>
      </c>
      <c r="EL24" s="787" t="str">
        <f>VLOOKUP(WWWW[[#This Row],[Site Name]],SiteDB6[[Site Name]:[Pcode]],3,FALSE)</f>
        <v>MMR001CMP293</v>
      </c>
      <c r="EM24" s="792" t="str">
        <f t="shared" si="0"/>
        <v>Notcovered</v>
      </c>
      <c r="EN24" s="792"/>
      <c r="EO24" s="787">
        <f>VLOOKUP(WWWW[[#This Row],[Site Name]],SiteDB6[[Site Name]:[Pop
(Kachin/Shan-CCCM as of July 2021)]],16,FALSE)</f>
        <v>48</v>
      </c>
      <c r="EP24" s="787">
        <f>VLOOKUP(WWWW[[#This Row],[Site Name]],SiteDB6[[Site Name]:[Pop
(Kachin/Shan-CCCM as of July 2021)]],17,FALSE)</f>
        <v>240</v>
      </c>
    </row>
    <row r="25" spans="1:146" hidden="1">
      <c r="A25" s="725" t="s">
        <v>2763</v>
      </c>
      <c r="B25" s="725" t="s">
        <v>309</v>
      </c>
      <c r="C25" s="726" t="s">
        <v>309</v>
      </c>
      <c r="D25" s="786"/>
      <c r="E25" s="786" t="s">
        <v>37</v>
      </c>
      <c r="F25" s="786" t="s">
        <v>142</v>
      </c>
      <c r="G25" s="591" t="str">
        <f>VLOOKUP(WWWW[[#This Row],[Site Name]],SiteDB6[[Site Name]:[Location Type]],8,FALSE)</f>
        <v>Camp</v>
      </c>
      <c r="H25" s="786" t="s">
        <v>2782</v>
      </c>
      <c r="I25" s="788">
        <v>34</v>
      </c>
      <c r="J25" s="788">
        <v>189</v>
      </c>
      <c r="K25" s="789"/>
      <c r="L25" s="790"/>
      <c r="M25" s="788"/>
      <c r="N25" s="788"/>
      <c r="O25" s="788"/>
      <c r="P25" s="788"/>
      <c r="Q25" s="791"/>
      <c r="R25" s="788"/>
      <c r="S25" s="788"/>
      <c r="T25" s="448"/>
      <c r="U25" s="788"/>
      <c r="V25" s="788"/>
      <c r="W25" s="788"/>
      <c r="X25" s="788"/>
      <c r="Y25" s="788"/>
      <c r="Z25" s="788"/>
      <c r="AA25" s="788"/>
      <c r="AB25" s="788"/>
      <c r="AC25" s="788"/>
      <c r="AD25" s="788"/>
      <c r="AE25" s="788"/>
      <c r="AF25" s="788"/>
      <c r="AG25" s="788"/>
      <c r="AH25" s="788"/>
      <c r="AI25" s="788"/>
      <c r="AJ25" s="788"/>
      <c r="AK25" s="788"/>
      <c r="AL25" s="788"/>
      <c r="AM25" s="788"/>
      <c r="AN25" s="788"/>
      <c r="AO25" s="788"/>
      <c r="AP25" s="792"/>
      <c r="AQ25" s="788"/>
      <c r="AR25" s="788"/>
      <c r="AS25" s="793"/>
      <c r="AT25" s="788"/>
      <c r="AU25" s="788"/>
      <c r="AV25" s="788"/>
      <c r="AW25" s="788"/>
      <c r="AX25" s="788"/>
      <c r="AY25" s="425" t="s">
        <v>140</v>
      </c>
      <c r="AZ25" s="860" t="s">
        <v>140</v>
      </c>
      <c r="BA25" s="788"/>
      <c r="BB25" s="788"/>
      <c r="BC25" s="788"/>
      <c r="BD25" s="448"/>
      <c r="BE25" s="448"/>
      <c r="BF25" s="787"/>
      <c r="BG25" s="788">
        <v>3</v>
      </c>
      <c r="BH25" s="788"/>
      <c r="BI25" s="788"/>
      <c r="BJ25" s="788">
        <v>2</v>
      </c>
      <c r="BK25" s="788"/>
      <c r="BL25" s="788"/>
      <c r="BM25" s="788"/>
      <c r="BN25" s="788">
        <v>88</v>
      </c>
      <c r="BO25" s="788">
        <v>100</v>
      </c>
      <c r="BP25" s="787"/>
      <c r="BQ25" s="794"/>
      <c r="BR25" s="793"/>
      <c r="BS25" s="787"/>
      <c r="BT25" s="423"/>
      <c r="BU25" s="423"/>
      <c r="BV25" s="425"/>
      <c r="BW25" s="423"/>
      <c r="BX25" s="448"/>
      <c r="BY25" s="448"/>
      <c r="BZ25" s="448"/>
      <c r="CA25" s="448"/>
      <c r="CB25" s="448"/>
      <c r="CC25" s="777"/>
      <c r="CD25" s="448"/>
      <c r="CE25" s="795" t="str">
        <f>IFERROR(WWWW[[#This Row],['#_Water sources passed]]/WWWW[[#This Row],['#_Water sources tested for fecal coliform ]],"no test")</f>
        <v>no test</v>
      </c>
      <c r="CF25" s="793" t="str">
        <f>IFERROR(WWWW[[#This Row],['#_Household passed]]/WWWW[[#This Row],['#_Household water samples tested for fecal coliform]],"no test")</f>
        <v>no test</v>
      </c>
      <c r="CG25" s="794" t="str">
        <f>IF(AND(WWWW[[#This Row],[% of water sources passed]]="no test",WWWW[[#This Row],[% Household passed]]="no test"),"No Test","Tested")</f>
        <v>No Test</v>
      </c>
      <c r="CH25" s="794">
        <f>WWWW[[#This Row],['#_Constructed/existing protected hand dug well]]-WWWW[[#This Row],['#_Non-functional protected hand dug well]]</f>
        <v>0</v>
      </c>
      <c r="CI25" s="794">
        <f>(WWWW[[#This Row],['#_Constructed/Existing tube wells/boreholes/handpumps_WASH_agency]]+WWWW[[#This Row],['#_Non-Cluster partner water tube-wells/boreholes/handpumps]])-WWWW[[#This Row],['#_Non-functional tube wells/boreholes/handpumps]]</f>
        <v>0</v>
      </c>
      <c r="CJ25" s="794">
        <f>WWWW[[#This Row],['#_Constructed/Existingwater storage tank with gravity fed reticulation system]]-WWWW[[#This Row],['#_Non-functional storage tank gravity fed reticulation system]]</f>
        <v>0</v>
      </c>
      <c r="CK25" s="794">
        <f>(WWWW[[#This Row],['#_Water_Liters_supplied_by_Water boating or water trucking]]/90)/15</f>
        <v>0</v>
      </c>
      <c r="CL25" s="794">
        <f>WWWW[[#This Row],['#_Water_Liters_from_Constructed/Existing water distribution system from river or natural spring]]/90/15</f>
        <v>0</v>
      </c>
      <c r="CM25" s="424">
        <f>IF(WWWW[[#This Row],['#_of water points in TLS/CFS]]*500&gt;WWWW[[#This Row],[Total PoP ]],WWWW[[#This Row],[Total PoP ]],WWWW[[#This Row],['#_of water points in TLS/CFS]]*500)</f>
        <v>0</v>
      </c>
      <c r="CN25" s="424">
        <f>IF(WWWW[[#This Row],['#_of water points in THF]]*500&gt;WWWW[[#This Row],[Total PoP ]],WWWW[[#This Row],[Total PoP ]],WWWW[[#This Row],['#_of water points in THF]]*500)</f>
        <v>0</v>
      </c>
      <c r="CO25"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5"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5" s="793">
        <f>IF(WWWW[[#This Row],[Location Type 1]]="Village",WWWW[[#This Row],[Access to safe drinking water for Village]],WWWW[[#This Row],[Access to safe drinking water for Camp]])</f>
        <v>0</v>
      </c>
      <c r="CR25" s="791">
        <f>WWWW[[#This Row],[%Equitable and continuous access to sufficient quantity of safe drinking water]]*WWWW[[#This Row],[Total PoP ]]</f>
        <v>0</v>
      </c>
      <c r="CS25" s="793">
        <f>IF((WWWW[[#This Row],['#_Constructed/Existing protected/fenced ponds]]*250)/WWWW[[#This Row],[Total PoP ]]&gt;1,1,(WWWW[[#This Row],['#_Constructed/Existing protected/fenced ponds]]*250)/WWWW[[#This Row],[Total PoP ]])</f>
        <v>0</v>
      </c>
      <c r="CT25" s="791">
        <f>WWWW[[#This Row],[% Access to unimproved water points]]*WWWW[[#This Row],[Total PoP ]]</f>
        <v>0</v>
      </c>
      <c r="CU25"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5"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5" s="791">
        <f>WWWW[[#This Row],[HRP1]]/500</f>
        <v>0</v>
      </c>
      <c r="CX25" s="796">
        <f>1-WWWW[[#This Row],[% Equitable and continuous access to sufficient quantity of domestic water]]</f>
        <v>1</v>
      </c>
      <c r="CY25" s="791">
        <f>WWWW[[#This Row],[%equitable and continuous access to sufficient quantity of safe drinking and domestic water''s GAP]]*WWWW[[#This Row],[Total PoP ]]</f>
        <v>189</v>
      </c>
      <c r="CZ25" s="794">
        <f>IF(WWWW[[#This Row],[Total required water points]]-WWWW[[#This Row],['#Water points coverage]]&lt;0,0,WWWW[[#This Row],[Total required water points]]-WWWW[[#This Row],['#Water points coverage]])</f>
        <v>1</v>
      </c>
      <c r="DA25" s="794">
        <f>ROUND(IF(WWWW[[#This Row],[Total PoP ]]&lt;500,1,WWWW[[#This Row],[Total PoP ]]/500),0)</f>
        <v>1</v>
      </c>
      <c r="DB25" s="794">
        <f>(WWWW[[#This Row],['#_Constructed latrines_by_WASHAgencies]]+WWWW[[#This Row],['#_Non Cluster partner latrines]])-WWWW[[#This Row],['#_Non-functional latrines]]</f>
        <v>0</v>
      </c>
      <c r="DC25" s="631">
        <f>WWWW[[#This Row],[HRP2]]/WWWW[[#This Row],[Total PoP ]]</f>
        <v>0</v>
      </c>
      <c r="DD25"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5"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 s="424">
        <f>IF(WWWW[[#This Row],['# of functional latrines in THF supported by WASH partners during the reporting period2]]="",0,WWWW[[#This Row],['# of functional latrines in THF supported by WASH partners during the reporting period2]]*50)</f>
        <v>0</v>
      </c>
      <c r="DH25" s="794">
        <f>ROUND(IF(WWWW[[#This Row],[Location Type 1]]="camp",WWWW[[#This Row],[Total PoP ]]/20,IF(WWWW[[#This Row],[Location Type 1]]="Temporary Location",WWWW[[#This Row],[Total PoP ]]/50,(WWWW[[#This Row],[Total PoP ]]/6))),0)</f>
        <v>9</v>
      </c>
      <c r="DI25" s="794">
        <f>IF(WWWW[[#This Row],[Total required Latrines]]-(WWWW[[#This Row],['#_Constructed latrines_by_WASHAgencies]]+WWWW[[#This Row],['#_Non Cluster partner latrines]])&lt;0,0,WWWW[[#This Row],[Total required Latrines]]-(WWWW[[#This Row],['#_Constructed latrines_by_WASHAgencies]]+WWWW[[#This Row],['#_Non Cluster partner latrines]]))</f>
        <v>9</v>
      </c>
      <c r="DJ25" s="796">
        <f>1-WWWW[[#This Row],[% people access to functioning Latrine]]</f>
        <v>1</v>
      </c>
      <c r="DK25" s="795">
        <f>IF(OR(WWWW[[#This Row],['#_Non-functional latrines]]="",WWWW[[#This Row],['#_Non-functional latrines]]=0),0,WWWW[[#This Row],['#_Non-functional latrines]]/(WWWW[[#This Row],['#_Constructed latrines_by_WASHAgencies]]+WWWW[[#This Row],['#_Non Cluster partner latrines]]))</f>
        <v>0</v>
      </c>
      <c r="DL25" s="791">
        <f>IF(500*(WWWW[[#This Row],['#_male hygiene promoters]]+WWWW[[#This Row],['#_female hygiene promoters]])&gt;WWWW[[#This Row],[Total PoP ]],WWWW[[#This Row],[Total PoP ]],500*(WWWW[[#This Row],['#_male hygiene promoters]]+WWWW[[#This Row],['#_female hygiene promoters]]))</f>
        <v>0</v>
      </c>
      <c r="DM25"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189</v>
      </c>
      <c r="DN25"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25" s="794">
        <f>IF(WWWW[[#This Row],['# People with access to soap]]&gt;WWWW[[#This Row],['# People with access to Sanity Pads]],WWWW[[#This Row],['# People with access to soap]],WWWW[[#This Row],['# People with access to Sanity Pads]])</f>
        <v>189</v>
      </c>
      <c r="DP25" s="794">
        <f>IF(WWWW[[#This Row],['# people reached by regular dedicated hygiene promotion_5]]&gt;WWWW[[#This Row],['# People received regular supply of hygiene items_6]],WWWW[[#This Row],['# people reached by regular dedicated hygiene promotion_5]],WWWW[[#This Row],['# People received regular supply of hygiene items_6]])</f>
        <v>189</v>
      </c>
      <c r="DQ25" s="796">
        <f>IF(WWWW[[#This Row],[HRP3]]/WWWW[[#This Row],[Total PoP ]]&gt;1,1,WWWW[[#This Row],[HRP3]]/WWWW[[#This Row],[Total PoP ]])</f>
        <v>1</v>
      </c>
      <c r="DR25" s="795">
        <f>1-WWWW[[#This Row],[Hygiene Coverage%]]</f>
        <v>0</v>
      </c>
      <c r="DS25" s="793">
        <f>WWWW[[#This Row],['# people reached by regular dedicated hygiene promotion_5]]/WWWW[[#This Row],[Total PoP ]]</f>
        <v>0</v>
      </c>
      <c r="DT25"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 s="794">
        <f>WWWW[[#This Row],['#_Constructed/Existing hand washing stations]]-WWWW[[#This Row],['#_Non-Functional_hand_washing_stations]]</f>
        <v>3</v>
      </c>
      <c r="DW25" s="791">
        <f>IF(WWWW[[#This Row],['# Functional hand washing stations during reporting period]]*20&gt;WWWW[[#This Row],[Total HH]],WWWW[[#This Row],[Total HH]],WWWW[[#This Row],['# Functional hand washing stations during reporting period]]*20)</f>
        <v>34</v>
      </c>
      <c r="DX25" s="791">
        <f>IF(WWWW[[#This Row],[Is sufficient soap available for TLS? (Yes/No)]]="yes",WWWW[[#This Row],['#_Constructed/Existing hand washing stations at TLS/CFS/THF]],0)</f>
        <v>0</v>
      </c>
      <c r="DY25" s="428">
        <f>IF(WWWW[[#This Row],['# Functional hand washing stations during reporting period]]*100&gt;WWWW[[#This Row],[Total PoP ]],WWWW[[#This Row],[Total PoP ]],WWWW[[#This Row],['# Functional hand washing stations during reporting period]]*100)</f>
        <v>189</v>
      </c>
      <c r="DZ25" s="428" t="str">
        <f>IF(OR(WWWW[[#This Row],['#_students at TLS_CFS]]="",WWWW[[#This Row],['#_students at TLS_CFS]]=0),"No","Yes")</f>
        <v>No</v>
      </c>
      <c r="EA2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 s="787">
        <f>VLOOKUP(WWWW[[#This Row],[Site Name]],SiteDB6[[Site Name]:[CCCM Management]],6,FALSE)</f>
        <v>0</v>
      </c>
      <c r="EF25" s="787" t="str">
        <f>VLOOKUP(WWWW[[#This Row],[Site Name]],SiteDB6[[Site Name]:[CCCM Focal Agency]],7,FALSE)</f>
        <v xml:space="preserve">Uncovered  </v>
      </c>
      <c r="EG25" s="787" t="str">
        <f>VLOOKUP(WWWW[[#This Row],[Site Name]],SiteDB6[[Site Name]:[Location Type 1]],9,FALSE)</f>
        <v>Camp</v>
      </c>
      <c r="EH25" s="787" t="str">
        <f>VLOOKUP(WWWW[[#This Row],[Site Name]],SiteDB6[[Site Name]:[Type of Accommodation]],10,FALSE)</f>
        <v>Camp like setting</v>
      </c>
      <c r="EI25" s="787" t="str">
        <f>VLOOKUP(WWWW[[#This Row],[Site Name]],SiteDB6[[Site Name]:[Ethnic or GCA/NGCA]],11,FALSE)</f>
        <v>GCA</v>
      </c>
      <c r="EJ25" s="787">
        <f>VLOOKUP(WWWW[[#This Row],[Site Name]],SiteDB6[[Site Name]:[Lat]],12,FALSE)</f>
        <v>0</v>
      </c>
      <c r="EK25" s="787">
        <f>VLOOKUP(WWWW[[#This Row],[Site Name]],SiteDB6[[Site Name]:[Long]],13,FALSE)</f>
        <v>0</v>
      </c>
      <c r="EL25" s="787" t="str">
        <f>VLOOKUP(WWWW[[#This Row],[Site Name]],SiteDB6[[Site Name]:[Pcode]],3,FALSE)</f>
        <v>MMR001CMP294</v>
      </c>
      <c r="EM25" s="792" t="str">
        <f t="shared" si="0"/>
        <v>Notcovered</v>
      </c>
      <c r="EN25" s="792"/>
      <c r="EO25" s="787">
        <f>VLOOKUP(WWWW[[#This Row],[Site Name]],SiteDB6[[Site Name]:[Pop
(Kachin/Shan-CCCM as of July 2021)]],16,FALSE)</f>
        <v>34</v>
      </c>
      <c r="EP25" s="787">
        <f>VLOOKUP(WWWW[[#This Row],[Site Name]],SiteDB6[[Site Name]:[Pop
(Kachin/Shan-CCCM as of July 2021)]],17,FALSE)</f>
        <v>189</v>
      </c>
    </row>
    <row r="26" spans="1:146" hidden="1">
      <c r="A26" s="725" t="s">
        <v>2763</v>
      </c>
      <c r="B26" s="725" t="s">
        <v>141</v>
      </c>
      <c r="C26" s="726" t="s">
        <v>141</v>
      </c>
      <c r="D26" s="726" t="s">
        <v>241</v>
      </c>
      <c r="E26" s="726" t="s">
        <v>37</v>
      </c>
      <c r="F26" s="726" t="s">
        <v>159</v>
      </c>
      <c r="G26" s="591" t="str">
        <f>VLOOKUP(WWWW[[#This Row],[Site Name]],SiteDB6[[Site Name]:[Location Type]],8,FALSE)</f>
        <v>Camp</v>
      </c>
      <c r="H26" s="726" t="s">
        <v>160</v>
      </c>
      <c r="I26" s="728">
        <v>43</v>
      </c>
      <c r="J26" s="728">
        <v>197</v>
      </c>
      <c r="K26" s="729">
        <v>44105</v>
      </c>
      <c r="L26" s="589">
        <v>44681</v>
      </c>
      <c r="M26" s="728"/>
      <c r="N26" s="728">
        <v>2</v>
      </c>
      <c r="O26" s="728"/>
      <c r="P26" s="728"/>
      <c r="Q26" s="731" t="s">
        <v>41</v>
      </c>
      <c r="R26" s="728"/>
      <c r="S26" s="728"/>
      <c r="T26" s="448">
        <v>0</v>
      </c>
      <c r="U26" s="728"/>
      <c r="V26" s="728"/>
      <c r="W26" s="728">
        <v>3</v>
      </c>
      <c r="X26" s="728"/>
      <c r="Y26" s="728"/>
      <c r="Z26" s="728"/>
      <c r="AA26" s="728"/>
      <c r="AB26" s="728"/>
      <c r="AC26" s="728"/>
      <c r="AD26" s="728"/>
      <c r="AE26" s="728">
        <v>3</v>
      </c>
      <c r="AF26" s="728"/>
      <c r="AG26" s="728"/>
      <c r="AH26" s="728">
        <v>3</v>
      </c>
      <c r="AI26" s="728"/>
      <c r="AJ26" s="728"/>
      <c r="AK26" s="728"/>
      <c r="AL26" s="728"/>
      <c r="AM26" s="728"/>
      <c r="AN26" s="728"/>
      <c r="AO26" s="728"/>
      <c r="AP26" s="732"/>
      <c r="AQ26" s="728">
        <v>7</v>
      </c>
      <c r="AR26" s="728"/>
      <c r="AS26" s="733"/>
      <c r="AT26" s="728"/>
      <c r="AU26" s="448">
        <v>2</v>
      </c>
      <c r="AV26" s="448">
        <v>51</v>
      </c>
      <c r="AW26" s="728"/>
      <c r="AX26" s="728">
        <v>7</v>
      </c>
      <c r="AY26" s="727" t="s">
        <v>41</v>
      </c>
      <c r="AZ26" s="732" t="s">
        <v>137</v>
      </c>
      <c r="BA26" s="728"/>
      <c r="BB26" s="728"/>
      <c r="BC26" s="728"/>
      <c r="BD26" s="448"/>
      <c r="BE26" s="448"/>
      <c r="BF26" s="727"/>
      <c r="BG26" s="728">
        <v>1</v>
      </c>
      <c r="BH26" s="728"/>
      <c r="BI26" s="728"/>
      <c r="BJ26" s="728">
        <v>3</v>
      </c>
      <c r="BK26" s="728"/>
      <c r="BL26" s="728">
        <v>1</v>
      </c>
      <c r="BM26" s="728">
        <v>1</v>
      </c>
      <c r="BN26" s="728">
        <v>41</v>
      </c>
      <c r="BO26" s="728">
        <v>85</v>
      </c>
      <c r="BP26" s="727"/>
      <c r="BQ26" s="734"/>
      <c r="BR26" s="733"/>
      <c r="BS26" s="727"/>
      <c r="BT26" s="423"/>
      <c r="BU26" s="423"/>
      <c r="BV26" s="425"/>
      <c r="BW26" s="423"/>
      <c r="BX26" s="448"/>
      <c r="BY26" s="448"/>
      <c r="BZ26" s="448"/>
      <c r="CA26" s="448"/>
      <c r="CB26" s="448"/>
      <c r="CC26" s="777"/>
      <c r="CD26" s="448"/>
      <c r="CE26" s="735" t="str">
        <f>IFERROR(WWWW[[#This Row],['#_Water sources passed]]/WWWW[[#This Row],['#_Water sources tested for fecal coliform ]],"no test")</f>
        <v>no test</v>
      </c>
      <c r="CF26" s="733" t="str">
        <f>IFERROR(WWWW[[#This Row],['#_Household passed]]/WWWW[[#This Row],['#_Household water samples tested for fecal coliform]],"no test")</f>
        <v>no test</v>
      </c>
      <c r="CG26" s="734" t="str">
        <f>IF(AND(WWWW[[#This Row],[% of water sources passed]]="no test",WWWW[[#This Row],[% Household passed]]="no test"),"No Test","Tested")</f>
        <v>No Test</v>
      </c>
      <c r="CH26" s="734">
        <f>WWWW[[#This Row],['#_Constructed/existing protected hand dug well]]-WWWW[[#This Row],['#_Non-functional protected hand dug well]]</f>
        <v>0</v>
      </c>
      <c r="CI26" s="734">
        <f>(WWWW[[#This Row],['#_Constructed/Existing tube wells/boreholes/handpumps_WASH_agency]]+WWWW[[#This Row],['#_Non-Cluster partner water tube-wells/boreholes/handpumps]])-WWWW[[#This Row],['#_Non-functional tube wells/boreholes/handpumps]]</f>
        <v>3</v>
      </c>
      <c r="CJ26" s="734">
        <f>WWWW[[#This Row],['#_Constructed/Existingwater storage tank with gravity fed reticulation system]]-WWWW[[#This Row],['#_Non-functional storage tank gravity fed reticulation system]]</f>
        <v>0</v>
      </c>
      <c r="CK26" s="734">
        <f>(WWWW[[#This Row],['#_Water_Liters_supplied_by_Water boating or water trucking]]/90)/15</f>
        <v>0</v>
      </c>
      <c r="CL26" s="734">
        <f>WWWW[[#This Row],['#_Water_Liters_from_Constructed/Existing water distribution system from river or natural spring]]/90/15</f>
        <v>0</v>
      </c>
      <c r="CM26" s="424">
        <f>IF(WWWW[[#This Row],['#_of water points in TLS/CFS]]*500&gt;WWWW[[#This Row],[Total PoP ]],WWWW[[#This Row],[Total PoP ]],WWWW[[#This Row],['#_of water points in TLS/CFS]]*500)</f>
        <v>0</v>
      </c>
      <c r="CN26" s="424">
        <f>IF(WWWW[[#This Row],['#_of water points in THF]]*500&gt;WWWW[[#This Row],[Total PoP ]],WWWW[[#This Row],[Total PoP ]],WWWW[[#This Row],['#_of water points in THF]]*500)</f>
        <v>0</v>
      </c>
      <c r="CO2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 s="733">
        <f>IF(WWWW[[#This Row],[Location Type 1]]="Village",WWWW[[#This Row],[Access to safe drinking water for Village]],WWWW[[#This Row],[Access to safe drinking water for Camp]])</f>
        <v>1</v>
      </c>
      <c r="CR26" s="731">
        <f>WWWW[[#This Row],[%Equitable and continuous access to sufficient quantity of safe drinking water]]*WWWW[[#This Row],[Total PoP ]]</f>
        <v>197</v>
      </c>
      <c r="CS26" s="733">
        <f>IF((WWWW[[#This Row],['#_Constructed/Existing protected/fenced ponds]]*250)/WWWW[[#This Row],[Total PoP ]]&gt;1,1,(WWWW[[#This Row],['#_Constructed/Existing protected/fenced ponds]]*250)/WWWW[[#This Row],[Total PoP ]])</f>
        <v>1</v>
      </c>
      <c r="CT26" s="731">
        <f>WWWW[[#This Row],[% Access to unimproved water points]]*WWWW[[#This Row],[Total PoP ]]</f>
        <v>197</v>
      </c>
      <c r="CU2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W26" s="731">
        <f>WWWW[[#This Row],[HRP1]]/500</f>
        <v>0.39400000000000002</v>
      </c>
      <c r="CX26" s="736">
        <f>1-WWWW[[#This Row],[% Equitable and continuous access to sufficient quantity of domestic water]]</f>
        <v>0</v>
      </c>
      <c r="CY26" s="731">
        <f>WWWW[[#This Row],[%equitable and continuous access to sufficient quantity of safe drinking and domestic water''s GAP]]*WWWW[[#This Row],[Total PoP ]]</f>
        <v>0</v>
      </c>
      <c r="CZ26" s="734">
        <f>IF(WWWW[[#This Row],[Total required water points]]-WWWW[[#This Row],['#Water points coverage]]&lt;0,0,WWWW[[#This Row],[Total required water points]]-WWWW[[#This Row],['#Water points coverage]])</f>
        <v>0.60599999999999998</v>
      </c>
      <c r="DA26" s="734">
        <f>ROUND(IF(WWWW[[#This Row],[Total PoP ]]&lt;500,1,WWWW[[#This Row],[Total PoP ]]/500),0)</f>
        <v>1</v>
      </c>
      <c r="DB26" s="734">
        <f>(WWWW[[#This Row],['#_Constructed latrines_by_WASHAgencies]]+WWWW[[#This Row],['#_Non Cluster partner latrines]])-WWWW[[#This Row],['#_Non-functional latrines]]</f>
        <v>7</v>
      </c>
      <c r="DC26" s="631">
        <f>WWWW[[#This Row],[HRP2]]/WWWW[[#This Row],[Total PoP ]]</f>
        <v>0.71065989847715738</v>
      </c>
      <c r="DD2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2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197</v>
      </c>
      <c r="DF2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 s="424">
        <f>IF(WWWW[[#This Row],['# of functional latrines in THF supported by WASH partners during the reporting period2]]="",0,WWWW[[#This Row],['# of functional latrines in THF supported by WASH partners during the reporting period2]]*50)</f>
        <v>0</v>
      </c>
      <c r="DH26" s="734">
        <f>ROUND(IF(WWWW[[#This Row],[Location Type 1]]="camp",WWWW[[#This Row],[Total PoP ]]/20,IF(WWWW[[#This Row],[Location Type 1]]="Temporary Location",WWWW[[#This Row],[Total PoP ]]/50,(WWWW[[#This Row],[Total PoP ]]/6))),0)</f>
        <v>10</v>
      </c>
      <c r="DI26" s="734">
        <f>IF(WWWW[[#This Row],[Total required Latrines]]-(WWWW[[#This Row],['#_Constructed latrines_by_WASHAgencies]]+WWWW[[#This Row],['#_Non Cluster partner latrines]])&lt;0,0,WWWW[[#This Row],[Total required Latrines]]-(WWWW[[#This Row],['#_Constructed latrines_by_WASHAgencies]]+WWWW[[#This Row],['#_Non Cluster partner latrines]]))</f>
        <v>3</v>
      </c>
      <c r="DJ26" s="736">
        <f>1-WWWW[[#This Row],[% people access to functioning Latrine]]</f>
        <v>0.28934010152284262</v>
      </c>
      <c r="DK26" s="735">
        <f>IF(OR(WWWW[[#This Row],['#_Non-functional latrines]]="",WWWW[[#This Row],['#_Non-functional latrines]]=0),0,WWWW[[#This Row],['#_Non-functional latrines]]/(WWWW[[#This Row],['#_Constructed latrines_by_WASHAgencies]]+WWWW[[#This Row],['#_Non Cluster partner latrines]]))</f>
        <v>0</v>
      </c>
      <c r="DL26" s="731">
        <f>IF(500*(WWWW[[#This Row],['#_male hygiene promoters]]+WWWW[[#This Row],['#_female hygiene promoters]])&gt;WWWW[[#This Row],[Total PoP ]],WWWW[[#This Row],[Total PoP ]],500*(WWWW[[#This Row],['#_male hygiene promoters]]+WWWW[[#This Row],['#_female hygiene promoters]]))</f>
        <v>197</v>
      </c>
      <c r="DM2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197</v>
      </c>
      <c r="DN2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26" s="734">
        <f>IF(WWWW[[#This Row],['# People with access to soap]]&gt;WWWW[[#This Row],['# People with access to Sanity Pads]],WWWW[[#This Row],['# People with access to soap]],WWWW[[#This Row],['# People with access to Sanity Pads]])</f>
        <v>197</v>
      </c>
      <c r="DP26" s="734">
        <f>IF(WWWW[[#This Row],['# people reached by regular dedicated hygiene promotion_5]]&gt;WWWW[[#This Row],['# People received regular supply of hygiene items_6]],WWWW[[#This Row],['# people reached by regular dedicated hygiene promotion_5]],WWWW[[#This Row],['# People received regular supply of hygiene items_6]])</f>
        <v>197</v>
      </c>
      <c r="DQ26" s="736">
        <f>IF(WWWW[[#This Row],[HRP3]]/WWWW[[#This Row],[Total PoP ]]&gt;1,1,WWWW[[#This Row],[HRP3]]/WWWW[[#This Row],[Total PoP ]])</f>
        <v>1</v>
      </c>
      <c r="DR26" s="735">
        <f>1-WWWW[[#This Row],[Hygiene Coverage%]]</f>
        <v>0</v>
      </c>
      <c r="DS26" s="733">
        <f>WWWW[[#This Row],['# people reached by regular dedicated hygiene promotion_5]]/WWWW[[#This Row],[Total PoP ]]</f>
        <v>1</v>
      </c>
      <c r="DT2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6" s="734">
        <f>WWWW[[#This Row],['#_Constructed/Existing hand washing stations]]-WWWW[[#This Row],['#_Non-Functional_hand_washing_stations]]</f>
        <v>1</v>
      </c>
      <c r="DW26" s="731">
        <f>IF(WWWW[[#This Row],['# Functional hand washing stations during reporting period]]*20&gt;WWWW[[#This Row],[Total HH]],WWWW[[#This Row],[Total HH]],WWWW[[#This Row],['# Functional hand washing stations during reporting period]]*20)</f>
        <v>20</v>
      </c>
      <c r="DX26" s="731">
        <f>IF(WWWW[[#This Row],[Is sufficient soap available for TLS? (Yes/No)]]="yes",WWWW[[#This Row],['#_Constructed/Existing hand washing stations at TLS/CFS/THF]],0)</f>
        <v>0</v>
      </c>
      <c r="DY26" s="428">
        <f>IF(WWWW[[#This Row],['# Functional hand washing stations during reporting period]]*100&gt;WWWW[[#This Row],[Total PoP ]],WWWW[[#This Row],[Total PoP ]],WWWW[[#This Row],['# Functional hand washing stations during reporting period]]*100)</f>
        <v>100</v>
      </c>
      <c r="DZ26" s="428" t="str">
        <f>IF(OR(WWWW[[#This Row],['#_students at TLS_CFS]]="",WWWW[[#This Row],['#_students at TLS_CFS]]=0),"No","Yes")</f>
        <v>No</v>
      </c>
      <c r="EA2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 s="727" t="str">
        <f>VLOOKUP(WWWW[[#This Row],[Site Name]],SiteDB6[[Site Name]:[CCCM Management]],6,FALSE)</f>
        <v>Yes</v>
      </c>
      <c r="EF26" s="727" t="str">
        <f>VLOOKUP(WWWW[[#This Row],[Site Name]],SiteDB6[[Site Name]:[CCCM Focal Agency]],7,FALSE)</f>
        <v>KBC-MYT</v>
      </c>
      <c r="EG26" s="727" t="str">
        <f>VLOOKUP(WWWW[[#This Row],[Site Name]],SiteDB6[[Site Name]:[Location Type 1]],9,FALSE)</f>
        <v>Camp</v>
      </c>
      <c r="EH26" s="727" t="str">
        <f>VLOOKUP(WWWW[[#This Row],[Site Name]],SiteDB6[[Site Name]:[Type of Accommodation]],10,FALSE)</f>
        <v>Camp</v>
      </c>
      <c r="EI26" s="727" t="str">
        <f>VLOOKUP(WWWW[[#This Row],[Site Name]],SiteDB6[[Site Name]:[Ethnic or GCA/NGCA]],11,FALSE)</f>
        <v>GCA</v>
      </c>
      <c r="EJ26" s="727">
        <f>VLOOKUP(WWWW[[#This Row],[Site Name]],SiteDB6[[Site Name]:[Lat]],12,FALSE)</f>
        <v>25.3959740909091</v>
      </c>
      <c r="EK26" s="727">
        <f>VLOOKUP(WWWW[[#This Row],[Site Name]],SiteDB6[[Site Name]:[Long]],13,FALSE)</f>
        <v>97.382997575757599</v>
      </c>
      <c r="EL26" s="727" t="str">
        <f>VLOOKUP(WWWW[[#This Row],[Site Name]],SiteDB6[[Site Name]:[Pcode]],3,FALSE)</f>
        <v>MMR001CMP010</v>
      </c>
      <c r="EM26" s="732" t="str">
        <f t="shared" si="0"/>
        <v>Covered</v>
      </c>
      <c r="EN26" s="732"/>
      <c r="EO26" s="727">
        <f>VLOOKUP(WWWW[[#This Row],[Site Name]],SiteDB6[[Site Name]:[Pop
(Kachin/Shan-CCCM as of July 2021)]],16,FALSE)</f>
        <v>44</v>
      </c>
      <c r="EP26" s="727">
        <f>VLOOKUP(WWWW[[#This Row],[Site Name]],SiteDB6[[Site Name]:[Pop
(Kachin/Shan-CCCM as of July 2021)]],17,FALSE)</f>
        <v>196</v>
      </c>
    </row>
    <row r="27" spans="1:146" hidden="1">
      <c r="A27" s="725" t="s">
        <v>2763</v>
      </c>
      <c r="B27" s="725" t="s">
        <v>36</v>
      </c>
      <c r="C27" s="726" t="s">
        <v>36</v>
      </c>
      <c r="D27" s="726" t="s">
        <v>241</v>
      </c>
      <c r="E27" s="726" t="s">
        <v>37</v>
      </c>
      <c r="F27" s="726" t="s">
        <v>205</v>
      </c>
      <c r="G27" s="591" t="str">
        <f>VLOOKUP(WWWW[[#This Row],[Site Name]],SiteDB6[[Site Name]:[Location Type]],8,FALSE)</f>
        <v>Camp</v>
      </c>
      <c r="H27" s="726" t="s">
        <v>232</v>
      </c>
      <c r="I27" s="728">
        <v>70</v>
      </c>
      <c r="J27" s="728">
        <v>394</v>
      </c>
      <c r="K27" s="798">
        <v>44414</v>
      </c>
      <c r="L27" s="799">
        <v>44778</v>
      </c>
      <c r="M27" s="728"/>
      <c r="N27" s="728"/>
      <c r="O27" s="728"/>
      <c r="P27" s="728"/>
      <c r="Q27" s="731" t="s">
        <v>41</v>
      </c>
      <c r="R27" s="728">
        <v>8</v>
      </c>
      <c r="S27" s="728">
        <v>3</v>
      </c>
      <c r="T27" s="448"/>
      <c r="U27" s="728"/>
      <c r="V27" s="728"/>
      <c r="W27" s="728"/>
      <c r="X27" s="728"/>
      <c r="Y27" s="728"/>
      <c r="Z27" s="728"/>
      <c r="AA27" s="728"/>
      <c r="AB27" s="728"/>
      <c r="AC27" s="728"/>
      <c r="AD27" s="728"/>
      <c r="AE27" s="728"/>
      <c r="AF27" s="728"/>
      <c r="AG27" s="728"/>
      <c r="AH27" s="728"/>
      <c r="AI27" s="728"/>
      <c r="AJ27" s="728"/>
      <c r="AK27" s="728"/>
      <c r="AL27" s="728"/>
      <c r="AM27" s="728">
        <v>4</v>
      </c>
      <c r="AN27" s="728"/>
      <c r="AO27" s="728"/>
      <c r="AP27" s="732"/>
      <c r="AQ27" s="728">
        <v>86</v>
      </c>
      <c r="AR27" s="728"/>
      <c r="AS27" s="733"/>
      <c r="AT27" s="728"/>
      <c r="AU27" s="728"/>
      <c r="AV27" s="728"/>
      <c r="AW27" s="728"/>
      <c r="AX27" s="728"/>
      <c r="AY27" s="727" t="s">
        <v>41</v>
      </c>
      <c r="AZ27" s="732" t="s">
        <v>137</v>
      </c>
      <c r="BA27" s="728">
        <v>1</v>
      </c>
      <c r="BB27" s="728"/>
      <c r="BC27" s="728"/>
      <c r="BD27" s="448"/>
      <c r="BE27" s="448"/>
      <c r="BF27" s="727"/>
      <c r="BG27" s="728">
        <v>8</v>
      </c>
      <c r="BH27" s="728"/>
      <c r="BI27" s="728"/>
      <c r="BJ27" s="728">
        <v>3</v>
      </c>
      <c r="BK27" s="728"/>
      <c r="BL27" s="728"/>
      <c r="BM27" s="728">
        <v>2</v>
      </c>
      <c r="BN27" s="728">
        <v>91</v>
      </c>
      <c r="BO27" s="728">
        <v>124</v>
      </c>
      <c r="BP27" s="727"/>
      <c r="BQ27" s="734"/>
      <c r="BR27" s="733"/>
      <c r="BS27" s="727"/>
      <c r="BT27" s="423"/>
      <c r="BU27" s="423"/>
      <c r="BV27" s="425"/>
      <c r="BW27" s="423"/>
      <c r="BX27" s="448"/>
      <c r="BY27" s="448"/>
      <c r="BZ27" s="448"/>
      <c r="CA27" s="448"/>
      <c r="CB27" s="448"/>
      <c r="CC27" s="777"/>
      <c r="CD27" s="448"/>
      <c r="CE27" s="735" t="str">
        <f>IFERROR(WWWW[[#This Row],['#_Water sources passed]]/WWWW[[#This Row],['#_Water sources tested for fecal coliform ]],"no test")</f>
        <v>no test</v>
      </c>
      <c r="CF27" s="733" t="str">
        <f>IFERROR(WWWW[[#This Row],['#_Household passed]]/WWWW[[#This Row],['#_Household water samples tested for fecal coliform]],"no test")</f>
        <v>no test</v>
      </c>
      <c r="CG27" s="734" t="str">
        <f>IF(AND(WWWW[[#This Row],[% of water sources passed]]="no test",WWWW[[#This Row],[% Household passed]]="no test"),"No Test","Tested")</f>
        <v>No Test</v>
      </c>
      <c r="CH27" s="734">
        <f>WWWW[[#This Row],['#_Constructed/existing protected hand dug well]]-WWWW[[#This Row],['#_Non-functional protected hand dug well]]</f>
        <v>0</v>
      </c>
      <c r="CI27" s="734">
        <f>(WWWW[[#This Row],['#_Constructed/Existing tube wells/boreholes/handpumps_WASH_agency]]+WWWW[[#This Row],['#_Non-Cluster partner water tube-wells/boreholes/handpumps]])-WWWW[[#This Row],['#_Non-functional tube wells/boreholes/handpumps]]</f>
        <v>0</v>
      </c>
      <c r="CJ27" s="734">
        <f>WWWW[[#This Row],['#_Constructed/Existingwater storage tank with gravity fed reticulation system]]-WWWW[[#This Row],['#_Non-functional storage tank gravity fed reticulation system]]</f>
        <v>0</v>
      </c>
      <c r="CK27" s="734">
        <f>(WWWW[[#This Row],['#_Water_Liters_supplied_by_Water boating or water trucking]]/90)/15</f>
        <v>0</v>
      </c>
      <c r="CL27" s="734">
        <f>WWWW[[#This Row],['#_Water_Liters_from_Constructed/Existing water distribution system from river or natural spring]]/90/15</f>
        <v>0</v>
      </c>
      <c r="CM27" s="424">
        <f>IF(WWWW[[#This Row],['#_of water points in TLS/CFS]]*500&gt;WWWW[[#This Row],[Total PoP ]],WWWW[[#This Row],[Total PoP ]],WWWW[[#This Row],['#_of water points in TLS/CFS]]*500)</f>
        <v>0</v>
      </c>
      <c r="CN27" s="424">
        <f>IF(WWWW[[#This Row],['#_of water points in THF]]*500&gt;WWWW[[#This Row],[Total PoP ]],WWWW[[#This Row],[Total PoP ]],WWWW[[#This Row],['#_of water points in THF]]*500)</f>
        <v>0</v>
      </c>
      <c r="CO2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7" s="733">
        <f>IF(WWWW[[#This Row],[Location Type 1]]="Village",WWWW[[#This Row],[Access to safe drinking water for Village]],WWWW[[#This Row],[Access to safe drinking water for Camp]])</f>
        <v>0</v>
      </c>
      <c r="CR27" s="731">
        <f>WWWW[[#This Row],[%Equitable and continuous access to sufficient quantity of safe drinking water]]*WWWW[[#This Row],[Total PoP ]]</f>
        <v>0</v>
      </c>
      <c r="CS27" s="733">
        <f>IF((WWWW[[#This Row],['#_Constructed/Existing protected/fenced ponds]]*250)/WWWW[[#This Row],[Total PoP ]]&gt;1,1,(WWWW[[#This Row],['#_Constructed/Existing protected/fenced ponds]]*250)/WWWW[[#This Row],[Total PoP ]])</f>
        <v>0</v>
      </c>
      <c r="CT27" s="731">
        <f>WWWW[[#This Row],[% Access to unimproved water points]]*WWWW[[#This Row],[Total PoP ]]</f>
        <v>0</v>
      </c>
      <c r="CU2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7" s="731">
        <f>WWWW[[#This Row],[HRP1]]/500</f>
        <v>0</v>
      </c>
      <c r="CX27" s="736">
        <f>1-WWWW[[#This Row],[% Equitable and continuous access to sufficient quantity of domestic water]]</f>
        <v>1</v>
      </c>
      <c r="CY27" s="731">
        <f>WWWW[[#This Row],[%equitable and continuous access to sufficient quantity of safe drinking and domestic water''s GAP]]*WWWW[[#This Row],[Total PoP ]]</f>
        <v>394</v>
      </c>
      <c r="CZ27" s="734">
        <f>IF(WWWW[[#This Row],[Total required water points]]-WWWW[[#This Row],['#Water points coverage]]&lt;0,0,WWWW[[#This Row],[Total required water points]]-WWWW[[#This Row],['#Water points coverage]])</f>
        <v>1</v>
      </c>
      <c r="DA27" s="734">
        <f>ROUND(IF(WWWW[[#This Row],[Total PoP ]]&lt;500,1,WWWW[[#This Row],[Total PoP ]]/500),0)</f>
        <v>1</v>
      </c>
      <c r="DB27" s="734">
        <f>(WWWW[[#This Row],['#_Constructed latrines_by_WASHAgencies]]+WWWW[[#This Row],['#_Non Cluster partner latrines]])-WWWW[[#This Row],['#_Non-functional latrines]]</f>
        <v>86</v>
      </c>
      <c r="DC27" s="631">
        <f>WWWW[[#This Row],[HRP2]]/WWWW[[#This Row],[Total PoP ]]</f>
        <v>1</v>
      </c>
      <c r="DD2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394</v>
      </c>
      <c r="DE2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 s="424">
        <f>IF(WWWW[[#This Row],['# of functional latrines in THF supported by WASH partners during the reporting period2]]="",0,WWWW[[#This Row],['# of functional latrines in THF supported by WASH partners during the reporting period2]]*50)</f>
        <v>0</v>
      </c>
      <c r="DH27" s="734">
        <f>ROUND(IF(WWWW[[#This Row],[Location Type 1]]="camp",WWWW[[#This Row],[Total PoP ]]/20,IF(WWWW[[#This Row],[Location Type 1]]="Temporary Location",WWWW[[#This Row],[Total PoP ]]/50,(WWWW[[#This Row],[Total PoP ]]/6))),0)</f>
        <v>20</v>
      </c>
      <c r="DI27" s="734">
        <f>IF(WWWW[[#This Row],[Total required Latrines]]-(WWWW[[#This Row],['#_Constructed latrines_by_WASHAgencies]]+WWWW[[#This Row],['#_Non Cluster partner latrines]])&lt;0,0,WWWW[[#This Row],[Total required Latrines]]-(WWWW[[#This Row],['#_Constructed latrines_by_WASHAgencies]]+WWWW[[#This Row],['#_Non Cluster partner latrines]]))</f>
        <v>0</v>
      </c>
      <c r="DJ27" s="736">
        <f>1-WWWW[[#This Row],[% people access to functioning Latrine]]</f>
        <v>0</v>
      </c>
      <c r="DK27" s="735">
        <f>IF(OR(WWWW[[#This Row],['#_Non-functional latrines]]="",WWWW[[#This Row],['#_Non-functional latrines]]=0),0,WWWW[[#This Row],['#_Non-functional latrines]]/(WWWW[[#This Row],['#_Constructed latrines_by_WASHAgencies]]+WWWW[[#This Row],['#_Non Cluster partner latrines]]))</f>
        <v>0</v>
      </c>
      <c r="DL27" s="731">
        <f>IF(500*(WWWW[[#This Row],['#_male hygiene promoters]]+WWWW[[#This Row],['#_female hygiene promoters]])&gt;WWWW[[#This Row],[Total PoP ]],WWWW[[#This Row],[Total PoP ]],500*(WWWW[[#This Row],['#_male hygiene promoters]]+WWWW[[#This Row],['#_female hygiene promoters]]))</f>
        <v>394</v>
      </c>
      <c r="DM2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394</v>
      </c>
      <c r="DN2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27" s="734">
        <f>IF(WWWW[[#This Row],['# People with access to soap]]&gt;WWWW[[#This Row],['# People with access to Sanity Pads]],WWWW[[#This Row],['# People with access to soap]],WWWW[[#This Row],['# People with access to Sanity Pads]])</f>
        <v>394</v>
      </c>
      <c r="DP27" s="734">
        <f>IF(WWWW[[#This Row],['# people reached by regular dedicated hygiene promotion_5]]&gt;WWWW[[#This Row],['# People received regular supply of hygiene items_6]],WWWW[[#This Row],['# people reached by regular dedicated hygiene promotion_5]],WWWW[[#This Row],['# People received regular supply of hygiene items_6]])</f>
        <v>394</v>
      </c>
      <c r="DQ27" s="736">
        <f>IF(WWWW[[#This Row],[HRP3]]/WWWW[[#This Row],[Total PoP ]]&gt;1,1,WWWW[[#This Row],[HRP3]]/WWWW[[#This Row],[Total PoP ]])</f>
        <v>1</v>
      </c>
      <c r="DR27" s="735">
        <f>1-WWWW[[#This Row],[Hygiene Coverage%]]</f>
        <v>0</v>
      </c>
      <c r="DS27" s="733">
        <f>WWWW[[#This Row],['# people reached by regular dedicated hygiene promotion_5]]/WWWW[[#This Row],[Total PoP ]]</f>
        <v>1</v>
      </c>
      <c r="DT2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7" s="734">
        <f>WWWW[[#This Row],['#_Constructed/Existing hand washing stations]]-WWWW[[#This Row],['#_Non-Functional_hand_washing_stations]]</f>
        <v>8</v>
      </c>
      <c r="DW27" s="731">
        <f>IF(WWWW[[#This Row],['# Functional hand washing stations during reporting period]]*20&gt;WWWW[[#This Row],[Total HH]],WWWW[[#This Row],[Total HH]],WWWW[[#This Row],['# Functional hand washing stations during reporting period]]*20)</f>
        <v>70</v>
      </c>
      <c r="DX27" s="731">
        <f>IF(WWWW[[#This Row],[Is sufficient soap available for TLS? (Yes/No)]]="yes",WWWW[[#This Row],['#_Constructed/Existing hand washing stations at TLS/CFS/THF]],0)</f>
        <v>0</v>
      </c>
      <c r="DY27" s="428">
        <f>IF(WWWW[[#This Row],['# Functional hand washing stations during reporting period]]*100&gt;WWWW[[#This Row],[Total PoP ]],WWWW[[#This Row],[Total PoP ]],WWWW[[#This Row],['# Functional hand washing stations during reporting period]]*100)</f>
        <v>394</v>
      </c>
      <c r="DZ27" s="428" t="str">
        <f>IF(OR(WWWW[[#This Row],['#_students at TLS_CFS]]="",WWWW[[#This Row],['#_students at TLS_CFS]]=0),"No","Yes")</f>
        <v>No</v>
      </c>
      <c r="EA2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 s="727" t="str">
        <f>VLOOKUP(WWWW[[#This Row],[Site Name]],SiteDB6[[Site Name]:[CCCM Management]],6,FALSE)</f>
        <v>Yes</v>
      </c>
      <c r="EF27" s="727" t="str">
        <f>VLOOKUP(WWWW[[#This Row],[Site Name]],SiteDB6[[Site Name]:[CCCM Focal Agency]],7,FALSE)</f>
        <v>KMSS-MYT</v>
      </c>
      <c r="EG27" s="727" t="str">
        <f>VLOOKUP(WWWW[[#This Row],[Site Name]],SiteDB6[[Site Name]:[Location Type 1]],9,FALSE)</f>
        <v>Camp</v>
      </c>
      <c r="EH27" s="727" t="str">
        <f>VLOOKUP(WWWW[[#This Row],[Site Name]],SiteDB6[[Site Name]:[Type of Accommodation]],10,FALSE)</f>
        <v>Camp</v>
      </c>
      <c r="EI27" s="727" t="str">
        <f>VLOOKUP(WWWW[[#This Row],[Site Name]],SiteDB6[[Site Name]:[Ethnic or GCA/NGCA]],11,FALSE)</f>
        <v>NGCA</v>
      </c>
      <c r="EJ27" s="727">
        <f>VLOOKUP(WWWW[[#This Row],[Site Name]],SiteDB6[[Site Name]:[Lat]],12,FALSE)</f>
        <v>24.461033</v>
      </c>
      <c r="EK27" s="727">
        <f>VLOOKUP(WWWW[[#This Row],[Site Name]],SiteDB6[[Site Name]:[Long]],13,FALSE)</f>
        <v>97.537099999999995</v>
      </c>
      <c r="EL27" s="727" t="str">
        <f>VLOOKUP(WWWW[[#This Row],[Site Name]],SiteDB6[[Site Name]:[Pcode]],3,FALSE)</f>
        <v>MMR001CMP123</v>
      </c>
      <c r="EM27" s="732" t="str">
        <f t="shared" si="0"/>
        <v>Covered</v>
      </c>
      <c r="EN27" s="732"/>
      <c r="EO27" s="727">
        <f>VLOOKUP(WWWW[[#This Row],[Site Name]],SiteDB6[[Site Name]:[Pop
(Kachin/Shan-CCCM as of July 2021)]],16,FALSE)</f>
        <v>72</v>
      </c>
      <c r="EP27" s="727">
        <f>VLOOKUP(WWWW[[#This Row],[Site Name]],SiteDB6[[Site Name]:[Pop
(Kachin/Shan-CCCM as of July 2021)]],17,FALSE)</f>
        <v>404</v>
      </c>
    </row>
    <row r="28" spans="1:146" hidden="1">
      <c r="A28" s="725" t="s">
        <v>2763</v>
      </c>
      <c r="B28" s="725" t="s">
        <v>309</v>
      </c>
      <c r="C28" s="726" t="s">
        <v>309</v>
      </c>
      <c r="D28" s="726"/>
      <c r="E28" s="726" t="s">
        <v>37</v>
      </c>
      <c r="F28" s="726" t="s">
        <v>152</v>
      </c>
      <c r="G28" s="591" t="str">
        <f>VLOOKUP(WWWW[[#This Row],[Site Name]],SiteDB6[[Site Name]:[Location Type]],8,FALSE)</f>
        <v>Camp</v>
      </c>
      <c r="H28" s="726" t="s">
        <v>1546</v>
      </c>
      <c r="I28" s="728">
        <v>6</v>
      </c>
      <c r="J28" s="728">
        <v>32</v>
      </c>
      <c r="K28" s="729" t="s">
        <v>2650</v>
      </c>
      <c r="L28" s="730" t="s">
        <v>2651</v>
      </c>
      <c r="M28" s="728"/>
      <c r="N28" s="728"/>
      <c r="O28" s="728"/>
      <c r="P28" s="728"/>
      <c r="Q28" s="731"/>
      <c r="R28" s="728"/>
      <c r="S28" s="728"/>
      <c r="T28" s="448"/>
      <c r="U28" s="728"/>
      <c r="V28" s="728"/>
      <c r="W28" s="728"/>
      <c r="X28" s="728"/>
      <c r="Y28" s="728"/>
      <c r="Z28" s="728"/>
      <c r="AA28" s="728"/>
      <c r="AB28" s="728"/>
      <c r="AC28" s="728"/>
      <c r="AD28" s="728"/>
      <c r="AE28" s="728"/>
      <c r="AF28" s="728"/>
      <c r="AG28" s="728"/>
      <c r="AH28" s="728"/>
      <c r="AI28" s="728"/>
      <c r="AJ28" s="728"/>
      <c r="AK28" s="728"/>
      <c r="AL28" s="728"/>
      <c r="AM28" s="728"/>
      <c r="AN28" s="728"/>
      <c r="AO28" s="728"/>
      <c r="AP28" s="732"/>
      <c r="AQ28" s="728"/>
      <c r="AR28" s="728"/>
      <c r="AS28" s="733"/>
      <c r="AT28" s="728"/>
      <c r="AU28" s="728"/>
      <c r="AV28" s="728"/>
      <c r="AW28" s="728"/>
      <c r="AX28" s="728"/>
      <c r="AY28" s="425" t="s">
        <v>140</v>
      </c>
      <c r="AZ28" s="860" t="s">
        <v>140</v>
      </c>
      <c r="BA28" s="728"/>
      <c r="BB28" s="728"/>
      <c r="BC28" s="728"/>
      <c r="BD28" s="448"/>
      <c r="BE28" s="448"/>
      <c r="BF28" s="727"/>
      <c r="BG28" s="728">
        <v>3</v>
      </c>
      <c r="BH28" s="728"/>
      <c r="BI28" s="728"/>
      <c r="BJ28" s="728">
        <v>2</v>
      </c>
      <c r="BK28" s="728"/>
      <c r="BL28" s="728"/>
      <c r="BM28" s="728"/>
      <c r="BN28" s="728">
        <v>10</v>
      </c>
      <c r="BO28" s="728">
        <v>18</v>
      </c>
      <c r="BP28" s="727"/>
      <c r="BQ28" s="734"/>
      <c r="BR28" s="733"/>
      <c r="BS28" s="727"/>
      <c r="BT28" s="423"/>
      <c r="BU28" s="423"/>
      <c r="BV28" s="425"/>
      <c r="BW28" s="423"/>
      <c r="BX28" s="448"/>
      <c r="BY28" s="448"/>
      <c r="BZ28" s="448"/>
      <c r="CA28" s="448"/>
      <c r="CB28" s="448"/>
      <c r="CC28" s="777"/>
      <c r="CD28" s="448"/>
      <c r="CE28" s="735" t="str">
        <f>IFERROR(WWWW[[#This Row],['#_Water sources passed]]/WWWW[[#This Row],['#_Water sources tested for fecal coliform ]],"no test")</f>
        <v>no test</v>
      </c>
      <c r="CF28" s="733" t="str">
        <f>IFERROR(WWWW[[#This Row],['#_Household passed]]/WWWW[[#This Row],['#_Household water samples tested for fecal coliform]],"no test")</f>
        <v>no test</v>
      </c>
      <c r="CG28" s="734" t="str">
        <f>IF(AND(WWWW[[#This Row],[% of water sources passed]]="no test",WWWW[[#This Row],[% Household passed]]="no test"),"No Test","Tested")</f>
        <v>No Test</v>
      </c>
      <c r="CH28" s="734">
        <f>WWWW[[#This Row],['#_Constructed/existing protected hand dug well]]-WWWW[[#This Row],['#_Non-functional protected hand dug well]]</f>
        <v>0</v>
      </c>
      <c r="CI28" s="734">
        <f>(WWWW[[#This Row],['#_Constructed/Existing tube wells/boreholes/handpumps_WASH_agency]]+WWWW[[#This Row],['#_Non-Cluster partner water tube-wells/boreholes/handpumps]])-WWWW[[#This Row],['#_Non-functional tube wells/boreholes/handpumps]]</f>
        <v>0</v>
      </c>
      <c r="CJ28" s="734">
        <f>WWWW[[#This Row],['#_Constructed/Existingwater storage tank with gravity fed reticulation system]]-WWWW[[#This Row],['#_Non-functional storage tank gravity fed reticulation system]]</f>
        <v>0</v>
      </c>
      <c r="CK28" s="734">
        <f>(WWWW[[#This Row],['#_Water_Liters_supplied_by_Water boating or water trucking]]/90)/15</f>
        <v>0</v>
      </c>
      <c r="CL28" s="734">
        <f>WWWW[[#This Row],['#_Water_Liters_from_Constructed/Existing water distribution system from river or natural spring]]/90/15</f>
        <v>0</v>
      </c>
      <c r="CM28" s="424">
        <f>IF(WWWW[[#This Row],['#_of water points in TLS/CFS]]*500&gt;WWWW[[#This Row],[Total PoP ]],WWWW[[#This Row],[Total PoP ]],WWWW[[#This Row],['#_of water points in TLS/CFS]]*500)</f>
        <v>0</v>
      </c>
      <c r="CN28" s="424">
        <f>IF(WWWW[[#This Row],['#_of water points in THF]]*500&gt;WWWW[[#This Row],[Total PoP ]],WWWW[[#This Row],[Total PoP ]],WWWW[[#This Row],['#_of water points in THF]]*500)</f>
        <v>0</v>
      </c>
      <c r="CO2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8" s="733">
        <f>IF(WWWW[[#This Row],[Location Type 1]]="Village",WWWW[[#This Row],[Access to safe drinking water for Village]],WWWW[[#This Row],[Access to safe drinking water for Camp]])</f>
        <v>0</v>
      </c>
      <c r="CR28" s="731">
        <f>WWWW[[#This Row],[%Equitable and continuous access to sufficient quantity of safe drinking water]]*WWWW[[#This Row],[Total PoP ]]</f>
        <v>0</v>
      </c>
      <c r="CS28" s="733">
        <f>IF((WWWW[[#This Row],['#_Constructed/Existing protected/fenced ponds]]*250)/WWWW[[#This Row],[Total PoP ]]&gt;1,1,(WWWW[[#This Row],['#_Constructed/Existing protected/fenced ponds]]*250)/WWWW[[#This Row],[Total PoP ]])</f>
        <v>0</v>
      </c>
      <c r="CT28" s="731">
        <f>WWWW[[#This Row],[% Access to unimproved water points]]*WWWW[[#This Row],[Total PoP ]]</f>
        <v>0</v>
      </c>
      <c r="CU2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8" s="731">
        <f>WWWW[[#This Row],[HRP1]]/500</f>
        <v>0</v>
      </c>
      <c r="CX28" s="736">
        <f>1-WWWW[[#This Row],[% Equitable and continuous access to sufficient quantity of domestic water]]</f>
        <v>1</v>
      </c>
      <c r="CY28" s="731">
        <f>WWWW[[#This Row],[%equitable and continuous access to sufficient quantity of safe drinking and domestic water''s GAP]]*WWWW[[#This Row],[Total PoP ]]</f>
        <v>32</v>
      </c>
      <c r="CZ28" s="734">
        <f>IF(WWWW[[#This Row],[Total required water points]]-WWWW[[#This Row],['#Water points coverage]]&lt;0,0,WWWW[[#This Row],[Total required water points]]-WWWW[[#This Row],['#Water points coverage]])</f>
        <v>1</v>
      </c>
      <c r="DA28" s="734">
        <f>ROUND(IF(WWWW[[#This Row],[Total PoP ]]&lt;500,1,WWWW[[#This Row],[Total PoP ]]/500),0)</f>
        <v>1</v>
      </c>
      <c r="DB28" s="734">
        <f>(WWWW[[#This Row],['#_Constructed latrines_by_WASHAgencies]]+WWWW[[#This Row],['#_Non Cluster partner latrines]])-WWWW[[#This Row],['#_Non-functional latrines]]</f>
        <v>0</v>
      </c>
      <c r="DC28" s="631">
        <f>WWWW[[#This Row],[HRP2]]/WWWW[[#This Row],[Total PoP ]]</f>
        <v>0</v>
      </c>
      <c r="DD2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 s="424">
        <f>IF(WWWW[[#This Row],['# of functional latrines in THF supported by WASH partners during the reporting period2]]="",0,WWWW[[#This Row],['# of functional latrines in THF supported by WASH partners during the reporting period2]]*50)</f>
        <v>0</v>
      </c>
      <c r="DH28" s="734">
        <f>ROUND(IF(WWWW[[#This Row],[Location Type 1]]="camp",WWWW[[#This Row],[Total PoP ]]/20,IF(WWWW[[#This Row],[Location Type 1]]="Temporary Location",WWWW[[#This Row],[Total PoP ]]/50,(WWWW[[#This Row],[Total PoP ]]/6))),0)</f>
        <v>2</v>
      </c>
      <c r="DI28" s="734">
        <f>IF(WWWW[[#This Row],[Total required Latrines]]-(WWWW[[#This Row],['#_Constructed latrines_by_WASHAgencies]]+WWWW[[#This Row],['#_Non Cluster partner latrines]])&lt;0,0,WWWW[[#This Row],[Total required Latrines]]-(WWWW[[#This Row],['#_Constructed latrines_by_WASHAgencies]]+WWWW[[#This Row],['#_Non Cluster partner latrines]]))</f>
        <v>2</v>
      </c>
      <c r="DJ28" s="736">
        <f>1-WWWW[[#This Row],[% people access to functioning Latrine]]</f>
        <v>1</v>
      </c>
      <c r="DK28" s="735">
        <f>IF(OR(WWWW[[#This Row],['#_Non-functional latrines]]="",WWWW[[#This Row],['#_Non-functional latrines]]=0),0,WWWW[[#This Row],['#_Non-functional latrines]]/(WWWW[[#This Row],['#_Constructed latrines_by_WASHAgencies]]+WWWW[[#This Row],['#_Non Cluster partner latrines]]))</f>
        <v>0</v>
      </c>
      <c r="DL28" s="731">
        <f>IF(500*(WWWW[[#This Row],['#_male hygiene promoters]]+WWWW[[#This Row],['#_female hygiene promoters]])&gt;WWWW[[#This Row],[Total PoP ]],WWWW[[#This Row],[Total PoP ]],500*(WWWW[[#This Row],['#_male hygiene promoters]]+WWWW[[#This Row],['#_female hygiene promoters]]))</f>
        <v>0</v>
      </c>
      <c r="DM2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32</v>
      </c>
      <c r="DN2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28" s="734">
        <f>IF(WWWW[[#This Row],['# People with access to soap]]&gt;WWWW[[#This Row],['# People with access to Sanity Pads]],WWWW[[#This Row],['# People with access to soap]],WWWW[[#This Row],['# People with access to Sanity Pads]])</f>
        <v>32</v>
      </c>
      <c r="DP28" s="734">
        <f>IF(WWWW[[#This Row],['# people reached by regular dedicated hygiene promotion_5]]&gt;WWWW[[#This Row],['# People received regular supply of hygiene items_6]],WWWW[[#This Row],['# people reached by regular dedicated hygiene promotion_5]],WWWW[[#This Row],['# People received regular supply of hygiene items_6]])</f>
        <v>32</v>
      </c>
      <c r="DQ28" s="736">
        <f>IF(WWWW[[#This Row],[HRP3]]/WWWW[[#This Row],[Total PoP ]]&gt;1,1,WWWW[[#This Row],[HRP3]]/WWWW[[#This Row],[Total PoP ]])</f>
        <v>1</v>
      </c>
      <c r="DR28" s="735">
        <f>1-WWWW[[#This Row],[Hygiene Coverage%]]</f>
        <v>0</v>
      </c>
      <c r="DS28" s="733">
        <f>WWWW[[#This Row],['# people reached by regular dedicated hygiene promotion_5]]/WWWW[[#This Row],[Total PoP ]]</f>
        <v>0</v>
      </c>
      <c r="DT2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8" s="734">
        <f>WWWW[[#This Row],['#_Constructed/Existing hand washing stations]]-WWWW[[#This Row],['#_Non-Functional_hand_washing_stations]]</f>
        <v>3</v>
      </c>
      <c r="DW28" s="731">
        <f>IF(WWWW[[#This Row],['# Functional hand washing stations during reporting period]]*20&gt;WWWW[[#This Row],[Total HH]],WWWW[[#This Row],[Total HH]],WWWW[[#This Row],['# Functional hand washing stations during reporting period]]*20)</f>
        <v>6</v>
      </c>
      <c r="DX28" s="731">
        <f>IF(WWWW[[#This Row],[Is sufficient soap available for TLS? (Yes/No)]]="yes",WWWW[[#This Row],['#_Constructed/Existing hand washing stations at TLS/CFS/THF]],0)</f>
        <v>0</v>
      </c>
      <c r="DY28" s="428">
        <f>IF(WWWW[[#This Row],['# Functional hand washing stations during reporting period]]*100&gt;WWWW[[#This Row],[Total PoP ]],WWWW[[#This Row],[Total PoP ]],WWWW[[#This Row],['# Functional hand washing stations during reporting period]]*100)</f>
        <v>32</v>
      </c>
      <c r="DZ28" s="428" t="str">
        <f>IF(OR(WWWW[[#This Row],['#_students at TLS_CFS]]="",WWWW[[#This Row],['#_students at TLS_CFS]]=0),"No","Yes")</f>
        <v>No</v>
      </c>
      <c r="EA2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 s="727">
        <f>VLOOKUP(WWWW[[#This Row],[Site Name]],SiteDB6[[Site Name]:[CCCM Management]],6,FALSE)</f>
        <v>0</v>
      </c>
      <c r="EF28" s="727" t="str">
        <f>VLOOKUP(WWWW[[#This Row],[Site Name]],SiteDB6[[Site Name]:[CCCM Focal Agency]],7,FALSE)</f>
        <v>uncovered</v>
      </c>
      <c r="EG28" s="727" t="str">
        <f>VLOOKUP(WWWW[[#This Row],[Site Name]],SiteDB6[[Site Name]:[Location Type 1]],9,FALSE)</f>
        <v>Camp</v>
      </c>
      <c r="EH28" s="727" t="str">
        <f>VLOOKUP(WWWW[[#This Row],[Site Name]],SiteDB6[[Site Name]:[Type of Accommodation]],10,FALSE)</f>
        <v>Camp like setting</v>
      </c>
      <c r="EI28" s="727" t="str">
        <f>VLOOKUP(WWWW[[#This Row],[Site Name]],SiteDB6[[Site Name]:[Ethnic or GCA/NGCA]],11,FALSE)</f>
        <v>GCA</v>
      </c>
      <c r="EJ28" s="727">
        <f>VLOOKUP(WWWW[[#This Row],[Site Name]],SiteDB6[[Site Name]:[Lat]],12,FALSE)</f>
        <v>25.30274</v>
      </c>
      <c r="EK28" s="727">
        <f>VLOOKUP(WWWW[[#This Row],[Site Name]],SiteDB6[[Site Name]:[Long]],13,FALSE)</f>
        <v>96.940380000000005</v>
      </c>
      <c r="EL28" s="727" t="str">
        <f>VLOOKUP(WWWW[[#This Row],[Site Name]],SiteDB6[[Site Name]:[Pcode]],3,FALSE)</f>
        <v>MMR001CMP262</v>
      </c>
      <c r="EM28" s="732" t="str">
        <f t="shared" si="0"/>
        <v>Notcovered</v>
      </c>
      <c r="EN28" s="732"/>
      <c r="EO28" s="727">
        <f>VLOOKUP(WWWW[[#This Row],[Site Name]],SiteDB6[[Site Name]:[Pop
(Kachin/Shan-CCCM as of July 2021)]],16,FALSE)</f>
        <v>5</v>
      </c>
      <c r="EP28" s="727">
        <f>VLOOKUP(WWWW[[#This Row],[Site Name]],SiteDB6[[Site Name]:[Pop
(Kachin/Shan-CCCM as of July 2021)]],17,FALSE)</f>
        <v>32</v>
      </c>
    </row>
    <row r="29" spans="1:146" hidden="1">
      <c r="A29" s="725" t="s">
        <v>2763</v>
      </c>
      <c r="B29" s="725" t="s">
        <v>309</v>
      </c>
      <c r="C29" s="726" t="s">
        <v>309</v>
      </c>
      <c r="D29" s="726"/>
      <c r="E29" s="726" t="s">
        <v>37</v>
      </c>
      <c r="F29" s="726" t="s">
        <v>184</v>
      </c>
      <c r="G29" s="591" t="str">
        <f>VLOOKUP(WWWW[[#This Row],[Site Name]],SiteDB6[[Site Name]:[Location Type]],8,FALSE)</f>
        <v>Camp</v>
      </c>
      <c r="H29" s="726" t="s">
        <v>2114</v>
      </c>
      <c r="I29" s="728">
        <v>31</v>
      </c>
      <c r="J29" s="728">
        <v>171</v>
      </c>
      <c r="K29" s="729" t="s">
        <v>2650</v>
      </c>
      <c r="L29" s="730" t="s">
        <v>2651</v>
      </c>
      <c r="M29" s="728"/>
      <c r="N29" s="728"/>
      <c r="O29" s="728"/>
      <c r="P29" s="728"/>
      <c r="Q29" s="731"/>
      <c r="R29" s="728"/>
      <c r="S29" s="728">
        <v>4</v>
      </c>
      <c r="T29" s="448"/>
      <c r="U29" s="728"/>
      <c r="V29" s="728"/>
      <c r="W29" s="728"/>
      <c r="X29" s="728"/>
      <c r="Y29" s="728"/>
      <c r="Z29" s="728"/>
      <c r="AA29" s="728"/>
      <c r="AB29" s="728"/>
      <c r="AC29" s="728"/>
      <c r="AD29" s="728"/>
      <c r="AE29" s="728"/>
      <c r="AF29" s="728"/>
      <c r="AG29" s="728"/>
      <c r="AH29" s="728"/>
      <c r="AI29" s="728"/>
      <c r="AJ29" s="728"/>
      <c r="AK29" s="728"/>
      <c r="AL29" s="728"/>
      <c r="AM29" s="728"/>
      <c r="AN29" s="728"/>
      <c r="AO29" s="728"/>
      <c r="AP29" s="732"/>
      <c r="AQ29" s="728"/>
      <c r="AR29" s="728"/>
      <c r="AS29" s="733"/>
      <c r="AT29" s="728"/>
      <c r="AU29" s="728"/>
      <c r="AV29" s="728"/>
      <c r="AW29" s="728"/>
      <c r="AX29" s="728"/>
      <c r="AY29" s="425" t="s">
        <v>140</v>
      </c>
      <c r="AZ29" s="860" t="s">
        <v>140</v>
      </c>
      <c r="BA29" s="728"/>
      <c r="BB29" s="728"/>
      <c r="BC29" s="728"/>
      <c r="BD29" s="448"/>
      <c r="BE29" s="448"/>
      <c r="BF29" s="727"/>
      <c r="BG29" s="728">
        <v>1</v>
      </c>
      <c r="BH29" s="728"/>
      <c r="BI29" s="728"/>
      <c r="BJ29" s="728">
        <v>1</v>
      </c>
      <c r="BK29" s="728"/>
      <c r="BL29" s="728"/>
      <c r="BM29" s="728"/>
      <c r="BN29" s="728">
        <v>6</v>
      </c>
      <c r="BO29" s="728">
        <v>5</v>
      </c>
      <c r="BP29" s="727"/>
      <c r="BQ29" s="734"/>
      <c r="BR29" s="733"/>
      <c r="BS29" s="727"/>
      <c r="BT29" s="423"/>
      <c r="BU29" s="423"/>
      <c r="BV29" s="425"/>
      <c r="BW29" s="423"/>
      <c r="BX29" s="448"/>
      <c r="BY29" s="448"/>
      <c r="BZ29" s="448"/>
      <c r="CA29" s="448"/>
      <c r="CB29" s="448"/>
      <c r="CC29" s="777"/>
      <c r="CD29" s="448"/>
      <c r="CE29" s="735" t="str">
        <f>IFERROR(WWWW[[#This Row],['#_Water sources passed]]/WWWW[[#This Row],['#_Water sources tested for fecal coliform ]],"no test")</f>
        <v>no test</v>
      </c>
      <c r="CF29" s="733" t="str">
        <f>IFERROR(WWWW[[#This Row],['#_Household passed]]/WWWW[[#This Row],['#_Household water samples tested for fecal coliform]],"no test")</f>
        <v>no test</v>
      </c>
      <c r="CG29" s="734" t="str">
        <f>IF(AND(WWWW[[#This Row],[% of water sources passed]]="no test",WWWW[[#This Row],[% Household passed]]="no test"),"No Test","Tested")</f>
        <v>No Test</v>
      </c>
      <c r="CH29" s="734">
        <f>WWWW[[#This Row],['#_Constructed/existing protected hand dug well]]-WWWW[[#This Row],['#_Non-functional protected hand dug well]]</f>
        <v>0</v>
      </c>
      <c r="CI29" s="734">
        <f>(WWWW[[#This Row],['#_Constructed/Existing tube wells/boreholes/handpumps_WASH_agency]]+WWWW[[#This Row],['#_Non-Cluster partner water tube-wells/boreholes/handpumps]])-WWWW[[#This Row],['#_Non-functional tube wells/boreholes/handpumps]]</f>
        <v>0</v>
      </c>
      <c r="CJ29" s="734">
        <f>WWWW[[#This Row],['#_Constructed/Existingwater storage tank with gravity fed reticulation system]]-WWWW[[#This Row],['#_Non-functional storage tank gravity fed reticulation system]]</f>
        <v>0</v>
      </c>
      <c r="CK29" s="734">
        <f>(WWWW[[#This Row],['#_Water_Liters_supplied_by_Water boating or water trucking]]/90)/15</f>
        <v>0</v>
      </c>
      <c r="CL29" s="734">
        <f>WWWW[[#This Row],['#_Water_Liters_from_Constructed/Existing water distribution system from river or natural spring]]/90/15</f>
        <v>0</v>
      </c>
      <c r="CM29" s="424">
        <f>IF(WWWW[[#This Row],['#_of water points in TLS/CFS]]*500&gt;WWWW[[#This Row],[Total PoP ]],WWWW[[#This Row],[Total PoP ]],WWWW[[#This Row],['#_of water points in TLS/CFS]]*500)</f>
        <v>0</v>
      </c>
      <c r="CN29" s="424">
        <f>IF(WWWW[[#This Row],['#_of water points in THF]]*500&gt;WWWW[[#This Row],[Total PoP ]],WWWW[[#This Row],[Total PoP ]],WWWW[[#This Row],['#_of water points in THF]]*500)</f>
        <v>0</v>
      </c>
      <c r="CO2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9" s="733">
        <f>IF(WWWW[[#This Row],[Location Type 1]]="Village",WWWW[[#This Row],[Access to safe drinking water for Village]],WWWW[[#This Row],[Access to safe drinking water for Camp]])</f>
        <v>0</v>
      </c>
      <c r="CR29" s="731">
        <f>WWWW[[#This Row],[%Equitable and continuous access to sufficient quantity of safe drinking water]]*WWWW[[#This Row],[Total PoP ]]</f>
        <v>0</v>
      </c>
      <c r="CS29" s="733">
        <f>IF((WWWW[[#This Row],['#_Constructed/Existing protected/fenced ponds]]*250)/WWWW[[#This Row],[Total PoP ]]&gt;1,1,(WWWW[[#This Row],['#_Constructed/Existing protected/fenced ponds]]*250)/WWWW[[#This Row],[Total PoP ]])</f>
        <v>0</v>
      </c>
      <c r="CT29" s="731">
        <f>WWWW[[#This Row],[% Access to unimproved water points]]*WWWW[[#This Row],[Total PoP ]]</f>
        <v>0</v>
      </c>
      <c r="CU2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9" s="731">
        <f>WWWW[[#This Row],[HRP1]]/500</f>
        <v>0</v>
      </c>
      <c r="CX29" s="736">
        <f>1-WWWW[[#This Row],[% Equitable and continuous access to sufficient quantity of domestic water]]</f>
        <v>1</v>
      </c>
      <c r="CY29" s="731">
        <f>WWWW[[#This Row],[%equitable and continuous access to sufficient quantity of safe drinking and domestic water''s GAP]]*WWWW[[#This Row],[Total PoP ]]</f>
        <v>171</v>
      </c>
      <c r="CZ29" s="734">
        <f>IF(WWWW[[#This Row],[Total required water points]]-WWWW[[#This Row],['#Water points coverage]]&lt;0,0,WWWW[[#This Row],[Total required water points]]-WWWW[[#This Row],['#Water points coverage]])</f>
        <v>1</v>
      </c>
      <c r="DA29" s="734">
        <f>ROUND(IF(WWWW[[#This Row],[Total PoP ]]&lt;500,1,WWWW[[#This Row],[Total PoP ]]/500),0)</f>
        <v>1</v>
      </c>
      <c r="DB29" s="734">
        <f>(WWWW[[#This Row],['#_Constructed latrines_by_WASHAgencies]]+WWWW[[#This Row],['#_Non Cluster partner latrines]])-WWWW[[#This Row],['#_Non-functional latrines]]</f>
        <v>0</v>
      </c>
      <c r="DC29" s="631">
        <f>WWWW[[#This Row],[HRP2]]/WWWW[[#This Row],[Total PoP ]]</f>
        <v>0</v>
      </c>
      <c r="DD2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 s="424">
        <f>IF(WWWW[[#This Row],['# of functional latrines in THF supported by WASH partners during the reporting period2]]="",0,WWWW[[#This Row],['# of functional latrines in THF supported by WASH partners during the reporting period2]]*50)</f>
        <v>0</v>
      </c>
      <c r="DH29" s="734">
        <f>ROUND(IF(WWWW[[#This Row],[Location Type 1]]="camp",WWWW[[#This Row],[Total PoP ]]/20,IF(WWWW[[#This Row],[Location Type 1]]="Temporary Location",WWWW[[#This Row],[Total PoP ]]/50,(WWWW[[#This Row],[Total PoP ]]/6))),0)</f>
        <v>9</v>
      </c>
      <c r="DI29" s="734">
        <f>IF(WWWW[[#This Row],[Total required Latrines]]-(WWWW[[#This Row],['#_Constructed latrines_by_WASHAgencies]]+WWWW[[#This Row],['#_Non Cluster partner latrines]])&lt;0,0,WWWW[[#This Row],[Total required Latrines]]-(WWWW[[#This Row],['#_Constructed latrines_by_WASHAgencies]]+WWWW[[#This Row],['#_Non Cluster partner latrines]]))</f>
        <v>9</v>
      </c>
      <c r="DJ29" s="736">
        <f>1-WWWW[[#This Row],[% people access to functioning Latrine]]</f>
        <v>1</v>
      </c>
      <c r="DK29" s="735">
        <f>IF(OR(WWWW[[#This Row],['#_Non-functional latrines]]="",WWWW[[#This Row],['#_Non-functional latrines]]=0),0,WWWW[[#This Row],['#_Non-functional latrines]]/(WWWW[[#This Row],['#_Constructed latrines_by_WASHAgencies]]+WWWW[[#This Row],['#_Non Cluster partner latrines]]))</f>
        <v>0</v>
      </c>
      <c r="DL29" s="731">
        <f>IF(500*(WWWW[[#This Row],['#_male hygiene promoters]]+WWWW[[#This Row],['#_female hygiene promoters]])&gt;WWWW[[#This Row],[Total PoP ]],WWWW[[#This Row],[Total PoP ]],500*(WWWW[[#This Row],['#_male hygiene promoters]]+WWWW[[#This Row],['#_female hygiene promoters]]))</f>
        <v>0</v>
      </c>
      <c r="DM2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2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29" s="734">
        <f>IF(WWWW[[#This Row],['# People with access to soap]]&gt;WWWW[[#This Row],['# People with access to Sanity Pads]],WWWW[[#This Row],['# People with access to soap]],WWWW[[#This Row],['# People with access to Sanity Pads]])</f>
        <v>30</v>
      </c>
      <c r="DP29" s="734">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29" s="736">
        <f>IF(WWWW[[#This Row],[HRP3]]/WWWW[[#This Row],[Total PoP ]]&gt;1,1,WWWW[[#This Row],[HRP3]]/WWWW[[#This Row],[Total PoP ]])</f>
        <v>0.17543859649122806</v>
      </c>
      <c r="DR29" s="735">
        <f>1-WWWW[[#This Row],[Hygiene Coverage%]]</f>
        <v>0.82456140350877194</v>
      </c>
      <c r="DS29" s="733">
        <f>WWWW[[#This Row],['# people reached by regular dedicated hygiene promotion_5]]/WWWW[[#This Row],[Total PoP ]]</f>
        <v>0</v>
      </c>
      <c r="DT2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0.77419354838709675</v>
      </c>
      <c r="DU2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0.16129032258064516</v>
      </c>
      <c r="DV29" s="734">
        <f>WWWW[[#This Row],['#_Constructed/Existing hand washing stations]]-WWWW[[#This Row],['#_Non-Functional_hand_washing_stations]]</f>
        <v>1</v>
      </c>
      <c r="DW29" s="731">
        <f>IF(WWWW[[#This Row],['# Functional hand washing stations during reporting period]]*20&gt;WWWW[[#This Row],[Total HH]],WWWW[[#This Row],[Total HH]],WWWW[[#This Row],['# Functional hand washing stations during reporting period]]*20)</f>
        <v>20</v>
      </c>
      <c r="DX29" s="731">
        <f>IF(WWWW[[#This Row],[Is sufficient soap available for TLS? (Yes/No)]]="yes",WWWW[[#This Row],['#_Constructed/Existing hand washing stations at TLS/CFS/THF]],0)</f>
        <v>0</v>
      </c>
      <c r="DY29" s="428">
        <f>IF(WWWW[[#This Row],['# Functional hand washing stations during reporting period]]*100&gt;WWWW[[#This Row],[Total PoP ]],WWWW[[#This Row],[Total PoP ]],WWWW[[#This Row],['# Functional hand washing stations during reporting period]]*100)</f>
        <v>100</v>
      </c>
      <c r="DZ29" s="428" t="str">
        <f>IF(OR(WWWW[[#This Row],['#_students at TLS_CFS]]="",WWWW[[#This Row],['#_students at TLS_CFS]]=0),"No","Yes")</f>
        <v>No</v>
      </c>
      <c r="EA2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 s="727">
        <f>VLOOKUP(WWWW[[#This Row],[Site Name]],SiteDB6[[Site Name]:[CCCM Management]],6,FALSE)</f>
        <v>0</v>
      </c>
      <c r="EF29" s="727" t="str">
        <f>VLOOKUP(WWWW[[#This Row],[Site Name]],SiteDB6[[Site Name]:[CCCM Focal Agency]],7,FALSE)</f>
        <v>uncovered</v>
      </c>
      <c r="EG29" s="727" t="str">
        <f>VLOOKUP(WWWW[[#This Row],[Site Name]],SiteDB6[[Site Name]:[Location Type 1]],9,FALSE)</f>
        <v>Camp</v>
      </c>
      <c r="EH29" s="727" t="str">
        <f>VLOOKUP(WWWW[[#This Row],[Site Name]],SiteDB6[[Site Name]:[Type of Accommodation]],10,FALSE)</f>
        <v>Camp like setting</v>
      </c>
      <c r="EI29" s="727" t="str">
        <f>VLOOKUP(WWWW[[#This Row],[Site Name]],SiteDB6[[Site Name]:[Ethnic or GCA/NGCA]],11,FALSE)</f>
        <v>GCA</v>
      </c>
      <c r="EJ29" s="727">
        <f>VLOOKUP(WWWW[[#This Row],[Site Name]],SiteDB6[[Site Name]:[Lat]],12,FALSE)</f>
        <v>26.299828999999999</v>
      </c>
      <c r="EK29" s="727">
        <f>VLOOKUP(WWWW[[#This Row],[Site Name]],SiteDB6[[Site Name]:[Long]],13,FALSE)</f>
        <v>97.487258999999995</v>
      </c>
      <c r="EL29" s="727" t="str">
        <f>VLOOKUP(WWWW[[#This Row],[Site Name]],SiteDB6[[Site Name]:[Pcode]],3,FALSE)</f>
        <v>MMR001CMP272</v>
      </c>
      <c r="EM29" s="732" t="str">
        <f t="shared" si="0"/>
        <v>Notcovered</v>
      </c>
      <c r="EN29" s="732"/>
      <c r="EO29" s="727">
        <f>VLOOKUP(WWWW[[#This Row],[Site Name]],SiteDB6[[Site Name]:[Pop
(Kachin/Shan-CCCM as of July 2021)]],16,FALSE)</f>
        <v>31</v>
      </c>
      <c r="EP29" s="727">
        <f>VLOOKUP(WWWW[[#This Row],[Site Name]],SiteDB6[[Site Name]:[Pop
(Kachin/Shan-CCCM as of July 2021)]],17,FALSE)</f>
        <v>171</v>
      </c>
    </row>
    <row r="30" spans="1:146" ht="91" hidden="1">
      <c r="A30" s="725" t="s">
        <v>2763</v>
      </c>
      <c r="B30" s="725" t="s">
        <v>2675</v>
      </c>
      <c r="C30" s="726" t="s">
        <v>2675</v>
      </c>
      <c r="D30" s="726" t="s">
        <v>2686</v>
      </c>
      <c r="E30" s="726" t="s">
        <v>37</v>
      </c>
      <c r="F30" s="726" t="s">
        <v>142</v>
      </c>
      <c r="G30" s="591" t="str">
        <f>VLOOKUP(WWWW[[#This Row],[Site Name]],SiteDB6[[Site Name]:[Location Type]],8,FALSE)</f>
        <v>Camp</v>
      </c>
      <c r="H30" s="726" t="s">
        <v>771</v>
      </c>
      <c r="I30" s="728">
        <v>62</v>
      </c>
      <c r="J30" s="728">
        <v>410</v>
      </c>
      <c r="K30" s="729">
        <v>44197</v>
      </c>
      <c r="L30" s="730">
        <v>44561</v>
      </c>
      <c r="M30" s="728"/>
      <c r="N30" s="728"/>
      <c r="O30" s="728"/>
      <c r="P30" s="728"/>
      <c r="Q30" s="731" t="s">
        <v>41</v>
      </c>
      <c r="R30" s="728">
        <v>3</v>
      </c>
      <c r="S30" s="728">
        <v>2</v>
      </c>
      <c r="T30" s="448"/>
      <c r="U30" s="728"/>
      <c r="V30" s="728"/>
      <c r="W30" s="728">
        <v>2</v>
      </c>
      <c r="X30" s="728"/>
      <c r="Y30" s="728">
        <v>1</v>
      </c>
      <c r="Z30" s="728"/>
      <c r="AA30" s="728"/>
      <c r="AB30" s="728"/>
      <c r="AC30" s="728"/>
      <c r="AD30" s="728"/>
      <c r="AE30" s="728"/>
      <c r="AF30" s="728"/>
      <c r="AG30" s="728"/>
      <c r="AH30" s="728">
        <v>1</v>
      </c>
      <c r="AI30" s="728"/>
      <c r="AJ30" s="728"/>
      <c r="AK30" s="728"/>
      <c r="AL30" s="728"/>
      <c r="AM30" s="728"/>
      <c r="AN30" s="728"/>
      <c r="AO30" s="728"/>
      <c r="AP30" s="738" t="s">
        <v>2718</v>
      </c>
      <c r="AQ30" s="728">
        <v>59</v>
      </c>
      <c r="AR30" s="728"/>
      <c r="AS30" s="733"/>
      <c r="AT30" s="728">
        <v>6</v>
      </c>
      <c r="AU30" s="728"/>
      <c r="AV30" s="728"/>
      <c r="AW30" s="728"/>
      <c r="AX30" s="728">
        <v>3</v>
      </c>
      <c r="AY30" s="727" t="s">
        <v>41</v>
      </c>
      <c r="AZ30" s="732" t="s">
        <v>904</v>
      </c>
      <c r="BA30" s="728"/>
      <c r="BB30" s="728"/>
      <c r="BC30" s="728"/>
      <c r="BD30" s="448"/>
      <c r="BE30" s="448"/>
      <c r="BF30" s="739" t="s">
        <v>2687</v>
      </c>
      <c r="BG30" s="728">
        <v>1</v>
      </c>
      <c r="BH30" s="728"/>
      <c r="BI30" s="728"/>
      <c r="BJ30" s="728">
        <v>3</v>
      </c>
      <c r="BK30" s="728">
        <v>2</v>
      </c>
      <c r="BL30" s="728"/>
      <c r="BM30" s="728"/>
      <c r="BN30" s="728">
        <v>41</v>
      </c>
      <c r="BO30" s="728">
        <v>85</v>
      </c>
      <c r="BP30" s="727"/>
      <c r="BQ30" s="734"/>
      <c r="BR30" s="733"/>
      <c r="BS30" s="727"/>
      <c r="BT30" s="423"/>
      <c r="BU30" s="423"/>
      <c r="BV30" s="425"/>
      <c r="BW30" s="423"/>
      <c r="BX30" s="448"/>
      <c r="BY30" s="448"/>
      <c r="BZ30" s="448"/>
      <c r="CA30" s="448"/>
      <c r="CB30" s="448"/>
      <c r="CC30" s="777"/>
      <c r="CD30" s="448"/>
      <c r="CE30" s="735" t="str">
        <f>IFERROR(WWWW[[#This Row],['#_Water sources passed]]/WWWW[[#This Row],['#_Water sources tested for fecal coliform ]],"no test")</f>
        <v>no test</v>
      </c>
      <c r="CF30" s="733" t="str">
        <f>IFERROR(WWWW[[#This Row],['#_Household passed]]/WWWW[[#This Row],['#_Household water samples tested for fecal coliform]],"no test")</f>
        <v>no test</v>
      </c>
      <c r="CG30" s="734" t="str">
        <f>IF(AND(WWWW[[#This Row],[% of water sources passed]]="no test",WWWW[[#This Row],[% Household passed]]="no test"),"No Test","Tested")</f>
        <v>No Test</v>
      </c>
      <c r="CH30" s="734">
        <f>WWWW[[#This Row],['#_Constructed/existing protected hand dug well]]-WWWW[[#This Row],['#_Non-functional protected hand dug well]]</f>
        <v>0</v>
      </c>
      <c r="CI30" s="734">
        <f>(WWWW[[#This Row],['#_Constructed/Existing tube wells/boreholes/handpumps_WASH_agency]]+WWWW[[#This Row],['#_Non-Cluster partner water tube-wells/boreholes/handpumps]])-WWWW[[#This Row],['#_Non-functional tube wells/boreholes/handpumps]]</f>
        <v>1</v>
      </c>
      <c r="CJ30" s="734">
        <f>WWWW[[#This Row],['#_Constructed/Existingwater storage tank with gravity fed reticulation system]]-WWWW[[#This Row],['#_Non-functional storage tank gravity fed reticulation system]]</f>
        <v>0</v>
      </c>
      <c r="CK30" s="734">
        <f>(WWWW[[#This Row],['#_Water_Liters_supplied_by_Water boating or water trucking]]/90)/15</f>
        <v>0</v>
      </c>
      <c r="CL30" s="734">
        <f>WWWW[[#This Row],['#_Water_Liters_from_Constructed/Existing water distribution system from river or natural spring]]/90/15</f>
        <v>0</v>
      </c>
      <c r="CM30" s="424">
        <f>IF(WWWW[[#This Row],['#_of water points in TLS/CFS]]*500&gt;WWWW[[#This Row],[Total PoP ]],WWWW[[#This Row],[Total PoP ]],WWWW[[#This Row],['#_of water points in TLS/CFS]]*500)</f>
        <v>0</v>
      </c>
      <c r="CN30" s="424">
        <f>IF(WWWW[[#This Row],['#_of water points in THF]]*500&gt;WWWW[[#This Row],[Total PoP ]],WWWW[[#This Row],[Total PoP ]],WWWW[[#This Row],['#_of water points in THF]]*500)</f>
        <v>0</v>
      </c>
      <c r="CO3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0.6097560975609756</v>
      </c>
      <c r="CQ30" s="733">
        <f>IF(WWWW[[#This Row],[Location Type 1]]="Village",WWWW[[#This Row],[Access to safe drinking water for Village]],WWWW[[#This Row],[Access to safe drinking water for Camp]])</f>
        <v>1</v>
      </c>
      <c r="CR30" s="731">
        <f>WWWW[[#This Row],[%Equitable and continuous access to sufficient quantity of safe drinking water]]*WWWW[[#This Row],[Total PoP ]]</f>
        <v>410</v>
      </c>
      <c r="CS30" s="733">
        <f>IF((WWWW[[#This Row],['#_Constructed/Existing protected/fenced ponds]]*250)/WWWW[[#This Row],[Total PoP ]]&gt;1,1,(WWWW[[#This Row],['#_Constructed/Existing protected/fenced ponds]]*250)/WWWW[[#This Row],[Total PoP ]])</f>
        <v>0</v>
      </c>
      <c r="CT30" s="731">
        <f>WWWW[[#This Row],[% Access to unimproved water points]]*WWWW[[#This Row],[Total PoP ]]</f>
        <v>0</v>
      </c>
      <c r="CU3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410</v>
      </c>
      <c r="CW30" s="731">
        <f>WWWW[[#This Row],[HRP1]]/500</f>
        <v>0.82</v>
      </c>
      <c r="CX30" s="736">
        <f>1-WWWW[[#This Row],[% Equitable and continuous access to sufficient quantity of domestic water]]</f>
        <v>0</v>
      </c>
      <c r="CY30" s="731">
        <f>WWWW[[#This Row],[%equitable and continuous access to sufficient quantity of safe drinking and domestic water''s GAP]]*WWWW[[#This Row],[Total PoP ]]</f>
        <v>0</v>
      </c>
      <c r="CZ30" s="734">
        <f>IF(WWWW[[#This Row],[Total required water points]]-WWWW[[#This Row],['#Water points coverage]]&lt;0,0,WWWW[[#This Row],[Total required water points]]-WWWW[[#This Row],['#Water points coverage]])</f>
        <v>0.18000000000000005</v>
      </c>
      <c r="DA30" s="734">
        <f>ROUND(IF(WWWW[[#This Row],[Total PoP ]]&lt;500,1,WWWW[[#This Row],[Total PoP ]]/500),0)</f>
        <v>1</v>
      </c>
      <c r="DB30" s="734">
        <f>(WWWW[[#This Row],['#_Constructed latrines_by_WASHAgencies]]+WWWW[[#This Row],['#_Non Cluster partner latrines]])-WWWW[[#This Row],['#_Non-functional latrines]]</f>
        <v>53</v>
      </c>
      <c r="DC30" s="631">
        <f>WWWW[[#This Row],[HRP2]]/WWWW[[#This Row],[Total PoP ]]</f>
        <v>1</v>
      </c>
      <c r="DD3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410</v>
      </c>
      <c r="DE3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 s="424">
        <f>IF(WWWW[[#This Row],['# of functional latrines in THF supported by WASH partners during the reporting period2]]="",0,WWWW[[#This Row],['# of functional latrines in THF supported by WASH partners during the reporting period2]]*50)</f>
        <v>0</v>
      </c>
      <c r="DH30" s="734">
        <f>ROUND(IF(WWWW[[#This Row],[Location Type 1]]="camp",WWWW[[#This Row],[Total PoP ]]/20,IF(WWWW[[#This Row],[Location Type 1]]="Temporary Location",WWWW[[#This Row],[Total PoP ]]/50,(WWWW[[#This Row],[Total PoP ]]/6))),0)</f>
        <v>21</v>
      </c>
      <c r="DI30" s="734">
        <f>IF(WWWW[[#This Row],[Total required Latrines]]-(WWWW[[#This Row],['#_Constructed latrines_by_WASHAgencies]]+WWWW[[#This Row],['#_Non Cluster partner latrines]])&lt;0,0,WWWW[[#This Row],[Total required Latrines]]-(WWWW[[#This Row],['#_Constructed latrines_by_WASHAgencies]]+WWWW[[#This Row],['#_Non Cluster partner latrines]]))</f>
        <v>0</v>
      </c>
      <c r="DJ30" s="736">
        <f>1-WWWW[[#This Row],[% people access to functioning Latrine]]</f>
        <v>0</v>
      </c>
      <c r="DK30" s="735">
        <f>IF(OR(WWWW[[#This Row],['#_Non-functional latrines]]="",WWWW[[#This Row],['#_Non-functional latrines]]=0),0,WWWW[[#This Row],['#_Non-functional latrines]]/(WWWW[[#This Row],['#_Constructed latrines_by_WASHAgencies]]+WWWW[[#This Row],['#_Non Cluster partner latrines]]))</f>
        <v>0.10169491525423729</v>
      </c>
      <c r="DL30" s="731">
        <f>IF(500*(WWWW[[#This Row],['#_male hygiene promoters]]+WWWW[[#This Row],['#_female hygiene promoters]])&gt;WWWW[[#This Row],[Total PoP ]],WWWW[[#This Row],[Total PoP ]],500*(WWWW[[#This Row],['#_male hygiene promoters]]+WWWW[[#This Row],['#_female hygiene promoters]]))</f>
        <v>0</v>
      </c>
      <c r="DM3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3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30" s="734">
        <f>IF(WWWW[[#This Row],['# People with access to soap]]&gt;WWWW[[#This Row],['# People with access to Sanity Pads]],WWWW[[#This Row],['# People with access to soap]],WWWW[[#This Row],['# People with access to Sanity Pads]])</f>
        <v>205</v>
      </c>
      <c r="DP30" s="734">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30" s="736">
        <f>IF(WWWW[[#This Row],[HRP3]]/WWWW[[#This Row],[Total PoP ]]&gt;1,1,WWWW[[#This Row],[HRP3]]/WWWW[[#This Row],[Total PoP ]])</f>
        <v>0.5</v>
      </c>
      <c r="DR30" s="735">
        <f>1-WWWW[[#This Row],[Hygiene Coverage%]]</f>
        <v>0.5</v>
      </c>
      <c r="DS30" s="733">
        <f>WWWW[[#This Row],['# people reached by regular dedicated hygiene promotion_5]]/WWWW[[#This Row],[Total PoP ]]</f>
        <v>0</v>
      </c>
      <c r="DT3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0" s="734">
        <f>WWWW[[#This Row],['#_Constructed/Existing hand washing stations]]-WWWW[[#This Row],['#_Non-Functional_hand_washing_stations]]</f>
        <v>1</v>
      </c>
      <c r="DW30" s="731">
        <f>IF(WWWW[[#This Row],['# Functional hand washing stations during reporting period]]*20&gt;WWWW[[#This Row],[Total HH]],WWWW[[#This Row],[Total HH]],WWWW[[#This Row],['# Functional hand washing stations during reporting period]]*20)</f>
        <v>20</v>
      </c>
      <c r="DX30" s="731">
        <f>IF(WWWW[[#This Row],[Is sufficient soap available for TLS? (Yes/No)]]="yes",WWWW[[#This Row],['#_Constructed/Existing hand washing stations at TLS/CFS/THF]],0)</f>
        <v>0</v>
      </c>
      <c r="DY30" s="428">
        <f>IF(WWWW[[#This Row],['# Functional hand washing stations during reporting period]]*100&gt;WWWW[[#This Row],[Total PoP ]],WWWW[[#This Row],[Total PoP ]],WWWW[[#This Row],['# Functional hand washing stations during reporting period]]*100)</f>
        <v>100</v>
      </c>
      <c r="DZ30" s="428" t="str">
        <f>IF(OR(WWWW[[#This Row],['#_students at TLS_CFS]]="",WWWW[[#This Row],['#_students at TLS_CFS]]=0),"No","Yes")</f>
        <v>No</v>
      </c>
      <c r="EA3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 s="727">
        <f>VLOOKUP(WWWW[[#This Row],[Site Name]],SiteDB6[[Site Name]:[CCCM Management]],6,FALSE)</f>
        <v>0</v>
      </c>
      <c r="EF30" s="727" t="str">
        <f>VLOOKUP(WWWW[[#This Row],[Site Name]],SiteDB6[[Site Name]:[CCCM Focal Agency]],7,FALSE)</f>
        <v>uncovered</v>
      </c>
      <c r="EG30" s="727" t="str">
        <f>VLOOKUP(WWWW[[#This Row],[Site Name]],SiteDB6[[Site Name]:[Location Type 1]],9,FALSE)</f>
        <v>Camp</v>
      </c>
      <c r="EH30" s="727" t="str">
        <f>VLOOKUP(WWWW[[#This Row],[Site Name]],SiteDB6[[Site Name]:[Type of Accommodation]],10,FALSE)</f>
        <v>Camp like setting</v>
      </c>
      <c r="EI30" s="727" t="str">
        <f>VLOOKUP(WWWW[[#This Row],[Site Name]],SiteDB6[[Site Name]:[Ethnic or GCA/NGCA]],11,FALSE)</f>
        <v>GCA</v>
      </c>
      <c r="EJ30" s="727">
        <f>VLOOKUP(WWWW[[#This Row],[Site Name]],SiteDB6[[Site Name]:[Lat]],12,FALSE)</f>
        <v>25.305008999999998</v>
      </c>
      <c r="EK30" s="727">
        <f>VLOOKUP(WWWW[[#This Row],[Site Name]],SiteDB6[[Site Name]:[Long]],13,FALSE)</f>
        <v>97.430321000000006</v>
      </c>
      <c r="EL30" s="727" t="str">
        <f>VLOOKUP(WWWW[[#This Row],[Site Name]],SiteDB6[[Site Name]:[Pcode]],3,FALSE)</f>
        <v>MMR001CMP248</v>
      </c>
      <c r="EM30" s="732" t="str">
        <f t="shared" si="0"/>
        <v>Covered</v>
      </c>
      <c r="EN30" s="732"/>
      <c r="EO30" s="727">
        <f>VLOOKUP(WWWW[[#This Row],[Site Name]],SiteDB6[[Site Name]:[Pop
(Kachin/Shan-CCCM as of July 2021)]],16,FALSE)</f>
        <v>60</v>
      </c>
      <c r="EP30" s="727">
        <f>VLOOKUP(WWWW[[#This Row],[Site Name]],SiteDB6[[Site Name]:[Pop
(Kachin/Shan-CCCM as of July 2021)]],17,FALSE)</f>
        <v>371</v>
      </c>
    </row>
    <row r="31" spans="1:146" hidden="1">
      <c r="A31" s="725" t="s">
        <v>2763</v>
      </c>
      <c r="B31" s="725" t="s">
        <v>242</v>
      </c>
      <c r="C31" s="726" t="s">
        <v>242</v>
      </c>
      <c r="D31" s="726" t="s">
        <v>307</v>
      </c>
      <c r="E31" s="726" t="s">
        <v>37</v>
      </c>
      <c r="F31" s="726" t="s">
        <v>142</v>
      </c>
      <c r="G31" s="591" t="str">
        <f>VLOOKUP(WWWW[[#This Row],[Site Name]],SiteDB6[[Site Name]:[Location Type]],8,FALSE)</f>
        <v>Camp</v>
      </c>
      <c r="H31" s="726" t="s">
        <v>268</v>
      </c>
      <c r="I31" s="448">
        <v>59</v>
      </c>
      <c r="J31" s="448">
        <v>291</v>
      </c>
      <c r="K31" s="588">
        <v>44197</v>
      </c>
      <c r="L31" s="589">
        <v>44651</v>
      </c>
      <c r="M31" s="728"/>
      <c r="N31" s="728">
        <v>1</v>
      </c>
      <c r="O31" s="728"/>
      <c r="P31" s="728"/>
      <c r="Q31" s="731" t="s">
        <v>41</v>
      </c>
      <c r="R31" s="728">
        <v>4</v>
      </c>
      <c r="S31" s="728">
        <v>2</v>
      </c>
      <c r="T31" s="448">
        <v>2</v>
      </c>
      <c r="U31" s="728"/>
      <c r="V31" s="728"/>
      <c r="W31" s="728"/>
      <c r="X31" s="728"/>
      <c r="Y31" s="728"/>
      <c r="Z31" s="728"/>
      <c r="AA31" s="728"/>
      <c r="AB31" s="728"/>
      <c r="AC31" s="728"/>
      <c r="AD31" s="728"/>
      <c r="AE31" s="728"/>
      <c r="AF31" s="728"/>
      <c r="AG31" s="728"/>
      <c r="AH31" s="728"/>
      <c r="AI31" s="728"/>
      <c r="AJ31" s="728"/>
      <c r="AK31" s="728"/>
      <c r="AL31" s="728"/>
      <c r="AM31" s="728"/>
      <c r="AN31" s="728"/>
      <c r="AO31" s="728"/>
      <c r="AP31" s="732"/>
      <c r="AQ31" s="728">
        <v>24</v>
      </c>
      <c r="AR31" s="728">
        <v>20</v>
      </c>
      <c r="AS31" s="733" t="s">
        <v>2136</v>
      </c>
      <c r="AT31" s="728"/>
      <c r="AU31" s="728"/>
      <c r="AV31" s="728"/>
      <c r="AW31" s="728"/>
      <c r="AX31" s="728"/>
      <c r="AY31" s="727" t="s">
        <v>41</v>
      </c>
      <c r="AZ31" s="732" t="s">
        <v>137</v>
      </c>
      <c r="BA31" s="728"/>
      <c r="BB31" s="728"/>
      <c r="BC31" s="728"/>
      <c r="BD31" s="448">
        <v>4</v>
      </c>
      <c r="BE31" s="448"/>
      <c r="BF31" s="727"/>
      <c r="BG31" s="728">
        <v>1</v>
      </c>
      <c r="BH31" s="728"/>
      <c r="BI31" s="728"/>
      <c r="BJ31" s="728">
        <v>3</v>
      </c>
      <c r="BK31" s="728"/>
      <c r="BL31" s="448">
        <v>1</v>
      </c>
      <c r="BM31" s="448"/>
      <c r="BN31" s="448">
        <v>41</v>
      </c>
      <c r="BO31" s="728">
        <v>85</v>
      </c>
      <c r="BP31" s="425"/>
      <c r="BQ31" s="734"/>
      <c r="BR31" s="423">
        <v>0.45</v>
      </c>
      <c r="BS31" s="425"/>
      <c r="BT31" s="423">
        <v>0.9</v>
      </c>
      <c r="BU31" s="423">
        <v>0.9</v>
      </c>
      <c r="BV31" s="425"/>
      <c r="BW31" s="423">
        <v>0.95</v>
      </c>
      <c r="BX31" s="448"/>
      <c r="BY31" s="448">
        <v>59</v>
      </c>
      <c r="BZ31" s="448"/>
      <c r="CA31" s="448"/>
      <c r="CB31" s="448"/>
      <c r="CC31" s="777"/>
      <c r="CD31" s="448"/>
      <c r="CE31" s="735" t="str">
        <f>IFERROR(WWWW[[#This Row],['#_Water sources passed]]/WWWW[[#This Row],['#_Water sources tested for fecal coliform ]],"no test")</f>
        <v>no test</v>
      </c>
      <c r="CF31" s="733" t="str">
        <f>IFERROR(WWWW[[#This Row],['#_Household passed]]/WWWW[[#This Row],['#_Household water samples tested for fecal coliform]],"no test")</f>
        <v>no test</v>
      </c>
      <c r="CG31" s="734" t="str">
        <f>IF(AND(WWWW[[#This Row],[% of water sources passed]]="no test",WWWW[[#This Row],[% Household passed]]="no test"),"No Test","Tested")</f>
        <v>No Test</v>
      </c>
      <c r="CH31" s="734">
        <f>WWWW[[#This Row],['#_Constructed/existing protected hand dug well]]-WWWW[[#This Row],['#_Non-functional protected hand dug well]]</f>
        <v>2</v>
      </c>
      <c r="CI31" s="734">
        <f>(WWWW[[#This Row],['#_Constructed/Existing tube wells/boreholes/handpumps_WASH_agency]]+WWWW[[#This Row],['#_Non-Cluster partner water tube-wells/boreholes/handpumps]])-WWWW[[#This Row],['#_Non-functional tube wells/boreholes/handpumps]]</f>
        <v>0</v>
      </c>
      <c r="CJ31" s="734">
        <f>WWWW[[#This Row],['#_Constructed/Existingwater storage tank with gravity fed reticulation system]]-WWWW[[#This Row],['#_Non-functional storage tank gravity fed reticulation system]]</f>
        <v>0</v>
      </c>
      <c r="CK31" s="734">
        <f>(WWWW[[#This Row],['#_Water_Liters_supplied_by_Water boating or water trucking]]/90)/15</f>
        <v>0</v>
      </c>
      <c r="CL31" s="734">
        <f>WWWW[[#This Row],['#_Water_Liters_from_Constructed/Existing water distribution system from river or natural spring]]/90/15</f>
        <v>0</v>
      </c>
      <c r="CM31" s="424">
        <f>IF(WWWW[[#This Row],['#_of water points in TLS/CFS]]*500&gt;WWWW[[#This Row],[Total PoP ]],WWWW[[#This Row],[Total PoP ]],WWWW[[#This Row],['#_of water points in TLS/CFS]]*500)</f>
        <v>0</v>
      </c>
      <c r="CN31" s="424">
        <f>IF(WWWW[[#This Row],['#_of water points in THF]]*500&gt;WWWW[[#This Row],[Total PoP ]],WWWW[[#This Row],[Total PoP ]],WWWW[[#This Row],['#_of water points in THF]]*500)</f>
        <v>0</v>
      </c>
      <c r="CO3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 s="733">
        <f>IF(WWWW[[#This Row],[Location Type 1]]="Village",WWWW[[#This Row],[Access to safe drinking water for Village]],WWWW[[#This Row],[Access to safe drinking water for Camp]])</f>
        <v>1</v>
      </c>
      <c r="CR31" s="731">
        <f>WWWW[[#This Row],[%Equitable and continuous access to sufficient quantity of safe drinking water]]*WWWW[[#This Row],[Total PoP ]]</f>
        <v>291</v>
      </c>
      <c r="CS31" s="733">
        <f>IF((WWWW[[#This Row],['#_Constructed/Existing protected/fenced ponds]]*250)/WWWW[[#This Row],[Total PoP ]]&gt;1,1,(WWWW[[#This Row],['#_Constructed/Existing protected/fenced ponds]]*250)/WWWW[[#This Row],[Total PoP ]])</f>
        <v>0</v>
      </c>
      <c r="CT31" s="731">
        <f>WWWW[[#This Row],[% Access to unimproved water points]]*WWWW[[#This Row],[Total PoP ]]</f>
        <v>0</v>
      </c>
      <c r="CU3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291</v>
      </c>
      <c r="CW31" s="731">
        <f>WWWW[[#This Row],[HRP1]]/500</f>
        <v>0.58199999999999996</v>
      </c>
      <c r="CX31" s="736">
        <f>1-WWWW[[#This Row],[% Equitable and continuous access to sufficient quantity of domestic water]]</f>
        <v>0</v>
      </c>
      <c r="CY31" s="731">
        <f>WWWW[[#This Row],[%equitable and continuous access to sufficient quantity of safe drinking and domestic water''s GAP]]*WWWW[[#This Row],[Total PoP ]]</f>
        <v>0</v>
      </c>
      <c r="CZ31" s="734">
        <f>IF(WWWW[[#This Row],[Total required water points]]-WWWW[[#This Row],['#Water points coverage]]&lt;0,0,WWWW[[#This Row],[Total required water points]]-WWWW[[#This Row],['#Water points coverage]])</f>
        <v>0.41800000000000004</v>
      </c>
      <c r="DA31" s="734">
        <f>ROUND(IF(WWWW[[#This Row],[Total PoP ]]&lt;500,1,WWWW[[#This Row],[Total PoP ]]/500),0)</f>
        <v>1</v>
      </c>
      <c r="DB31" s="734">
        <f>(WWWW[[#This Row],['#_Constructed latrines_by_WASHAgencies]]+WWWW[[#This Row],['#_Non Cluster partner latrines]])-WWWW[[#This Row],['#_Non-functional latrines]]</f>
        <v>44</v>
      </c>
      <c r="DC31" s="631">
        <f>WWWW[[#This Row],[HRP2]]/WWWW[[#This Row],[Total PoP ]]</f>
        <v>1</v>
      </c>
      <c r="DD3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291</v>
      </c>
      <c r="DE3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 s="424">
        <f>IF(WWWW[[#This Row],['# of functional latrines in THF supported by WASH partners during the reporting period2]]="",0,WWWW[[#This Row],['# of functional latrines in THF supported by WASH partners during the reporting period2]]*50)</f>
        <v>200</v>
      </c>
      <c r="DH31" s="734">
        <f>ROUND(IF(WWWW[[#This Row],[Location Type 1]]="camp",WWWW[[#This Row],[Total PoP ]]/20,IF(WWWW[[#This Row],[Location Type 1]]="Temporary Location",WWWW[[#This Row],[Total PoP ]]/50,(WWWW[[#This Row],[Total PoP ]]/6))),0)</f>
        <v>15</v>
      </c>
      <c r="DI31" s="734">
        <f>IF(WWWW[[#This Row],[Total required Latrines]]-(WWWW[[#This Row],['#_Constructed latrines_by_WASHAgencies]]+WWWW[[#This Row],['#_Non Cluster partner latrines]])&lt;0,0,WWWW[[#This Row],[Total required Latrines]]-(WWWW[[#This Row],['#_Constructed latrines_by_WASHAgencies]]+WWWW[[#This Row],['#_Non Cluster partner latrines]]))</f>
        <v>0</v>
      </c>
      <c r="DJ31" s="736">
        <f>1-WWWW[[#This Row],[% people access to functioning Latrine]]</f>
        <v>0</v>
      </c>
      <c r="DK31" s="735">
        <f>IF(OR(WWWW[[#This Row],['#_Non-functional latrines]]="",WWWW[[#This Row],['#_Non-functional latrines]]=0),0,WWWW[[#This Row],['#_Non-functional latrines]]/(WWWW[[#This Row],['#_Constructed latrines_by_WASHAgencies]]+WWWW[[#This Row],['#_Non Cluster partner latrines]]))</f>
        <v>0</v>
      </c>
      <c r="DL31" s="731">
        <f>IF(500*(WWWW[[#This Row],['#_male hygiene promoters]]+WWWW[[#This Row],['#_female hygiene promoters]])&gt;WWWW[[#This Row],[Total PoP ]],WWWW[[#This Row],[Total PoP ]],500*(WWWW[[#This Row],['#_male hygiene promoters]]+WWWW[[#This Row],['#_female hygiene promoters]]))</f>
        <v>291</v>
      </c>
      <c r="DM3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3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31" s="734">
        <f>IF(WWWW[[#This Row],['# People with access to soap]]&gt;WWWW[[#This Row],['# People with access to Sanity Pads]],WWWW[[#This Row],['# People with access to soap]],WWWW[[#This Row],['# People with access to Sanity Pads]])</f>
        <v>205</v>
      </c>
      <c r="DP31" s="734">
        <f>IF(WWWW[[#This Row],['# people reached by regular dedicated hygiene promotion_5]]&gt;WWWW[[#This Row],['# People received regular supply of hygiene items_6]],WWWW[[#This Row],['# people reached by regular dedicated hygiene promotion_5]],WWWW[[#This Row],['# People received regular supply of hygiene items_6]])</f>
        <v>291</v>
      </c>
      <c r="DQ31" s="736">
        <f>IF(WWWW[[#This Row],[HRP3]]/WWWW[[#This Row],[Total PoP ]]&gt;1,1,WWWW[[#This Row],[HRP3]]/WWWW[[#This Row],[Total PoP ]])</f>
        <v>1</v>
      </c>
      <c r="DR31" s="735">
        <f>1-WWWW[[#This Row],[Hygiene Coverage%]]</f>
        <v>0</v>
      </c>
      <c r="DS31" s="733">
        <f>WWWW[[#This Row],['# people reached by regular dedicated hygiene promotion_5]]/WWWW[[#This Row],[Total PoP ]]</f>
        <v>1</v>
      </c>
      <c r="DT3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1" s="734">
        <f>WWWW[[#This Row],['#_Constructed/Existing hand washing stations]]-WWWW[[#This Row],['#_Non-Functional_hand_washing_stations]]</f>
        <v>1</v>
      </c>
      <c r="DW31" s="731">
        <f>IF(WWWW[[#This Row],['# Functional hand washing stations during reporting period]]*20&gt;WWWW[[#This Row],[Total HH]],WWWW[[#This Row],[Total HH]],WWWW[[#This Row],['# Functional hand washing stations during reporting period]]*20)</f>
        <v>20</v>
      </c>
      <c r="DX31" s="731">
        <f>IF(WWWW[[#This Row],[Is sufficient soap available for TLS? (Yes/No)]]="yes",WWWW[[#This Row],['#_Constructed/Existing hand washing stations at TLS/CFS/THF]],0)</f>
        <v>0</v>
      </c>
      <c r="DY31" s="428">
        <f>IF(WWWW[[#This Row],['# Functional hand washing stations during reporting period]]*100&gt;WWWW[[#This Row],[Total PoP ]],WWWW[[#This Row],[Total PoP ]],WWWW[[#This Row],['# Functional hand washing stations during reporting period]]*100)</f>
        <v>100</v>
      </c>
      <c r="DZ31" s="428" t="str">
        <f>IF(OR(WWWW[[#This Row],['#_students at TLS_CFS]]="",WWWW[[#This Row],['#_students at TLS_CFS]]=0),"No","Yes")</f>
        <v>No</v>
      </c>
      <c r="EA3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59</v>
      </c>
      <c r="EC3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E31" s="727" t="str">
        <f>VLOOKUP(WWWW[[#This Row],[Site Name]],SiteDB6[[Site Name]:[CCCM Management]],6,FALSE)</f>
        <v>Yes</v>
      </c>
      <c r="EF31" s="727" t="str">
        <f>VLOOKUP(WWWW[[#This Row],[Site Name]],SiteDB6[[Site Name]:[CCCM Focal Agency]],7,FALSE)</f>
        <v>Shalom</v>
      </c>
      <c r="EG31" s="727" t="str">
        <f>VLOOKUP(WWWW[[#This Row],[Site Name]],SiteDB6[[Site Name]:[Location Type 1]],9,FALSE)</f>
        <v>Camp</v>
      </c>
      <c r="EH31" s="727" t="str">
        <f>VLOOKUP(WWWW[[#This Row],[Site Name]],SiteDB6[[Site Name]:[Type of Accommodation]],10,FALSE)</f>
        <v>Camp</v>
      </c>
      <c r="EI31" s="727" t="str">
        <f>VLOOKUP(WWWW[[#This Row],[Site Name]],SiteDB6[[Site Name]:[Ethnic or GCA/NGCA]],11,FALSE)</f>
        <v>GCA</v>
      </c>
      <c r="EJ31" s="727">
        <f>VLOOKUP(WWWW[[#This Row],[Site Name]],SiteDB6[[Site Name]:[Lat]],12,FALSE)</f>
        <v>25.321710740740698</v>
      </c>
      <c r="EK31" s="727">
        <f>VLOOKUP(WWWW[[#This Row],[Site Name]],SiteDB6[[Site Name]:[Long]],13,FALSE)</f>
        <v>97.404195925926004</v>
      </c>
      <c r="EL31" s="727" t="str">
        <f>VLOOKUP(WWWW[[#This Row],[Site Name]],SiteDB6[[Site Name]:[Pcode]],3,FALSE)</f>
        <v>MMR001CMP028</v>
      </c>
      <c r="EM31" s="732" t="str">
        <f t="shared" si="0"/>
        <v>Covered</v>
      </c>
      <c r="EN31" s="732"/>
      <c r="EO31" s="727">
        <f>VLOOKUP(WWWW[[#This Row],[Site Name]],SiteDB6[[Site Name]:[Pop
(Kachin/Shan-CCCM as of July 2021)]],16,FALSE)</f>
        <v>59</v>
      </c>
      <c r="EP31" s="727">
        <f>VLOOKUP(WWWW[[#This Row],[Site Name]],SiteDB6[[Site Name]:[Pop
(Kachin/Shan-CCCM as of July 2021)]],17,FALSE)</f>
        <v>291</v>
      </c>
    </row>
    <row r="32" spans="1:146" hidden="1">
      <c r="A32" s="725" t="s">
        <v>2763</v>
      </c>
      <c r="B32" s="707" t="s">
        <v>2806</v>
      </c>
      <c r="C32" s="726" t="s">
        <v>141</v>
      </c>
      <c r="D32" s="369" t="s">
        <v>2587</v>
      </c>
      <c r="E32" s="726" t="s">
        <v>37</v>
      </c>
      <c r="F32" s="726" t="s">
        <v>142</v>
      </c>
      <c r="G32" s="591" t="str">
        <f>VLOOKUP(WWWW[[#This Row],[Site Name]],SiteDB6[[Site Name]:[Location Type]],8,FALSE)</f>
        <v>Camp</v>
      </c>
      <c r="H32" s="726" t="s">
        <v>175</v>
      </c>
      <c r="I32" s="448">
        <v>140</v>
      </c>
      <c r="J32" s="448">
        <v>895</v>
      </c>
      <c r="K32" s="800" t="s">
        <v>2814</v>
      </c>
      <c r="L32" s="56" t="s">
        <v>2815</v>
      </c>
      <c r="M32" s="728"/>
      <c r="N32" s="728">
        <v>3</v>
      </c>
      <c r="O32" s="728"/>
      <c r="P32" s="728"/>
      <c r="Q32" s="731" t="s">
        <v>41</v>
      </c>
      <c r="R32" s="728"/>
      <c r="S32" s="728">
        <v>3</v>
      </c>
      <c r="T32" s="448"/>
      <c r="U32" s="728"/>
      <c r="V32" s="728"/>
      <c r="W32" s="728"/>
      <c r="X32" s="728"/>
      <c r="Y32" s="728"/>
      <c r="Z32" s="728"/>
      <c r="AA32" s="728"/>
      <c r="AB32" s="728"/>
      <c r="AC32" s="728"/>
      <c r="AD32" s="728"/>
      <c r="AE32" s="728"/>
      <c r="AF32" s="728"/>
      <c r="AG32" s="728"/>
      <c r="AH32" s="728"/>
      <c r="AI32" s="728"/>
      <c r="AJ32" s="728"/>
      <c r="AK32" s="728"/>
      <c r="AL32" s="728"/>
      <c r="AM32" s="728"/>
      <c r="AN32" s="728"/>
      <c r="AO32" s="728"/>
      <c r="AP32" s="732"/>
      <c r="AQ32" s="728">
        <v>50</v>
      </c>
      <c r="AR32" s="728"/>
      <c r="AS32" s="733"/>
      <c r="AT32" s="728"/>
      <c r="AU32" s="728"/>
      <c r="AV32" s="728"/>
      <c r="AW32" s="728"/>
      <c r="AX32" s="728">
        <v>50</v>
      </c>
      <c r="AY32" s="727" t="s">
        <v>41</v>
      </c>
      <c r="AZ32" s="732" t="s">
        <v>137</v>
      </c>
      <c r="BA32" s="728"/>
      <c r="BB32" s="728"/>
      <c r="BC32" s="728"/>
      <c r="BD32" s="448"/>
      <c r="BE32" s="448"/>
      <c r="BF32" s="727"/>
      <c r="BG32" s="728">
        <v>8</v>
      </c>
      <c r="BH32" s="728"/>
      <c r="BI32" s="728"/>
      <c r="BJ32" s="728">
        <v>3</v>
      </c>
      <c r="BK32" s="728"/>
      <c r="BL32" s="728">
        <v>1</v>
      </c>
      <c r="BM32" s="728">
        <v>2</v>
      </c>
      <c r="BN32" s="728">
        <v>91</v>
      </c>
      <c r="BO32" s="728">
        <v>124</v>
      </c>
      <c r="BP32" s="727"/>
      <c r="BQ32" s="734"/>
      <c r="BR32" s="733"/>
      <c r="BS32" s="727"/>
      <c r="BT32" s="423"/>
      <c r="BU32" s="423"/>
      <c r="BV32" s="425"/>
      <c r="BW32" s="423"/>
      <c r="BX32" s="448"/>
      <c r="BY32" s="448"/>
      <c r="BZ32" s="448"/>
      <c r="CA32" s="448"/>
      <c r="CB32" s="448"/>
      <c r="CC32" s="777"/>
      <c r="CD32" s="448"/>
      <c r="CE32" s="735" t="str">
        <f>IFERROR(WWWW[[#This Row],['#_Water sources passed]]/WWWW[[#This Row],['#_Water sources tested for fecal coliform ]],"no test")</f>
        <v>no test</v>
      </c>
      <c r="CF32" s="733" t="str">
        <f>IFERROR(WWWW[[#This Row],['#_Household passed]]/WWWW[[#This Row],['#_Household water samples tested for fecal coliform]],"no test")</f>
        <v>no test</v>
      </c>
      <c r="CG32" s="734" t="str">
        <f>IF(AND(WWWW[[#This Row],[% of water sources passed]]="no test",WWWW[[#This Row],[% Household passed]]="no test"),"No Test","Tested")</f>
        <v>No Test</v>
      </c>
      <c r="CH32" s="734">
        <f>WWWW[[#This Row],['#_Constructed/existing protected hand dug well]]-WWWW[[#This Row],['#_Non-functional protected hand dug well]]</f>
        <v>0</v>
      </c>
      <c r="CI32" s="734">
        <f>(WWWW[[#This Row],['#_Constructed/Existing tube wells/boreholes/handpumps_WASH_agency]]+WWWW[[#This Row],['#_Non-Cluster partner water tube-wells/boreholes/handpumps]])-WWWW[[#This Row],['#_Non-functional tube wells/boreholes/handpumps]]</f>
        <v>0</v>
      </c>
      <c r="CJ32" s="734">
        <f>WWWW[[#This Row],['#_Constructed/Existingwater storage tank with gravity fed reticulation system]]-WWWW[[#This Row],['#_Non-functional storage tank gravity fed reticulation system]]</f>
        <v>0</v>
      </c>
      <c r="CK32" s="734">
        <f>(WWWW[[#This Row],['#_Water_Liters_supplied_by_Water boating or water trucking]]/90)/15</f>
        <v>0</v>
      </c>
      <c r="CL32" s="734">
        <f>WWWW[[#This Row],['#_Water_Liters_from_Constructed/Existing water distribution system from river or natural spring]]/90/15</f>
        <v>0</v>
      </c>
      <c r="CM32" s="424">
        <f>IF(WWWW[[#This Row],['#_of water points in TLS/CFS]]*500&gt;WWWW[[#This Row],[Total PoP ]],WWWW[[#This Row],[Total PoP ]],WWWW[[#This Row],['#_of water points in TLS/CFS]]*500)</f>
        <v>0</v>
      </c>
      <c r="CN32" s="424">
        <f>IF(WWWW[[#This Row],['#_of water points in THF]]*500&gt;WWWW[[#This Row],[Total PoP ]],WWWW[[#This Row],[Total PoP ]],WWWW[[#This Row],['#_of water points in THF]]*500)</f>
        <v>0</v>
      </c>
      <c r="CO3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 s="733">
        <f>IF(WWWW[[#This Row],[Location Type 1]]="Village",WWWW[[#This Row],[Access to safe drinking water for Village]],WWWW[[#This Row],[Access to safe drinking water for Camp]])</f>
        <v>0</v>
      </c>
      <c r="CR32" s="731">
        <f>WWWW[[#This Row],[%Equitable and continuous access to sufficient quantity of safe drinking water]]*WWWW[[#This Row],[Total PoP ]]</f>
        <v>0</v>
      </c>
      <c r="CS32" s="733">
        <f>IF((WWWW[[#This Row],['#_Constructed/Existing protected/fenced ponds]]*250)/WWWW[[#This Row],[Total PoP ]]&gt;1,1,(WWWW[[#This Row],['#_Constructed/Existing protected/fenced ponds]]*250)/WWWW[[#This Row],[Total PoP ]])</f>
        <v>0</v>
      </c>
      <c r="CT32" s="731">
        <f>WWWW[[#This Row],[% Access to unimproved water points]]*WWWW[[#This Row],[Total PoP ]]</f>
        <v>0</v>
      </c>
      <c r="CU3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 s="731">
        <f>WWWW[[#This Row],[HRP1]]/500</f>
        <v>0</v>
      </c>
      <c r="CX32" s="736">
        <f>1-WWWW[[#This Row],[% Equitable and continuous access to sufficient quantity of domestic water]]</f>
        <v>1</v>
      </c>
      <c r="CY32" s="731">
        <f>WWWW[[#This Row],[%equitable and continuous access to sufficient quantity of safe drinking and domestic water''s GAP]]*WWWW[[#This Row],[Total PoP ]]</f>
        <v>895</v>
      </c>
      <c r="CZ32" s="734">
        <f>IF(WWWW[[#This Row],[Total required water points]]-WWWW[[#This Row],['#Water points coverage]]&lt;0,0,WWWW[[#This Row],[Total required water points]]-WWWW[[#This Row],['#Water points coverage]])</f>
        <v>2</v>
      </c>
      <c r="DA32" s="734">
        <f>ROUND(IF(WWWW[[#This Row],[Total PoP ]]&lt;500,1,WWWW[[#This Row],[Total PoP ]]/500),0)</f>
        <v>2</v>
      </c>
      <c r="DB32" s="734">
        <f>(WWWW[[#This Row],['#_Constructed latrines_by_WASHAgencies]]+WWWW[[#This Row],['#_Non Cluster partner latrines]])-WWWW[[#This Row],['#_Non-functional latrines]]</f>
        <v>50</v>
      </c>
      <c r="DC32" s="631">
        <f>WWWW[[#This Row],[HRP2]]/WWWW[[#This Row],[Total PoP ]]</f>
        <v>1</v>
      </c>
      <c r="DD3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895</v>
      </c>
      <c r="DE3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 s="424">
        <f>IF(WWWW[[#This Row],['# of functional latrines in THF supported by WASH partners during the reporting period2]]="",0,WWWW[[#This Row],['# of functional latrines in THF supported by WASH partners during the reporting period2]]*50)</f>
        <v>0</v>
      </c>
      <c r="DH32" s="734">
        <f>ROUND(IF(WWWW[[#This Row],[Location Type 1]]="camp",WWWW[[#This Row],[Total PoP ]]/20,IF(WWWW[[#This Row],[Location Type 1]]="Temporary Location",WWWW[[#This Row],[Total PoP ]]/50,(WWWW[[#This Row],[Total PoP ]]/6))),0)</f>
        <v>45</v>
      </c>
      <c r="DI32" s="734">
        <f>IF(WWWW[[#This Row],[Total required Latrines]]-(WWWW[[#This Row],['#_Constructed latrines_by_WASHAgencies]]+WWWW[[#This Row],['#_Non Cluster partner latrines]])&lt;0,0,WWWW[[#This Row],[Total required Latrines]]-(WWWW[[#This Row],['#_Constructed latrines_by_WASHAgencies]]+WWWW[[#This Row],['#_Non Cluster partner latrines]]))</f>
        <v>0</v>
      </c>
      <c r="DJ32" s="736">
        <f>1-WWWW[[#This Row],[% people access to functioning Latrine]]</f>
        <v>0</v>
      </c>
      <c r="DK32" s="735">
        <f>IF(OR(WWWW[[#This Row],['#_Non-functional latrines]]="",WWWW[[#This Row],['#_Non-functional latrines]]=0),0,WWWW[[#This Row],['#_Non-functional latrines]]/(WWWW[[#This Row],['#_Constructed latrines_by_WASHAgencies]]+WWWW[[#This Row],['#_Non Cluster partner latrines]]))</f>
        <v>0</v>
      </c>
      <c r="DL32" s="731">
        <f>IF(500*(WWWW[[#This Row],['#_male hygiene promoters]]+WWWW[[#This Row],['#_female hygiene promoters]])&gt;WWWW[[#This Row],[Total PoP ]],WWWW[[#This Row],[Total PoP ]],500*(WWWW[[#This Row],['#_male hygiene promoters]]+WWWW[[#This Row],['#_female hygiene promoters]]))</f>
        <v>895</v>
      </c>
      <c r="DM3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3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32" s="734">
        <f>IF(WWWW[[#This Row],['# People with access to soap]]&gt;WWWW[[#This Row],['# People with access to Sanity Pads]],WWWW[[#This Row],['# People with access to soap]],WWWW[[#This Row],['# People with access to Sanity Pads]])</f>
        <v>455</v>
      </c>
      <c r="DP32" s="734">
        <f>IF(WWWW[[#This Row],['# people reached by regular dedicated hygiene promotion_5]]&gt;WWWW[[#This Row],['# People received regular supply of hygiene items_6]],WWWW[[#This Row],['# people reached by regular dedicated hygiene promotion_5]],WWWW[[#This Row],['# People received regular supply of hygiene items_6]])</f>
        <v>895</v>
      </c>
      <c r="DQ32" s="736">
        <f>IF(WWWW[[#This Row],[HRP3]]/WWWW[[#This Row],[Total PoP ]]&gt;1,1,WWWW[[#This Row],[HRP3]]/WWWW[[#This Row],[Total PoP ]])</f>
        <v>1</v>
      </c>
      <c r="DR32" s="735">
        <f>1-WWWW[[#This Row],[Hygiene Coverage%]]</f>
        <v>0</v>
      </c>
      <c r="DS32" s="733">
        <f>WWWW[[#This Row],['# people reached by regular dedicated hygiene promotion_5]]/WWWW[[#This Row],[Total PoP ]]</f>
        <v>1</v>
      </c>
      <c r="DT3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0.65</v>
      </c>
      <c r="DU3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0.88571428571428568</v>
      </c>
      <c r="DV32" s="734">
        <f>WWWW[[#This Row],['#_Constructed/Existing hand washing stations]]-WWWW[[#This Row],['#_Non-Functional_hand_washing_stations]]</f>
        <v>8</v>
      </c>
      <c r="DW32" s="731">
        <f>IF(WWWW[[#This Row],['# Functional hand washing stations during reporting period]]*20&gt;WWWW[[#This Row],[Total HH]],WWWW[[#This Row],[Total HH]],WWWW[[#This Row],['# Functional hand washing stations during reporting period]]*20)</f>
        <v>140</v>
      </c>
      <c r="DX32" s="731">
        <f>IF(WWWW[[#This Row],[Is sufficient soap available for TLS? (Yes/No)]]="yes",WWWW[[#This Row],['#_Constructed/Existing hand washing stations at TLS/CFS/THF]],0)</f>
        <v>0</v>
      </c>
      <c r="DY32" s="428">
        <f>IF(WWWW[[#This Row],['# Functional hand washing stations during reporting period]]*100&gt;WWWW[[#This Row],[Total PoP ]],WWWW[[#This Row],[Total PoP ]],WWWW[[#This Row],['# Functional hand washing stations during reporting period]]*100)</f>
        <v>800</v>
      </c>
      <c r="DZ32" s="428" t="str">
        <f>IF(OR(WWWW[[#This Row],['#_students at TLS_CFS]]="",WWWW[[#This Row],['#_students at TLS_CFS]]=0),"No","Yes")</f>
        <v>No</v>
      </c>
      <c r="EA3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 s="727" t="str">
        <f>VLOOKUP(WWWW[[#This Row],[Site Name]],SiteDB6[[Site Name]:[CCCM Management]],6,FALSE)</f>
        <v>Yes</v>
      </c>
      <c r="EF32" s="727" t="str">
        <f>VLOOKUP(WWWW[[#This Row],[Site Name]],SiteDB6[[Site Name]:[CCCM Focal Agency]],7,FALSE)</f>
        <v>KBC-MYT</v>
      </c>
      <c r="EG32" s="727" t="str">
        <f>VLOOKUP(WWWW[[#This Row],[Site Name]],SiteDB6[[Site Name]:[Location Type 1]],9,FALSE)</f>
        <v>Camp</v>
      </c>
      <c r="EH32" s="727" t="str">
        <f>VLOOKUP(WWWW[[#This Row],[Site Name]],SiteDB6[[Site Name]:[Type of Accommodation]],10,FALSE)</f>
        <v>Camp</v>
      </c>
      <c r="EI32" s="727" t="str">
        <f>VLOOKUP(WWWW[[#This Row],[Site Name]],SiteDB6[[Site Name]:[Ethnic or GCA/NGCA]],11,FALSE)</f>
        <v>NGCA</v>
      </c>
      <c r="EJ32" s="727">
        <f>VLOOKUP(WWWW[[#This Row],[Site Name]],SiteDB6[[Site Name]:[Lat]],12,FALSE)</f>
        <v>25.200333000000001</v>
      </c>
      <c r="EK32" s="727">
        <f>VLOOKUP(WWWW[[#This Row],[Site Name]],SiteDB6[[Site Name]:[Long]],13,FALSE)</f>
        <v>97.807182999999995</v>
      </c>
      <c r="EL32" s="727" t="str">
        <f>VLOOKUP(WWWW[[#This Row],[Site Name]],SiteDB6[[Site Name]:[Pcode]],3,FALSE)</f>
        <v>MMR001CMP115</v>
      </c>
      <c r="EM32" s="732" t="str">
        <f t="shared" si="0"/>
        <v>Covered</v>
      </c>
      <c r="EN32" s="732"/>
      <c r="EO32" s="727">
        <f>VLOOKUP(WWWW[[#This Row],[Site Name]],SiteDB6[[Site Name]:[Pop
(Kachin/Shan-CCCM as of July 2021)]],16,FALSE)</f>
        <v>138</v>
      </c>
      <c r="EP32" s="727">
        <f>VLOOKUP(WWWW[[#This Row],[Site Name]],SiteDB6[[Site Name]:[Pop
(Kachin/Shan-CCCM as of July 2021)]],17,FALSE)</f>
        <v>966</v>
      </c>
    </row>
    <row r="33" spans="1:146" hidden="1">
      <c r="A33" s="725" t="s">
        <v>2763</v>
      </c>
      <c r="B33" s="725" t="s">
        <v>141</v>
      </c>
      <c r="C33" s="726" t="s">
        <v>141</v>
      </c>
      <c r="D33" s="726" t="s">
        <v>241</v>
      </c>
      <c r="E33" s="726" t="s">
        <v>37</v>
      </c>
      <c r="F33" s="726" t="s">
        <v>148</v>
      </c>
      <c r="G33" s="591" t="str">
        <f>VLOOKUP(WWWW[[#This Row],[Site Name]],SiteDB6[[Site Name]:[Location Type]],8,FALSE)</f>
        <v>Camp</v>
      </c>
      <c r="H33" s="726" t="s">
        <v>149</v>
      </c>
      <c r="I33" s="728">
        <v>31</v>
      </c>
      <c r="J33" s="728">
        <v>132</v>
      </c>
      <c r="K33" s="729">
        <v>44105</v>
      </c>
      <c r="L33" s="730">
        <v>44681</v>
      </c>
      <c r="M33" s="728"/>
      <c r="N33" s="728">
        <v>1</v>
      </c>
      <c r="O33" s="728"/>
      <c r="P33" s="728"/>
      <c r="Q33" s="731" t="s">
        <v>41</v>
      </c>
      <c r="R33" s="728"/>
      <c r="S33" s="728">
        <v>1</v>
      </c>
      <c r="T33" s="448"/>
      <c r="U33" s="728"/>
      <c r="V33" s="728"/>
      <c r="W33" s="728">
        <v>1</v>
      </c>
      <c r="X33" s="728"/>
      <c r="Y33" s="728"/>
      <c r="Z33" s="728"/>
      <c r="AA33" s="728"/>
      <c r="AB33" s="728"/>
      <c r="AC33" s="728"/>
      <c r="AD33" s="728"/>
      <c r="AE33" s="728"/>
      <c r="AF33" s="728"/>
      <c r="AG33" s="728"/>
      <c r="AH33" s="728"/>
      <c r="AI33" s="728"/>
      <c r="AJ33" s="728"/>
      <c r="AK33" s="728"/>
      <c r="AL33" s="728"/>
      <c r="AM33" s="728"/>
      <c r="AN33" s="728"/>
      <c r="AO33" s="728"/>
      <c r="AP33" s="732"/>
      <c r="AQ33" s="728">
        <v>9</v>
      </c>
      <c r="AR33" s="728"/>
      <c r="AS33" s="733"/>
      <c r="AT33" s="728"/>
      <c r="AU33" s="728"/>
      <c r="AV33" s="448">
        <v>20</v>
      </c>
      <c r="AW33" s="728"/>
      <c r="AX33" s="728">
        <v>4</v>
      </c>
      <c r="AY33" s="727" t="s">
        <v>41</v>
      </c>
      <c r="AZ33" s="732" t="s">
        <v>137</v>
      </c>
      <c r="BA33" s="728"/>
      <c r="BB33" s="728"/>
      <c r="BC33" s="728"/>
      <c r="BD33" s="448"/>
      <c r="BE33" s="448"/>
      <c r="BF33" s="727"/>
      <c r="BG33" s="728">
        <v>1</v>
      </c>
      <c r="BH33" s="728"/>
      <c r="BI33" s="728"/>
      <c r="BJ33" s="728">
        <v>1</v>
      </c>
      <c r="BK33" s="728"/>
      <c r="BL33" s="728"/>
      <c r="BM33" s="728">
        <v>1</v>
      </c>
      <c r="BN33" s="728">
        <v>6</v>
      </c>
      <c r="BO33" s="728">
        <v>5</v>
      </c>
      <c r="BP33" s="727"/>
      <c r="BQ33" s="734"/>
      <c r="BR33" s="733"/>
      <c r="BS33" s="727"/>
      <c r="BT33" s="423"/>
      <c r="BU33" s="423"/>
      <c r="BV33" s="425"/>
      <c r="BW33" s="423"/>
      <c r="BX33" s="448"/>
      <c r="BY33" s="448"/>
      <c r="BZ33" s="448"/>
      <c r="CA33" s="448"/>
      <c r="CB33" s="448"/>
      <c r="CC33" s="777"/>
      <c r="CD33" s="448"/>
      <c r="CE33" s="735" t="str">
        <f>IFERROR(WWWW[[#This Row],['#_Water sources passed]]/WWWW[[#This Row],['#_Water sources tested for fecal coliform ]],"no test")</f>
        <v>no test</v>
      </c>
      <c r="CF33" s="733" t="str">
        <f>IFERROR(WWWW[[#This Row],['#_Household passed]]/WWWW[[#This Row],['#_Household water samples tested for fecal coliform]],"no test")</f>
        <v>no test</v>
      </c>
      <c r="CG33" s="734" t="str">
        <f>IF(AND(WWWW[[#This Row],[% of water sources passed]]="no test",WWWW[[#This Row],[% Household passed]]="no test"),"No Test","Tested")</f>
        <v>No Test</v>
      </c>
      <c r="CH33" s="734">
        <f>WWWW[[#This Row],['#_Constructed/existing protected hand dug well]]-WWWW[[#This Row],['#_Non-functional protected hand dug well]]</f>
        <v>0</v>
      </c>
      <c r="CI33" s="734">
        <f>(WWWW[[#This Row],['#_Constructed/Existing tube wells/boreholes/handpumps_WASH_agency]]+WWWW[[#This Row],['#_Non-Cluster partner water tube-wells/boreholes/handpumps]])-WWWW[[#This Row],['#_Non-functional tube wells/boreholes/handpumps]]</f>
        <v>1</v>
      </c>
      <c r="CJ33" s="734">
        <f>WWWW[[#This Row],['#_Constructed/Existingwater storage tank with gravity fed reticulation system]]-WWWW[[#This Row],['#_Non-functional storage tank gravity fed reticulation system]]</f>
        <v>0</v>
      </c>
      <c r="CK33" s="734">
        <f>(WWWW[[#This Row],['#_Water_Liters_supplied_by_Water boating or water trucking]]/90)/15</f>
        <v>0</v>
      </c>
      <c r="CL33" s="734">
        <f>WWWW[[#This Row],['#_Water_Liters_from_Constructed/Existing water distribution system from river or natural spring]]/90/15</f>
        <v>0</v>
      </c>
      <c r="CM33" s="424">
        <f>IF(WWWW[[#This Row],['#_of water points in TLS/CFS]]*500&gt;WWWW[[#This Row],[Total PoP ]],WWWW[[#This Row],[Total PoP ]],WWWW[[#This Row],['#_of water points in TLS/CFS]]*500)</f>
        <v>0</v>
      </c>
      <c r="CN33" s="424">
        <f>IF(WWWW[[#This Row],['#_of water points in THF]]*500&gt;WWWW[[#This Row],[Total PoP ]],WWWW[[#This Row],[Total PoP ]],WWWW[[#This Row],['#_of water points in THF]]*500)</f>
        <v>0</v>
      </c>
      <c r="CO3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3" s="733">
        <f>IF(WWWW[[#This Row],[Location Type 1]]="Village",WWWW[[#This Row],[Access to safe drinking water for Village]],WWWW[[#This Row],[Access to safe drinking water for Camp]])</f>
        <v>1</v>
      </c>
      <c r="CR33" s="731">
        <f>WWWW[[#This Row],[%Equitable and continuous access to sufficient quantity of safe drinking water]]*WWWW[[#This Row],[Total PoP ]]</f>
        <v>132</v>
      </c>
      <c r="CS33" s="733">
        <f>IF((WWWW[[#This Row],['#_Constructed/Existing protected/fenced ponds]]*250)/WWWW[[#This Row],[Total PoP ]]&gt;1,1,(WWWW[[#This Row],['#_Constructed/Existing protected/fenced ponds]]*250)/WWWW[[#This Row],[Total PoP ]])</f>
        <v>0</v>
      </c>
      <c r="CT33" s="731">
        <f>WWWW[[#This Row],[% Access to unimproved water points]]*WWWW[[#This Row],[Total PoP ]]</f>
        <v>0</v>
      </c>
      <c r="CU3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W33" s="731">
        <f>WWWW[[#This Row],[HRP1]]/500</f>
        <v>0.26400000000000001</v>
      </c>
      <c r="CX33" s="736">
        <f>1-WWWW[[#This Row],[% Equitable and continuous access to sufficient quantity of domestic water]]</f>
        <v>0</v>
      </c>
      <c r="CY33" s="731">
        <f>WWWW[[#This Row],[%equitable and continuous access to sufficient quantity of safe drinking and domestic water''s GAP]]*WWWW[[#This Row],[Total PoP ]]</f>
        <v>0</v>
      </c>
      <c r="CZ33" s="734">
        <f>IF(WWWW[[#This Row],[Total required water points]]-WWWW[[#This Row],['#Water points coverage]]&lt;0,0,WWWW[[#This Row],[Total required water points]]-WWWW[[#This Row],['#Water points coverage]])</f>
        <v>0.73599999999999999</v>
      </c>
      <c r="DA33" s="734">
        <f>ROUND(IF(WWWW[[#This Row],[Total PoP ]]&lt;500,1,WWWW[[#This Row],[Total PoP ]]/500),0)</f>
        <v>1</v>
      </c>
      <c r="DB33" s="734">
        <f>(WWWW[[#This Row],['#_Constructed latrines_by_WASHAgencies]]+WWWW[[#This Row],['#_Non Cluster partner latrines]])-WWWW[[#This Row],['#_Non-functional latrines]]</f>
        <v>9</v>
      </c>
      <c r="DC33" s="631">
        <f>WWWW[[#This Row],[HRP2]]/WWWW[[#This Row],[Total PoP ]]</f>
        <v>1</v>
      </c>
      <c r="DD3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DE3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132</v>
      </c>
      <c r="DF3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 s="424">
        <f>IF(WWWW[[#This Row],['# of functional latrines in THF supported by WASH partners during the reporting period2]]="",0,WWWW[[#This Row],['# of functional latrines in THF supported by WASH partners during the reporting period2]]*50)</f>
        <v>0</v>
      </c>
      <c r="DH33" s="734">
        <f>ROUND(IF(WWWW[[#This Row],[Location Type 1]]="camp",WWWW[[#This Row],[Total PoP ]]/20,IF(WWWW[[#This Row],[Location Type 1]]="Temporary Location",WWWW[[#This Row],[Total PoP ]]/50,(WWWW[[#This Row],[Total PoP ]]/6))),0)</f>
        <v>7</v>
      </c>
      <c r="DI33" s="734">
        <f>IF(WWWW[[#This Row],[Total required Latrines]]-(WWWW[[#This Row],['#_Constructed latrines_by_WASHAgencies]]+WWWW[[#This Row],['#_Non Cluster partner latrines]])&lt;0,0,WWWW[[#This Row],[Total required Latrines]]-(WWWW[[#This Row],['#_Constructed latrines_by_WASHAgencies]]+WWWW[[#This Row],['#_Non Cluster partner latrines]]))</f>
        <v>0</v>
      </c>
      <c r="DJ33" s="736">
        <f>1-WWWW[[#This Row],[% people access to functioning Latrine]]</f>
        <v>0</v>
      </c>
      <c r="DK33" s="735">
        <f>IF(OR(WWWW[[#This Row],['#_Non-functional latrines]]="",WWWW[[#This Row],['#_Non-functional latrines]]=0),0,WWWW[[#This Row],['#_Non-functional latrines]]/(WWWW[[#This Row],['#_Constructed latrines_by_WASHAgencies]]+WWWW[[#This Row],['#_Non Cluster partner latrines]]))</f>
        <v>0</v>
      </c>
      <c r="DL33" s="731">
        <f>IF(500*(WWWW[[#This Row],['#_male hygiene promoters]]+WWWW[[#This Row],['#_female hygiene promoters]])&gt;WWWW[[#This Row],[Total PoP ]],WWWW[[#This Row],[Total PoP ]],500*(WWWW[[#This Row],['#_male hygiene promoters]]+WWWW[[#This Row],['#_female hygiene promoters]]))</f>
        <v>132</v>
      </c>
      <c r="DM3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3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33" s="734">
        <f>IF(WWWW[[#This Row],['# People with access to soap]]&gt;WWWW[[#This Row],['# People with access to Sanity Pads]],WWWW[[#This Row],['# People with access to soap]],WWWW[[#This Row],['# People with access to Sanity Pads]])</f>
        <v>30</v>
      </c>
      <c r="DP33" s="734">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Q33" s="736">
        <f>IF(WWWW[[#This Row],[HRP3]]/WWWW[[#This Row],[Total PoP ]]&gt;1,1,WWWW[[#This Row],[HRP3]]/WWWW[[#This Row],[Total PoP ]])</f>
        <v>1</v>
      </c>
      <c r="DR33" s="735">
        <f>1-WWWW[[#This Row],[Hygiene Coverage%]]</f>
        <v>0</v>
      </c>
      <c r="DS33" s="733">
        <f>WWWW[[#This Row],['# people reached by regular dedicated hygiene promotion_5]]/WWWW[[#This Row],[Total PoP ]]</f>
        <v>1</v>
      </c>
      <c r="DT3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0.77419354838709675</v>
      </c>
      <c r="DU3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0.16129032258064516</v>
      </c>
      <c r="DV33" s="734">
        <f>WWWW[[#This Row],['#_Constructed/Existing hand washing stations]]-WWWW[[#This Row],['#_Non-Functional_hand_washing_stations]]</f>
        <v>1</v>
      </c>
      <c r="DW33" s="731">
        <f>IF(WWWW[[#This Row],['# Functional hand washing stations during reporting period]]*20&gt;WWWW[[#This Row],[Total HH]],WWWW[[#This Row],[Total HH]],WWWW[[#This Row],['# Functional hand washing stations during reporting period]]*20)</f>
        <v>20</v>
      </c>
      <c r="DX33" s="731">
        <f>IF(WWWW[[#This Row],[Is sufficient soap available for TLS? (Yes/No)]]="yes",WWWW[[#This Row],['#_Constructed/Existing hand washing stations at TLS/CFS/THF]],0)</f>
        <v>0</v>
      </c>
      <c r="DY33" s="428">
        <f>IF(WWWW[[#This Row],['# Functional hand washing stations during reporting period]]*100&gt;WWWW[[#This Row],[Total PoP ]],WWWW[[#This Row],[Total PoP ]],WWWW[[#This Row],['# Functional hand washing stations during reporting period]]*100)</f>
        <v>100</v>
      </c>
      <c r="DZ33" s="428" t="str">
        <f>IF(OR(WWWW[[#This Row],['#_students at TLS_CFS]]="",WWWW[[#This Row],['#_students at TLS_CFS]]=0),"No","Yes")</f>
        <v>No</v>
      </c>
      <c r="EA3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 s="727" t="str">
        <f>VLOOKUP(WWWW[[#This Row],[Site Name]],SiteDB6[[Site Name]:[CCCM Management]],6,FALSE)</f>
        <v>Yes</v>
      </c>
      <c r="EF33" s="727" t="str">
        <f>VLOOKUP(WWWW[[#This Row],[Site Name]],SiteDB6[[Site Name]:[CCCM Focal Agency]],7,FALSE)</f>
        <v>KBC-MYT</v>
      </c>
      <c r="EG33" s="727" t="str">
        <f>VLOOKUP(WWWW[[#This Row],[Site Name]],SiteDB6[[Site Name]:[Location Type 1]],9,FALSE)</f>
        <v>Camp</v>
      </c>
      <c r="EH33" s="727" t="str">
        <f>VLOOKUP(WWWW[[#This Row],[Site Name]],SiteDB6[[Site Name]:[Type of Accommodation]],10,FALSE)</f>
        <v>Camp</v>
      </c>
      <c r="EI33" s="727" t="str">
        <f>VLOOKUP(WWWW[[#This Row],[Site Name]],SiteDB6[[Site Name]:[Ethnic or GCA/NGCA]],11,FALSE)</f>
        <v>GCA</v>
      </c>
      <c r="EJ33" s="727">
        <f>VLOOKUP(WWWW[[#This Row],[Site Name]],SiteDB6[[Site Name]:[Lat]],12,FALSE)</f>
        <v>25.51352</v>
      </c>
      <c r="EK33" s="727">
        <f>VLOOKUP(WWWW[[#This Row],[Site Name]],SiteDB6[[Site Name]:[Long]],13,FALSE)</f>
        <v>96.705960000000005</v>
      </c>
      <c r="EL33" s="727" t="str">
        <f>VLOOKUP(WWWW[[#This Row],[Site Name]],SiteDB6[[Site Name]:[Pcode]],3,FALSE)</f>
        <v>MMR001CMP148</v>
      </c>
      <c r="EM33" s="732" t="str">
        <f t="shared" si="0"/>
        <v>Covered</v>
      </c>
      <c r="EN33" s="732"/>
      <c r="EO33" s="727">
        <f>VLOOKUP(WWWW[[#This Row],[Site Name]],SiteDB6[[Site Name]:[Pop
(Kachin/Shan-CCCM as of July 2021)]],16,FALSE)</f>
        <v>26</v>
      </c>
      <c r="EP33" s="727">
        <f>VLOOKUP(WWWW[[#This Row],[Site Name]],SiteDB6[[Site Name]:[Pop
(Kachin/Shan-CCCM as of July 2021)]],17,FALSE)</f>
        <v>133</v>
      </c>
    </row>
    <row r="34" spans="1:146" hidden="1">
      <c r="A34" s="725" t="s">
        <v>2763</v>
      </c>
      <c r="B34" s="725" t="s">
        <v>309</v>
      </c>
      <c r="C34" s="726" t="s">
        <v>309</v>
      </c>
      <c r="D34" s="726"/>
      <c r="E34" s="726" t="s">
        <v>37</v>
      </c>
      <c r="F34" s="726" t="s">
        <v>157</v>
      </c>
      <c r="G34" s="591" t="str">
        <f>VLOOKUP(WWWW[[#This Row],[Site Name]],SiteDB6[[Site Name]:[Location Type]],8,FALSE)</f>
        <v>Camp</v>
      </c>
      <c r="H34" s="726" t="s">
        <v>3026</v>
      </c>
      <c r="I34" s="728">
        <v>27</v>
      </c>
      <c r="J34" s="728">
        <v>126</v>
      </c>
      <c r="K34" s="729" t="s">
        <v>2650</v>
      </c>
      <c r="L34" s="730" t="s">
        <v>2651</v>
      </c>
      <c r="M34" s="728"/>
      <c r="N34" s="728"/>
      <c r="O34" s="728"/>
      <c r="P34" s="728"/>
      <c r="Q34" s="731"/>
      <c r="R34" s="728"/>
      <c r="S34" s="728"/>
      <c r="T34" s="448"/>
      <c r="U34" s="728"/>
      <c r="V34" s="728"/>
      <c r="W34" s="728"/>
      <c r="X34" s="728"/>
      <c r="Y34" s="728"/>
      <c r="Z34" s="728"/>
      <c r="AA34" s="728"/>
      <c r="AB34" s="728"/>
      <c r="AC34" s="728"/>
      <c r="AD34" s="728"/>
      <c r="AE34" s="728"/>
      <c r="AF34" s="728"/>
      <c r="AG34" s="728"/>
      <c r="AH34" s="728"/>
      <c r="AI34" s="728"/>
      <c r="AJ34" s="728"/>
      <c r="AK34" s="728"/>
      <c r="AL34" s="728"/>
      <c r="AM34" s="728"/>
      <c r="AN34" s="728"/>
      <c r="AO34" s="728"/>
      <c r="AP34" s="732"/>
      <c r="AQ34" s="728"/>
      <c r="AR34" s="728"/>
      <c r="AS34" s="733"/>
      <c r="AT34" s="728"/>
      <c r="AU34" s="728"/>
      <c r="AV34" s="728"/>
      <c r="AW34" s="728"/>
      <c r="AX34" s="728"/>
      <c r="AY34" s="425" t="s">
        <v>140</v>
      </c>
      <c r="AZ34" s="860" t="s">
        <v>140</v>
      </c>
      <c r="BA34" s="728"/>
      <c r="BB34" s="728"/>
      <c r="BC34" s="728"/>
      <c r="BD34" s="448"/>
      <c r="BE34" s="448"/>
      <c r="BF34" s="727"/>
      <c r="BG34" s="728">
        <v>8</v>
      </c>
      <c r="BH34" s="728"/>
      <c r="BI34" s="728"/>
      <c r="BJ34" s="728">
        <v>3</v>
      </c>
      <c r="BK34" s="728"/>
      <c r="BL34" s="728"/>
      <c r="BM34" s="728"/>
      <c r="BN34" s="728">
        <v>91</v>
      </c>
      <c r="BO34" s="728">
        <v>124</v>
      </c>
      <c r="BP34" s="727"/>
      <c r="BQ34" s="734"/>
      <c r="BR34" s="733"/>
      <c r="BS34" s="727"/>
      <c r="BT34" s="423"/>
      <c r="BU34" s="423"/>
      <c r="BV34" s="425"/>
      <c r="BW34" s="423"/>
      <c r="BX34" s="448"/>
      <c r="BY34" s="448"/>
      <c r="BZ34" s="448"/>
      <c r="CA34" s="448"/>
      <c r="CB34" s="448"/>
      <c r="CC34" s="777"/>
      <c r="CD34" s="448"/>
      <c r="CE34" s="735" t="str">
        <f>IFERROR(WWWW[[#This Row],['#_Water sources passed]]/WWWW[[#This Row],['#_Water sources tested for fecal coliform ]],"no test")</f>
        <v>no test</v>
      </c>
      <c r="CF34" s="733" t="str">
        <f>IFERROR(WWWW[[#This Row],['#_Household passed]]/WWWW[[#This Row],['#_Household water samples tested for fecal coliform]],"no test")</f>
        <v>no test</v>
      </c>
      <c r="CG34" s="734" t="str">
        <f>IF(AND(WWWW[[#This Row],[% of water sources passed]]="no test",WWWW[[#This Row],[% Household passed]]="no test"),"No Test","Tested")</f>
        <v>No Test</v>
      </c>
      <c r="CH34" s="734">
        <f>WWWW[[#This Row],['#_Constructed/existing protected hand dug well]]-WWWW[[#This Row],['#_Non-functional protected hand dug well]]</f>
        <v>0</v>
      </c>
      <c r="CI34" s="734">
        <f>(WWWW[[#This Row],['#_Constructed/Existing tube wells/boreholes/handpumps_WASH_agency]]+WWWW[[#This Row],['#_Non-Cluster partner water tube-wells/boreholes/handpumps]])-WWWW[[#This Row],['#_Non-functional tube wells/boreholes/handpumps]]</f>
        <v>0</v>
      </c>
      <c r="CJ34" s="734">
        <f>WWWW[[#This Row],['#_Constructed/Existingwater storage tank with gravity fed reticulation system]]-WWWW[[#This Row],['#_Non-functional storage tank gravity fed reticulation system]]</f>
        <v>0</v>
      </c>
      <c r="CK34" s="734">
        <f>(WWWW[[#This Row],['#_Water_Liters_supplied_by_Water boating or water trucking]]/90)/15</f>
        <v>0</v>
      </c>
      <c r="CL34" s="734">
        <f>WWWW[[#This Row],['#_Water_Liters_from_Constructed/Existing water distribution system from river or natural spring]]/90/15</f>
        <v>0</v>
      </c>
      <c r="CM34" s="424">
        <f>IF(WWWW[[#This Row],['#_of water points in TLS/CFS]]*500&gt;WWWW[[#This Row],[Total PoP ]],WWWW[[#This Row],[Total PoP ]],WWWW[[#This Row],['#_of water points in TLS/CFS]]*500)</f>
        <v>0</v>
      </c>
      <c r="CN34" s="424">
        <f>IF(WWWW[[#This Row],['#_of water points in THF]]*500&gt;WWWW[[#This Row],[Total PoP ]],WWWW[[#This Row],[Total PoP ]],WWWW[[#This Row],['#_of water points in THF]]*500)</f>
        <v>0</v>
      </c>
      <c r="CO3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4" s="733">
        <f>IF(WWWW[[#This Row],[Location Type 1]]="Village",WWWW[[#This Row],[Access to safe drinking water for Village]],WWWW[[#This Row],[Access to safe drinking water for Camp]])</f>
        <v>0</v>
      </c>
      <c r="CR34" s="731">
        <f>WWWW[[#This Row],[%Equitable and continuous access to sufficient quantity of safe drinking water]]*WWWW[[#This Row],[Total PoP ]]</f>
        <v>0</v>
      </c>
      <c r="CS34" s="733">
        <f>IF((WWWW[[#This Row],['#_Constructed/Existing protected/fenced ponds]]*250)/WWWW[[#This Row],[Total PoP ]]&gt;1,1,(WWWW[[#This Row],['#_Constructed/Existing protected/fenced ponds]]*250)/WWWW[[#This Row],[Total PoP ]])</f>
        <v>0</v>
      </c>
      <c r="CT34" s="731">
        <f>WWWW[[#This Row],[% Access to unimproved water points]]*WWWW[[#This Row],[Total PoP ]]</f>
        <v>0</v>
      </c>
      <c r="CU3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4" s="731">
        <f>WWWW[[#This Row],[HRP1]]/500</f>
        <v>0</v>
      </c>
      <c r="CX34" s="736">
        <f>1-WWWW[[#This Row],[% Equitable and continuous access to sufficient quantity of domestic water]]</f>
        <v>1</v>
      </c>
      <c r="CY34" s="731">
        <f>WWWW[[#This Row],[%equitable and continuous access to sufficient quantity of safe drinking and domestic water''s GAP]]*WWWW[[#This Row],[Total PoP ]]</f>
        <v>126</v>
      </c>
      <c r="CZ34" s="734">
        <f>IF(WWWW[[#This Row],[Total required water points]]-WWWW[[#This Row],['#Water points coverage]]&lt;0,0,WWWW[[#This Row],[Total required water points]]-WWWW[[#This Row],['#Water points coverage]])</f>
        <v>1</v>
      </c>
      <c r="DA34" s="734">
        <f>ROUND(IF(WWWW[[#This Row],[Total PoP ]]&lt;500,1,WWWW[[#This Row],[Total PoP ]]/500),0)</f>
        <v>1</v>
      </c>
      <c r="DB34" s="734">
        <f>(WWWW[[#This Row],['#_Constructed latrines_by_WASHAgencies]]+WWWW[[#This Row],['#_Non Cluster partner latrines]])-WWWW[[#This Row],['#_Non-functional latrines]]</f>
        <v>0</v>
      </c>
      <c r="DC34" s="631">
        <f>WWWW[[#This Row],[HRP2]]/WWWW[[#This Row],[Total PoP ]]</f>
        <v>0</v>
      </c>
      <c r="DD3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 s="424">
        <f>IF(WWWW[[#This Row],['# of functional latrines in THF supported by WASH partners during the reporting period2]]="",0,WWWW[[#This Row],['# of functional latrines in THF supported by WASH partners during the reporting period2]]*50)</f>
        <v>0</v>
      </c>
      <c r="DH34" s="734">
        <f>ROUND(IF(WWWW[[#This Row],[Location Type 1]]="camp",WWWW[[#This Row],[Total PoP ]]/20,IF(WWWW[[#This Row],[Location Type 1]]="Temporary Location",WWWW[[#This Row],[Total PoP ]]/50,(WWWW[[#This Row],[Total PoP ]]/6))),0)</f>
        <v>6</v>
      </c>
      <c r="DI34" s="734">
        <f>IF(WWWW[[#This Row],[Total required Latrines]]-(WWWW[[#This Row],['#_Constructed latrines_by_WASHAgencies]]+WWWW[[#This Row],['#_Non Cluster partner latrines]])&lt;0,0,WWWW[[#This Row],[Total required Latrines]]-(WWWW[[#This Row],['#_Constructed latrines_by_WASHAgencies]]+WWWW[[#This Row],['#_Non Cluster partner latrines]]))</f>
        <v>6</v>
      </c>
      <c r="DJ34" s="736">
        <f>1-WWWW[[#This Row],[% people access to functioning Latrine]]</f>
        <v>1</v>
      </c>
      <c r="DK34" s="735">
        <f>IF(OR(WWWW[[#This Row],['#_Non-functional latrines]]="",WWWW[[#This Row],['#_Non-functional latrines]]=0),0,WWWW[[#This Row],['#_Non-functional latrines]]/(WWWW[[#This Row],['#_Constructed latrines_by_WASHAgencies]]+WWWW[[#This Row],['#_Non Cluster partner latrines]]))</f>
        <v>0</v>
      </c>
      <c r="DL34" s="731">
        <f>IF(500*(WWWW[[#This Row],['#_male hygiene promoters]]+WWWW[[#This Row],['#_female hygiene promoters]])&gt;WWWW[[#This Row],[Total PoP ]],WWWW[[#This Row],[Total PoP ]],500*(WWWW[[#This Row],['#_male hygiene promoters]]+WWWW[[#This Row],['#_female hygiene promoters]]))</f>
        <v>0</v>
      </c>
      <c r="DM3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126</v>
      </c>
      <c r="DN3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34" s="734">
        <f>IF(WWWW[[#This Row],['# People with access to soap]]&gt;WWWW[[#This Row],['# People with access to Sanity Pads]],WWWW[[#This Row],['# People with access to soap]],WWWW[[#This Row],['# People with access to Sanity Pads]])</f>
        <v>126</v>
      </c>
      <c r="DP34" s="734">
        <f>IF(WWWW[[#This Row],['# people reached by regular dedicated hygiene promotion_5]]&gt;WWWW[[#This Row],['# People received regular supply of hygiene items_6]],WWWW[[#This Row],['# people reached by regular dedicated hygiene promotion_5]],WWWW[[#This Row],['# People received regular supply of hygiene items_6]])</f>
        <v>126</v>
      </c>
      <c r="DQ34" s="736">
        <f>IF(WWWW[[#This Row],[HRP3]]/WWWW[[#This Row],[Total PoP ]]&gt;1,1,WWWW[[#This Row],[HRP3]]/WWWW[[#This Row],[Total PoP ]])</f>
        <v>1</v>
      </c>
      <c r="DR34" s="735">
        <f>1-WWWW[[#This Row],[Hygiene Coverage%]]</f>
        <v>0</v>
      </c>
      <c r="DS34" s="733">
        <f>WWWW[[#This Row],['# people reached by regular dedicated hygiene promotion_5]]/WWWW[[#This Row],[Total PoP ]]</f>
        <v>0</v>
      </c>
      <c r="DT3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4" s="734">
        <f>WWWW[[#This Row],['#_Constructed/Existing hand washing stations]]-WWWW[[#This Row],['#_Non-Functional_hand_washing_stations]]</f>
        <v>8</v>
      </c>
      <c r="DW34" s="731">
        <f>IF(WWWW[[#This Row],['# Functional hand washing stations during reporting period]]*20&gt;WWWW[[#This Row],[Total HH]],WWWW[[#This Row],[Total HH]],WWWW[[#This Row],['# Functional hand washing stations during reporting period]]*20)</f>
        <v>27</v>
      </c>
      <c r="DX34" s="731">
        <f>IF(WWWW[[#This Row],[Is sufficient soap available for TLS? (Yes/No)]]="yes",WWWW[[#This Row],['#_Constructed/Existing hand washing stations at TLS/CFS/THF]],0)</f>
        <v>0</v>
      </c>
      <c r="DY34" s="428">
        <f>IF(WWWW[[#This Row],['# Functional hand washing stations during reporting period]]*100&gt;WWWW[[#This Row],[Total PoP ]],WWWW[[#This Row],[Total PoP ]],WWWW[[#This Row],['# Functional hand washing stations during reporting period]]*100)</f>
        <v>126</v>
      </c>
      <c r="DZ34" s="428" t="str">
        <f>IF(OR(WWWW[[#This Row],['#_students at TLS_CFS]]="",WWWW[[#This Row],['#_students at TLS_CFS]]=0),"No","Yes")</f>
        <v>No</v>
      </c>
      <c r="EA3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 s="727">
        <f>VLOOKUP(WWWW[[#This Row],[Site Name]],SiteDB6[[Site Name]:[CCCM Management]],6,FALSE)</f>
        <v>0</v>
      </c>
      <c r="EF34" s="727" t="str">
        <f>VLOOKUP(WWWW[[#This Row],[Site Name]],SiteDB6[[Site Name]:[CCCM Focal Agency]],7,FALSE)</f>
        <v>uncovered</v>
      </c>
      <c r="EG34" s="727" t="str">
        <f>VLOOKUP(WWWW[[#This Row],[Site Name]],SiteDB6[[Site Name]:[Location Type 1]],9,FALSE)</f>
        <v>Camp</v>
      </c>
      <c r="EH34" s="727" t="str">
        <f>VLOOKUP(WWWW[[#This Row],[Site Name]],SiteDB6[[Site Name]:[Type of Accommodation]],10,FALSE)</f>
        <v>IDPs in host</v>
      </c>
      <c r="EI34" s="727" t="str">
        <f>VLOOKUP(WWWW[[#This Row],[Site Name]],SiteDB6[[Site Name]:[Ethnic or GCA/NGCA]],11,FALSE)</f>
        <v>GCA</v>
      </c>
      <c r="EJ34" s="727">
        <f>VLOOKUP(WWWW[[#This Row],[Site Name]],SiteDB6[[Site Name]:[Lat]],12,FALSE)</f>
        <v>24.996279999999999</v>
      </c>
      <c r="EK34" s="727">
        <f>VLOOKUP(WWWW[[#This Row],[Site Name]],SiteDB6[[Site Name]:[Long]],13,FALSE)</f>
        <v>96.52534</v>
      </c>
      <c r="EL34" s="727" t="str">
        <f>VLOOKUP(WWWW[[#This Row],[Site Name]],SiteDB6[[Site Name]:[Pcode]],3,FALSE)</f>
        <v>MMR001CMP232</v>
      </c>
      <c r="EM34" s="732" t="str">
        <f t="shared" si="0"/>
        <v>Notcovered</v>
      </c>
      <c r="EN34" s="732"/>
      <c r="EO34" s="727">
        <f>VLOOKUP(WWWW[[#This Row],[Site Name]],SiteDB6[[Site Name]:[Pop
(Kachin/Shan-CCCM as of July 2021)]],16,FALSE)</f>
        <v>26</v>
      </c>
      <c r="EP34" s="727">
        <f>VLOOKUP(WWWW[[#This Row],[Site Name]],SiteDB6[[Site Name]:[Pop
(Kachin/Shan-CCCM as of July 2021)]],17,FALSE)</f>
        <v>125</v>
      </c>
    </row>
    <row r="35" spans="1:146" hidden="1">
      <c r="A35" s="725" t="s">
        <v>2763</v>
      </c>
      <c r="B35" s="725" t="s">
        <v>242</v>
      </c>
      <c r="C35" s="726" t="s">
        <v>242</v>
      </c>
      <c r="D35" s="726" t="s">
        <v>307</v>
      </c>
      <c r="E35" s="726" t="s">
        <v>37</v>
      </c>
      <c r="F35" s="726" t="s">
        <v>148</v>
      </c>
      <c r="G35" s="591" t="str">
        <f>VLOOKUP(WWWW[[#This Row],[Site Name]],SiteDB6[[Site Name]:[Location Type]],8,FALSE)</f>
        <v>Camp</v>
      </c>
      <c r="H35" s="726" t="s">
        <v>254</v>
      </c>
      <c r="I35" s="448">
        <v>104</v>
      </c>
      <c r="J35" s="448">
        <v>504</v>
      </c>
      <c r="K35" s="588">
        <v>44197</v>
      </c>
      <c r="L35" s="589">
        <v>44651</v>
      </c>
      <c r="M35" s="448">
        <v>50</v>
      </c>
      <c r="N35" s="448">
        <v>1</v>
      </c>
      <c r="O35" s="728"/>
      <c r="P35" s="728"/>
      <c r="Q35" s="731" t="s">
        <v>41</v>
      </c>
      <c r="R35" s="728">
        <v>7</v>
      </c>
      <c r="S35" s="728">
        <v>2</v>
      </c>
      <c r="T35" s="448">
        <v>0</v>
      </c>
      <c r="U35" s="728"/>
      <c r="V35" s="728"/>
      <c r="W35" s="728"/>
      <c r="X35" s="728"/>
      <c r="Y35" s="728"/>
      <c r="Z35" s="728"/>
      <c r="AA35" s="728">
        <v>2</v>
      </c>
      <c r="AB35" s="728"/>
      <c r="AC35" s="728"/>
      <c r="AD35" s="728"/>
      <c r="AE35" s="728">
        <v>2</v>
      </c>
      <c r="AF35" s="728"/>
      <c r="AG35" s="728">
        <v>3</v>
      </c>
      <c r="AH35" s="728"/>
      <c r="AI35" s="728"/>
      <c r="AJ35" s="728"/>
      <c r="AK35" s="728"/>
      <c r="AL35" s="728"/>
      <c r="AM35" s="728">
        <v>7</v>
      </c>
      <c r="AN35" s="448">
        <v>4</v>
      </c>
      <c r="AO35" s="448"/>
      <c r="AP35" s="590" t="s">
        <v>2895</v>
      </c>
      <c r="AQ35" s="448">
        <v>30</v>
      </c>
      <c r="AR35" s="728"/>
      <c r="AS35" s="733"/>
      <c r="AT35" s="448">
        <v>2</v>
      </c>
      <c r="AU35" s="448"/>
      <c r="AV35" s="448">
        <v>6</v>
      </c>
      <c r="AW35" s="728"/>
      <c r="AX35" s="728"/>
      <c r="AY35" s="727" t="s">
        <v>41</v>
      </c>
      <c r="AZ35" s="732" t="s">
        <v>137</v>
      </c>
      <c r="BA35" s="728">
        <v>2</v>
      </c>
      <c r="BB35" s="728"/>
      <c r="BC35" s="728"/>
      <c r="BD35" s="448"/>
      <c r="BE35" s="448"/>
      <c r="BF35" s="727" t="s">
        <v>2900</v>
      </c>
      <c r="BG35" s="448">
        <v>1</v>
      </c>
      <c r="BH35" s="448"/>
      <c r="BI35" s="448"/>
      <c r="BJ35" s="448">
        <v>1</v>
      </c>
      <c r="BK35" s="448"/>
      <c r="BL35" s="448">
        <v>1</v>
      </c>
      <c r="BM35" s="448">
        <v>1</v>
      </c>
      <c r="BN35" s="448">
        <v>6</v>
      </c>
      <c r="BO35" s="448">
        <v>5</v>
      </c>
      <c r="BP35" s="727" t="s">
        <v>41</v>
      </c>
      <c r="BQ35" s="424">
        <v>3</v>
      </c>
      <c r="BR35" s="423">
        <v>0.55000000000000004</v>
      </c>
      <c r="BS35" s="425" t="s">
        <v>2906</v>
      </c>
      <c r="BT35" s="423">
        <v>1</v>
      </c>
      <c r="BU35" s="423">
        <v>1</v>
      </c>
      <c r="BV35" s="425">
        <v>10</v>
      </c>
      <c r="BW35" s="423">
        <v>0.75</v>
      </c>
      <c r="BX35" s="448"/>
      <c r="BY35" s="448"/>
      <c r="BZ35" s="448"/>
      <c r="CA35" s="448"/>
      <c r="CB35" s="448"/>
      <c r="CC35" s="777"/>
      <c r="CD35" s="448"/>
      <c r="CE35" s="735" t="str">
        <f>IFERROR(WWWW[[#This Row],['#_Water sources passed]]/WWWW[[#This Row],['#_Water sources tested for fecal coliform ]],"no test")</f>
        <v>no test</v>
      </c>
      <c r="CF35" s="733" t="str">
        <f>IFERROR(WWWW[[#This Row],['#_Household passed]]/WWWW[[#This Row],['#_Household water samples tested for fecal coliform]],"no test")</f>
        <v>no test</v>
      </c>
      <c r="CG35" s="734" t="str">
        <f>IF(AND(WWWW[[#This Row],[% of water sources passed]]="no test",WWWW[[#This Row],[% Household passed]]="no test"),"No Test","Tested")</f>
        <v>No Test</v>
      </c>
      <c r="CH35" s="734">
        <f>WWWW[[#This Row],['#_Constructed/existing protected hand dug well]]-WWWW[[#This Row],['#_Non-functional protected hand dug well]]</f>
        <v>0</v>
      </c>
      <c r="CI35" s="734">
        <f>(WWWW[[#This Row],['#_Constructed/Existing tube wells/boreholes/handpumps_WASH_agency]]+WWWW[[#This Row],['#_Non-Cluster partner water tube-wells/boreholes/handpumps]])-WWWW[[#This Row],['#_Non-functional tube wells/boreholes/handpumps]]</f>
        <v>0</v>
      </c>
      <c r="CJ35" s="734">
        <f>WWWW[[#This Row],['#_Constructed/Existingwater storage tank with gravity fed reticulation system]]-WWWW[[#This Row],['#_Non-functional storage tank gravity fed reticulation system]]</f>
        <v>2</v>
      </c>
      <c r="CK35" s="734">
        <f>(WWWW[[#This Row],['#_Water_Liters_supplied_by_Water boating or water trucking]]/90)/15</f>
        <v>0</v>
      </c>
      <c r="CL35" s="734">
        <f>WWWW[[#This Row],['#_Water_Liters_from_Constructed/Existing water distribution system from river or natural spring]]/90/15</f>
        <v>0</v>
      </c>
      <c r="CM35" s="424">
        <f>IF(WWWW[[#This Row],['#_of water points in TLS/CFS]]*500&gt;WWWW[[#This Row],[Total PoP ]],WWWW[[#This Row],[Total PoP ]],WWWW[[#This Row],['#_of water points in TLS/CFS]]*500)</f>
        <v>504</v>
      </c>
      <c r="CN35" s="424">
        <f>IF(WWWW[[#This Row],['#_of water points in THF]]*500&gt;WWWW[[#This Row],[Total PoP ]],WWWW[[#This Row],[Total PoP ]],WWWW[[#This Row],['#_of water points in THF]]*500)</f>
        <v>0</v>
      </c>
      <c r="CO3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0.26455026455026459</v>
      </c>
      <c r="CP3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0.26455026455026459</v>
      </c>
      <c r="CQ35" s="733">
        <f>IF(WWWW[[#This Row],[Location Type 1]]="Village",WWWW[[#This Row],[Access to safe drinking water for Village]],WWWW[[#This Row],[Access to safe drinking water for Camp]])</f>
        <v>0.26455026455026459</v>
      </c>
      <c r="CR35" s="731">
        <f>WWWW[[#This Row],[%Equitable and continuous access to sufficient quantity of safe drinking water]]*WWWW[[#This Row],[Total PoP ]]</f>
        <v>133.33333333333334</v>
      </c>
      <c r="CS35" s="733">
        <f>IF((WWWW[[#This Row],['#_Constructed/Existing protected/fenced ponds]]*250)/WWWW[[#This Row],[Total PoP ]]&gt;1,1,(WWWW[[#This Row],['#_Constructed/Existing protected/fenced ponds]]*250)/WWWW[[#This Row],[Total PoP ]])</f>
        <v>0.99206349206349209</v>
      </c>
      <c r="CT35" s="731">
        <f>WWWW[[#This Row],[% Access to unimproved water points]]*WWWW[[#This Row],[Total PoP ]]</f>
        <v>500</v>
      </c>
      <c r="CU3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504</v>
      </c>
      <c r="CW35" s="731">
        <f>WWWW[[#This Row],[HRP1]]/500</f>
        <v>1.008</v>
      </c>
      <c r="CX35" s="736">
        <f>1-WWWW[[#This Row],[% Equitable and continuous access to sufficient quantity of domestic water]]</f>
        <v>0</v>
      </c>
      <c r="CY35" s="731">
        <f>WWWW[[#This Row],[%equitable and continuous access to sufficient quantity of safe drinking and domestic water''s GAP]]*WWWW[[#This Row],[Total PoP ]]</f>
        <v>0</v>
      </c>
      <c r="CZ35" s="734">
        <f>IF(WWWW[[#This Row],[Total required water points]]-WWWW[[#This Row],['#Water points coverage]]&lt;0,0,WWWW[[#This Row],[Total required water points]]-WWWW[[#This Row],['#Water points coverage]])</f>
        <v>0</v>
      </c>
      <c r="DA35" s="734">
        <f>ROUND(IF(WWWW[[#This Row],[Total PoP ]]&lt;500,1,WWWW[[#This Row],[Total PoP ]]/500),0)</f>
        <v>1</v>
      </c>
      <c r="DB35" s="734">
        <f>(WWWW[[#This Row],['#_Constructed latrines_by_WASHAgencies]]+WWWW[[#This Row],['#_Non Cluster partner latrines]])-WWWW[[#This Row],['#_Non-functional latrines]]</f>
        <v>28</v>
      </c>
      <c r="DC35" s="631">
        <f>WWWW[[#This Row],[HRP2]]/WWWW[[#This Row],[Total PoP ]]</f>
        <v>1</v>
      </c>
      <c r="DD3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504</v>
      </c>
      <c r="DE3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3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 s="424">
        <f>IF(WWWW[[#This Row],['# of functional latrines in THF supported by WASH partners during the reporting period2]]="",0,WWWW[[#This Row],['# of functional latrines in THF supported by WASH partners during the reporting period2]]*50)</f>
        <v>0</v>
      </c>
      <c r="DH35" s="734">
        <f>ROUND(IF(WWWW[[#This Row],[Location Type 1]]="camp",WWWW[[#This Row],[Total PoP ]]/20,IF(WWWW[[#This Row],[Location Type 1]]="Temporary Location",WWWW[[#This Row],[Total PoP ]]/50,(WWWW[[#This Row],[Total PoP ]]/6))),0)</f>
        <v>25</v>
      </c>
      <c r="DI35" s="734">
        <f>IF(WWWW[[#This Row],[Total required Latrines]]-(WWWW[[#This Row],['#_Constructed latrines_by_WASHAgencies]]+WWWW[[#This Row],['#_Non Cluster partner latrines]])&lt;0,0,WWWW[[#This Row],[Total required Latrines]]-(WWWW[[#This Row],['#_Constructed latrines_by_WASHAgencies]]+WWWW[[#This Row],['#_Non Cluster partner latrines]]))</f>
        <v>0</v>
      </c>
      <c r="DJ35" s="736">
        <f>1-WWWW[[#This Row],[% people access to functioning Latrine]]</f>
        <v>0</v>
      </c>
      <c r="DK35" s="735">
        <f>IF(OR(WWWW[[#This Row],['#_Non-functional latrines]]="",WWWW[[#This Row],['#_Non-functional latrines]]=0),0,WWWW[[#This Row],['#_Non-functional latrines]]/(WWWW[[#This Row],['#_Constructed latrines_by_WASHAgencies]]+WWWW[[#This Row],['#_Non Cluster partner latrines]]))</f>
        <v>6.6666666666666666E-2</v>
      </c>
      <c r="DL35" s="731">
        <f>IF(500*(WWWW[[#This Row],['#_male hygiene promoters]]+WWWW[[#This Row],['#_female hygiene promoters]])&gt;WWWW[[#This Row],[Total PoP ]],WWWW[[#This Row],[Total PoP ]],500*(WWWW[[#This Row],['#_male hygiene promoters]]+WWWW[[#This Row],['#_female hygiene promoters]]))</f>
        <v>504</v>
      </c>
      <c r="DM3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3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35" s="734">
        <f>IF(WWWW[[#This Row],['# People with access to soap]]&gt;WWWW[[#This Row],['# People with access to Sanity Pads]],WWWW[[#This Row],['# People with access to soap]],WWWW[[#This Row],['# People with access to Sanity Pads]])</f>
        <v>30</v>
      </c>
      <c r="DP35" s="734">
        <f>IF(WWWW[[#This Row],['# people reached by regular dedicated hygiene promotion_5]]&gt;WWWW[[#This Row],['# People received regular supply of hygiene items_6]],WWWW[[#This Row],['# people reached by regular dedicated hygiene promotion_5]],WWWW[[#This Row],['# People received regular supply of hygiene items_6]])</f>
        <v>504</v>
      </c>
      <c r="DQ35" s="736">
        <f>IF(WWWW[[#This Row],[HRP3]]/WWWW[[#This Row],[Total PoP ]]&gt;1,1,WWWW[[#This Row],[HRP3]]/WWWW[[#This Row],[Total PoP ]])</f>
        <v>1</v>
      </c>
      <c r="DR35" s="735">
        <f>1-WWWW[[#This Row],[Hygiene Coverage%]]</f>
        <v>0</v>
      </c>
      <c r="DS35" s="733">
        <f>WWWW[[#This Row],['# people reached by regular dedicated hygiene promotion_5]]/WWWW[[#This Row],[Total PoP ]]</f>
        <v>1</v>
      </c>
      <c r="DT3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0.23076923076923078</v>
      </c>
      <c r="DU3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4.807692307692308E-2</v>
      </c>
      <c r="DV35" s="734">
        <f>WWWW[[#This Row],['#_Constructed/Existing hand washing stations]]-WWWW[[#This Row],['#_Non-Functional_hand_washing_stations]]</f>
        <v>1</v>
      </c>
      <c r="DW35" s="731">
        <f>IF(WWWW[[#This Row],['# Functional hand washing stations during reporting period]]*20&gt;WWWW[[#This Row],[Total HH]],WWWW[[#This Row],[Total HH]],WWWW[[#This Row],['# Functional hand washing stations during reporting period]]*20)</f>
        <v>20</v>
      </c>
      <c r="DX35" s="731">
        <f>IF(WWWW[[#This Row],[Is sufficient soap available for TLS? (Yes/No)]]="yes",WWWW[[#This Row],['#_Constructed/Existing hand washing stations at TLS/CFS/THF]],0)</f>
        <v>7</v>
      </c>
      <c r="DY35" s="428">
        <f>IF(WWWW[[#This Row],['# Functional hand washing stations during reporting period]]*100&gt;WWWW[[#This Row],[Total PoP ]],WWWW[[#This Row],[Total PoP ]],WWWW[[#This Row],['# Functional hand washing stations during reporting period]]*100)</f>
        <v>100</v>
      </c>
      <c r="DZ35" s="428" t="str">
        <f>IF(OR(WWWW[[#This Row],['#_students at TLS_CFS]]="",WWWW[[#This Row],['#_students at TLS_CFS]]=0),"No","Yes")</f>
        <v>Yes</v>
      </c>
      <c r="EA35" s="631">
        <f>IF(WWWW[[#This Row],['#_of_affected_people_surveyed_who_report_feeling_informed_about_the_different_WASH_services_available_to_them]]="","",WWWW[[#This Row],['#_of_affected_people_surveyed_who_report_feeling_informed_about_the_different_WASH_services_available_to_them]]/WWWW[[#This Row],[Total PoP ]])</f>
        <v>1.984126984126984E-2</v>
      </c>
      <c r="EB3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504</v>
      </c>
      <c r="ED3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 s="727" t="str">
        <f>VLOOKUP(WWWW[[#This Row],[Site Name]],SiteDB6[[Site Name]:[CCCM Management]],6,FALSE)</f>
        <v>Yes</v>
      </c>
      <c r="EF35" s="727" t="str">
        <f>VLOOKUP(WWWW[[#This Row],[Site Name]],SiteDB6[[Site Name]:[CCCM Focal Agency]],7,FALSE)</f>
        <v>KBC-MYT</v>
      </c>
      <c r="EG35" s="727" t="str">
        <f>VLOOKUP(WWWW[[#This Row],[Site Name]],SiteDB6[[Site Name]:[Location Type 1]],9,FALSE)</f>
        <v>Camp</v>
      </c>
      <c r="EH35" s="727" t="str">
        <f>VLOOKUP(WWWW[[#This Row],[Site Name]],SiteDB6[[Site Name]:[Type of Accommodation]],10,FALSE)</f>
        <v>Camp</v>
      </c>
      <c r="EI35" s="727" t="str">
        <f>VLOOKUP(WWWW[[#This Row],[Site Name]],SiteDB6[[Site Name]:[Ethnic or GCA/NGCA]],11,FALSE)</f>
        <v>GCA</v>
      </c>
      <c r="EJ35" s="727">
        <f>VLOOKUP(WWWW[[#This Row],[Site Name]],SiteDB6[[Site Name]:[Lat]],12,FALSE)</f>
        <v>25.611160000000002</v>
      </c>
      <c r="EK35" s="727">
        <f>VLOOKUP(WWWW[[#This Row],[Site Name]],SiteDB6[[Site Name]:[Long]],13,FALSE)</f>
        <v>96.312790000000007</v>
      </c>
      <c r="EL35" s="727" t="str">
        <f>VLOOKUP(WWWW[[#This Row],[Site Name]],SiteDB6[[Site Name]:[Pcode]],3,FALSE)</f>
        <v>MMR001CMP229</v>
      </c>
      <c r="EM35" s="732" t="str">
        <f t="shared" si="0"/>
        <v>Covered</v>
      </c>
      <c r="EN35" s="732"/>
      <c r="EO35" s="727">
        <f>VLOOKUP(WWWW[[#This Row],[Site Name]],SiteDB6[[Site Name]:[Pop
(Kachin/Shan-CCCM as of July 2021)]],16,FALSE)</f>
        <v>97</v>
      </c>
      <c r="EP35" s="727">
        <f>VLOOKUP(WWWW[[#This Row],[Site Name]],SiteDB6[[Site Name]:[Pop
(Kachin/Shan-CCCM as of July 2021)]],17,FALSE)</f>
        <v>484</v>
      </c>
    </row>
    <row r="36" spans="1:146" hidden="1">
      <c r="A36" s="725" t="s">
        <v>2763</v>
      </c>
      <c r="B36" s="725" t="s">
        <v>141</v>
      </c>
      <c r="C36" s="726" t="s">
        <v>141</v>
      </c>
      <c r="D36" s="726" t="s">
        <v>241</v>
      </c>
      <c r="E36" s="726" t="s">
        <v>37</v>
      </c>
      <c r="F36" s="726" t="s">
        <v>146</v>
      </c>
      <c r="G36" s="591" t="str">
        <f>VLOOKUP(WWWW[[#This Row],[Site Name]],SiteDB6[[Site Name]:[Location Type]],8,FALSE)</f>
        <v>Camp</v>
      </c>
      <c r="H36" s="726" t="s">
        <v>147</v>
      </c>
      <c r="I36" s="728">
        <v>169</v>
      </c>
      <c r="J36" s="728">
        <v>837</v>
      </c>
      <c r="K36" s="729">
        <v>44105</v>
      </c>
      <c r="L36" s="730">
        <v>44681</v>
      </c>
      <c r="M36" s="728"/>
      <c r="N36" s="728">
        <v>3</v>
      </c>
      <c r="O36" s="728"/>
      <c r="P36" s="728"/>
      <c r="Q36" s="731" t="s">
        <v>41</v>
      </c>
      <c r="R36" s="728"/>
      <c r="S36" s="728">
        <v>4</v>
      </c>
      <c r="T36" s="448"/>
      <c r="U36" s="728"/>
      <c r="V36" s="728"/>
      <c r="W36" s="728"/>
      <c r="X36" s="728"/>
      <c r="Y36" s="728"/>
      <c r="Z36" s="728"/>
      <c r="AA36" s="728"/>
      <c r="AB36" s="728"/>
      <c r="AC36" s="728"/>
      <c r="AD36" s="728"/>
      <c r="AE36" s="728"/>
      <c r="AF36" s="728"/>
      <c r="AG36" s="728"/>
      <c r="AH36" s="728"/>
      <c r="AI36" s="728"/>
      <c r="AJ36" s="728"/>
      <c r="AK36" s="728"/>
      <c r="AL36" s="728"/>
      <c r="AM36" s="728"/>
      <c r="AN36" s="728"/>
      <c r="AO36" s="728"/>
      <c r="AP36" s="732"/>
      <c r="AQ36" s="728">
        <v>32</v>
      </c>
      <c r="AR36" s="728"/>
      <c r="AS36" s="733"/>
      <c r="AT36" s="728"/>
      <c r="AU36" s="728"/>
      <c r="AV36" s="728"/>
      <c r="AW36" s="728"/>
      <c r="AX36" s="728">
        <v>32</v>
      </c>
      <c r="AY36" s="727" t="s">
        <v>41</v>
      </c>
      <c r="AZ36" s="732" t="s">
        <v>137</v>
      </c>
      <c r="BA36" s="728"/>
      <c r="BB36" s="728"/>
      <c r="BC36" s="728">
        <v>5</v>
      </c>
      <c r="BD36" s="448"/>
      <c r="BE36" s="448"/>
      <c r="BF36" s="727"/>
      <c r="BG36" s="728">
        <v>8</v>
      </c>
      <c r="BH36" s="728"/>
      <c r="BI36" s="728"/>
      <c r="BJ36" s="728">
        <v>3</v>
      </c>
      <c r="BK36" s="728"/>
      <c r="BL36" s="728">
        <v>2</v>
      </c>
      <c r="BM36" s="728">
        <v>1</v>
      </c>
      <c r="BN36" s="728">
        <v>91</v>
      </c>
      <c r="BO36" s="728">
        <v>124</v>
      </c>
      <c r="BP36" s="727"/>
      <c r="BQ36" s="734"/>
      <c r="BR36" s="733"/>
      <c r="BS36" s="727"/>
      <c r="BT36" s="423"/>
      <c r="BU36" s="423"/>
      <c r="BV36" s="425"/>
      <c r="BW36" s="423"/>
      <c r="BX36" s="448"/>
      <c r="BY36" s="448"/>
      <c r="BZ36" s="448"/>
      <c r="CA36" s="448"/>
      <c r="CB36" s="448"/>
      <c r="CC36" s="777"/>
      <c r="CD36" s="448"/>
      <c r="CE36" s="735" t="str">
        <f>IFERROR(WWWW[[#This Row],['#_Water sources passed]]/WWWW[[#This Row],['#_Water sources tested for fecal coliform ]],"no test")</f>
        <v>no test</v>
      </c>
      <c r="CF36" s="733" t="str">
        <f>IFERROR(WWWW[[#This Row],['#_Household passed]]/WWWW[[#This Row],['#_Household water samples tested for fecal coliform]],"no test")</f>
        <v>no test</v>
      </c>
      <c r="CG36" s="734" t="str">
        <f>IF(AND(WWWW[[#This Row],[% of water sources passed]]="no test",WWWW[[#This Row],[% Household passed]]="no test"),"No Test","Tested")</f>
        <v>No Test</v>
      </c>
      <c r="CH36" s="734">
        <f>WWWW[[#This Row],['#_Constructed/existing protected hand dug well]]-WWWW[[#This Row],['#_Non-functional protected hand dug well]]</f>
        <v>0</v>
      </c>
      <c r="CI36" s="734">
        <f>(WWWW[[#This Row],['#_Constructed/Existing tube wells/boreholes/handpumps_WASH_agency]]+WWWW[[#This Row],['#_Non-Cluster partner water tube-wells/boreholes/handpumps]])-WWWW[[#This Row],['#_Non-functional tube wells/boreholes/handpumps]]</f>
        <v>0</v>
      </c>
      <c r="CJ36" s="734">
        <f>WWWW[[#This Row],['#_Constructed/Existingwater storage tank with gravity fed reticulation system]]-WWWW[[#This Row],['#_Non-functional storage tank gravity fed reticulation system]]</f>
        <v>0</v>
      </c>
      <c r="CK36" s="734">
        <f>(WWWW[[#This Row],['#_Water_Liters_supplied_by_Water boating or water trucking]]/90)/15</f>
        <v>0</v>
      </c>
      <c r="CL36" s="734">
        <f>WWWW[[#This Row],['#_Water_Liters_from_Constructed/Existing water distribution system from river or natural spring]]/90/15</f>
        <v>0</v>
      </c>
      <c r="CM36" s="424">
        <f>IF(WWWW[[#This Row],['#_of water points in TLS/CFS]]*500&gt;WWWW[[#This Row],[Total PoP ]],WWWW[[#This Row],[Total PoP ]],WWWW[[#This Row],['#_of water points in TLS/CFS]]*500)</f>
        <v>0</v>
      </c>
      <c r="CN36" s="424">
        <f>IF(WWWW[[#This Row],['#_of water points in THF]]*500&gt;WWWW[[#This Row],[Total PoP ]],WWWW[[#This Row],[Total PoP ]],WWWW[[#This Row],['#_of water points in THF]]*500)</f>
        <v>0</v>
      </c>
      <c r="CO3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6" s="733">
        <f>IF(WWWW[[#This Row],[Location Type 1]]="Village",WWWW[[#This Row],[Access to safe drinking water for Village]],WWWW[[#This Row],[Access to safe drinking water for Camp]])</f>
        <v>0</v>
      </c>
      <c r="CR36" s="731">
        <f>WWWW[[#This Row],[%Equitable and continuous access to sufficient quantity of safe drinking water]]*WWWW[[#This Row],[Total PoP ]]</f>
        <v>0</v>
      </c>
      <c r="CS36" s="733">
        <f>IF((WWWW[[#This Row],['#_Constructed/Existing protected/fenced ponds]]*250)/WWWW[[#This Row],[Total PoP ]]&gt;1,1,(WWWW[[#This Row],['#_Constructed/Existing protected/fenced ponds]]*250)/WWWW[[#This Row],[Total PoP ]])</f>
        <v>0</v>
      </c>
      <c r="CT36" s="731">
        <f>WWWW[[#This Row],[% Access to unimproved water points]]*WWWW[[#This Row],[Total PoP ]]</f>
        <v>0</v>
      </c>
      <c r="CU3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6" s="731">
        <f>WWWW[[#This Row],[HRP1]]/500</f>
        <v>0</v>
      </c>
      <c r="CX36" s="736">
        <f>1-WWWW[[#This Row],[% Equitable and continuous access to sufficient quantity of domestic water]]</f>
        <v>1</v>
      </c>
      <c r="CY36" s="731">
        <f>WWWW[[#This Row],[%equitable and continuous access to sufficient quantity of safe drinking and domestic water''s GAP]]*WWWW[[#This Row],[Total PoP ]]</f>
        <v>837</v>
      </c>
      <c r="CZ36" s="734">
        <f>IF(WWWW[[#This Row],[Total required water points]]-WWWW[[#This Row],['#Water points coverage]]&lt;0,0,WWWW[[#This Row],[Total required water points]]-WWWW[[#This Row],['#Water points coverage]])</f>
        <v>2</v>
      </c>
      <c r="DA36" s="734">
        <f>ROUND(IF(WWWW[[#This Row],[Total PoP ]]&lt;500,1,WWWW[[#This Row],[Total PoP ]]/500),0)</f>
        <v>2</v>
      </c>
      <c r="DB36" s="734">
        <f>(WWWW[[#This Row],['#_Constructed latrines_by_WASHAgencies]]+WWWW[[#This Row],['#_Non Cluster partner latrines]])-WWWW[[#This Row],['#_Non-functional latrines]]</f>
        <v>32</v>
      </c>
      <c r="DC36" s="631">
        <f>WWWW[[#This Row],[HRP2]]/WWWW[[#This Row],[Total PoP ]]</f>
        <v>0.7646356033452808</v>
      </c>
      <c r="DD3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3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 s="424">
        <f>IF(WWWW[[#This Row],['# of functional latrines in THF supported by WASH partners during the reporting period2]]="",0,WWWW[[#This Row],['# of functional latrines in THF supported by WASH partners during the reporting period2]]*50)</f>
        <v>0</v>
      </c>
      <c r="DH36" s="734">
        <f>ROUND(IF(WWWW[[#This Row],[Location Type 1]]="camp",WWWW[[#This Row],[Total PoP ]]/20,IF(WWWW[[#This Row],[Location Type 1]]="Temporary Location",WWWW[[#This Row],[Total PoP ]]/50,(WWWW[[#This Row],[Total PoP ]]/6))),0)</f>
        <v>42</v>
      </c>
      <c r="DI36" s="734">
        <f>IF(WWWW[[#This Row],[Total required Latrines]]-(WWWW[[#This Row],['#_Constructed latrines_by_WASHAgencies]]+WWWW[[#This Row],['#_Non Cluster partner latrines]])&lt;0,0,WWWW[[#This Row],[Total required Latrines]]-(WWWW[[#This Row],['#_Constructed latrines_by_WASHAgencies]]+WWWW[[#This Row],['#_Non Cluster partner latrines]]))</f>
        <v>10</v>
      </c>
      <c r="DJ36" s="736">
        <f>1-WWWW[[#This Row],[% people access to functioning Latrine]]</f>
        <v>0.2353643966547192</v>
      </c>
      <c r="DK36" s="735">
        <f>IF(OR(WWWW[[#This Row],['#_Non-functional latrines]]="",WWWW[[#This Row],['#_Non-functional latrines]]=0),0,WWWW[[#This Row],['#_Non-functional latrines]]/(WWWW[[#This Row],['#_Constructed latrines_by_WASHAgencies]]+WWWW[[#This Row],['#_Non Cluster partner latrines]]))</f>
        <v>0</v>
      </c>
      <c r="DL36" s="731">
        <f>IF(500*(WWWW[[#This Row],['#_male hygiene promoters]]+WWWW[[#This Row],['#_female hygiene promoters]])&gt;WWWW[[#This Row],[Total PoP ]],WWWW[[#This Row],[Total PoP ]],500*(WWWW[[#This Row],['#_male hygiene promoters]]+WWWW[[#This Row],['#_female hygiene promoters]]))</f>
        <v>837</v>
      </c>
      <c r="DM3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3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36" s="734">
        <f>IF(WWWW[[#This Row],['# People with access to soap]]&gt;WWWW[[#This Row],['# People with access to Sanity Pads]],WWWW[[#This Row],['# People with access to soap]],WWWW[[#This Row],['# People with access to Sanity Pads]])</f>
        <v>455</v>
      </c>
      <c r="DP36" s="734">
        <f>IF(WWWW[[#This Row],['# people reached by regular dedicated hygiene promotion_5]]&gt;WWWW[[#This Row],['# People received regular supply of hygiene items_6]],WWWW[[#This Row],['# people reached by regular dedicated hygiene promotion_5]],WWWW[[#This Row],['# People received regular supply of hygiene items_6]])</f>
        <v>837</v>
      </c>
      <c r="DQ36" s="736">
        <f>IF(WWWW[[#This Row],[HRP3]]/WWWW[[#This Row],[Total PoP ]]&gt;1,1,WWWW[[#This Row],[HRP3]]/WWWW[[#This Row],[Total PoP ]])</f>
        <v>1</v>
      </c>
      <c r="DR36" s="735">
        <f>1-WWWW[[#This Row],[Hygiene Coverage%]]</f>
        <v>0</v>
      </c>
      <c r="DS36" s="733">
        <f>WWWW[[#This Row],['# people reached by regular dedicated hygiene promotion_5]]/WWWW[[#This Row],[Total PoP ]]</f>
        <v>1</v>
      </c>
      <c r="DT3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0.53846153846153844</v>
      </c>
      <c r="DU3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0.73372781065088755</v>
      </c>
      <c r="DV36" s="734">
        <f>WWWW[[#This Row],['#_Constructed/Existing hand washing stations]]-WWWW[[#This Row],['#_Non-Functional_hand_washing_stations]]</f>
        <v>8</v>
      </c>
      <c r="DW36" s="731">
        <f>IF(WWWW[[#This Row],['# Functional hand washing stations during reporting period]]*20&gt;WWWW[[#This Row],[Total HH]],WWWW[[#This Row],[Total HH]],WWWW[[#This Row],['# Functional hand washing stations during reporting period]]*20)</f>
        <v>160</v>
      </c>
      <c r="DX36" s="731">
        <f>IF(WWWW[[#This Row],[Is sufficient soap available for TLS? (Yes/No)]]="yes",WWWW[[#This Row],['#_Constructed/Existing hand washing stations at TLS/CFS/THF]],0)</f>
        <v>0</v>
      </c>
      <c r="DY36" s="428">
        <f>IF(WWWW[[#This Row],['# Functional hand washing stations during reporting period]]*100&gt;WWWW[[#This Row],[Total PoP ]],WWWW[[#This Row],[Total PoP ]],WWWW[[#This Row],['# Functional hand washing stations during reporting period]]*100)</f>
        <v>800</v>
      </c>
      <c r="DZ36" s="428" t="str">
        <f>IF(OR(WWWW[[#This Row],['#_students at TLS_CFS]]="",WWWW[[#This Row],['#_students at TLS_CFS]]=0),"No","Yes")</f>
        <v>No</v>
      </c>
      <c r="EA3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 s="727" t="str">
        <f>VLOOKUP(WWWW[[#This Row],[Site Name]],SiteDB6[[Site Name]:[CCCM Management]],6,FALSE)</f>
        <v>Yes</v>
      </c>
      <c r="EF36" s="727" t="str">
        <f>VLOOKUP(WWWW[[#This Row],[Site Name]],SiteDB6[[Site Name]:[CCCM Focal Agency]],7,FALSE)</f>
        <v>KBC-MYT</v>
      </c>
      <c r="EG36" s="727" t="str">
        <f>VLOOKUP(WWWW[[#This Row],[Site Name]],SiteDB6[[Site Name]:[Location Type 1]],9,FALSE)</f>
        <v>Camp</v>
      </c>
      <c r="EH36" s="727" t="str">
        <f>VLOOKUP(WWWW[[#This Row],[Site Name]],SiteDB6[[Site Name]:[Type of Accommodation]],10,FALSE)</f>
        <v>Camp</v>
      </c>
      <c r="EI36" s="727" t="str">
        <f>VLOOKUP(WWWW[[#This Row],[Site Name]],SiteDB6[[Site Name]:[Ethnic or GCA/NGCA]],11,FALSE)</f>
        <v>NGCA</v>
      </c>
      <c r="EJ36" s="727">
        <f>VLOOKUP(WWWW[[#This Row],[Site Name]],SiteDB6[[Site Name]:[Lat]],12,FALSE)</f>
        <v>25.754110000000001</v>
      </c>
      <c r="EK36" s="727">
        <f>VLOOKUP(WWWW[[#This Row],[Site Name]],SiteDB6[[Site Name]:[Long]],13,FALSE)</f>
        <v>98.475719999999995</v>
      </c>
      <c r="EL36" s="727" t="str">
        <f>VLOOKUP(WWWW[[#This Row],[Site Name]],SiteDB6[[Site Name]:[Pcode]],3,FALSE)</f>
        <v>MMR001CMP043</v>
      </c>
      <c r="EM36" s="732" t="str">
        <f t="shared" si="0"/>
        <v>Covered</v>
      </c>
      <c r="EN36" s="732"/>
      <c r="EO36" s="727">
        <f>VLOOKUP(WWWW[[#This Row],[Site Name]],SiteDB6[[Site Name]:[Pop
(Kachin/Shan-CCCM as of July 2021)]],16,FALSE)</f>
        <v>167</v>
      </c>
      <c r="EP36" s="727">
        <f>VLOOKUP(WWWW[[#This Row],[Site Name]],SiteDB6[[Site Name]:[Pop
(Kachin/Shan-CCCM as of July 2021)]],17,FALSE)</f>
        <v>936</v>
      </c>
    </row>
    <row r="37" spans="1:146" hidden="1">
      <c r="A37" s="725" t="s">
        <v>2763</v>
      </c>
      <c r="B37" s="725" t="s">
        <v>192</v>
      </c>
      <c r="C37" s="726" t="s">
        <v>192</v>
      </c>
      <c r="D37" s="726" t="s">
        <v>2679</v>
      </c>
      <c r="E37" s="726" t="s">
        <v>37</v>
      </c>
      <c r="F37" s="726" t="s">
        <v>205</v>
      </c>
      <c r="G37" s="591" t="str">
        <f>VLOOKUP(WWWW[[#This Row],[Site Name]],SiteDB6[[Site Name]:[Location Type]],8,FALSE)</f>
        <v>Camp</v>
      </c>
      <c r="H37" s="726" t="s">
        <v>217</v>
      </c>
      <c r="I37" s="728">
        <v>715</v>
      </c>
      <c r="J37" s="728">
        <v>3789</v>
      </c>
      <c r="K37" s="729" t="s">
        <v>2670</v>
      </c>
      <c r="L37" s="730" t="s">
        <v>2680</v>
      </c>
      <c r="M37" s="728"/>
      <c r="N37" s="728"/>
      <c r="O37" s="728">
        <v>3</v>
      </c>
      <c r="P37" s="728"/>
      <c r="Q37" s="731" t="s">
        <v>41</v>
      </c>
      <c r="R37" s="728">
        <v>4</v>
      </c>
      <c r="S37" s="728">
        <v>3</v>
      </c>
      <c r="T37" s="448">
        <v>3</v>
      </c>
      <c r="U37" s="728"/>
      <c r="V37" s="728"/>
      <c r="W37" s="728"/>
      <c r="X37" s="728"/>
      <c r="Y37" s="728"/>
      <c r="Z37" s="728"/>
      <c r="AA37" s="728">
        <v>1</v>
      </c>
      <c r="AB37" s="728"/>
      <c r="AC37" s="728"/>
      <c r="AD37" s="728"/>
      <c r="AE37" s="728"/>
      <c r="AF37" s="728">
        <v>265230</v>
      </c>
      <c r="AG37" s="728"/>
      <c r="AH37" s="728"/>
      <c r="AI37" s="728"/>
      <c r="AJ37" s="728"/>
      <c r="AK37" s="728"/>
      <c r="AL37" s="728"/>
      <c r="AM37" s="728">
        <v>4</v>
      </c>
      <c r="AN37" s="728">
        <v>3</v>
      </c>
      <c r="AO37" s="728"/>
      <c r="AP37" s="732"/>
      <c r="AQ37" s="728">
        <v>306</v>
      </c>
      <c r="AR37" s="728"/>
      <c r="AS37" s="733"/>
      <c r="AT37" s="728"/>
      <c r="AU37" s="728"/>
      <c r="AV37" s="728"/>
      <c r="AW37" s="728"/>
      <c r="AX37" s="728"/>
      <c r="AY37" s="727" t="s">
        <v>41</v>
      </c>
      <c r="AZ37" s="732" t="s">
        <v>137</v>
      </c>
      <c r="BA37" s="728">
        <v>13</v>
      </c>
      <c r="BB37" s="728"/>
      <c r="BC37" s="728">
        <v>46</v>
      </c>
      <c r="BD37" s="448">
        <v>4</v>
      </c>
      <c r="BE37" s="448"/>
      <c r="BF37" s="727" t="s">
        <v>2682</v>
      </c>
      <c r="BG37" s="728">
        <v>1</v>
      </c>
      <c r="BH37" s="728"/>
      <c r="BI37" s="728"/>
      <c r="BJ37" s="728">
        <v>1</v>
      </c>
      <c r="BK37" s="728"/>
      <c r="BL37" s="728"/>
      <c r="BM37" s="728">
        <v>1</v>
      </c>
      <c r="BN37" s="728">
        <v>6</v>
      </c>
      <c r="BO37" s="728">
        <v>5</v>
      </c>
      <c r="BP37" s="727" t="s">
        <v>41</v>
      </c>
      <c r="BQ37" s="734"/>
      <c r="BR37" s="733"/>
      <c r="BS37" s="727"/>
      <c r="BT37" s="423"/>
      <c r="BU37" s="423"/>
      <c r="BV37" s="425"/>
      <c r="BW37" s="423"/>
      <c r="BX37" s="448"/>
      <c r="BY37" s="448"/>
      <c r="BZ37" s="448"/>
      <c r="CA37" s="448"/>
      <c r="CB37" s="448"/>
      <c r="CC37" s="777"/>
      <c r="CD37" s="448"/>
      <c r="CE37" s="735" t="str">
        <f>IFERROR(WWWW[[#This Row],['#_Water sources passed]]/WWWW[[#This Row],['#_Water sources tested for fecal coliform ]],"no test")</f>
        <v>no test</v>
      </c>
      <c r="CF37" s="733" t="str">
        <f>IFERROR(WWWW[[#This Row],['#_Household passed]]/WWWW[[#This Row],['#_Household water samples tested for fecal coliform]],"no test")</f>
        <v>no test</v>
      </c>
      <c r="CG37" s="734" t="str">
        <f>IF(AND(WWWW[[#This Row],[% of water sources passed]]="no test",WWWW[[#This Row],[% Household passed]]="no test"),"No Test","Tested")</f>
        <v>No Test</v>
      </c>
      <c r="CH37" s="734">
        <f>WWWW[[#This Row],['#_Constructed/existing protected hand dug well]]-WWWW[[#This Row],['#_Non-functional protected hand dug well]]</f>
        <v>3</v>
      </c>
      <c r="CI37" s="734">
        <f>(WWWW[[#This Row],['#_Constructed/Existing tube wells/boreholes/handpumps_WASH_agency]]+WWWW[[#This Row],['#_Non-Cluster partner water tube-wells/boreholes/handpumps]])-WWWW[[#This Row],['#_Non-functional tube wells/boreholes/handpumps]]</f>
        <v>0</v>
      </c>
      <c r="CJ37" s="734">
        <f>WWWW[[#This Row],['#_Constructed/Existingwater storage tank with gravity fed reticulation system]]-WWWW[[#This Row],['#_Non-functional storage tank gravity fed reticulation system]]</f>
        <v>1</v>
      </c>
      <c r="CK37" s="734">
        <f>(WWWW[[#This Row],['#_Water_Liters_supplied_by_Water boating or water trucking]]/90)/15</f>
        <v>0</v>
      </c>
      <c r="CL37" s="734">
        <f>WWWW[[#This Row],['#_Water_Liters_from_Constructed/Existing water distribution system from river or natural spring]]/90/15</f>
        <v>196.46666666666667</v>
      </c>
      <c r="CM37" s="424">
        <f>IF(WWWW[[#This Row],['#_of water points in TLS/CFS]]*500&gt;WWWW[[#This Row],[Total PoP ]],WWWW[[#This Row],[Total PoP ]],WWWW[[#This Row],['#_of water points in TLS/CFS]]*500)</f>
        <v>1500</v>
      </c>
      <c r="CN37" s="424">
        <f>IF(WWWW[[#This Row],['#_of water points in THF]]*500&gt;WWWW[[#This Row],[Total PoP ]],WWWW[[#This Row],[Total PoP ]],WWWW[[#This Row],['#_of water points in THF]]*500)</f>
        <v>0</v>
      </c>
      <c r="CO3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0.38615289874197239</v>
      </c>
      <c r="CP3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0.26738805313627168</v>
      </c>
      <c r="CQ37" s="733">
        <f>IF(WWWW[[#This Row],[Location Type 1]]="Village",WWWW[[#This Row],[Access to safe drinking water for Village]],WWWW[[#This Row],[Access to safe drinking water for Camp]])</f>
        <v>0.38615289874197239</v>
      </c>
      <c r="CR37" s="731">
        <f>WWWW[[#This Row],[%Equitable and continuous access to sufficient quantity of safe drinking water]]*WWWW[[#This Row],[Total PoP ]]</f>
        <v>1463.1333333333334</v>
      </c>
      <c r="CS37" s="733">
        <f>IF((WWWW[[#This Row],['#_Constructed/Existing protected/fenced ponds]]*250)/WWWW[[#This Row],[Total PoP ]]&gt;1,1,(WWWW[[#This Row],['#_Constructed/Existing protected/fenced ponds]]*250)/WWWW[[#This Row],[Total PoP ]])</f>
        <v>0</v>
      </c>
      <c r="CT37" s="731">
        <f>WWWW[[#This Row],[% Access to unimproved water points]]*WWWW[[#This Row],[Total PoP ]]</f>
        <v>0</v>
      </c>
      <c r="CU3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0.38615289874197239</v>
      </c>
      <c r="CV3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1463.1333333333334</v>
      </c>
      <c r="CW37" s="731">
        <f>WWWW[[#This Row],[HRP1]]/500</f>
        <v>2.9262666666666668</v>
      </c>
      <c r="CX37" s="736">
        <f>1-WWWW[[#This Row],[% Equitable and continuous access to sufficient quantity of domestic water]]</f>
        <v>0.61384710125802755</v>
      </c>
      <c r="CY37" s="731">
        <f>WWWW[[#This Row],[%equitable and continuous access to sufficient quantity of safe drinking and domestic water''s GAP]]*WWWW[[#This Row],[Total PoP ]]</f>
        <v>2325.8666666666663</v>
      </c>
      <c r="CZ37" s="734">
        <f>IF(WWWW[[#This Row],[Total required water points]]-WWWW[[#This Row],['#Water points coverage]]&lt;0,0,WWWW[[#This Row],[Total required water points]]-WWWW[[#This Row],['#Water points coverage]])</f>
        <v>5.0737333333333332</v>
      </c>
      <c r="DA37" s="734">
        <f>ROUND(IF(WWWW[[#This Row],[Total PoP ]]&lt;500,1,WWWW[[#This Row],[Total PoP ]]/500),0)</f>
        <v>8</v>
      </c>
      <c r="DB37" s="734">
        <f>(WWWW[[#This Row],['#_Constructed latrines_by_WASHAgencies]]+WWWW[[#This Row],['#_Non Cluster partner latrines]])-WWWW[[#This Row],['#_Non-functional latrines]]</f>
        <v>306</v>
      </c>
      <c r="DC37" s="631">
        <f>WWWW[[#This Row],[HRP2]]/WWWW[[#This Row],[Total PoP ]]</f>
        <v>1</v>
      </c>
      <c r="DD3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3789</v>
      </c>
      <c r="DE3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 s="424">
        <f>IF(WWWW[[#This Row],['# of functional latrines in THF supported by WASH partners during the reporting period2]]="",0,WWWW[[#This Row],['# of functional latrines in THF supported by WASH partners during the reporting period2]]*50)</f>
        <v>200</v>
      </c>
      <c r="DH37" s="734">
        <f>ROUND(IF(WWWW[[#This Row],[Location Type 1]]="camp",WWWW[[#This Row],[Total PoP ]]/20,IF(WWWW[[#This Row],[Location Type 1]]="Temporary Location",WWWW[[#This Row],[Total PoP ]]/50,(WWWW[[#This Row],[Total PoP ]]/6))),0)</f>
        <v>189</v>
      </c>
      <c r="DI37" s="734">
        <f>IF(WWWW[[#This Row],[Total required Latrines]]-(WWWW[[#This Row],['#_Constructed latrines_by_WASHAgencies]]+WWWW[[#This Row],['#_Non Cluster partner latrines]])&lt;0,0,WWWW[[#This Row],[Total required Latrines]]-(WWWW[[#This Row],['#_Constructed latrines_by_WASHAgencies]]+WWWW[[#This Row],['#_Non Cluster partner latrines]]))</f>
        <v>0</v>
      </c>
      <c r="DJ37" s="736">
        <f>1-WWWW[[#This Row],[% people access to functioning Latrine]]</f>
        <v>0</v>
      </c>
      <c r="DK37" s="735">
        <f>IF(OR(WWWW[[#This Row],['#_Non-functional latrines]]="",WWWW[[#This Row],['#_Non-functional latrines]]=0),0,WWWW[[#This Row],['#_Non-functional latrines]]/(WWWW[[#This Row],['#_Constructed latrines_by_WASHAgencies]]+WWWW[[#This Row],['#_Non Cluster partner latrines]]))</f>
        <v>0</v>
      </c>
      <c r="DL37" s="731">
        <f>IF(500*(WWWW[[#This Row],['#_male hygiene promoters]]+WWWW[[#This Row],['#_female hygiene promoters]])&gt;WWWW[[#This Row],[Total PoP ]],WWWW[[#This Row],[Total PoP ]],500*(WWWW[[#This Row],['#_male hygiene promoters]]+WWWW[[#This Row],['#_female hygiene promoters]]))</f>
        <v>500</v>
      </c>
      <c r="DM3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3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37" s="734">
        <f>IF(WWWW[[#This Row],['# People with access to soap]]&gt;WWWW[[#This Row],['# People with access to Sanity Pads]],WWWW[[#This Row],['# People with access to soap]],WWWW[[#This Row],['# People with access to Sanity Pads]])</f>
        <v>30</v>
      </c>
      <c r="DP37" s="73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37" s="736">
        <f>IF(WWWW[[#This Row],[HRP3]]/WWWW[[#This Row],[Total PoP ]]&gt;1,1,WWWW[[#This Row],[HRP3]]/WWWW[[#This Row],[Total PoP ]])</f>
        <v>0.13196093956188967</v>
      </c>
      <c r="DR37" s="735">
        <f>1-WWWW[[#This Row],[Hygiene Coverage%]]</f>
        <v>0.8680390604381103</v>
      </c>
      <c r="DS37" s="733">
        <f>WWWW[[#This Row],['# people reached by regular dedicated hygiene promotion_5]]/WWWW[[#This Row],[Total PoP ]]</f>
        <v>0.13196093956188967</v>
      </c>
      <c r="DT3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8.3916083916083916E-3</v>
      </c>
      <c r="DU3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6.993006993006993E-3</v>
      </c>
      <c r="DV37" s="734">
        <f>WWWW[[#This Row],['#_Constructed/Existing hand washing stations]]-WWWW[[#This Row],['#_Non-Functional_hand_washing_stations]]</f>
        <v>1</v>
      </c>
      <c r="DW37" s="731">
        <f>IF(WWWW[[#This Row],['# Functional hand washing stations during reporting period]]*20&gt;WWWW[[#This Row],[Total HH]],WWWW[[#This Row],[Total HH]],WWWW[[#This Row],['# Functional hand washing stations during reporting period]]*20)</f>
        <v>20</v>
      </c>
      <c r="DX37" s="731">
        <f>IF(WWWW[[#This Row],[Is sufficient soap available for TLS? (Yes/No)]]="yes",WWWW[[#This Row],['#_Constructed/Existing hand washing stations at TLS/CFS/THF]],0)</f>
        <v>4</v>
      </c>
      <c r="DY37" s="428">
        <f>IF(WWWW[[#This Row],['# Functional hand washing stations during reporting period]]*100&gt;WWWW[[#This Row],[Total PoP ]],WWWW[[#This Row],[Total PoP ]],WWWW[[#This Row],['# Functional hand washing stations during reporting period]]*100)</f>
        <v>100</v>
      </c>
      <c r="DZ37" s="428" t="str">
        <f>IF(OR(WWWW[[#This Row],['#_students at TLS_CFS]]="",WWWW[[#This Row],['#_students at TLS_CFS]]=0),"No","Yes")</f>
        <v>No</v>
      </c>
      <c r="EA3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3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E37" s="727" t="str">
        <f>VLOOKUP(WWWW[[#This Row],[Site Name]],SiteDB6[[Site Name]:[CCCM Management]],6,FALSE)</f>
        <v>Yes</v>
      </c>
      <c r="EF37" s="727" t="str">
        <f>VLOOKUP(WWWW[[#This Row],[Site Name]],SiteDB6[[Site Name]:[CCCM Focal Agency]],7,FALSE)</f>
        <v>KMSS-MYT</v>
      </c>
      <c r="EG37" s="727" t="str">
        <f>VLOOKUP(WWWW[[#This Row],[Site Name]],SiteDB6[[Site Name]:[Location Type 1]],9,FALSE)</f>
        <v>Camp</v>
      </c>
      <c r="EH37" s="727" t="str">
        <f>VLOOKUP(WWWW[[#This Row],[Site Name]],SiteDB6[[Site Name]:[Type of Accommodation]],10,FALSE)</f>
        <v>Camp</v>
      </c>
      <c r="EI37" s="727" t="str">
        <f>VLOOKUP(WWWW[[#This Row],[Site Name]],SiteDB6[[Site Name]:[Ethnic or GCA/NGCA]],11,FALSE)</f>
        <v>NGCA</v>
      </c>
      <c r="EJ37" s="727">
        <f>VLOOKUP(WWWW[[#This Row],[Site Name]],SiteDB6[[Site Name]:[Lat]],12,FALSE)</f>
        <v>24.661905999999998</v>
      </c>
      <c r="EK37" s="727">
        <f>VLOOKUP(WWWW[[#This Row],[Site Name]],SiteDB6[[Site Name]:[Long]],13,FALSE)</f>
        <v>97.573126000000002</v>
      </c>
      <c r="EL37" s="727" t="str">
        <f>VLOOKUP(WWWW[[#This Row],[Site Name]],SiteDB6[[Site Name]:[Pcode]],3,FALSE)</f>
        <v>MMR001CMP122</v>
      </c>
      <c r="EM37" s="732" t="str">
        <f t="shared" si="0"/>
        <v>Covered</v>
      </c>
      <c r="EN37" s="732"/>
      <c r="EO37" s="727">
        <f>VLOOKUP(WWWW[[#This Row],[Site Name]],SiteDB6[[Site Name]:[Pop
(Kachin/Shan-CCCM as of July 2021)]],16,FALSE)</f>
        <v>664</v>
      </c>
      <c r="EP37" s="727">
        <f>VLOOKUP(WWWW[[#This Row],[Site Name]],SiteDB6[[Site Name]:[Pop
(Kachin/Shan-CCCM as of July 2021)]],17,FALSE)</f>
        <v>3491</v>
      </c>
    </row>
    <row r="38" spans="1:146" hidden="1">
      <c r="A38" s="725" t="s">
        <v>2763</v>
      </c>
      <c r="B38" s="725" t="s">
        <v>276</v>
      </c>
      <c r="C38" s="726" t="s">
        <v>276</v>
      </c>
      <c r="D38" s="369" t="s">
        <v>292</v>
      </c>
      <c r="E38" s="726" t="s">
        <v>37</v>
      </c>
      <c r="F38" s="726" t="s">
        <v>205</v>
      </c>
      <c r="G38" s="591" t="str">
        <f>VLOOKUP(WWWW[[#This Row],[Site Name]],SiteDB6[[Site Name]:[Location Type]],8,FALSE)</f>
        <v>Camp_not registered</v>
      </c>
      <c r="H38" s="726" t="s">
        <v>2160</v>
      </c>
      <c r="I38" s="448">
        <v>3</v>
      </c>
      <c r="J38" s="448">
        <v>16</v>
      </c>
      <c r="K38" s="588">
        <v>44652</v>
      </c>
      <c r="L38" s="589">
        <v>44895</v>
      </c>
      <c r="M38" s="728"/>
      <c r="N38" s="728"/>
      <c r="O38" s="728"/>
      <c r="P38" s="728"/>
      <c r="Q38" s="731" t="s">
        <v>41</v>
      </c>
      <c r="R38" s="728">
        <v>3</v>
      </c>
      <c r="S38" s="728">
        <v>8</v>
      </c>
      <c r="T38" s="448"/>
      <c r="U38" s="728"/>
      <c r="V38" s="728"/>
      <c r="W38" s="728">
        <v>1</v>
      </c>
      <c r="X38" s="728"/>
      <c r="Y38" s="728"/>
      <c r="Z38" s="728"/>
      <c r="AA38" s="728">
        <v>1</v>
      </c>
      <c r="AB38" s="728"/>
      <c r="AC38" s="728">
        <v>1</v>
      </c>
      <c r="AD38" s="728"/>
      <c r="AE38" s="728"/>
      <c r="AF38" s="728"/>
      <c r="AG38" s="728"/>
      <c r="AH38" s="728"/>
      <c r="AI38" s="742"/>
      <c r="AJ38" s="742"/>
      <c r="AK38" s="742"/>
      <c r="AL38" s="742"/>
      <c r="AM38" s="728">
        <v>5</v>
      </c>
      <c r="AN38" s="728"/>
      <c r="AO38" s="728"/>
      <c r="AP38" s="732"/>
      <c r="AQ38" s="728">
        <v>12</v>
      </c>
      <c r="AR38" s="728"/>
      <c r="AS38" s="733"/>
      <c r="AT38" s="728"/>
      <c r="AU38" s="742"/>
      <c r="AV38" s="742"/>
      <c r="AW38" s="742"/>
      <c r="AX38" s="728"/>
      <c r="AY38" s="727" t="s">
        <v>41</v>
      </c>
      <c r="AZ38" s="732" t="s">
        <v>137</v>
      </c>
      <c r="BA38" s="728"/>
      <c r="BB38" s="728"/>
      <c r="BC38" s="728"/>
      <c r="BD38" s="448"/>
      <c r="BE38" s="448"/>
      <c r="BF38" s="727"/>
      <c r="BG38" s="728">
        <v>3</v>
      </c>
      <c r="BH38" s="728"/>
      <c r="BI38" s="728"/>
      <c r="BJ38" s="728">
        <v>2</v>
      </c>
      <c r="BK38" s="728"/>
      <c r="BL38" s="728"/>
      <c r="BM38" s="728">
        <v>1</v>
      </c>
      <c r="BN38" s="742"/>
      <c r="BO38" s="728"/>
      <c r="BP38" s="727"/>
      <c r="BQ38" s="744"/>
      <c r="BR38" s="733"/>
      <c r="BS38" s="727"/>
      <c r="BT38" s="903">
        <v>1</v>
      </c>
      <c r="BU38" s="903">
        <v>1</v>
      </c>
      <c r="BV38" s="590">
        <v>5</v>
      </c>
      <c r="BW38" s="903">
        <v>1</v>
      </c>
      <c r="BX38" s="448"/>
      <c r="BY38" s="448"/>
      <c r="BZ38" s="448"/>
      <c r="CA38" s="448"/>
      <c r="CB38" s="448"/>
      <c r="CC38" s="777"/>
      <c r="CD38" s="448"/>
      <c r="CE38" s="735" t="str">
        <f>IFERROR(WWWW[[#This Row],['#_Water sources passed]]/WWWW[[#This Row],['#_Water sources tested for fecal coliform ]],"no test")</f>
        <v>no test</v>
      </c>
      <c r="CF38" s="733" t="str">
        <f>IFERROR(WWWW[[#This Row],['#_Household passed]]/WWWW[[#This Row],['#_Household water samples tested for fecal coliform]],"no test")</f>
        <v>no test</v>
      </c>
      <c r="CG38" s="734" t="str">
        <f>IF(AND(WWWW[[#This Row],[% of water sources passed]]="no test",WWWW[[#This Row],[% Household passed]]="no test"),"No Test","Tested")</f>
        <v>No Test</v>
      </c>
      <c r="CH38" s="734">
        <f>WWWW[[#This Row],['#_Constructed/existing protected hand dug well]]-WWWW[[#This Row],['#_Non-functional protected hand dug well]]</f>
        <v>0</v>
      </c>
      <c r="CI38" s="734">
        <f>(WWWW[[#This Row],['#_Constructed/Existing tube wells/boreholes/handpumps_WASH_agency]]+WWWW[[#This Row],['#_Non-Cluster partner water tube-wells/boreholes/handpumps]])-WWWW[[#This Row],['#_Non-functional tube wells/boreholes/handpumps]]</f>
        <v>1</v>
      </c>
      <c r="CJ38" s="734">
        <f>WWWW[[#This Row],['#_Constructed/Existingwater storage tank with gravity fed reticulation system]]-WWWW[[#This Row],['#_Non-functional storage tank gravity fed reticulation system]]</f>
        <v>1</v>
      </c>
      <c r="CK38" s="734">
        <f>(WWWW[[#This Row],['#_Water_Liters_supplied_by_Water boating or water trucking]]/90)/15</f>
        <v>0</v>
      </c>
      <c r="CL38" s="734">
        <f>WWWW[[#This Row],['#_Water_Liters_from_Constructed/Existing water distribution system from river or natural spring]]/90/15</f>
        <v>0</v>
      </c>
      <c r="CM38" s="424">
        <f>IF(WWWW[[#This Row],['#_of water points in TLS/CFS]]*500&gt;WWWW[[#This Row],[Total PoP ]],WWWW[[#This Row],[Total PoP ]],WWWW[[#This Row],['#_of water points in TLS/CFS]]*500)</f>
        <v>0</v>
      </c>
      <c r="CN38" s="424">
        <f>IF(WWWW[[#This Row],['#_of water points in THF]]*500&gt;WWWW[[#This Row],[Total PoP ]],WWWW[[#This Row],[Total PoP ]],WWWW[[#This Row],['#_of water points in THF]]*500)</f>
        <v>0</v>
      </c>
      <c r="CO3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 s="733">
        <f>IF(WWWW[[#This Row],[Location Type 1]]="Village",WWWW[[#This Row],[Access to safe drinking water for Village]],WWWW[[#This Row],[Access to safe drinking water for Camp]])</f>
        <v>1</v>
      </c>
      <c r="CR38" s="731">
        <f>WWWW[[#This Row],[%Equitable and continuous access to sufficient quantity of safe drinking water]]*WWWW[[#This Row],[Total PoP ]]</f>
        <v>16</v>
      </c>
      <c r="CS38" s="733">
        <f>IF((WWWW[[#This Row],['#_Constructed/Existing protected/fenced ponds]]*250)/WWWW[[#This Row],[Total PoP ]]&gt;1,1,(WWWW[[#This Row],['#_Constructed/Existing protected/fenced ponds]]*250)/WWWW[[#This Row],[Total PoP ]])</f>
        <v>0</v>
      </c>
      <c r="CT38" s="731">
        <f>WWWW[[#This Row],[% Access to unimproved water points]]*WWWW[[#This Row],[Total PoP ]]</f>
        <v>0</v>
      </c>
      <c r="CU3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v>
      </c>
      <c r="CW38" s="731">
        <f>WWWW[[#This Row],[HRP1]]/500</f>
        <v>3.2000000000000001E-2</v>
      </c>
      <c r="CX38" s="736">
        <f>1-WWWW[[#This Row],[% Equitable and continuous access to sufficient quantity of domestic water]]</f>
        <v>0</v>
      </c>
      <c r="CY38" s="731">
        <f>WWWW[[#This Row],[%equitable and continuous access to sufficient quantity of safe drinking and domestic water''s GAP]]*WWWW[[#This Row],[Total PoP ]]</f>
        <v>0</v>
      </c>
      <c r="CZ38" s="734">
        <f>IF(WWWW[[#This Row],[Total required water points]]-WWWW[[#This Row],['#Water points coverage]]&lt;0,0,WWWW[[#This Row],[Total required water points]]-WWWW[[#This Row],['#Water points coverage]])</f>
        <v>0.96799999999999997</v>
      </c>
      <c r="DA38" s="734">
        <f>ROUND(IF(WWWW[[#This Row],[Total PoP ]]&lt;500,1,WWWW[[#This Row],[Total PoP ]]/500),0)</f>
        <v>1</v>
      </c>
      <c r="DB38" s="734">
        <f>(WWWW[[#This Row],['#_Constructed latrines_by_WASHAgencies]]+WWWW[[#This Row],['#_Non Cluster partner latrines]])-WWWW[[#This Row],['#_Non-functional latrines]]</f>
        <v>12</v>
      </c>
      <c r="DC38" s="631">
        <f>WWWW[[#This Row],[HRP2]]/WWWW[[#This Row],[Total PoP ]]</f>
        <v>1</v>
      </c>
      <c r="DD3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v>
      </c>
      <c r="DE3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 s="424">
        <f>IF(WWWW[[#This Row],['# of functional latrines in THF supported by WASH partners during the reporting period2]]="",0,WWWW[[#This Row],['# of functional latrines in THF supported by WASH partners during the reporting period2]]*50)</f>
        <v>0</v>
      </c>
      <c r="DH38" s="734">
        <f>ROUND(IF(WWWW[[#This Row],[Location Type 1]]="camp",WWWW[[#This Row],[Total PoP ]]/20,IF(WWWW[[#This Row],[Location Type 1]]="Temporary Location",WWWW[[#This Row],[Total PoP ]]/50,(WWWW[[#This Row],[Total PoP ]]/6))),0)</f>
        <v>1</v>
      </c>
      <c r="DI38" s="734">
        <f>IF(WWWW[[#This Row],[Total required Latrines]]-(WWWW[[#This Row],['#_Constructed latrines_by_WASHAgencies]]+WWWW[[#This Row],['#_Non Cluster partner latrines]])&lt;0,0,WWWW[[#This Row],[Total required Latrines]]-(WWWW[[#This Row],['#_Constructed latrines_by_WASHAgencies]]+WWWW[[#This Row],['#_Non Cluster partner latrines]]))</f>
        <v>0</v>
      </c>
      <c r="DJ38" s="736">
        <f>1-WWWW[[#This Row],[% people access to functioning Latrine]]</f>
        <v>0</v>
      </c>
      <c r="DK38" s="735">
        <f>IF(OR(WWWW[[#This Row],['#_Non-functional latrines]]="",WWWW[[#This Row],['#_Non-functional latrines]]=0),0,WWWW[[#This Row],['#_Non-functional latrines]]/(WWWW[[#This Row],['#_Constructed latrines_by_WASHAgencies]]+WWWW[[#This Row],['#_Non Cluster partner latrines]]))</f>
        <v>0</v>
      </c>
      <c r="DL38" s="731">
        <f>IF(500*(WWWW[[#This Row],['#_male hygiene promoters]]+WWWW[[#This Row],['#_female hygiene promoters]])&gt;WWWW[[#This Row],[Total PoP ]],WWWW[[#This Row],[Total PoP ]],500*(WWWW[[#This Row],['#_male hygiene promoters]]+WWWW[[#This Row],['#_female hygiene promoters]]))</f>
        <v>16</v>
      </c>
      <c r="DM3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 s="734">
        <f>IF(WWWW[[#This Row],['# People with access to soap]]&gt;WWWW[[#This Row],['# People with access to Sanity Pads]],WWWW[[#This Row],['# People with access to soap]],WWWW[[#This Row],['# People with access to Sanity Pads]])</f>
        <v>0</v>
      </c>
      <c r="DP38" s="734">
        <f>IF(WWWW[[#This Row],['# people reached by regular dedicated hygiene promotion_5]]&gt;WWWW[[#This Row],['# People received regular supply of hygiene items_6]],WWWW[[#This Row],['# people reached by regular dedicated hygiene promotion_5]],WWWW[[#This Row],['# People received regular supply of hygiene items_6]])</f>
        <v>16</v>
      </c>
      <c r="DQ38" s="736">
        <f>IF(WWWW[[#This Row],[HRP3]]/WWWW[[#This Row],[Total PoP ]]&gt;1,1,WWWW[[#This Row],[HRP3]]/WWWW[[#This Row],[Total PoP ]])</f>
        <v>1</v>
      </c>
      <c r="DR38" s="735">
        <f>1-WWWW[[#This Row],[Hygiene Coverage%]]</f>
        <v>0</v>
      </c>
      <c r="DS38" s="733">
        <f>WWWW[[#This Row],['# people reached by regular dedicated hygiene promotion_5]]/WWWW[[#This Row],[Total PoP ]]</f>
        <v>1</v>
      </c>
      <c r="DT3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 s="734">
        <f>WWWW[[#This Row],['#_Constructed/Existing hand washing stations]]-WWWW[[#This Row],['#_Non-Functional_hand_washing_stations]]</f>
        <v>3</v>
      </c>
      <c r="DW38" s="731">
        <f>IF(WWWW[[#This Row],['# Functional hand washing stations during reporting period]]*20&gt;WWWW[[#This Row],[Total HH]],WWWW[[#This Row],[Total HH]],WWWW[[#This Row],['# Functional hand washing stations during reporting period]]*20)</f>
        <v>3</v>
      </c>
      <c r="DX38" s="731">
        <f>IF(WWWW[[#This Row],[Is sufficient soap available for TLS? (Yes/No)]]="yes",WWWW[[#This Row],['#_Constructed/Existing hand washing stations at TLS/CFS/THF]],0)</f>
        <v>0</v>
      </c>
      <c r="DY38" s="428">
        <f>IF(WWWW[[#This Row],['# Functional hand washing stations during reporting period]]*100&gt;WWWW[[#This Row],[Total PoP ]],WWWW[[#This Row],[Total PoP ]],WWWW[[#This Row],['# Functional hand washing stations during reporting period]]*100)</f>
        <v>16</v>
      </c>
      <c r="DZ38" s="428" t="str">
        <f>IF(OR(WWWW[[#This Row],['#_students at TLS_CFS]]="",WWWW[[#This Row],['#_students at TLS_CFS]]=0),"No","Yes")</f>
        <v>No</v>
      </c>
      <c r="EA38" s="631">
        <f>IF(WWWW[[#This Row],['#_of_affected_people_surveyed_who_report_feeling_informed_about_the_different_WASH_services_available_to_them]]="","",WWWW[[#This Row],['#_of_affected_people_surveyed_who_report_feeling_informed_about_the_different_WASH_services_available_to_them]]/WWWW[[#This Row],[Total PoP ]])</f>
        <v>0.3125</v>
      </c>
      <c r="EB3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 s="727">
        <f>VLOOKUP(WWWW[[#This Row],[Site Name]],SiteDB6[[Site Name]:[CCCM Management]],6,FALSE)</f>
        <v>0</v>
      </c>
      <c r="EF38" s="727">
        <f>VLOOKUP(WWWW[[#This Row],[Site Name]],SiteDB6[[Site Name]:[CCCM Focal Agency]],7,FALSE)</f>
        <v>0</v>
      </c>
      <c r="EG38" s="727" t="str">
        <f>VLOOKUP(WWWW[[#This Row],[Site Name]],SiteDB6[[Site Name]:[Location Type 1]],9,FALSE)</f>
        <v>Camp</v>
      </c>
      <c r="EH38" s="727" t="str">
        <f>VLOOKUP(WWWW[[#This Row],[Site Name]],SiteDB6[[Site Name]:[Type of Accommodation]],10,FALSE)</f>
        <v>Camp</v>
      </c>
      <c r="EI38" s="727" t="str">
        <f>VLOOKUP(WWWW[[#This Row],[Site Name]],SiteDB6[[Site Name]:[Ethnic or GCA/NGCA]],11,FALSE)</f>
        <v>GCA</v>
      </c>
      <c r="EJ38" s="727">
        <f>VLOOKUP(WWWW[[#This Row],[Site Name]],SiteDB6[[Site Name]:[Lat]],12,FALSE)</f>
        <v>0</v>
      </c>
      <c r="EK38" s="727">
        <f>VLOOKUP(WWWW[[#This Row],[Site Name]],SiteDB6[[Site Name]:[Long]],13,FALSE)</f>
        <v>0</v>
      </c>
      <c r="EL38" s="727">
        <f>VLOOKUP(WWWW[[#This Row],[Site Name]],SiteDB6[[Site Name]:[Pcode]],3,FALSE)</f>
        <v>0</v>
      </c>
      <c r="EM38" s="732" t="str">
        <f t="shared" si="0"/>
        <v>Covered</v>
      </c>
      <c r="EN38" s="732"/>
      <c r="EO38" s="727">
        <f>VLOOKUP(WWWW[[#This Row],[Site Name]],SiteDB6[[Site Name]:[Pop
(Kachin/Shan-CCCM as of July 2021)]],16,FALSE)</f>
        <v>0</v>
      </c>
      <c r="EP38" s="727">
        <f>VLOOKUP(WWWW[[#This Row],[Site Name]],SiteDB6[[Site Name]:[Pop
(Kachin/Shan-CCCM as of July 2021)]],17,FALSE)</f>
        <v>0</v>
      </c>
    </row>
    <row r="39" spans="1:146" hidden="1">
      <c r="A39" s="725" t="s">
        <v>2763</v>
      </c>
      <c r="B39" s="725" t="s">
        <v>192</v>
      </c>
      <c r="C39" s="726" t="s">
        <v>192</v>
      </c>
      <c r="D39" s="726" t="s">
        <v>2679</v>
      </c>
      <c r="E39" s="726" t="s">
        <v>37</v>
      </c>
      <c r="F39" s="726" t="s">
        <v>195</v>
      </c>
      <c r="G39" s="591" t="str">
        <f>VLOOKUP(WWWW[[#This Row],[Site Name]],SiteDB6[[Site Name]:[Location Type]],8,FALSE)</f>
        <v>Camp</v>
      </c>
      <c r="H39" s="726" t="s">
        <v>198</v>
      </c>
      <c r="I39" s="728">
        <v>36</v>
      </c>
      <c r="J39" s="728">
        <v>222</v>
      </c>
      <c r="K39" s="729" t="s">
        <v>2670</v>
      </c>
      <c r="L39" s="730" t="s">
        <v>2680</v>
      </c>
      <c r="M39" s="728"/>
      <c r="N39" s="728"/>
      <c r="O39" s="728"/>
      <c r="P39" s="728"/>
      <c r="Q39" s="731" t="s">
        <v>41</v>
      </c>
      <c r="R39" s="728">
        <v>1</v>
      </c>
      <c r="S39" s="728">
        <v>2</v>
      </c>
      <c r="T39" s="448">
        <v>1</v>
      </c>
      <c r="U39" s="728"/>
      <c r="V39" s="728"/>
      <c r="W39" s="728"/>
      <c r="X39" s="728">
        <v>2</v>
      </c>
      <c r="Y39" s="728"/>
      <c r="Z39" s="728"/>
      <c r="AA39" s="728"/>
      <c r="AB39" s="728"/>
      <c r="AC39" s="728"/>
      <c r="AD39" s="728"/>
      <c r="AE39" s="728"/>
      <c r="AF39" s="728"/>
      <c r="AG39" s="728"/>
      <c r="AH39" s="728"/>
      <c r="AI39" s="728"/>
      <c r="AJ39" s="728"/>
      <c r="AK39" s="728"/>
      <c r="AL39" s="728"/>
      <c r="AM39" s="728"/>
      <c r="AN39" s="728"/>
      <c r="AO39" s="728"/>
      <c r="AP39" s="732"/>
      <c r="AQ39" s="728">
        <v>7</v>
      </c>
      <c r="AR39" s="728"/>
      <c r="AS39" s="733"/>
      <c r="AT39" s="728"/>
      <c r="AU39" s="728"/>
      <c r="AV39" s="728"/>
      <c r="AW39" s="728"/>
      <c r="AX39" s="728"/>
      <c r="AY39" s="727" t="s">
        <v>41</v>
      </c>
      <c r="AZ39" s="732" t="s">
        <v>137</v>
      </c>
      <c r="BA39" s="728"/>
      <c r="BB39" s="728"/>
      <c r="BC39" s="728"/>
      <c r="BD39" s="448"/>
      <c r="BE39" s="448"/>
      <c r="BF39" s="727"/>
      <c r="BG39" s="728">
        <v>7</v>
      </c>
      <c r="BH39" s="728"/>
      <c r="BI39" s="728"/>
      <c r="BJ39" s="728">
        <v>7</v>
      </c>
      <c r="BK39" s="728"/>
      <c r="BL39" s="728"/>
      <c r="BM39" s="728">
        <v>1</v>
      </c>
      <c r="BN39" s="728">
        <v>104</v>
      </c>
      <c r="BO39" s="728">
        <v>148</v>
      </c>
      <c r="BP39" s="727"/>
      <c r="BQ39" s="734"/>
      <c r="BR39" s="733"/>
      <c r="BS39" s="727"/>
      <c r="BT39" s="423"/>
      <c r="BU39" s="423"/>
      <c r="BV39" s="425"/>
      <c r="BW39" s="423"/>
      <c r="BX39" s="448"/>
      <c r="BY39" s="448"/>
      <c r="BZ39" s="448"/>
      <c r="CA39" s="448"/>
      <c r="CB39" s="448"/>
      <c r="CC39" s="777"/>
      <c r="CD39" s="448"/>
      <c r="CE39" s="735" t="str">
        <f>IFERROR(WWWW[[#This Row],['#_Water sources passed]]/WWWW[[#This Row],['#_Water sources tested for fecal coliform ]],"no test")</f>
        <v>no test</v>
      </c>
      <c r="CF39" s="733" t="str">
        <f>IFERROR(WWWW[[#This Row],['#_Household passed]]/WWWW[[#This Row],['#_Household water samples tested for fecal coliform]],"no test")</f>
        <v>no test</v>
      </c>
      <c r="CG39" s="734" t="str">
        <f>IF(AND(WWWW[[#This Row],[% of water sources passed]]="no test",WWWW[[#This Row],[% Household passed]]="no test"),"No Test","Tested")</f>
        <v>No Test</v>
      </c>
      <c r="CH39" s="734">
        <f>WWWW[[#This Row],['#_Constructed/existing protected hand dug well]]-WWWW[[#This Row],['#_Non-functional protected hand dug well]]</f>
        <v>1</v>
      </c>
      <c r="CI39" s="734">
        <f>(WWWW[[#This Row],['#_Constructed/Existing tube wells/boreholes/handpumps_WASH_agency]]+WWWW[[#This Row],['#_Non-Cluster partner water tube-wells/boreholes/handpumps]])-WWWW[[#This Row],['#_Non-functional tube wells/boreholes/handpumps]]</f>
        <v>2</v>
      </c>
      <c r="CJ39" s="734">
        <f>WWWW[[#This Row],['#_Constructed/Existingwater storage tank with gravity fed reticulation system]]-WWWW[[#This Row],['#_Non-functional storage tank gravity fed reticulation system]]</f>
        <v>0</v>
      </c>
      <c r="CK39" s="734">
        <f>(WWWW[[#This Row],['#_Water_Liters_supplied_by_Water boating or water trucking]]/90)/15</f>
        <v>0</v>
      </c>
      <c r="CL39" s="734">
        <f>WWWW[[#This Row],['#_Water_Liters_from_Constructed/Existing water distribution system from river or natural spring]]/90/15</f>
        <v>0</v>
      </c>
      <c r="CM39" s="424">
        <f>IF(WWWW[[#This Row],['#_of water points in TLS/CFS]]*500&gt;WWWW[[#This Row],[Total PoP ]],WWWW[[#This Row],[Total PoP ]],WWWW[[#This Row],['#_of water points in TLS/CFS]]*500)</f>
        <v>0</v>
      </c>
      <c r="CN39" s="424">
        <f>IF(WWWW[[#This Row],['#_of water points in THF]]*500&gt;WWWW[[#This Row],[Total PoP ]],WWWW[[#This Row],[Total PoP ]],WWWW[[#This Row],['#_of water points in THF]]*500)</f>
        <v>0</v>
      </c>
      <c r="CO3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9" s="733">
        <f>IF(WWWW[[#This Row],[Location Type 1]]="Village",WWWW[[#This Row],[Access to safe drinking water for Village]],WWWW[[#This Row],[Access to safe drinking water for Camp]])</f>
        <v>1</v>
      </c>
      <c r="CR39" s="731">
        <f>WWWW[[#This Row],[%Equitable and continuous access to sufficient quantity of safe drinking water]]*WWWW[[#This Row],[Total PoP ]]</f>
        <v>222</v>
      </c>
      <c r="CS39" s="733">
        <f>IF((WWWW[[#This Row],['#_Constructed/Existing protected/fenced ponds]]*250)/WWWW[[#This Row],[Total PoP ]]&gt;1,1,(WWWW[[#This Row],['#_Constructed/Existing protected/fenced ponds]]*250)/WWWW[[#This Row],[Total PoP ]])</f>
        <v>0</v>
      </c>
      <c r="CT39" s="731">
        <f>WWWW[[#This Row],[% Access to unimproved water points]]*WWWW[[#This Row],[Total PoP ]]</f>
        <v>0</v>
      </c>
      <c r="CU3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W39" s="731">
        <f>WWWW[[#This Row],[HRP1]]/500</f>
        <v>0.44400000000000001</v>
      </c>
      <c r="CX39" s="736">
        <f>1-WWWW[[#This Row],[% Equitable and continuous access to sufficient quantity of domestic water]]</f>
        <v>0</v>
      </c>
      <c r="CY39" s="731">
        <f>WWWW[[#This Row],[%equitable and continuous access to sufficient quantity of safe drinking and domestic water''s GAP]]*WWWW[[#This Row],[Total PoP ]]</f>
        <v>0</v>
      </c>
      <c r="CZ39" s="734">
        <f>IF(WWWW[[#This Row],[Total required water points]]-WWWW[[#This Row],['#Water points coverage]]&lt;0,0,WWWW[[#This Row],[Total required water points]]-WWWW[[#This Row],['#Water points coverage]])</f>
        <v>0.55600000000000005</v>
      </c>
      <c r="DA39" s="734">
        <f>ROUND(IF(WWWW[[#This Row],[Total PoP ]]&lt;500,1,WWWW[[#This Row],[Total PoP ]]/500),0)</f>
        <v>1</v>
      </c>
      <c r="DB39" s="734">
        <f>(WWWW[[#This Row],['#_Constructed latrines_by_WASHAgencies]]+WWWW[[#This Row],['#_Non Cluster partner latrines]])-WWWW[[#This Row],['#_Non-functional latrines]]</f>
        <v>7</v>
      </c>
      <c r="DC39" s="631">
        <f>WWWW[[#This Row],[HRP2]]/WWWW[[#This Row],[Total PoP ]]</f>
        <v>0.63063063063063063</v>
      </c>
      <c r="DD3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3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 s="424">
        <f>IF(WWWW[[#This Row],['# of functional latrines in THF supported by WASH partners during the reporting period2]]="",0,WWWW[[#This Row],['# of functional latrines in THF supported by WASH partners during the reporting period2]]*50)</f>
        <v>0</v>
      </c>
      <c r="DH39" s="734">
        <f>ROUND(IF(WWWW[[#This Row],[Location Type 1]]="camp",WWWW[[#This Row],[Total PoP ]]/20,IF(WWWW[[#This Row],[Location Type 1]]="Temporary Location",WWWW[[#This Row],[Total PoP ]]/50,(WWWW[[#This Row],[Total PoP ]]/6))),0)</f>
        <v>11</v>
      </c>
      <c r="DI39" s="734">
        <f>IF(WWWW[[#This Row],[Total required Latrines]]-(WWWW[[#This Row],['#_Constructed latrines_by_WASHAgencies]]+WWWW[[#This Row],['#_Non Cluster partner latrines]])&lt;0,0,WWWW[[#This Row],[Total required Latrines]]-(WWWW[[#This Row],['#_Constructed latrines_by_WASHAgencies]]+WWWW[[#This Row],['#_Non Cluster partner latrines]]))</f>
        <v>4</v>
      </c>
      <c r="DJ39" s="736">
        <f>1-WWWW[[#This Row],[% people access to functioning Latrine]]</f>
        <v>0.36936936936936937</v>
      </c>
      <c r="DK39" s="735">
        <f>IF(OR(WWWW[[#This Row],['#_Non-functional latrines]]="",WWWW[[#This Row],['#_Non-functional latrines]]=0),0,WWWW[[#This Row],['#_Non-functional latrines]]/(WWWW[[#This Row],['#_Constructed latrines_by_WASHAgencies]]+WWWW[[#This Row],['#_Non Cluster partner latrines]]))</f>
        <v>0</v>
      </c>
      <c r="DL39" s="731">
        <f>IF(500*(WWWW[[#This Row],['#_male hygiene promoters]]+WWWW[[#This Row],['#_female hygiene promoters]])&gt;WWWW[[#This Row],[Total PoP ]],WWWW[[#This Row],[Total PoP ]],500*(WWWW[[#This Row],['#_male hygiene promoters]]+WWWW[[#This Row],['#_female hygiene promoters]]))</f>
        <v>222</v>
      </c>
      <c r="DM3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222</v>
      </c>
      <c r="DN3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39" s="734">
        <f>IF(WWWW[[#This Row],['# People with access to soap]]&gt;WWWW[[#This Row],['# People with access to Sanity Pads]],WWWW[[#This Row],['# People with access to soap]],WWWW[[#This Row],['# People with access to Sanity Pads]])</f>
        <v>222</v>
      </c>
      <c r="DP39" s="734">
        <f>IF(WWWW[[#This Row],['# people reached by regular dedicated hygiene promotion_5]]&gt;WWWW[[#This Row],['# People received regular supply of hygiene items_6]],WWWW[[#This Row],['# people reached by regular dedicated hygiene promotion_5]],WWWW[[#This Row],['# People received regular supply of hygiene items_6]])</f>
        <v>222</v>
      </c>
      <c r="DQ39" s="736">
        <f>IF(WWWW[[#This Row],[HRP3]]/WWWW[[#This Row],[Total PoP ]]&gt;1,1,WWWW[[#This Row],[HRP3]]/WWWW[[#This Row],[Total PoP ]])</f>
        <v>1</v>
      </c>
      <c r="DR39" s="735">
        <f>1-WWWW[[#This Row],[Hygiene Coverage%]]</f>
        <v>0</v>
      </c>
      <c r="DS39" s="733">
        <f>WWWW[[#This Row],['# people reached by regular dedicated hygiene promotion_5]]/WWWW[[#This Row],[Total PoP ]]</f>
        <v>1</v>
      </c>
      <c r="DT3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9" s="734">
        <f>WWWW[[#This Row],['#_Constructed/Existing hand washing stations]]-WWWW[[#This Row],['#_Non-Functional_hand_washing_stations]]</f>
        <v>7</v>
      </c>
      <c r="DW39" s="731">
        <f>IF(WWWW[[#This Row],['# Functional hand washing stations during reporting period]]*20&gt;WWWW[[#This Row],[Total HH]],WWWW[[#This Row],[Total HH]],WWWW[[#This Row],['# Functional hand washing stations during reporting period]]*20)</f>
        <v>36</v>
      </c>
      <c r="DX39" s="731">
        <f>IF(WWWW[[#This Row],[Is sufficient soap available for TLS? (Yes/No)]]="yes",WWWW[[#This Row],['#_Constructed/Existing hand washing stations at TLS/CFS/THF]],0)</f>
        <v>0</v>
      </c>
      <c r="DY39" s="428">
        <f>IF(WWWW[[#This Row],['# Functional hand washing stations during reporting period]]*100&gt;WWWW[[#This Row],[Total PoP ]],WWWW[[#This Row],[Total PoP ]],WWWW[[#This Row],['# Functional hand washing stations during reporting period]]*100)</f>
        <v>222</v>
      </c>
      <c r="DZ39" s="428" t="str">
        <f>IF(OR(WWWW[[#This Row],['#_students at TLS_CFS]]="",WWWW[[#This Row],['#_students at TLS_CFS]]=0),"No","Yes")</f>
        <v>No</v>
      </c>
      <c r="EA3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 s="727" t="str">
        <f>VLOOKUP(WWWW[[#This Row],[Site Name]],SiteDB6[[Site Name]:[CCCM Management]],6,FALSE)</f>
        <v>Yes</v>
      </c>
      <c r="EF39" s="727" t="str">
        <f>VLOOKUP(WWWW[[#This Row],[Site Name]],SiteDB6[[Site Name]:[CCCM Focal Agency]],7,FALSE)</f>
        <v>KBC-BMO</v>
      </c>
      <c r="EG39" s="727" t="str">
        <f>VLOOKUP(WWWW[[#This Row],[Site Name]],SiteDB6[[Site Name]:[Location Type 1]],9,FALSE)</f>
        <v>Camp</v>
      </c>
      <c r="EH39" s="727" t="str">
        <f>VLOOKUP(WWWW[[#This Row],[Site Name]],SiteDB6[[Site Name]:[Type of Accommodation]],10,FALSE)</f>
        <v>Camp</v>
      </c>
      <c r="EI39" s="727" t="str">
        <f>VLOOKUP(WWWW[[#This Row],[Site Name]],SiteDB6[[Site Name]:[Ethnic or GCA/NGCA]],11,FALSE)</f>
        <v>GCA</v>
      </c>
      <c r="EJ39" s="727">
        <f>VLOOKUP(WWWW[[#This Row],[Site Name]],SiteDB6[[Site Name]:[Lat]],12,FALSE)</f>
        <v>24.24766</v>
      </c>
      <c r="EK39" s="727">
        <f>VLOOKUP(WWWW[[#This Row],[Site Name]],SiteDB6[[Site Name]:[Long]],13,FALSE)</f>
        <v>97.236919999999998</v>
      </c>
      <c r="EL39" s="727" t="str">
        <f>VLOOKUP(WWWW[[#This Row],[Site Name]],SiteDB6[[Site Name]:[Pcode]],3,FALSE)</f>
        <v>MMR001CMP052</v>
      </c>
      <c r="EM39" s="732" t="str">
        <f t="shared" si="0"/>
        <v>Covered</v>
      </c>
      <c r="EN39" s="732"/>
      <c r="EO39" s="727">
        <f>VLOOKUP(WWWW[[#This Row],[Site Name]],SiteDB6[[Site Name]:[Pop
(Kachin/Shan-CCCM as of July 2021)]],16,FALSE)</f>
        <v>37</v>
      </c>
      <c r="EP39" s="727">
        <f>VLOOKUP(WWWW[[#This Row],[Site Name]],SiteDB6[[Site Name]:[Pop
(Kachin/Shan-CCCM as of July 2021)]],17,FALSE)</f>
        <v>226</v>
      </c>
    </row>
    <row r="40" spans="1:146" hidden="1">
      <c r="A40" s="725" t="s">
        <v>2763</v>
      </c>
      <c r="B40" s="725" t="s">
        <v>192</v>
      </c>
      <c r="C40" s="726" t="s">
        <v>192</v>
      </c>
      <c r="D40" s="726" t="s">
        <v>2679</v>
      </c>
      <c r="E40" s="726" t="s">
        <v>37</v>
      </c>
      <c r="F40" s="726" t="s">
        <v>142</v>
      </c>
      <c r="G40" s="591" t="str">
        <f>VLOOKUP(WWWW[[#This Row],[Site Name]],SiteDB6[[Site Name]:[Location Type]],8,FALSE)</f>
        <v>Camp</v>
      </c>
      <c r="H40" s="726" t="s">
        <v>224</v>
      </c>
      <c r="I40" s="728">
        <v>426.2</v>
      </c>
      <c r="J40" s="728">
        <v>2131</v>
      </c>
      <c r="K40" s="729" t="s">
        <v>2670</v>
      </c>
      <c r="L40" s="730" t="s">
        <v>2680</v>
      </c>
      <c r="M40" s="728"/>
      <c r="N40" s="728"/>
      <c r="O40" s="728"/>
      <c r="P40" s="728"/>
      <c r="Q40" s="731" t="s">
        <v>41</v>
      </c>
      <c r="R40" s="728">
        <v>3</v>
      </c>
      <c r="S40" s="728">
        <v>6</v>
      </c>
      <c r="T40" s="448"/>
      <c r="U40" s="728"/>
      <c r="V40" s="728"/>
      <c r="W40" s="728"/>
      <c r="X40" s="728"/>
      <c r="Y40" s="728"/>
      <c r="Z40" s="728"/>
      <c r="AA40" s="728">
        <v>1</v>
      </c>
      <c r="AB40" s="728"/>
      <c r="AC40" s="728"/>
      <c r="AD40" s="728"/>
      <c r="AE40" s="728"/>
      <c r="AF40" s="728">
        <v>149170</v>
      </c>
      <c r="AG40" s="728"/>
      <c r="AH40" s="728"/>
      <c r="AI40" s="728"/>
      <c r="AJ40" s="728"/>
      <c r="AK40" s="728"/>
      <c r="AL40" s="728"/>
      <c r="AM40" s="728">
        <v>14</v>
      </c>
      <c r="AN40" s="728">
        <v>2</v>
      </c>
      <c r="AO40" s="728"/>
      <c r="AP40" s="732"/>
      <c r="AQ40" s="728">
        <v>89</v>
      </c>
      <c r="AR40" s="728"/>
      <c r="AS40" s="733"/>
      <c r="AT40" s="728"/>
      <c r="AU40" s="728"/>
      <c r="AV40" s="728"/>
      <c r="AW40" s="728"/>
      <c r="AX40" s="728"/>
      <c r="AY40" s="727" t="s">
        <v>41</v>
      </c>
      <c r="AZ40" s="732" t="s">
        <v>137</v>
      </c>
      <c r="BA40" s="728"/>
      <c r="BB40" s="728"/>
      <c r="BC40" s="728"/>
      <c r="BD40" s="448"/>
      <c r="BE40" s="448"/>
      <c r="BF40" s="727" t="s">
        <v>2682</v>
      </c>
      <c r="BG40" s="728">
        <v>3</v>
      </c>
      <c r="BH40" s="728"/>
      <c r="BI40" s="728"/>
      <c r="BJ40" s="728">
        <v>2</v>
      </c>
      <c r="BK40" s="728"/>
      <c r="BL40" s="728"/>
      <c r="BM40" s="728"/>
      <c r="BN40" s="728">
        <v>88</v>
      </c>
      <c r="BO40" s="728">
        <v>100</v>
      </c>
      <c r="BP40" s="727" t="s">
        <v>41</v>
      </c>
      <c r="BQ40" s="734"/>
      <c r="BR40" s="733"/>
      <c r="BS40" s="727"/>
      <c r="BT40" s="423"/>
      <c r="BU40" s="423"/>
      <c r="BV40" s="425"/>
      <c r="BW40" s="423"/>
      <c r="BX40" s="448"/>
      <c r="BY40" s="448"/>
      <c r="BZ40" s="448"/>
      <c r="CA40" s="448"/>
      <c r="CB40" s="448"/>
      <c r="CC40" s="777"/>
      <c r="CD40" s="448"/>
      <c r="CE40" s="735" t="str">
        <f>IFERROR(WWWW[[#This Row],['#_Water sources passed]]/WWWW[[#This Row],['#_Water sources tested for fecal coliform ]],"no test")</f>
        <v>no test</v>
      </c>
      <c r="CF40" s="733" t="str">
        <f>IFERROR(WWWW[[#This Row],['#_Household passed]]/WWWW[[#This Row],['#_Household water samples tested for fecal coliform]],"no test")</f>
        <v>no test</v>
      </c>
      <c r="CG40" s="734" t="str">
        <f>IF(AND(WWWW[[#This Row],[% of water sources passed]]="no test",WWWW[[#This Row],[% Household passed]]="no test"),"No Test","Tested")</f>
        <v>No Test</v>
      </c>
      <c r="CH40" s="734">
        <f>WWWW[[#This Row],['#_Constructed/existing protected hand dug well]]-WWWW[[#This Row],['#_Non-functional protected hand dug well]]</f>
        <v>0</v>
      </c>
      <c r="CI40" s="734">
        <f>(WWWW[[#This Row],['#_Constructed/Existing tube wells/boreholes/handpumps_WASH_agency]]+WWWW[[#This Row],['#_Non-Cluster partner water tube-wells/boreholes/handpumps]])-WWWW[[#This Row],['#_Non-functional tube wells/boreholes/handpumps]]</f>
        <v>0</v>
      </c>
      <c r="CJ40" s="734">
        <f>WWWW[[#This Row],['#_Constructed/Existingwater storage tank with gravity fed reticulation system]]-WWWW[[#This Row],['#_Non-functional storage tank gravity fed reticulation system]]</f>
        <v>1</v>
      </c>
      <c r="CK40" s="734">
        <f>(WWWW[[#This Row],['#_Water_Liters_supplied_by_Water boating or water trucking]]/90)/15</f>
        <v>0</v>
      </c>
      <c r="CL40" s="734">
        <f>WWWW[[#This Row],['#_Water_Liters_from_Constructed/Existing water distribution system from river or natural spring]]/90/15</f>
        <v>110.49629629629629</v>
      </c>
      <c r="CM40" s="424">
        <f>IF(WWWW[[#This Row],['#_of water points in TLS/CFS]]*500&gt;WWWW[[#This Row],[Total PoP ]],WWWW[[#This Row],[Total PoP ]],WWWW[[#This Row],['#_of water points in TLS/CFS]]*500)</f>
        <v>1000</v>
      </c>
      <c r="CN40" s="424">
        <f>IF(WWWW[[#This Row],['#_of water points in THF]]*500&gt;WWWW[[#This Row],[Total PoP ]],WWWW[[#This Row],[Total PoP ]],WWWW[[#This Row],['#_of water points in THF]]*500)</f>
        <v>0</v>
      </c>
      <c r="CO4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8.3136068964318618E-2</v>
      </c>
      <c r="CP4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8.3136068964318618E-2</v>
      </c>
      <c r="CQ40" s="733">
        <f>IF(WWWW[[#This Row],[Location Type 1]]="Village",WWWW[[#This Row],[Access to safe drinking water for Village]],WWWW[[#This Row],[Access to safe drinking water for Camp]])</f>
        <v>8.3136068964318618E-2</v>
      </c>
      <c r="CR40" s="731">
        <f>WWWW[[#This Row],[%Equitable and continuous access to sufficient quantity of safe drinking water]]*WWWW[[#This Row],[Total PoP ]]</f>
        <v>177.16296296296298</v>
      </c>
      <c r="CS40" s="733">
        <f>IF((WWWW[[#This Row],['#_Constructed/Existing protected/fenced ponds]]*250)/WWWW[[#This Row],[Total PoP ]]&gt;1,1,(WWWW[[#This Row],['#_Constructed/Existing protected/fenced ponds]]*250)/WWWW[[#This Row],[Total PoP ]])</f>
        <v>0</v>
      </c>
      <c r="CT40" s="731">
        <f>WWWW[[#This Row],[% Access to unimproved water points]]*WWWW[[#This Row],[Total PoP ]]</f>
        <v>0</v>
      </c>
      <c r="CU4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8.3136068964318618E-2</v>
      </c>
      <c r="CV4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177.16296296296298</v>
      </c>
      <c r="CW40" s="731">
        <f>WWWW[[#This Row],[HRP1]]/500</f>
        <v>0.35432592592592593</v>
      </c>
      <c r="CX40" s="736">
        <f>1-WWWW[[#This Row],[% Equitable and continuous access to sufficient quantity of domestic water]]</f>
        <v>0.91686393103568142</v>
      </c>
      <c r="CY40" s="731">
        <f>WWWW[[#This Row],[%equitable and continuous access to sufficient quantity of safe drinking and domestic water''s GAP]]*WWWW[[#This Row],[Total PoP ]]</f>
        <v>1953.8370370370371</v>
      </c>
      <c r="CZ40" s="734">
        <f>IF(WWWW[[#This Row],[Total required water points]]-WWWW[[#This Row],['#Water points coverage]]&lt;0,0,WWWW[[#This Row],[Total required water points]]-WWWW[[#This Row],['#Water points coverage]])</f>
        <v>3.6456740740740741</v>
      </c>
      <c r="DA40" s="734">
        <f>ROUND(IF(WWWW[[#This Row],[Total PoP ]]&lt;500,1,WWWW[[#This Row],[Total PoP ]]/500),0)</f>
        <v>4</v>
      </c>
      <c r="DB40" s="734">
        <f>(WWWW[[#This Row],['#_Constructed latrines_by_WASHAgencies]]+WWWW[[#This Row],['#_Non Cluster partner latrines]])-WWWW[[#This Row],['#_Non-functional latrines]]</f>
        <v>89</v>
      </c>
      <c r="DC40" s="631">
        <f>WWWW[[#This Row],[HRP2]]/WWWW[[#This Row],[Total PoP ]]</f>
        <v>0.8352885969028625</v>
      </c>
      <c r="DD4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1780</v>
      </c>
      <c r="DE4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 s="424">
        <f>IF(WWWW[[#This Row],['# of functional latrines in THF supported by WASH partners during the reporting period2]]="",0,WWWW[[#This Row],['# of functional latrines in THF supported by WASH partners during the reporting period2]]*50)</f>
        <v>0</v>
      </c>
      <c r="DH40" s="734">
        <f>ROUND(IF(WWWW[[#This Row],[Location Type 1]]="camp",WWWW[[#This Row],[Total PoP ]]/20,IF(WWWW[[#This Row],[Location Type 1]]="Temporary Location",WWWW[[#This Row],[Total PoP ]]/50,(WWWW[[#This Row],[Total PoP ]]/6))),0)</f>
        <v>107</v>
      </c>
      <c r="DI40" s="734">
        <f>IF(WWWW[[#This Row],[Total required Latrines]]-(WWWW[[#This Row],['#_Constructed latrines_by_WASHAgencies]]+WWWW[[#This Row],['#_Non Cluster partner latrines]])&lt;0,0,WWWW[[#This Row],[Total required Latrines]]-(WWWW[[#This Row],['#_Constructed latrines_by_WASHAgencies]]+WWWW[[#This Row],['#_Non Cluster partner latrines]]))</f>
        <v>18</v>
      </c>
      <c r="DJ40" s="736">
        <f>1-WWWW[[#This Row],[% people access to functioning Latrine]]</f>
        <v>0.1647114030971375</v>
      </c>
      <c r="DK40" s="735">
        <f>IF(OR(WWWW[[#This Row],['#_Non-functional latrines]]="",WWWW[[#This Row],['#_Non-functional latrines]]=0),0,WWWW[[#This Row],['#_Non-functional latrines]]/(WWWW[[#This Row],['#_Constructed latrines_by_WASHAgencies]]+WWWW[[#This Row],['#_Non Cluster partner latrines]]))</f>
        <v>0</v>
      </c>
      <c r="DL40" s="731">
        <f>IF(500*(WWWW[[#This Row],['#_male hygiene promoters]]+WWWW[[#This Row],['#_female hygiene promoters]])&gt;WWWW[[#This Row],[Total PoP ]],WWWW[[#This Row],[Total PoP ]],500*(WWWW[[#This Row],['#_male hygiene promoters]]+WWWW[[#This Row],['#_female hygiene promoters]]))</f>
        <v>0</v>
      </c>
      <c r="DM4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4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40" s="734">
        <f>IF(WWWW[[#This Row],['# People with access to soap]]&gt;WWWW[[#This Row],['# People with access to Sanity Pads]],WWWW[[#This Row],['# People with access to soap]],WWWW[[#This Row],['# People with access to Sanity Pads]])</f>
        <v>440</v>
      </c>
      <c r="DP40" s="734">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40" s="736">
        <f>IF(WWWW[[#This Row],[HRP3]]/WWWW[[#This Row],[Total PoP ]]&gt;1,1,WWWW[[#This Row],[HRP3]]/WWWW[[#This Row],[Total PoP ]])</f>
        <v>0.20647583294228061</v>
      </c>
      <c r="DR40" s="735">
        <f>1-WWWW[[#This Row],[Hygiene Coverage%]]</f>
        <v>0.79352416705771933</v>
      </c>
      <c r="DS40" s="733">
        <f>WWWW[[#This Row],['# people reached by regular dedicated hygiene promotion_5]]/WWWW[[#This Row],[Total PoP ]]</f>
        <v>0</v>
      </c>
      <c r="DT4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0.20647583294228061</v>
      </c>
      <c r="DU4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0.23463162834350071</v>
      </c>
      <c r="DV40" s="734">
        <f>WWWW[[#This Row],['#_Constructed/Existing hand washing stations]]-WWWW[[#This Row],['#_Non-Functional_hand_washing_stations]]</f>
        <v>3</v>
      </c>
      <c r="DW40" s="731">
        <f>IF(WWWW[[#This Row],['# Functional hand washing stations during reporting period]]*20&gt;WWWW[[#This Row],[Total HH]],WWWW[[#This Row],[Total HH]],WWWW[[#This Row],['# Functional hand washing stations during reporting period]]*20)</f>
        <v>60</v>
      </c>
      <c r="DX40" s="731">
        <f>IF(WWWW[[#This Row],[Is sufficient soap available for TLS? (Yes/No)]]="yes",WWWW[[#This Row],['#_Constructed/Existing hand washing stations at TLS/CFS/THF]],0)</f>
        <v>14</v>
      </c>
      <c r="DY40" s="428">
        <f>IF(WWWW[[#This Row],['# Functional hand washing stations during reporting period]]*100&gt;WWWW[[#This Row],[Total PoP ]],WWWW[[#This Row],[Total PoP ]],WWWW[[#This Row],['# Functional hand washing stations during reporting period]]*100)</f>
        <v>300</v>
      </c>
      <c r="DZ40" s="428" t="str">
        <f>IF(OR(WWWW[[#This Row],['#_students at TLS_CFS]]="",WWWW[[#This Row],['#_students at TLS_CFS]]=0),"No","Yes")</f>
        <v>No</v>
      </c>
      <c r="EA4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4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 s="727">
        <f>VLOOKUP(WWWW[[#This Row],[Site Name]],SiteDB6[[Site Name]:[CCCM Management]],6,FALSE)</f>
        <v>0</v>
      </c>
      <c r="EF40" s="727" t="str">
        <f>VLOOKUP(WWWW[[#This Row],[Site Name]],SiteDB6[[Site Name]:[CCCM Focal Agency]],7,FALSE)</f>
        <v>uncovered</v>
      </c>
      <c r="EG40" s="727" t="str">
        <f>VLOOKUP(WWWW[[#This Row],[Site Name]],SiteDB6[[Site Name]:[Location Type 1]],9,FALSE)</f>
        <v>Camp</v>
      </c>
      <c r="EH40" s="727" t="str">
        <f>VLOOKUP(WWWW[[#This Row],[Site Name]],SiteDB6[[Site Name]:[Type of Accommodation]],10,FALSE)</f>
        <v>Boarding School</v>
      </c>
      <c r="EI40" s="727" t="str">
        <f>VLOOKUP(WWWW[[#This Row],[Site Name]],SiteDB6[[Site Name]:[Ethnic or GCA/NGCA]],11,FALSE)</f>
        <v>NGCA</v>
      </c>
      <c r="EJ40" s="727">
        <f>VLOOKUP(WWWW[[#This Row],[Site Name]],SiteDB6[[Site Name]:[Lat]],12,FALSE)</f>
        <v>24.752471</v>
      </c>
      <c r="EK40" s="727">
        <f>VLOOKUP(WWWW[[#This Row],[Site Name]],SiteDB6[[Site Name]:[Long]],13,FALSE)</f>
        <v>97.541793999999996</v>
      </c>
      <c r="EL40" s="727" t="str">
        <f>VLOOKUP(WWWW[[#This Row],[Site Name]],SiteDB6[[Site Name]:[Pcode]],3,FALSE)</f>
        <v>MMR001CMP208</v>
      </c>
      <c r="EM40" s="732" t="str">
        <f t="shared" si="0"/>
        <v>Covered</v>
      </c>
      <c r="EN40" s="732"/>
      <c r="EO40" s="727">
        <f>VLOOKUP(WWWW[[#This Row],[Site Name]],SiteDB6[[Site Name]:[Pop
(Kachin/Shan-CCCM as of July 2021)]],16,FALSE)</f>
        <v>0</v>
      </c>
      <c r="EP40" s="727">
        <f>VLOOKUP(WWWW[[#This Row],[Site Name]],SiteDB6[[Site Name]:[Pop
(Kachin/Shan-CCCM as of July 2021)]],17,FALSE)</f>
        <v>366</v>
      </c>
    </row>
    <row r="41" spans="1:146" hidden="1">
      <c r="A41" s="725" t="s">
        <v>2763</v>
      </c>
      <c r="B41" s="707" t="s">
        <v>2806</v>
      </c>
      <c r="C41" s="786" t="s">
        <v>141</v>
      </c>
      <c r="D41" s="369" t="s">
        <v>2813</v>
      </c>
      <c r="E41" s="786" t="s">
        <v>37</v>
      </c>
      <c r="F41" s="786" t="s">
        <v>159</v>
      </c>
      <c r="G41" s="787" t="str">
        <f>VLOOKUP(WWWW[[#This Row],[Site Name]],SiteDB6[[Site Name]:[Location Type]],8,FALSE)</f>
        <v>Camp</v>
      </c>
      <c r="H41" s="875" t="s">
        <v>161</v>
      </c>
      <c r="I41" s="788">
        <v>197</v>
      </c>
      <c r="J41" s="788">
        <v>1124</v>
      </c>
      <c r="K41" s="800" t="s">
        <v>2814</v>
      </c>
      <c r="L41" s="589" t="s">
        <v>2815</v>
      </c>
      <c r="M41" s="788"/>
      <c r="N41" s="788">
        <v>3</v>
      </c>
      <c r="O41" s="788"/>
      <c r="P41" s="788"/>
      <c r="Q41" s="731" t="s">
        <v>41</v>
      </c>
      <c r="R41" s="788"/>
      <c r="S41" s="788">
        <v>1</v>
      </c>
      <c r="T41" s="448">
        <v>1</v>
      </c>
      <c r="U41" s="788">
        <v>0</v>
      </c>
      <c r="V41" s="788">
        <v>0</v>
      </c>
      <c r="W41" s="788">
        <v>4</v>
      </c>
      <c r="X41" s="788">
        <v>0</v>
      </c>
      <c r="Y41" s="788"/>
      <c r="Z41" s="788"/>
      <c r="AA41" s="788"/>
      <c r="AB41" s="788"/>
      <c r="AC41" s="788"/>
      <c r="AD41" s="788"/>
      <c r="AE41" s="788"/>
      <c r="AF41" s="788"/>
      <c r="AG41" s="788"/>
      <c r="AH41" s="788">
        <v>5</v>
      </c>
      <c r="AI41" s="788"/>
      <c r="AJ41" s="788"/>
      <c r="AK41" s="788"/>
      <c r="AL41" s="788"/>
      <c r="AM41" s="788"/>
      <c r="AN41" s="788"/>
      <c r="AO41" s="788"/>
      <c r="AP41" s="792"/>
      <c r="AQ41" s="788">
        <v>43</v>
      </c>
      <c r="AR41" s="788"/>
      <c r="AS41" s="793"/>
      <c r="AT41" s="788"/>
      <c r="AU41" s="448">
        <v>30</v>
      </c>
      <c r="AV41" s="448">
        <v>162</v>
      </c>
      <c r="AW41" s="788"/>
      <c r="AX41" s="728">
        <v>43</v>
      </c>
      <c r="AY41" s="727" t="s">
        <v>41</v>
      </c>
      <c r="AZ41" s="732" t="s">
        <v>137</v>
      </c>
      <c r="BA41" s="788"/>
      <c r="BB41" s="788"/>
      <c r="BC41" s="788"/>
      <c r="BD41" s="448"/>
      <c r="BE41" s="448"/>
      <c r="BF41" s="787"/>
      <c r="BG41" s="788">
        <v>7</v>
      </c>
      <c r="BH41" s="788"/>
      <c r="BI41" s="788"/>
      <c r="BJ41" s="788">
        <v>7</v>
      </c>
      <c r="BK41" s="788"/>
      <c r="BL41" s="788"/>
      <c r="BM41" s="788">
        <v>3</v>
      </c>
      <c r="BN41" s="788">
        <v>104</v>
      </c>
      <c r="BO41" s="788">
        <v>148</v>
      </c>
      <c r="BP41" s="787"/>
      <c r="BQ41" s="794"/>
      <c r="BR41" s="793"/>
      <c r="BS41" s="787"/>
      <c r="BT41" s="423"/>
      <c r="BU41" s="423"/>
      <c r="BV41" s="448">
        <f>0.95*WWWW[[#This Row],[Total PoP ]]</f>
        <v>1067.8</v>
      </c>
      <c r="BW41" s="423">
        <v>0.35</v>
      </c>
      <c r="BX41" s="448"/>
      <c r="BY41" s="448"/>
      <c r="BZ41" s="448"/>
      <c r="CA41" s="448">
        <v>0</v>
      </c>
      <c r="CB41" s="448">
        <v>0</v>
      </c>
      <c r="CC41" s="777"/>
      <c r="CD41" s="448"/>
      <c r="CE41" s="795" t="str">
        <f>IFERROR(WWWW[[#This Row],['#_Water sources passed]]/WWWW[[#This Row],['#_Water sources tested for fecal coliform ]],"no test")</f>
        <v>no test</v>
      </c>
      <c r="CF41" s="793" t="str">
        <f>IFERROR(WWWW[[#This Row],['#_Household passed]]/WWWW[[#This Row],['#_Household water samples tested for fecal coliform]],"no test")</f>
        <v>no test</v>
      </c>
      <c r="CG41" s="794" t="str">
        <f>IF(AND(WWWW[[#This Row],[% of water sources passed]]="no test",WWWW[[#This Row],[% Household passed]]="no test"),"No Test","Tested")</f>
        <v>No Test</v>
      </c>
      <c r="CH41" s="794">
        <f>WWWW[[#This Row],['#_Constructed/existing protected hand dug well]]-WWWW[[#This Row],['#_Non-functional protected hand dug well]]</f>
        <v>1</v>
      </c>
      <c r="CI41" s="794">
        <f>(WWWW[[#This Row],['#_Constructed/Existing tube wells/boreholes/handpumps_WASH_agency]]+WWWW[[#This Row],['#_Non-Cluster partner water tube-wells/boreholes/handpumps]])-WWWW[[#This Row],['#_Non-functional tube wells/boreholes/handpumps]]</f>
        <v>4</v>
      </c>
      <c r="CJ41" s="794">
        <f>WWWW[[#This Row],['#_Constructed/Existingwater storage tank with gravity fed reticulation system]]-WWWW[[#This Row],['#_Non-functional storage tank gravity fed reticulation system]]</f>
        <v>0</v>
      </c>
      <c r="CK41" s="794">
        <f>(WWWW[[#This Row],['#_Water_Liters_supplied_by_Water boating or water trucking]]/90)/15</f>
        <v>0</v>
      </c>
      <c r="CL41" s="794">
        <f>WWWW[[#This Row],['#_Water_Liters_from_Constructed/Existing water distribution system from river or natural spring]]/90/15</f>
        <v>0</v>
      </c>
      <c r="CM41" s="424">
        <f>IF(WWWW[[#This Row],['#_of water points in TLS/CFS]]*500&gt;WWWW[[#This Row],[Total PoP ]],WWWW[[#This Row],[Total PoP ]],WWWW[[#This Row],['#_of water points in TLS/CFS]]*500)</f>
        <v>0</v>
      </c>
      <c r="CN41" s="424">
        <f>IF(WWWW[[#This Row],['#_of water points in THF]]*500&gt;WWWW[[#This Row],[Total PoP ]],WWWW[[#This Row],[Total PoP ]],WWWW[[#This Row],['#_of water points in THF]]*500)</f>
        <v>0</v>
      </c>
      <c r="CO41"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1"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1" s="793">
        <f>IF(WWWW[[#This Row],[Location Type 1]]="Village",WWWW[[#This Row],[Access to safe drinking water for Village]],WWWW[[#This Row],[Access to safe drinking water for Camp]])</f>
        <v>1</v>
      </c>
      <c r="CR41" s="791">
        <f>WWWW[[#This Row],[%Equitable and continuous access to sufficient quantity of safe drinking water]]*WWWW[[#This Row],[Total PoP ]]</f>
        <v>1124</v>
      </c>
      <c r="CS41" s="793">
        <f>IF((WWWW[[#This Row],['#_Constructed/Existing protected/fenced ponds]]*250)/WWWW[[#This Row],[Total PoP ]]&gt;1,1,(WWWW[[#This Row],['#_Constructed/Existing protected/fenced ponds]]*250)/WWWW[[#This Row],[Total PoP ]])</f>
        <v>0</v>
      </c>
      <c r="CT41" s="791">
        <f>WWWW[[#This Row],[% Access to unimproved water points]]*WWWW[[#This Row],[Total PoP ]]</f>
        <v>0</v>
      </c>
      <c r="CU41"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1"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1124</v>
      </c>
      <c r="CW41" s="791">
        <f>WWWW[[#This Row],[HRP1]]/500</f>
        <v>2.2480000000000002</v>
      </c>
      <c r="CX41" s="796">
        <f>1-WWWW[[#This Row],[% Equitable and continuous access to sufficient quantity of domestic water]]</f>
        <v>0</v>
      </c>
      <c r="CY41" s="791">
        <f>WWWW[[#This Row],[%equitable and continuous access to sufficient quantity of safe drinking and domestic water''s GAP]]*WWWW[[#This Row],[Total PoP ]]</f>
        <v>0</v>
      </c>
      <c r="CZ41" s="794">
        <f>IF(WWWW[[#This Row],[Total required water points]]-WWWW[[#This Row],['#Water points coverage]]&lt;0,0,WWWW[[#This Row],[Total required water points]]-WWWW[[#This Row],['#Water points coverage]])</f>
        <v>0</v>
      </c>
      <c r="DA41" s="794">
        <f>ROUND(IF(WWWW[[#This Row],[Total PoP ]]&lt;500,1,WWWW[[#This Row],[Total PoP ]]/500),0)</f>
        <v>2</v>
      </c>
      <c r="DB41" s="794">
        <f>(WWWW[[#This Row],['#_Constructed latrines_by_WASHAgencies]]+WWWW[[#This Row],['#_Non Cluster partner latrines]])-WWWW[[#This Row],['#_Non-functional latrines]]</f>
        <v>43</v>
      </c>
      <c r="DC41" s="631">
        <f>WWWW[[#This Row],[HRP2]]/WWWW[[#This Row],[Total PoP ]]</f>
        <v>0.76512455516014233</v>
      </c>
      <c r="DD41"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860</v>
      </c>
      <c r="DE41"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1124</v>
      </c>
      <c r="DF41"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 s="424">
        <f>IF(WWWW[[#This Row],['# of functional latrines in THF supported by WASH partners during the reporting period2]]="",0,WWWW[[#This Row],['# of functional latrines in THF supported by WASH partners during the reporting period2]]*50)</f>
        <v>0</v>
      </c>
      <c r="DH41" s="794">
        <f>ROUND(IF(WWWW[[#This Row],[Location Type 1]]="camp",WWWW[[#This Row],[Total PoP ]]/20,IF(WWWW[[#This Row],[Location Type 1]]="Temporary Location",WWWW[[#This Row],[Total PoP ]]/50,(WWWW[[#This Row],[Total PoP ]]/6))),0)</f>
        <v>56</v>
      </c>
      <c r="DI41" s="794">
        <f>IF(WWWW[[#This Row],[Total required Latrines]]-(WWWW[[#This Row],['#_Constructed latrines_by_WASHAgencies]]+WWWW[[#This Row],['#_Non Cluster partner latrines]])&lt;0,0,WWWW[[#This Row],[Total required Latrines]]-(WWWW[[#This Row],['#_Constructed latrines_by_WASHAgencies]]+WWWW[[#This Row],['#_Non Cluster partner latrines]]))</f>
        <v>13</v>
      </c>
      <c r="DJ41" s="796">
        <f>1-WWWW[[#This Row],[% people access to functioning Latrine]]</f>
        <v>0.23487544483985767</v>
      </c>
      <c r="DK41" s="795">
        <f>IF(OR(WWWW[[#This Row],['#_Non-functional latrines]]="",WWWW[[#This Row],['#_Non-functional latrines]]=0),0,WWWW[[#This Row],['#_Non-functional latrines]]/(WWWW[[#This Row],['#_Constructed latrines_by_WASHAgencies]]+WWWW[[#This Row],['#_Non Cluster partner latrines]]))</f>
        <v>0</v>
      </c>
      <c r="DL41" s="791">
        <f>IF(500*(WWWW[[#This Row],['#_male hygiene promoters]]+WWWW[[#This Row],['#_female hygiene promoters]])&gt;WWWW[[#This Row],[Total PoP ]],WWWW[[#This Row],[Total PoP ]],500*(WWWW[[#This Row],['#_male hygiene promoters]]+WWWW[[#This Row],['#_female hygiene promoters]]))</f>
        <v>1124</v>
      </c>
      <c r="DM41"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41"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41" s="794">
        <f>IF(WWWW[[#This Row],['# People with access to soap]]&gt;WWWW[[#This Row],['# People with access to Sanity Pads]],WWWW[[#This Row],['# People with access to soap]],WWWW[[#This Row],['# People with access to Sanity Pads]])</f>
        <v>520</v>
      </c>
      <c r="DP41" s="794">
        <f>IF(WWWW[[#This Row],['# people reached by regular dedicated hygiene promotion_5]]&gt;WWWW[[#This Row],['# People received regular supply of hygiene items_6]],WWWW[[#This Row],['# people reached by regular dedicated hygiene promotion_5]],WWWW[[#This Row],['# People received regular supply of hygiene items_6]])</f>
        <v>1124</v>
      </c>
      <c r="DQ41" s="796">
        <f>IF(WWWW[[#This Row],[HRP3]]/WWWW[[#This Row],[Total PoP ]]&gt;1,1,WWWW[[#This Row],[HRP3]]/WWWW[[#This Row],[Total PoP ]])</f>
        <v>1</v>
      </c>
      <c r="DR41" s="795">
        <f>1-WWWW[[#This Row],[Hygiene Coverage%]]</f>
        <v>0</v>
      </c>
      <c r="DS41" s="793">
        <f>WWWW[[#This Row],['# people reached by regular dedicated hygiene promotion_5]]/WWWW[[#This Row],[Total PoP ]]</f>
        <v>1</v>
      </c>
      <c r="DT41"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1"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0.75126903553299496</v>
      </c>
      <c r="DV41" s="794">
        <f>WWWW[[#This Row],['#_Constructed/Existing hand washing stations]]-WWWW[[#This Row],['#_Non-Functional_hand_washing_stations]]</f>
        <v>7</v>
      </c>
      <c r="DW41" s="791">
        <f>IF(WWWW[[#This Row],['# Functional hand washing stations during reporting period]]*20&gt;WWWW[[#This Row],[Total HH]],WWWW[[#This Row],[Total HH]],WWWW[[#This Row],['# Functional hand washing stations during reporting period]]*20)</f>
        <v>140</v>
      </c>
      <c r="DX41" s="791">
        <f>IF(WWWW[[#This Row],[Is sufficient soap available for TLS? (Yes/No)]]="yes",WWWW[[#This Row],['#_Constructed/Existing hand washing stations at TLS/CFS/THF]],0)</f>
        <v>0</v>
      </c>
      <c r="DY41" s="428">
        <f>IF(WWWW[[#This Row],['# Functional hand washing stations during reporting period]]*100&gt;WWWW[[#This Row],[Total PoP ]],WWWW[[#This Row],[Total PoP ]],WWWW[[#This Row],['# Functional hand washing stations during reporting period]]*100)</f>
        <v>700</v>
      </c>
      <c r="DZ41" s="428" t="str">
        <f>IF(OR(WWWW[[#This Row],['#_students at TLS_CFS]]="",WWWW[[#This Row],['#_students at TLS_CFS]]=0),"No","Yes")</f>
        <v>No</v>
      </c>
      <c r="EA41" s="631">
        <f>IF(WWWW[[#This Row],['#_of_affected_people_surveyed_who_report_feeling_informed_about_the_different_WASH_services_available_to_them]]="","",WWWW[[#This Row],['#_of_affected_people_surveyed_who_report_feeling_informed_about_the_different_WASH_services_available_to_them]]/WWWW[[#This Row],[Total PoP ]])</f>
        <v>0.95</v>
      </c>
      <c r="EB4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 s="787" t="str">
        <f>VLOOKUP(WWWW[[#This Row],[Site Name]],SiteDB6[[Site Name]:[CCCM Management]],6,FALSE)</f>
        <v>Yes</v>
      </c>
      <c r="EF41" s="787" t="str">
        <f>VLOOKUP(WWWW[[#This Row],[Site Name]],SiteDB6[[Site Name]:[CCCM Focal Agency]],7,FALSE)</f>
        <v>KBC-MYT</v>
      </c>
      <c r="EG41" s="787" t="str">
        <f>VLOOKUP(WWWW[[#This Row],[Site Name]],SiteDB6[[Site Name]:[Location Type 1]],9,FALSE)</f>
        <v>Camp</v>
      </c>
      <c r="EH41" s="787" t="str">
        <f>VLOOKUP(WWWW[[#This Row],[Site Name]],SiteDB6[[Site Name]:[Type of Accommodation]],10,FALSE)</f>
        <v>Camp</v>
      </c>
      <c r="EI41" s="787" t="str">
        <f>VLOOKUP(WWWW[[#This Row],[Site Name]],SiteDB6[[Site Name]:[Ethnic or GCA/NGCA]],11,FALSE)</f>
        <v>GCA</v>
      </c>
      <c r="EJ41" s="787">
        <f>VLOOKUP(WWWW[[#This Row],[Site Name]],SiteDB6[[Site Name]:[Lat]],12,FALSE)</f>
        <v>25.397850999999999</v>
      </c>
      <c r="EK41" s="787">
        <f>VLOOKUP(WWWW[[#This Row],[Site Name]],SiteDB6[[Site Name]:[Long]],13,FALSE)</f>
        <v>97.370900000000006</v>
      </c>
      <c r="EL41" s="787" t="str">
        <f>VLOOKUP(WWWW[[#This Row],[Site Name]],SiteDB6[[Site Name]:[Pcode]],3,FALSE)</f>
        <v>MMR001CMP018</v>
      </c>
      <c r="EM41" s="792" t="str">
        <f t="shared" si="0"/>
        <v>Covered</v>
      </c>
      <c r="EN41" s="792"/>
      <c r="EO41" s="787">
        <f>VLOOKUP(WWWW[[#This Row],[Site Name]],SiteDB6[[Site Name]:[Pop
(Kachin/Shan-CCCM as of July 2021)]],16,FALSE)</f>
        <v>201</v>
      </c>
      <c r="EP41" s="787">
        <f>VLOOKUP(WWWW[[#This Row],[Site Name]],SiteDB6[[Site Name]:[Pop
(Kachin/Shan-CCCM as of July 2021)]],17,FALSE)</f>
        <v>1187</v>
      </c>
    </row>
    <row r="42" spans="1:146" hidden="1">
      <c r="A42" s="725" t="s">
        <v>2763</v>
      </c>
      <c r="B42" s="725" t="s">
        <v>36</v>
      </c>
      <c r="C42" s="726" t="s">
        <v>36</v>
      </c>
      <c r="D42" s="726" t="s">
        <v>241</v>
      </c>
      <c r="E42" s="726" t="s">
        <v>37</v>
      </c>
      <c r="F42" s="726" t="s">
        <v>159</v>
      </c>
      <c r="G42" s="591" t="str">
        <f>VLOOKUP(WWWW[[#This Row],[Site Name]],SiteDB6[[Site Name]:[Location Type]],8,FALSE)</f>
        <v>Camp</v>
      </c>
      <c r="H42" s="726" t="s">
        <v>233</v>
      </c>
      <c r="I42" s="728">
        <v>76</v>
      </c>
      <c r="J42" s="728">
        <v>398</v>
      </c>
      <c r="K42" s="729">
        <v>44414</v>
      </c>
      <c r="L42" s="730">
        <v>44778</v>
      </c>
      <c r="M42" s="728"/>
      <c r="N42" s="728">
        <v>2</v>
      </c>
      <c r="O42" s="728"/>
      <c r="P42" s="728"/>
      <c r="Q42" s="731" t="s">
        <v>41</v>
      </c>
      <c r="R42" s="728">
        <v>1</v>
      </c>
      <c r="S42" s="728">
        <v>8</v>
      </c>
      <c r="T42" s="448">
        <v>1</v>
      </c>
      <c r="U42" s="728"/>
      <c r="V42" s="728"/>
      <c r="W42" s="728"/>
      <c r="X42" s="728"/>
      <c r="Y42" s="728"/>
      <c r="Z42" s="728"/>
      <c r="AA42" s="728"/>
      <c r="AB42" s="728"/>
      <c r="AC42" s="728"/>
      <c r="AD42" s="728"/>
      <c r="AE42" s="728"/>
      <c r="AF42" s="728"/>
      <c r="AG42" s="728"/>
      <c r="AH42" s="728"/>
      <c r="AI42" s="728"/>
      <c r="AJ42" s="728"/>
      <c r="AK42" s="728"/>
      <c r="AL42" s="728"/>
      <c r="AM42" s="728">
        <v>5</v>
      </c>
      <c r="AN42" s="728"/>
      <c r="AO42" s="728"/>
      <c r="AP42" s="732"/>
      <c r="AQ42" s="728">
        <v>22</v>
      </c>
      <c r="AR42" s="728"/>
      <c r="AS42" s="733"/>
      <c r="AT42" s="728"/>
      <c r="AU42" s="728"/>
      <c r="AV42" s="728"/>
      <c r="AW42" s="728"/>
      <c r="AX42" s="728"/>
      <c r="AY42" s="727" t="s">
        <v>41</v>
      </c>
      <c r="AZ42" s="732" t="s">
        <v>137</v>
      </c>
      <c r="BA42" s="728">
        <v>1</v>
      </c>
      <c r="BB42" s="728"/>
      <c r="BC42" s="728"/>
      <c r="BD42" s="448"/>
      <c r="BE42" s="448"/>
      <c r="BF42" s="727"/>
      <c r="BG42" s="728">
        <v>7</v>
      </c>
      <c r="BH42" s="728"/>
      <c r="BI42" s="728"/>
      <c r="BJ42" s="728">
        <v>7</v>
      </c>
      <c r="BK42" s="728"/>
      <c r="BL42" s="728"/>
      <c r="BM42" s="728">
        <v>2</v>
      </c>
      <c r="BN42" s="728">
        <v>104</v>
      </c>
      <c r="BO42" s="728">
        <v>148</v>
      </c>
      <c r="BP42" s="727"/>
      <c r="BQ42" s="734">
        <v>100</v>
      </c>
      <c r="BR42" s="733">
        <v>0.5</v>
      </c>
      <c r="BS42" s="727"/>
      <c r="BT42" s="423"/>
      <c r="BU42" s="423"/>
      <c r="BV42" s="425"/>
      <c r="BW42" s="423"/>
      <c r="BX42" s="448"/>
      <c r="BY42" s="448"/>
      <c r="BZ42" s="448"/>
      <c r="CA42" s="448"/>
      <c r="CB42" s="448"/>
      <c r="CC42" s="777"/>
      <c r="CD42" s="448"/>
      <c r="CE42" s="735" t="str">
        <f>IFERROR(WWWW[[#This Row],['#_Water sources passed]]/WWWW[[#This Row],['#_Water sources tested for fecal coliform ]],"no test")</f>
        <v>no test</v>
      </c>
      <c r="CF42" s="733" t="str">
        <f>IFERROR(WWWW[[#This Row],['#_Household passed]]/WWWW[[#This Row],['#_Household water samples tested for fecal coliform]],"no test")</f>
        <v>no test</v>
      </c>
      <c r="CG42" s="734" t="str">
        <f>IF(AND(WWWW[[#This Row],[% of water sources passed]]="no test",WWWW[[#This Row],[% Household passed]]="no test"),"No Test","Tested")</f>
        <v>No Test</v>
      </c>
      <c r="CH42" s="734">
        <f>WWWW[[#This Row],['#_Constructed/existing protected hand dug well]]-WWWW[[#This Row],['#_Non-functional protected hand dug well]]</f>
        <v>1</v>
      </c>
      <c r="CI42" s="734">
        <f>(WWWW[[#This Row],['#_Constructed/Existing tube wells/boreholes/handpumps_WASH_agency]]+WWWW[[#This Row],['#_Non-Cluster partner water tube-wells/boreholes/handpumps]])-WWWW[[#This Row],['#_Non-functional tube wells/boreholes/handpumps]]</f>
        <v>0</v>
      </c>
      <c r="CJ42" s="734">
        <f>WWWW[[#This Row],['#_Constructed/Existingwater storage tank with gravity fed reticulation system]]-WWWW[[#This Row],['#_Non-functional storage tank gravity fed reticulation system]]</f>
        <v>0</v>
      </c>
      <c r="CK42" s="734">
        <f>(WWWW[[#This Row],['#_Water_Liters_supplied_by_Water boating or water trucking]]/90)/15</f>
        <v>0</v>
      </c>
      <c r="CL42" s="734">
        <f>WWWW[[#This Row],['#_Water_Liters_from_Constructed/Existing water distribution system from river or natural spring]]/90/15</f>
        <v>0</v>
      </c>
      <c r="CM42" s="424">
        <f>IF(WWWW[[#This Row],['#_of water points in TLS/CFS]]*500&gt;WWWW[[#This Row],[Total PoP ]],WWWW[[#This Row],[Total PoP ]],WWWW[[#This Row],['#_of water points in TLS/CFS]]*500)</f>
        <v>0</v>
      </c>
      <c r="CN42" s="424">
        <f>IF(WWWW[[#This Row],['#_of water points in THF]]*500&gt;WWWW[[#This Row],[Total PoP ]],WWWW[[#This Row],[Total PoP ]],WWWW[[#This Row],['#_of water points in THF]]*500)</f>
        <v>0</v>
      </c>
      <c r="CO4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0.62814070351758799</v>
      </c>
      <c r="CQ42" s="733">
        <f>IF(WWWW[[#This Row],[Location Type 1]]="Village",WWWW[[#This Row],[Access to safe drinking water for Village]],WWWW[[#This Row],[Access to safe drinking water for Camp]])</f>
        <v>1</v>
      </c>
      <c r="CR42" s="731">
        <f>WWWW[[#This Row],[%Equitable and continuous access to sufficient quantity of safe drinking water]]*WWWW[[#This Row],[Total PoP ]]</f>
        <v>398</v>
      </c>
      <c r="CS42" s="733">
        <f>IF((WWWW[[#This Row],['#_Constructed/Existing protected/fenced ponds]]*250)/WWWW[[#This Row],[Total PoP ]]&gt;1,1,(WWWW[[#This Row],['#_Constructed/Existing protected/fenced ponds]]*250)/WWWW[[#This Row],[Total PoP ]])</f>
        <v>0</v>
      </c>
      <c r="CT42" s="731">
        <f>WWWW[[#This Row],[% Access to unimproved water points]]*WWWW[[#This Row],[Total PoP ]]</f>
        <v>0</v>
      </c>
      <c r="CU4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398</v>
      </c>
      <c r="CW42" s="731">
        <f>WWWW[[#This Row],[HRP1]]/500</f>
        <v>0.79600000000000004</v>
      </c>
      <c r="CX42" s="736">
        <f>1-WWWW[[#This Row],[% Equitable and continuous access to sufficient quantity of domestic water]]</f>
        <v>0</v>
      </c>
      <c r="CY42" s="731">
        <f>WWWW[[#This Row],[%equitable and continuous access to sufficient quantity of safe drinking and domestic water''s GAP]]*WWWW[[#This Row],[Total PoP ]]</f>
        <v>0</v>
      </c>
      <c r="CZ42" s="734">
        <f>IF(WWWW[[#This Row],[Total required water points]]-WWWW[[#This Row],['#Water points coverage]]&lt;0,0,WWWW[[#This Row],[Total required water points]]-WWWW[[#This Row],['#Water points coverage]])</f>
        <v>0.20399999999999996</v>
      </c>
      <c r="DA42" s="734">
        <f>ROUND(IF(WWWW[[#This Row],[Total PoP ]]&lt;500,1,WWWW[[#This Row],[Total PoP ]]/500),0)</f>
        <v>1</v>
      </c>
      <c r="DB42" s="734">
        <f>(WWWW[[#This Row],['#_Constructed latrines_by_WASHAgencies]]+WWWW[[#This Row],['#_Non Cluster partner latrines]])-WWWW[[#This Row],['#_Non-functional latrines]]</f>
        <v>22</v>
      </c>
      <c r="DC42" s="631">
        <f>WWWW[[#This Row],[HRP2]]/WWWW[[#This Row],[Total PoP ]]</f>
        <v>1</v>
      </c>
      <c r="DD4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398</v>
      </c>
      <c r="DE4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 s="424">
        <f>IF(WWWW[[#This Row],['# of functional latrines in THF supported by WASH partners during the reporting period2]]="",0,WWWW[[#This Row],['# of functional latrines in THF supported by WASH partners during the reporting period2]]*50)</f>
        <v>0</v>
      </c>
      <c r="DH42" s="734">
        <f>ROUND(IF(WWWW[[#This Row],[Location Type 1]]="camp",WWWW[[#This Row],[Total PoP ]]/20,IF(WWWW[[#This Row],[Location Type 1]]="Temporary Location",WWWW[[#This Row],[Total PoP ]]/50,(WWWW[[#This Row],[Total PoP ]]/6))),0)</f>
        <v>20</v>
      </c>
      <c r="DI42" s="734">
        <f>IF(WWWW[[#This Row],[Total required Latrines]]-(WWWW[[#This Row],['#_Constructed latrines_by_WASHAgencies]]+WWWW[[#This Row],['#_Non Cluster partner latrines]])&lt;0,0,WWWW[[#This Row],[Total required Latrines]]-(WWWW[[#This Row],['#_Constructed latrines_by_WASHAgencies]]+WWWW[[#This Row],['#_Non Cluster partner latrines]]))</f>
        <v>0</v>
      </c>
      <c r="DJ42" s="736">
        <f>1-WWWW[[#This Row],[% people access to functioning Latrine]]</f>
        <v>0</v>
      </c>
      <c r="DK42" s="735">
        <f>IF(OR(WWWW[[#This Row],['#_Non-functional latrines]]="",WWWW[[#This Row],['#_Non-functional latrines]]=0),0,WWWW[[#This Row],['#_Non-functional latrines]]/(WWWW[[#This Row],['#_Constructed latrines_by_WASHAgencies]]+WWWW[[#This Row],['#_Non Cluster partner latrines]]))</f>
        <v>0</v>
      </c>
      <c r="DL42" s="731">
        <f>IF(500*(WWWW[[#This Row],['#_male hygiene promoters]]+WWWW[[#This Row],['#_female hygiene promoters]])&gt;WWWW[[#This Row],[Total PoP ]],WWWW[[#This Row],[Total PoP ]],500*(WWWW[[#This Row],['#_male hygiene promoters]]+WWWW[[#This Row],['#_female hygiene promoters]]))</f>
        <v>398</v>
      </c>
      <c r="DM4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398</v>
      </c>
      <c r="DN4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42" s="734">
        <f>IF(WWWW[[#This Row],['# People with access to soap]]&gt;WWWW[[#This Row],['# People with access to Sanity Pads]],WWWW[[#This Row],['# People with access to soap]],WWWW[[#This Row],['# People with access to Sanity Pads]])</f>
        <v>398</v>
      </c>
      <c r="DP42" s="734">
        <f>IF(WWWW[[#This Row],['# people reached by regular dedicated hygiene promotion_5]]&gt;WWWW[[#This Row],['# People received regular supply of hygiene items_6]],WWWW[[#This Row],['# people reached by regular dedicated hygiene promotion_5]],WWWW[[#This Row],['# People received regular supply of hygiene items_6]])</f>
        <v>398</v>
      </c>
      <c r="DQ42" s="736">
        <f>IF(WWWW[[#This Row],[HRP3]]/WWWW[[#This Row],[Total PoP ]]&gt;1,1,WWWW[[#This Row],[HRP3]]/WWWW[[#This Row],[Total PoP ]])</f>
        <v>1</v>
      </c>
      <c r="DR42" s="735">
        <f>1-WWWW[[#This Row],[Hygiene Coverage%]]</f>
        <v>0</v>
      </c>
      <c r="DS42" s="733">
        <f>WWWW[[#This Row],['# people reached by regular dedicated hygiene promotion_5]]/WWWW[[#This Row],[Total PoP ]]</f>
        <v>1</v>
      </c>
      <c r="DT4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2" s="734">
        <f>WWWW[[#This Row],['#_Constructed/Existing hand washing stations]]-WWWW[[#This Row],['#_Non-Functional_hand_washing_stations]]</f>
        <v>7</v>
      </c>
      <c r="DW42" s="731">
        <f>IF(WWWW[[#This Row],['# Functional hand washing stations during reporting period]]*20&gt;WWWW[[#This Row],[Total HH]],WWWW[[#This Row],[Total HH]],WWWW[[#This Row],['# Functional hand washing stations during reporting period]]*20)</f>
        <v>76</v>
      </c>
      <c r="DX42" s="731">
        <f>IF(WWWW[[#This Row],[Is sufficient soap available for TLS? (Yes/No)]]="yes",WWWW[[#This Row],['#_Constructed/Existing hand washing stations at TLS/CFS/THF]],0)</f>
        <v>0</v>
      </c>
      <c r="DY42" s="428">
        <f>IF(WWWW[[#This Row],['# Functional hand washing stations during reporting period]]*100&gt;WWWW[[#This Row],[Total PoP ]],WWWW[[#This Row],[Total PoP ]],WWWW[[#This Row],['# Functional hand washing stations during reporting period]]*100)</f>
        <v>398</v>
      </c>
      <c r="DZ42" s="428" t="str">
        <f>IF(OR(WWWW[[#This Row],['#_students at TLS_CFS]]="",WWWW[[#This Row],['#_students at TLS_CFS]]=0),"No","Yes")</f>
        <v>No</v>
      </c>
      <c r="EA4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2" s="727" t="str">
        <f>VLOOKUP(WWWW[[#This Row],[Site Name]],SiteDB6[[Site Name]:[CCCM Management]],6,FALSE)</f>
        <v>Yes</v>
      </c>
      <c r="EF42" s="727" t="str">
        <f>VLOOKUP(WWWW[[#This Row],[Site Name]],SiteDB6[[Site Name]:[CCCM Focal Agency]],7,FALSE)</f>
        <v>KMSS-MYT</v>
      </c>
      <c r="EG42" s="727" t="str">
        <f>VLOOKUP(WWWW[[#This Row],[Site Name]],SiteDB6[[Site Name]:[Location Type 1]],9,FALSE)</f>
        <v>Camp</v>
      </c>
      <c r="EH42" s="727" t="str">
        <f>VLOOKUP(WWWW[[#This Row],[Site Name]],SiteDB6[[Site Name]:[Type of Accommodation]],10,FALSE)</f>
        <v>Camp</v>
      </c>
      <c r="EI42" s="727" t="str">
        <f>VLOOKUP(WWWW[[#This Row],[Site Name]],SiteDB6[[Site Name]:[Ethnic or GCA/NGCA]],11,FALSE)</f>
        <v>GCA</v>
      </c>
      <c r="EJ42" s="727">
        <f>VLOOKUP(WWWW[[#This Row],[Site Name]],SiteDB6[[Site Name]:[Lat]],12,FALSE)</f>
        <v>25.403476999999999</v>
      </c>
      <c r="EK42" s="727">
        <f>VLOOKUP(WWWW[[#This Row],[Site Name]],SiteDB6[[Site Name]:[Long]],13,FALSE)</f>
        <v>97.373361000000003</v>
      </c>
      <c r="EL42" s="727" t="str">
        <f>VLOOKUP(WWWW[[#This Row],[Site Name]],SiteDB6[[Site Name]:[Pcode]],3,FALSE)</f>
        <v>MMR001CMP019</v>
      </c>
      <c r="EM42" s="732" t="str">
        <f t="shared" si="0"/>
        <v>Covered</v>
      </c>
      <c r="EN42" s="732"/>
      <c r="EO42" s="727">
        <f>VLOOKUP(WWWW[[#This Row],[Site Name]],SiteDB6[[Site Name]:[Pop
(Kachin/Shan-CCCM as of July 2021)]],16,FALSE)</f>
        <v>73</v>
      </c>
      <c r="EP42" s="727">
        <f>VLOOKUP(WWWW[[#This Row],[Site Name]],SiteDB6[[Site Name]:[Pop
(Kachin/Shan-CCCM as of July 2021)]],17,FALSE)</f>
        <v>387</v>
      </c>
    </row>
    <row r="43" spans="1:146" hidden="1">
      <c r="A43" s="725" t="s">
        <v>2763</v>
      </c>
      <c r="B43" s="707" t="s">
        <v>2806</v>
      </c>
      <c r="C43" s="786" t="s">
        <v>141</v>
      </c>
      <c r="D43" s="369" t="s">
        <v>2813</v>
      </c>
      <c r="E43" s="786" t="s">
        <v>37</v>
      </c>
      <c r="F43" s="786" t="s">
        <v>159</v>
      </c>
      <c r="G43" s="787" t="str">
        <f>VLOOKUP(WWWW[[#This Row],[Site Name]],SiteDB6[[Site Name]:[Location Type]],8,FALSE)</f>
        <v>Camp</v>
      </c>
      <c r="H43" s="875" t="s">
        <v>1604</v>
      </c>
      <c r="I43" s="788">
        <v>137</v>
      </c>
      <c r="J43" s="788">
        <v>612</v>
      </c>
      <c r="K43" s="800" t="s">
        <v>2814</v>
      </c>
      <c r="L43" s="589" t="s">
        <v>2815</v>
      </c>
      <c r="M43" s="788"/>
      <c r="N43" s="788">
        <v>3</v>
      </c>
      <c r="O43" s="788"/>
      <c r="P43" s="788"/>
      <c r="Q43" s="731" t="s">
        <v>41</v>
      </c>
      <c r="R43" s="788"/>
      <c r="S43" s="788">
        <v>5</v>
      </c>
      <c r="T43" s="448">
        <v>1</v>
      </c>
      <c r="U43" s="788">
        <v>0</v>
      </c>
      <c r="V43" s="788">
        <v>0</v>
      </c>
      <c r="W43" s="788">
        <v>7</v>
      </c>
      <c r="X43" s="788">
        <v>0</v>
      </c>
      <c r="Y43" s="788"/>
      <c r="Z43" s="788"/>
      <c r="AA43" s="788"/>
      <c r="AB43" s="788"/>
      <c r="AC43" s="788"/>
      <c r="AD43" s="788"/>
      <c r="AE43" s="788"/>
      <c r="AF43" s="788"/>
      <c r="AG43" s="788"/>
      <c r="AH43" s="788">
        <v>6</v>
      </c>
      <c r="AI43" s="788"/>
      <c r="AJ43" s="788"/>
      <c r="AK43" s="788"/>
      <c r="AL43" s="788"/>
      <c r="AM43" s="788"/>
      <c r="AN43" s="788"/>
      <c r="AO43" s="788"/>
      <c r="AP43" s="792"/>
      <c r="AQ43" s="788">
        <v>16</v>
      </c>
      <c r="AR43" s="788"/>
      <c r="AS43" s="793"/>
      <c r="AT43" s="788"/>
      <c r="AU43" s="788"/>
      <c r="AV43" s="788">
        <v>40</v>
      </c>
      <c r="AW43" s="788"/>
      <c r="AX43" s="728">
        <v>16</v>
      </c>
      <c r="AY43" s="727" t="s">
        <v>41</v>
      </c>
      <c r="AZ43" s="732" t="s">
        <v>137</v>
      </c>
      <c r="BA43" s="788"/>
      <c r="BB43" s="788"/>
      <c r="BC43" s="788"/>
      <c r="BD43" s="448"/>
      <c r="BE43" s="448"/>
      <c r="BF43" s="787"/>
      <c r="BG43" s="788">
        <v>7</v>
      </c>
      <c r="BH43" s="788"/>
      <c r="BI43" s="788"/>
      <c r="BJ43" s="788">
        <v>4</v>
      </c>
      <c r="BK43" s="788"/>
      <c r="BL43" s="788">
        <v>1</v>
      </c>
      <c r="BM43" s="788">
        <v>2</v>
      </c>
      <c r="BN43" s="788">
        <v>124</v>
      </c>
      <c r="BO43" s="788">
        <v>198</v>
      </c>
      <c r="BP43" s="787"/>
      <c r="BQ43" s="794"/>
      <c r="BR43" s="793"/>
      <c r="BS43" s="787"/>
      <c r="BT43" s="423"/>
      <c r="BU43" s="423"/>
      <c r="BV43" s="448"/>
      <c r="BW43" s="423"/>
      <c r="BX43" s="448"/>
      <c r="BY43" s="448"/>
      <c r="BZ43" s="448"/>
      <c r="CA43" s="448">
        <v>0</v>
      </c>
      <c r="CB43" s="448">
        <v>0</v>
      </c>
      <c r="CC43" s="777"/>
      <c r="CD43" s="448"/>
      <c r="CE43" s="795" t="str">
        <f>IFERROR(WWWW[[#This Row],['#_Water sources passed]]/WWWW[[#This Row],['#_Water sources tested for fecal coliform ]],"no test")</f>
        <v>no test</v>
      </c>
      <c r="CF43" s="793" t="str">
        <f>IFERROR(WWWW[[#This Row],['#_Household passed]]/WWWW[[#This Row],['#_Household water samples tested for fecal coliform]],"no test")</f>
        <v>no test</v>
      </c>
      <c r="CG43" s="794" t="str">
        <f>IF(AND(WWWW[[#This Row],[% of water sources passed]]="no test",WWWW[[#This Row],[% Household passed]]="no test"),"No Test","Tested")</f>
        <v>No Test</v>
      </c>
      <c r="CH43" s="794">
        <f>WWWW[[#This Row],['#_Constructed/existing protected hand dug well]]-WWWW[[#This Row],['#_Non-functional protected hand dug well]]</f>
        <v>1</v>
      </c>
      <c r="CI43" s="794">
        <f>(WWWW[[#This Row],['#_Constructed/Existing tube wells/boreholes/handpumps_WASH_agency]]+WWWW[[#This Row],['#_Non-Cluster partner water tube-wells/boreholes/handpumps]])-WWWW[[#This Row],['#_Non-functional tube wells/boreholes/handpumps]]</f>
        <v>7</v>
      </c>
      <c r="CJ43" s="794">
        <f>WWWW[[#This Row],['#_Constructed/Existingwater storage tank with gravity fed reticulation system]]-WWWW[[#This Row],['#_Non-functional storage tank gravity fed reticulation system]]</f>
        <v>0</v>
      </c>
      <c r="CK43" s="794">
        <f>(WWWW[[#This Row],['#_Water_Liters_supplied_by_Water boating or water trucking]]/90)/15</f>
        <v>0</v>
      </c>
      <c r="CL43" s="794">
        <f>WWWW[[#This Row],['#_Water_Liters_from_Constructed/Existing water distribution system from river or natural spring]]/90/15</f>
        <v>0</v>
      </c>
      <c r="CM43" s="424">
        <f>IF(WWWW[[#This Row],['#_of water points in TLS/CFS]]*500&gt;WWWW[[#This Row],[Total PoP ]],WWWW[[#This Row],[Total PoP ]],WWWW[[#This Row],['#_of water points in TLS/CFS]]*500)</f>
        <v>0</v>
      </c>
      <c r="CN43" s="424">
        <f>IF(WWWW[[#This Row],['#_of water points in THF]]*500&gt;WWWW[[#This Row],[Total PoP ]],WWWW[[#This Row],[Total PoP ]],WWWW[[#This Row],['#_of water points in THF]]*500)</f>
        <v>0</v>
      </c>
      <c r="CO43"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3"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3" s="793">
        <f>IF(WWWW[[#This Row],[Location Type 1]]="Village",WWWW[[#This Row],[Access to safe drinking water for Village]],WWWW[[#This Row],[Access to safe drinking water for Camp]])</f>
        <v>1</v>
      </c>
      <c r="CR43" s="791">
        <f>WWWW[[#This Row],[%Equitable and continuous access to sufficient quantity of safe drinking water]]*WWWW[[#This Row],[Total PoP ]]</f>
        <v>612</v>
      </c>
      <c r="CS43" s="793">
        <f>IF((WWWW[[#This Row],['#_Constructed/Existing protected/fenced ponds]]*250)/WWWW[[#This Row],[Total PoP ]]&gt;1,1,(WWWW[[#This Row],['#_Constructed/Existing protected/fenced ponds]]*250)/WWWW[[#This Row],[Total PoP ]])</f>
        <v>0</v>
      </c>
      <c r="CT43" s="791">
        <f>WWWW[[#This Row],[% Access to unimproved water points]]*WWWW[[#This Row],[Total PoP ]]</f>
        <v>0</v>
      </c>
      <c r="CU43"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3"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612</v>
      </c>
      <c r="CW43" s="791">
        <f>WWWW[[#This Row],[HRP1]]/500</f>
        <v>1.224</v>
      </c>
      <c r="CX43" s="796">
        <f>1-WWWW[[#This Row],[% Equitable and continuous access to sufficient quantity of domestic water]]</f>
        <v>0</v>
      </c>
      <c r="CY43" s="791">
        <f>WWWW[[#This Row],[%equitable and continuous access to sufficient quantity of safe drinking and domestic water''s GAP]]*WWWW[[#This Row],[Total PoP ]]</f>
        <v>0</v>
      </c>
      <c r="CZ43" s="794">
        <f>IF(WWWW[[#This Row],[Total required water points]]-WWWW[[#This Row],['#Water points coverage]]&lt;0,0,WWWW[[#This Row],[Total required water points]]-WWWW[[#This Row],['#Water points coverage]])</f>
        <v>0</v>
      </c>
      <c r="DA43" s="794">
        <f>ROUND(IF(WWWW[[#This Row],[Total PoP ]]&lt;500,1,WWWW[[#This Row],[Total PoP ]]/500),0)</f>
        <v>1</v>
      </c>
      <c r="DB43" s="794">
        <f>(WWWW[[#This Row],['#_Constructed latrines_by_WASHAgencies]]+WWWW[[#This Row],['#_Non Cluster partner latrines]])-WWWW[[#This Row],['#_Non-functional latrines]]</f>
        <v>16</v>
      </c>
      <c r="DC43" s="631">
        <f>WWWW[[#This Row],[HRP2]]/WWWW[[#This Row],[Total PoP ]]</f>
        <v>0.52287581699346408</v>
      </c>
      <c r="DD43"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DE43"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612</v>
      </c>
      <c r="DF43"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 s="424">
        <f>IF(WWWW[[#This Row],['# of functional latrines in THF supported by WASH partners during the reporting period2]]="",0,WWWW[[#This Row],['# of functional latrines in THF supported by WASH partners during the reporting period2]]*50)</f>
        <v>0</v>
      </c>
      <c r="DH43" s="794">
        <f>ROUND(IF(WWWW[[#This Row],[Location Type 1]]="camp",WWWW[[#This Row],[Total PoP ]]/20,IF(WWWW[[#This Row],[Location Type 1]]="Temporary Location",WWWW[[#This Row],[Total PoP ]]/50,(WWWW[[#This Row],[Total PoP ]]/6))),0)</f>
        <v>31</v>
      </c>
      <c r="DI43" s="794">
        <f>IF(WWWW[[#This Row],[Total required Latrines]]-(WWWW[[#This Row],['#_Constructed latrines_by_WASHAgencies]]+WWWW[[#This Row],['#_Non Cluster partner latrines]])&lt;0,0,WWWW[[#This Row],[Total required Latrines]]-(WWWW[[#This Row],['#_Constructed latrines_by_WASHAgencies]]+WWWW[[#This Row],['#_Non Cluster partner latrines]]))</f>
        <v>15</v>
      </c>
      <c r="DJ43" s="796">
        <f>1-WWWW[[#This Row],[% people access to functioning Latrine]]</f>
        <v>0.47712418300653592</v>
      </c>
      <c r="DK43" s="795">
        <f>IF(OR(WWWW[[#This Row],['#_Non-functional latrines]]="",WWWW[[#This Row],['#_Non-functional latrines]]=0),0,WWWW[[#This Row],['#_Non-functional latrines]]/(WWWW[[#This Row],['#_Constructed latrines_by_WASHAgencies]]+WWWW[[#This Row],['#_Non Cluster partner latrines]]))</f>
        <v>0</v>
      </c>
      <c r="DL43" s="791">
        <f>IF(500*(WWWW[[#This Row],['#_male hygiene promoters]]+WWWW[[#This Row],['#_female hygiene promoters]])&gt;WWWW[[#This Row],[Total PoP ]],WWWW[[#This Row],[Total PoP ]],500*(WWWW[[#This Row],['#_male hygiene promoters]]+WWWW[[#This Row],['#_female hygiene promoters]]))</f>
        <v>612</v>
      </c>
      <c r="DM43"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612</v>
      </c>
      <c r="DN43"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43" s="794">
        <f>IF(WWWW[[#This Row],['# People with access to soap]]&gt;WWWW[[#This Row],['# People with access to Sanity Pads]],WWWW[[#This Row],['# People with access to soap]],WWWW[[#This Row],['# People with access to Sanity Pads]])</f>
        <v>612</v>
      </c>
      <c r="DP43" s="794">
        <f>IF(WWWW[[#This Row],['# people reached by regular dedicated hygiene promotion_5]]&gt;WWWW[[#This Row],['# People received regular supply of hygiene items_6]],WWWW[[#This Row],['# people reached by regular dedicated hygiene promotion_5]],WWWW[[#This Row],['# People received regular supply of hygiene items_6]])</f>
        <v>612</v>
      </c>
      <c r="DQ43" s="796">
        <f>IF(WWWW[[#This Row],[HRP3]]/WWWW[[#This Row],[Total PoP ]]&gt;1,1,WWWW[[#This Row],[HRP3]]/WWWW[[#This Row],[Total PoP ]])</f>
        <v>1</v>
      </c>
      <c r="DR43" s="795">
        <f>1-WWWW[[#This Row],[Hygiene Coverage%]]</f>
        <v>0</v>
      </c>
      <c r="DS43" s="793">
        <f>WWWW[[#This Row],['# people reached by regular dedicated hygiene promotion_5]]/WWWW[[#This Row],[Total PoP ]]</f>
        <v>1</v>
      </c>
      <c r="DT43"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3"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3" s="794">
        <f>WWWW[[#This Row],['#_Constructed/Existing hand washing stations]]-WWWW[[#This Row],['#_Non-Functional_hand_washing_stations]]</f>
        <v>7</v>
      </c>
      <c r="DW43" s="791">
        <f>IF(WWWW[[#This Row],['# Functional hand washing stations during reporting period]]*20&gt;WWWW[[#This Row],[Total HH]],WWWW[[#This Row],[Total HH]],WWWW[[#This Row],['# Functional hand washing stations during reporting period]]*20)</f>
        <v>137</v>
      </c>
      <c r="DX43" s="791">
        <f>IF(WWWW[[#This Row],[Is sufficient soap available for TLS? (Yes/No)]]="yes",WWWW[[#This Row],['#_Constructed/Existing hand washing stations at TLS/CFS/THF]],0)</f>
        <v>0</v>
      </c>
      <c r="DY43" s="428">
        <f>IF(WWWW[[#This Row],['# Functional hand washing stations during reporting period]]*100&gt;WWWW[[#This Row],[Total PoP ]],WWWW[[#This Row],[Total PoP ]],WWWW[[#This Row],['# Functional hand washing stations during reporting period]]*100)</f>
        <v>612</v>
      </c>
      <c r="DZ43" s="428" t="str">
        <f>IF(OR(WWWW[[#This Row],['#_students at TLS_CFS]]="",WWWW[[#This Row],['#_students at TLS_CFS]]=0),"No","Yes")</f>
        <v>No</v>
      </c>
      <c r="EA4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 s="787">
        <f>VLOOKUP(WWWW[[#This Row],[Site Name]],SiteDB6[[Site Name]:[CCCM Management]],6,FALSE)</f>
        <v>0</v>
      </c>
      <c r="EF43" s="787" t="str">
        <f>VLOOKUP(WWWW[[#This Row],[Site Name]],SiteDB6[[Site Name]:[CCCM Focal Agency]],7,FALSE)</f>
        <v>KBC-MYT</v>
      </c>
      <c r="EG43" s="787" t="str">
        <f>VLOOKUP(WWWW[[#This Row],[Site Name]],SiteDB6[[Site Name]:[Location Type 1]],9,FALSE)</f>
        <v>Camp</v>
      </c>
      <c r="EH43" s="787" t="str">
        <f>VLOOKUP(WWWW[[#This Row],[Site Name]],SiteDB6[[Site Name]:[Type of Accommodation]],10,FALSE)</f>
        <v>Camp</v>
      </c>
      <c r="EI43" s="787" t="str">
        <f>VLOOKUP(WWWW[[#This Row],[Site Name]],SiteDB6[[Site Name]:[Ethnic or GCA/NGCA]],11,FALSE)</f>
        <v>GCA</v>
      </c>
      <c r="EJ43" s="787">
        <f>VLOOKUP(WWWW[[#This Row],[Site Name]],SiteDB6[[Site Name]:[Lat]],12,FALSE)</f>
        <v>25.489669799804702</v>
      </c>
      <c r="EK43" s="787">
        <f>VLOOKUP(WWWW[[#This Row],[Site Name]],SiteDB6[[Site Name]:[Long]],13,FALSE)</f>
        <v>97.458778381347699</v>
      </c>
      <c r="EL43" s="787" t="str">
        <f>VLOOKUP(WWWW[[#This Row],[Site Name]],SiteDB6[[Site Name]:[Pcode]],3,FALSE)</f>
        <v>MMR001CMP265</v>
      </c>
      <c r="EM43" s="792" t="str">
        <f t="shared" si="0"/>
        <v>Covered</v>
      </c>
      <c r="EN43" s="792"/>
      <c r="EO43" s="787">
        <f>VLOOKUP(WWWW[[#This Row],[Site Name]],SiteDB6[[Site Name]:[Pop
(Kachin/Shan-CCCM as of July 2021)]],16,FALSE)</f>
        <v>136</v>
      </c>
      <c r="EP43" s="787">
        <f>VLOOKUP(WWWW[[#This Row],[Site Name]],SiteDB6[[Site Name]:[Pop
(Kachin/Shan-CCCM as of July 2021)]],17,FALSE)</f>
        <v>658</v>
      </c>
    </row>
    <row r="44" spans="1:146" hidden="1">
      <c r="A44" s="725" t="s">
        <v>2763</v>
      </c>
      <c r="B44" s="725" t="s">
        <v>141</v>
      </c>
      <c r="C44" s="726" t="s">
        <v>141</v>
      </c>
      <c r="D44" s="726" t="s">
        <v>241</v>
      </c>
      <c r="E44" s="726" t="s">
        <v>37</v>
      </c>
      <c r="F44" s="726" t="s">
        <v>205</v>
      </c>
      <c r="G44" s="591" t="str">
        <f>VLOOKUP(WWWW[[#This Row],[Site Name]],SiteDB6[[Site Name]:[Location Type]],8,FALSE)</f>
        <v>Camp</v>
      </c>
      <c r="H44" s="726" t="s">
        <v>290</v>
      </c>
      <c r="I44" s="728">
        <v>1490</v>
      </c>
      <c r="J44" s="728">
        <v>8486</v>
      </c>
      <c r="K44" s="588">
        <v>44105</v>
      </c>
      <c r="L44" s="589">
        <v>44681</v>
      </c>
      <c r="M44" s="728"/>
      <c r="N44" s="728"/>
      <c r="O44" s="728"/>
      <c r="P44" s="728"/>
      <c r="Q44" s="731" t="s">
        <v>41</v>
      </c>
      <c r="R44" s="728"/>
      <c r="S44" s="728"/>
      <c r="T44" s="448">
        <v>1</v>
      </c>
      <c r="U44" s="728"/>
      <c r="V44" s="728"/>
      <c r="W44" s="728"/>
      <c r="X44" s="728"/>
      <c r="Y44" s="728"/>
      <c r="Z44" s="728"/>
      <c r="AA44" s="728"/>
      <c r="AB44" s="728"/>
      <c r="AC44" s="728"/>
      <c r="AD44" s="728"/>
      <c r="AE44" s="728"/>
      <c r="AF44" s="728"/>
      <c r="AG44" s="728"/>
      <c r="AH44" s="728"/>
      <c r="AI44" s="728"/>
      <c r="AJ44" s="728"/>
      <c r="AK44" s="728"/>
      <c r="AL44" s="728"/>
      <c r="AM44" s="728">
        <v>3</v>
      </c>
      <c r="AN44" s="728"/>
      <c r="AO44" s="728"/>
      <c r="AP44" s="732"/>
      <c r="AQ44" s="728">
        <v>34</v>
      </c>
      <c r="AR44" s="728"/>
      <c r="AS44" s="733"/>
      <c r="AT44" s="728"/>
      <c r="AU44" s="728"/>
      <c r="AV44" s="728"/>
      <c r="AW44" s="728"/>
      <c r="AX44" s="728"/>
      <c r="AY44" s="727" t="s">
        <v>41</v>
      </c>
      <c r="AZ44" s="732" t="s">
        <v>137</v>
      </c>
      <c r="BA44" s="728">
        <v>6</v>
      </c>
      <c r="BB44" s="728"/>
      <c r="BC44" s="728"/>
      <c r="BD44" s="448"/>
      <c r="BE44" s="448"/>
      <c r="BF44" s="727"/>
      <c r="BG44" s="728">
        <v>7</v>
      </c>
      <c r="BH44" s="728"/>
      <c r="BI44" s="728"/>
      <c r="BJ44" s="728">
        <v>7</v>
      </c>
      <c r="BK44" s="728"/>
      <c r="BL44" s="728"/>
      <c r="BM44" s="728">
        <v>9</v>
      </c>
      <c r="BN44" s="728">
        <v>104</v>
      </c>
      <c r="BO44" s="728">
        <v>148</v>
      </c>
      <c r="BP44" s="727"/>
      <c r="BQ44" s="734"/>
      <c r="BR44" s="733"/>
      <c r="BS44" s="727"/>
      <c r="BT44" s="423"/>
      <c r="BU44" s="423"/>
      <c r="BV44" s="425"/>
      <c r="BW44" s="423"/>
      <c r="BX44" s="448"/>
      <c r="BY44" s="448"/>
      <c r="BZ44" s="448"/>
      <c r="CA44" s="448"/>
      <c r="CB44" s="448"/>
      <c r="CC44" s="777"/>
      <c r="CD44" s="448"/>
      <c r="CE44" s="735" t="str">
        <f>IFERROR(WWWW[[#This Row],['#_Water sources passed]]/WWWW[[#This Row],['#_Water sources tested for fecal coliform ]],"no test")</f>
        <v>no test</v>
      </c>
      <c r="CF44" s="733" t="str">
        <f>IFERROR(WWWW[[#This Row],['#_Household passed]]/WWWW[[#This Row],['#_Household water samples tested for fecal coliform]],"no test")</f>
        <v>no test</v>
      </c>
      <c r="CG44" s="734" t="str">
        <f>IF(AND(WWWW[[#This Row],[% of water sources passed]]="no test",WWWW[[#This Row],[% Household passed]]="no test"),"No Test","Tested")</f>
        <v>No Test</v>
      </c>
      <c r="CH44" s="734">
        <f>WWWW[[#This Row],['#_Constructed/existing protected hand dug well]]-WWWW[[#This Row],['#_Non-functional protected hand dug well]]</f>
        <v>1</v>
      </c>
      <c r="CI44" s="734">
        <f>(WWWW[[#This Row],['#_Constructed/Existing tube wells/boreholes/handpumps_WASH_agency]]+WWWW[[#This Row],['#_Non-Cluster partner water tube-wells/boreholes/handpumps]])-WWWW[[#This Row],['#_Non-functional tube wells/boreholes/handpumps]]</f>
        <v>0</v>
      </c>
      <c r="CJ44" s="734">
        <f>WWWW[[#This Row],['#_Constructed/Existingwater storage tank with gravity fed reticulation system]]-WWWW[[#This Row],['#_Non-functional storage tank gravity fed reticulation system]]</f>
        <v>0</v>
      </c>
      <c r="CK44" s="734">
        <f>(WWWW[[#This Row],['#_Water_Liters_supplied_by_Water boating or water trucking]]/90)/15</f>
        <v>0</v>
      </c>
      <c r="CL44" s="734">
        <f>WWWW[[#This Row],['#_Water_Liters_from_Constructed/Existing water distribution system from river or natural spring]]/90/15</f>
        <v>0</v>
      </c>
      <c r="CM44" s="424">
        <f>IF(WWWW[[#This Row],['#_of water points in TLS/CFS]]*500&gt;WWWW[[#This Row],[Total PoP ]],WWWW[[#This Row],[Total PoP ]],WWWW[[#This Row],['#_of water points in TLS/CFS]]*500)</f>
        <v>0</v>
      </c>
      <c r="CN44" s="424">
        <f>IF(WWWW[[#This Row],['#_of water points in THF]]*500&gt;WWWW[[#This Row],[Total PoP ]],WWWW[[#This Row],[Total PoP ]],WWWW[[#This Row],['#_of water points in THF]]*500)</f>
        <v>0</v>
      </c>
      <c r="CO4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4.7136460051850106E-2</v>
      </c>
      <c r="CP4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2.9460287532406315E-2</v>
      </c>
      <c r="CQ44" s="733">
        <f>IF(WWWW[[#This Row],[Location Type 1]]="Village",WWWW[[#This Row],[Access to safe drinking water for Village]],WWWW[[#This Row],[Access to safe drinking water for Camp]])</f>
        <v>4.7136460051850106E-2</v>
      </c>
      <c r="CR44" s="731">
        <f>WWWW[[#This Row],[%Equitable and continuous access to sufficient quantity of safe drinking water]]*WWWW[[#This Row],[Total PoP ]]</f>
        <v>400</v>
      </c>
      <c r="CS44" s="733">
        <f>IF((WWWW[[#This Row],['#_Constructed/Existing protected/fenced ponds]]*250)/WWWW[[#This Row],[Total PoP ]]&gt;1,1,(WWWW[[#This Row],['#_Constructed/Existing protected/fenced ponds]]*250)/WWWW[[#This Row],[Total PoP ]])</f>
        <v>0</v>
      </c>
      <c r="CT44" s="731">
        <f>WWWW[[#This Row],[% Access to unimproved water points]]*WWWW[[#This Row],[Total PoP ]]</f>
        <v>0</v>
      </c>
      <c r="CU4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4.7136460051850106E-2</v>
      </c>
      <c r="CV4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44" s="731">
        <f>WWWW[[#This Row],[HRP1]]/500</f>
        <v>0.8</v>
      </c>
      <c r="CX44" s="736">
        <f>1-WWWW[[#This Row],[% Equitable and continuous access to sufficient quantity of domestic water]]</f>
        <v>0.95286353994814987</v>
      </c>
      <c r="CY44" s="731">
        <f>WWWW[[#This Row],[%equitable and continuous access to sufficient quantity of safe drinking and domestic water''s GAP]]*WWWW[[#This Row],[Total PoP ]]</f>
        <v>8086</v>
      </c>
      <c r="CZ44" s="734">
        <f>IF(WWWW[[#This Row],[Total required water points]]-WWWW[[#This Row],['#Water points coverage]]&lt;0,0,WWWW[[#This Row],[Total required water points]]-WWWW[[#This Row],['#Water points coverage]])</f>
        <v>16.2</v>
      </c>
      <c r="DA44" s="734">
        <f>ROUND(IF(WWWW[[#This Row],[Total PoP ]]&lt;500,1,WWWW[[#This Row],[Total PoP ]]/500),0)</f>
        <v>17</v>
      </c>
      <c r="DB44" s="734">
        <f>(WWWW[[#This Row],['#_Constructed latrines_by_WASHAgencies]]+WWWW[[#This Row],['#_Non Cluster partner latrines]])-WWWW[[#This Row],['#_Non-functional latrines]]</f>
        <v>34</v>
      </c>
      <c r="DC44" s="631">
        <f>WWWW[[#This Row],[HRP2]]/WWWW[[#This Row],[Total PoP ]]</f>
        <v>9.4272920103700211E-2</v>
      </c>
      <c r="DD4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800</v>
      </c>
      <c r="DE4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4" s="424">
        <f>IF(WWWW[[#This Row],['# of functional latrines in THF supported by WASH partners during the reporting period2]]="",0,WWWW[[#This Row],['# of functional latrines in THF supported by WASH partners during the reporting period2]]*50)</f>
        <v>0</v>
      </c>
      <c r="DH44" s="734">
        <f>ROUND(IF(WWWW[[#This Row],[Location Type 1]]="camp",WWWW[[#This Row],[Total PoP ]]/20,IF(WWWW[[#This Row],[Location Type 1]]="Temporary Location",WWWW[[#This Row],[Total PoP ]]/50,(WWWW[[#This Row],[Total PoP ]]/6))),0)</f>
        <v>424</v>
      </c>
      <c r="DI44" s="734">
        <f>IF(WWWW[[#This Row],[Total required Latrines]]-(WWWW[[#This Row],['#_Constructed latrines_by_WASHAgencies]]+WWWW[[#This Row],['#_Non Cluster partner latrines]])&lt;0,0,WWWW[[#This Row],[Total required Latrines]]-(WWWW[[#This Row],['#_Constructed latrines_by_WASHAgencies]]+WWWW[[#This Row],['#_Non Cluster partner latrines]]))</f>
        <v>390</v>
      </c>
      <c r="DJ44" s="736">
        <f>1-WWWW[[#This Row],[% people access to functioning Latrine]]</f>
        <v>0.90572707989629975</v>
      </c>
      <c r="DK44" s="735">
        <f>IF(OR(WWWW[[#This Row],['#_Non-functional latrines]]="",WWWW[[#This Row],['#_Non-functional latrines]]=0),0,WWWW[[#This Row],['#_Non-functional latrines]]/(WWWW[[#This Row],['#_Constructed latrines_by_WASHAgencies]]+WWWW[[#This Row],['#_Non Cluster partner latrines]]))</f>
        <v>0</v>
      </c>
      <c r="DL44" s="731">
        <f>IF(500*(WWWW[[#This Row],['#_male hygiene promoters]]+WWWW[[#This Row],['#_female hygiene promoters]])&gt;WWWW[[#This Row],[Total PoP ]],WWWW[[#This Row],[Total PoP ]],500*(WWWW[[#This Row],['#_male hygiene promoters]]+WWWW[[#This Row],['#_female hygiene promoters]]))</f>
        <v>4500</v>
      </c>
      <c r="DM4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4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44" s="734">
        <f>IF(WWWW[[#This Row],['# People with access to soap]]&gt;WWWW[[#This Row],['# People with access to Sanity Pads]],WWWW[[#This Row],['# People with access to soap]],WWWW[[#This Row],['# People with access to Sanity Pads]])</f>
        <v>520</v>
      </c>
      <c r="DP44" s="734">
        <f>IF(WWWW[[#This Row],['# people reached by regular dedicated hygiene promotion_5]]&gt;WWWW[[#This Row],['# People received regular supply of hygiene items_6]],WWWW[[#This Row],['# people reached by regular dedicated hygiene promotion_5]],WWWW[[#This Row],['# People received regular supply of hygiene items_6]])</f>
        <v>4500</v>
      </c>
      <c r="DQ44" s="736">
        <f>IF(WWWW[[#This Row],[HRP3]]/WWWW[[#This Row],[Total PoP ]]&gt;1,1,WWWW[[#This Row],[HRP3]]/WWWW[[#This Row],[Total PoP ]])</f>
        <v>0.53028517558331367</v>
      </c>
      <c r="DR44" s="735">
        <f>1-WWWW[[#This Row],[Hygiene Coverage%]]</f>
        <v>0.46971482441668633</v>
      </c>
      <c r="DS44" s="733">
        <f>WWWW[[#This Row],['# people reached by regular dedicated hygiene promotion_5]]/WWWW[[#This Row],[Total PoP ]]</f>
        <v>0.53028517558331367</v>
      </c>
      <c r="DT4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6.9798657718120799E-2</v>
      </c>
      <c r="DU4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9.9328859060402688E-2</v>
      </c>
      <c r="DV44" s="734">
        <f>WWWW[[#This Row],['#_Constructed/Existing hand washing stations]]-WWWW[[#This Row],['#_Non-Functional_hand_washing_stations]]</f>
        <v>7</v>
      </c>
      <c r="DW44" s="731">
        <f>IF(WWWW[[#This Row],['# Functional hand washing stations during reporting period]]*20&gt;WWWW[[#This Row],[Total HH]],WWWW[[#This Row],[Total HH]],WWWW[[#This Row],['# Functional hand washing stations during reporting period]]*20)</f>
        <v>140</v>
      </c>
      <c r="DX44" s="731">
        <f>IF(WWWW[[#This Row],[Is sufficient soap available for TLS? (Yes/No)]]="yes",WWWW[[#This Row],['#_Constructed/Existing hand washing stations at TLS/CFS/THF]],0)</f>
        <v>0</v>
      </c>
      <c r="DY44" s="428">
        <f>IF(WWWW[[#This Row],['# Functional hand washing stations during reporting period]]*100&gt;WWWW[[#This Row],[Total PoP ]],WWWW[[#This Row],[Total PoP ]],WWWW[[#This Row],['# Functional hand washing stations during reporting period]]*100)</f>
        <v>700</v>
      </c>
      <c r="DZ44" s="428" t="str">
        <f>IF(OR(WWWW[[#This Row],['#_students at TLS_CFS]]="",WWWW[[#This Row],['#_students at TLS_CFS]]=0),"No","Yes")</f>
        <v>No</v>
      </c>
      <c r="EA4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 s="727" t="str">
        <f>VLOOKUP(WWWW[[#This Row],[Site Name]],SiteDB6[[Site Name]:[CCCM Management]],6,FALSE)</f>
        <v>Yes</v>
      </c>
      <c r="EF44" s="727" t="str">
        <f>VLOOKUP(WWWW[[#This Row],[Site Name]],SiteDB6[[Site Name]:[CCCM Focal Agency]],7,FALSE)</f>
        <v>KMSS-MYT</v>
      </c>
      <c r="EG44" s="727" t="str">
        <f>VLOOKUP(WWWW[[#This Row],[Site Name]],SiteDB6[[Site Name]:[Location Type 1]],9,FALSE)</f>
        <v>Camp</v>
      </c>
      <c r="EH44" s="727" t="str">
        <f>VLOOKUP(WWWW[[#This Row],[Site Name]],SiteDB6[[Site Name]:[Type of Accommodation]],10,FALSE)</f>
        <v>Camp</v>
      </c>
      <c r="EI44" s="727" t="str">
        <f>VLOOKUP(WWWW[[#This Row],[Site Name]],SiteDB6[[Site Name]:[Ethnic or GCA/NGCA]],11,FALSE)</f>
        <v>NGCA</v>
      </c>
      <c r="EJ44" s="727">
        <f>VLOOKUP(WWWW[[#This Row],[Site Name]],SiteDB6[[Site Name]:[Lat]],12,FALSE)</f>
        <v>24.688338999999999</v>
      </c>
      <c r="EK44" s="727">
        <f>VLOOKUP(WWWW[[#This Row],[Site Name]],SiteDB6[[Site Name]:[Long]],13,FALSE)</f>
        <v>97.568331999999998</v>
      </c>
      <c r="EL44" s="727" t="str">
        <f>VLOOKUP(WWWW[[#This Row],[Site Name]],SiteDB6[[Site Name]:[Pcode]],3,FALSE)</f>
        <v>MMR001CMP121</v>
      </c>
      <c r="EM44" s="732" t="str">
        <f t="shared" si="0"/>
        <v>Covered</v>
      </c>
      <c r="EN44" s="732"/>
      <c r="EO44" s="727">
        <f>VLOOKUP(WWWW[[#This Row],[Site Name]],SiteDB6[[Site Name]:[Pop
(Kachin/Shan-CCCM as of July 2021)]],16,FALSE)</f>
        <v>1592</v>
      </c>
      <c r="EP44" s="727">
        <f>VLOOKUP(WWWW[[#This Row],[Site Name]],SiteDB6[[Site Name]:[Pop
(Kachin/Shan-CCCM as of July 2021)]],17,FALSE)</f>
        <v>8220</v>
      </c>
    </row>
    <row r="45" spans="1:146" hidden="1">
      <c r="A45" s="725" t="s">
        <v>2763</v>
      </c>
      <c r="B45" s="725" t="s">
        <v>36</v>
      </c>
      <c r="C45" s="726" t="s">
        <v>36</v>
      </c>
      <c r="D45" s="726" t="s">
        <v>241</v>
      </c>
      <c r="E45" s="726" t="s">
        <v>37</v>
      </c>
      <c r="F45" s="726" t="s">
        <v>159</v>
      </c>
      <c r="G45" s="591" t="str">
        <f>VLOOKUP(WWWW[[#This Row],[Site Name]],SiteDB6[[Site Name]:[Location Type]],8,FALSE)</f>
        <v>Camp</v>
      </c>
      <c r="H45" s="726" t="s">
        <v>828</v>
      </c>
      <c r="I45" s="728">
        <v>14</v>
      </c>
      <c r="J45" s="728">
        <v>43</v>
      </c>
      <c r="K45" s="729">
        <v>44414</v>
      </c>
      <c r="L45" s="730">
        <v>44778</v>
      </c>
      <c r="M45" s="728"/>
      <c r="N45" s="728">
        <v>1</v>
      </c>
      <c r="O45" s="728"/>
      <c r="P45" s="728"/>
      <c r="Q45" s="731" t="s">
        <v>41</v>
      </c>
      <c r="R45" s="728">
        <v>1</v>
      </c>
      <c r="S45" s="728">
        <v>2</v>
      </c>
      <c r="T45" s="448"/>
      <c r="U45" s="728"/>
      <c r="V45" s="728"/>
      <c r="W45" s="728">
        <v>1</v>
      </c>
      <c r="X45" s="728"/>
      <c r="Y45" s="728"/>
      <c r="Z45" s="728"/>
      <c r="AA45" s="728"/>
      <c r="AB45" s="728"/>
      <c r="AC45" s="728"/>
      <c r="AD45" s="728"/>
      <c r="AE45" s="728"/>
      <c r="AF45" s="728"/>
      <c r="AG45" s="728"/>
      <c r="AH45" s="728"/>
      <c r="AI45" s="728"/>
      <c r="AJ45" s="728"/>
      <c r="AK45" s="728"/>
      <c r="AL45" s="728"/>
      <c r="AM45" s="728">
        <v>4</v>
      </c>
      <c r="AN45" s="728"/>
      <c r="AO45" s="728"/>
      <c r="AP45" s="732"/>
      <c r="AQ45" s="728">
        <v>4</v>
      </c>
      <c r="AR45" s="728"/>
      <c r="AS45" s="733"/>
      <c r="AT45" s="728"/>
      <c r="AU45" s="728"/>
      <c r="AV45" s="728"/>
      <c r="AW45" s="728"/>
      <c r="AX45" s="728"/>
      <c r="AY45" s="727" t="s">
        <v>41</v>
      </c>
      <c r="AZ45" s="732" t="s">
        <v>137</v>
      </c>
      <c r="BA45" s="728"/>
      <c r="BB45" s="728"/>
      <c r="BC45" s="728"/>
      <c r="BD45" s="448"/>
      <c r="BE45" s="448"/>
      <c r="BF45" s="727"/>
      <c r="BG45" s="728">
        <v>7</v>
      </c>
      <c r="BH45" s="728"/>
      <c r="BI45" s="728"/>
      <c r="BJ45" s="728">
        <v>4</v>
      </c>
      <c r="BK45" s="728"/>
      <c r="BL45" s="728"/>
      <c r="BM45" s="728"/>
      <c r="BN45" s="728">
        <v>124</v>
      </c>
      <c r="BO45" s="728">
        <v>198</v>
      </c>
      <c r="BP45" s="727"/>
      <c r="BQ45" s="734">
        <v>100</v>
      </c>
      <c r="BR45" s="733">
        <v>0.5</v>
      </c>
      <c r="BS45" s="727"/>
      <c r="BT45" s="423"/>
      <c r="BU45" s="423"/>
      <c r="BV45" s="425"/>
      <c r="BW45" s="423"/>
      <c r="BX45" s="448"/>
      <c r="BY45" s="448"/>
      <c r="BZ45" s="448"/>
      <c r="CA45" s="448"/>
      <c r="CB45" s="448"/>
      <c r="CC45" s="777"/>
      <c r="CD45" s="448"/>
      <c r="CE45" s="735" t="str">
        <f>IFERROR(WWWW[[#This Row],['#_Water sources passed]]/WWWW[[#This Row],['#_Water sources tested for fecal coliform ]],"no test")</f>
        <v>no test</v>
      </c>
      <c r="CF45" s="733" t="str">
        <f>IFERROR(WWWW[[#This Row],['#_Household passed]]/WWWW[[#This Row],['#_Household water samples tested for fecal coliform]],"no test")</f>
        <v>no test</v>
      </c>
      <c r="CG45" s="734" t="str">
        <f>IF(AND(WWWW[[#This Row],[% of water sources passed]]="no test",WWWW[[#This Row],[% Household passed]]="no test"),"No Test","Tested")</f>
        <v>No Test</v>
      </c>
      <c r="CH45" s="734">
        <f>WWWW[[#This Row],['#_Constructed/existing protected hand dug well]]-WWWW[[#This Row],['#_Non-functional protected hand dug well]]</f>
        <v>0</v>
      </c>
      <c r="CI45" s="734">
        <f>(WWWW[[#This Row],['#_Constructed/Existing tube wells/boreholes/handpumps_WASH_agency]]+WWWW[[#This Row],['#_Non-Cluster partner water tube-wells/boreholes/handpumps]])-WWWW[[#This Row],['#_Non-functional tube wells/boreholes/handpumps]]</f>
        <v>1</v>
      </c>
      <c r="CJ45" s="734">
        <f>WWWW[[#This Row],['#_Constructed/Existingwater storage tank with gravity fed reticulation system]]-WWWW[[#This Row],['#_Non-functional storage tank gravity fed reticulation system]]</f>
        <v>0</v>
      </c>
      <c r="CK45" s="734">
        <f>(WWWW[[#This Row],['#_Water_Liters_supplied_by_Water boating or water trucking]]/90)/15</f>
        <v>0</v>
      </c>
      <c r="CL45" s="734">
        <f>WWWW[[#This Row],['#_Water_Liters_from_Constructed/Existing water distribution system from river or natural spring]]/90/15</f>
        <v>0</v>
      </c>
      <c r="CM45" s="424">
        <f>IF(WWWW[[#This Row],['#_of water points in TLS/CFS]]*500&gt;WWWW[[#This Row],[Total PoP ]],WWWW[[#This Row],[Total PoP ]],WWWW[[#This Row],['#_of water points in TLS/CFS]]*500)</f>
        <v>0</v>
      </c>
      <c r="CN45" s="424">
        <f>IF(WWWW[[#This Row],['#_of water points in THF]]*500&gt;WWWW[[#This Row],[Total PoP ]],WWWW[[#This Row],[Total PoP ]],WWWW[[#This Row],['#_of water points in THF]]*500)</f>
        <v>0</v>
      </c>
      <c r="CO4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5" s="733">
        <f>IF(WWWW[[#This Row],[Location Type 1]]="Village",WWWW[[#This Row],[Access to safe drinking water for Village]],WWWW[[#This Row],[Access to safe drinking water for Camp]])</f>
        <v>1</v>
      </c>
      <c r="CR45" s="731">
        <f>WWWW[[#This Row],[%Equitable and continuous access to sufficient quantity of safe drinking water]]*WWWW[[#This Row],[Total PoP ]]</f>
        <v>43</v>
      </c>
      <c r="CS45" s="733">
        <f>IF((WWWW[[#This Row],['#_Constructed/Existing protected/fenced ponds]]*250)/WWWW[[#This Row],[Total PoP ]]&gt;1,1,(WWWW[[#This Row],['#_Constructed/Existing protected/fenced ponds]]*250)/WWWW[[#This Row],[Total PoP ]])</f>
        <v>0</v>
      </c>
      <c r="CT45" s="731">
        <f>WWWW[[#This Row],[% Access to unimproved water points]]*WWWW[[#This Row],[Total PoP ]]</f>
        <v>0</v>
      </c>
      <c r="CU4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v>
      </c>
      <c r="CW45" s="731">
        <f>WWWW[[#This Row],[HRP1]]/500</f>
        <v>8.5999999999999993E-2</v>
      </c>
      <c r="CX45" s="736">
        <f>1-WWWW[[#This Row],[% Equitable and continuous access to sufficient quantity of domestic water]]</f>
        <v>0</v>
      </c>
      <c r="CY45" s="731">
        <f>WWWW[[#This Row],[%equitable and continuous access to sufficient quantity of safe drinking and domestic water''s GAP]]*WWWW[[#This Row],[Total PoP ]]</f>
        <v>0</v>
      </c>
      <c r="CZ45" s="734">
        <f>IF(WWWW[[#This Row],[Total required water points]]-WWWW[[#This Row],['#Water points coverage]]&lt;0,0,WWWW[[#This Row],[Total required water points]]-WWWW[[#This Row],['#Water points coverage]])</f>
        <v>0.91400000000000003</v>
      </c>
      <c r="DA45" s="734">
        <f>ROUND(IF(WWWW[[#This Row],[Total PoP ]]&lt;500,1,WWWW[[#This Row],[Total PoP ]]/500),0)</f>
        <v>1</v>
      </c>
      <c r="DB45" s="734">
        <f>(WWWW[[#This Row],['#_Constructed latrines_by_WASHAgencies]]+WWWW[[#This Row],['#_Non Cluster partner latrines]])-WWWW[[#This Row],['#_Non-functional latrines]]</f>
        <v>4</v>
      </c>
      <c r="DC45" s="631">
        <f>WWWW[[#This Row],[HRP2]]/WWWW[[#This Row],[Total PoP ]]</f>
        <v>1</v>
      </c>
      <c r="DD4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v>
      </c>
      <c r="DE4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 s="424">
        <f>IF(WWWW[[#This Row],['# of functional latrines in THF supported by WASH partners during the reporting period2]]="",0,WWWW[[#This Row],['# of functional latrines in THF supported by WASH partners during the reporting period2]]*50)</f>
        <v>0</v>
      </c>
      <c r="DH45" s="734">
        <f>ROUND(IF(WWWW[[#This Row],[Location Type 1]]="camp",WWWW[[#This Row],[Total PoP ]]/20,IF(WWWW[[#This Row],[Location Type 1]]="Temporary Location",WWWW[[#This Row],[Total PoP ]]/50,(WWWW[[#This Row],[Total PoP ]]/6))),0)</f>
        <v>2</v>
      </c>
      <c r="DI45" s="734">
        <f>IF(WWWW[[#This Row],[Total required Latrines]]-(WWWW[[#This Row],['#_Constructed latrines_by_WASHAgencies]]+WWWW[[#This Row],['#_Non Cluster partner latrines]])&lt;0,0,WWWW[[#This Row],[Total required Latrines]]-(WWWW[[#This Row],['#_Constructed latrines_by_WASHAgencies]]+WWWW[[#This Row],['#_Non Cluster partner latrines]]))</f>
        <v>0</v>
      </c>
      <c r="DJ45" s="736">
        <f>1-WWWW[[#This Row],[% people access to functioning Latrine]]</f>
        <v>0</v>
      </c>
      <c r="DK45" s="735">
        <f>IF(OR(WWWW[[#This Row],['#_Non-functional latrines]]="",WWWW[[#This Row],['#_Non-functional latrines]]=0),0,WWWW[[#This Row],['#_Non-functional latrines]]/(WWWW[[#This Row],['#_Constructed latrines_by_WASHAgencies]]+WWWW[[#This Row],['#_Non Cluster partner latrines]]))</f>
        <v>0</v>
      </c>
      <c r="DL45" s="731">
        <f>IF(500*(WWWW[[#This Row],['#_male hygiene promoters]]+WWWW[[#This Row],['#_female hygiene promoters]])&gt;WWWW[[#This Row],[Total PoP ]],WWWW[[#This Row],[Total PoP ]],500*(WWWW[[#This Row],['#_male hygiene promoters]]+WWWW[[#This Row],['#_female hygiene promoters]]))</f>
        <v>0</v>
      </c>
      <c r="DM4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43</v>
      </c>
      <c r="DN4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43</v>
      </c>
      <c r="DO45" s="734">
        <f>IF(WWWW[[#This Row],['# People with access to soap]]&gt;WWWW[[#This Row],['# People with access to Sanity Pads]],WWWW[[#This Row],['# People with access to soap]],WWWW[[#This Row],['# People with access to Sanity Pads]])</f>
        <v>43</v>
      </c>
      <c r="DP45" s="734">
        <f>IF(WWWW[[#This Row],['# people reached by regular dedicated hygiene promotion_5]]&gt;WWWW[[#This Row],['# People received regular supply of hygiene items_6]],WWWW[[#This Row],['# people reached by regular dedicated hygiene promotion_5]],WWWW[[#This Row],['# People received regular supply of hygiene items_6]])</f>
        <v>43</v>
      </c>
      <c r="DQ45" s="736">
        <f>IF(WWWW[[#This Row],[HRP3]]/WWWW[[#This Row],[Total PoP ]]&gt;1,1,WWWW[[#This Row],[HRP3]]/WWWW[[#This Row],[Total PoP ]])</f>
        <v>1</v>
      </c>
      <c r="DR45" s="735">
        <f>1-WWWW[[#This Row],[Hygiene Coverage%]]</f>
        <v>0</v>
      </c>
      <c r="DS45" s="733">
        <f>WWWW[[#This Row],['# people reached by regular dedicated hygiene promotion_5]]/WWWW[[#This Row],[Total PoP ]]</f>
        <v>0</v>
      </c>
      <c r="DT4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5" s="734">
        <f>WWWW[[#This Row],['#_Constructed/Existing hand washing stations]]-WWWW[[#This Row],['#_Non-Functional_hand_washing_stations]]</f>
        <v>7</v>
      </c>
      <c r="DW45" s="731">
        <f>IF(WWWW[[#This Row],['# Functional hand washing stations during reporting period]]*20&gt;WWWW[[#This Row],[Total HH]],WWWW[[#This Row],[Total HH]],WWWW[[#This Row],['# Functional hand washing stations during reporting period]]*20)</f>
        <v>14</v>
      </c>
      <c r="DX45" s="731">
        <f>IF(WWWW[[#This Row],[Is sufficient soap available for TLS? (Yes/No)]]="yes",WWWW[[#This Row],['#_Constructed/Existing hand washing stations at TLS/CFS/THF]],0)</f>
        <v>0</v>
      </c>
      <c r="DY45" s="428">
        <f>IF(WWWW[[#This Row],['# Functional hand washing stations during reporting period]]*100&gt;WWWW[[#This Row],[Total PoP ]],WWWW[[#This Row],[Total PoP ]],WWWW[[#This Row],['# Functional hand washing stations during reporting period]]*100)</f>
        <v>43</v>
      </c>
      <c r="DZ45" s="428" t="str">
        <f>IF(OR(WWWW[[#This Row],['#_students at TLS_CFS]]="",WWWW[[#This Row],['#_students at TLS_CFS]]=0),"No","Yes")</f>
        <v>No</v>
      </c>
      <c r="EA4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 s="727">
        <f>VLOOKUP(WWWW[[#This Row],[Site Name]],SiteDB6[[Site Name]:[CCCM Management]],6,FALSE)</f>
        <v>0</v>
      </c>
      <c r="EF45" s="727" t="str">
        <f>VLOOKUP(WWWW[[#This Row],[Site Name]],SiteDB6[[Site Name]:[CCCM Focal Agency]],7,FALSE)</f>
        <v>KMSS-MYT</v>
      </c>
      <c r="EG45" s="727" t="str">
        <f>VLOOKUP(WWWW[[#This Row],[Site Name]],SiteDB6[[Site Name]:[Location Type 1]],9,FALSE)</f>
        <v>Camp</v>
      </c>
      <c r="EH45" s="727" t="str">
        <f>VLOOKUP(WWWW[[#This Row],[Site Name]],SiteDB6[[Site Name]:[Type of Accommodation]],10,FALSE)</f>
        <v>Camp</v>
      </c>
      <c r="EI45" s="727" t="str">
        <f>VLOOKUP(WWWW[[#This Row],[Site Name]],SiteDB6[[Site Name]:[Ethnic or GCA/NGCA]],11,FALSE)</f>
        <v>GCA</v>
      </c>
      <c r="EJ45" s="727">
        <f>VLOOKUP(WWWW[[#This Row],[Site Name]],SiteDB6[[Site Name]:[Lat]],12,FALSE)</f>
        <v>25.244700000000002</v>
      </c>
      <c r="EK45" s="727">
        <f>VLOOKUP(WWWW[[#This Row],[Site Name]],SiteDB6[[Site Name]:[Long]],13,FALSE)</f>
        <v>97.2209</v>
      </c>
      <c r="EL45" s="727" t="str">
        <f>VLOOKUP(WWWW[[#This Row],[Site Name]],SiteDB6[[Site Name]:[Pcode]],3,FALSE)</f>
        <v>MMR001CMP256</v>
      </c>
      <c r="EM45" s="732" t="str">
        <f t="shared" si="0"/>
        <v>Covered</v>
      </c>
      <c r="EN45" s="732"/>
      <c r="EO45" s="727">
        <f>VLOOKUP(WWWW[[#This Row],[Site Name]],SiteDB6[[Site Name]:[Pop
(Kachin/Shan-CCCM as of July 2021)]],16,FALSE)</f>
        <v>18</v>
      </c>
      <c r="EP45" s="727">
        <f>VLOOKUP(WWWW[[#This Row],[Site Name]],SiteDB6[[Site Name]:[Pop
(Kachin/Shan-CCCM as of July 2021)]],17,FALSE)</f>
        <v>60</v>
      </c>
    </row>
    <row r="46" spans="1:146" hidden="1">
      <c r="A46" s="725" t="s">
        <v>2763</v>
      </c>
      <c r="B46" s="725" t="s">
        <v>192</v>
      </c>
      <c r="C46" s="726" t="s">
        <v>192</v>
      </c>
      <c r="D46" s="726" t="s">
        <v>2679</v>
      </c>
      <c r="E46" s="726" t="s">
        <v>37</v>
      </c>
      <c r="F46" s="726" t="s">
        <v>205</v>
      </c>
      <c r="G46" s="591" t="str">
        <f>VLOOKUP(WWWW[[#This Row],[Site Name]],SiteDB6[[Site Name]:[Location Type]],8,FALSE)</f>
        <v>Camp_not registered</v>
      </c>
      <c r="H46" s="726" t="s">
        <v>207</v>
      </c>
      <c r="I46" s="728">
        <v>17</v>
      </c>
      <c r="J46" s="728">
        <v>100</v>
      </c>
      <c r="K46" s="729" t="s">
        <v>2670</v>
      </c>
      <c r="L46" s="730" t="s">
        <v>2680</v>
      </c>
      <c r="M46" s="728"/>
      <c r="N46" s="728"/>
      <c r="O46" s="728"/>
      <c r="P46" s="728"/>
      <c r="Q46" s="731" t="s">
        <v>136</v>
      </c>
      <c r="R46" s="728"/>
      <c r="S46" s="728"/>
      <c r="T46" s="448">
        <v>1</v>
      </c>
      <c r="U46" s="728"/>
      <c r="V46" s="728"/>
      <c r="W46" s="728"/>
      <c r="X46" s="728"/>
      <c r="Y46" s="728"/>
      <c r="Z46" s="728"/>
      <c r="AA46" s="728"/>
      <c r="AB46" s="728"/>
      <c r="AC46" s="728"/>
      <c r="AD46" s="728"/>
      <c r="AE46" s="728"/>
      <c r="AF46" s="728"/>
      <c r="AG46" s="728"/>
      <c r="AH46" s="728"/>
      <c r="AI46" s="728"/>
      <c r="AJ46" s="728"/>
      <c r="AK46" s="728"/>
      <c r="AL46" s="728"/>
      <c r="AM46" s="728"/>
      <c r="AN46" s="728"/>
      <c r="AO46" s="728"/>
      <c r="AP46" s="732"/>
      <c r="AQ46" s="728">
        <v>4</v>
      </c>
      <c r="AR46" s="728"/>
      <c r="AS46" s="733"/>
      <c r="AT46" s="728"/>
      <c r="AU46" s="728"/>
      <c r="AV46" s="728"/>
      <c r="AW46" s="728"/>
      <c r="AX46" s="728"/>
      <c r="AY46" s="727" t="s">
        <v>41</v>
      </c>
      <c r="AZ46" s="732" t="s">
        <v>137</v>
      </c>
      <c r="BA46" s="728"/>
      <c r="BB46" s="728"/>
      <c r="BC46" s="728"/>
      <c r="BD46" s="448"/>
      <c r="BE46" s="448"/>
      <c r="BF46" s="727"/>
      <c r="BG46" s="728">
        <v>3</v>
      </c>
      <c r="BH46" s="728"/>
      <c r="BI46" s="728"/>
      <c r="BJ46" s="728">
        <v>2</v>
      </c>
      <c r="BK46" s="728"/>
      <c r="BL46" s="728"/>
      <c r="BM46" s="728">
        <v>1</v>
      </c>
      <c r="BN46" s="728">
        <v>10</v>
      </c>
      <c r="BO46" s="728">
        <v>18</v>
      </c>
      <c r="BP46" s="727"/>
      <c r="BQ46" s="734"/>
      <c r="BR46" s="733"/>
      <c r="BS46" s="727"/>
      <c r="BT46" s="423"/>
      <c r="BU46" s="423"/>
      <c r="BV46" s="425"/>
      <c r="BW46" s="423"/>
      <c r="BX46" s="448"/>
      <c r="BY46" s="448"/>
      <c r="BZ46" s="448"/>
      <c r="CA46" s="448"/>
      <c r="CB46" s="448"/>
      <c r="CC46" s="777"/>
      <c r="CD46" s="448"/>
      <c r="CE46" s="735" t="str">
        <f>IFERROR(WWWW[[#This Row],['#_Water sources passed]]/WWWW[[#This Row],['#_Water sources tested for fecal coliform ]],"no test")</f>
        <v>no test</v>
      </c>
      <c r="CF46" s="733" t="str">
        <f>IFERROR(WWWW[[#This Row],['#_Household passed]]/WWWW[[#This Row],['#_Household water samples tested for fecal coliform]],"no test")</f>
        <v>no test</v>
      </c>
      <c r="CG46" s="734" t="str">
        <f>IF(AND(WWWW[[#This Row],[% of water sources passed]]="no test",WWWW[[#This Row],[% Household passed]]="no test"),"No Test","Tested")</f>
        <v>No Test</v>
      </c>
      <c r="CH46" s="734">
        <f>WWWW[[#This Row],['#_Constructed/existing protected hand dug well]]-WWWW[[#This Row],['#_Non-functional protected hand dug well]]</f>
        <v>1</v>
      </c>
      <c r="CI46" s="734">
        <f>(WWWW[[#This Row],['#_Constructed/Existing tube wells/boreholes/handpumps_WASH_agency]]+WWWW[[#This Row],['#_Non-Cluster partner water tube-wells/boreholes/handpumps]])-WWWW[[#This Row],['#_Non-functional tube wells/boreholes/handpumps]]</f>
        <v>0</v>
      </c>
      <c r="CJ46" s="734">
        <f>WWWW[[#This Row],['#_Constructed/Existingwater storage tank with gravity fed reticulation system]]-WWWW[[#This Row],['#_Non-functional storage tank gravity fed reticulation system]]</f>
        <v>0</v>
      </c>
      <c r="CK46" s="734">
        <f>(WWWW[[#This Row],['#_Water_Liters_supplied_by_Water boating or water trucking]]/90)/15</f>
        <v>0</v>
      </c>
      <c r="CL46" s="734">
        <f>WWWW[[#This Row],['#_Water_Liters_from_Constructed/Existing water distribution system from river or natural spring]]/90/15</f>
        <v>0</v>
      </c>
      <c r="CM46" s="424">
        <f>IF(WWWW[[#This Row],['#_of water points in TLS/CFS]]*500&gt;WWWW[[#This Row],[Total PoP ]],WWWW[[#This Row],[Total PoP ]],WWWW[[#This Row],['#_of water points in TLS/CFS]]*500)</f>
        <v>0</v>
      </c>
      <c r="CN46" s="424">
        <f>IF(WWWW[[#This Row],['#_of water points in THF]]*500&gt;WWWW[[#This Row],[Total PoP ]],WWWW[[#This Row],[Total PoP ]],WWWW[[#This Row],['#_of water points in THF]]*500)</f>
        <v>0</v>
      </c>
      <c r="CO4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6" s="733">
        <f>IF(WWWW[[#This Row],[Location Type 1]]="Village",WWWW[[#This Row],[Access to safe drinking water for Village]],WWWW[[#This Row],[Access to safe drinking water for Camp]])</f>
        <v>1</v>
      </c>
      <c r="CR46" s="731">
        <f>WWWW[[#This Row],[%Equitable and continuous access to sufficient quantity of safe drinking water]]*WWWW[[#This Row],[Total PoP ]]</f>
        <v>100</v>
      </c>
      <c r="CS46" s="733">
        <f>IF((WWWW[[#This Row],['#_Constructed/Existing protected/fenced ponds]]*250)/WWWW[[#This Row],[Total PoP ]]&gt;1,1,(WWWW[[#This Row],['#_Constructed/Existing protected/fenced ponds]]*250)/WWWW[[#This Row],[Total PoP ]])</f>
        <v>0</v>
      </c>
      <c r="CT46" s="731">
        <f>WWWW[[#This Row],[% Access to unimproved water points]]*WWWW[[#This Row],[Total PoP ]]</f>
        <v>0</v>
      </c>
      <c r="CU4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v>
      </c>
      <c r="CW46" s="731">
        <f>WWWW[[#This Row],[HRP1]]/500</f>
        <v>0.2</v>
      </c>
      <c r="CX46" s="736">
        <f>1-WWWW[[#This Row],[% Equitable and continuous access to sufficient quantity of domestic water]]</f>
        <v>0</v>
      </c>
      <c r="CY46" s="731">
        <f>WWWW[[#This Row],[%equitable and continuous access to sufficient quantity of safe drinking and domestic water''s GAP]]*WWWW[[#This Row],[Total PoP ]]</f>
        <v>0</v>
      </c>
      <c r="CZ46" s="734">
        <f>IF(WWWW[[#This Row],[Total required water points]]-WWWW[[#This Row],['#Water points coverage]]&lt;0,0,WWWW[[#This Row],[Total required water points]]-WWWW[[#This Row],['#Water points coverage]])</f>
        <v>0.8</v>
      </c>
      <c r="DA46" s="734">
        <f>ROUND(IF(WWWW[[#This Row],[Total PoP ]]&lt;500,1,WWWW[[#This Row],[Total PoP ]]/500),0)</f>
        <v>1</v>
      </c>
      <c r="DB46" s="734">
        <f>(WWWW[[#This Row],['#_Constructed latrines_by_WASHAgencies]]+WWWW[[#This Row],['#_Non Cluster partner latrines]])-WWWW[[#This Row],['#_Non-functional latrines]]</f>
        <v>4</v>
      </c>
      <c r="DC46" s="631">
        <f>WWWW[[#This Row],[HRP2]]/WWWW[[#This Row],[Total PoP ]]</f>
        <v>0.8</v>
      </c>
      <c r="DD4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4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 s="424">
        <f>IF(WWWW[[#This Row],['# of functional latrines in THF supported by WASH partners during the reporting period2]]="",0,WWWW[[#This Row],['# of functional latrines in THF supported by WASH partners during the reporting period2]]*50)</f>
        <v>0</v>
      </c>
      <c r="DH46" s="734">
        <f>ROUND(IF(WWWW[[#This Row],[Location Type 1]]="camp",WWWW[[#This Row],[Total PoP ]]/20,IF(WWWW[[#This Row],[Location Type 1]]="Temporary Location",WWWW[[#This Row],[Total PoP ]]/50,(WWWW[[#This Row],[Total PoP ]]/6))),0)</f>
        <v>5</v>
      </c>
      <c r="DI46" s="734">
        <f>IF(WWWW[[#This Row],[Total required Latrines]]-(WWWW[[#This Row],['#_Constructed latrines_by_WASHAgencies]]+WWWW[[#This Row],['#_Non Cluster partner latrines]])&lt;0,0,WWWW[[#This Row],[Total required Latrines]]-(WWWW[[#This Row],['#_Constructed latrines_by_WASHAgencies]]+WWWW[[#This Row],['#_Non Cluster partner latrines]]))</f>
        <v>1</v>
      </c>
      <c r="DJ46" s="736">
        <f>1-WWWW[[#This Row],[% people access to functioning Latrine]]</f>
        <v>0.19999999999999996</v>
      </c>
      <c r="DK46" s="735">
        <f>IF(OR(WWWW[[#This Row],['#_Non-functional latrines]]="",WWWW[[#This Row],['#_Non-functional latrines]]=0),0,WWWW[[#This Row],['#_Non-functional latrines]]/(WWWW[[#This Row],['#_Constructed latrines_by_WASHAgencies]]+WWWW[[#This Row],['#_Non Cluster partner latrines]]))</f>
        <v>0</v>
      </c>
      <c r="DL46" s="731">
        <f>IF(500*(WWWW[[#This Row],['#_male hygiene promoters]]+WWWW[[#This Row],['#_female hygiene promoters]])&gt;WWWW[[#This Row],[Total PoP ]],WWWW[[#This Row],[Total PoP ]],500*(WWWW[[#This Row],['#_male hygiene promoters]]+WWWW[[#This Row],['#_female hygiene promoters]]))</f>
        <v>100</v>
      </c>
      <c r="DM4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4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46" s="734">
        <f>IF(WWWW[[#This Row],['# People with access to soap]]&gt;WWWW[[#This Row],['# People with access to Sanity Pads]],WWWW[[#This Row],['# People with access to soap]],WWWW[[#This Row],['# People with access to Sanity Pads]])</f>
        <v>50</v>
      </c>
      <c r="DP46" s="734">
        <f>IF(WWWW[[#This Row],['# people reached by regular dedicated hygiene promotion_5]]&gt;WWWW[[#This Row],['# People received regular supply of hygiene items_6]],WWWW[[#This Row],['# people reached by regular dedicated hygiene promotion_5]],WWWW[[#This Row],['# People received regular supply of hygiene items_6]])</f>
        <v>100</v>
      </c>
      <c r="DQ46" s="736">
        <f>IF(WWWW[[#This Row],[HRP3]]/WWWW[[#This Row],[Total PoP ]]&gt;1,1,WWWW[[#This Row],[HRP3]]/WWWW[[#This Row],[Total PoP ]])</f>
        <v>1</v>
      </c>
      <c r="DR46" s="735">
        <f>1-WWWW[[#This Row],[Hygiene Coverage%]]</f>
        <v>0</v>
      </c>
      <c r="DS46" s="733">
        <f>WWWW[[#This Row],['# people reached by regular dedicated hygiene promotion_5]]/WWWW[[#This Row],[Total PoP ]]</f>
        <v>1</v>
      </c>
      <c r="DT4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6" s="734">
        <f>WWWW[[#This Row],['#_Constructed/Existing hand washing stations]]-WWWW[[#This Row],['#_Non-Functional_hand_washing_stations]]</f>
        <v>3</v>
      </c>
      <c r="DW46" s="731">
        <f>IF(WWWW[[#This Row],['# Functional hand washing stations during reporting period]]*20&gt;WWWW[[#This Row],[Total HH]],WWWW[[#This Row],[Total HH]],WWWW[[#This Row],['# Functional hand washing stations during reporting period]]*20)</f>
        <v>17</v>
      </c>
      <c r="DX46" s="731">
        <f>IF(WWWW[[#This Row],[Is sufficient soap available for TLS? (Yes/No)]]="yes",WWWW[[#This Row],['#_Constructed/Existing hand washing stations at TLS/CFS/THF]],0)</f>
        <v>0</v>
      </c>
      <c r="DY46" s="428">
        <f>IF(WWWW[[#This Row],['# Functional hand washing stations during reporting period]]*100&gt;WWWW[[#This Row],[Total PoP ]],WWWW[[#This Row],[Total PoP ]],WWWW[[#This Row],['# Functional hand washing stations during reporting period]]*100)</f>
        <v>100</v>
      </c>
      <c r="DZ46" s="428" t="str">
        <f>IF(OR(WWWW[[#This Row],['#_students at TLS_CFS]]="",WWWW[[#This Row],['#_students at TLS_CFS]]=0),"No","Yes")</f>
        <v>No</v>
      </c>
      <c r="EA4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 s="727">
        <f>VLOOKUP(WWWW[[#This Row],[Site Name]],SiteDB6[[Site Name]:[CCCM Management]],6,FALSE)</f>
        <v>0</v>
      </c>
      <c r="EF46" s="727">
        <f>VLOOKUP(WWWW[[#This Row],[Site Name]],SiteDB6[[Site Name]:[CCCM Focal Agency]],7,FALSE)</f>
        <v>0</v>
      </c>
      <c r="EG46" s="727" t="str">
        <f>VLOOKUP(WWWW[[#This Row],[Site Name]],SiteDB6[[Site Name]:[Location Type 1]],9,FALSE)</f>
        <v>Camp</v>
      </c>
      <c r="EH46" s="727" t="str">
        <f>VLOOKUP(WWWW[[#This Row],[Site Name]],SiteDB6[[Site Name]:[Type of Accommodation]],10,FALSE)</f>
        <v>Camp</v>
      </c>
      <c r="EI46" s="727" t="str">
        <f>VLOOKUP(WWWW[[#This Row],[Site Name]],SiteDB6[[Site Name]:[Ethnic or GCA/NGCA]],11,FALSE)</f>
        <v>GCA</v>
      </c>
      <c r="EJ46" s="727">
        <f>VLOOKUP(WWWW[[#This Row],[Site Name]],SiteDB6[[Site Name]:[Lat]],12,FALSE)</f>
        <v>0</v>
      </c>
      <c r="EK46" s="727">
        <f>VLOOKUP(WWWW[[#This Row],[Site Name]],SiteDB6[[Site Name]:[Long]],13,FALSE)</f>
        <v>0</v>
      </c>
      <c r="EL46" s="727">
        <f>VLOOKUP(WWWW[[#This Row],[Site Name]],SiteDB6[[Site Name]:[Pcode]],3,FALSE)</f>
        <v>0</v>
      </c>
      <c r="EM46" s="732" t="str">
        <f t="shared" si="0"/>
        <v>Covered</v>
      </c>
      <c r="EN46" s="732"/>
      <c r="EO46" s="727">
        <f>VLOOKUP(WWWW[[#This Row],[Site Name]],SiteDB6[[Site Name]:[Pop
(Kachin/Shan-CCCM as of July 2021)]],16,FALSE)</f>
        <v>0</v>
      </c>
      <c r="EP46" s="727">
        <f>VLOOKUP(WWWW[[#This Row],[Site Name]],SiteDB6[[Site Name]:[Pop
(Kachin/Shan-CCCM as of July 2021)]],17,FALSE)</f>
        <v>0</v>
      </c>
    </row>
    <row r="47" spans="1:146" hidden="1">
      <c r="A47" s="725" t="s">
        <v>2763</v>
      </c>
      <c r="B47" s="725" t="s">
        <v>36</v>
      </c>
      <c r="C47" s="726" t="s">
        <v>36</v>
      </c>
      <c r="D47" s="726" t="s">
        <v>241</v>
      </c>
      <c r="E47" s="726" t="s">
        <v>37</v>
      </c>
      <c r="F47" s="726" t="s">
        <v>148</v>
      </c>
      <c r="G47" s="591" t="str">
        <f>VLOOKUP(WWWW[[#This Row],[Site Name]],SiteDB6[[Site Name]:[Location Type]],8,FALSE)</f>
        <v>Camp</v>
      </c>
      <c r="H47" s="726" t="s">
        <v>1563</v>
      </c>
      <c r="I47" s="728">
        <v>14</v>
      </c>
      <c r="J47" s="728">
        <v>52</v>
      </c>
      <c r="K47" s="729">
        <v>44414</v>
      </c>
      <c r="L47" s="730">
        <v>44778</v>
      </c>
      <c r="M47" s="728"/>
      <c r="N47" s="728">
        <v>3</v>
      </c>
      <c r="O47" s="728"/>
      <c r="P47" s="728"/>
      <c r="Q47" s="731" t="s">
        <v>41</v>
      </c>
      <c r="R47" s="728">
        <v>3</v>
      </c>
      <c r="S47" s="728">
        <v>2</v>
      </c>
      <c r="T47" s="448">
        <v>1</v>
      </c>
      <c r="U47" s="728">
        <v>1</v>
      </c>
      <c r="V47" s="728">
        <v>1</v>
      </c>
      <c r="W47" s="728">
        <v>1</v>
      </c>
      <c r="X47" s="728"/>
      <c r="Y47" s="728"/>
      <c r="Z47" s="728"/>
      <c r="AA47" s="728">
        <v>1</v>
      </c>
      <c r="AB47" s="728"/>
      <c r="AC47" s="728"/>
      <c r="AD47" s="728"/>
      <c r="AE47" s="728"/>
      <c r="AF47" s="728"/>
      <c r="AG47" s="728">
        <v>10</v>
      </c>
      <c r="AH47" s="728">
        <v>1</v>
      </c>
      <c r="AI47" s="728">
        <v>2</v>
      </c>
      <c r="AJ47" s="728"/>
      <c r="AK47" s="728">
        <v>8</v>
      </c>
      <c r="AL47" s="728"/>
      <c r="AM47" s="728">
        <v>2</v>
      </c>
      <c r="AN47" s="728">
        <v>1</v>
      </c>
      <c r="AO47" s="728"/>
      <c r="AP47" s="732"/>
      <c r="AQ47" s="728">
        <v>4</v>
      </c>
      <c r="AR47" s="728"/>
      <c r="AS47" s="733"/>
      <c r="AT47" s="728"/>
      <c r="AU47" s="728"/>
      <c r="AV47" s="728"/>
      <c r="AW47" s="728"/>
      <c r="AX47" s="728"/>
      <c r="AY47" s="727" t="s">
        <v>41</v>
      </c>
      <c r="AZ47" s="732" t="s">
        <v>136</v>
      </c>
      <c r="BA47" s="728">
        <v>2</v>
      </c>
      <c r="BB47" s="728"/>
      <c r="BC47" s="728"/>
      <c r="BD47" s="448"/>
      <c r="BE47" s="448"/>
      <c r="BF47" s="727"/>
      <c r="BG47" s="728">
        <v>3</v>
      </c>
      <c r="BH47" s="728"/>
      <c r="BI47" s="728"/>
      <c r="BJ47" s="728">
        <v>2</v>
      </c>
      <c r="BK47" s="728"/>
      <c r="BL47" s="728"/>
      <c r="BM47" s="728"/>
      <c r="BN47" s="728">
        <v>88</v>
      </c>
      <c r="BO47" s="728">
        <v>100</v>
      </c>
      <c r="BP47" s="727"/>
      <c r="BQ47" s="734"/>
      <c r="BR47" s="733"/>
      <c r="BS47" s="727"/>
      <c r="BT47" s="423"/>
      <c r="BU47" s="423"/>
      <c r="BV47" s="425"/>
      <c r="BW47" s="423"/>
      <c r="BX47" s="448"/>
      <c r="BY47" s="448"/>
      <c r="BZ47" s="448"/>
      <c r="CA47" s="448"/>
      <c r="CB47" s="448"/>
      <c r="CC47" s="777"/>
      <c r="CD47" s="448"/>
      <c r="CE47" s="735">
        <f>IFERROR(WWWW[[#This Row],['#_Water sources passed]]/WWWW[[#This Row],['#_Water sources tested for fecal coliform ]],"no test")</f>
        <v>0</v>
      </c>
      <c r="CF47" s="733">
        <f>IFERROR(WWWW[[#This Row],['#_Household passed]]/WWWW[[#This Row],['#_Household water samples tested for fecal coliform]],"no test")</f>
        <v>0</v>
      </c>
      <c r="CG47" s="734" t="str">
        <f>IF(AND(WWWW[[#This Row],[% of water sources passed]]="no test",WWWW[[#This Row],[% Household passed]]="no test"),"No Test","Tested")</f>
        <v>Tested</v>
      </c>
      <c r="CH47" s="734">
        <f>WWWW[[#This Row],['#_Constructed/existing protected hand dug well]]-WWWW[[#This Row],['#_Non-functional protected hand dug well]]</f>
        <v>0</v>
      </c>
      <c r="CI47" s="734">
        <f>(WWWW[[#This Row],['#_Constructed/Existing tube wells/boreholes/handpumps_WASH_agency]]+WWWW[[#This Row],['#_Non-Cluster partner water tube-wells/boreholes/handpumps]])-WWWW[[#This Row],['#_Non-functional tube wells/boreholes/handpumps]]</f>
        <v>1</v>
      </c>
      <c r="CJ47" s="734">
        <f>WWWW[[#This Row],['#_Constructed/Existingwater storage tank with gravity fed reticulation system]]-WWWW[[#This Row],['#_Non-functional storage tank gravity fed reticulation system]]</f>
        <v>1</v>
      </c>
      <c r="CK47" s="734">
        <f>(WWWW[[#This Row],['#_Water_Liters_supplied_by_Water boating or water trucking]]/90)/15</f>
        <v>0</v>
      </c>
      <c r="CL47" s="734">
        <f>WWWW[[#This Row],['#_Water_Liters_from_Constructed/Existing water distribution system from river or natural spring]]/90/15</f>
        <v>0</v>
      </c>
      <c r="CM47" s="424">
        <f>IF(WWWW[[#This Row],['#_of water points in TLS/CFS]]*500&gt;WWWW[[#This Row],[Total PoP ]],WWWW[[#This Row],[Total PoP ]],WWWW[[#This Row],['#_of water points in TLS/CFS]]*500)</f>
        <v>52</v>
      </c>
      <c r="CN47" s="424">
        <f>IF(WWWW[[#This Row],['#_of water points in THF]]*500&gt;WWWW[[#This Row],[Total PoP ]],WWWW[[#This Row],[Total PoP ]],WWWW[[#This Row],['#_of water points in THF]]*500)</f>
        <v>0</v>
      </c>
      <c r="CO4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7" s="733">
        <f>IF(WWWW[[#This Row],[Location Type 1]]="Village",WWWW[[#This Row],[Access to safe drinking water for Village]],WWWW[[#This Row],[Access to safe drinking water for Camp]])</f>
        <v>1</v>
      </c>
      <c r="CR47" s="731">
        <f>WWWW[[#This Row],[%Equitable and continuous access to sufficient quantity of safe drinking water]]*WWWW[[#This Row],[Total PoP ]]</f>
        <v>52</v>
      </c>
      <c r="CS47" s="733">
        <f>IF((WWWW[[#This Row],['#_Constructed/Existing protected/fenced ponds]]*250)/WWWW[[#This Row],[Total PoP ]]&gt;1,1,(WWWW[[#This Row],['#_Constructed/Existing protected/fenced ponds]]*250)/WWWW[[#This Row],[Total PoP ]])</f>
        <v>0</v>
      </c>
      <c r="CT47" s="731">
        <f>WWWW[[#This Row],[% Access to unimproved water points]]*WWWW[[#This Row],[Total PoP ]]</f>
        <v>0</v>
      </c>
      <c r="CU4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W47" s="731">
        <f>WWWW[[#This Row],[HRP1]]/500</f>
        <v>0.104</v>
      </c>
      <c r="CX47" s="736">
        <f>1-WWWW[[#This Row],[% Equitable and continuous access to sufficient quantity of domestic water]]</f>
        <v>0</v>
      </c>
      <c r="CY47" s="731">
        <f>WWWW[[#This Row],[%equitable and continuous access to sufficient quantity of safe drinking and domestic water''s GAP]]*WWWW[[#This Row],[Total PoP ]]</f>
        <v>0</v>
      </c>
      <c r="CZ47" s="734">
        <f>IF(WWWW[[#This Row],[Total required water points]]-WWWW[[#This Row],['#Water points coverage]]&lt;0,0,WWWW[[#This Row],[Total required water points]]-WWWW[[#This Row],['#Water points coverage]])</f>
        <v>0.89600000000000002</v>
      </c>
      <c r="DA47" s="734">
        <f>ROUND(IF(WWWW[[#This Row],[Total PoP ]]&lt;500,1,WWWW[[#This Row],[Total PoP ]]/500),0)</f>
        <v>1</v>
      </c>
      <c r="DB47" s="734">
        <f>(WWWW[[#This Row],['#_Constructed latrines_by_WASHAgencies]]+WWWW[[#This Row],['#_Non Cluster partner latrines]])-WWWW[[#This Row],['#_Non-functional latrines]]</f>
        <v>4</v>
      </c>
      <c r="DC47" s="631">
        <f>WWWW[[#This Row],[HRP2]]/WWWW[[#This Row],[Total PoP ]]</f>
        <v>1</v>
      </c>
      <c r="DD4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v>
      </c>
      <c r="DE4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 s="424">
        <f>IF(WWWW[[#This Row],['# of functional latrines in THF supported by WASH partners during the reporting period2]]="",0,WWWW[[#This Row],['# of functional latrines in THF supported by WASH partners during the reporting period2]]*50)</f>
        <v>0</v>
      </c>
      <c r="DH47" s="734">
        <f>ROUND(IF(WWWW[[#This Row],[Location Type 1]]="camp",WWWW[[#This Row],[Total PoP ]]/20,IF(WWWW[[#This Row],[Location Type 1]]="Temporary Location",WWWW[[#This Row],[Total PoP ]]/50,(WWWW[[#This Row],[Total PoP ]]/6))),0)</f>
        <v>3</v>
      </c>
      <c r="DI47" s="734">
        <f>IF(WWWW[[#This Row],[Total required Latrines]]-(WWWW[[#This Row],['#_Constructed latrines_by_WASHAgencies]]+WWWW[[#This Row],['#_Non Cluster partner latrines]])&lt;0,0,WWWW[[#This Row],[Total required Latrines]]-(WWWW[[#This Row],['#_Constructed latrines_by_WASHAgencies]]+WWWW[[#This Row],['#_Non Cluster partner latrines]]))</f>
        <v>0</v>
      </c>
      <c r="DJ47" s="736">
        <f>1-WWWW[[#This Row],[% people access to functioning Latrine]]</f>
        <v>0</v>
      </c>
      <c r="DK47" s="735">
        <f>IF(OR(WWWW[[#This Row],['#_Non-functional latrines]]="",WWWW[[#This Row],['#_Non-functional latrines]]=0),0,WWWW[[#This Row],['#_Non-functional latrines]]/(WWWW[[#This Row],['#_Constructed latrines_by_WASHAgencies]]+WWWW[[#This Row],['#_Non Cluster partner latrines]]))</f>
        <v>0</v>
      </c>
      <c r="DL47" s="731">
        <f>IF(500*(WWWW[[#This Row],['#_male hygiene promoters]]+WWWW[[#This Row],['#_female hygiene promoters]])&gt;WWWW[[#This Row],[Total PoP ]],WWWW[[#This Row],[Total PoP ]],500*(WWWW[[#This Row],['#_male hygiene promoters]]+WWWW[[#This Row],['#_female hygiene promoters]]))</f>
        <v>0</v>
      </c>
      <c r="DM4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v>
      </c>
      <c r="DN4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52</v>
      </c>
      <c r="DO47" s="734">
        <f>IF(WWWW[[#This Row],['# People with access to soap]]&gt;WWWW[[#This Row],['# People with access to Sanity Pads]],WWWW[[#This Row],['# People with access to soap]],WWWW[[#This Row],['# People with access to Sanity Pads]])</f>
        <v>52</v>
      </c>
      <c r="DP47" s="734">
        <f>IF(WWWW[[#This Row],['# people reached by regular dedicated hygiene promotion_5]]&gt;WWWW[[#This Row],['# People received regular supply of hygiene items_6]],WWWW[[#This Row],['# people reached by regular dedicated hygiene promotion_5]],WWWW[[#This Row],['# People received regular supply of hygiene items_6]])</f>
        <v>52</v>
      </c>
      <c r="DQ47" s="736">
        <f>IF(WWWW[[#This Row],[HRP3]]/WWWW[[#This Row],[Total PoP ]]&gt;1,1,WWWW[[#This Row],[HRP3]]/WWWW[[#This Row],[Total PoP ]])</f>
        <v>1</v>
      </c>
      <c r="DR47" s="735">
        <f>1-WWWW[[#This Row],[Hygiene Coverage%]]</f>
        <v>0</v>
      </c>
      <c r="DS47" s="733">
        <f>WWWW[[#This Row],['# people reached by regular dedicated hygiene promotion_5]]/WWWW[[#This Row],[Total PoP ]]</f>
        <v>0</v>
      </c>
      <c r="DT4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7" s="734">
        <f>WWWW[[#This Row],['#_Constructed/Existing hand washing stations]]-WWWW[[#This Row],['#_Non-Functional_hand_washing_stations]]</f>
        <v>3</v>
      </c>
      <c r="DW47" s="731">
        <f>IF(WWWW[[#This Row],['# Functional hand washing stations during reporting period]]*20&gt;WWWW[[#This Row],[Total HH]],WWWW[[#This Row],[Total HH]],WWWW[[#This Row],['# Functional hand washing stations during reporting period]]*20)</f>
        <v>14</v>
      </c>
      <c r="DX47" s="731">
        <f>IF(WWWW[[#This Row],[Is sufficient soap available for TLS? (Yes/No)]]="yes",WWWW[[#This Row],['#_Constructed/Existing hand washing stations at TLS/CFS/THF]],0)</f>
        <v>0</v>
      </c>
      <c r="DY47" s="428">
        <f>IF(WWWW[[#This Row],['# Functional hand washing stations during reporting period]]*100&gt;WWWW[[#This Row],[Total PoP ]],WWWW[[#This Row],[Total PoP ]],WWWW[[#This Row],['# Functional hand washing stations during reporting period]]*100)</f>
        <v>52</v>
      </c>
      <c r="DZ47" s="428" t="str">
        <f>IF(OR(WWWW[[#This Row],['#_students at TLS_CFS]]="",WWWW[[#This Row],['#_students at TLS_CFS]]=0),"No","Yes")</f>
        <v>No</v>
      </c>
      <c r="EA4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52</v>
      </c>
      <c r="ED4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7" s="727">
        <f>VLOOKUP(WWWW[[#This Row],[Site Name]],SiteDB6[[Site Name]:[CCCM Management]],6,FALSE)</f>
        <v>0</v>
      </c>
      <c r="EF47" s="727" t="str">
        <f>VLOOKUP(WWWW[[#This Row],[Site Name]],SiteDB6[[Site Name]:[CCCM Focal Agency]],7,FALSE)</f>
        <v>KMSS-MYT</v>
      </c>
      <c r="EG47" s="727" t="str">
        <f>VLOOKUP(WWWW[[#This Row],[Site Name]],SiteDB6[[Site Name]:[Location Type 1]],9,FALSE)</f>
        <v>Camp</v>
      </c>
      <c r="EH47" s="727" t="str">
        <f>VLOOKUP(WWWW[[#This Row],[Site Name]],SiteDB6[[Site Name]:[Type of Accommodation]],10,FALSE)</f>
        <v>Camp</v>
      </c>
      <c r="EI47" s="727" t="str">
        <f>VLOOKUP(WWWW[[#This Row],[Site Name]],SiteDB6[[Site Name]:[Ethnic or GCA/NGCA]],11,FALSE)</f>
        <v>GCA</v>
      </c>
      <c r="EJ47" s="727">
        <f>VLOOKUP(WWWW[[#This Row],[Site Name]],SiteDB6[[Site Name]:[Lat]],12,FALSE)</f>
        <v>25.522594999999999</v>
      </c>
      <c r="EK47" s="727">
        <f>VLOOKUP(WWWW[[#This Row],[Site Name]],SiteDB6[[Site Name]:[Long]],13,FALSE)</f>
        <v>96.711534</v>
      </c>
      <c r="EL47" s="727" t="str">
        <f>VLOOKUP(WWWW[[#This Row],[Site Name]],SiteDB6[[Site Name]:[Pcode]],3,FALSE)</f>
        <v>MMR001CMP270</v>
      </c>
      <c r="EM47" s="732" t="str">
        <f t="shared" si="0"/>
        <v>Covered</v>
      </c>
      <c r="EN47" s="732"/>
      <c r="EO47" s="727">
        <f>VLOOKUP(WWWW[[#This Row],[Site Name]],SiteDB6[[Site Name]:[Pop
(Kachin/Shan-CCCM as of July 2021)]],16,FALSE)</f>
        <v>14</v>
      </c>
      <c r="EP47" s="727">
        <f>VLOOKUP(WWWW[[#This Row],[Site Name]],SiteDB6[[Site Name]:[Pop
(Kachin/Shan-CCCM as of July 2021)]],17,FALSE)</f>
        <v>52</v>
      </c>
    </row>
    <row r="48" spans="1:146" hidden="1">
      <c r="A48" s="725" t="s">
        <v>2763</v>
      </c>
      <c r="B48" s="725" t="s">
        <v>192</v>
      </c>
      <c r="C48" s="726" t="s">
        <v>192</v>
      </c>
      <c r="D48" s="726" t="s">
        <v>2679</v>
      </c>
      <c r="E48" s="726" t="s">
        <v>37</v>
      </c>
      <c r="F48" s="726" t="s">
        <v>205</v>
      </c>
      <c r="G48" s="591" t="str">
        <f>VLOOKUP(WWWW[[#This Row],[Site Name]],SiteDB6[[Site Name]:[Location Type]],8,FALSE)</f>
        <v>Camp_not registered</v>
      </c>
      <c r="H48" s="726" t="s">
        <v>209</v>
      </c>
      <c r="I48" s="728">
        <v>22</v>
      </c>
      <c r="J48" s="728">
        <v>106</v>
      </c>
      <c r="K48" s="729" t="s">
        <v>2670</v>
      </c>
      <c r="L48" s="730" t="s">
        <v>2680</v>
      </c>
      <c r="M48" s="728"/>
      <c r="N48" s="728"/>
      <c r="O48" s="728"/>
      <c r="P48" s="728"/>
      <c r="Q48" s="731" t="s">
        <v>136</v>
      </c>
      <c r="R48" s="728"/>
      <c r="S48" s="728"/>
      <c r="T48" s="448"/>
      <c r="U48" s="728"/>
      <c r="V48" s="728"/>
      <c r="W48" s="728"/>
      <c r="X48" s="728">
        <v>1</v>
      </c>
      <c r="Y48" s="728"/>
      <c r="Z48" s="728"/>
      <c r="AA48" s="728"/>
      <c r="AB48" s="728"/>
      <c r="AC48" s="728"/>
      <c r="AD48" s="728"/>
      <c r="AE48" s="728"/>
      <c r="AF48" s="728"/>
      <c r="AG48" s="728"/>
      <c r="AH48" s="728"/>
      <c r="AI48" s="728"/>
      <c r="AJ48" s="728"/>
      <c r="AK48" s="728"/>
      <c r="AL48" s="728"/>
      <c r="AM48" s="728"/>
      <c r="AN48" s="728"/>
      <c r="AO48" s="728"/>
      <c r="AP48" s="732"/>
      <c r="AQ48" s="728">
        <v>5</v>
      </c>
      <c r="AR48" s="728"/>
      <c r="AS48" s="733"/>
      <c r="AT48" s="728"/>
      <c r="AU48" s="728"/>
      <c r="AV48" s="728"/>
      <c r="AW48" s="728"/>
      <c r="AX48" s="728"/>
      <c r="AY48" s="727" t="s">
        <v>41</v>
      </c>
      <c r="AZ48" s="732" t="s">
        <v>137</v>
      </c>
      <c r="BA48" s="728"/>
      <c r="BB48" s="728"/>
      <c r="BC48" s="728"/>
      <c r="BD48" s="448"/>
      <c r="BE48" s="448"/>
      <c r="BF48" s="727"/>
      <c r="BG48" s="728">
        <v>1</v>
      </c>
      <c r="BH48" s="728"/>
      <c r="BI48" s="728"/>
      <c r="BJ48" s="728">
        <v>3</v>
      </c>
      <c r="BK48" s="728"/>
      <c r="BL48" s="728"/>
      <c r="BM48" s="728">
        <v>1</v>
      </c>
      <c r="BN48" s="728">
        <v>41</v>
      </c>
      <c r="BO48" s="728">
        <v>85</v>
      </c>
      <c r="BP48" s="727"/>
      <c r="BQ48" s="734"/>
      <c r="BR48" s="733"/>
      <c r="BS48" s="727"/>
      <c r="BT48" s="423"/>
      <c r="BU48" s="423"/>
      <c r="BV48" s="425"/>
      <c r="BW48" s="423"/>
      <c r="BX48" s="448"/>
      <c r="BY48" s="448"/>
      <c r="BZ48" s="448"/>
      <c r="CA48" s="448"/>
      <c r="CB48" s="448"/>
      <c r="CC48" s="777"/>
      <c r="CD48" s="448"/>
      <c r="CE48" s="735" t="str">
        <f>IFERROR(WWWW[[#This Row],['#_Water sources passed]]/WWWW[[#This Row],['#_Water sources tested for fecal coliform ]],"no test")</f>
        <v>no test</v>
      </c>
      <c r="CF48" s="733" t="str">
        <f>IFERROR(WWWW[[#This Row],['#_Household passed]]/WWWW[[#This Row],['#_Household water samples tested for fecal coliform]],"no test")</f>
        <v>no test</v>
      </c>
      <c r="CG48" s="734" t="str">
        <f>IF(AND(WWWW[[#This Row],[% of water sources passed]]="no test",WWWW[[#This Row],[% Household passed]]="no test"),"No Test","Tested")</f>
        <v>No Test</v>
      </c>
      <c r="CH48" s="734">
        <f>WWWW[[#This Row],['#_Constructed/existing protected hand dug well]]-WWWW[[#This Row],['#_Non-functional protected hand dug well]]</f>
        <v>0</v>
      </c>
      <c r="CI48" s="734">
        <f>(WWWW[[#This Row],['#_Constructed/Existing tube wells/boreholes/handpumps_WASH_agency]]+WWWW[[#This Row],['#_Non-Cluster partner water tube-wells/boreholes/handpumps]])-WWWW[[#This Row],['#_Non-functional tube wells/boreholes/handpumps]]</f>
        <v>1</v>
      </c>
      <c r="CJ48" s="734">
        <f>WWWW[[#This Row],['#_Constructed/Existingwater storage tank with gravity fed reticulation system]]-WWWW[[#This Row],['#_Non-functional storage tank gravity fed reticulation system]]</f>
        <v>0</v>
      </c>
      <c r="CK48" s="734">
        <f>(WWWW[[#This Row],['#_Water_Liters_supplied_by_Water boating or water trucking]]/90)/15</f>
        <v>0</v>
      </c>
      <c r="CL48" s="734">
        <f>WWWW[[#This Row],['#_Water_Liters_from_Constructed/Existing water distribution system from river or natural spring]]/90/15</f>
        <v>0</v>
      </c>
      <c r="CM48" s="424">
        <f>IF(WWWW[[#This Row],['#_of water points in TLS/CFS]]*500&gt;WWWW[[#This Row],[Total PoP ]],WWWW[[#This Row],[Total PoP ]],WWWW[[#This Row],['#_of water points in TLS/CFS]]*500)</f>
        <v>0</v>
      </c>
      <c r="CN48" s="424">
        <f>IF(WWWW[[#This Row],['#_of water points in THF]]*500&gt;WWWW[[#This Row],[Total PoP ]],WWWW[[#This Row],[Total PoP ]],WWWW[[#This Row],['#_of water points in THF]]*500)</f>
        <v>0</v>
      </c>
      <c r="CO4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8" s="733">
        <f>IF(WWWW[[#This Row],[Location Type 1]]="Village",WWWW[[#This Row],[Access to safe drinking water for Village]],WWWW[[#This Row],[Access to safe drinking water for Camp]])</f>
        <v>1</v>
      </c>
      <c r="CR48" s="731">
        <f>WWWW[[#This Row],[%Equitable and continuous access to sufficient quantity of safe drinking water]]*WWWW[[#This Row],[Total PoP ]]</f>
        <v>106</v>
      </c>
      <c r="CS48" s="733">
        <f>IF((WWWW[[#This Row],['#_Constructed/Existing protected/fenced ponds]]*250)/WWWW[[#This Row],[Total PoP ]]&gt;1,1,(WWWW[[#This Row],['#_Constructed/Existing protected/fenced ponds]]*250)/WWWW[[#This Row],[Total PoP ]])</f>
        <v>0</v>
      </c>
      <c r="CT48" s="731">
        <f>WWWW[[#This Row],[% Access to unimproved water points]]*WWWW[[#This Row],[Total PoP ]]</f>
        <v>0</v>
      </c>
      <c r="CU4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v>
      </c>
      <c r="CW48" s="731">
        <f>WWWW[[#This Row],[HRP1]]/500</f>
        <v>0.21199999999999999</v>
      </c>
      <c r="CX48" s="736">
        <f>1-WWWW[[#This Row],[% Equitable and continuous access to sufficient quantity of domestic water]]</f>
        <v>0</v>
      </c>
      <c r="CY48" s="731">
        <f>WWWW[[#This Row],[%equitable and continuous access to sufficient quantity of safe drinking and domestic water''s GAP]]*WWWW[[#This Row],[Total PoP ]]</f>
        <v>0</v>
      </c>
      <c r="CZ48" s="734">
        <f>IF(WWWW[[#This Row],[Total required water points]]-WWWW[[#This Row],['#Water points coverage]]&lt;0,0,WWWW[[#This Row],[Total required water points]]-WWWW[[#This Row],['#Water points coverage]])</f>
        <v>0.78800000000000003</v>
      </c>
      <c r="DA48" s="734">
        <f>ROUND(IF(WWWW[[#This Row],[Total PoP ]]&lt;500,1,WWWW[[#This Row],[Total PoP ]]/500),0)</f>
        <v>1</v>
      </c>
      <c r="DB48" s="734">
        <f>(WWWW[[#This Row],['#_Constructed latrines_by_WASHAgencies]]+WWWW[[#This Row],['#_Non Cluster partner latrines]])-WWWW[[#This Row],['#_Non-functional latrines]]</f>
        <v>5</v>
      </c>
      <c r="DC48" s="631">
        <f>WWWW[[#This Row],[HRP2]]/WWWW[[#This Row],[Total PoP ]]</f>
        <v>0.94339622641509435</v>
      </c>
      <c r="DD4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4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 s="424">
        <f>IF(WWWW[[#This Row],['# of functional latrines in THF supported by WASH partners during the reporting period2]]="",0,WWWW[[#This Row],['# of functional latrines in THF supported by WASH partners during the reporting period2]]*50)</f>
        <v>0</v>
      </c>
      <c r="DH48" s="734">
        <f>ROUND(IF(WWWW[[#This Row],[Location Type 1]]="camp",WWWW[[#This Row],[Total PoP ]]/20,IF(WWWW[[#This Row],[Location Type 1]]="Temporary Location",WWWW[[#This Row],[Total PoP ]]/50,(WWWW[[#This Row],[Total PoP ]]/6))),0)</f>
        <v>5</v>
      </c>
      <c r="DI48" s="734">
        <f>IF(WWWW[[#This Row],[Total required Latrines]]-(WWWW[[#This Row],['#_Constructed latrines_by_WASHAgencies]]+WWWW[[#This Row],['#_Non Cluster partner latrines]])&lt;0,0,WWWW[[#This Row],[Total required Latrines]]-(WWWW[[#This Row],['#_Constructed latrines_by_WASHAgencies]]+WWWW[[#This Row],['#_Non Cluster partner latrines]]))</f>
        <v>0</v>
      </c>
      <c r="DJ48" s="736">
        <f>1-WWWW[[#This Row],[% people access to functioning Latrine]]</f>
        <v>5.6603773584905648E-2</v>
      </c>
      <c r="DK48" s="735">
        <f>IF(OR(WWWW[[#This Row],['#_Non-functional latrines]]="",WWWW[[#This Row],['#_Non-functional latrines]]=0),0,WWWW[[#This Row],['#_Non-functional latrines]]/(WWWW[[#This Row],['#_Constructed latrines_by_WASHAgencies]]+WWWW[[#This Row],['#_Non Cluster partner latrines]]))</f>
        <v>0</v>
      </c>
      <c r="DL48" s="731">
        <f>IF(500*(WWWW[[#This Row],['#_male hygiene promoters]]+WWWW[[#This Row],['#_female hygiene promoters]])&gt;WWWW[[#This Row],[Total PoP ]],WWWW[[#This Row],[Total PoP ]],500*(WWWW[[#This Row],['#_male hygiene promoters]]+WWWW[[#This Row],['#_female hygiene promoters]]))</f>
        <v>106</v>
      </c>
      <c r="DM4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106</v>
      </c>
      <c r="DN4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48" s="734">
        <f>IF(WWWW[[#This Row],['# People with access to soap]]&gt;WWWW[[#This Row],['# People with access to Sanity Pads]],WWWW[[#This Row],['# People with access to soap]],WWWW[[#This Row],['# People with access to Sanity Pads]])</f>
        <v>106</v>
      </c>
      <c r="DP48" s="734">
        <f>IF(WWWW[[#This Row],['# people reached by regular dedicated hygiene promotion_5]]&gt;WWWW[[#This Row],['# People received regular supply of hygiene items_6]],WWWW[[#This Row],['# people reached by regular dedicated hygiene promotion_5]],WWWW[[#This Row],['# People received regular supply of hygiene items_6]])</f>
        <v>106</v>
      </c>
      <c r="DQ48" s="736">
        <f>IF(WWWW[[#This Row],[HRP3]]/WWWW[[#This Row],[Total PoP ]]&gt;1,1,WWWW[[#This Row],[HRP3]]/WWWW[[#This Row],[Total PoP ]])</f>
        <v>1</v>
      </c>
      <c r="DR48" s="735">
        <f>1-WWWW[[#This Row],[Hygiene Coverage%]]</f>
        <v>0</v>
      </c>
      <c r="DS48" s="733">
        <f>WWWW[[#This Row],['# people reached by regular dedicated hygiene promotion_5]]/WWWW[[#This Row],[Total PoP ]]</f>
        <v>1</v>
      </c>
      <c r="DT4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8" s="734">
        <f>WWWW[[#This Row],['#_Constructed/Existing hand washing stations]]-WWWW[[#This Row],['#_Non-Functional_hand_washing_stations]]</f>
        <v>1</v>
      </c>
      <c r="DW48" s="731">
        <f>IF(WWWW[[#This Row],['# Functional hand washing stations during reporting period]]*20&gt;WWWW[[#This Row],[Total HH]],WWWW[[#This Row],[Total HH]],WWWW[[#This Row],['# Functional hand washing stations during reporting period]]*20)</f>
        <v>20</v>
      </c>
      <c r="DX48" s="731">
        <f>IF(WWWW[[#This Row],[Is sufficient soap available for TLS? (Yes/No)]]="yes",WWWW[[#This Row],['#_Constructed/Existing hand washing stations at TLS/CFS/THF]],0)</f>
        <v>0</v>
      </c>
      <c r="DY48" s="428">
        <f>IF(WWWW[[#This Row],['# Functional hand washing stations during reporting period]]*100&gt;WWWW[[#This Row],[Total PoP ]],WWWW[[#This Row],[Total PoP ]],WWWW[[#This Row],['# Functional hand washing stations during reporting period]]*100)</f>
        <v>100</v>
      </c>
      <c r="DZ48" s="428" t="str">
        <f>IF(OR(WWWW[[#This Row],['#_students at TLS_CFS]]="",WWWW[[#This Row],['#_students at TLS_CFS]]=0),"No","Yes")</f>
        <v>No</v>
      </c>
      <c r="EA4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 s="727">
        <f>VLOOKUP(WWWW[[#This Row],[Site Name]],SiteDB6[[Site Name]:[CCCM Management]],6,FALSE)</f>
        <v>0</v>
      </c>
      <c r="EF48" s="727">
        <f>VLOOKUP(WWWW[[#This Row],[Site Name]],SiteDB6[[Site Name]:[CCCM Focal Agency]],7,FALSE)</f>
        <v>0</v>
      </c>
      <c r="EG48" s="727" t="str">
        <f>VLOOKUP(WWWW[[#This Row],[Site Name]],SiteDB6[[Site Name]:[Location Type 1]],9,FALSE)</f>
        <v>Camp</v>
      </c>
      <c r="EH48" s="727" t="str">
        <f>VLOOKUP(WWWW[[#This Row],[Site Name]],SiteDB6[[Site Name]:[Type of Accommodation]],10,FALSE)</f>
        <v>Camp</v>
      </c>
      <c r="EI48" s="727" t="str">
        <f>VLOOKUP(WWWW[[#This Row],[Site Name]],SiteDB6[[Site Name]:[Ethnic or GCA/NGCA]],11,FALSE)</f>
        <v>GCA</v>
      </c>
      <c r="EJ48" s="727">
        <f>VLOOKUP(WWWW[[#This Row],[Site Name]],SiteDB6[[Site Name]:[Lat]],12,FALSE)</f>
        <v>0</v>
      </c>
      <c r="EK48" s="727">
        <f>VLOOKUP(WWWW[[#This Row],[Site Name]],SiteDB6[[Site Name]:[Long]],13,FALSE)</f>
        <v>0</v>
      </c>
      <c r="EL48" s="727">
        <f>VLOOKUP(WWWW[[#This Row],[Site Name]],SiteDB6[[Site Name]:[Pcode]],3,FALSE)</f>
        <v>0</v>
      </c>
      <c r="EM48" s="732" t="str">
        <f t="shared" si="0"/>
        <v>Covered</v>
      </c>
      <c r="EN48" s="732"/>
      <c r="EO48" s="727">
        <f>VLOOKUP(WWWW[[#This Row],[Site Name]],SiteDB6[[Site Name]:[Pop
(Kachin/Shan-CCCM as of July 2021)]],16,FALSE)</f>
        <v>0</v>
      </c>
      <c r="EP48" s="727">
        <f>VLOOKUP(WWWW[[#This Row],[Site Name]],SiteDB6[[Site Name]:[Pop
(Kachin/Shan-CCCM as of July 2021)]],17,FALSE)</f>
        <v>0</v>
      </c>
    </row>
    <row r="49" spans="1:146" hidden="1">
      <c r="A49" s="725" t="s">
        <v>2763</v>
      </c>
      <c r="B49" s="725" t="s">
        <v>141</v>
      </c>
      <c r="C49" s="726" t="s">
        <v>141</v>
      </c>
      <c r="D49" s="726" t="s">
        <v>241</v>
      </c>
      <c r="E49" s="726" t="s">
        <v>37</v>
      </c>
      <c r="F49" s="726" t="s">
        <v>152</v>
      </c>
      <c r="G49" s="591" t="str">
        <f>VLOOKUP(WWWW[[#This Row],[Site Name]],SiteDB6[[Site Name]:[Location Type]],8,FALSE)</f>
        <v>Camp</v>
      </c>
      <c r="H49" s="726" t="s">
        <v>153</v>
      </c>
      <c r="I49" s="728">
        <v>13</v>
      </c>
      <c r="J49" s="728">
        <v>66</v>
      </c>
      <c r="K49" s="729">
        <v>44105</v>
      </c>
      <c r="L49" s="730">
        <v>44681</v>
      </c>
      <c r="M49" s="728"/>
      <c r="N49" s="728">
        <v>1</v>
      </c>
      <c r="O49" s="728"/>
      <c r="P49" s="728"/>
      <c r="Q49" s="731" t="s">
        <v>41</v>
      </c>
      <c r="R49" s="728"/>
      <c r="S49" s="728">
        <v>3</v>
      </c>
      <c r="T49" s="448"/>
      <c r="U49" s="728"/>
      <c r="V49" s="728"/>
      <c r="W49" s="728">
        <v>1</v>
      </c>
      <c r="X49" s="728"/>
      <c r="Y49" s="728"/>
      <c r="Z49" s="728"/>
      <c r="AA49" s="728"/>
      <c r="AB49" s="728"/>
      <c r="AC49" s="728"/>
      <c r="AD49" s="728"/>
      <c r="AE49" s="728"/>
      <c r="AF49" s="728"/>
      <c r="AG49" s="728"/>
      <c r="AH49" s="728">
        <v>2</v>
      </c>
      <c r="AI49" s="728"/>
      <c r="AJ49" s="728"/>
      <c r="AK49" s="728"/>
      <c r="AL49" s="728"/>
      <c r="AM49" s="728"/>
      <c r="AN49" s="728"/>
      <c r="AO49" s="728"/>
      <c r="AP49" s="732"/>
      <c r="AQ49" s="728">
        <v>6</v>
      </c>
      <c r="AR49" s="728"/>
      <c r="AS49" s="733"/>
      <c r="AT49" s="728"/>
      <c r="AU49" s="728"/>
      <c r="AV49" s="728"/>
      <c r="AW49" s="728"/>
      <c r="AX49" s="728">
        <v>6</v>
      </c>
      <c r="AY49" s="727" t="s">
        <v>41</v>
      </c>
      <c r="AZ49" s="732" t="s">
        <v>904</v>
      </c>
      <c r="BA49" s="728"/>
      <c r="BB49" s="728"/>
      <c r="BC49" s="728"/>
      <c r="BD49" s="448"/>
      <c r="BE49" s="448"/>
      <c r="BF49" s="727"/>
      <c r="BG49" s="728">
        <v>7</v>
      </c>
      <c r="BH49" s="728"/>
      <c r="BI49" s="728"/>
      <c r="BJ49" s="728">
        <v>4</v>
      </c>
      <c r="BK49" s="728"/>
      <c r="BL49" s="728"/>
      <c r="BM49" s="728">
        <v>1</v>
      </c>
      <c r="BN49" s="728">
        <v>124</v>
      </c>
      <c r="BO49" s="728">
        <v>198</v>
      </c>
      <c r="BP49" s="727"/>
      <c r="BQ49" s="734"/>
      <c r="BR49" s="733"/>
      <c r="BS49" s="727"/>
      <c r="BT49" s="423"/>
      <c r="BU49" s="423"/>
      <c r="BV49" s="425"/>
      <c r="BW49" s="423"/>
      <c r="BX49" s="448"/>
      <c r="BY49" s="448"/>
      <c r="BZ49" s="448"/>
      <c r="CA49" s="448"/>
      <c r="CB49" s="448"/>
      <c r="CC49" s="777"/>
      <c r="CD49" s="448"/>
      <c r="CE49" s="735" t="str">
        <f>IFERROR(WWWW[[#This Row],['#_Water sources passed]]/WWWW[[#This Row],['#_Water sources tested for fecal coliform ]],"no test")</f>
        <v>no test</v>
      </c>
      <c r="CF49" s="733" t="str">
        <f>IFERROR(WWWW[[#This Row],['#_Household passed]]/WWWW[[#This Row],['#_Household water samples tested for fecal coliform]],"no test")</f>
        <v>no test</v>
      </c>
      <c r="CG49" s="734" t="str">
        <f>IF(AND(WWWW[[#This Row],[% of water sources passed]]="no test",WWWW[[#This Row],[% Household passed]]="no test"),"No Test","Tested")</f>
        <v>No Test</v>
      </c>
      <c r="CH49" s="734">
        <f>WWWW[[#This Row],['#_Constructed/existing protected hand dug well]]-WWWW[[#This Row],['#_Non-functional protected hand dug well]]</f>
        <v>0</v>
      </c>
      <c r="CI49" s="734">
        <f>(WWWW[[#This Row],['#_Constructed/Existing tube wells/boreholes/handpumps_WASH_agency]]+WWWW[[#This Row],['#_Non-Cluster partner water tube-wells/boreholes/handpumps]])-WWWW[[#This Row],['#_Non-functional tube wells/boreholes/handpumps]]</f>
        <v>1</v>
      </c>
      <c r="CJ49" s="734">
        <f>WWWW[[#This Row],['#_Constructed/Existingwater storage tank with gravity fed reticulation system]]-WWWW[[#This Row],['#_Non-functional storage tank gravity fed reticulation system]]</f>
        <v>0</v>
      </c>
      <c r="CK49" s="734">
        <f>(WWWW[[#This Row],['#_Water_Liters_supplied_by_Water boating or water trucking]]/90)/15</f>
        <v>0</v>
      </c>
      <c r="CL49" s="734">
        <f>WWWW[[#This Row],['#_Water_Liters_from_Constructed/Existing water distribution system from river or natural spring]]/90/15</f>
        <v>0</v>
      </c>
      <c r="CM49" s="424">
        <f>IF(WWWW[[#This Row],['#_of water points in TLS/CFS]]*500&gt;WWWW[[#This Row],[Total PoP ]],WWWW[[#This Row],[Total PoP ]],WWWW[[#This Row],['#_of water points in TLS/CFS]]*500)</f>
        <v>0</v>
      </c>
      <c r="CN49" s="424">
        <f>IF(WWWW[[#This Row],['#_of water points in THF]]*500&gt;WWWW[[#This Row],[Total PoP ]],WWWW[[#This Row],[Total PoP ]],WWWW[[#This Row],['#_of water points in THF]]*500)</f>
        <v>0</v>
      </c>
      <c r="CO4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9" s="733">
        <f>IF(WWWW[[#This Row],[Location Type 1]]="Village",WWWW[[#This Row],[Access to safe drinking water for Village]],WWWW[[#This Row],[Access to safe drinking water for Camp]])</f>
        <v>1</v>
      </c>
      <c r="CR49" s="731">
        <f>WWWW[[#This Row],[%Equitable and continuous access to sufficient quantity of safe drinking water]]*WWWW[[#This Row],[Total PoP ]]</f>
        <v>66</v>
      </c>
      <c r="CS49" s="733">
        <f>IF((WWWW[[#This Row],['#_Constructed/Existing protected/fenced ponds]]*250)/WWWW[[#This Row],[Total PoP ]]&gt;1,1,(WWWW[[#This Row],['#_Constructed/Existing protected/fenced ponds]]*250)/WWWW[[#This Row],[Total PoP ]])</f>
        <v>0</v>
      </c>
      <c r="CT49" s="731">
        <f>WWWW[[#This Row],[% Access to unimproved water points]]*WWWW[[#This Row],[Total PoP ]]</f>
        <v>0</v>
      </c>
      <c r="CU4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W49" s="731">
        <f>WWWW[[#This Row],[HRP1]]/500</f>
        <v>0.13200000000000001</v>
      </c>
      <c r="CX49" s="736">
        <f>1-WWWW[[#This Row],[% Equitable and continuous access to sufficient quantity of domestic water]]</f>
        <v>0</v>
      </c>
      <c r="CY49" s="731">
        <f>WWWW[[#This Row],[%equitable and continuous access to sufficient quantity of safe drinking and domestic water''s GAP]]*WWWW[[#This Row],[Total PoP ]]</f>
        <v>0</v>
      </c>
      <c r="CZ49" s="734">
        <f>IF(WWWW[[#This Row],[Total required water points]]-WWWW[[#This Row],['#Water points coverage]]&lt;0,0,WWWW[[#This Row],[Total required water points]]-WWWW[[#This Row],['#Water points coverage]])</f>
        <v>0.86799999999999999</v>
      </c>
      <c r="DA49" s="734">
        <f>ROUND(IF(WWWW[[#This Row],[Total PoP ]]&lt;500,1,WWWW[[#This Row],[Total PoP ]]/500),0)</f>
        <v>1</v>
      </c>
      <c r="DB49" s="734">
        <f>(WWWW[[#This Row],['#_Constructed latrines_by_WASHAgencies]]+WWWW[[#This Row],['#_Non Cluster partner latrines]])-WWWW[[#This Row],['#_Non-functional latrines]]</f>
        <v>6</v>
      </c>
      <c r="DC49" s="631">
        <f>WWWW[[#This Row],[HRP2]]/WWWW[[#This Row],[Total PoP ]]</f>
        <v>1</v>
      </c>
      <c r="DD4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DE4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 s="424">
        <f>IF(WWWW[[#This Row],['# of functional latrines in THF supported by WASH partners during the reporting period2]]="",0,WWWW[[#This Row],['# of functional latrines in THF supported by WASH partners during the reporting period2]]*50)</f>
        <v>0</v>
      </c>
      <c r="DH49" s="734">
        <f>ROUND(IF(WWWW[[#This Row],[Location Type 1]]="camp",WWWW[[#This Row],[Total PoP ]]/20,IF(WWWW[[#This Row],[Location Type 1]]="Temporary Location",WWWW[[#This Row],[Total PoP ]]/50,(WWWW[[#This Row],[Total PoP ]]/6))),0)</f>
        <v>3</v>
      </c>
      <c r="DI49" s="734">
        <f>IF(WWWW[[#This Row],[Total required Latrines]]-(WWWW[[#This Row],['#_Constructed latrines_by_WASHAgencies]]+WWWW[[#This Row],['#_Non Cluster partner latrines]])&lt;0,0,WWWW[[#This Row],[Total required Latrines]]-(WWWW[[#This Row],['#_Constructed latrines_by_WASHAgencies]]+WWWW[[#This Row],['#_Non Cluster partner latrines]]))</f>
        <v>0</v>
      </c>
      <c r="DJ49" s="736">
        <f>1-WWWW[[#This Row],[% people access to functioning Latrine]]</f>
        <v>0</v>
      </c>
      <c r="DK49" s="735">
        <f>IF(OR(WWWW[[#This Row],['#_Non-functional latrines]]="",WWWW[[#This Row],['#_Non-functional latrines]]=0),0,WWWW[[#This Row],['#_Non-functional latrines]]/(WWWW[[#This Row],['#_Constructed latrines_by_WASHAgencies]]+WWWW[[#This Row],['#_Non Cluster partner latrines]]))</f>
        <v>0</v>
      </c>
      <c r="DL49" s="731">
        <f>IF(500*(WWWW[[#This Row],['#_male hygiene promoters]]+WWWW[[#This Row],['#_female hygiene promoters]])&gt;WWWW[[#This Row],[Total PoP ]],WWWW[[#This Row],[Total PoP ]],500*(WWWW[[#This Row],['#_male hygiene promoters]]+WWWW[[#This Row],['#_female hygiene promoters]]))</f>
        <v>66</v>
      </c>
      <c r="DM4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66</v>
      </c>
      <c r="DN4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66</v>
      </c>
      <c r="DO49" s="734">
        <f>IF(WWWW[[#This Row],['# People with access to soap]]&gt;WWWW[[#This Row],['# People with access to Sanity Pads]],WWWW[[#This Row],['# People with access to soap]],WWWW[[#This Row],['# People with access to Sanity Pads]])</f>
        <v>66</v>
      </c>
      <c r="DP49" s="734">
        <f>IF(WWWW[[#This Row],['# people reached by regular dedicated hygiene promotion_5]]&gt;WWWW[[#This Row],['# People received regular supply of hygiene items_6]],WWWW[[#This Row],['# people reached by regular dedicated hygiene promotion_5]],WWWW[[#This Row],['# People received regular supply of hygiene items_6]])</f>
        <v>66</v>
      </c>
      <c r="DQ49" s="736">
        <f>IF(WWWW[[#This Row],[HRP3]]/WWWW[[#This Row],[Total PoP ]]&gt;1,1,WWWW[[#This Row],[HRP3]]/WWWW[[#This Row],[Total PoP ]])</f>
        <v>1</v>
      </c>
      <c r="DR49" s="735">
        <f>1-WWWW[[#This Row],[Hygiene Coverage%]]</f>
        <v>0</v>
      </c>
      <c r="DS49" s="733">
        <f>WWWW[[#This Row],['# people reached by regular dedicated hygiene promotion_5]]/WWWW[[#This Row],[Total PoP ]]</f>
        <v>1</v>
      </c>
      <c r="DT4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9" s="734">
        <f>WWWW[[#This Row],['#_Constructed/Existing hand washing stations]]-WWWW[[#This Row],['#_Non-Functional_hand_washing_stations]]</f>
        <v>7</v>
      </c>
      <c r="DW49" s="731">
        <f>IF(WWWW[[#This Row],['# Functional hand washing stations during reporting period]]*20&gt;WWWW[[#This Row],[Total HH]],WWWW[[#This Row],[Total HH]],WWWW[[#This Row],['# Functional hand washing stations during reporting period]]*20)</f>
        <v>13</v>
      </c>
      <c r="DX49" s="731">
        <f>IF(WWWW[[#This Row],[Is sufficient soap available for TLS? (Yes/No)]]="yes",WWWW[[#This Row],['#_Constructed/Existing hand washing stations at TLS/CFS/THF]],0)</f>
        <v>0</v>
      </c>
      <c r="DY49" s="428">
        <f>IF(WWWW[[#This Row],['# Functional hand washing stations during reporting period]]*100&gt;WWWW[[#This Row],[Total PoP ]],WWWW[[#This Row],[Total PoP ]],WWWW[[#This Row],['# Functional hand washing stations during reporting period]]*100)</f>
        <v>66</v>
      </c>
      <c r="DZ49" s="428" t="str">
        <f>IF(OR(WWWW[[#This Row],['#_students at TLS_CFS]]="",WWWW[[#This Row],['#_students at TLS_CFS]]=0),"No","Yes")</f>
        <v>No</v>
      </c>
      <c r="EA4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 s="727" t="str">
        <f>VLOOKUP(WWWW[[#This Row],[Site Name]],SiteDB6[[Site Name]:[CCCM Management]],6,FALSE)</f>
        <v>Yes</v>
      </c>
      <c r="EF49" s="727" t="str">
        <f>VLOOKUP(WWWW[[#This Row],[Site Name]],SiteDB6[[Site Name]:[CCCM Focal Agency]],7,FALSE)</f>
        <v>KBC-MYT</v>
      </c>
      <c r="EG49" s="727" t="str">
        <f>VLOOKUP(WWWW[[#This Row],[Site Name]],SiteDB6[[Site Name]:[Location Type 1]],9,FALSE)</f>
        <v>Camp</v>
      </c>
      <c r="EH49" s="727" t="str">
        <f>VLOOKUP(WWWW[[#This Row],[Site Name]],SiteDB6[[Site Name]:[Type of Accommodation]],10,FALSE)</f>
        <v>Camp</v>
      </c>
      <c r="EI49" s="727" t="str">
        <f>VLOOKUP(WWWW[[#This Row],[Site Name]],SiteDB6[[Site Name]:[Ethnic or GCA/NGCA]],11,FALSE)</f>
        <v>GCA</v>
      </c>
      <c r="EJ49" s="727">
        <f>VLOOKUP(WWWW[[#This Row],[Site Name]],SiteDB6[[Site Name]:[Lat]],12,FALSE)</f>
        <v>25.305669999999999</v>
      </c>
      <c r="EK49" s="727">
        <f>VLOOKUP(WWWW[[#This Row],[Site Name]],SiteDB6[[Site Name]:[Long]],13,FALSE)</f>
        <v>96.922619999999995</v>
      </c>
      <c r="EL49" s="727" t="str">
        <f>VLOOKUP(WWWW[[#This Row],[Site Name]],SiteDB6[[Site Name]:[Pcode]],3,FALSE)</f>
        <v>MMR001CMP078</v>
      </c>
      <c r="EM49" s="732" t="str">
        <f t="shared" si="0"/>
        <v>Covered</v>
      </c>
      <c r="EN49" s="732"/>
      <c r="EO49" s="727">
        <f>VLOOKUP(WWWW[[#This Row],[Site Name]],SiteDB6[[Site Name]:[Pop
(Kachin/Shan-CCCM as of July 2021)]],16,FALSE)</f>
        <v>13</v>
      </c>
      <c r="EP49" s="727">
        <f>VLOOKUP(WWWW[[#This Row],[Site Name]],SiteDB6[[Site Name]:[Pop
(Kachin/Shan-CCCM as of July 2021)]],17,FALSE)</f>
        <v>76</v>
      </c>
    </row>
    <row r="50" spans="1:146" hidden="1">
      <c r="A50" s="725" t="s">
        <v>2763</v>
      </c>
      <c r="B50" s="725" t="s">
        <v>141</v>
      </c>
      <c r="C50" s="726" t="s">
        <v>141</v>
      </c>
      <c r="D50" s="726" t="s">
        <v>241</v>
      </c>
      <c r="E50" s="726" t="s">
        <v>37</v>
      </c>
      <c r="F50" s="726" t="s">
        <v>205</v>
      </c>
      <c r="G50" s="591" t="str">
        <f>VLOOKUP(WWWW[[#This Row],[Site Name]],SiteDB6[[Site Name]:[Location Type]],8,FALSE)</f>
        <v>Camp_not registered</v>
      </c>
      <c r="H50" s="726" t="s">
        <v>289</v>
      </c>
      <c r="I50" s="728">
        <v>440</v>
      </c>
      <c r="J50" s="728">
        <v>2199</v>
      </c>
      <c r="K50" s="588">
        <v>44105</v>
      </c>
      <c r="L50" s="589">
        <v>44681</v>
      </c>
      <c r="M50" s="728"/>
      <c r="N50" s="728"/>
      <c r="O50" s="728"/>
      <c r="P50" s="728"/>
      <c r="Q50" s="731" t="s">
        <v>41</v>
      </c>
      <c r="R50" s="728"/>
      <c r="S50" s="728"/>
      <c r="T50" s="448"/>
      <c r="U50" s="728"/>
      <c r="V50" s="728"/>
      <c r="W50" s="728">
        <v>1</v>
      </c>
      <c r="X50" s="728"/>
      <c r="Y50" s="728"/>
      <c r="Z50" s="728"/>
      <c r="AA50" s="728"/>
      <c r="AB50" s="728"/>
      <c r="AC50" s="728"/>
      <c r="AD50" s="728"/>
      <c r="AE50" s="728"/>
      <c r="AF50" s="728"/>
      <c r="AG50" s="728"/>
      <c r="AH50" s="728"/>
      <c r="AI50" s="728"/>
      <c r="AJ50" s="728"/>
      <c r="AK50" s="728"/>
      <c r="AL50" s="728"/>
      <c r="AM50" s="728">
        <v>20</v>
      </c>
      <c r="AN50" s="728"/>
      <c r="AO50" s="728"/>
      <c r="AP50" s="732"/>
      <c r="AQ50" s="728"/>
      <c r="AR50" s="728">
        <v>0</v>
      </c>
      <c r="AS50" s="733"/>
      <c r="AT50" s="728"/>
      <c r="AU50" s="728"/>
      <c r="AV50" s="728"/>
      <c r="AW50" s="728"/>
      <c r="AX50" s="728"/>
      <c r="AY50" s="727" t="s">
        <v>140</v>
      </c>
      <c r="AZ50" s="732" t="s">
        <v>140</v>
      </c>
      <c r="BA50" s="728"/>
      <c r="BB50" s="728"/>
      <c r="BC50" s="728">
        <v>51</v>
      </c>
      <c r="BD50" s="448"/>
      <c r="BE50" s="448"/>
      <c r="BF50" s="727"/>
      <c r="BG50" s="728">
        <v>3</v>
      </c>
      <c r="BH50" s="728"/>
      <c r="BI50" s="728"/>
      <c r="BJ50" s="728">
        <v>2</v>
      </c>
      <c r="BK50" s="728"/>
      <c r="BL50" s="728"/>
      <c r="BM50" s="728"/>
      <c r="BN50" s="728">
        <v>88</v>
      </c>
      <c r="BO50" s="728">
        <v>100</v>
      </c>
      <c r="BP50" s="727"/>
      <c r="BQ50" s="734"/>
      <c r="BR50" s="733"/>
      <c r="BS50" s="727"/>
      <c r="BT50" s="423"/>
      <c r="BU50" s="423"/>
      <c r="BV50" s="425"/>
      <c r="BW50" s="423"/>
      <c r="BX50" s="448"/>
      <c r="BY50" s="448"/>
      <c r="BZ50" s="448"/>
      <c r="CA50" s="448"/>
      <c r="CB50" s="448"/>
      <c r="CC50" s="777"/>
      <c r="CD50" s="448"/>
      <c r="CE50" s="735" t="str">
        <f>IFERROR(WWWW[[#This Row],['#_Water sources passed]]/WWWW[[#This Row],['#_Water sources tested for fecal coliform ]],"no test")</f>
        <v>no test</v>
      </c>
      <c r="CF50" s="733" t="str">
        <f>IFERROR(WWWW[[#This Row],['#_Household passed]]/WWWW[[#This Row],['#_Household water samples tested for fecal coliform]],"no test")</f>
        <v>no test</v>
      </c>
      <c r="CG50" s="734" t="str">
        <f>IF(AND(WWWW[[#This Row],[% of water sources passed]]="no test",WWWW[[#This Row],[% Household passed]]="no test"),"No Test","Tested")</f>
        <v>No Test</v>
      </c>
      <c r="CH50" s="734">
        <f>WWWW[[#This Row],['#_Constructed/existing protected hand dug well]]-WWWW[[#This Row],['#_Non-functional protected hand dug well]]</f>
        <v>0</v>
      </c>
      <c r="CI50" s="734">
        <f>(WWWW[[#This Row],['#_Constructed/Existing tube wells/boreholes/handpumps_WASH_agency]]+WWWW[[#This Row],['#_Non-Cluster partner water tube-wells/boreholes/handpumps]])-WWWW[[#This Row],['#_Non-functional tube wells/boreholes/handpumps]]</f>
        <v>1</v>
      </c>
      <c r="CJ50" s="734">
        <f>WWWW[[#This Row],['#_Constructed/Existingwater storage tank with gravity fed reticulation system]]-WWWW[[#This Row],['#_Non-functional storage tank gravity fed reticulation system]]</f>
        <v>0</v>
      </c>
      <c r="CK50" s="734">
        <f>(WWWW[[#This Row],['#_Water_Liters_supplied_by_Water boating or water trucking]]/90)/15</f>
        <v>0</v>
      </c>
      <c r="CL50" s="734">
        <f>WWWW[[#This Row],['#_Water_Liters_from_Constructed/Existing water distribution system from river or natural spring]]/90/15</f>
        <v>0</v>
      </c>
      <c r="CM50" s="424">
        <f>IF(WWWW[[#This Row],['#_of water points in TLS/CFS]]*500&gt;WWWW[[#This Row],[Total PoP ]],WWWW[[#This Row],[Total PoP ]],WWWW[[#This Row],['#_of water points in TLS/CFS]]*500)</f>
        <v>0</v>
      </c>
      <c r="CN50" s="424">
        <f>IF(WWWW[[#This Row],['#_of water points in THF]]*500&gt;WWWW[[#This Row],[Total PoP ]],WWWW[[#This Row],[Total PoP ]],WWWW[[#This Row],['#_of water points in THF]]*500)</f>
        <v>0</v>
      </c>
      <c r="CO5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P5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Q50" s="733">
        <f>IF(WWWW[[#This Row],[Location Type 1]]="Village",WWWW[[#This Row],[Access to safe drinking water for Village]],WWWW[[#This Row],[Access to safe drinking water for Camp]])</f>
        <v>0.22737608003638018</v>
      </c>
      <c r="CR50" s="731">
        <f>WWWW[[#This Row],[%Equitable and continuous access to sufficient quantity of safe drinking water]]*WWWW[[#This Row],[Total PoP ]]</f>
        <v>500</v>
      </c>
      <c r="CS50" s="733">
        <f>IF((WWWW[[#This Row],['#_Constructed/Existing protected/fenced ponds]]*250)/WWWW[[#This Row],[Total PoP ]]&gt;1,1,(WWWW[[#This Row],['#_Constructed/Existing protected/fenced ponds]]*250)/WWWW[[#This Row],[Total PoP ]])</f>
        <v>0</v>
      </c>
      <c r="CT50" s="731">
        <f>WWWW[[#This Row],[% Access to unimproved water points]]*WWWW[[#This Row],[Total PoP ]]</f>
        <v>0</v>
      </c>
      <c r="CU5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V5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50" s="731">
        <f>WWWW[[#This Row],[HRP1]]/500</f>
        <v>1</v>
      </c>
      <c r="CX50" s="736">
        <f>1-WWWW[[#This Row],[% Equitable and continuous access to sufficient quantity of domestic water]]</f>
        <v>0.77262391996361979</v>
      </c>
      <c r="CY50" s="731">
        <f>WWWW[[#This Row],[%equitable and continuous access to sufficient quantity of safe drinking and domestic water''s GAP]]*WWWW[[#This Row],[Total PoP ]]</f>
        <v>1699</v>
      </c>
      <c r="CZ50" s="734">
        <f>IF(WWWW[[#This Row],[Total required water points]]-WWWW[[#This Row],['#Water points coverage]]&lt;0,0,WWWW[[#This Row],[Total required water points]]-WWWW[[#This Row],['#Water points coverage]])</f>
        <v>3</v>
      </c>
      <c r="DA50" s="734">
        <f>ROUND(IF(WWWW[[#This Row],[Total PoP ]]&lt;500,1,WWWW[[#This Row],[Total PoP ]]/500),0)</f>
        <v>4</v>
      </c>
      <c r="DB50" s="734">
        <f>(WWWW[[#This Row],['#_Constructed latrines_by_WASHAgencies]]+WWWW[[#This Row],['#_Non Cluster partner latrines]])-WWWW[[#This Row],['#_Non-functional latrines]]</f>
        <v>0</v>
      </c>
      <c r="DC50" s="631">
        <f>WWWW[[#This Row],[HRP2]]/WWWW[[#This Row],[Total PoP ]]</f>
        <v>0</v>
      </c>
      <c r="DD5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 s="424">
        <f>IF(WWWW[[#This Row],['# of functional latrines in THF supported by WASH partners during the reporting period2]]="",0,WWWW[[#This Row],['# of functional latrines in THF supported by WASH partners during the reporting period2]]*50)</f>
        <v>0</v>
      </c>
      <c r="DH50" s="734">
        <f>ROUND(IF(WWWW[[#This Row],[Location Type 1]]="camp",WWWW[[#This Row],[Total PoP ]]/20,IF(WWWW[[#This Row],[Location Type 1]]="Temporary Location",WWWW[[#This Row],[Total PoP ]]/50,(WWWW[[#This Row],[Total PoP ]]/6))),0)</f>
        <v>110</v>
      </c>
      <c r="DI50" s="734">
        <f>IF(WWWW[[#This Row],[Total required Latrines]]-(WWWW[[#This Row],['#_Constructed latrines_by_WASHAgencies]]+WWWW[[#This Row],['#_Non Cluster partner latrines]])&lt;0,0,WWWW[[#This Row],[Total required Latrines]]-(WWWW[[#This Row],['#_Constructed latrines_by_WASHAgencies]]+WWWW[[#This Row],['#_Non Cluster partner latrines]]))</f>
        <v>110</v>
      </c>
      <c r="DJ50" s="736">
        <f>1-WWWW[[#This Row],[% people access to functioning Latrine]]</f>
        <v>1</v>
      </c>
      <c r="DK50" s="735">
        <f>IF(OR(WWWW[[#This Row],['#_Non-functional latrines]]="",WWWW[[#This Row],['#_Non-functional latrines]]=0),0,WWWW[[#This Row],['#_Non-functional latrines]]/(WWWW[[#This Row],['#_Constructed latrines_by_WASHAgencies]]+WWWW[[#This Row],['#_Non Cluster partner latrines]]))</f>
        <v>0</v>
      </c>
      <c r="DL50" s="731">
        <f>IF(500*(WWWW[[#This Row],['#_male hygiene promoters]]+WWWW[[#This Row],['#_female hygiene promoters]])&gt;WWWW[[#This Row],[Total PoP ]],WWWW[[#This Row],[Total PoP ]],500*(WWWW[[#This Row],['#_male hygiene promoters]]+WWWW[[#This Row],['#_female hygiene promoters]]))</f>
        <v>0</v>
      </c>
      <c r="DM5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5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50" s="734">
        <f>IF(WWWW[[#This Row],['# People with access to soap]]&gt;WWWW[[#This Row],['# People with access to Sanity Pads]],WWWW[[#This Row],['# People with access to soap]],WWWW[[#This Row],['# People with access to Sanity Pads]])</f>
        <v>440</v>
      </c>
      <c r="DP50" s="734">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50" s="736">
        <f>IF(WWWW[[#This Row],[HRP3]]/WWWW[[#This Row],[Total PoP ]]&gt;1,1,WWWW[[#This Row],[HRP3]]/WWWW[[#This Row],[Total PoP ]])</f>
        <v>0.20009095043201455</v>
      </c>
      <c r="DR50" s="735">
        <f>1-WWWW[[#This Row],[Hygiene Coverage%]]</f>
        <v>0.79990904956798548</v>
      </c>
      <c r="DS50" s="733">
        <f>WWWW[[#This Row],['# people reached by regular dedicated hygiene promotion_5]]/WWWW[[#This Row],[Total PoP ]]</f>
        <v>0</v>
      </c>
      <c r="DT5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v>
      </c>
      <c r="DU5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0.22727272727272727</v>
      </c>
      <c r="DV50" s="734">
        <f>WWWW[[#This Row],['#_Constructed/Existing hand washing stations]]-WWWW[[#This Row],['#_Non-Functional_hand_washing_stations]]</f>
        <v>3</v>
      </c>
      <c r="DW50" s="731">
        <f>IF(WWWW[[#This Row],['# Functional hand washing stations during reporting period]]*20&gt;WWWW[[#This Row],[Total HH]],WWWW[[#This Row],[Total HH]],WWWW[[#This Row],['# Functional hand washing stations during reporting period]]*20)</f>
        <v>60</v>
      </c>
      <c r="DX50" s="731">
        <f>IF(WWWW[[#This Row],[Is sufficient soap available for TLS? (Yes/No)]]="yes",WWWW[[#This Row],['#_Constructed/Existing hand washing stations at TLS/CFS/THF]],0)</f>
        <v>0</v>
      </c>
      <c r="DY50" s="428">
        <f>IF(WWWW[[#This Row],['# Functional hand washing stations during reporting period]]*100&gt;WWWW[[#This Row],[Total PoP ]],WWWW[[#This Row],[Total PoP ]],WWWW[[#This Row],['# Functional hand washing stations during reporting period]]*100)</f>
        <v>300</v>
      </c>
      <c r="DZ50" s="428" t="str">
        <f>IF(OR(WWWW[[#This Row],['#_students at TLS_CFS]]="",WWWW[[#This Row],['#_students at TLS_CFS]]=0),"No","Yes")</f>
        <v>No</v>
      </c>
      <c r="EA5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 s="727">
        <f>VLOOKUP(WWWW[[#This Row],[Site Name]],SiteDB6[[Site Name]:[CCCM Management]],6,FALSE)</f>
        <v>0</v>
      </c>
      <c r="EF50" s="727">
        <f>VLOOKUP(WWWW[[#This Row],[Site Name]],SiteDB6[[Site Name]:[CCCM Focal Agency]],7,FALSE)</f>
        <v>0</v>
      </c>
      <c r="EG50" s="727" t="str">
        <f>VLOOKUP(WWWW[[#This Row],[Site Name]],SiteDB6[[Site Name]:[Location Type 1]],9,FALSE)</f>
        <v>Camp</v>
      </c>
      <c r="EH50" s="727" t="str">
        <f>VLOOKUP(WWWW[[#This Row],[Site Name]],SiteDB6[[Site Name]:[Type of Accommodation]],10,FALSE)</f>
        <v>School</v>
      </c>
      <c r="EI50" s="727" t="str">
        <f>VLOOKUP(WWWW[[#This Row],[Site Name]],SiteDB6[[Site Name]:[Ethnic or GCA/NGCA]],11,FALSE)</f>
        <v>NGCA</v>
      </c>
      <c r="EJ50" s="727">
        <f>VLOOKUP(WWWW[[#This Row],[Site Name]],SiteDB6[[Site Name]:[Lat]],12,FALSE)</f>
        <v>0</v>
      </c>
      <c r="EK50" s="727">
        <f>VLOOKUP(WWWW[[#This Row],[Site Name]],SiteDB6[[Site Name]:[Long]],13,FALSE)</f>
        <v>0</v>
      </c>
      <c r="EL50" s="727">
        <f>VLOOKUP(WWWW[[#This Row],[Site Name]],SiteDB6[[Site Name]:[Pcode]],3,FALSE)</f>
        <v>0</v>
      </c>
      <c r="EM50" s="732" t="str">
        <f t="shared" si="0"/>
        <v>Covered</v>
      </c>
      <c r="EN50" s="732"/>
      <c r="EO50" s="727">
        <f>VLOOKUP(WWWW[[#This Row],[Site Name]],SiteDB6[[Site Name]:[Pop
(Kachin/Shan-CCCM as of July 2021)]],16,FALSE)</f>
        <v>0</v>
      </c>
      <c r="EP50" s="727">
        <f>VLOOKUP(WWWW[[#This Row],[Site Name]],SiteDB6[[Site Name]:[Pop
(Kachin/Shan-CCCM as of July 2021)]],17,FALSE)</f>
        <v>0</v>
      </c>
    </row>
    <row r="51" spans="1:146" hidden="1">
      <c r="A51" s="725" t="s">
        <v>2763</v>
      </c>
      <c r="B51" s="725" t="s">
        <v>2423</v>
      </c>
      <c r="C51" s="726" t="s">
        <v>2423</v>
      </c>
      <c r="D51" s="726" t="s">
        <v>2628</v>
      </c>
      <c r="E51" s="726" t="s">
        <v>37</v>
      </c>
      <c r="F51" s="726" t="s">
        <v>38</v>
      </c>
      <c r="G51" s="591" t="str">
        <f>VLOOKUP(WWWW[[#This Row],[Site Name]],SiteDB6[[Site Name]:[Location Type]],8,FALSE)</f>
        <v>Camp</v>
      </c>
      <c r="H51" s="726" t="s">
        <v>294</v>
      </c>
      <c r="I51" s="728">
        <v>481</v>
      </c>
      <c r="J51" s="728">
        <v>2691</v>
      </c>
      <c r="K51" s="729" t="s">
        <v>2585</v>
      </c>
      <c r="L51" s="730" t="s">
        <v>2586</v>
      </c>
      <c r="M51" s="728"/>
      <c r="N51" s="728"/>
      <c r="O51" s="728"/>
      <c r="P51" s="728"/>
      <c r="Q51" s="731" t="s">
        <v>41</v>
      </c>
      <c r="R51" s="728"/>
      <c r="S51" s="728"/>
      <c r="T51" s="448">
        <v>4</v>
      </c>
      <c r="U51" s="728"/>
      <c r="V51" s="728"/>
      <c r="W51" s="728"/>
      <c r="X51" s="728"/>
      <c r="Y51" s="728"/>
      <c r="Z51" s="728"/>
      <c r="AA51" s="728"/>
      <c r="AB51" s="728"/>
      <c r="AC51" s="728"/>
      <c r="AD51" s="728"/>
      <c r="AE51" s="728">
        <v>1</v>
      </c>
      <c r="AF51" s="728"/>
      <c r="AG51" s="728"/>
      <c r="AH51" s="728">
        <v>1</v>
      </c>
      <c r="AI51" s="728"/>
      <c r="AJ51" s="728"/>
      <c r="AK51" s="728"/>
      <c r="AL51" s="728"/>
      <c r="AM51" s="728">
        <v>5</v>
      </c>
      <c r="AN51" s="728">
        <v>2</v>
      </c>
      <c r="AO51" s="728"/>
      <c r="AP51" s="732"/>
      <c r="AQ51" s="728">
        <v>438</v>
      </c>
      <c r="AR51" s="728"/>
      <c r="AS51" s="733"/>
      <c r="AT51" s="728"/>
      <c r="AU51" s="728"/>
      <c r="AV51" s="728"/>
      <c r="AW51" s="728"/>
      <c r="AX51" s="728">
        <v>266</v>
      </c>
      <c r="AY51" s="727" t="s">
        <v>136</v>
      </c>
      <c r="AZ51" s="732" t="s">
        <v>137</v>
      </c>
      <c r="BA51" s="728">
        <v>6</v>
      </c>
      <c r="BB51" s="728">
        <v>274</v>
      </c>
      <c r="BC51" s="728">
        <v>62</v>
      </c>
      <c r="BD51" s="448">
        <v>2</v>
      </c>
      <c r="BE51" s="448"/>
      <c r="BF51" s="727"/>
      <c r="BG51" s="728">
        <v>7</v>
      </c>
      <c r="BH51" s="728"/>
      <c r="BI51" s="728">
        <v>266</v>
      </c>
      <c r="BJ51" s="728">
        <v>4</v>
      </c>
      <c r="BK51" s="728"/>
      <c r="BL51" s="728"/>
      <c r="BM51" s="728">
        <v>7</v>
      </c>
      <c r="BN51" s="728">
        <v>124</v>
      </c>
      <c r="BO51" s="728">
        <v>198</v>
      </c>
      <c r="BP51" s="727"/>
      <c r="BQ51" s="734"/>
      <c r="BR51" s="733"/>
      <c r="BS51" s="727"/>
      <c r="BT51" s="423"/>
      <c r="BU51" s="423"/>
      <c r="BV51" s="425"/>
      <c r="BW51" s="423"/>
      <c r="BX51" s="448"/>
      <c r="BY51" s="448"/>
      <c r="BZ51" s="448"/>
      <c r="CA51" s="448"/>
      <c r="CB51" s="448"/>
      <c r="CC51" s="777"/>
      <c r="CD51" s="448"/>
      <c r="CE51" s="735" t="str">
        <f>IFERROR(WWWW[[#This Row],['#_Water sources passed]]/WWWW[[#This Row],['#_Water sources tested for fecal coliform ]],"no test")</f>
        <v>no test</v>
      </c>
      <c r="CF51" s="733" t="str">
        <f>IFERROR(WWWW[[#This Row],['#_Household passed]]/WWWW[[#This Row],['#_Household water samples tested for fecal coliform]],"no test")</f>
        <v>no test</v>
      </c>
      <c r="CG51" s="734" t="str">
        <f>IF(AND(WWWW[[#This Row],[% of water sources passed]]="no test",WWWW[[#This Row],[% Household passed]]="no test"),"No Test","Tested")</f>
        <v>No Test</v>
      </c>
      <c r="CH51" s="734">
        <f>WWWW[[#This Row],['#_Constructed/existing protected hand dug well]]-WWWW[[#This Row],['#_Non-functional protected hand dug well]]</f>
        <v>4</v>
      </c>
      <c r="CI51" s="734">
        <f>(WWWW[[#This Row],['#_Constructed/Existing tube wells/boreholes/handpumps_WASH_agency]]+WWWW[[#This Row],['#_Non-Cluster partner water tube-wells/boreholes/handpumps]])-WWWW[[#This Row],['#_Non-functional tube wells/boreholes/handpumps]]</f>
        <v>0</v>
      </c>
      <c r="CJ51" s="734">
        <f>WWWW[[#This Row],['#_Constructed/Existingwater storage tank with gravity fed reticulation system]]-WWWW[[#This Row],['#_Non-functional storage tank gravity fed reticulation system]]</f>
        <v>0</v>
      </c>
      <c r="CK51" s="734">
        <f>(WWWW[[#This Row],['#_Water_Liters_supplied_by_Water boating or water trucking]]/90)/15</f>
        <v>0</v>
      </c>
      <c r="CL51" s="734">
        <f>WWWW[[#This Row],['#_Water_Liters_from_Constructed/Existing water distribution system from river or natural spring]]/90/15</f>
        <v>0</v>
      </c>
      <c r="CM51" s="424">
        <f>IF(WWWW[[#This Row],['#_of water points in TLS/CFS]]*500&gt;WWWW[[#This Row],[Total PoP ]],WWWW[[#This Row],[Total PoP ]],WWWW[[#This Row],['#_of water points in TLS/CFS]]*500)</f>
        <v>1000</v>
      </c>
      <c r="CN51" s="424">
        <f>IF(WWWW[[#This Row],['#_of water points in THF]]*500&gt;WWWW[[#This Row],[Total PoP ]],WWWW[[#This Row],[Total PoP ]],WWWW[[#This Row],['#_of water points in THF]]*500)</f>
        <v>0</v>
      </c>
      <c r="CO5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0.59457450761798591</v>
      </c>
      <c r="CP5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0.37160906726124115</v>
      </c>
      <c r="CQ51" s="733">
        <f>IF(WWWW[[#This Row],[Location Type 1]]="Village",WWWW[[#This Row],[Access to safe drinking water for Village]],WWWW[[#This Row],[Access to safe drinking water for Camp]])</f>
        <v>0.59457450761798591</v>
      </c>
      <c r="CR51" s="731">
        <f>WWWW[[#This Row],[%Equitable and continuous access to sufficient quantity of safe drinking water]]*WWWW[[#This Row],[Total PoP ]]</f>
        <v>1600</v>
      </c>
      <c r="CS51" s="733">
        <f>IF((WWWW[[#This Row],['#_Constructed/Existing protected/fenced ponds]]*250)/WWWW[[#This Row],[Total PoP ]]&gt;1,1,(WWWW[[#This Row],['#_Constructed/Existing protected/fenced ponds]]*250)/WWWW[[#This Row],[Total PoP ]])</f>
        <v>9.2902266815310289E-2</v>
      </c>
      <c r="CT51" s="731">
        <f>WWWW[[#This Row],[% Access to unimproved water points]]*WWWW[[#This Row],[Total PoP ]]</f>
        <v>250</v>
      </c>
      <c r="CU5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0.68747677443329624</v>
      </c>
      <c r="CV5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W51" s="731">
        <f>WWWW[[#This Row],[HRP1]]/500</f>
        <v>3.7</v>
      </c>
      <c r="CX51" s="736">
        <f>1-WWWW[[#This Row],[% Equitable and continuous access to sufficient quantity of domestic water]]</f>
        <v>0.31252322556670376</v>
      </c>
      <c r="CY51" s="731">
        <f>WWWW[[#This Row],[%equitable and continuous access to sufficient quantity of safe drinking and domestic water''s GAP]]*WWWW[[#This Row],[Total PoP ]]</f>
        <v>840.99999999999977</v>
      </c>
      <c r="CZ51" s="734">
        <f>IF(WWWW[[#This Row],[Total required water points]]-WWWW[[#This Row],['#Water points coverage]]&lt;0,0,WWWW[[#This Row],[Total required water points]]-WWWW[[#This Row],['#Water points coverage]])</f>
        <v>1.2999999999999998</v>
      </c>
      <c r="DA51" s="734">
        <f>ROUND(IF(WWWW[[#This Row],[Total PoP ]]&lt;500,1,WWWW[[#This Row],[Total PoP ]]/500),0)</f>
        <v>5</v>
      </c>
      <c r="DB51" s="734">
        <f>(WWWW[[#This Row],['#_Constructed latrines_by_WASHAgencies]]+WWWW[[#This Row],['#_Non Cluster partner latrines]])-WWWW[[#This Row],['#_Non-functional latrines]]</f>
        <v>438</v>
      </c>
      <c r="DC51" s="631">
        <f>WWWW[[#This Row],[HRP2]]/WWWW[[#This Row],[Total PoP ]]</f>
        <v>1</v>
      </c>
      <c r="DD5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2691</v>
      </c>
      <c r="DE5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 s="424">
        <f>IF(WWWW[[#This Row],['# of functional latrines in THF supported by WASH partners during the reporting period2]]="",0,WWWW[[#This Row],['# of functional latrines in THF supported by WASH partners during the reporting period2]]*50)</f>
        <v>100</v>
      </c>
      <c r="DH51" s="734">
        <f>ROUND(IF(WWWW[[#This Row],[Location Type 1]]="camp",WWWW[[#This Row],[Total PoP ]]/20,IF(WWWW[[#This Row],[Location Type 1]]="Temporary Location",WWWW[[#This Row],[Total PoP ]]/50,(WWWW[[#This Row],[Total PoP ]]/6))),0)</f>
        <v>135</v>
      </c>
      <c r="DI51" s="734">
        <f>IF(WWWW[[#This Row],[Total required Latrines]]-(WWWW[[#This Row],['#_Constructed latrines_by_WASHAgencies]]+WWWW[[#This Row],['#_Non Cluster partner latrines]])&lt;0,0,WWWW[[#This Row],[Total required Latrines]]-(WWWW[[#This Row],['#_Constructed latrines_by_WASHAgencies]]+WWWW[[#This Row],['#_Non Cluster partner latrines]]))</f>
        <v>0</v>
      </c>
      <c r="DJ51" s="736">
        <f>1-WWWW[[#This Row],[% people access to functioning Latrine]]</f>
        <v>0</v>
      </c>
      <c r="DK51" s="735">
        <f>IF(OR(WWWW[[#This Row],['#_Non-functional latrines]]="",WWWW[[#This Row],['#_Non-functional latrines]]=0),0,WWWW[[#This Row],['#_Non-functional latrines]]/(WWWW[[#This Row],['#_Constructed latrines_by_WASHAgencies]]+WWWW[[#This Row],['#_Non Cluster partner latrines]]))</f>
        <v>0</v>
      </c>
      <c r="DL51" s="731">
        <f>IF(500*(WWWW[[#This Row],['#_male hygiene promoters]]+WWWW[[#This Row],['#_female hygiene promoters]])&gt;WWWW[[#This Row],[Total PoP ]],WWWW[[#This Row],[Total PoP ]],500*(WWWW[[#This Row],['#_male hygiene promoters]]+WWWW[[#This Row],['#_female hygiene promoters]]))</f>
        <v>2691</v>
      </c>
      <c r="DM5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620</v>
      </c>
      <c r="DN5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51" s="734">
        <f>IF(WWWW[[#This Row],['# People with access to soap]]&gt;WWWW[[#This Row],['# People with access to Sanity Pads]],WWWW[[#This Row],['# People with access to soap]],WWWW[[#This Row],['# People with access to Sanity Pads]])</f>
        <v>620</v>
      </c>
      <c r="DP51" s="734">
        <f>IF(WWWW[[#This Row],['# people reached by regular dedicated hygiene promotion_5]]&gt;WWWW[[#This Row],['# People received regular supply of hygiene items_6]],WWWW[[#This Row],['# people reached by regular dedicated hygiene promotion_5]],WWWW[[#This Row],['# People received regular supply of hygiene items_6]])</f>
        <v>2691</v>
      </c>
      <c r="DQ51" s="736">
        <f>IF(WWWW[[#This Row],[HRP3]]/WWWW[[#This Row],[Total PoP ]]&gt;1,1,WWWW[[#This Row],[HRP3]]/WWWW[[#This Row],[Total PoP ]])</f>
        <v>1</v>
      </c>
      <c r="DR51" s="735">
        <f>1-WWWW[[#This Row],[Hygiene Coverage%]]</f>
        <v>0</v>
      </c>
      <c r="DS51" s="733">
        <f>WWWW[[#This Row],['# people reached by regular dedicated hygiene promotion_5]]/WWWW[[#This Row],[Total PoP ]]</f>
        <v>1</v>
      </c>
      <c r="DT5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0.25779625779625781</v>
      </c>
      <c r="DU5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0.41164241164241167</v>
      </c>
      <c r="DV51" s="734">
        <f>WWWW[[#This Row],['#_Constructed/Existing hand washing stations]]-WWWW[[#This Row],['#_Non-Functional_hand_washing_stations]]</f>
        <v>7</v>
      </c>
      <c r="DW51" s="731">
        <f>IF(WWWW[[#This Row],['# Functional hand washing stations during reporting period]]*20&gt;WWWW[[#This Row],[Total HH]],WWWW[[#This Row],[Total HH]],WWWW[[#This Row],['# Functional hand washing stations during reporting period]]*20)</f>
        <v>140</v>
      </c>
      <c r="DX51" s="731">
        <f>IF(WWWW[[#This Row],[Is sufficient soap available for TLS? (Yes/No)]]="yes",WWWW[[#This Row],['#_Constructed/Existing hand washing stations at TLS/CFS/THF]],0)</f>
        <v>0</v>
      </c>
      <c r="DY51" s="428">
        <f>IF(WWWW[[#This Row],['# Functional hand washing stations during reporting period]]*100&gt;WWWW[[#This Row],[Total PoP ]],WWWW[[#This Row],[Total PoP ]],WWWW[[#This Row],['# Functional hand washing stations during reporting period]]*100)</f>
        <v>700</v>
      </c>
      <c r="DZ51" s="428" t="str">
        <f>IF(OR(WWWW[[#This Row],['#_students at TLS_CFS]]="",WWWW[[#This Row],['#_students at TLS_CFS]]=0),"No","Yes")</f>
        <v>No</v>
      </c>
      <c r="EA5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5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51" s="727" t="str">
        <f>VLOOKUP(WWWW[[#This Row],[Site Name]],SiteDB6[[Site Name]:[CCCM Management]],6,FALSE)</f>
        <v>Yes</v>
      </c>
      <c r="EF51" s="727" t="str">
        <f>VLOOKUP(WWWW[[#This Row],[Site Name]],SiteDB6[[Site Name]:[CCCM Focal Agency]],7,FALSE)</f>
        <v>KMSS-BMO</v>
      </c>
      <c r="EG51" s="727" t="str">
        <f>VLOOKUP(WWWW[[#This Row],[Site Name]],SiteDB6[[Site Name]:[Location Type 1]],9,FALSE)</f>
        <v>Camp</v>
      </c>
      <c r="EH51" s="727" t="str">
        <f>VLOOKUP(WWWW[[#This Row],[Site Name]],SiteDB6[[Site Name]:[Type of Accommodation]],10,FALSE)</f>
        <v>Camp</v>
      </c>
      <c r="EI51" s="727" t="str">
        <f>VLOOKUP(WWWW[[#This Row],[Site Name]],SiteDB6[[Site Name]:[Ethnic or GCA/NGCA]],11,FALSE)</f>
        <v>NGCA</v>
      </c>
      <c r="EJ51" s="727">
        <f>VLOOKUP(WWWW[[#This Row],[Site Name]],SiteDB6[[Site Name]:[Lat]],12,FALSE)</f>
        <v>24.056132999999999</v>
      </c>
      <c r="EK51" s="727">
        <f>VLOOKUP(WWWW[[#This Row],[Site Name]],SiteDB6[[Site Name]:[Long]],13,FALSE)</f>
        <v>97.625617000000005</v>
      </c>
      <c r="EL51" s="727" t="str">
        <f>VLOOKUP(WWWW[[#This Row],[Site Name]],SiteDB6[[Site Name]:[Pcode]],3,FALSE)</f>
        <v>MMR001CMP128</v>
      </c>
      <c r="EM51" s="732" t="str">
        <f t="shared" si="0"/>
        <v>Covered</v>
      </c>
      <c r="EN51" s="732"/>
      <c r="EO51" s="727">
        <f>VLOOKUP(WWWW[[#This Row],[Site Name]],SiteDB6[[Site Name]:[Pop
(Kachin/Shan-CCCM as of July 2021)]],16,FALSE)</f>
        <v>542</v>
      </c>
      <c r="EP51" s="727">
        <f>VLOOKUP(WWWW[[#This Row],[Site Name]],SiteDB6[[Site Name]:[Pop
(Kachin/Shan-CCCM as of July 2021)]],17,FALSE)</f>
        <v>2503</v>
      </c>
    </row>
    <row r="52" spans="1:146" hidden="1">
      <c r="A52" s="725" t="s">
        <v>2763</v>
      </c>
      <c r="B52" s="707" t="s">
        <v>309</v>
      </c>
      <c r="C52" s="707" t="s">
        <v>309</v>
      </c>
      <c r="D52" s="726"/>
      <c r="E52" s="726" t="s">
        <v>37</v>
      </c>
      <c r="F52" s="726" t="s">
        <v>148</v>
      </c>
      <c r="G52" s="591" t="str">
        <f>VLOOKUP(WWWW[[#This Row],[Site Name]],SiteDB6[[Site Name]:[Location Type]],8,FALSE)</f>
        <v>Camp</v>
      </c>
      <c r="H52" s="726" t="s">
        <v>1561</v>
      </c>
      <c r="I52" s="728">
        <v>49</v>
      </c>
      <c r="J52" s="728">
        <v>242</v>
      </c>
      <c r="K52" s="729"/>
      <c r="L52" s="730"/>
      <c r="M52" s="728"/>
      <c r="N52" s="728"/>
      <c r="O52" s="728"/>
      <c r="P52" s="728"/>
      <c r="Q52" s="731" t="s">
        <v>41</v>
      </c>
      <c r="R52" s="728">
        <v>1</v>
      </c>
      <c r="S52" s="728">
        <v>2</v>
      </c>
      <c r="T52" s="448">
        <v>1</v>
      </c>
      <c r="U52" s="728"/>
      <c r="V52" s="728"/>
      <c r="W52" s="728"/>
      <c r="X52" s="728">
        <v>1</v>
      </c>
      <c r="Y52" s="728"/>
      <c r="Z52" s="728"/>
      <c r="AA52" s="728"/>
      <c r="AB52" s="728"/>
      <c r="AC52" s="728"/>
      <c r="AD52" s="728"/>
      <c r="AE52" s="728"/>
      <c r="AF52" s="728"/>
      <c r="AG52" s="728"/>
      <c r="AH52" s="728"/>
      <c r="AI52" s="728"/>
      <c r="AJ52" s="728"/>
      <c r="AK52" s="728"/>
      <c r="AL52" s="728"/>
      <c r="AM52" s="728">
        <v>2</v>
      </c>
      <c r="AN52" s="728"/>
      <c r="AO52" s="728"/>
      <c r="AP52" s="732"/>
      <c r="AQ52" s="728">
        <v>8</v>
      </c>
      <c r="AR52" s="728">
        <v>4</v>
      </c>
      <c r="AS52" s="733"/>
      <c r="AT52" s="728"/>
      <c r="AU52" s="728"/>
      <c r="AV52" s="728"/>
      <c r="AW52" s="728"/>
      <c r="AX52" s="728"/>
      <c r="AY52" s="727" t="s">
        <v>41</v>
      </c>
      <c r="AZ52" s="732" t="s">
        <v>136</v>
      </c>
      <c r="BA52" s="728">
        <v>2</v>
      </c>
      <c r="BB52" s="728"/>
      <c r="BC52" s="728"/>
      <c r="BD52" s="448"/>
      <c r="BE52" s="448"/>
      <c r="BF52" s="727"/>
      <c r="BG52" s="728">
        <v>7</v>
      </c>
      <c r="BH52" s="728"/>
      <c r="BI52" s="728">
        <v>2</v>
      </c>
      <c r="BJ52" s="728">
        <v>4</v>
      </c>
      <c r="BK52" s="728"/>
      <c r="BL52" s="728"/>
      <c r="BM52" s="728"/>
      <c r="BN52" s="728">
        <v>124</v>
      </c>
      <c r="BO52" s="728">
        <v>198</v>
      </c>
      <c r="BP52" s="727"/>
      <c r="BQ52" s="734"/>
      <c r="BR52" s="733"/>
      <c r="BS52" s="727"/>
      <c r="BT52" s="423"/>
      <c r="BU52" s="423"/>
      <c r="BV52" s="425"/>
      <c r="BW52" s="423"/>
      <c r="BX52" s="448"/>
      <c r="BY52" s="448"/>
      <c r="BZ52" s="448"/>
      <c r="CA52" s="448"/>
      <c r="CB52" s="448"/>
      <c r="CC52" s="777"/>
      <c r="CD52" s="448"/>
      <c r="CE52" s="735" t="str">
        <f>IFERROR(WWWW[[#This Row],['#_Water sources passed]]/WWWW[[#This Row],['#_Water sources tested for fecal coliform ]],"no test")</f>
        <v>no test</v>
      </c>
      <c r="CF52" s="733" t="str">
        <f>IFERROR(WWWW[[#This Row],['#_Household passed]]/WWWW[[#This Row],['#_Household water samples tested for fecal coliform]],"no test")</f>
        <v>no test</v>
      </c>
      <c r="CG52" s="734" t="str">
        <f>IF(AND(WWWW[[#This Row],[% of water sources passed]]="no test",WWWW[[#This Row],[% Household passed]]="no test"),"No Test","Tested")</f>
        <v>No Test</v>
      </c>
      <c r="CH52" s="734">
        <f>WWWW[[#This Row],['#_Constructed/existing protected hand dug well]]-WWWW[[#This Row],['#_Non-functional protected hand dug well]]</f>
        <v>1</v>
      </c>
      <c r="CI52" s="734">
        <f>(WWWW[[#This Row],['#_Constructed/Existing tube wells/boreholes/handpumps_WASH_agency]]+WWWW[[#This Row],['#_Non-Cluster partner water tube-wells/boreholes/handpumps]])-WWWW[[#This Row],['#_Non-functional tube wells/boreholes/handpumps]]</f>
        <v>1</v>
      </c>
      <c r="CJ52" s="734">
        <f>WWWW[[#This Row],['#_Constructed/Existingwater storage tank with gravity fed reticulation system]]-WWWW[[#This Row],['#_Non-functional storage tank gravity fed reticulation system]]</f>
        <v>0</v>
      </c>
      <c r="CK52" s="734">
        <f>(WWWW[[#This Row],['#_Water_Liters_supplied_by_Water boating or water trucking]]/90)/15</f>
        <v>0</v>
      </c>
      <c r="CL52" s="734">
        <f>WWWW[[#This Row],['#_Water_Liters_from_Constructed/Existing water distribution system from river or natural spring]]/90/15</f>
        <v>0</v>
      </c>
      <c r="CM52" s="424">
        <f>IF(WWWW[[#This Row],['#_of water points in TLS/CFS]]*500&gt;WWWW[[#This Row],[Total PoP ]],WWWW[[#This Row],[Total PoP ]],WWWW[[#This Row],['#_of water points in TLS/CFS]]*500)</f>
        <v>0</v>
      </c>
      <c r="CN52" s="424">
        <f>IF(WWWW[[#This Row],['#_of water points in THF]]*500&gt;WWWW[[#This Row],[Total PoP ]],WWWW[[#This Row],[Total PoP ]],WWWW[[#This Row],['#_of water points in THF]]*500)</f>
        <v>0</v>
      </c>
      <c r="CO5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2" s="733">
        <f>IF(WWWW[[#This Row],[Location Type 1]]="Village",WWWW[[#This Row],[Access to safe drinking water for Village]],WWWW[[#This Row],[Access to safe drinking water for Camp]])</f>
        <v>1</v>
      </c>
      <c r="CR52" s="731">
        <f>WWWW[[#This Row],[%Equitable and continuous access to sufficient quantity of safe drinking water]]*WWWW[[#This Row],[Total PoP ]]</f>
        <v>242</v>
      </c>
      <c r="CS52" s="733">
        <f>IF((WWWW[[#This Row],['#_Constructed/Existing protected/fenced ponds]]*250)/WWWW[[#This Row],[Total PoP ]]&gt;1,1,(WWWW[[#This Row],['#_Constructed/Existing protected/fenced ponds]]*250)/WWWW[[#This Row],[Total PoP ]])</f>
        <v>0</v>
      </c>
      <c r="CT52" s="731">
        <f>WWWW[[#This Row],[% Access to unimproved water points]]*WWWW[[#This Row],[Total PoP ]]</f>
        <v>0</v>
      </c>
      <c r="CU5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v>
      </c>
      <c r="CW52" s="731">
        <f>WWWW[[#This Row],[HRP1]]/500</f>
        <v>0.48399999999999999</v>
      </c>
      <c r="CX52" s="736">
        <f>1-WWWW[[#This Row],[% Equitable and continuous access to sufficient quantity of domestic water]]</f>
        <v>0</v>
      </c>
      <c r="CY52" s="731">
        <f>WWWW[[#This Row],[%equitable and continuous access to sufficient quantity of safe drinking and domestic water''s GAP]]*WWWW[[#This Row],[Total PoP ]]</f>
        <v>0</v>
      </c>
      <c r="CZ52" s="734">
        <f>IF(WWWW[[#This Row],[Total required water points]]-WWWW[[#This Row],['#Water points coverage]]&lt;0,0,WWWW[[#This Row],[Total required water points]]-WWWW[[#This Row],['#Water points coverage]])</f>
        <v>0.51600000000000001</v>
      </c>
      <c r="DA52" s="734">
        <f>ROUND(IF(WWWW[[#This Row],[Total PoP ]]&lt;500,1,WWWW[[#This Row],[Total PoP ]]/500),0)</f>
        <v>1</v>
      </c>
      <c r="DB52" s="734">
        <f>(WWWW[[#This Row],['#_Constructed latrines_by_WASHAgencies]]+WWWW[[#This Row],['#_Non Cluster partner latrines]])-WWWW[[#This Row],['#_Non-functional latrines]]</f>
        <v>12</v>
      </c>
      <c r="DC52" s="631">
        <f>WWWW[[#This Row],[HRP2]]/WWWW[[#This Row],[Total PoP ]]</f>
        <v>1</v>
      </c>
      <c r="DD5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242</v>
      </c>
      <c r="DE5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 s="424">
        <f>IF(WWWW[[#This Row],['# of functional latrines in THF supported by WASH partners during the reporting period2]]="",0,WWWW[[#This Row],['# of functional latrines in THF supported by WASH partners during the reporting period2]]*50)</f>
        <v>0</v>
      </c>
      <c r="DH52" s="734">
        <f>ROUND(IF(WWWW[[#This Row],[Location Type 1]]="camp",WWWW[[#This Row],[Total PoP ]]/20,IF(WWWW[[#This Row],[Location Type 1]]="Temporary Location",WWWW[[#This Row],[Total PoP ]]/50,(WWWW[[#This Row],[Total PoP ]]/6))),0)</f>
        <v>12</v>
      </c>
      <c r="DI52" s="734">
        <f>IF(WWWW[[#This Row],[Total required Latrines]]-(WWWW[[#This Row],['#_Constructed latrines_by_WASHAgencies]]+WWWW[[#This Row],['#_Non Cluster partner latrines]])&lt;0,0,WWWW[[#This Row],[Total required Latrines]]-(WWWW[[#This Row],['#_Constructed latrines_by_WASHAgencies]]+WWWW[[#This Row],['#_Non Cluster partner latrines]]))</f>
        <v>0</v>
      </c>
      <c r="DJ52" s="736">
        <f>1-WWWW[[#This Row],[% people access to functioning Latrine]]</f>
        <v>0</v>
      </c>
      <c r="DK52" s="735">
        <f>IF(OR(WWWW[[#This Row],['#_Non-functional latrines]]="",WWWW[[#This Row],['#_Non-functional latrines]]=0),0,WWWW[[#This Row],['#_Non-functional latrines]]/(WWWW[[#This Row],['#_Constructed latrines_by_WASHAgencies]]+WWWW[[#This Row],['#_Non Cluster partner latrines]]))</f>
        <v>0</v>
      </c>
      <c r="DL52" s="731">
        <f>IF(500*(WWWW[[#This Row],['#_male hygiene promoters]]+WWWW[[#This Row],['#_female hygiene promoters]])&gt;WWWW[[#This Row],[Total PoP ]],WWWW[[#This Row],[Total PoP ]],500*(WWWW[[#This Row],['#_male hygiene promoters]]+WWWW[[#This Row],['#_female hygiene promoters]]))</f>
        <v>0</v>
      </c>
      <c r="DM5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242</v>
      </c>
      <c r="DN5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52" s="734">
        <f>IF(WWWW[[#This Row],['# People with access to soap]]&gt;WWWW[[#This Row],['# People with access to Sanity Pads]],WWWW[[#This Row],['# People with access to soap]],WWWW[[#This Row],['# People with access to Sanity Pads]])</f>
        <v>242</v>
      </c>
      <c r="DP52" s="734">
        <f>IF(WWWW[[#This Row],['# people reached by regular dedicated hygiene promotion_5]]&gt;WWWW[[#This Row],['# People received regular supply of hygiene items_6]],WWWW[[#This Row],['# people reached by regular dedicated hygiene promotion_5]],WWWW[[#This Row],['# People received regular supply of hygiene items_6]])</f>
        <v>242</v>
      </c>
      <c r="DQ52" s="736">
        <f>IF(WWWW[[#This Row],[HRP3]]/WWWW[[#This Row],[Total PoP ]]&gt;1,1,WWWW[[#This Row],[HRP3]]/WWWW[[#This Row],[Total PoP ]])</f>
        <v>1</v>
      </c>
      <c r="DR52" s="735">
        <f>1-WWWW[[#This Row],[Hygiene Coverage%]]</f>
        <v>0</v>
      </c>
      <c r="DS52" s="733">
        <f>WWWW[[#This Row],['# people reached by regular dedicated hygiene promotion_5]]/WWWW[[#This Row],[Total PoP ]]</f>
        <v>0</v>
      </c>
      <c r="DT5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2" s="734">
        <f>WWWW[[#This Row],['#_Constructed/Existing hand washing stations]]-WWWW[[#This Row],['#_Non-Functional_hand_washing_stations]]</f>
        <v>7</v>
      </c>
      <c r="DW52" s="731">
        <f>IF(WWWW[[#This Row],['# Functional hand washing stations during reporting period]]*20&gt;WWWW[[#This Row],[Total HH]],WWWW[[#This Row],[Total HH]],WWWW[[#This Row],['# Functional hand washing stations during reporting period]]*20)</f>
        <v>49</v>
      </c>
      <c r="DX52" s="731">
        <f>IF(WWWW[[#This Row],[Is sufficient soap available for TLS? (Yes/No)]]="yes",WWWW[[#This Row],['#_Constructed/Existing hand washing stations at TLS/CFS/THF]],0)</f>
        <v>0</v>
      </c>
      <c r="DY52" s="428">
        <f>IF(WWWW[[#This Row],['# Functional hand washing stations during reporting period]]*100&gt;WWWW[[#This Row],[Total PoP ]],WWWW[[#This Row],[Total PoP ]],WWWW[[#This Row],['# Functional hand washing stations during reporting period]]*100)</f>
        <v>242</v>
      </c>
      <c r="DZ52" s="428" t="str">
        <f>IF(OR(WWWW[[#This Row],['#_students at TLS_CFS]]="",WWWW[[#This Row],['#_students at TLS_CFS]]=0),"No","Yes")</f>
        <v>No</v>
      </c>
      <c r="EA5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 s="727">
        <f>VLOOKUP(WWWW[[#This Row],[Site Name]],SiteDB6[[Site Name]:[CCCM Management]],6,FALSE)</f>
        <v>0</v>
      </c>
      <c r="EF52" s="727" t="str">
        <f>VLOOKUP(WWWW[[#This Row],[Site Name]],SiteDB6[[Site Name]:[CCCM Focal Agency]],7,FALSE)</f>
        <v>KMSS-MYT</v>
      </c>
      <c r="EG52" s="727" t="str">
        <f>VLOOKUP(WWWW[[#This Row],[Site Name]],SiteDB6[[Site Name]:[Location Type 1]],9,FALSE)</f>
        <v>Camp</v>
      </c>
      <c r="EH52" s="727" t="str">
        <f>VLOOKUP(WWWW[[#This Row],[Site Name]],SiteDB6[[Site Name]:[Type of Accommodation]],10,FALSE)</f>
        <v>Closed Camp</v>
      </c>
      <c r="EI52" s="727" t="str">
        <f>VLOOKUP(WWWW[[#This Row],[Site Name]],SiteDB6[[Site Name]:[Ethnic or GCA/NGCA]],11,FALSE)</f>
        <v>GCA</v>
      </c>
      <c r="EJ52" s="727">
        <f>VLOOKUP(WWWW[[#This Row],[Site Name]],SiteDB6[[Site Name]:[Lat]],12,FALSE)</f>
        <v>25.54677963</v>
      </c>
      <c r="EK52" s="727">
        <f>VLOOKUP(WWWW[[#This Row],[Site Name]],SiteDB6[[Site Name]:[Long]],13,FALSE)</f>
        <v>96.793539999999993</v>
      </c>
      <c r="EL52" s="727" t="str">
        <f>VLOOKUP(WWWW[[#This Row],[Site Name]],SiteDB6[[Site Name]:[Pcode]],3,FALSE)</f>
        <v>MMR001CMP268</v>
      </c>
      <c r="EM52" s="732" t="str">
        <f t="shared" si="0"/>
        <v>Notcovered</v>
      </c>
      <c r="EN52" s="732"/>
      <c r="EO52" s="727">
        <f>VLOOKUP(WWWW[[#This Row],[Site Name]],SiteDB6[[Site Name]:[Pop
(Kachin/Shan-CCCM as of July 2021)]],16,FALSE)</f>
        <v>50</v>
      </c>
      <c r="EP52" s="727">
        <f>VLOOKUP(WWWW[[#This Row],[Site Name]],SiteDB6[[Site Name]:[Pop
(Kachin/Shan-CCCM as of July 2021)]],17,FALSE)</f>
        <v>250</v>
      </c>
    </row>
    <row r="53" spans="1:146" hidden="1">
      <c r="A53" s="725" t="s">
        <v>2763</v>
      </c>
      <c r="B53" s="725" t="s">
        <v>242</v>
      </c>
      <c r="C53" s="726" t="s">
        <v>242</v>
      </c>
      <c r="D53" s="726" t="s">
        <v>307</v>
      </c>
      <c r="E53" s="726" t="s">
        <v>37</v>
      </c>
      <c r="F53" s="726" t="s">
        <v>148</v>
      </c>
      <c r="G53" s="591" t="str">
        <f>VLOOKUP(WWWW[[#This Row],[Site Name]],SiteDB6[[Site Name]:[Location Type]],8,FALSE)</f>
        <v>Camp</v>
      </c>
      <c r="H53" s="726" t="s">
        <v>243</v>
      </c>
      <c r="I53" s="448">
        <v>124</v>
      </c>
      <c r="J53" s="448">
        <v>633</v>
      </c>
      <c r="K53" s="588">
        <v>44197</v>
      </c>
      <c r="L53" s="589">
        <v>44651</v>
      </c>
      <c r="M53" s="448">
        <v>221</v>
      </c>
      <c r="N53" s="448">
        <v>1</v>
      </c>
      <c r="O53" s="728"/>
      <c r="P53" s="728"/>
      <c r="Q53" s="731" t="s">
        <v>41</v>
      </c>
      <c r="R53" s="728">
        <v>4</v>
      </c>
      <c r="S53" s="728">
        <v>6</v>
      </c>
      <c r="T53" s="448">
        <v>1</v>
      </c>
      <c r="U53" s="728"/>
      <c r="V53" s="728"/>
      <c r="W53" s="728">
        <v>1</v>
      </c>
      <c r="X53" s="728"/>
      <c r="Y53" s="728">
        <v>1</v>
      </c>
      <c r="Z53" s="728"/>
      <c r="AA53" s="728">
        <v>1</v>
      </c>
      <c r="AB53" s="728"/>
      <c r="AC53" s="728">
        <v>1</v>
      </c>
      <c r="AD53" s="728"/>
      <c r="AE53" s="728">
        <v>1</v>
      </c>
      <c r="AF53" s="728"/>
      <c r="AG53" s="728">
        <v>1</v>
      </c>
      <c r="AH53" s="728"/>
      <c r="AI53" s="728"/>
      <c r="AJ53" s="728"/>
      <c r="AK53" s="728"/>
      <c r="AL53" s="728"/>
      <c r="AM53" s="728">
        <v>5</v>
      </c>
      <c r="AN53" s="448"/>
      <c r="AO53" s="448"/>
      <c r="AP53" s="590"/>
      <c r="AQ53" s="448">
        <v>28</v>
      </c>
      <c r="AR53" s="728"/>
      <c r="AS53" s="733"/>
      <c r="AT53" s="448"/>
      <c r="AU53" s="448">
        <v>10</v>
      </c>
      <c r="AV53" s="448">
        <v>7</v>
      </c>
      <c r="AW53" s="728"/>
      <c r="AX53" s="728">
        <v>0</v>
      </c>
      <c r="AY53" s="727" t="s">
        <v>41</v>
      </c>
      <c r="AZ53" s="732" t="s">
        <v>137</v>
      </c>
      <c r="BA53" s="728">
        <v>1</v>
      </c>
      <c r="BB53" s="728">
        <v>0</v>
      </c>
      <c r="BC53" s="728">
        <v>1</v>
      </c>
      <c r="BD53" s="448"/>
      <c r="BE53" s="448">
        <v>6</v>
      </c>
      <c r="BF53" s="425" t="s">
        <v>2901</v>
      </c>
      <c r="BG53" s="728">
        <v>8</v>
      </c>
      <c r="BH53" s="728"/>
      <c r="BI53" s="728"/>
      <c r="BJ53" s="728">
        <v>3</v>
      </c>
      <c r="BK53" s="448"/>
      <c r="BL53" s="448"/>
      <c r="BM53" s="448">
        <v>1</v>
      </c>
      <c r="BN53" s="448">
        <v>91</v>
      </c>
      <c r="BO53" s="448">
        <v>124</v>
      </c>
      <c r="BP53" s="425" t="s">
        <v>41</v>
      </c>
      <c r="BQ53" s="424">
        <v>4</v>
      </c>
      <c r="BR53" s="423"/>
      <c r="BS53" s="425" t="s">
        <v>2907</v>
      </c>
      <c r="BT53" s="423"/>
      <c r="BU53" s="423"/>
      <c r="BV53" s="425">
        <v>35</v>
      </c>
      <c r="BW53" s="423"/>
      <c r="BX53" s="448"/>
      <c r="BY53" s="448"/>
      <c r="BZ53" s="448"/>
      <c r="CA53" s="448"/>
      <c r="CB53" s="448"/>
      <c r="CC53" s="777"/>
      <c r="CD53" s="448"/>
      <c r="CE53" s="735" t="str">
        <f>IFERROR(WWWW[[#This Row],['#_Water sources passed]]/WWWW[[#This Row],['#_Water sources tested for fecal coliform ]],"no test")</f>
        <v>no test</v>
      </c>
      <c r="CF53" s="733" t="str">
        <f>IFERROR(WWWW[[#This Row],['#_Household passed]]/WWWW[[#This Row],['#_Household water samples tested for fecal coliform]],"no test")</f>
        <v>no test</v>
      </c>
      <c r="CG53" s="734" t="str">
        <f>IF(AND(WWWW[[#This Row],[% of water sources passed]]="no test",WWWW[[#This Row],[% Household passed]]="no test"),"No Test","Tested")</f>
        <v>No Test</v>
      </c>
      <c r="CH53" s="734">
        <f>WWWW[[#This Row],['#_Constructed/existing protected hand dug well]]-WWWW[[#This Row],['#_Non-functional protected hand dug well]]</f>
        <v>1</v>
      </c>
      <c r="CI53" s="734">
        <f>(WWWW[[#This Row],['#_Constructed/Existing tube wells/boreholes/handpumps_WASH_agency]]+WWWW[[#This Row],['#_Non-Cluster partner water tube-wells/boreholes/handpumps]])-WWWW[[#This Row],['#_Non-functional tube wells/boreholes/handpumps]]</f>
        <v>0</v>
      </c>
      <c r="CJ53" s="734">
        <f>WWWW[[#This Row],['#_Constructed/Existingwater storage tank with gravity fed reticulation system]]-WWWW[[#This Row],['#_Non-functional storage tank gravity fed reticulation system]]</f>
        <v>1</v>
      </c>
      <c r="CK53" s="734">
        <f>(WWWW[[#This Row],['#_Water_Liters_supplied_by_Water boating or water trucking]]/90)/15</f>
        <v>0</v>
      </c>
      <c r="CL53" s="734">
        <f>WWWW[[#This Row],['#_Water_Liters_from_Constructed/Existing water distribution system from river or natural spring]]/90/15</f>
        <v>0</v>
      </c>
      <c r="CM53" s="424">
        <f>IF(WWWW[[#This Row],['#_of water points in TLS/CFS]]*500&gt;WWWW[[#This Row],[Total PoP ]],WWWW[[#This Row],[Total PoP ]],WWWW[[#This Row],['#_of water points in TLS/CFS]]*500)</f>
        <v>0</v>
      </c>
      <c r="CN53" s="424">
        <f>IF(WWWW[[#This Row],['#_of water points in THF]]*500&gt;WWWW[[#This Row],[Total PoP ]],WWWW[[#This Row],[Total PoP ]],WWWW[[#This Row],['#_of water points in THF]]*500)</f>
        <v>0</v>
      </c>
      <c r="CO5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0.73723012111637709</v>
      </c>
      <c r="CP5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0.50026329647182732</v>
      </c>
      <c r="CQ53" s="733">
        <f>IF(WWWW[[#This Row],[Location Type 1]]="Village",WWWW[[#This Row],[Access to safe drinking water for Village]],WWWW[[#This Row],[Access to safe drinking water for Camp]])</f>
        <v>0.73723012111637709</v>
      </c>
      <c r="CR53" s="731">
        <f>WWWW[[#This Row],[%Equitable and continuous access to sufficient quantity of safe drinking water]]*WWWW[[#This Row],[Total PoP ]]</f>
        <v>466.66666666666669</v>
      </c>
      <c r="CS53" s="733">
        <f>IF((WWWW[[#This Row],['#_Constructed/Existing protected/fenced ponds]]*250)/WWWW[[#This Row],[Total PoP ]]&gt;1,1,(WWWW[[#This Row],['#_Constructed/Existing protected/fenced ponds]]*250)/WWWW[[#This Row],[Total PoP ]])</f>
        <v>0.39494470774091628</v>
      </c>
      <c r="CT53" s="731">
        <f>WWWW[[#This Row],[% Access to unimproved water points]]*WWWW[[#This Row],[Total PoP ]]</f>
        <v>250</v>
      </c>
      <c r="CU5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633</v>
      </c>
      <c r="CW53" s="731">
        <f>WWWW[[#This Row],[HRP1]]/500</f>
        <v>1.266</v>
      </c>
      <c r="CX53" s="736">
        <f>1-WWWW[[#This Row],[% Equitable and continuous access to sufficient quantity of domestic water]]</f>
        <v>0</v>
      </c>
      <c r="CY53" s="731">
        <f>WWWW[[#This Row],[%equitable and continuous access to sufficient quantity of safe drinking and domestic water''s GAP]]*WWWW[[#This Row],[Total PoP ]]</f>
        <v>0</v>
      </c>
      <c r="CZ53" s="734">
        <f>IF(WWWW[[#This Row],[Total required water points]]-WWWW[[#This Row],['#Water points coverage]]&lt;0,0,WWWW[[#This Row],[Total required water points]]-WWWW[[#This Row],['#Water points coverage]])</f>
        <v>0</v>
      </c>
      <c r="DA53" s="734">
        <f>ROUND(IF(WWWW[[#This Row],[Total PoP ]]&lt;500,1,WWWW[[#This Row],[Total PoP ]]/500),0)</f>
        <v>1</v>
      </c>
      <c r="DB53" s="734">
        <f>(WWWW[[#This Row],['#_Constructed latrines_by_WASHAgencies]]+WWWW[[#This Row],['#_Non Cluster partner latrines]])-WWWW[[#This Row],['#_Non-functional latrines]]</f>
        <v>28</v>
      </c>
      <c r="DC53" s="631">
        <f>WWWW[[#This Row],[HRP2]]/WWWW[[#This Row],[Total PoP ]]</f>
        <v>0.92575039494470779</v>
      </c>
      <c r="DD5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586</v>
      </c>
      <c r="DE5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DF5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50</v>
      </c>
      <c r="DG53" s="424">
        <f>IF(WWWW[[#This Row],['# of functional latrines in THF supported by WASH partners during the reporting period2]]="",0,WWWW[[#This Row],['# of functional latrines in THF supported by WASH partners during the reporting period2]]*50)</f>
        <v>0</v>
      </c>
      <c r="DH53" s="734">
        <f>ROUND(IF(WWWW[[#This Row],[Location Type 1]]="camp",WWWW[[#This Row],[Total PoP ]]/20,IF(WWWW[[#This Row],[Location Type 1]]="Temporary Location",WWWW[[#This Row],[Total PoP ]]/50,(WWWW[[#This Row],[Total PoP ]]/6))),0)</f>
        <v>32</v>
      </c>
      <c r="DI53" s="734">
        <f>IF(WWWW[[#This Row],[Total required Latrines]]-(WWWW[[#This Row],['#_Constructed latrines_by_WASHAgencies]]+WWWW[[#This Row],['#_Non Cluster partner latrines]])&lt;0,0,WWWW[[#This Row],[Total required Latrines]]-(WWWW[[#This Row],['#_Constructed latrines_by_WASHAgencies]]+WWWW[[#This Row],['#_Non Cluster partner latrines]]))</f>
        <v>4</v>
      </c>
      <c r="DJ53" s="736">
        <f>1-WWWW[[#This Row],[% people access to functioning Latrine]]</f>
        <v>7.4249605055292212E-2</v>
      </c>
      <c r="DK53" s="735">
        <f>IF(OR(WWWW[[#This Row],['#_Non-functional latrines]]="",WWWW[[#This Row],['#_Non-functional latrines]]=0),0,WWWW[[#This Row],['#_Non-functional latrines]]/(WWWW[[#This Row],['#_Constructed latrines_by_WASHAgencies]]+WWWW[[#This Row],['#_Non Cluster partner latrines]]))</f>
        <v>0</v>
      </c>
      <c r="DL53" s="731">
        <f>IF(500*(WWWW[[#This Row],['#_male hygiene promoters]]+WWWW[[#This Row],['#_female hygiene promoters]])&gt;WWWW[[#This Row],[Total PoP ]],WWWW[[#This Row],[Total PoP ]],500*(WWWW[[#This Row],['#_male hygiene promoters]]+WWWW[[#This Row],['#_female hygiene promoters]]))</f>
        <v>500</v>
      </c>
      <c r="DM5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5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53" s="734">
        <f>IF(WWWW[[#This Row],['# People with access to soap]]&gt;WWWW[[#This Row],['# People with access to Sanity Pads]],WWWW[[#This Row],['# People with access to soap]],WWWW[[#This Row],['# People with access to Sanity Pads]])</f>
        <v>455</v>
      </c>
      <c r="DP53" s="73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53" s="736">
        <f>IF(WWWW[[#This Row],[HRP3]]/WWWW[[#This Row],[Total PoP ]]&gt;1,1,WWWW[[#This Row],[HRP3]]/WWWW[[#This Row],[Total PoP ]])</f>
        <v>0.78988941548183256</v>
      </c>
      <c r="DR53" s="735">
        <f>1-WWWW[[#This Row],[Hygiene Coverage%]]</f>
        <v>0.21011058451816744</v>
      </c>
      <c r="DS53" s="733">
        <f>WWWW[[#This Row],['# people reached by regular dedicated hygiene promotion_5]]/WWWW[[#This Row],[Total PoP ]]</f>
        <v>0.78988941548183256</v>
      </c>
      <c r="DT5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3" s="734">
        <f>WWWW[[#This Row],['#_Constructed/Existing hand washing stations]]-WWWW[[#This Row],['#_Non-Functional_hand_washing_stations]]</f>
        <v>8</v>
      </c>
      <c r="DW53" s="731">
        <f>IF(WWWW[[#This Row],['# Functional hand washing stations during reporting period]]*20&gt;WWWW[[#This Row],[Total HH]],WWWW[[#This Row],[Total HH]],WWWW[[#This Row],['# Functional hand washing stations during reporting period]]*20)</f>
        <v>124</v>
      </c>
      <c r="DX53" s="731">
        <f>IF(WWWW[[#This Row],[Is sufficient soap available for TLS? (Yes/No)]]="yes",WWWW[[#This Row],['#_Constructed/Existing hand washing stations at TLS/CFS/THF]],0)</f>
        <v>5</v>
      </c>
      <c r="DY53" s="428">
        <f>IF(WWWW[[#This Row],['# Functional hand washing stations during reporting period]]*100&gt;WWWW[[#This Row],[Total PoP ]],WWWW[[#This Row],[Total PoP ]],WWWW[[#This Row],['# Functional hand washing stations during reporting period]]*100)</f>
        <v>633</v>
      </c>
      <c r="DZ53" s="428" t="str">
        <f>IF(OR(WWWW[[#This Row],['#_students at TLS_CFS]]="",WWWW[[#This Row],['#_students at TLS_CFS]]=0),"No","Yes")</f>
        <v>Yes</v>
      </c>
      <c r="EA53" s="631">
        <f>IF(WWWW[[#This Row],['#_of_affected_people_surveyed_who_report_feeling_informed_about_the_different_WASH_services_available_to_them]]="","",WWWW[[#This Row],['#_of_affected_people_surveyed_who_report_feeling_informed_about_the_different_WASH_services_available_to_them]]/WWWW[[#This Row],[Total PoP ]])</f>
        <v>5.5292259083728278E-2</v>
      </c>
      <c r="EB5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v>
      </c>
      <c r="ED5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 s="727" t="str">
        <f>VLOOKUP(WWWW[[#This Row],[Site Name]],SiteDB6[[Site Name]:[CCCM Management]],6,FALSE)</f>
        <v>Yes</v>
      </c>
      <c r="EF53" s="727" t="str">
        <f>VLOOKUP(WWWW[[#This Row],[Site Name]],SiteDB6[[Site Name]:[CCCM Focal Agency]],7,FALSE)</f>
        <v>KBC-MYT</v>
      </c>
      <c r="EG53" s="727" t="str">
        <f>VLOOKUP(WWWW[[#This Row],[Site Name]],SiteDB6[[Site Name]:[Location Type 1]],9,FALSE)</f>
        <v>Camp</v>
      </c>
      <c r="EH53" s="727" t="str">
        <f>VLOOKUP(WWWW[[#This Row],[Site Name]],SiteDB6[[Site Name]:[Type of Accommodation]],10,FALSE)</f>
        <v>camp</v>
      </c>
      <c r="EI53" s="727" t="str">
        <f>VLOOKUP(WWWW[[#This Row],[Site Name]],SiteDB6[[Site Name]:[Ethnic or GCA/NGCA]],11,FALSE)</f>
        <v>GCA</v>
      </c>
      <c r="EJ53" s="727">
        <f>VLOOKUP(WWWW[[#This Row],[Site Name]],SiteDB6[[Site Name]:[Lat]],12,FALSE)</f>
        <v>25.664000000000001</v>
      </c>
      <c r="EK53" s="727">
        <f>VLOOKUP(WWWW[[#This Row],[Site Name]],SiteDB6[[Site Name]:[Long]],13,FALSE)</f>
        <v>96.34</v>
      </c>
      <c r="EL53" s="727" t="str">
        <f>VLOOKUP(WWWW[[#This Row],[Site Name]],SiteDB6[[Site Name]:[Pcode]],3,FALSE)</f>
        <v>MMR001CMP250</v>
      </c>
      <c r="EM53" s="732" t="str">
        <f t="shared" si="0"/>
        <v>Covered</v>
      </c>
      <c r="EN53" s="732"/>
      <c r="EO53" s="727">
        <f>VLOOKUP(WWWW[[#This Row],[Site Name]],SiteDB6[[Site Name]:[Pop
(Kachin/Shan-CCCM as of July 2021)]],16,FALSE)</f>
        <v>124</v>
      </c>
      <c r="EP53" s="727">
        <f>VLOOKUP(WWWW[[#This Row],[Site Name]],SiteDB6[[Site Name]:[Pop
(Kachin/Shan-CCCM as of July 2021)]],17,FALSE)</f>
        <v>634</v>
      </c>
    </row>
    <row r="54" spans="1:146" hidden="1">
      <c r="A54" s="725" t="s">
        <v>2763</v>
      </c>
      <c r="B54" s="707" t="s">
        <v>2806</v>
      </c>
      <c r="C54" s="786" t="s">
        <v>141</v>
      </c>
      <c r="D54" s="369" t="s">
        <v>2813</v>
      </c>
      <c r="E54" s="786" t="s">
        <v>37</v>
      </c>
      <c r="F54" s="786" t="s">
        <v>159</v>
      </c>
      <c r="G54" s="787" t="str">
        <f>VLOOKUP(WWWW[[#This Row],[Site Name]],SiteDB6[[Site Name]:[Location Type]],8,FALSE)</f>
        <v>Camp</v>
      </c>
      <c r="H54" s="875" t="s">
        <v>163</v>
      </c>
      <c r="I54" s="788">
        <v>137</v>
      </c>
      <c r="J54" s="788">
        <v>680</v>
      </c>
      <c r="K54" s="800" t="s">
        <v>2814</v>
      </c>
      <c r="L54" s="589" t="s">
        <v>2815</v>
      </c>
      <c r="M54" s="788"/>
      <c r="N54" s="788">
        <v>3</v>
      </c>
      <c r="O54" s="788"/>
      <c r="P54" s="788"/>
      <c r="Q54" s="731" t="s">
        <v>41</v>
      </c>
      <c r="R54" s="788"/>
      <c r="S54" s="788">
        <v>0</v>
      </c>
      <c r="T54" s="448"/>
      <c r="U54" s="788">
        <v>0</v>
      </c>
      <c r="V54" s="788">
        <v>0</v>
      </c>
      <c r="W54" s="788">
        <v>3</v>
      </c>
      <c r="X54" s="788">
        <v>0</v>
      </c>
      <c r="Y54" s="788"/>
      <c r="Z54" s="788"/>
      <c r="AA54" s="788"/>
      <c r="AB54" s="788"/>
      <c r="AC54" s="788"/>
      <c r="AD54" s="788"/>
      <c r="AE54" s="788"/>
      <c r="AF54" s="788"/>
      <c r="AG54" s="788"/>
      <c r="AH54" s="788">
        <v>2</v>
      </c>
      <c r="AI54" s="788"/>
      <c r="AJ54" s="788"/>
      <c r="AK54" s="788"/>
      <c r="AL54" s="788"/>
      <c r="AM54" s="788"/>
      <c r="AN54" s="788"/>
      <c r="AO54" s="788"/>
      <c r="AP54" s="792"/>
      <c r="AQ54" s="788">
        <v>8</v>
      </c>
      <c r="AR54" s="788"/>
      <c r="AS54" s="793"/>
      <c r="AT54" s="788"/>
      <c r="AU54" s="788"/>
      <c r="AV54" s="788">
        <v>99</v>
      </c>
      <c r="AW54" s="788"/>
      <c r="AX54" s="788">
        <v>8</v>
      </c>
      <c r="AY54" s="727" t="s">
        <v>41</v>
      </c>
      <c r="AZ54" s="732" t="s">
        <v>904</v>
      </c>
      <c r="BA54" s="788"/>
      <c r="BB54" s="788"/>
      <c r="BC54" s="788"/>
      <c r="BD54" s="448"/>
      <c r="BE54" s="448"/>
      <c r="BF54" s="787"/>
      <c r="BG54" s="788">
        <v>3</v>
      </c>
      <c r="BH54" s="788"/>
      <c r="BI54" s="788"/>
      <c r="BJ54" s="788">
        <v>2</v>
      </c>
      <c r="BK54" s="788"/>
      <c r="BL54" s="788"/>
      <c r="BM54" s="788">
        <v>3</v>
      </c>
      <c r="BN54" s="788">
        <v>88</v>
      </c>
      <c r="BO54" s="788">
        <v>100</v>
      </c>
      <c r="BP54" s="787"/>
      <c r="BQ54" s="794"/>
      <c r="BR54" s="793"/>
      <c r="BS54" s="787"/>
      <c r="BT54" s="423"/>
      <c r="BU54" s="423"/>
      <c r="BV54" s="448">
        <f>1*WWWW[[#This Row],[Total PoP ]]</f>
        <v>680</v>
      </c>
      <c r="BW54" s="423">
        <v>0.88</v>
      </c>
      <c r="BX54" s="448"/>
      <c r="BY54" s="448"/>
      <c r="BZ54" s="448"/>
      <c r="CA54" s="448">
        <v>0</v>
      </c>
      <c r="CB54" s="448">
        <v>0</v>
      </c>
      <c r="CC54" s="777"/>
      <c r="CD54" s="448"/>
      <c r="CE54" s="795" t="str">
        <f>IFERROR(WWWW[[#This Row],['#_Water sources passed]]/WWWW[[#This Row],['#_Water sources tested for fecal coliform ]],"no test")</f>
        <v>no test</v>
      </c>
      <c r="CF54" s="793" t="str">
        <f>IFERROR(WWWW[[#This Row],['#_Household passed]]/WWWW[[#This Row],['#_Household water samples tested for fecal coliform]],"no test")</f>
        <v>no test</v>
      </c>
      <c r="CG54" s="794" t="str">
        <f>IF(AND(WWWW[[#This Row],[% of water sources passed]]="no test",WWWW[[#This Row],[% Household passed]]="no test"),"No Test","Tested")</f>
        <v>No Test</v>
      </c>
      <c r="CH54" s="794">
        <f>WWWW[[#This Row],['#_Constructed/existing protected hand dug well]]-WWWW[[#This Row],['#_Non-functional protected hand dug well]]</f>
        <v>0</v>
      </c>
      <c r="CI54" s="794">
        <f>(WWWW[[#This Row],['#_Constructed/Existing tube wells/boreholes/handpumps_WASH_agency]]+WWWW[[#This Row],['#_Non-Cluster partner water tube-wells/boreholes/handpumps]])-WWWW[[#This Row],['#_Non-functional tube wells/boreholes/handpumps]]</f>
        <v>3</v>
      </c>
      <c r="CJ54" s="794">
        <f>WWWW[[#This Row],['#_Constructed/Existingwater storage tank with gravity fed reticulation system]]-WWWW[[#This Row],['#_Non-functional storage tank gravity fed reticulation system]]</f>
        <v>0</v>
      </c>
      <c r="CK54" s="794">
        <f>(WWWW[[#This Row],['#_Water_Liters_supplied_by_Water boating or water trucking]]/90)/15</f>
        <v>0</v>
      </c>
      <c r="CL54" s="794">
        <f>WWWW[[#This Row],['#_Water_Liters_from_Constructed/Existing water distribution system from river or natural spring]]/90/15</f>
        <v>0</v>
      </c>
      <c r="CM54" s="424">
        <f>IF(WWWW[[#This Row],['#_of water points in TLS/CFS]]*500&gt;WWWW[[#This Row],[Total PoP ]],WWWW[[#This Row],[Total PoP ]],WWWW[[#This Row],['#_of water points in TLS/CFS]]*500)</f>
        <v>0</v>
      </c>
      <c r="CN54" s="424">
        <f>IF(WWWW[[#This Row],['#_of water points in THF]]*500&gt;WWWW[[#This Row],[Total PoP ]],WWWW[[#This Row],[Total PoP ]],WWWW[[#This Row],['#_of water points in THF]]*500)</f>
        <v>0</v>
      </c>
      <c r="CO54"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4"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4" s="793">
        <f>IF(WWWW[[#This Row],[Location Type 1]]="Village",WWWW[[#This Row],[Access to safe drinking water for Village]],WWWW[[#This Row],[Access to safe drinking water for Camp]])</f>
        <v>1</v>
      </c>
      <c r="CR54" s="791">
        <f>WWWW[[#This Row],[%Equitable and continuous access to sufficient quantity of safe drinking water]]*WWWW[[#This Row],[Total PoP ]]</f>
        <v>680</v>
      </c>
      <c r="CS54" s="793">
        <f>IF((WWWW[[#This Row],['#_Constructed/Existing protected/fenced ponds]]*250)/WWWW[[#This Row],[Total PoP ]]&gt;1,1,(WWWW[[#This Row],['#_Constructed/Existing protected/fenced ponds]]*250)/WWWW[[#This Row],[Total PoP ]])</f>
        <v>0</v>
      </c>
      <c r="CT54" s="791">
        <f>WWWW[[#This Row],[% Access to unimproved water points]]*WWWW[[#This Row],[Total PoP ]]</f>
        <v>0</v>
      </c>
      <c r="CU54"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4"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680</v>
      </c>
      <c r="CW54" s="791">
        <f>WWWW[[#This Row],[HRP1]]/500</f>
        <v>1.36</v>
      </c>
      <c r="CX54" s="796">
        <f>1-WWWW[[#This Row],[% Equitable and continuous access to sufficient quantity of domestic water]]</f>
        <v>0</v>
      </c>
      <c r="CY54" s="791">
        <f>WWWW[[#This Row],[%equitable and continuous access to sufficient quantity of safe drinking and domestic water''s GAP]]*WWWW[[#This Row],[Total PoP ]]</f>
        <v>0</v>
      </c>
      <c r="CZ54" s="794">
        <f>IF(WWWW[[#This Row],[Total required water points]]-WWWW[[#This Row],['#Water points coverage]]&lt;0,0,WWWW[[#This Row],[Total required water points]]-WWWW[[#This Row],['#Water points coverage]])</f>
        <v>0</v>
      </c>
      <c r="DA54" s="794">
        <f>ROUND(IF(WWWW[[#This Row],[Total PoP ]]&lt;500,1,WWWW[[#This Row],[Total PoP ]]/500),0)</f>
        <v>1</v>
      </c>
      <c r="DB54" s="794">
        <f>(WWWW[[#This Row],['#_Constructed latrines_by_WASHAgencies]]+WWWW[[#This Row],['#_Non Cluster partner latrines]])-WWWW[[#This Row],['#_Non-functional latrines]]</f>
        <v>8</v>
      </c>
      <c r="DC54" s="631">
        <f>WWWW[[#This Row],[HRP2]]/WWWW[[#This Row],[Total PoP ]]</f>
        <v>0.23529411764705882</v>
      </c>
      <c r="DD54"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54"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680</v>
      </c>
      <c r="DF54"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 s="424">
        <f>IF(WWWW[[#This Row],['# of functional latrines in THF supported by WASH partners during the reporting period2]]="",0,WWWW[[#This Row],['# of functional latrines in THF supported by WASH partners during the reporting period2]]*50)</f>
        <v>0</v>
      </c>
      <c r="DH54" s="794">
        <f>ROUND(IF(WWWW[[#This Row],[Location Type 1]]="camp",WWWW[[#This Row],[Total PoP ]]/20,IF(WWWW[[#This Row],[Location Type 1]]="Temporary Location",WWWW[[#This Row],[Total PoP ]]/50,(WWWW[[#This Row],[Total PoP ]]/6))),0)</f>
        <v>34</v>
      </c>
      <c r="DI54" s="794">
        <f>IF(WWWW[[#This Row],[Total required Latrines]]-(WWWW[[#This Row],['#_Constructed latrines_by_WASHAgencies]]+WWWW[[#This Row],['#_Non Cluster partner latrines]])&lt;0,0,WWWW[[#This Row],[Total required Latrines]]-(WWWW[[#This Row],['#_Constructed latrines_by_WASHAgencies]]+WWWW[[#This Row],['#_Non Cluster partner latrines]]))</f>
        <v>26</v>
      </c>
      <c r="DJ54" s="796">
        <f>1-WWWW[[#This Row],[% people access to functioning Latrine]]</f>
        <v>0.76470588235294112</v>
      </c>
      <c r="DK54" s="795">
        <f>IF(OR(WWWW[[#This Row],['#_Non-functional latrines]]="",WWWW[[#This Row],['#_Non-functional latrines]]=0),0,WWWW[[#This Row],['#_Non-functional latrines]]/(WWWW[[#This Row],['#_Constructed latrines_by_WASHAgencies]]+WWWW[[#This Row],['#_Non Cluster partner latrines]]))</f>
        <v>0</v>
      </c>
      <c r="DL54" s="791">
        <f>IF(500*(WWWW[[#This Row],['#_male hygiene promoters]]+WWWW[[#This Row],['#_female hygiene promoters]])&gt;WWWW[[#This Row],[Total PoP ]],WWWW[[#This Row],[Total PoP ]],500*(WWWW[[#This Row],['#_male hygiene promoters]]+WWWW[[#This Row],['#_female hygiene promoters]]))</f>
        <v>680</v>
      </c>
      <c r="DM54"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54"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54" s="794">
        <f>IF(WWWW[[#This Row],['# People with access to soap]]&gt;WWWW[[#This Row],['# People with access to Sanity Pads]],WWWW[[#This Row],['# People with access to soap]],WWWW[[#This Row],['# People with access to Sanity Pads]])</f>
        <v>440</v>
      </c>
      <c r="DP54" s="794">
        <f>IF(WWWW[[#This Row],['# people reached by regular dedicated hygiene promotion_5]]&gt;WWWW[[#This Row],['# People received regular supply of hygiene items_6]],WWWW[[#This Row],['# people reached by regular dedicated hygiene promotion_5]],WWWW[[#This Row],['# People received regular supply of hygiene items_6]])</f>
        <v>680</v>
      </c>
      <c r="DQ54" s="796">
        <f>IF(WWWW[[#This Row],[HRP3]]/WWWW[[#This Row],[Total PoP ]]&gt;1,1,WWWW[[#This Row],[HRP3]]/WWWW[[#This Row],[Total PoP ]])</f>
        <v>1</v>
      </c>
      <c r="DR54" s="795">
        <f>1-WWWW[[#This Row],[Hygiene Coverage%]]</f>
        <v>0</v>
      </c>
      <c r="DS54" s="793">
        <f>WWWW[[#This Row],['# people reached by regular dedicated hygiene promotion_5]]/WWWW[[#This Row],[Total PoP ]]</f>
        <v>1</v>
      </c>
      <c r="DT54"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4"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0.72992700729927007</v>
      </c>
      <c r="DV54" s="794">
        <f>WWWW[[#This Row],['#_Constructed/Existing hand washing stations]]-WWWW[[#This Row],['#_Non-Functional_hand_washing_stations]]</f>
        <v>3</v>
      </c>
      <c r="DW54" s="791">
        <f>IF(WWWW[[#This Row],['# Functional hand washing stations during reporting period]]*20&gt;WWWW[[#This Row],[Total HH]],WWWW[[#This Row],[Total HH]],WWWW[[#This Row],['# Functional hand washing stations during reporting period]]*20)</f>
        <v>60</v>
      </c>
      <c r="DX54" s="791">
        <f>IF(WWWW[[#This Row],[Is sufficient soap available for TLS? (Yes/No)]]="yes",WWWW[[#This Row],['#_Constructed/Existing hand washing stations at TLS/CFS/THF]],0)</f>
        <v>0</v>
      </c>
      <c r="DY54" s="428">
        <f>IF(WWWW[[#This Row],['# Functional hand washing stations during reporting period]]*100&gt;WWWW[[#This Row],[Total PoP ]],WWWW[[#This Row],[Total PoP ]],WWWW[[#This Row],['# Functional hand washing stations during reporting period]]*100)</f>
        <v>300</v>
      </c>
      <c r="DZ54" s="428" t="str">
        <f>IF(OR(WWWW[[#This Row],['#_students at TLS_CFS]]="",WWWW[[#This Row],['#_students at TLS_CFS]]=0),"No","Yes")</f>
        <v>No</v>
      </c>
      <c r="EA54" s="631">
        <f>IF(WWWW[[#This Row],['#_of_affected_people_surveyed_who_report_feeling_informed_about_the_different_WASH_services_available_to_them]]="","",WWWW[[#This Row],['#_of_affected_people_surveyed_who_report_feeling_informed_about_the_different_WASH_services_available_to_them]]/WWWW[[#This Row],[Total PoP ]])</f>
        <v>1</v>
      </c>
      <c r="EB5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 s="787" t="str">
        <f>VLOOKUP(WWWW[[#This Row],[Site Name]],SiteDB6[[Site Name]:[CCCM Management]],6,FALSE)</f>
        <v>Yes</v>
      </c>
      <c r="EF54" s="787" t="str">
        <f>VLOOKUP(WWWW[[#This Row],[Site Name]],SiteDB6[[Site Name]:[CCCM Focal Agency]],7,FALSE)</f>
        <v>KBC-MYT</v>
      </c>
      <c r="EG54" s="787" t="str">
        <f>VLOOKUP(WWWW[[#This Row],[Site Name]],SiteDB6[[Site Name]:[Location Type 1]],9,FALSE)</f>
        <v>Camp</v>
      </c>
      <c r="EH54" s="787" t="str">
        <f>VLOOKUP(WWWW[[#This Row],[Site Name]],SiteDB6[[Site Name]:[Type of Accommodation]],10,FALSE)</f>
        <v>Camp</v>
      </c>
      <c r="EI54" s="787" t="str">
        <f>VLOOKUP(WWWW[[#This Row],[Site Name]],SiteDB6[[Site Name]:[Ethnic or GCA/NGCA]],11,FALSE)</f>
        <v>GCA</v>
      </c>
      <c r="EJ54" s="787">
        <f>VLOOKUP(WWWW[[#This Row],[Site Name]],SiteDB6[[Site Name]:[Lat]],12,FALSE)</f>
        <v>25.362420757575801</v>
      </c>
      <c r="EK54" s="787">
        <f>VLOOKUP(WWWW[[#This Row],[Site Name]],SiteDB6[[Site Name]:[Long]],13,FALSE)</f>
        <v>97.409035000000003</v>
      </c>
      <c r="EL54" s="787" t="str">
        <f>VLOOKUP(WWWW[[#This Row],[Site Name]],SiteDB6[[Site Name]:[Pcode]],3,FALSE)</f>
        <v>MMR001CMP015</v>
      </c>
      <c r="EM54" s="792" t="str">
        <f t="shared" si="0"/>
        <v>Covered</v>
      </c>
      <c r="EN54" s="792"/>
      <c r="EO54" s="787">
        <f>VLOOKUP(WWWW[[#This Row],[Site Name]],SiteDB6[[Site Name]:[Pop
(Kachin/Shan-CCCM as of July 2021)]],16,FALSE)</f>
        <v>144</v>
      </c>
      <c r="EP54" s="787">
        <f>VLOOKUP(WWWW[[#This Row],[Site Name]],SiteDB6[[Site Name]:[Pop
(Kachin/Shan-CCCM as of July 2021)]],17,FALSE)</f>
        <v>723</v>
      </c>
    </row>
    <row r="55" spans="1:146" hidden="1">
      <c r="A55" s="725" t="s">
        <v>2763</v>
      </c>
      <c r="B55" s="725" t="s">
        <v>141</v>
      </c>
      <c r="C55" s="726" t="s">
        <v>141</v>
      </c>
      <c r="D55" s="726" t="s">
        <v>241</v>
      </c>
      <c r="E55" s="726" t="s">
        <v>37</v>
      </c>
      <c r="F55" s="726" t="s">
        <v>159</v>
      </c>
      <c r="G55" s="591" t="str">
        <f>VLOOKUP(WWWW[[#This Row],[Site Name]],SiteDB6[[Site Name]:[Location Type]],8,FALSE)</f>
        <v>Camp</v>
      </c>
      <c r="H55" s="726" t="s">
        <v>164</v>
      </c>
      <c r="I55" s="728">
        <v>132</v>
      </c>
      <c r="J55" s="728">
        <v>676</v>
      </c>
      <c r="K55" s="729">
        <v>44105</v>
      </c>
      <c r="L55" s="589">
        <v>44681</v>
      </c>
      <c r="M55" s="728"/>
      <c r="N55" s="728">
        <v>3</v>
      </c>
      <c r="O55" s="728"/>
      <c r="P55" s="728"/>
      <c r="Q55" s="731" t="s">
        <v>41</v>
      </c>
      <c r="R55" s="728"/>
      <c r="S55" s="728">
        <v>5</v>
      </c>
      <c r="T55" s="448"/>
      <c r="U55" s="728"/>
      <c r="V55" s="728"/>
      <c r="W55" s="728">
        <v>3</v>
      </c>
      <c r="X55" s="728"/>
      <c r="Y55" s="728"/>
      <c r="Z55" s="728"/>
      <c r="AA55" s="728"/>
      <c r="AB55" s="728"/>
      <c r="AC55" s="728"/>
      <c r="AD55" s="728"/>
      <c r="AE55" s="728"/>
      <c r="AF55" s="728"/>
      <c r="AG55" s="728"/>
      <c r="AH55" s="728">
        <v>2</v>
      </c>
      <c r="AI55" s="728"/>
      <c r="AJ55" s="728"/>
      <c r="AK55" s="728"/>
      <c r="AL55" s="728"/>
      <c r="AM55" s="728"/>
      <c r="AN55" s="728"/>
      <c r="AO55" s="728"/>
      <c r="AP55" s="732"/>
      <c r="AQ55" s="728">
        <v>32</v>
      </c>
      <c r="AR55" s="728"/>
      <c r="AS55" s="733"/>
      <c r="AT55" s="728"/>
      <c r="AU55" s="728"/>
      <c r="AV55" s="728">
        <v>52</v>
      </c>
      <c r="AW55" s="728"/>
      <c r="AX55" s="728">
        <v>32</v>
      </c>
      <c r="AY55" s="727" t="s">
        <v>41</v>
      </c>
      <c r="AZ55" s="732" t="s">
        <v>137</v>
      </c>
      <c r="BA55" s="728"/>
      <c r="BB55" s="728"/>
      <c r="BC55" s="728"/>
      <c r="BD55" s="448"/>
      <c r="BE55" s="448"/>
      <c r="BF55" s="727"/>
      <c r="BG55" s="728">
        <v>3</v>
      </c>
      <c r="BH55" s="728"/>
      <c r="BI55" s="728"/>
      <c r="BJ55" s="728">
        <v>2</v>
      </c>
      <c r="BK55" s="728"/>
      <c r="BL55" s="728"/>
      <c r="BM55" s="728">
        <v>2</v>
      </c>
      <c r="BN55" s="728">
        <v>10</v>
      </c>
      <c r="BO55" s="728">
        <v>18</v>
      </c>
      <c r="BP55" s="727"/>
      <c r="BQ55" s="734"/>
      <c r="BR55" s="733"/>
      <c r="BS55" s="727"/>
      <c r="BT55" s="423"/>
      <c r="BU55" s="423"/>
      <c r="BV55" s="425"/>
      <c r="BW55" s="423"/>
      <c r="BX55" s="448"/>
      <c r="BY55" s="448"/>
      <c r="BZ55" s="448"/>
      <c r="CA55" s="448"/>
      <c r="CB55" s="448"/>
      <c r="CC55" s="777"/>
      <c r="CD55" s="448"/>
      <c r="CE55" s="735" t="str">
        <f>IFERROR(WWWW[[#This Row],['#_Water sources passed]]/WWWW[[#This Row],['#_Water sources tested for fecal coliform ]],"no test")</f>
        <v>no test</v>
      </c>
      <c r="CF55" s="733" t="str">
        <f>IFERROR(WWWW[[#This Row],['#_Household passed]]/WWWW[[#This Row],['#_Household water samples tested for fecal coliform]],"no test")</f>
        <v>no test</v>
      </c>
      <c r="CG55" s="734" t="str">
        <f>IF(AND(WWWW[[#This Row],[% of water sources passed]]="no test",WWWW[[#This Row],[% Household passed]]="no test"),"No Test","Tested")</f>
        <v>No Test</v>
      </c>
      <c r="CH55" s="734">
        <f>WWWW[[#This Row],['#_Constructed/existing protected hand dug well]]-WWWW[[#This Row],['#_Non-functional protected hand dug well]]</f>
        <v>0</v>
      </c>
      <c r="CI55" s="734">
        <f>(WWWW[[#This Row],['#_Constructed/Existing tube wells/boreholes/handpumps_WASH_agency]]+WWWW[[#This Row],['#_Non-Cluster partner water tube-wells/boreholes/handpumps]])-WWWW[[#This Row],['#_Non-functional tube wells/boreholes/handpumps]]</f>
        <v>3</v>
      </c>
      <c r="CJ55" s="734">
        <f>WWWW[[#This Row],['#_Constructed/Existingwater storage tank with gravity fed reticulation system]]-WWWW[[#This Row],['#_Non-functional storage tank gravity fed reticulation system]]</f>
        <v>0</v>
      </c>
      <c r="CK55" s="734">
        <f>(WWWW[[#This Row],['#_Water_Liters_supplied_by_Water boating or water trucking]]/90)/15</f>
        <v>0</v>
      </c>
      <c r="CL55" s="734">
        <f>WWWW[[#This Row],['#_Water_Liters_from_Constructed/Existing water distribution system from river or natural spring]]/90/15</f>
        <v>0</v>
      </c>
      <c r="CM55" s="424">
        <f>IF(WWWW[[#This Row],['#_of water points in TLS/CFS]]*500&gt;WWWW[[#This Row],[Total PoP ]],WWWW[[#This Row],[Total PoP ]],WWWW[[#This Row],['#_of water points in TLS/CFS]]*500)</f>
        <v>0</v>
      </c>
      <c r="CN55" s="424">
        <f>IF(WWWW[[#This Row],['#_of water points in THF]]*500&gt;WWWW[[#This Row],[Total PoP ]],WWWW[[#This Row],[Total PoP ]],WWWW[[#This Row],['#_of water points in THF]]*500)</f>
        <v>0</v>
      </c>
      <c r="CO5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5" s="733">
        <f>IF(WWWW[[#This Row],[Location Type 1]]="Village",WWWW[[#This Row],[Access to safe drinking water for Village]],WWWW[[#This Row],[Access to safe drinking water for Camp]])</f>
        <v>1</v>
      </c>
      <c r="CR55" s="731">
        <f>WWWW[[#This Row],[%Equitable and continuous access to sufficient quantity of safe drinking water]]*WWWW[[#This Row],[Total PoP ]]</f>
        <v>676</v>
      </c>
      <c r="CS55" s="733">
        <f>IF((WWWW[[#This Row],['#_Constructed/Existing protected/fenced ponds]]*250)/WWWW[[#This Row],[Total PoP ]]&gt;1,1,(WWWW[[#This Row],['#_Constructed/Existing protected/fenced ponds]]*250)/WWWW[[#This Row],[Total PoP ]])</f>
        <v>0</v>
      </c>
      <c r="CT55" s="731">
        <f>WWWW[[#This Row],[% Access to unimproved water points]]*WWWW[[#This Row],[Total PoP ]]</f>
        <v>0</v>
      </c>
      <c r="CU5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676</v>
      </c>
      <c r="CW55" s="731">
        <f>WWWW[[#This Row],[HRP1]]/500</f>
        <v>1.3520000000000001</v>
      </c>
      <c r="CX55" s="736">
        <f>1-WWWW[[#This Row],[% Equitable and continuous access to sufficient quantity of domestic water]]</f>
        <v>0</v>
      </c>
      <c r="CY55" s="731">
        <f>WWWW[[#This Row],[%equitable and continuous access to sufficient quantity of safe drinking and domestic water''s GAP]]*WWWW[[#This Row],[Total PoP ]]</f>
        <v>0</v>
      </c>
      <c r="CZ55" s="734">
        <f>IF(WWWW[[#This Row],[Total required water points]]-WWWW[[#This Row],['#Water points coverage]]&lt;0,0,WWWW[[#This Row],[Total required water points]]-WWWW[[#This Row],['#Water points coverage]])</f>
        <v>0</v>
      </c>
      <c r="DA55" s="734">
        <f>ROUND(IF(WWWW[[#This Row],[Total PoP ]]&lt;500,1,WWWW[[#This Row],[Total PoP ]]/500),0)</f>
        <v>1</v>
      </c>
      <c r="DB55" s="734">
        <f>(WWWW[[#This Row],['#_Constructed latrines_by_WASHAgencies]]+WWWW[[#This Row],['#_Non Cluster partner latrines]])-WWWW[[#This Row],['#_Non-functional latrines]]</f>
        <v>32</v>
      </c>
      <c r="DC55" s="631">
        <f>WWWW[[#This Row],[HRP2]]/WWWW[[#This Row],[Total PoP ]]</f>
        <v>0.94674556213017746</v>
      </c>
      <c r="DD5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5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676</v>
      </c>
      <c r="DF5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 s="424">
        <f>IF(WWWW[[#This Row],['# of functional latrines in THF supported by WASH partners during the reporting period2]]="",0,WWWW[[#This Row],['# of functional latrines in THF supported by WASH partners during the reporting period2]]*50)</f>
        <v>0</v>
      </c>
      <c r="DH55" s="734">
        <f>ROUND(IF(WWWW[[#This Row],[Location Type 1]]="camp",WWWW[[#This Row],[Total PoP ]]/20,IF(WWWW[[#This Row],[Location Type 1]]="Temporary Location",WWWW[[#This Row],[Total PoP ]]/50,(WWWW[[#This Row],[Total PoP ]]/6))),0)</f>
        <v>34</v>
      </c>
      <c r="DI55" s="734">
        <f>IF(WWWW[[#This Row],[Total required Latrines]]-(WWWW[[#This Row],['#_Constructed latrines_by_WASHAgencies]]+WWWW[[#This Row],['#_Non Cluster partner latrines]])&lt;0,0,WWWW[[#This Row],[Total required Latrines]]-(WWWW[[#This Row],['#_Constructed latrines_by_WASHAgencies]]+WWWW[[#This Row],['#_Non Cluster partner latrines]]))</f>
        <v>2</v>
      </c>
      <c r="DJ55" s="736">
        <f>1-WWWW[[#This Row],[% people access to functioning Latrine]]</f>
        <v>5.3254437869822535E-2</v>
      </c>
      <c r="DK55" s="735">
        <f>IF(OR(WWWW[[#This Row],['#_Non-functional latrines]]="",WWWW[[#This Row],['#_Non-functional latrines]]=0),0,WWWW[[#This Row],['#_Non-functional latrines]]/(WWWW[[#This Row],['#_Constructed latrines_by_WASHAgencies]]+WWWW[[#This Row],['#_Non Cluster partner latrines]]))</f>
        <v>0</v>
      </c>
      <c r="DL55" s="731">
        <f>IF(500*(WWWW[[#This Row],['#_male hygiene promoters]]+WWWW[[#This Row],['#_female hygiene promoters]])&gt;WWWW[[#This Row],[Total PoP ]],WWWW[[#This Row],[Total PoP ]],500*(WWWW[[#This Row],['#_male hygiene promoters]]+WWWW[[#This Row],['#_female hygiene promoters]]))</f>
        <v>676</v>
      </c>
      <c r="DM5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5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55" s="734">
        <f>IF(WWWW[[#This Row],['# People with access to soap]]&gt;WWWW[[#This Row],['# People with access to Sanity Pads]],WWWW[[#This Row],['# People with access to soap]],WWWW[[#This Row],['# People with access to Sanity Pads]])</f>
        <v>50</v>
      </c>
      <c r="DP55" s="734">
        <f>IF(WWWW[[#This Row],['# people reached by regular dedicated hygiene promotion_5]]&gt;WWWW[[#This Row],['# People received regular supply of hygiene items_6]],WWWW[[#This Row],['# people reached by regular dedicated hygiene promotion_5]],WWWW[[#This Row],['# People received regular supply of hygiene items_6]])</f>
        <v>676</v>
      </c>
      <c r="DQ55" s="736">
        <f>IF(WWWW[[#This Row],[HRP3]]/WWWW[[#This Row],[Total PoP ]]&gt;1,1,WWWW[[#This Row],[HRP3]]/WWWW[[#This Row],[Total PoP ]])</f>
        <v>1</v>
      </c>
      <c r="DR55" s="735">
        <f>1-WWWW[[#This Row],[Hygiene Coverage%]]</f>
        <v>0</v>
      </c>
      <c r="DS55" s="733">
        <f>WWWW[[#This Row],['# people reached by regular dedicated hygiene promotion_5]]/WWWW[[#This Row],[Total PoP ]]</f>
        <v>1</v>
      </c>
      <c r="DT5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0.30303030303030304</v>
      </c>
      <c r="DU5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0.13636363636363635</v>
      </c>
      <c r="DV55" s="734">
        <f>WWWW[[#This Row],['#_Constructed/Existing hand washing stations]]-WWWW[[#This Row],['#_Non-Functional_hand_washing_stations]]</f>
        <v>3</v>
      </c>
      <c r="DW55" s="731">
        <f>IF(WWWW[[#This Row],['# Functional hand washing stations during reporting period]]*20&gt;WWWW[[#This Row],[Total HH]],WWWW[[#This Row],[Total HH]],WWWW[[#This Row],['# Functional hand washing stations during reporting period]]*20)</f>
        <v>60</v>
      </c>
      <c r="DX55" s="731">
        <f>IF(WWWW[[#This Row],[Is sufficient soap available for TLS? (Yes/No)]]="yes",WWWW[[#This Row],['#_Constructed/Existing hand washing stations at TLS/CFS/THF]],0)</f>
        <v>0</v>
      </c>
      <c r="DY55" s="428">
        <f>IF(WWWW[[#This Row],['# Functional hand washing stations during reporting period]]*100&gt;WWWW[[#This Row],[Total PoP ]],WWWW[[#This Row],[Total PoP ]],WWWW[[#This Row],['# Functional hand washing stations during reporting period]]*100)</f>
        <v>300</v>
      </c>
      <c r="DZ55" s="428" t="str">
        <f>IF(OR(WWWW[[#This Row],['#_students at TLS_CFS]]="",WWWW[[#This Row],['#_students at TLS_CFS]]=0),"No","Yes")</f>
        <v>No</v>
      </c>
      <c r="EA5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 s="727" t="str">
        <f>VLOOKUP(WWWW[[#This Row],[Site Name]],SiteDB6[[Site Name]:[CCCM Management]],6,FALSE)</f>
        <v>Yes</v>
      </c>
      <c r="EF55" s="727" t="str">
        <f>VLOOKUP(WWWW[[#This Row],[Site Name]],SiteDB6[[Site Name]:[CCCM Focal Agency]],7,FALSE)</f>
        <v>KBC-MYT</v>
      </c>
      <c r="EG55" s="727" t="str">
        <f>VLOOKUP(WWWW[[#This Row],[Site Name]],SiteDB6[[Site Name]:[Location Type 1]],9,FALSE)</f>
        <v>Camp</v>
      </c>
      <c r="EH55" s="727" t="str">
        <f>VLOOKUP(WWWW[[#This Row],[Site Name]],SiteDB6[[Site Name]:[Type of Accommodation]],10,FALSE)</f>
        <v>Camp</v>
      </c>
      <c r="EI55" s="727" t="str">
        <f>VLOOKUP(WWWW[[#This Row],[Site Name]],SiteDB6[[Site Name]:[Ethnic or GCA/NGCA]],11,FALSE)</f>
        <v>GCA</v>
      </c>
      <c r="EJ55" s="727">
        <f>VLOOKUP(WWWW[[#This Row],[Site Name]],SiteDB6[[Site Name]:[Lat]],12,FALSE)</f>
        <v>25.3510167948718</v>
      </c>
      <c r="EK55" s="727">
        <f>VLOOKUP(WWWW[[#This Row],[Site Name]],SiteDB6[[Site Name]:[Long]],13,FALSE)</f>
        <v>97.403402307692303</v>
      </c>
      <c r="EL55" s="727" t="str">
        <f>VLOOKUP(WWWW[[#This Row],[Site Name]],SiteDB6[[Site Name]:[Pcode]],3,FALSE)</f>
        <v>MMR001CMP014</v>
      </c>
      <c r="EM55" s="732" t="str">
        <f t="shared" si="0"/>
        <v>Covered</v>
      </c>
      <c r="EN55" s="732"/>
      <c r="EO55" s="727">
        <f>VLOOKUP(WWWW[[#This Row],[Site Name]],SiteDB6[[Site Name]:[Pop
(Kachin/Shan-CCCM as of July 2021)]],16,FALSE)</f>
        <v>136</v>
      </c>
      <c r="EP55" s="727">
        <f>VLOOKUP(WWWW[[#This Row],[Site Name]],SiteDB6[[Site Name]:[Pop
(Kachin/Shan-CCCM as of July 2021)]],17,FALSE)</f>
        <v>697</v>
      </c>
    </row>
    <row r="56" spans="1:146" hidden="1">
      <c r="A56" s="725" t="s">
        <v>2763</v>
      </c>
      <c r="B56" s="725" t="s">
        <v>242</v>
      </c>
      <c r="C56" s="726" t="s">
        <v>242</v>
      </c>
      <c r="D56" s="726" t="s">
        <v>307</v>
      </c>
      <c r="E56" s="726" t="s">
        <v>37</v>
      </c>
      <c r="F56" s="726" t="s">
        <v>146</v>
      </c>
      <c r="G56" s="591" t="str">
        <f>VLOOKUP(WWWW[[#This Row],[Site Name]],SiteDB6[[Site Name]:[Location Type]],8,FALSE)</f>
        <v>Camp</v>
      </c>
      <c r="H56" s="726" t="s">
        <v>247</v>
      </c>
      <c r="I56" s="448">
        <v>201</v>
      </c>
      <c r="J56" s="448">
        <v>884</v>
      </c>
      <c r="K56" s="588">
        <v>44197</v>
      </c>
      <c r="L56" s="589">
        <v>44651</v>
      </c>
      <c r="M56" s="448">
        <v>270</v>
      </c>
      <c r="N56" s="728">
        <v>1</v>
      </c>
      <c r="O56" s="728"/>
      <c r="P56" s="728"/>
      <c r="Q56" s="731" t="s">
        <v>41</v>
      </c>
      <c r="R56" s="728">
        <v>3</v>
      </c>
      <c r="S56" s="728">
        <v>3</v>
      </c>
      <c r="T56" s="448"/>
      <c r="U56" s="728"/>
      <c r="V56" s="728"/>
      <c r="W56" s="728"/>
      <c r="X56" s="728"/>
      <c r="Y56" s="728"/>
      <c r="Z56" s="728"/>
      <c r="AA56" s="728">
        <v>3</v>
      </c>
      <c r="AB56" s="728">
        <v>1</v>
      </c>
      <c r="AC56" s="728">
        <v>2</v>
      </c>
      <c r="AD56" s="728"/>
      <c r="AE56" s="728">
        <v>13</v>
      </c>
      <c r="AF56" s="728"/>
      <c r="AG56" s="728"/>
      <c r="AH56" s="728"/>
      <c r="AI56" s="728"/>
      <c r="AJ56" s="728"/>
      <c r="AK56" s="728"/>
      <c r="AL56" s="728"/>
      <c r="AM56" s="728">
        <v>1</v>
      </c>
      <c r="AN56" s="728">
        <v>1</v>
      </c>
      <c r="AO56" s="728"/>
      <c r="AP56" s="732"/>
      <c r="AQ56" s="728">
        <v>51</v>
      </c>
      <c r="AR56" s="728">
        <v>14</v>
      </c>
      <c r="AS56" s="733" t="s">
        <v>2134</v>
      </c>
      <c r="AT56" s="728"/>
      <c r="AU56" s="728"/>
      <c r="AV56" s="728">
        <v>3</v>
      </c>
      <c r="AW56" s="728"/>
      <c r="AX56" s="728">
        <v>0</v>
      </c>
      <c r="AY56" s="727" t="s">
        <v>2683</v>
      </c>
      <c r="AZ56" s="732" t="s">
        <v>137</v>
      </c>
      <c r="BA56" s="728"/>
      <c r="BB56" s="728"/>
      <c r="BC56" s="728">
        <v>31</v>
      </c>
      <c r="BD56" s="448">
        <v>31</v>
      </c>
      <c r="BE56" s="448"/>
      <c r="BF56" s="727"/>
      <c r="BG56" s="728">
        <v>8</v>
      </c>
      <c r="BH56" s="728"/>
      <c r="BI56" s="728"/>
      <c r="BJ56" s="728">
        <v>3</v>
      </c>
      <c r="BK56" s="728">
        <v>1</v>
      </c>
      <c r="BL56" s="728">
        <v>1</v>
      </c>
      <c r="BM56" s="728"/>
      <c r="BN56" s="728">
        <v>91</v>
      </c>
      <c r="BO56" s="448">
        <v>124</v>
      </c>
      <c r="BP56" s="727" t="s">
        <v>41</v>
      </c>
      <c r="BQ56" s="734">
        <v>5</v>
      </c>
      <c r="BR56" s="733">
        <v>0.5</v>
      </c>
      <c r="BS56" s="727"/>
      <c r="BT56" s="423">
        <v>0.8</v>
      </c>
      <c r="BU56" s="423">
        <v>0.8</v>
      </c>
      <c r="BV56" s="425">
        <v>10</v>
      </c>
      <c r="BW56" s="423">
        <v>0.6</v>
      </c>
      <c r="BX56" s="448"/>
      <c r="BY56" s="448">
        <v>201</v>
      </c>
      <c r="BZ56" s="448">
        <v>3</v>
      </c>
      <c r="CA56" s="448"/>
      <c r="CB56" s="448"/>
      <c r="CC56" s="777"/>
      <c r="CD56" s="448"/>
      <c r="CE56" s="735" t="str">
        <f>IFERROR(WWWW[[#This Row],['#_Water sources passed]]/WWWW[[#This Row],['#_Water sources tested for fecal coliform ]],"no test")</f>
        <v>no test</v>
      </c>
      <c r="CF56" s="733" t="str">
        <f>IFERROR(WWWW[[#This Row],['#_Household passed]]/WWWW[[#This Row],['#_Household water samples tested for fecal coliform]],"no test")</f>
        <v>no test</v>
      </c>
      <c r="CG56" s="734" t="str">
        <f>IF(AND(WWWW[[#This Row],[% of water sources passed]]="no test",WWWW[[#This Row],[% Household passed]]="no test"),"No Test","Tested")</f>
        <v>No Test</v>
      </c>
      <c r="CH56" s="734">
        <f>WWWW[[#This Row],['#_Constructed/existing protected hand dug well]]-WWWW[[#This Row],['#_Non-functional protected hand dug well]]</f>
        <v>0</v>
      </c>
      <c r="CI56" s="734">
        <f>(WWWW[[#This Row],['#_Constructed/Existing tube wells/boreholes/handpumps_WASH_agency]]+WWWW[[#This Row],['#_Non-Cluster partner water tube-wells/boreholes/handpumps]])-WWWW[[#This Row],['#_Non-functional tube wells/boreholes/handpumps]]</f>
        <v>0</v>
      </c>
      <c r="CJ56" s="734">
        <f>WWWW[[#This Row],['#_Constructed/Existingwater storage tank with gravity fed reticulation system]]-WWWW[[#This Row],['#_Non-functional storage tank gravity fed reticulation system]]</f>
        <v>2</v>
      </c>
      <c r="CK56" s="734">
        <f>(WWWW[[#This Row],['#_Water_Liters_supplied_by_Water boating or water trucking]]/90)/15</f>
        <v>0</v>
      </c>
      <c r="CL56" s="734">
        <f>WWWW[[#This Row],['#_Water_Liters_from_Constructed/Existing water distribution system from river or natural spring]]/90/15</f>
        <v>0</v>
      </c>
      <c r="CM56" s="424">
        <f>IF(WWWW[[#This Row],['#_of water points in TLS/CFS]]*500&gt;WWWW[[#This Row],[Total PoP ]],WWWW[[#This Row],[Total PoP ]],WWWW[[#This Row],['#_of water points in TLS/CFS]]*500)</f>
        <v>500</v>
      </c>
      <c r="CN56" s="424">
        <f>IF(WWWW[[#This Row],['#_of water points in THF]]*500&gt;WWWW[[#This Row],[Total PoP ]],WWWW[[#This Row],[Total PoP ]],WWWW[[#This Row],['#_of water points in THF]]*500)</f>
        <v>0</v>
      </c>
      <c r="CO5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0.1508295625942685</v>
      </c>
      <c r="CP5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0.1508295625942685</v>
      </c>
      <c r="CQ56" s="733">
        <f>IF(WWWW[[#This Row],[Location Type 1]]="Village",WWWW[[#This Row],[Access to safe drinking water for Village]],WWWW[[#This Row],[Access to safe drinking water for Camp]])</f>
        <v>0.1508295625942685</v>
      </c>
      <c r="CR56" s="731">
        <f>WWWW[[#This Row],[%Equitable and continuous access to sufficient quantity of safe drinking water]]*WWWW[[#This Row],[Total PoP ]]</f>
        <v>133.33333333333334</v>
      </c>
      <c r="CS56" s="733">
        <f>IF((WWWW[[#This Row],['#_Constructed/Existing protected/fenced ponds]]*250)/WWWW[[#This Row],[Total PoP ]]&gt;1,1,(WWWW[[#This Row],['#_Constructed/Existing protected/fenced ponds]]*250)/WWWW[[#This Row],[Total PoP ]])</f>
        <v>1</v>
      </c>
      <c r="CT56" s="731">
        <f>WWWW[[#This Row],[% Access to unimproved water points]]*WWWW[[#This Row],[Total PoP ]]</f>
        <v>884</v>
      </c>
      <c r="CU5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884</v>
      </c>
      <c r="CW56" s="731">
        <f>WWWW[[#This Row],[HRP1]]/500</f>
        <v>1.768</v>
      </c>
      <c r="CX56" s="736">
        <f>1-WWWW[[#This Row],[% Equitable and continuous access to sufficient quantity of domestic water]]</f>
        <v>0</v>
      </c>
      <c r="CY56" s="731">
        <f>WWWW[[#This Row],[%equitable and continuous access to sufficient quantity of safe drinking and domestic water''s GAP]]*WWWW[[#This Row],[Total PoP ]]</f>
        <v>0</v>
      </c>
      <c r="CZ56" s="734">
        <f>IF(WWWW[[#This Row],[Total required water points]]-WWWW[[#This Row],['#Water points coverage]]&lt;0,0,WWWW[[#This Row],[Total required water points]]-WWWW[[#This Row],['#Water points coverage]])</f>
        <v>0.23199999999999998</v>
      </c>
      <c r="DA56" s="734">
        <f>ROUND(IF(WWWW[[#This Row],[Total PoP ]]&lt;500,1,WWWW[[#This Row],[Total PoP ]]/500),0)</f>
        <v>2</v>
      </c>
      <c r="DB56" s="734">
        <f>(WWWW[[#This Row],['#_Constructed latrines_by_WASHAgencies]]+WWWW[[#This Row],['#_Non Cluster partner latrines]])-WWWW[[#This Row],['#_Non-functional latrines]]</f>
        <v>65</v>
      </c>
      <c r="DC56" s="631">
        <f>WWWW[[#This Row],[HRP2]]/WWWW[[#This Row],[Total PoP ]]</f>
        <v>1</v>
      </c>
      <c r="DD5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884</v>
      </c>
      <c r="DE5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5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270</v>
      </c>
      <c r="DG56" s="424">
        <f>IF(WWWW[[#This Row],['# of functional latrines in THF supported by WASH partners during the reporting period2]]="",0,WWWW[[#This Row],['# of functional latrines in THF supported by WASH partners during the reporting period2]]*50)</f>
        <v>1550</v>
      </c>
      <c r="DH56" s="734">
        <f>ROUND(IF(WWWW[[#This Row],[Location Type 1]]="camp",WWWW[[#This Row],[Total PoP ]]/20,IF(WWWW[[#This Row],[Location Type 1]]="Temporary Location",WWWW[[#This Row],[Total PoP ]]/50,(WWWW[[#This Row],[Total PoP ]]/6))),0)</f>
        <v>44</v>
      </c>
      <c r="DI56" s="734">
        <f>IF(WWWW[[#This Row],[Total required Latrines]]-(WWWW[[#This Row],['#_Constructed latrines_by_WASHAgencies]]+WWWW[[#This Row],['#_Non Cluster partner latrines]])&lt;0,0,WWWW[[#This Row],[Total required Latrines]]-(WWWW[[#This Row],['#_Constructed latrines_by_WASHAgencies]]+WWWW[[#This Row],['#_Non Cluster partner latrines]]))</f>
        <v>0</v>
      </c>
      <c r="DJ56" s="736">
        <f>1-WWWW[[#This Row],[% people access to functioning Latrine]]</f>
        <v>0</v>
      </c>
      <c r="DK56" s="735">
        <f>IF(OR(WWWW[[#This Row],['#_Non-functional latrines]]="",WWWW[[#This Row],['#_Non-functional latrines]]=0),0,WWWW[[#This Row],['#_Non-functional latrines]]/(WWWW[[#This Row],['#_Constructed latrines_by_WASHAgencies]]+WWWW[[#This Row],['#_Non Cluster partner latrines]]))</f>
        <v>0</v>
      </c>
      <c r="DL56" s="731">
        <f>IF(500*(WWWW[[#This Row],['#_male hygiene promoters]]+WWWW[[#This Row],['#_female hygiene promoters]])&gt;WWWW[[#This Row],[Total PoP ]],WWWW[[#This Row],[Total PoP ]],500*(WWWW[[#This Row],['#_male hygiene promoters]]+WWWW[[#This Row],['#_female hygiene promoters]]))</f>
        <v>500</v>
      </c>
      <c r="DM5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5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56" s="734">
        <f>IF(WWWW[[#This Row],['# People with access to soap]]&gt;WWWW[[#This Row],['# People with access to Sanity Pads]],WWWW[[#This Row],['# People with access to soap]],WWWW[[#This Row],['# People with access to Sanity Pads]])</f>
        <v>455</v>
      </c>
      <c r="DP56" s="73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56" s="736">
        <f>IF(WWWW[[#This Row],[HRP3]]/WWWW[[#This Row],[Total PoP ]]&gt;1,1,WWWW[[#This Row],[HRP3]]/WWWW[[#This Row],[Total PoP ]])</f>
        <v>0.56561085972850678</v>
      </c>
      <c r="DR56" s="735">
        <f>1-WWWW[[#This Row],[Hygiene Coverage%]]</f>
        <v>0.43438914027149322</v>
      </c>
      <c r="DS56" s="733">
        <f>WWWW[[#This Row],['# people reached by regular dedicated hygiene promotion_5]]/WWWW[[#This Row],[Total PoP ]]</f>
        <v>0.56561085972850678</v>
      </c>
      <c r="DT5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0.61691542288557211</v>
      </c>
      <c r="DV56" s="734">
        <f>WWWW[[#This Row],['#_Constructed/Existing hand washing stations]]-WWWW[[#This Row],['#_Non-Functional_hand_washing_stations]]</f>
        <v>8</v>
      </c>
      <c r="DW56" s="731">
        <f>IF(WWWW[[#This Row],['# Functional hand washing stations during reporting period]]*20&gt;WWWW[[#This Row],[Total HH]],WWWW[[#This Row],[Total HH]],WWWW[[#This Row],['# Functional hand washing stations during reporting period]]*20)</f>
        <v>160</v>
      </c>
      <c r="DX56" s="731">
        <f>IF(WWWW[[#This Row],[Is sufficient soap available for TLS? (Yes/No)]]="yes",WWWW[[#This Row],['#_Constructed/Existing hand washing stations at TLS/CFS/THF]],0)</f>
        <v>1</v>
      </c>
      <c r="DY56" s="428">
        <f>IF(WWWW[[#This Row],['# Functional hand washing stations during reporting period]]*100&gt;WWWW[[#This Row],[Total PoP ]],WWWW[[#This Row],[Total PoP ]],WWWW[[#This Row],['# Functional hand washing stations during reporting period]]*100)</f>
        <v>800</v>
      </c>
      <c r="DZ56" s="428" t="str">
        <f>IF(OR(WWWW[[#This Row],['#_students at TLS_CFS]]="",WWWW[[#This Row],['#_students at TLS_CFS]]=0),"No","Yes")</f>
        <v>Yes</v>
      </c>
      <c r="EA56" s="631">
        <f>IF(WWWW[[#This Row],['#_of_affected_people_surveyed_who_report_feeling_informed_about_the_different_WASH_services_available_to_them]]="","",WWWW[[#This Row],['#_of_affected_people_surveyed_who_report_feeling_informed_about_the_different_WASH_services_available_to_them]]/WWWW[[#This Row],[Total PoP ]])</f>
        <v>1.1312217194570135E-2</v>
      </c>
      <c r="EB5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204</v>
      </c>
      <c r="EC5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D5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1550</v>
      </c>
      <c r="EE56" s="727" t="str">
        <f>VLOOKUP(WWWW[[#This Row],[Site Name]],SiteDB6[[Site Name]:[CCCM Management]],6,FALSE)</f>
        <v>Yes</v>
      </c>
      <c r="EF56" s="727" t="str">
        <f>VLOOKUP(WWWW[[#This Row],[Site Name]],SiteDB6[[Site Name]:[CCCM Focal Agency]],7,FALSE)</f>
        <v>Shalom</v>
      </c>
      <c r="EG56" s="727" t="str">
        <f>VLOOKUP(WWWW[[#This Row],[Site Name]],SiteDB6[[Site Name]:[Location Type 1]],9,FALSE)</f>
        <v>Camp</v>
      </c>
      <c r="EH56" s="727" t="str">
        <f>VLOOKUP(WWWW[[#This Row],[Site Name]],SiteDB6[[Site Name]:[Type of Accommodation]],10,FALSE)</f>
        <v>Camp</v>
      </c>
      <c r="EI56" s="727" t="str">
        <f>VLOOKUP(WWWW[[#This Row],[Site Name]],SiteDB6[[Site Name]:[Ethnic or GCA/NGCA]],11,FALSE)</f>
        <v>GCA</v>
      </c>
      <c r="EJ56" s="727">
        <f>VLOOKUP(WWWW[[#This Row],[Site Name]],SiteDB6[[Site Name]:[Lat]],12,FALSE)</f>
        <v>25.887339999999998</v>
      </c>
      <c r="EK56" s="727">
        <f>VLOOKUP(WWWW[[#This Row],[Site Name]],SiteDB6[[Site Name]:[Long]],13,FALSE)</f>
        <v>98.129990000000006</v>
      </c>
      <c r="EL56" s="727" t="str">
        <f>VLOOKUP(WWWW[[#This Row],[Site Name]],SiteDB6[[Site Name]:[Pcode]],3,FALSE)</f>
        <v>MMR001CMP195</v>
      </c>
      <c r="EM56" s="732" t="str">
        <f t="shared" si="0"/>
        <v>Covered</v>
      </c>
      <c r="EN56" s="732"/>
      <c r="EO56" s="727">
        <f>VLOOKUP(WWWW[[#This Row],[Site Name]],SiteDB6[[Site Name]:[Pop
(Kachin/Shan-CCCM as of July 2021)]],16,FALSE)</f>
        <v>195</v>
      </c>
      <c r="EP56" s="727">
        <f>VLOOKUP(WWWW[[#This Row],[Site Name]],SiteDB6[[Site Name]:[Pop
(Kachin/Shan-CCCM as of July 2021)]],17,FALSE)</f>
        <v>854</v>
      </c>
    </row>
    <row r="57" spans="1:146" hidden="1">
      <c r="A57" s="725" t="s">
        <v>2763</v>
      </c>
      <c r="B57" s="725" t="s">
        <v>309</v>
      </c>
      <c r="C57" s="726" t="s">
        <v>309</v>
      </c>
      <c r="D57" s="786"/>
      <c r="E57" s="786" t="s">
        <v>37</v>
      </c>
      <c r="F57" s="786" t="s">
        <v>142</v>
      </c>
      <c r="G57" s="591" t="str">
        <f>VLOOKUP(WWWW[[#This Row],[Site Name]],SiteDB6[[Site Name]:[Location Type]],8,FALSE)</f>
        <v>Camp</v>
      </c>
      <c r="H57" s="786" t="s">
        <v>2780</v>
      </c>
      <c r="I57" s="788">
        <v>45</v>
      </c>
      <c r="J57" s="788">
        <v>247</v>
      </c>
      <c r="K57" s="789"/>
      <c r="L57" s="790"/>
      <c r="M57" s="788"/>
      <c r="N57" s="788"/>
      <c r="O57" s="788"/>
      <c r="P57" s="788"/>
      <c r="Q57" s="791"/>
      <c r="R57" s="788"/>
      <c r="S57" s="788"/>
      <c r="T57" s="448"/>
      <c r="U57" s="788"/>
      <c r="V57" s="788"/>
      <c r="W57" s="788"/>
      <c r="X57" s="788"/>
      <c r="Y57" s="788"/>
      <c r="Z57" s="788"/>
      <c r="AA57" s="788"/>
      <c r="AB57" s="788"/>
      <c r="AC57" s="788"/>
      <c r="AD57" s="788"/>
      <c r="AE57" s="788"/>
      <c r="AF57" s="788"/>
      <c r="AG57" s="788"/>
      <c r="AH57" s="788"/>
      <c r="AI57" s="788"/>
      <c r="AJ57" s="788"/>
      <c r="AK57" s="788"/>
      <c r="AL57" s="788"/>
      <c r="AM57" s="788"/>
      <c r="AN57" s="788"/>
      <c r="AO57" s="788"/>
      <c r="AP57" s="792"/>
      <c r="AQ57" s="788"/>
      <c r="AR57" s="788"/>
      <c r="AS57" s="793"/>
      <c r="AT57" s="788"/>
      <c r="AU57" s="788"/>
      <c r="AV57" s="788"/>
      <c r="AW57" s="788"/>
      <c r="AX57" s="788"/>
      <c r="AY57" s="425" t="s">
        <v>140</v>
      </c>
      <c r="AZ57" s="860" t="s">
        <v>140</v>
      </c>
      <c r="BA57" s="788"/>
      <c r="BB57" s="788"/>
      <c r="BC57" s="788"/>
      <c r="BD57" s="448"/>
      <c r="BE57" s="448"/>
      <c r="BF57" s="787"/>
      <c r="BG57" s="788">
        <v>3</v>
      </c>
      <c r="BH57" s="788"/>
      <c r="BI57" s="788"/>
      <c r="BJ57" s="788">
        <v>2</v>
      </c>
      <c r="BK57" s="788"/>
      <c r="BL57" s="788"/>
      <c r="BM57" s="788"/>
      <c r="BN57" s="788">
        <v>88</v>
      </c>
      <c r="BO57" s="788">
        <v>100</v>
      </c>
      <c r="BP57" s="787"/>
      <c r="BQ57" s="794"/>
      <c r="BR57" s="793"/>
      <c r="BS57" s="787"/>
      <c r="BT57" s="423"/>
      <c r="BU57" s="423"/>
      <c r="BV57" s="425"/>
      <c r="BW57" s="423"/>
      <c r="BX57" s="448"/>
      <c r="BY57" s="448"/>
      <c r="BZ57" s="448"/>
      <c r="CA57" s="448"/>
      <c r="CB57" s="448"/>
      <c r="CC57" s="777"/>
      <c r="CD57" s="448"/>
      <c r="CE57" s="795" t="str">
        <f>IFERROR(WWWW[[#This Row],['#_Water sources passed]]/WWWW[[#This Row],['#_Water sources tested for fecal coliform ]],"no test")</f>
        <v>no test</v>
      </c>
      <c r="CF57" s="793" t="str">
        <f>IFERROR(WWWW[[#This Row],['#_Household passed]]/WWWW[[#This Row],['#_Household water samples tested for fecal coliform]],"no test")</f>
        <v>no test</v>
      </c>
      <c r="CG57" s="794" t="str">
        <f>IF(AND(WWWW[[#This Row],[% of water sources passed]]="no test",WWWW[[#This Row],[% Household passed]]="no test"),"No Test","Tested")</f>
        <v>No Test</v>
      </c>
      <c r="CH57" s="794">
        <f>WWWW[[#This Row],['#_Constructed/existing protected hand dug well]]-WWWW[[#This Row],['#_Non-functional protected hand dug well]]</f>
        <v>0</v>
      </c>
      <c r="CI57" s="794">
        <f>(WWWW[[#This Row],['#_Constructed/Existing tube wells/boreholes/handpumps_WASH_agency]]+WWWW[[#This Row],['#_Non-Cluster partner water tube-wells/boreholes/handpumps]])-WWWW[[#This Row],['#_Non-functional tube wells/boreholes/handpumps]]</f>
        <v>0</v>
      </c>
      <c r="CJ57" s="794">
        <f>WWWW[[#This Row],['#_Constructed/Existingwater storage tank with gravity fed reticulation system]]-WWWW[[#This Row],['#_Non-functional storage tank gravity fed reticulation system]]</f>
        <v>0</v>
      </c>
      <c r="CK57" s="794">
        <f>(WWWW[[#This Row],['#_Water_Liters_supplied_by_Water boating or water trucking]]/90)/15</f>
        <v>0</v>
      </c>
      <c r="CL57" s="794">
        <f>WWWW[[#This Row],['#_Water_Liters_from_Constructed/Existing water distribution system from river or natural spring]]/90/15</f>
        <v>0</v>
      </c>
      <c r="CM57" s="424">
        <f>IF(WWWW[[#This Row],['#_of water points in TLS/CFS]]*500&gt;WWWW[[#This Row],[Total PoP ]],WWWW[[#This Row],[Total PoP ]],WWWW[[#This Row],['#_of water points in TLS/CFS]]*500)</f>
        <v>0</v>
      </c>
      <c r="CN57" s="424">
        <f>IF(WWWW[[#This Row],['#_of water points in THF]]*500&gt;WWWW[[#This Row],[Total PoP ]],WWWW[[#This Row],[Total PoP ]],WWWW[[#This Row],['#_of water points in THF]]*500)</f>
        <v>0</v>
      </c>
      <c r="CO57"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7"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7" s="793">
        <f>IF(WWWW[[#This Row],[Location Type 1]]="Village",WWWW[[#This Row],[Access to safe drinking water for Village]],WWWW[[#This Row],[Access to safe drinking water for Camp]])</f>
        <v>0</v>
      </c>
      <c r="CR57" s="791">
        <f>WWWW[[#This Row],[%Equitable and continuous access to sufficient quantity of safe drinking water]]*WWWW[[#This Row],[Total PoP ]]</f>
        <v>0</v>
      </c>
      <c r="CS57" s="793">
        <f>IF((WWWW[[#This Row],['#_Constructed/Existing protected/fenced ponds]]*250)/WWWW[[#This Row],[Total PoP ]]&gt;1,1,(WWWW[[#This Row],['#_Constructed/Existing protected/fenced ponds]]*250)/WWWW[[#This Row],[Total PoP ]])</f>
        <v>0</v>
      </c>
      <c r="CT57" s="791">
        <f>WWWW[[#This Row],[% Access to unimproved water points]]*WWWW[[#This Row],[Total PoP ]]</f>
        <v>0</v>
      </c>
      <c r="CU57"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7"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7" s="791">
        <f>WWWW[[#This Row],[HRP1]]/500</f>
        <v>0</v>
      </c>
      <c r="CX57" s="796">
        <f>1-WWWW[[#This Row],[% Equitable and continuous access to sufficient quantity of domestic water]]</f>
        <v>1</v>
      </c>
      <c r="CY57" s="791">
        <f>WWWW[[#This Row],[%equitable and continuous access to sufficient quantity of safe drinking and domestic water''s GAP]]*WWWW[[#This Row],[Total PoP ]]</f>
        <v>247</v>
      </c>
      <c r="CZ57" s="794">
        <f>IF(WWWW[[#This Row],[Total required water points]]-WWWW[[#This Row],['#Water points coverage]]&lt;0,0,WWWW[[#This Row],[Total required water points]]-WWWW[[#This Row],['#Water points coverage]])</f>
        <v>1</v>
      </c>
      <c r="DA57" s="794">
        <f>ROUND(IF(WWWW[[#This Row],[Total PoP ]]&lt;500,1,WWWW[[#This Row],[Total PoP ]]/500),0)</f>
        <v>1</v>
      </c>
      <c r="DB57" s="794">
        <f>(WWWW[[#This Row],['#_Constructed latrines_by_WASHAgencies]]+WWWW[[#This Row],['#_Non Cluster partner latrines]])-WWWW[[#This Row],['#_Non-functional latrines]]</f>
        <v>0</v>
      </c>
      <c r="DC57" s="631">
        <f>WWWW[[#This Row],[HRP2]]/WWWW[[#This Row],[Total PoP ]]</f>
        <v>0</v>
      </c>
      <c r="DD57"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7"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 s="424">
        <f>IF(WWWW[[#This Row],['# of functional latrines in THF supported by WASH partners during the reporting period2]]="",0,WWWW[[#This Row],['# of functional latrines in THF supported by WASH partners during the reporting period2]]*50)</f>
        <v>0</v>
      </c>
      <c r="DH57" s="794">
        <f>ROUND(IF(WWWW[[#This Row],[Location Type 1]]="camp",WWWW[[#This Row],[Total PoP ]]/20,IF(WWWW[[#This Row],[Location Type 1]]="Temporary Location",WWWW[[#This Row],[Total PoP ]]/50,(WWWW[[#This Row],[Total PoP ]]/6))),0)</f>
        <v>12</v>
      </c>
      <c r="DI57" s="794">
        <f>IF(WWWW[[#This Row],[Total required Latrines]]-(WWWW[[#This Row],['#_Constructed latrines_by_WASHAgencies]]+WWWW[[#This Row],['#_Non Cluster partner latrines]])&lt;0,0,WWWW[[#This Row],[Total required Latrines]]-(WWWW[[#This Row],['#_Constructed latrines_by_WASHAgencies]]+WWWW[[#This Row],['#_Non Cluster partner latrines]]))</f>
        <v>12</v>
      </c>
      <c r="DJ57" s="796">
        <f>1-WWWW[[#This Row],[% people access to functioning Latrine]]</f>
        <v>1</v>
      </c>
      <c r="DK57" s="795">
        <f>IF(OR(WWWW[[#This Row],['#_Non-functional latrines]]="",WWWW[[#This Row],['#_Non-functional latrines]]=0),0,WWWW[[#This Row],['#_Non-functional latrines]]/(WWWW[[#This Row],['#_Constructed latrines_by_WASHAgencies]]+WWWW[[#This Row],['#_Non Cluster partner latrines]]))</f>
        <v>0</v>
      </c>
      <c r="DL57" s="791">
        <f>IF(500*(WWWW[[#This Row],['#_male hygiene promoters]]+WWWW[[#This Row],['#_female hygiene promoters]])&gt;WWWW[[#This Row],[Total PoP ]],WWWW[[#This Row],[Total PoP ]],500*(WWWW[[#This Row],['#_male hygiene promoters]]+WWWW[[#This Row],['#_female hygiene promoters]]))</f>
        <v>0</v>
      </c>
      <c r="DM57"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247</v>
      </c>
      <c r="DN57"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57" s="794">
        <f>IF(WWWW[[#This Row],['# People with access to soap]]&gt;WWWW[[#This Row],['# People with access to Sanity Pads]],WWWW[[#This Row],['# People with access to soap]],WWWW[[#This Row],['# People with access to Sanity Pads]])</f>
        <v>247</v>
      </c>
      <c r="DP57" s="794">
        <f>IF(WWWW[[#This Row],['# people reached by regular dedicated hygiene promotion_5]]&gt;WWWW[[#This Row],['# People received regular supply of hygiene items_6]],WWWW[[#This Row],['# people reached by regular dedicated hygiene promotion_5]],WWWW[[#This Row],['# People received regular supply of hygiene items_6]])</f>
        <v>247</v>
      </c>
      <c r="DQ57" s="796">
        <f>IF(WWWW[[#This Row],[HRP3]]/WWWW[[#This Row],[Total PoP ]]&gt;1,1,WWWW[[#This Row],[HRP3]]/WWWW[[#This Row],[Total PoP ]])</f>
        <v>1</v>
      </c>
      <c r="DR57" s="795">
        <f>1-WWWW[[#This Row],[Hygiene Coverage%]]</f>
        <v>0</v>
      </c>
      <c r="DS57" s="793">
        <f>WWWW[[#This Row],['# people reached by regular dedicated hygiene promotion_5]]/WWWW[[#This Row],[Total PoP ]]</f>
        <v>0</v>
      </c>
      <c r="DT57"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7"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7" s="794">
        <f>WWWW[[#This Row],['#_Constructed/Existing hand washing stations]]-WWWW[[#This Row],['#_Non-Functional_hand_washing_stations]]</f>
        <v>3</v>
      </c>
      <c r="DW57" s="791">
        <f>IF(WWWW[[#This Row],['# Functional hand washing stations during reporting period]]*20&gt;WWWW[[#This Row],[Total HH]],WWWW[[#This Row],[Total HH]],WWWW[[#This Row],['# Functional hand washing stations during reporting period]]*20)</f>
        <v>45</v>
      </c>
      <c r="DX57" s="791">
        <f>IF(WWWW[[#This Row],[Is sufficient soap available for TLS? (Yes/No)]]="yes",WWWW[[#This Row],['#_Constructed/Existing hand washing stations at TLS/CFS/THF]],0)</f>
        <v>0</v>
      </c>
      <c r="DY57" s="428">
        <f>IF(WWWW[[#This Row],['# Functional hand washing stations during reporting period]]*100&gt;WWWW[[#This Row],[Total PoP ]],WWWW[[#This Row],[Total PoP ]],WWWW[[#This Row],['# Functional hand washing stations during reporting period]]*100)</f>
        <v>247</v>
      </c>
      <c r="DZ57" s="428" t="str">
        <f>IF(OR(WWWW[[#This Row],['#_students at TLS_CFS]]="",WWWW[[#This Row],['#_students at TLS_CFS]]=0),"No","Yes")</f>
        <v>No</v>
      </c>
      <c r="EA5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 s="787">
        <f>VLOOKUP(WWWW[[#This Row],[Site Name]],SiteDB6[[Site Name]:[CCCM Management]],6,FALSE)</f>
        <v>0</v>
      </c>
      <c r="EF57" s="787" t="str">
        <f>VLOOKUP(WWWW[[#This Row],[Site Name]],SiteDB6[[Site Name]:[CCCM Focal Agency]],7,FALSE)</f>
        <v xml:space="preserve">Uncovered  </v>
      </c>
      <c r="EG57" s="787" t="str">
        <f>VLOOKUP(WWWW[[#This Row],[Site Name]],SiteDB6[[Site Name]:[Location Type 1]],9,FALSE)</f>
        <v>Camp</v>
      </c>
      <c r="EH57" s="787" t="str">
        <f>VLOOKUP(WWWW[[#This Row],[Site Name]],SiteDB6[[Site Name]:[Type of Accommodation]],10,FALSE)</f>
        <v>Camp like setting</v>
      </c>
      <c r="EI57" s="787" t="str">
        <f>VLOOKUP(WWWW[[#This Row],[Site Name]],SiteDB6[[Site Name]:[Ethnic or GCA/NGCA]],11,FALSE)</f>
        <v>GCA</v>
      </c>
      <c r="EJ57" s="787">
        <f>VLOOKUP(WWWW[[#This Row],[Site Name]],SiteDB6[[Site Name]:[Lat]],12,FALSE)</f>
        <v>0</v>
      </c>
      <c r="EK57" s="787">
        <f>VLOOKUP(WWWW[[#This Row],[Site Name]],SiteDB6[[Site Name]:[Long]],13,FALSE)</f>
        <v>0</v>
      </c>
      <c r="EL57" s="787" t="str">
        <f>VLOOKUP(WWWW[[#This Row],[Site Name]],SiteDB6[[Site Name]:[Pcode]],3,FALSE)</f>
        <v>MMR001CMP292</v>
      </c>
      <c r="EM57" s="792" t="str">
        <f t="shared" si="0"/>
        <v>Notcovered</v>
      </c>
      <c r="EN57" s="792"/>
      <c r="EO57" s="787">
        <f>VLOOKUP(WWWW[[#This Row],[Site Name]],SiteDB6[[Site Name]:[Pop
(Kachin/Shan-CCCM as of July 2021)]],16,FALSE)</f>
        <v>87</v>
      </c>
      <c r="EP57" s="787">
        <f>VLOOKUP(WWWW[[#This Row],[Site Name]],SiteDB6[[Site Name]:[Pop
(Kachin/Shan-CCCM as of July 2021)]],17,FALSE)</f>
        <v>478</v>
      </c>
    </row>
    <row r="58" spans="1:146" hidden="1">
      <c r="A58" s="725" t="s">
        <v>2763</v>
      </c>
      <c r="B58" s="725" t="s">
        <v>242</v>
      </c>
      <c r="C58" s="726" t="s">
        <v>242</v>
      </c>
      <c r="D58" s="726" t="s">
        <v>307</v>
      </c>
      <c r="E58" s="726" t="s">
        <v>37</v>
      </c>
      <c r="F58" s="726" t="s">
        <v>148</v>
      </c>
      <c r="G58" s="591" t="str">
        <f>VLOOKUP(WWWW[[#This Row],[Site Name]],SiteDB6[[Site Name]:[Location Type]],8,FALSE)</f>
        <v>Camp</v>
      </c>
      <c r="H58" s="726" t="s">
        <v>255</v>
      </c>
      <c r="I58" s="448">
        <v>19</v>
      </c>
      <c r="J58" s="448">
        <v>100</v>
      </c>
      <c r="K58" s="588">
        <v>44197</v>
      </c>
      <c r="L58" s="589">
        <v>44651</v>
      </c>
      <c r="M58" s="448">
        <v>15</v>
      </c>
      <c r="N58" s="448">
        <v>1</v>
      </c>
      <c r="O58" s="448"/>
      <c r="P58" s="448"/>
      <c r="Q58" s="717" t="s">
        <v>41</v>
      </c>
      <c r="R58" s="448">
        <v>3</v>
      </c>
      <c r="S58" s="448">
        <v>2</v>
      </c>
      <c r="T58" s="448"/>
      <c r="U58" s="728"/>
      <c r="V58" s="728"/>
      <c r="W58" s="728"/>
      <c r="X58" s="728"/>
      <c r="Y58" s="728"/>
      <c r="Z58" s="728"/>
      <c r="AA58" s="728">
        <v>2</v>
      </c>
      <c r="AB58" s="728"/>
      <c r="AC58" s="728"/>
      <c r="AD58" s="728"/>
      <c r="AE58" s="728">
        <v>1</v>
      </c>
      <c r="AF58" s="448">
        <v>13500</v>
      </c>
      <c r="AG58" s="728"/>
      <c r="AH58" s="728"/>
      <c r="AI58" s="728"/>
      <c r="AJ58" s="728"/>
      <c r="AK58" s="728"/>
      <c r="AL58" s="728"/>
      <c r="AM58" s="728">
        <v>2</v>
      </c>
      <c r="AN58" s="448">
        <v>1</v>
      </c>
      <c r="AO58" s="448"/>
      <c r="AP58" s="590" t="s">
        <v>2908</v>
      </c>
      <c r="AQ58" s="728">
        <v>8</v>
      </c>
      <c r="AR58" s="728"/>
      <c r="AS58" s="733"/>
      <c r="AT58" s="728"/>
      <c r="AU58" s="448"/>
      <c r="AV58" s="448">
        <v>1</v>
      </c>
      <c r="AW58" s="728"/>
      <c r="AX58" s="728"/>
      <c r="AY58" s="727" t="s">
        <v>41</v>
      </c>
      <c r="AZ58" s="732" t="s">
        <v>137</v>
      </c>
      <c r="BA58" s="728"/>
      <c r="BB58" s="728"/>
      <c r="BC58" s="728"/>
      <c r="BD58" s="448"/>
      <c r="BE58" s="448"/>
      <c r="BF58" s="727"/>
      <c r="BG58" s="728">
        <v>2</v>
      </c>
      <c r="BH58" s="728"/>
      <c r="BI58" s="728"/>
      <c r="BJ58" s="728">
        <v>2</v>
      </c>
      <c r="BK58" s="728"/>
      <c r="BL58" s="448">
        <v>1</v>
      </c>
      <c r="BM58" s="448"/>
      <c r="BN58" s="448">
        <v>19</v>
      </c>
      <c r="BO58" s="448">
        <v>26</v>
      </c>
      <c r="BP58" s="727" t="s">
        <v>41</v>
      </c>
      <c r="BQ58" s="424">
        <v>3</v>
      </c>
      <c r="BR58" s="423">
        <v>0.8</v>
      </c>
      <c r="BS58" s="425" t="s">
        <v>2903</v>
      </c>
      <c r="BT58" s="423">
        <v>1</v>
      </c>
      <c r="BU58" s="423">
        <v>0.8</v>
      </c>
      <c r="BV58" s="425">
        <v>5</v>
      </c>
      <c r="BW58" s="423">
        <v>0.8</v>
      </c>
      <c r="BX58" s="448"/>
      <c r="BY58" s="448"/>
      <c r="BZ58" s="448"/>
      <c r="CA58" s="448"/>
      <c r="CB58" s="448"/>
      <c r="CC58" s="777"/>
      <c r="CD58" s="448"/>
      <c r="CE58" s="735" t="str">
        <f>IFERROR(WWWW[[#This Row],['#_Water sources passed]]/WWWW[[#This Row],['#_Water sources tested for fecal coliform ]],"no test")</f>
        <v>no test</v>
      </c>
      <c r="CF58" s="733" t="str">
        <f>IFERROR(WWWW[[#This Row],['#_Household passed]]/WWWW[[#This Row],['#_Household water samples tested for fecal coliform]],"no test")</f>
        <v>no test</v>
      </c>
      <c r="CG58" s="734" t="str">
        <f>IF(AND(WWWW[[#This Row],[% of water sources passed]]="no test",WWWW[[#This Row],[% Household passed]]="no test"),"No Test","Tested")</f>
        <v>No Test</v>
      </c>
      <c r="CH58" s="734">
        <f>WWWW[[#This Row],['#_Constructed/existing protected hand dug well]]-WWWW[[#This Row],['#_Non-functional protected hand dug well]]</f>
        <v>0</v>
      </c>
      <c r="CI58" s="734">
        <f>(WWWW[[#This Row],['#_Constructed/Existing tube wells/boreholes/handpumps_WASH_agency]]+WWWW[[#This Row],['#_Non-Cluster partner water tube-wells/boreholes/handpumps]])-WWWW[[#This Row],['#_Non-functional tube wells/boreholes/handpumps]]</f>
        <v>0</v>
      </c>
      <c r="CJ58" s="734">
        <f>WWWW[[#This Row],['#_Constructed/Existingwater storage tank with gravity fed reticulation system]]-WWWW[[#This Row],['#_Non-functional storage tank gravity fed reticulation system]]</f>
        <v>2</v>
      </c>
      <c r="CK58" s="734">
        <f>(WWWW[[#This Row],['#_Water_Liters_supplied_by_Water boating or water trucking]]/90)/15</f>
        <v>0</v>
      </c>
      <c r="CL58" s="734">
        <f>WWWW[[#This Row],['#_Water_Liters_from_Constructed/Existing water distribution system from river or natural spring]]/90/15</f>
        <v>10</v>
      </c>
      <c r="CM58" s="424">
        <f>IF(WWWW[[#This Row],['#_of water points in TLS/CFS]]*500&gt;WWWW[[#This Row],[Total PoP ]],WWWW[[#This Row],[Total PoP ]],WWWW[[#This Row],['#_of water points in TLS/CFS]]*500)</f>
        <v>100</v>
      </c>
      <c r="CN58" s="424">
        <f>IF(WWWW[[#This Row],['#_of water points in THF]]*500&gt;WWWW[[#This Row],[Total PoP ]],WWWW[[#This Row],[Total PoP ]],WWWW[[#This Row],['#_of water points in THF]]*500)</f>
        <v>0</v>
      </c>
      <c r="CO5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8" s="733">
        <f>IF(WWWW[[#This Row],[Location Type 1]]="Village",WWWW[[#This Row],[Access to safe drinking water for Village]],WWWW[[#This Row],[Access to safe drinking water for Camp]])</f>
        <v>1</v>
      </c>
      <c r="CR58" s="731">
        <f>WWWW[[#This Row],[%Equitable and continuous access to sufficient quantity of safe drinking water]]*WWWW[[#This Row],[Total PoP ]]</f>
        <v>100</v>
      </c>
      <c r="CS58" s="733">
        <f>IF((WWWW[[#This Row],['#_Constructed/Existing protected/fenced ponds]]*250)/WWWW[[#This Row],[Total PoP ]]&gt;1,1,(WWWW[[#This Row],['#_Constructed/Existing protected/fenced ponds]]*250)/WWWW[[#This Row],[Total PoP ]])</f>
        <v>1</v>
      </c>
      <c r="CT58" s="731">
        <f>WWWW[[#This Row],[% Access to unimproved water points]]*WWWW[[#This Row],[Total PoP ]]</f>
        <v>100</v>
      </c>
      <c r="CU5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v>
      </c>
      <c r="CW58" s="731">
        <f>WWWW[[#This Row],[HRP1]]/500</f>
        <v>0.2</v>
      </c>
      <c r="CX58" s="736">
        <f>1-WWWW[[#This Row],[% Equitable and continuous access to sufficient quantity of domestic water]]</f>
        <v>0</v>
      </c>
      <c r="CY58" s="731">
        <f>WWWW[[#This Row],[%equitable and continuous access to sufficient quantity of safe drinking and domestic water''s GAP]]*WWWW[[#This Row],[Total PoP ]]</f>
        <v>0</v>
      </c>
      <c r="CZ58" s="734">
        <f>IF(WWWW[[#This Row],[Total required water points]]-WWWW[[#This Row],['#Water points coverage]]&lt;0,0,WWWW[[#This Row],[Total required water points]]-WWWW[[#This Row],['#Water points coverage]])</f>
        <v>0.8</v>
      </c>
      <c r="DA58" s="734">
        <f>ROUND(IF(WWWW[[#This Row],[Total PoP ]]&lt;500,1,WWWW[[#This Row],[Total PoP ]]/500),0)</f>
        <v>1</v>
      </c>
      <c r="DB58" s="734">
        <f>(WWWW[[#This Row],['#_Constructed latrines_by_WASHAgencies]]+WWWW[[#This Row],['#_Non Cluster partner latrines]])-WWWW[[#This Row],['#_Non-functional latrines]]</f>
        <v>8</v>
      </c>
      <c r="DC58" s="631">
        <f>WWWW[[#This Row],[HRP2]]/WWWW[[#This Row],[Total PoP ]]</f>
        <v>1</v>
      </c>
      <c r="DD5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5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v>
      </c>
      <c r="DF5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 s="424">
        <f>IF(WWWW[[#This Row],['# of functional latrines in THF supported by WASH partners during the reporting period2]]="",0,WWWW[[#This Row],['# of functional latrines in THF supported by WASH partners during the reporting period2]]*50)</f>
        <v>0</v>
      </c>
      <c r="DH58" s="734">
        <f>ROUND(IF(WWWW[[#This Row],[Location Type 1]]="camp",WWWW[[#This Row],[Total PoP ]]/20,IF(WWWW[[#This Row],[Location Type 1]]="Temporary Location",WWWW[[#This Row],[Total PoP ]]/50,(WWWW[[#This Row],[Total PoP ]]/6))),0)</f>
        <v>5</v>
      </c>
      <c r="DI58" s="734">
        <f>IF(WWWW[[#This Row],[Total required Latrines]]-(WWWW[[#This Row],['#_Constructed latrines_by_WASHAgencies]]+WWWW[[#This Row],['#_Non Cluster partner latrines]])&lt;0,0,WWWW[[#This Row],[Total required Latrines]]-(WWWW[[#This Row],['#_Constructed latrines_by_WASHAgencies]]+WWWW[[#This Row],['#_Non Cluster partner latrines]]))</f>
        <v>0</v>
      </c>
      <c r="DJ58" s="736">
        <f>1-WWWW[[#This Row],[% people access to functioning Latrine]]</f>
        <v>0</v>
      </c>
      <c r="DK58" s="735">
        <f>IF(OR(WWWW[[#This Row],['#_Non-functional latrines]]="",WWWW[[#This Row],['#_Non-functional latrines]]=0),0,WWWW[[#This Row],['#_Non-functional latrines]]/(WWWW[[#This Row],['#_Constructed latrines_by_WASHAgencies]]+WWWW[[#This Row],['#_Non Cluster partner latrines]]))</f>
        <v>0</v>
      </c>
      <c r="DL58" s="731">
        <f>IF(500*(WWWW[[#This Row],['#_male hygiene promoters]]+WWWW[[#This Row],['#_female hygiene promoters]])&gt;WWWW[[#This Row],[Total PoP ]],WWWW[[#This Row],[Total PoP ]],500*(WWWW[[#This Row],['#_male hygiene promoters]]+WWWW[[#This Row],['#_female hygiene promoters]]))</f>
        <v>100</v>
      </c>
      <c r="DM5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100</v>
      </c>
      <c r="DN5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26</v>
      </c>
      <c r="DO58" s="734">
        <f>IF(WWWW[[#This Row],['# People with access to soap]]&gt;WWWW[[#This Row],['# People with access to Sanity Pads]],WWWW[[#This Row],['# People with access to soap]],WWWW[[#This Row],['# People with access to Sanity Pads]])</f>
        <v>100</v>
      </c>
      <c r="DP58" s="734">
        <f>IF(WWWW[[#This Row],['# people reached by regular dedicated hygiene promotion_5]]&gt;WWWW[[#This Row],['# People received regular supply of hygiene items_6]],WWWW[[#This Row],['# people reached by regular dedicated hygiene promotion_5]],WWWW[[#This Row],['# People received regular supply of hygiene items_6]])</f>
        <v>100</v>
      </c>
      <c r="DQ58" s="736">
        <f>IF(WWWW[[#This Row],[HRP3]]/WWWW[[#This Row],[Total PoP ]]&gt;1,1,WWWW[[#This Row],[HRP3]]/WWWW[[#This Row],[Total PoP ]])</f>
        <v>1</v>
      </c>
      <c r="DR58" s="735">
        <f>1-WWWW[[#This Row],[Hygiene Coverage%]]</f>
        <v>0</v>
      </c>
      <c r="DS58" s="733">
        <f>WWWW[[#This Row],['# people reached by regular dedicated hygiene promotion_5]]/WWWW[[#This Row],[Total PoP ]]</f>
        <v>1</v>
      </c>
      <c r="DT5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8" s="734">
        <f>WWWW[[#This Row],['#_Constructed/Existing hand washing stations]]-WWWW[[#This Row],['#_Non-Functional_hand_washing_stations]]</f>
        <v>2</v>
      </c>
      <c r="DW58" s="731">
        <f>IF(WWWW[[#This Row],['# Functional hand washing stations during reporting period]]*20&gt;WWWW[[#This Row],[Total HH]],WWWW[[#This Row],[Total HH]],WWWW[[#This Row],['# Functional hand washing stations during reporting period]]*20)</f>
        <v>19</v>
      </c>
      <c r="DX58" s="731">
        <f>IF(WWWW[[#This Row],[Is sufficient soap available for TLS? (Yes/No)]]="yes",WWWW[[#This Row],['#_Constructed/Existing hand washing stations at TLS/CFS/THF]],0)</f>
        <v>2</v>
      </c>
      <c r="DY58" s="428">
        <f>IF(WWWW[[#This Row],['# Functional hand washing stations during reporting period]]*100&gt;WWWW[[#This Row],[Total PoP ]],WWWW[[#This Row],[Total PoP ]],WWWW[[#This Row],['# Functional hand washing stations during reporting period]]*100)</f>
        <v>100</v>
      </c>
      <c r="DZ58" s="428" t="str">
        <f>IF(OR(WWWW[[#This Row],['#_students at TLS_CFS]]="",WWWW[[#This Row],['#_students at TLS_CFS]]=0),"No","Yes")</f>
        <v>Yes</v>
      </c>
      <c r="EA58" s="631">
        <f>IF(WWWW[[#This Row],['#_of_affected_people_surveyed_who_report_feeling_informed_about_the_different_WASH_services_available_to_them]]="","",WWWW[[#This Row],['#_of_affected_people_surveyed_who_report_feeling_informed_about_the_different_WASH_services_available_to_them]]/WWWW[[#This Row],[Total PoP ]])</f>
        <v>0.05</v>
      </c>
      <c r="EB5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v>
      </c>
      <c r="ED5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 s="727" t="str">
        <f>VLOOKUP(WWWW[[#This Row],[Site Name]],SiteDB6[[Site Name]:[CCCM Management]],6,FALSE)</f>
        <v>Yes</v>
      </c>
      <c r="EF58" s="727" t="str">
        <f>VLOOKUP(WWWW[[#This Row],[Site Name]],SiteDB6[[Site Name]:[CCCM Focal Agency]],7,FALSE)</f>
        <v>Shalom</v>
      </c>
      <c r="EG58" s="727" t="str">
        <f>VLOOKUP(WWWW[[#This Row],[Site Name]],SiteDB6[[Site Name]:[Location Type 1]],9,FALSE)</f>
        <v>Camp</v>
      </c>
      <c r="EH58" s="727" t="str">
        <f>VLOOKUP(WWWW[[#This Row],[Site Name]],SiteDB6[[Site Name]:[Type of Accommodation]],10,FALSE)</f>
        <v>Camp</v>
      </c>
      <c r="EI58" s="727" t="str">
        <f>VLOOKUP(WWWW[[#This Row],[Site Name]],SiteDB6[[Site Name]:[Ethnic or GCA/NGCA]],11,FALSE)</f>
        <v>GCA</v>
      </c>
      <c r="EJ58" s="727">
        <f>VLOOKUP(WWWW[[#This Row],[Site Name]],SiteDB6[[Site Name]:[Lat]],12,FALSE)</f>
        <v>25.566510000000001</v>
      </c>
      <c r="EK58" s="727">
        <f>VLOOKUP(WWWW[[#This Row],[Site Name]],SiteDB6[[Site Name]:[Long]],13,FALSE)</f>
        <v>96.269199999999998</v>
      </c>
      <c r="EL58" s="727" t="str">
        <f>VLOOKUP(WWWW[[#This Row],[Site Name]],SiteDB6[[Site Name]:[Pcode]],3,FALSE)</f>
        <v>MMR001CMP181</v>
      </c>
      <c r="EM58" s="732" t="str">
        <f t="shared" si="0"/>
        <v>Covered</v>
      </c>
      <c r="EN58" s="732"/>
      <c r="EO58" s="727">
        <f>VLOOKUP(WWWW[[#This Row],[Site Name]],SiteDB6[[Site Name]:[Pop
(Kachin/Shan-CCCM as of July 2021)]],16,FALSE)</f>
        <v>19</v>
      </c>
      <c r="EP58" s="727">
        <f>VLOOKUP(WWWW[[#This Row],[Site Name]],SiteDB6[[Site Name]:[Pop
(Kachin/Shan-CCCM as of July 2021)]],17,FALSE)</f>
        <v>100</v>
      </c>
    </row>
    <row r="59" spans="1:146" hidden="1">
      <c r="A59" s="725" t="s">
        <v>2763</v>
      </c>
      <c r="B59" s="725" t="s">
        <v>242</v>
      </c>
      <c r="C59" s="726" t="s">
        <v>242</v>
      </c>
      <c r="D59" s="726" t="s">
        <v>307</v>
      </c>
      <c r="E59" s="726" t="s">
        <v>37</v>
      </c>
      <c r="F59" s="726" t="s">
        <v>148</v>
      </c>
      <c r="G59" s="591" t="str">
        <f>VLOOKUP(WWWW[[#This Row],[Site Name]],SiteDB6[[Site Name]:[Location Type]],8,FALSE)</f>
        <v>Camp</v>
      </c>
      <c r="H59" s="726" t="s">
        <v>256</v>
      </c>
      <c r="I59" s="448">
        <v>10</v>
      </c>
      <c r="J59" s="448">
        <v>54</v>
      </c>
      <c r="K59" s="588">
        <v>44197</v>
      </c>
      <c r="L59" s="589">
        <v>44651</v>
      </c>
      <c r="M59" s="448">
        <v>23</v>
      </c>
      <c r="N59" s="448">
        <v>1</v>
      </c>
      <c r="O59" s="448"/>
      <c r="P59" s="448"/>
      <c r="Q59" s="717" t="s">
        <v>41</v>
      </c>
      <c r="R59" s="448">
        <v>3</v>
      </c>
      <c r="S59" s="448">
        <v>4</v>
      </c>
      <c r="T59" s="448">
        <v>1</v>
      </c>
      <c r="U59" s="728"/>
      <c r="V59" s="728"/>
      <c r="W59" s="728"/>
      <c r="X59" s="728"/>
      <c r="Y59" s="728"/>
      <c r="Z59" s="728"/>
      <c r="AA59" s="728"/>
      <c r="AB59" s="728"/>
      <c r="AC59" s="728"/>
      <c r="AD59" s="728"/>
      <c r="AE59" s="728">
        <v>1</v>
      </c>
      <c r="AF59" s="728">
        <v>1000</v>
      </c>
      <c r="AG59" s="728">
        <v>1</v>
      </c>
      <c r="AH59" s="728"/>
      <c r="AI59" s="728"/>
      <c r="AJ59" s="728"/>
      <c r="AK59" s="728"/>
      <c r="AL59" s="728"/>
      <c r="AM59" s="728"/>
      <c r="AN59" s="448"/>
      <c r="AO59" s="448"/>
      <c r="AP59" s="590" t="s">
        <v>2909</v>
      </c>
      <c r="AQ59" s="728">
        <v>2</v>
      </c>
      <c r="AR59" s="728"/>
      <c r="AS59" s="733"/>
      <c r="AT59" s="728"/>
      <c r="AU59" s="728"/>
      <c r="AV59" s="728"/>
      <c r="AW59" s="728"/>
      <c r="AX59" s="728"/>
      <c r="AY59" s="727" t="s">
        <v>41</v>
      </c>
      <c r="AZ59" s="732" t="s">
        <v>137</v>
      </c>
      <c r="BA59" s="728"/>
      <c r="BB59" s="728"/>
      <c r="BC59" s="728"/>
      <c r="BD59" s="448"/>
      <c r="BE59" s="448"/>
      <c r="BF59" s="727"/>
      <c r="BG59" s="728">
        <v>3</v>
      </c>
      <c r="BH59" s="728"/>
      <c r="BI59" s="728"/>
      <c r="BJ59" s="728">
        <v>2</v>
      </c>
      <c r="BK59" s="728"/>
      <c r="BL59" s="448"/>
      <c r="BM59" s="448">
        <v>1</v>
      </c>
      <c r="BN59" s="448">
        <v>10</v>
      </c>
      <c r="BO59" s="448">
        <v>13</v>
      </c>
      <c r="BP59" s="727" t="s">
        <v>136</v>
      </c>
      <c r="BQ59" s="424">
        <v>4</v>
      </c>
      <c r="BR59" s="423"/>
      <c r="BS59" s="425" t="s">
        <v>2912</v>
      </c>
      <c r="BT59" s="423"/>
      <c r="BU59" s="423"/>
      <c r="BV59" s="425"/>
      <c r="BW59" s="423"/>
      <c r="BX59" s="448"/>
      <c r="BY59" s="448"/>
      <c r="BZ59" s="448"/>
      <c r="CA59" s="448"/>
      <c r="CB59" s="448"/>
      <c r="CC59" s="777"/>
      <c r="CD59" s="448"/>
      <c r="CE59" s="735" t="str">
        <f>IFERROR(WWWW[[#This Row],['#_Water sources passed]]/WWWW[[#This Row],['#_Water sources tested for fecal coliform ]],"no test")</f>
        <v>no test</v>
      </c>
      <c r="CF59" s="733" t="str">
        <f>IFERROR(WWWW[[#This Row],['#_Household passed]]/WWWW[[#This Row],['#_Household water samples tested for fecal coliform]],"no test")</f>
        <v>no test</v>
      </c>
      <c r="CG59" s="734" t="str">
        <f>IF(AND(WWWW[[#This Row],[% of water sources passed]]="no test",WWWW[[#This Row],[% Household passed]]="no test"),"No Test","Tested")</f>
        <v>No Test</v>
      </c>
      <c r="CH59" s="734">
        <f>WWWW[[#This Row],['#_Constructed/existing protected hand dug well]]-WWWW[[#This Row],['#_Non-functional protected hand dug well]]</f>
        <v>1</v>
      </c>
      <c r="CI59" s="734">
        <f>(WWWW[[#This Row],['#_Constructed/Existing tube wells/boreholes/handpumps_WASH_agency]]+WWWW[[#This Row],['#_Non-Cluster partner water tube-wells/boreholes/handpumps]])-WWWW[[#This Row],['#_Non-functional tube wells/boreholes/handpumps]]</f>
        <v>0</v>
      </c>
      <c r="CJ59" s="734">
        <f>WWWW[[#This Row],['#_Constructed/Existingwater storage tank with gravity fed reticulation system]]-WWWW[[#This Row],['#_Non-functional storage tank gravity fed reticulation system]]</f>
        <v>0</v>
      </c>
      <c r="CK59" s="734">
        <f>(WWWW[[#This Row],['#_Water_Liters_supplied_by_Water boating or water trucking]]/90)/15</f>
        <v>0</v>
      </c>
      <c r="CL59" s="734">
        <f>WWWW[[#This Row],['#_Water_Liters_from_Constructed/Existing water distribution system from river or natural spring]]/90/15</f>
        <v>0.7407407407407407</v>
      </c>
      <c r="CM59" s="424">
        <f>IF(WWWW[[#This Row],['#_of water points in TLS/CFS]]*500&gt;WWWW[[#This Row],[Total PoP ]],WWWW[[#This Row],[Total PoP ]],WWWW[[#This Row],['#_of water points in TLS/CFS]]*500)</f>
        <v>0</v>
      </c>
      <c r="CN59" s="424">
        <f>IF(WWWW[[#This Row],['#_of water points in THF]]*500&gt;WWWW[[#This Row],[Total PoP ]],WWWW[[#This Row],[Total PoP ]],WWWW[[#This Row],['#_of water points in THF]]*500)</f>
        <v>0</v>
      </c>
      <c r="CO5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9" s="733">
        <f>IF(WWWW[[#This Row],[Location Type 1]]="Village",WWWW[[#This Row],[Access to safe drinking water for Village]],WWWW[[#This Row],[Access to safe drinking water for Camp]])</f>
        <v>1</v>
      </c>
      <c r="CR59" s="731">
        <f>WWWW[[#This Row],[%Equitable and continuous access to sufficient quantity of safe drinking water]]*WWWW[[#This Row],[Total PoP ]]</f>
        <v>54</v>
      </c>
      <c r="CS59" s="733">
        <f>IF((WWWW[[#This Row],['#_Constructed/Existing protected/fenced ponds]]*250)/WWWW[[#This Row],[Total PoP ]]&gt;1,1,(WWWW[[#This Row],['#_Constructed/Existing protected/fenced ponds]]*250)/WWWW[[#This Row],[Total PoP ]])</f>
        <v>1</v>
      </c>
      <c r="CT59" s="731">
        <f>WWWW[[#This Row],[% Access to unimproved water points]]*WWWW[[#This Row],[Total PoP ]]</f>
        <v>54</v>
      </c>
      <c r="CU5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v>
      </c>
      <c r="CW59" s="731">
        <f>WWWW[[#This Row],[HRP1]]/500</f>
        <v>0.108</v>
      </c>
      <c r="CX59" s="736">
        <f>1-WWWW[[#This Row],[% Equitable and continuous access to sufficient quantity of domestic water]]</f>
        <v>0</v>
      </c>
      <c r="CY59" s="731">
        <f>WWWW[[#This Row],[%equitable and continuous access to sufficient quantity of safe drinking and domestic water''s GAP]]*WWWW[[#This Row],[Total PoP ]]</f>
        <v>0</v>
      </c>
      <c r="CZ59" s="734">
        <f>IF(WWWW[[#This Row],[Total required water points]]-WWWW[[#This Row],['#Water points coverage]]&lt;0,0,WWWW[[#This Row],[Total required water points]]-WWWW[[#This Row],['#Water points coverage]])</f>
        <v>0.89200000000000002</v>
      </c>
      <c r="DA59" s="734">
        <f>ROUND(IF(WWWW[[#This Row],[Total PoP ]]&lt;500,1,WWWW[[#This Row],[Total PoP ]]/500),0)</f>
        <v>1</v>
      </c>
      <c r="DB59" s="734">
        <f>(WWWW[[#This Row],['#_Constructed latrines_by_WASHAgencies]]+WWWW[[#This Row],['#_Non Cluster partner latrines]])-WWWW[[#This Row],['#_Non-functional latrines]]</f>
        <v>2</v>
      </c>
      <c r="DC59" s="631">
        <f>WWWW[[#This Row],[HRP2]]/WWWW[[#This Row],[Total PoP ]]</f>
        <v>0.7407407407407407</v>
      </c>
      <c r="DD5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5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9" s="424">
        <f>IF(WWWW[[#This Row],['# of functional latrines in THF supported by WASH partners during the reporting period2]]="",0,WWWW[[#This Row],['# of functional latrines in THF supported by WASH partners during the reporting period2]]*50)</f>
        <v>0</v>
      </c>
      <c r="DH59" s="734">
        <f>ROUND(IF(WWWW[[#This Row],[Location Type 1]]="camp",WWWW[[#This Row],[Total PoP ]]/20,IF(WWWW[[#This Row],[Location Type 1]]="Temporary Location",WWWW[[#This Row],[Total PoP ]]/50,(WWWW[[#This Row],[Total PoP ]]/6))),0)</f>
        <v>3</v>
      </c>
      <c r="DI59" s="734">
        <f>IF(WWWW[[#This Row],[Total required Latrines]]-(WWWW[[#This Row],['#_Constructed latrines_by_WASHAgencies]]+WWWW[[#This Row],['#_Non Cluster partner latrines]])&lt;0,0,WWWW[[#This Row],[Total required Latrines]]-(WWWW[[#This Row],['#_Constructed latrines_by_WASHAgencies]]+WWWW[[#This Row],['#_Non Cluster partner latrines]]))</f>
        <v>1</v>
      </c>
      <c r="DJ59" s="736">
        <f>1-WWWW[[#This Row],[% people access to functioning Latrine]]</f>
        <v>0.2592592592592593</v>
      </c>
      <c r="DK59" s="735">
        <f>IF(OR(WWWW[[#This Row],['#_Non-functional latrines]]="",WWWW[[#This Row],['#_Non-functional latrines]]=0),0,WWWW[[#This Row],['#_Non-functional latrines]]/(WWWW[[#This Row],['#_Constructed latrines_by_WASHAgencies]]+WWWW[[#This Row],['#_Non Cluster partner latrines]]))</f>
        <v>0</v>
      </c>
      <c r="DL59" s="731">
        <f>IF(500*(WWWW[[#This Row],['#_male hygiene promoters]]+WWWW[[#This Row],['#_female hygiene promoters]])&gt;WWWW[[#This Row],[Total PoP ]],WWWW[[#This Row],[Total PoP ]],500*(WWWW[[#This Row],['#_male hygiene promoters]]+WWWW[[#This Row],['#_female hygiene promoters]]))</f>
        <v>54</v>
      </c>
      <c r="DM5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54</v>
      </c>
      <c r="DN5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v>
      </c>
      <c r="DO59" s="734">
        <f>IF(WWWW[[#This Row],['# People with access to soap]]&gt;WWWW[[#This Row],['# People with access to Sanity Pads]],WWWW[[#This Row],['# People with access to soap]],WWWW[[#This Row],['# People with access to Sanity Pads]])</f>
        <v>54</v>
      </c>
      <c r="DP59" s="734">
        <f>IF(WWWW[[#This Row],['# people reached by regular dedicated hygiene promotion_5]]&gt;WWWW[[#This Row],['# People received regular supply of hygiene items_6]],WWWW[[#This Row],['# people reached by regular dedicated hygiene promotion_5]],WWWW[[#This Row],['# People received regular supply of hygiene items_6]])</f>
        <v>54</v>
      </c>
      <c r="DQ59" s="736">
        <f>IF(WWWW[[#This Row],[HRP3]]/WWWW[[#This Row],[Total PoP ]]&gt;1,1,WWWW[[#This Row],[HRP3]]/WWWW[[#This Row],[Total PoP ]])</f>
        <v>1</v>
      </c>
      <c r="DR59" s="735">
        <f>1-WWWW[[#This Row],[Hygiene Coverage%]]</f>
        <v>0</v>
      </c>
      <c r="DS59" s="733">
        <f>WWWW[[#This Row],['# people reached by regular dedicated hygiene promotion_5]]/WWWW[[#This Row],[Total PoP ]]</f>
        <v>1</v>
      </c>
      <c r="DT5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9" s="734">
        <f>WWWW[[#This Row],['#_Constructed/Existing hand washing stations]]-WWWW[[#This Row],['#_Non-Functional_hand_washing_stations]]</f>
        <v>3</v>
      </c>
      <c r="DW59" s="731">
        <f>IF(WWWW[[#This Row],['# Functional hand washing stations during reporting period]]*20&gt;WWWW[[#This Row],[Total HH]],WWWW[[#This Row],[Total HH]],WWWW[[#This Row],['# Functional hand washing stations during reporting period]]*20)</f>
        <v>10</v>
      </c>
      <c r="DX59" s="731">
        <f>IF(WWWW[[#This Row],[Is sufficient soap available for TLS? (Yes/No)]]="yes",WWWW[[#This Row],['#_Constructed/Existing hand washing stations at TLS/CFS/THF]],0)</f>
        <v>0</v>
      </c>
      <c r="DY59" s="428">
        <f>IF(WWWW[[#This Row],['# Functional hand washing stations during reporting period]]*100&gt;WWWW[[#This Row],[Total PoP ]],WWWW[[#This Row],[Total PoP ]],WWWW[[#This Row],['# Functional hand washing stations during reporting period]]*100)</f>
        <v>54</v>
      </c>
      <c r="DZ59" s="428" t="str">
        <f>IF(OR(WWWW[[#This Row],['#_students at TLS_CFS]]="",WWWW[[#This Row],['#_students at TLS_CFS]]=0),"No","Yes")</f>
        <v>Yes</v>
      </c>
      <c r="EA5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9" s="727" t="str">
        <f>VLOOKUP(WWWW[[#This Row],[Site Name]],SiteDB6[[Site Name]:[CCCM Management]],6,FALSE)</f>
        <v>Yes</v>
      </c>
      <c r="EF59" s="727" t="str">
        <f>VLOOKUP(WWWW[[#This Row],[Site Name]],SiteDB6[[Site Name]:[CCCM Focal Agency]],7,FALSE)</f>
        <v>Shalom</v>
      </c>
      <c r="EG59" s="727" t="str">
        <f>VLOOKUP(WWWW[[#This Row],[Site Name]],SiteDB6[[Site Name]:[Location Type 1]],9,FALSE)</f>
        <v>Camp</v>
      </c>
      <c r="EH59" s="727" t="str">
        <f>VLOOKUP(WWWW[[#This Row],[Site Name]],SiteDB6[[Site Name]:[Type of Accommodation]],10,FALSE)</f>
        <v>Camp</v>
      </c>
      <c r="EI59" s="727" t="str">
        <f>VLOOKUP(WWWW[[#This Row],[Site Name]],SiteDB6[[Site Name]:[Ethnic or GCA/NGCA]],11,FALSE)</f>
        <v>GCA</v>
      </c>
      <c r="EJ59" s="727">
        <f>VLOOKUP(WWWW[[#This Row],[Site Name]],SiteDB6[[Site Name]:[Lat]],12,FALSE)</f>
        <v>25.61842</v>
      </c>
      <c r="EK59" s="727">
        <f>VLOOKUP(WWWW[[#This Row],[Site Name]],SiteDB6[[Site Name]:[Long]],13,FALSE)</f>
        <v>96.316400000000002</v>
      </c>
      <c r="EL59" s="727" t="str">
        <f>VLOOKUP(WWWW[[#This Row],[Site Name]],SiteDB6[[Site Name]:[Pcode]],3,FALSE)</f>
        <v>MMR001CMP167</v>
      </c>
      <c r="EM59" s="732" t="str">
        <f t="shared" si="0"/>
        <v>Covered</v>
      </c>
      <c r="EN59" s="732"/>
      <c r="EO59" s="727">
        <f>VLOOKUP(WWWW[[#This Row],[Site Name]],SiteDB6[[Site Name]:[Pop
(Kachin/Shan-CCCM as of July 2021)]],16,FALSE)</f>
        <v>10</v>
      </c>
      <c r="EP59" s="727">
        <f>VLOOKUP(WWWW[[#This Row],[Site Name]],SiteDB6[[Site Name]:[Pop
(Kachin/Shan-CCCM as of July 2021)]],17,FALSE)</f>
        <v>54</v>
      </c>
    </row>
    <row r="60" spans="1:146" hidden="1">
      <c r="A60" s="725" t="s">
        <v>2763</v>
      </c>
      <c r="B60" s="725" t="s">
        <v>192</v>
      </c>
      <c r="C60" s="726" t="s">
        <v>192</v>
      </c>
      <c r="D60" s="726" t="s">
        <v>2679</v>
      </c>
      <c r="E60" s="726" t="s">
        <v>37</v>
      </c>
      <c r="F60" s="726" t="s">
        <v>195</v>
      </c>
      <c r="G60" s="591" t="str">
        <f>VLOOKUP(WWWW[[#This Row],[Site Name]],SiteDB6[[Site Name]:[Location Type]],8,FALSE)</f>
        <v>Camp</v>
      </c>
      <c r="H60" s="726" t="s">
        <v>200</v>
      </c>
      <c r="I60" s="728">
        <v>122</v>
      </c>
      <c r="J60" s="728">
        <v>689</v>
      </c>
      <c r="K60" s="729" t="s">
        <v>2670</v>
      </c>
      <c r="L60" s="730" t="s">
        <v>2680</v>
      </c>
      <c r="M60" s="728"/>
      <c r="N60" s="728"/>
      <c r="O60" s="728"/>
      <c r="P60" s="728"/>
      <c r="Q60" s="731" t="s">
        <v>41</v>
      </c>
      <c r="R60" s="728">
        <v>2</v>
      </c>
      <c r="S60" s="728">
        <v>2</v>
      </c>
      <c r="T60" s="448">
        <v>1</v>
      </c>
      <c r="U60" s="728"/>
      <c r="V60" s="728"/>
      <c r="W60" s="728">
        <v>1</v>
      </c>
      <c r="X60" s="728">
        <v>1</v>
      </c>
      <c r="Y60" s="728"/>
      <c r="Z60" s="728"/>
      <c r="AA60" s="728"/>
      <c r="AB60" s="728"/>
      <c r="AC60" s="728"/>
      <c r="AD60" s="728"/>
      <c r="AE60" s="728"/>
      <c r="AF60" s="728"/>
      <c r="AG60" s="728"/>
      <c r="AH60" s="728"/>
      <c r="AI60" s="728"/>
      <c r="AJ60" s="728"/>
      <c r="AK60" s="728"/>
      <c r="AL60" s="728"/>
      <c r="AM60" s="728"/>
      <c r="AN60" s="728"/>
      <c r="AO60" s="728"/>
      <c r="AP60" s="732"/>
      <c r="AQ60" s="728">
        <v>21</v>
      </c>
      <c r="AR60" s="728"/>
      <c r="AS60" s="733"/>
      <c r="AT60" s="728"/>
      <c r="AU60" s="728"/>
      <c r="AV60" s="728"/>
      <c r="AW60" s="728"/>
      <c r="AX60" s="728"/>
      <c r="AY60" s="727" t="s">
        <v>41</v>
      </c>
      <c r="AZ60" s="732" t="s">
        <v>137</v>
      </c>
      <c r="BA60" s="728"/>
      <c r="BB60" s="728"/>
      <c r="BC60" s="728">
        <v>5</v>
      </c>
      <c r="BD60" s="448"/>
      <c r="BE60" s="448"/>
      <c r="BF60" s="727" t="s">
        <v>2681</v>
      </c>
      <c r="BG60" s="728">
        <v>3</v>
      </c>
      <c r="BH60" s="728"/>
      <c r="BI60" s="728"/>
      <c r="BJ60" s="728">
        <v>2</v>
      </c>
      <c r="BK60" s="728"/>
      <c r="BL60" s="728"/>
      <c r="BM60" s="728"/>
      <c r="BN60" s="728">
        <v>88</v>
      </c>
      <c r="BO60" s="728">
        <v>100</v>
      </c>
      <c r="BP60" s="727"/>
      <c r="BQ60" s="734"/>
      <c r="BR60" s="733"/>
      <c r="BS60" s="727"/>
      <c r="BT60" s="423"/>
      <c r="BU60" s="423"/>
      <c r="BV60" s="425"/>
      <c r="BW60" s="423"/>
      <c r="BX60" s="448"/>
      <c r="BY60" s="448"/>
      <c r="BZ60" s="448"/>
      <c r="CA60" s="448"/>
      <c r="CB60" s="448"/>
      <c r="CC60" s="777"/>
      <c r="CD60" s="448"/>
      <c r="CE60" s="735" t="str">
        <f>IFERROR(WWWW[[#This Row],['#_Water sources passed]]/WWWW[[#This Row],['#_Water sources tested for fecal coliform ]],"no test")</f>
        <v>no test</v>
      </c>
      <c r="CF60" s="733" t="str">
        <f>IFERROR(WWWW[[#This Row],['#_Household passed]]/WWWW[[#This Row],['#_Household water samples tested for fecal coliform]],"no test")</f>
        <v>no test</v>
      </c>
      <c r="CG60" s="734" t="str">
        <f>IF(AND(WWWW[[#This Row],[% of water sources passed]]="no test",WWWW[[#This Row],[% Household passed]]="no test"),"No Test","Tested")</f>
        <v>No Test</v>
      </c>
      <c r="CH60" s="734">
        <f>WWWW[[#This Row],['#_Constructed/existing protected hand dug well]]-WWWW[[#This Row],['#_Non-functional protected hand dug well]]</f>
        <v>1</v>
      </c>
      <c r="CI60" s="734">
        <f>(WWWW[[#This Row],['#_Constructed/Existing tube wells/boreholes/handpumps_WASH_agency]]+WWWW[[#This Row],['#_Non-Cluster partner water tube-wells/boreholes/handpumps]])-WWWW[[#This Row],['#_Non-functional tube wells/boreholes/handpumps]]</f>
        <v>2</v>
      </c>
      <c r="CJ60" s="734">
        <f>WWWW[[#This Row],['#_Constructed/Existingwater storage tank with gravity fed reticulation system]]-WWWW[[#This Row],['#_Non-functional storage tank gravity fed reticulation system]]</f>
        <v>0</v>
      </c>
      <c r="CK60" s="734">
        <f>(WWWW[[#This Row],['#_Water_Liters_supplied_by_Water boating or water trucking]]/90)/15</f>
        <v>0</v>
      </c>
      <c r="CL60" s="734">
        <f>WWWW[[#This Row],['#_Water_Liters_from_Constructed/Existing water distribution system from river or natural spring]]/90/15</f>
        <v>0</v>
      </c>
      <c r="CM60" s="424">
        <f>IF(WWWW[[#This Row],['#_of water points in TLS/CFS]]*500&gt;WWWW[[#This Row],[Total PoP ]],WWWW[[#This Row],[Total PoP ]],WWWW[[#This Row],['#_of water points in TLS/CFS]]*500)</f>
        <v>0</v>
      </c>
      <c r="CN60" s="424">
        <f>IF(WWWW[[#This Row],['#_of water points in THF]]*500&gt;WWWW[[#This Row],[Total PoP ]],WWWW[[#This Row],[Total PoP ]],WWWW[[#This Row],['#_of water points in THF]]*500)</f>
        <v>0</v>
      </c>
      <c r="CO6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0" s="733">
        <f>IF(WWWW[[#This Row],[Location Type 1]]="Village",WWWW[[#This Row],[Access to safe drinking water for Village]],WWWW[[#This Row],[Access to safe drinking water for Camp]])</f>
        <v>1</v>
      </c>
      <c r="CR60" s="731">
        <f>WWWW[[#This Row],[%Equitable and continuous access to sufficient quantity of safe drinking water]]*WWWW[[#This Row],[Total PoP ]]</f>
        <v>689</v>
      </c>
      <c r="CS60" s="733">
        <f>IF((WWWW[[#This Row],['#_Constructed/Existing protected/fenced ponds]]*250)/WWWW[[#This Row],[Total PoP ]]&gt;1,1,(WWWW[[#This Row],['#_Constructed/Existing protected/fenced ponds]]*250)/WWWW[[#This Row],[Total PoP ]])</f>
        <v>0</v>
      </c>
      <c r="CT60" s="731">
        <f>WWWW[[#This Row],[% Access to unimproved water points]]*WWWW[[#This Row],[Total PoP ]]</f>
        <v>0</v>
      </c>
      <c r="CU6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689</v>
      </c>
      <c r="CW60" s="731">
        <f>WWWW[[#This Row],[HRP1]]/500</f>
        <v>1.3779999999999999</v>
      </c>
      <c r="CX60" s="736">
        <f>1-WWWW[[#This Row],[% Equitable and continuous access to sufficient quantity of domestic water]]</f>
        <v>0</v>
      </c>
      <c r="CY60" s="731">
        <f>WWWW[[#This Row],[%equitable and continuous access to sufficient quantity of safe drinking and domestic water''s GAP]]*WWWW[[#This Row],[Total PoP ]]</f>
        <v>0</v>
      </c>
      <c r="CZ60" s="734">
        <f>IF(WWWW[[#This Row],[Total required water points]]-WWWW[[#This Row],['#Water points coverage]]&lt;0,0,WWWW[[#This Row],[Total required water points]]-WWWW[[#This Row],['#Water points coverage]])</f>
        <v>0</v>
      </c>
      <c r="DA60" s="734">
        <f>ROUND(IF(WWWW[[#This Row],[Total PoP ]]&lt;500,1,WWWW[[#This Row],[Total PoP ]]/500),0)</f>
        <v>1</v>
      </c>
      <c r="DB60" s="734">
        <f>(WWWW[[#This Row],['#_Constructed latrines_by_WASHAgencies]]+WWWW[[#This Row],['#_Non Cluster partner latrines]])-WWWW[[#This Row],['#_Non-functional latrines]]</f>
        <v>21</v>
      </c>
      <c r="DC60" s="631">
        <f>WWWW[[#This Row],[HRP2]]/WWWW[[#This Row],[Total PoP ]]</f>
        <v>0.60957910014513783</v>
      </c>
      <c r="DD6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DE6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0" s="424">
        <f>IF(WWWW[[#This Row],['# of functional latrines in THF supported by WASH partners during the reporting period2]]="",0,WWWW[[#This Row],['# of functional latrines in THF supported by WASH partners during the reporting period2]]*50)</f>
        <v>0</v>
      </c>
      <c r="DH60" s="734">
        <f>ROUND(IF(WWWW[[#This Row],[Location Type 1]]="camp",WWWW[[#This Row],[Total PoP ]]/20,IF(WWWW[[#This Row],[Location Type 1]]="Temporary Location",WWWW[[#This Row],[Total PoP ]]/50,(WWWW[[#This Row],[Total PoP ]]/6))),0)</f>
        <v>34</v>
      </c>
      <c r="DI60" s="734">
        <f>IF(WWWW[[#This Row],[Total required Latrines]]-(WWWW[[#This Row],['#_Constructed latrines_by_WASHAgencies]]+WWWW[[#This Row],['#_Non Cluster partner latrines]])&lt;0,0,WWWW[[#This Row],[Total required Latrines]]-(WWWW[[#This Row],['#_Constructed latrines_by_WASHAgencies]]+WWWW[[#This Row],['#_Non Cluster partner latrines]]))</f>
        <v>13</v>
      </c>
      <c r="DJ60" s="736">
        <f>1-WWWW[[#This Row],[% people access to functioning Latrine]]</f>
        <v>0.39042089985486217</v>
      </c>
      <c r="DK60" s="735">
        <f>IF(OR(WWWW[[#This Row],['#_Non-functional latrines]]="",WWWW[[#This Row],['#_Non-functional latrines]]=0),0,WWWW[[#This Row],['#_Non-functional latrines]]/(WWWW[[#This Row],['#_Constructed latrines_by_WASHAgencies]]+WWWW[[#This Row],['#_Non Cluster partner latrines]]))</f>
        <v>0</v>
      </c>
      <c r="DL60" s="731">
        <f>IF(500*(WWWW[[#This Row],['#_male hygiene promoters]]+WWWW[[#This Row],['#_female hygiene promoters]])&gt;WWWW[[#This Row],[Total PoP ]],WWWW[[#This Row],[Total PoP ]],500*(WWWW[[#This Row],['#_male hygiene promoters]]+WWWW[[#This Row],['#_female hygiene promoters]]))</f>
        <v>0</v>
      </c>
      <c r="DM6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6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60" s="734">
        <f>IF(WWWW[[#This Row],['# People with access to soap]]&gt;WWWW[[#This Row],['# People with access to Sanity Pads]],WWWW[[#This Row],['# People with access to soap]],WWWW[[#This Row],['# People with access to Sanity Pads]])</f>
        <v>440</v>
      </c>
      <c r="DP60" s="734">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60" s="736">
        <f>IF(WWWW[[#This Row],[HRP3]]/WWWW[[#This Row],[Total PoP ]]&gt;1,1,WWWW[[#This Row],[HRP3]]/WWWW[[#This Row],[Total PoP ]])</f>
        <v>0.63860667634252544</v>
      </c>
      <c r="DR60" s="735">
        <f>1-WWWW[[#This Row],[Hygiene Coverage%]]</f>
        <v>0.36139332365747456</v>
      </c>
      <c r="DS60" s="733">
        <f>WWWW[[#This Row],['# people reached by regular dedicated hygiene promotion_5]]/WWWW[[#This Row],[Total PoP ]]</f>
        <v>0</v>
      </c>
      <c r="DT6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0.81967213114754101</v>
      </c>
      <c r="DV60" s="734">
        <f>WWWW[[#This Row],['#_Constructed/Existing hand washing stations]]-WWWW[[#This Row],['#_Non-Functional_hand_washing_stations]]</f>
        <v>3</v>
      </c>
      <c r="DW60" s="731">
        <f>IF(WWWW[[#This Row],['# Functional hand washing stations during reporting period]]*20&gt;WWWW[[#This Row],[Total HH]],WWWW[[#This Row],[Total HH]],WWWW[[#This Row],['# Functional hand washing stations during reporting period]]*20)</f>
        <v>60</v>
      </c>
      <c r="DX60" s="731">
        <f>IF(WWWW[[#This Row],[Is sufficient soap available for TLS? (Yes/No)]]="yes",WWWW[[#This Row],['#_Constructed/Existing hand washing stations at TLS/CFS/THF]],0)</f>
        <v>0</v>
      </c>
      <c r="DY60" s="428">
        <f>IF(WWWW[[#This Row],['# Functional hand washing stations during reporting period]]*100&gt;WWWW[[#This Row],[Total PoP ]],WWWW[[#This Row],[Total PoP ]],WWWW[[#This Row],['# Functional hand washing stations during reporting period]]*100)</f>
        <v>300</v>
      </c>
      <c r="DZ60" s="428" t="str">
        <f>IF(OR(WWWW[[#This Row],['#_students at TLS_CFS]]="",WWWW[[#This Row],['#_students at TLS_CFS]]=0),"No","Yes")</f>
        <v>No</v>
      </c>
      <c r="EA6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0" s="727" t="str">
        <f>VLOOKUP(WWWW[[#This Row],[Site Name]],SiteDB6[[Site Name]:[CCCM Management]],6,FALSE)</f>
        <v>Yes</v>
      </c>
      <c r="EF60" s="727" t="str">
        <f>VLOOKUP(WWWW[[#This Row],[Site Name]],SiteDB6[[Site Name]:[CCCM Focal Agency]],7,FALSE)</f>
        <v>Shalom</v>
      </c>
      <c r="EG60" s="727" t="str">
        <f>VLOOKUP(WWWW[[#This Row],[Site Name]],SiteDB6[[Site Name]:[Location Type 1]],9,FALSE)</f>
        <v>Camp</v>
      </c>
      <c r="EH60" s="727" t="str">
        <f>VLOOKUP(WWWW[[#This Row],[Site Name]],SiteDB6[[Site Name]:[Type of Accommodation]],10,FALSE)</f>
        <v>Camp</v>
      </c>
      <c r="EI60" s="727" t="str">
        <f>VLOOKUP(WWWW[[#This Row],[Site Name]],SiteDB6[[Site Name]:[Ethnic or GCA/NGCA]],11,FALSE)</f>
        <v>GCA</v>
      </c>
      <c r="EJ60" s="727">
        <f>VLOOKUP(WWWW[[#This Row],[Site Name]],SiteDB6[[Site Name]:[Lat]],12,FALSE)</f>
        <v>24.2631743589744</v>
      </c>
      <c r="EK60" s="727">
        <f>VLOOKUP(WWWW[[#This Row],[Site Name]],SiteDB6[[Site Name]:[Long]],13,FALSE)</f>
        <v>97.240183461538507</v>
      </c>
      <c r="EL60" s="727" t="str">
        <f>VLOOKUP(WWWW[[#This Row],[Site Name]],SiteDB6[[Site Name]:[Pcode]],3,FALSE)</f>
        <v>MMR001CMP049</v>
      </c>
      <c r="EM60" s="732" t="str">
        <f t="shared" si="0"/>
        <v>Covered</v>
      </c>
      <c r="EN60" s="732"/>
      <c r="EO60" s="727">
        <f>VLOOKUP(WWWW[[#This Row],[Site Name]],SiteDB6[[Site Name]:[Pop
(Kachin/Shan-CCCM as of July 2021)]],16,FALSE)</f>
        <v>134</v>
      </c>
      <c r="EP60" s="727">
        <f>VLOOKUP(WWWW[[#This Row],[Site Name]],SiteDB6[[Site Name]:[Pop
(Kachin/Shan-CCCM as of July 2021)]],17,FALSE)</f>
        <v>767</v>
      </c>
    </row>
    <row r="61" spans="1:146" hidden="1">
      <c r="A61" s="725" t="s">
        <v>2763</v>
      </c>
      <c r="B61" s="725" t="s">
        <v>309</v>
      </c>
      <c r="C61" s="726" t="s">
        <v>309</v>
      </c>
      <c r="D61" s="786"/>
      <c r="E61" s="786" t="s">
        <v>37</v>
      </c>
      <c r="F61" s="786" t="s">
        <v>142</v>
      </c>
      <c r="G61" s="591" t="str">
        <f>VLOOKUP(WWWW[[#This Row],[Site Name]],SiteDB6[[Site Name]:[Location Type]],8,FALSE)</f>
        <v>Camp</v>
      </c>
      <c r="H61" s="786" t="s">
        <v>2777</v>
      </c>
      <c r="I61" s="788">
        <v>40</v>
      </c>
      <c r="J61" s="788">
        <v>220</v>
      </c>
      <c r="K61" s="789"/>
      <c r="L61" s="790"/>
      <c r="M61" s="788"/>
      <c r="N61" s="788"/>
      <c r="O61" s="788"/>
      <c r="P61" s="788"/>
      <c r="Q61" s="791"/>
      <c r="R61" s="788"/>
      <c r="S61" s="788"/>
      <c r="T61" s="448"/>
      <c r="U61" s="788"/>
      <c r="V61" s="788"/>
      <c r="W61" s="788"/>
      <c r="X61" s="788"/>
      <c r="Y61" s="788"/>
      <c r="Z61" s="788"/>
      <c r="AA61" s="788"/>
      <c r="AB61" s="788"/>
      <c r="AC61" s="788"/>
      <c r="AD61" s="788"/>
      <c r="AE61" s="788"/>
      <c r="AF61" s="788"/>
      <c r="AG61" s="788"/>
      <c r="AH61" s="788"/>
      <c r="AI61" s="788"/>
      <c r="AJ61" s="788"/>
      <c r="AK61" s="788"/>
      <c r="AL61" s="788"/>
      <c r="AM61" s="788"/>
      <c r="AN61" s="788"/>
      <c r="AO61" s="788"/>
      <c r="AP61" s="792"/>
      <c r="AQ61" s="788"/>
      <c r="AR61" s="788"/>
      <c r="AS61" s="793"/>
      <c r="AT61" s="788"/>
      <c r="AU61" s="788"/>
      <c r="AV61" s="788"/>
      <c r="AW61" s="788"/>
      <c r="AX61" s="788"/>
      <c r="AY61" s="425" t="s">
        <v>140</v>
      </c>
      <c r="AZ61" s="860" t="s">
        <v>140</v>
      </c>
      <c r="BA61" s="788"/>
      <c r="BB61" s="788"/>
      <c r="BC61" s="788"/>
      <c r="BD61" s="448"/>
      <c r="BE61" s="448"/>
      <c r="BF61" s="787"/>
      <c r="BG61" s="788">
        <v>3</v>
      </c>
      <c r="BH61" s="788"/>
      <c r="BI61" s="788"/>
      <c r="BJ61" s="788">
        <v>2</v>
      </c>
      <c r="BK61" s="788"/>
      <c r="BL61" s="788"/>
      <c r="BM61" s="788"/>
      <c r="BN61" s="788">
        <v>10</v>
      </c>
      <c r="BO61" s="788">
        <v>18</v>
      </c>
      <c r="BP61" s="787"/>
      <c r="BQ61" s="794"/>
      <c r="BR61" s="793"/>
      <c r="BS61" s="787"/>
      <c r="BT61" s="423"/>
      <c r="BU61" s="423"/>
      <c r="BV61" s="425"/>
      <c r="BW61" s="423"/>
      <c r="BX61" s="448"/>
      <c r="BY61" s="448"/>
      <c r="BZ61" s="448"/>
      <c r="CA61" s="448"/>
      <c r="CB61" s="448"/>
      <c r="CC61" s="777"/>
      <c r="CD61" s="448"/>
      <c r="CE61" s="795" t="str">
        <f>IFERROR(WWWW[[#This Row],['#_Water sources passed]]/WWWW[[#This Row],['#_Water sources tested for fecal coliform ]],"no test")</f>
        <v>no test</v>
      </c>
      <c r="CF61" s="793" t="str">
        <f>IFERROR(WWWW[[#This Row],['#_Household passed]]/WWWW[[#This Row],['#_Household water samples tested for fecal coliform]],"no test")</f>
        <v>no test</v>
      </c>
      <c r="CG61" s="794" t="str">
        <f>IF(AND(WWWW[[#This Row],[% of water sources passed]]="no test",WWWW[[#This Row],[% Household passed]]="no test"),"No Test","Tested")</f>
        <v>No Test</v>
      </c>
      <c r="CH61" s="794">
        <f>WWWW[[#This Row],['#_Constructed/existing protected hand dug well]]-WWWW[[#This Row],['#_Non-functional protected hand dug well]]</f>
        <v>0</v>
      </c>
      <c r="CI61" s="794">
        <f>(WWWW[[#This Row],['#_Constructed/Existing tube wells/boreholes/handpumps_WASH_agency]]+WWWW[[#This Row],['#_Non-Cluster partner water tube-wells/boreholes/handpumps]])-WWWW[[#This Row],['#_Non-functional tube wells/boreholes/handpumps]]</f>
        <v>0</v>
      </c>
      <c r="CJ61" s="794">
        <f>WWWW[[#This Row],['#_Constructed/Existingwater storage tank with gravity fed reticulation system]]-WWWW[[#This Row],['#_Non-functional storage tank gravity fed reticulation system]]</f>
        <v>0</v>
      </c>
      <c r="CK61" s="794">
        <f>(WWWW[[#This Row],['#_Water_Liters_supplied_by_Water boating or water trucking]]/90)/15</f>
        <v>0</v>
      </c>
      <c r="CL61" s="794">
        <f>WWWW[[#This Row],['#_Water_Liters_from_Constructed/Existing water distribution system from river or natural spring]]/90/15</f>
        <v>0</v>
      </c>
      <c r="CM61" s="424">
        <f>IF(WWWW[[#This Row],['#_of water points in TLS/CFS]]*500&gt;WWWW[[#This Row],[Total PoP ]],WWWW[[#This Row],[Total PoP ]],WWWW[[#This Row],['#_of water points in TLS/CFS]]*500)</f>
        <v>0</v>
      </c>
      <c r="CN61" s="424">
        <f>IF(WWWW[[#This Row],['#_of water points in THF]]*500&gt;WWWW[[#This Row],[Total PoP ]],WWWW[[#This Row],[Total PoP ]],WWWW[[#This Row],['#_of water points in THF]]*500)</f>
        <v>0</v>
      </c>
      <c r="CO61"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61"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61" s="793">
        <f>IF(WWWW[[#This Row],[Location Type 1]]="Village",WWWW[[#This Row],[Access to safe drinking water for Village]],WWWW[[#This Row],[Access to safe drinking water for Camp]])</f>
        <v>0</v>
      </c>
      <c r="CR61" s="791">
        <f>WWWW[[#This Row],[%Equitable and continuous access to sufficient quantity of safe drinking water]]*WWWW[[#This Row],[Total PoP ]]</f>
        <v>0</v>
      </c>
      <c r="CS61" s="793">
        <f>IF((WWWW[[#This Row],['#_Constructed/Existing protected/fenced ponds]]*250)/WWWW[[#This Row],[Total PoP ]]&gt;1,1,(WWWW[[#This Row],['#_Constructed/Existing protected/fenced ponds]]*250)/WWWW[[#This Row],[Total PoP ]])</f>
        <v>0</v>
      </c>
      <c r="CT61" s="791">
        <f>WWWW[[#This Row],[% Access to unimproved water points]]*WWWW[[#This Row],[Total PoP ]]</f>
        <v>0</v>
      </c>
      <c r="CU61"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61"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61" s="791">
        <f>WWWW[[#This Row],[HRP1]]/500</f>
        <v>0</v>
      </c>
      <c r="CX61" s="796">
        <f>1-WWWW[[#This Row],[% Equitable and continuous access to sufficient quantity of domestic water]]</f>
        <v>1</v>
      </c>
      <c r="CY61" s="791">
        <f>WWWW[[#This Row],[%equitable and continuous access to sufficient quantity of safe drinking and domestic water''s GAP]]*WWWW[[#This Row],[Total PoP ]]</f>
        <v>220</v>
      </c>
      <c r="CZ61" s="794">
        <f>IF(WWWW[[#This Row],[Total required water points]]-WWWW[[#This Row],['#Water points coverage]]&lt;0,0,WWWW[[#This Row],[Total required water points]]-WWWW[[#This Row],['#Water points coverage]])</f>
        <v>1</v>
      </c>
      <c r="DA61" s="794">
        <f>ROUND(IF(WWWW[[#This Row],[Total PoP ]]&lt;500,1,WWWW[[#This Row],[Total PoP ]]/500),0)</f>
        <v>1</v>
      </c>
      <c r="DB61" s="794">
        <f>(WWWW[[#This Row],['#_Constructed latrines_by_WASHAgencies]]+WWWW[[#This Row],['#_Non Cluster partner latrines]])-WWWW[[#This Row],['#_Non-functional latrines]]</f>
        <v>0</v>
      </c>
      <c r="DC61" s="631">
        <f>WWWW[[#This Row],[HRP2]]/WWWW[[#This Row],[Total PoP ]]</f>
        <v>0</v>
      </c>
      <c r="DD61"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61"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1"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1" s="424">
        <f>IF(WWWW[[#This Row],['# of functional latrines in THF supported by WASH partners during the reporting period2]]="",0,WWWW[[#This Row],['# of functional latrines in THF supported by WASH partners during the reporting period2]]*50)</f>
        <v>0</v>
      </c>
      <c r="DH61" s="794">
        <f>ROUND(IF(WWWW[[#This Row],[Location Type 1]]="camp",WWWW[[#This Row],[Total PoP ]]/20,IF(WWWW[[#This Row],[Location Type 1]]="Temporary Location",WWWW[[#This Row],[Total PoP ]]/50,(WWWW[[#This Row],[Total PoP ]]/6))),0)</f>
        <v>11</v>
      </c>
      <c r="DI61" s="794">
        <f>IF(WWWW[[#This Row],[Total required Latrines]]-(WWWW[[#This Row],['#_Constructed latrines_by_WASHAgencies]]+WWWW[[#This Row],['#_Non Cluster partner latrines]])&lt;0,0,WWWW[[#This Row],[Total required Latrines]]-(WWWW[[#This Row],['#_Constructed latrines_by_WASHAgencies]]+WWWW[[#This Row],['#_Non Cluster partner latrines]]))</f>
        <v>11</v>
      </c>
      <c r="DJ61" s="796">
        <f>1-WWWW[[#This Row],[% people access to functioning Latrine]]</f>
        <v>1</v>
      </c>
      <c r="DK61" s="795">
        <f>IF(OR(WWWW[[#This Row],['#_Non-functional latrines]]="",WWWW[[#This Row],['#_Non-functional latrines]]=0),0,WWWW[[#This Row],['#_Non-functional latrines]]/(WWWW[[#This Row],['#_Constructed latrines_by_WASHAgencies]]+WWWW[[#This Row],['#_Non Cluster partner latrines]]))</f>
        <v>0</v>
      </c>
      <c r="DL61" s="791">
        <f>IF(500*(WWWW[[#This Row],['#_male hygiene promoters]]+WWWW[[#This Row],['#_female hygiene promoters]])&gt;WWWW[[#This Row],[Total PoP ]],WWWW[[#This Row],[Total PoP ]],500*(WWWW[[#This Row],['#_male hygiene promoters]]+WWWW[[#This Row],['#_female hygiene promoters]]))</f>
        <v>0</v>
      </c>
      <c r="DM61"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61"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61" s="794">
        <f>IF(WWWW[[#This Row],['# People with access to soap]]&gt;WWWW[[#This Row],['# People with access to Sanity Pads]],WWWW[[#This Row],['# People with access to soap]],WWWW[[#This Row],['# People with access to Sanity Pads]])</f>
        <v>50</v>
      </c>
      <c r="DP61" s="794">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61" s="796">
        <f>IF(WWWW[[#This Row],[HRP3]]/WWWW[[#This Row],[Total PoP ]]&gt;1,1,WWWW[[#This Row],[HRP3]]/WWWW[[#This Row],[Total PoP ]])</f>
        <v>0.22727272727272727</v>
      </c>
      <c r="DR61" s="795">
        <f>1-WWWW[[#This Row],[Hygiene Coverage%]]</f>
        <v>0.77272727272727271</v>
      </c>
      <c r="DS61" s="793">
        <f>WWWW[[#This Row],['# people reached by regular dedicated hygiene promotion_5]]/WWWW[[#This Row],[Total PoP ]]</f>
        <v>0</v>
      </c>
      <c r="DT61"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1"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0.45</v>
      </c>
      <c r="DV61" s="794">
        <f>WWWW[[#This Row],['#_Constructed/Existing hand washing stations]]-WWWW[[#This Row],['#_Non-Functional_hand_washing_stations]]</f>
        <v>3</v>
      </c>
      <c r="DW61" s="791">
        <f>IF(WWWW[[#This Row],['# Functional hand washing stations during reporting period]]*20&gt;WWWW[[#This Row],[Total HH]],WWWW[[#This Row],[Total HH]],WWWW[[#This Row],['# Functional hand washing stations during reporting period]]*20)</f>
        <v>40</v>
      </c>
      <c r="DX61" s="791">
        <f>IF(WWWW[[#This Row],[Is sufficient soap available for TLS? (Yes/No)]]="yes",WWWW[[#This Row],['#_Constructed/Existing hand washing stations at TLS/CFS/THF]],0)</f>
        <v>0</v>
      </c>
      <c r="DY61" s="428">
        <f>IF(WWWW[[#This Row],['# Functional hand washing stations during reporting period]]*100&gt;WWWW[[#This Row],[Total PoP ]],WWWW[[#This Row],[Total PoP ]],WWWW[[#This Row],['# Functional hand washing stations during reporting period]]*100)</f>
        <v>220</v>
      </c>
      <c r="DZ61" s="428" t="str">
        <f>IF(OR(WWWW[[#This Row],['#_students at TLS_CFS]]="",WWWW[[#This Row],['#_students at TLS_CFS]]=0),"No","Yes")</f>
        <v>No</v>
      </c>
      <c r="EA6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1" s="787">
        <f>VLOOKUP(WWWW[[#This Row],[Site Name]],SiteDB6[[Site Name]:[CCCM Management]],6,FALSE)</f>
        <v>0</v>
      </c>
      <c r="EF61" s="787" t="str">
        <f>VLOOKUP(WWWW[[#This Row],[Site Name]],SiteDB6[[Site Name]:[CCCM Focal Agency]],7,FALSE)</f>
        <v xml:space="preserve">Uncovered  </v>
      </c>
      <c r="EG61" s="787" t="str">
        <f>VLOOKUP(WWWW[[#This Row],[Site Name]],SiteDB6[[Site Name]:[Location Type 1]],9,FALSE)</f>
        <v>Camp</v>
      </c>
      <c r="EH61" s="787" t="str">
        <f>VLOOKUP(WWWW[[#This Row],[Site Name]],SiteDB6[[Site Name]:[Type of Accommodation]],10,FALSE)</f>
        <v>Camp like setting</v>
      </c>
      <c r="EI61" s="787" t="str">
        <f>VLOOKUP(WWWW[[#This Row],[Site Name]],SiteDB6[[Site Name]:[Ethnic or GCA/NGCA]],11,FALSE)</f>
        <v>GCA</v>
      </c>
      <c r="EJ61" s="787">
        <f>VLOOKUP(WWWW[[#This Row],[Site Name]],SiteDB6[[Site Name]:[Lat]],12,FALSE)</f>
        <v>25.210599999999999</v>
      </c>
      <c r="EK61" s="787">
        <f>VLOOKUP(WWWW[[#This Row],[Site Name]],SiteDB6[[Site Name]:[Long]],13,FALSE)</f>
        <v>97.264700000000005</v>
      </c>
      <c r="EL61" s="787" t="str">
        <f>VLOOKUP(WWWW[[#This Row],[Site Name]],SiteDB6[[Site Name]:[Pcode]],3,FALSE)</f>
        <v>MMR001CMP289</v>
      </c>
      <c r="EM61" s="792" t="str">
        <f t="shared" si="0"/>
        <v>Notcovered</v>
      </c>
      <c r="EN61" s="792"/>
      <c r="EO61" s="787">
        <f>VLOOKUP(WWWW[[#This Row],[Site Name]],SiteDB6[[Site Name]:[Pop
(Kachin/Shan-CCCM as of July 2021)]],16,FALSE)</f>
        <v>40</v>
      </c>
      <c r="EP61" s="787">
        <f>VLOOKUP(WWWW[[#This Row],[Site Name]],SiteDB6[[Site Name]:[Pop
(Kachin/Shan-CCCM as of July 2021)]],17,FALSE)</f>
        <v>220</v>
      </c>
    </row>
    <row r="62" spans="1:146" hidden="1">
      <c r="A62" s="725" t="s">
        <v>2763</v>
      </c>
      <c r="B62" s="725" t="s">
        <v>276</v>
      </c>
      <c r="C62" s="726" t="s">
        <v>276</v>
      </c>
      <c r="D62" s="369" t="s">
        <v>292</v>
      </c>
      <c r="E62" s="726" t="s">
        <v>37</v>
      </c>
      <c r="F62" s="726" t="s">
        <v>205</v>
      </c>
      <c r="G62" s="591" t="str">
        <f>VLOOKUP(WWWW[[#This Row],[Site Name]],SiteDB6[[Site Name]:[Location Type]],8,FALSE)</f>
        <v>Camp</v>
      </c>
      <c r="H62" s="726" t="s">
        <v>281</v>
      </c>
      <c r="I62" s="448">
        <v>39</v>
      </c>
      <c r="J62" s="448">
        <v>239</v>
      </c>
      <c r="K62" s="588">
        <v>44652</v>
      </c>
      <c r="L62" s="589">
        <v>44895</v>
      </c>
      <c r="M62" s="728"/>
      <c r="N62" s="728"/>
      <c r="O62" s="728"/>
      <c r="P62" s="728"/>
      <c r="Q62" s="731" t="s">
        <v>41</v>
      </c>
      <c r="R62" s="728">
        <v>3</v>
      </c>
      <c r="S62" s="728">
        <v>6</v>
      </c>
      <c r="T62" s="448">
        <v>1</v>
      </c>
      <c r="U62" s="728"/>
      <c r="V62" s="728"/>
      <c r="W62" s="728"/>
      <c r="X62" s="728"/>
      <c r="Y62" s="728"/>
      <c r="Z62" s="728"/>
      <c r="AA62" s="728">
        <v>1</v>
      </c>
      <c r="AB62" s="728"/>
      <c r="AC62" s="728"/>
      <c r="AD62" s="728"/>
      <c r="AE62" s="728"/>
      <c r="AF62" s="728"/>
      <c r="AG62" s="728"/>
      <c r="AH62" s="728"/>
      <c r="AI62" s="742"/>
      <c r="AJ62" s="742"/>
      <c r="AK62" s="742"/>
      <c r="AL62" s="742"/>
      <c r="AM62" s="728">
        <v>5</v>
      </c>
      <c r="AN62" s="728"/>
      <c r="AO62" s="728"/>
      <c r="AP62" s="732"/>
      <c r="AQ62" s="728">
        <v>9</v>
      </c>
      <c r="AR62" s="728"/>
      <c r="AS62" s="733"/>
      <c r="AT62" s="728"/>
      <c r="AU62" s="742"/>
      <c r="AV62" s="742"/>
      <c r="AW62" s="742"/>
      <c r="AX62" s="728"/>
      <c r="AY62" s="727" t="s">
        <v>41</v>
      </c>
      <c r="AZ62" s="732" t="s">
        <v>137</v>
      </c>
      <c r="BA62" s="728"/>
      <c r="BB62" s="728"/>
      <c r="BC62" s="728"/>
      <c r="BD62" s="448"/>
      <c r="BE62" s="448">
        <v>2</v>
      </c>
      <c r="BF62" s="727"/>
      <c r="BG62" s="728">
        <v>4</v>
      </c>
      <c r="BH62" s="728"/>
      <c r="BI62" s="728"/>
      <c r="BJ62" s="728">
        <v>1</v>
      </c>
      <c r="BK62" s="728"/>
      <c r="BL62" s="728"/>
      <c r="BM62" s="728">
        <v>1</v>
      </c>
      <c r="BN62" s="742"/>
      <c r="BO62" s="728"/>
      <c r="BP62" s="727"/>
      <c r="BQ62" s="744"/>
      <c r="BR62" s="733"/>
      <c r="BS62" s="727"/>
      <c r="BT62" s="423">
        <v>1</v>
      </c>
      <c r="BU62" s="423">
        <v>1</v>
      </c>
      <c r="BV62" s="425">
        <v>7</v>
      </c>
      <c r="BW62" s="423">
        <v>0.5</v>
      </c>
      <c r="BX62" s="448"/>
      <c r="BY62" s="448"/>
      <c r="BZ62" s="448"/>
      <c r="CA62" s="448"/>
      <c r="CB62" s="448"/>
      <c r="CC62" s="777"/>
      <c r="CD62" s="448"/>
      <c r="CE62" s="735" t="str">
        <f>IFERROR(WWWW[[#This Row],['#_Water sources passed]]/WWWW[[#This Row],['#_Water sources tested for fecal coliform ]],"no test")</f>
        <v>no test</v>
      </c>
      <c r="CF62" s="733" t="str">
        <f>IFERROR(WWWW[[#This Row],['#_Household passed]]/WWWW[[#This Row],['#_Household water samples tested for fecal coliform]],"no test")</f>
        <v>no test</v>
      </c>
      <c r="CG62" s="734" t="str">
        <f>IF(AND(WWWW[[#This Row],[% of water sources passed]]="no test",WWWW[[#This Row],[% Household passed]]="no test"),"No Test","Tested")</f>
        <v>No Test</v>
      </c>
      <c r="CH62" s="734">
        <f>WWWW[[#This Row],['#_Constructed/existing protected hand dug well]]-WWWW[[#This Row],['#_Non-functional protected hand dug well]]</f>
        <v>1</v>
      </c>
      <c r="CI62" s="734">
        <f>(WWWW[[#This Row],['#_Constructed/Existing tube wells/boreholes/handpumps_WASH_agency]]+WWWW[[#This Row],['#_Non-Cluster partner water tube-wells/boreholes/handpumps]])-WWWW[[#This Row],['#_Non-functional tube wells/boreholes/handpumps]]</f>
        <v>0</v>
      </c>
      <c r="CJ62" s="734">
        <f>WWWW[[#This Row],['#_Constructed/Existingwater storage tank with gravity fed reticulation system]]-WWWW[[#This Row],['#_Non-functional storage tank gravity fed reticulation system]]</f>
        <v>1</v>
      </c>
      <c r="CK62" s="734">
        <f>(WWWW[[#This Row],['#_Water_Liters_supplied_by_Water boating or water trucking]]/90)/15</f>
        <v>0</v>
      </c>
      <c r="CL62" s="734">
        <f>WWWW[[#This Row],['#_Water_Liters_from_Constructed/Existing water distribution system from river or natural spring]]/90/15</f>
        <v>0</v>
      </c>
      <c r="CM62" s="424">
        <f>IF(WWWW[[#This Row],['#_of water points in TLS/CFS]]*500&gt;WWWW[[#This Row],[Total PoP ]],WWWW[[#This Row],[Total PoP ]],WWWW[[#This Row],['#_of water points in TLS/CFS]]*500)</f>
        <v>0</v>
      </c>
      <c r="CN62" s="424">
        <f>IF(WWWW[[#This Row],['#_of water points in THF]]*500&gt;WWWW[[#This Row],[Total PoP ]],WWWW[[#This Row],[Total PoP ]],WWWW[[#This Row],['#_of water points in THF]]*500)</f>
        <v>0</v>
      </c>
      <c r="CO6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2" s="733">
        <f>IF(WWWW[[#This Row],[Location Type 1]]="Village",WWWW[[#This Row],[Access to safe drinking water for Village]],WWWW[[#This Row],[Access to safe drinking water for Camp]])</f>
        <v>1</v>
      </c>
      <c r="CR62" s="731">
        <f>WWWW[[#This Row],[%Equitable and continuous access to sufficient quantity of safe drinking water]]*WWWW[[#This Row],[Total PoP ]]</f>
        <v>239</v>
      </c>
      <c r="CS62" s="733">
        <f>IF((WWWW[[#This Row],['#_Constructed/Existing protected/fenced ponds]]*250)/WWWW[[#This Row],[Total PoP ]]&gt;1,1,(WWWW[[#This Row],['#_Constructed/Existing protected/fenced ponds]]*250)/WWWW[[#This Row],[Total PoP ]])</f>
        <v>0</v>
      </c>
      <c r="CT62" s="731">
        <f>WWWW[[#This Row],[% Access to unimproved water points]]*WWWW[[#This Row],[Total PoP ]]</f>
        <v>0</v>
      </c>
      <c r="CU6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239</v>
      </c>
      <c r="CW62" s="731">
        <f>WWWW[[#This Row],[HRP1]]/500</f>
        <v>0.47799999999999998</v>
      </c>
      <c r="CX62" s="736">
        <f>1-WWWW[[#This Row],[% Equitable and continuous access to sufficient quantity of domestic water]]</f>
        <v>0</v>
      </c>
      <c r="CY62" s="731">
        <f>WWWW[[#This Row],[%equitable and continuous access to sufficient quantity of safe drinking and domestic water''s GAP]]*WWWW[[#This Row],[Total PoP ]]</f>
        <v>0</v>
      </c>
      <c r="CZ62" s="734">
        <f>IF(WWWW[[#This Row],[Total required water points]]-WWWW[[#This Row],['#Water points coverage]]&lt;0,0,WWWW[[#This Row],[Total required water points]]-WWWW[[#This Row],['#Water points coverage]])</f>
        <v>0.52200000000000002</v>
      </c>
      <c r="DA62" s="734">
        <f>ROUND(IF(WWWW[[#This Row],[Total PoP ]]&lt;500,1,WWWW[[#This Row],[Total PoP ]]/500),0)</f>
        <v>1</v>
      </c>
      <c r="DB62" s="734">
        <f>(WWWW[[#This Row],['#_Constructed latrines_by_WASHAgencies]]+WWWW[[#This Row],['#_Non Cluster partner latrines]])-WWWW[[#This Row],['#_Non-functional latrines]]</f>
        <v>9</v>
      </c>
      <c r="DC62" s="631">
        <f>WWWW[[#This Row],[HRP2]]/WWWW[[#This Row],[Total PoP ]]</f>
        <v>0.7615062761506276</v>
      </c>
      <c r="DD6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DE6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2" s="424">
        <f>IF(WWWW[[#This Row],['# of functional latrines in THF supported by WASH partners during the reporting period2]]="",0,WWWW[[#This Row],['# of functional latrines in THF supported by WASH partners during the reporting period2]]*50)</f>
        <v>0</v>
      </c>
      <c r="DH62" s="734">
        <f>ROUND(IF(WWWW[[#This Row],[Location Type 1]]="camp",WWWW[[#This Row],[Total PoP ]]/20,IF(WWWW[[#This Row],[Location Type 1]]="Temporary Location",WWWW[[#This Row],[Total PoP ]]/50,(WWWW[[#This Row],[Total PoP ]]/6))),0)</f>
        <v>12</v>
      </c>
      <c r="DI62" s="734">
        <f>IF(WWWW[[#This Row],[Total required Latrines]]-(WWWW[[#This Row],['#_Constructed latrines_by_WASHAgencies]]+WWWW[[#This Row],['#_Non Cluster partner latrines]])&lt;0,0,WWWW[[#This Row],[Total required Latrines]]-(WWWW[[#This Row],['#_Constructed latrines_by_WASHAgencies]]+WWWW[[#This Row],['#_Non Cluster partner latrines]]))</f>
        <v>3</v>
      </c>
      <c r="DJ62" s="736">
        <f>1-WWWW[[#This Row],[% people access to functioning Latrine]]</f>
        <v>0.2384937238493724</v>
      </c>
      <c r="DK62" s="735">
        <f>IF(OR(WWWW[[#This Row],['#_Non-functional latrines]]="",WWWW[[#This Row],['#_Non-functional latrines]]=0),0,WWWW[[#This Row],['#_Non-functional latrines]]/(WWWW[[#This Row],['#_Constructed latrines_by_WASHAgencies]]+WWWW[[#This Row],['#_Non Cluster partner latrines]]))</f>
        <v>0</v>
      </c>
      <c r="DL62" s="731">
        <f>IF(500*(WWWW[[#This Row],['#_male hygiene promoters]]+WWWW[[#This Row],['#_female hygiene promoters]])&gt;WWWW[[#This Row],[Total PoP ]],WWWW[[#This Row],[Total PoP ]],500*(WWWW[[#This Row],['#_male hygiene promoters]]+WWWW[[#This Row],['#_female hygiene promoters]]))</f>
        <v>239</v>
      </c>
      <c r="DM6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6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62" s="734">
        <f>IF(WWWW[[#This Row],['# People with access to soap]]&gt;WWWW[[#This Row],['# People with access to Sanity Pads]],WWWW[[#This Row],['# People with access to soap]],WWWW[[#This Row],['# People with access to Sanity Pads]])</f>
        <v>0</v>
      </c>
      <c r="DP62" s="734">
        <f>IF(WWWW[[#This Row],['# people reached by regular dedicated hygiene promotion_5]]&gt;WWWW[[#This Row],['# People received regular supply of hygiene items_6]],WWWW[[#This Row],['# people reached by regular dedicated hygiene promotion_5]],WWWW[[#This Row],['# People received regular supply of hygiene items_6]])</f>
        <v>239</v>
      </c>
      <c r="DQ62" s="736">
        <f>IF(WWWW[[#This Row],[HRP3]]/WWWW[[#This Row],[Total PoP ]]&gt;1,1,WWWW[[#This Row],[HRP3]]/WWWW[[#This Row],[Total PoP ]])</f>
        <v>1</v>
      </c>
      <c r="DR62" s="735">
        <f>1-WWWW[[#This Row],[Hygiene Coverage%]]</f>
        <v>0</v>
      </c>
      <c r="DS62" s="733">
        <f>WWWW[[#This Row],['# people reached by regular dedicated hygiene promotion_5]]/WWWW[[#This Row],[Total PoP ]]</f>
        <v>1</v>
      </c>
      <c r="DT6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6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62" s="734">
        <f>WWWW[[#This Row],['#_Constructed/Existing hand washing stations]]-WWWW[[#This Row],['#_Non-Functional_hand_washing_stations]]</f>
        <v>4</v>
      </c>
      <c r="DW62" s="731">
        <f>IF(WWWW[[#This Row],['# Functional hand washing stations during reporting period]]*20&gt;WWWW[[#This Row],[Total HH]],WWWW[[#This Row],[Total HH]],WWWW[[#This Row],['# Functional hand washing stations during reporting period]]*20)</f>
        <v>39</v>
      </c>
      <c r="DX62" s="731">
        <f>IF(WWWW[[#This Row],[Is sufficient soap available for TLS? (Yes/No)]]="yes",WWWW[[#This Row],['#_Constructed/Existing hand washing stations at TLS/CFS/THF]],0)</f>
        <v>0</v>
      </c>
      <c r="DY62" s="428">
        <f>IF(WWWW[[#This Row],['# Functional hand washing stations during reporting period]]*100&gt;WWWW[[#This Row],[Total PoP ]],WWWW[[#This Row],[Total PoP ]],WWWW[[#This Row],['# Functional hand washing stations during reporting period]]*100)</f>
        <v>239</v>
      </c>
      <c r="DZ62" s="428" t="str">
        <f>IF(OR(WWWW[[#This Row],['#_students at TLS_CFS]]="",WWWW[[#This Row],['#_students at TLS_CFS]]=0),"No","Yes")</f>
        <v>No</v>
      </c>
      <c r="EA62" s="631">
        <f>IF(WWWW[[#This Row],['#_of_affected_people_surveyed_who_report_feeling_informed_about_the_different_WASH_services_available_to_them]]="","",WWWW[[#This Row],['#_of_affected_people_surveyed_who_report_feeling_informed_about_the_different_WASH_services_available_to_them]]/WWWW[[#This Row],[Total PoP ]])</f>
        <v>2.9288702928870293E-2</v>
      </c>
      <c r="EB6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2" s="727" t="str">
        <f>VLOOKUP(WWWW[[#This Row],[Site Name]],SiteDB6[[Site Name]:[CCCM Management]],6,FALSE)</f>
        <v>Yes</v>
      </c>
      <c r="EF62" s="727" t="str">
        <f>VLOOKUP(WWWW[[#This Row],[Site Name]],SiteDB6[[Site Name]:[CCCM Focal Agency]],7,FALSE)</f>
        <v>KBC-BMO</v>
      </c>
      <c r="EG62" s="727" t="str">
        <f>VLOOKUP(WWWW[[#This Row],[Site Name]],SiteDB6[[Site Name]:[Location Type 1]],9,FALSE)</f>
        <v>Camp</v>
      </c>
      <c r="EH62" s="727" t="str">
        <f>VLOOKUP(WWWW[[#This Row],[Site Name]],SiteDB6[[Site Name]:[Type of Accommodation]],10,FALSE)</f>
        <v>Camp</v>
      </c>
      <c r="EI62" s="727" t="str">
        <f>VLOOKUP(WWWW[[#This Row],[Site Name]],SiteDB6[[Site Name]:[Ethnic or GCA/NGCA]],11,FALSE)</f>
        <v>GCA</v>
      </c>
      <c r="EJ62" s="727">
        <f>VLOOKUP(WWWW[[#This Row],[Site Name]],SiteDB6[[Site Name]:[Lat]],12,FALSE)</f>
        <v>24.200972</v>
      </c>
      <c r="EK62" s="727">
        <f>VLOOKUP(WWWW[[#This Row],[Site Name]],SiteDB6[[Site Name]:[Long]],13,FALSE)</f>
        <v>97.718582999999995</v>
      </c>
      <c r="EL62" s="727" t="str">
        <f>VLOOKUP(WWWW[[#This Row],[Site Name]],SiteDB6[[Site Name]:[Pcode]],3,FALSE)</f>
        <v>MMR001CMP071</v>
      </c>
      <c r="EM62" s="732" t="str">
        <f t="shared" si="0"/>
        <v>Covered</v>
      </c>
      <c r="EN62" s="732"/>
      <c r="EO62" s="727">
        <f>VLOOKUP(WWWW[[#This Row],[Site Name]],SiteDB6[[Site Name]:[Pop
(Kachin/Shan-CCCM as of July 2021)]],16,FALSE)</f>
        <v>40</v>
      </c>
      <c r="EP62" s="727">
        <f>VLOOKUP(WWWW[[#This Row],[Site Name]],SiteDB6[[Site Name]:[Pop
(Kachin/Shan-CCCM as of July 2021)]],17,FALSE)</f>
        <v>247</v>
      </c>
    </row>
    <row r="63" spans="1:146" hidden="1">
      <c r="A63" s="725" t="s">
        <v>2763</v>
      </c>
      <c r="B63" s="725" t="s">
        <v>276</v>
      </c>
      <c r="C63" s="726" t="s">
        <v>276</v>
      </c>
      <c r="D63" s="369" t="s">
        <v>292</v>
      </c>
      <c r="E63" s="726" t="s">
        <v>37</v>
      </c>
      <c r="F63" s="726" t="s">
        <v>205</v>
      </c>
      <c r="G63" s="591" t="str">
        <f>VLOOKUP(WWWW[[#This Row],[Site Name]],SiteDB6[[Site Name]:[Location Type]],8,FALSE)</f>
        <v>Camp</v>
      </c>
      <c r="H63" s="726" t="s">
        <v>282</v>
      </c>
      <c r="I63" s="448">
        <v>68</v>
      </c>
      <c r="J63" s="448">
        <v>426</v>
      </c>
      <c r="K63" s="588">
        <v>44652</v>
      </c>
      <c r="L63" s="589">
        <v>44895</v>
      </c>
      <c r="M63" s="728"/>
      <c r="N63" s="728"/>
      <c r="O63" s="728"/>
      <c r="P63" s="728"/>
      <c r="Q63" s="731" t="s">
        <v>41</v>
      </c>
      <c r="R63" s="728">
        <v>5</v>
      </c>
      <c r="S63" s="728">
        <v>6</v>
      </c>
      <c r="T63" s="448"/>
      <c r="U63" s="728"/>
      <c r="V63" s="728"/>
      <c r="W63" s="728">
        <v>1</v>
      </c>
      <c r="X63" s="728"/>
      <c r="Y63" s="728"/>
      <c r="Z63" s="728"/>
      <c r="AA63" s="728">
        <v>1</v>
      </c>
      <c r="AB63" s="728"/>
      <c r="AC63" s="728"/>
      <c r="AD63" s="728"/>
      <c r="AE63" s="728"/>
      <c r="AF63" s="728"/>
      <c r="AG63" s="728"/>
      <c r="AH63" s="728"/>
      <c r="AI63" s="742"/>
      <c r="AJ63" s="742"/>
      <c r="AK63" s="742"/>
      <c r="AL63" s="742"/>
      <c r="AM63" s="728"/>
      <c r="AN63" s="728"/>
      <c r="AO63" s="728"/>
      <c r="AP63" s="732"/>
      <c r="AQ63" s="728">
        <v>6</v>
      </c>
      <c r="AR63" s="728"/>
      <c r="AS63" s="733"/>
      <c r="AT63" s="728"/>
      <c r="AU63" s="742"/>
      <c r="AV63" s="742"/>
      <c r="AW63" s="742"/>
      <c r="AX63" s="728"/>
      <c r="AY63" s="727" t="s">
        <v>41</v>
      </c>
      <c r="AZ63" s="732" t="s">
        <v>137</v>
      </c>
      <c r="BA63" s="728"/>
      <c r="BB63" s="728"/>
      <c r="BC63" s="728"/>
      <c r="BD63" s="448"/>
      <c r="BE63" s="448">
        <v>6</v>
      </c>
      <c r="BF63" s="727"/>
      <c r="BG63" s="728"/>
      <c r="BH63" s="728"/>
      <c r="BI63" s="728"/>
      <c r="BJ63" s="728">
        <v>1</v>
      </c>
      <c r="BK63" s="728"/>
      <c r="BL63" s="728"/>
      <c r="BM63" s="728">
        <v>1</v>
      </c>
      <c r="BN63" s="742"/>
      <c r="BO63" s="728"/>
      <c r="BP63" s="727"/>
      <c r="BQ63" s="744"/>
      <c r="BR63" s="733"/>
      <c r="BS63" s="727"/>
      <c r="BT63" s="903">
        <v>1</v>
      </c>
      <c r="BU63" s="903">
        <v>1</v>
      </c>
      <c r="BV63" s="590">
        <v>10</v>
      </c>
      <c r="BW63" s="903"/>
      <c r="BX63" s="448"/>
      <c r="BY63" s="448"/>
      <c r="BZ63" s="448"/>
      <c r="CA63" s="448"/>
      <c r="CB63" s="448"/>
      <c r="CC63" s="777"/>
      <c r="CD63" s="448"/>
      <c r="CE63" s="735" t="str">
        <f>IFERROR(WWWW[[#This Row],['#_Water sources passed]]/WWWW[[#This Row],['#_Water sources tested for fecal coliform ]],"no test")</f>
        <v>no test</v>
      </c>
      <c r="CF63" s="733" t="str">
        <f>IFERROR(WWWW[[#This Row],['#_Household passed]]/WWWW[[#This Row],['#_Household water samples tested for fecal coliform]],"no test")</f>
        <v>no test</v>
      </c>
      <c r="CG63" s="734" t="str">
        <f>IF(AND(WWWW[[#This Row],[% of water sources passed]]="no test",WWWW[[#This Row],[% Household passed]]="no test"),"No Test","Tested")</f>
        <v>No Test</v>
      </c>
      <c r="CH63" s="734">
        <f>WWWW[[#This Row],['#_Constructed/existing protected hand dug well]]-WWWW[[#This Row],['#_Non-functional protected hand dug well]]</f>
        <v>0</v>
      </c>
      <c r="CI63" s="734">
        <f>(WWWW[[#This Row],['#_Constructed/Existing tube wells/boreholes/handpumps_WASH_agency]]+WWWW[[#This Row],['#_Non-Cluster partner water tube-wells/boreholes/handpumps]])-WWWW[[#This Row],['#_Non-functional tube wells/boreholes/handpumps]]</f>
        <v>1</v>
      </c>
      <c r="CJ63" s="734">
        <f>WWWW[[#This Row],['#_Constructed/Existingwater storage tank with gravity fed reticulation system]]-WWWW[[#This Row],['#_Non-functional storage tank gravity fed reticulation system]]</f>
        <v>1</v>
      </c>
      <c r="CK63" s="734">
        <f>(WWWW[[#This Row],['#_Water_Liters_supplied_by_Water boating or water trucking]]/90)/15</f>
        <v>0</v>
      </c>
      <c r="CL63" s="734">
        <f>WWWW[[#This Row],['#_Water_Liters_from_Constructed/Existing water distribution system from river or natural spring]]/90/15</f>
        <v>0</v>
      </c>
      <c r="CM63" s="424">
        <f>IF(WWWW[[#This Row],['#_of water points in TLS/CFS]]*500&gt;WWWW[[#This Row],[Total PoP ]],WWWW[[#This Row],[Total PoP ]],WWWW[[#This Row],['#_of water points in TLS/CFS]]*500)</f>
        <v>0</v>
      </c>
      <c r="CN63" s="424">
        <f>IF(WWWW[[#This Row],['#_of water points in THF]]*500&gt;WWWW[[#This Row],[Total PoP ]],WWWW[[#This Row],[Total PoP ]],WWWW[[#This Row],['#_of water points in THF]]*500)</f>
        <v>0</v>
      </c>
      <c r="CO6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0.74334898278560257</v>
      </c>
      <c r="CQ63" s="733">
        <f>IF(WWWW[[#This Row],[Location Type 1]]="Village",WWWW[[#This Row],[Access to safe drinking water for Village]],WWWW[[#This Row],[Access to safe drinking water for Camp]])</f>
        <v>1</v>
      </c>
      <c r="CR63" s="731">
        <f>WWWW[[#This Row],[%Equitable and continuous access to sufficient quantity of safe drinking water]]*WWWW[[#This Row],[Total PoP ]]</f>
        <v>426</v>
      </c>
      <c r="CS63" s="733">
        <f>IF((WWWW[[#This Row],['#_Constructed/Existing protected/fenced ponds]]*250)/WWWW[[#This Row],[Total PoP ]]&gt;1,1,(WWWW[[#This Row],['#_Constructed/Existing protected/fenced ponds]]*250)/WWWW[[#This Row],[Total PoP ]])</f>
        <v>0</v>
      </c>
      <c r="CT63" s="731">
        <f>WWWW[[#This Row],[% Access to unimproved water points]]*WWWW[[#This Row],[Total PoP ]]</f>
        <v>0</v>
      </c>
      <c r="CU6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W63" s="731">
        <f>WWWW[[#This Row],[HRP1]]/500</f>
        <v>0.85199999999999998</v>
      </c>
      <c r="CX63" s="736">
        <f>1-WWWW[[#This Row],[% Equitable and continuous access to sufficient quantity of domestic water]]</f>
        <v>0</v>
      </c>
      <c r="CY63" s="731">
        <f>WWWW[[#This Row],[%equitable and continuous access to sufficient quantity of safe drinking and domestic water''s GAP]]*WWWW[[#This Row],[Total PoP ]]</f>
        <v>0</v>
      </c>
      <c r="CZ63" s="734">
        <f>IF(WWWW[[#This Row],[Total required water points]]-WWWW[[#This Row],['#Water points coverage]]&lt;0,0,WWWW[[#This Row],[Total required water points]]-WWWW[[#This Row],['#Water points coverage]])</f>
        <v>0.14800000000000002</v>
      </c>
      <c r="DA63" s="734">
        <f>ROUND(IF(WWWW[[#This Row],[Total PoP ]]&lt;500,1,WWWW[[#This Row],[Total PoP ]]/500),0)</f>
        <v>1</v>
      </c>
      <c r="DB63" s="734">
        <f>(WWWW[[#This Row],['#_Constructed latrines_by_WASHAgencies]]+WWWW[[#This Row],['#_Non Cluster partner latrines]])-WWWW[[#This Row],['#_Non-functional latrines]]</f>
        <v>6</v>
      </c>
      <c r="DC63" s="631">
        <f>WWWW[[#This Row],[HRP2]]/WWWW[[#This Row],[Total PoP ]]</f>
        <v>0.29577464788732394</v>
      </c>
      <c r="DD6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126</v>
      </c>
      <c r="DE6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3" s="424">
        <f>IF(WWWW[[#This Row],['# of functional latrines in THF supported by WASH partners during the reporting period2]]="",0,WWWW[[#This Row],['# of functional latrines in THF supported by WASH partners during the reporting period2]]*50)</f>
        <v>0</v>
      </c>
      <c r="DH63" s="734">
        <f>ROUND(IF(WWWW[[#This Row],[Location Type 1]]="camp",WWWW[[#This Row],[Total PoP ]]/20,IF(WWWW[[#This Row],[Location Type 1]]="Temporary Location",WWWW[[#This Row],[Total PoP ]]/50,(WWWW[[#This Row],[Total PoP ]]/6))),0)</f>
        <v>21</v>
      </c>
      <c r="DI63" s="734">
        <f>IF(WWWW[[#This Row],[Total required Latrines]]-(WWWW[[#This Row],['#_Constructed latrines_by_WASHAgencies]]+WWWW[[#This Row],['#_Non Cluster partner latrines]])&lt;0,0,WWWW[[#This Row],[Total required Latrines]]-(WWWW[[#This Row],['#_Constructed latrines_by_WASHAgencies]]+WWWW[[#This Row],['#_Non Cluster partner latrines]]))</f>
        <v>15</v>
      </c>
      <c r="DJ63" s="736">
        <f>1-WWWW[[#This Row],[% people access to functioning Latrine]]</f>
        <v>0.70422535211267601</v>
      </c>
      <c r="DK63" s="735">
        <f>IF(OR(WWWW[[#This Row],['#_Non-functional latrines]]="",WWWW[[#This Row],['#_Non-functional latrines]]=0),0,WWWW[[#This Row],['#_Non-functional latrines]]/(WWWW[[#This Row],['#_Constructed latrines_by_WASHAgencies]]+WWWW[[#This Row],['#_Non Cluster partner latrines]]))</f>
        <v>0</v>
      </c>
      <c r="DL63" s="731">
        <f>IF(500*(WWWW[[#This Row],['#_male hygiene promoters]]+WWWW[[#This Row],['#_female hygiene promoters]])&gt;WWWW[[#This Row],[Total PoP ]],WWWW[[#This Row],[Total PoP ]],500*(WWWW[[#This Row],['#_male hygiene promoters]]+WWWW[[#This Row],['#_female hygiene promoters]]))</f>
        <v>426</v>
      </c>
      <c r="DM6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6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63" s="734">
        <f>IF(WWWW[[#This Row],['# People with access to soap]]&gt;WWWW[[#This Row],['# People with access to Sanity Pads]],WWWW[[#This Row],['# People with access to soap]],WWWW[[#This Row],['# People with access to Sanity Pads]])</f>
        <v>0</v>
      </c>
      <c r="DP63" s="734">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Q63" s="736">
        <f>IF(WWWW[[#This Row],[HRP3]]/WWWW[[#This Row],[Total PoP ]]&gt;1,1,WWWW[[#This Row],[HRP3]]/WWWW[[#This Row],[Total PoP ]])</f>
        <v>1</v>
      </c>
      <c r="DR63" s="735">
        <f>1-WWWW[[#This Row],[Hygiene Coverage%]]</f>
        <v>0</v>
      </c>
      <c r="DS63" s="733">
        <f>WWWW[[#This Row],['# people reached by regular dedicated hygiene promotion_5]]/WWWW[[#This Row],[Total PoP ]]</f>
        <v>1</v>
      </c>
      <c r="DT6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6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63" s="734">
        <f>WWWW[[#This Row],['#_Constructed/Existing hand washing stations]]-WWWW[[#This Row],['#_Non-Functional_hand_washing_stations]]</f>
        <v>0</v>
      </c>
      <c r="DW63" s="731">
        <f>IF(WWWW[[#This Row],['# Functional hand washing stations during reporting period]]*20&gt;WWWW[[#This Row],[Total HH]],WWWW[[#This Row],[Total HH]],WWWW[[#This Row],['# Functional hand washing stations during reporting period]]*20)</f>
        <v>0</v>
      </c>
      <c r="DX63" s="731">
        <f>IF(WWWW[[#This Row],[Is sufficient soap available for TLS? (Yes/No)]]="yes",WWWW[[#This Row],['#_Constructed/Existing hand washing stations at TLS/CFS/THF]],0)</f>
        <v>0</v>
      </c>
      <c r="DY63" s="428">
        <f>IF(WWWW[[#This Row],['# Functional hand washing stations during reporting period]]*100&gt;WWWW[[#This Row],[Total PoP ]],WWWW[[#This Row],[Total PoP ]],WWWW[[#This Row],['# Functional hand washing stations during reporting period]]*100)</f>
        <v>0</v>
      </c>
      <c r="DZ63" s="428" t="str">
        <f>IF(OR(WWWW[[#This Row],['#_students at TLS_CFS]]="",WWWW[[#This Row],['#_students at TLS_CFS]]=0),"No","Yes")</f>
        <v>No</v>
      </c>
      <c r="EA63" s="631">
        <f>IF(WWWW[[#This Row],['#_of_affected_people_surveyed_who_report_feeling_informed_about_the_different_WASH_services_available_to_them]]="","",WWWW[[#This Row],['#_of_affected_people_surveyed_who_report_feeling_informed_about_the_different_WASH_services_available_to_them]]/WWWW[[#This Row],[Total PoP ]])</f>
        <v>2.3474178403755867E-2</v>
      </c>
      <c r="EB6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3" s="727" t="str">
        <f>VLOOKUP(WWWW[[#This Row],[Site Name]],SiteDB6[[Site Name]:[CCCM Management]],6,FALSE)</f>
        <v>Yes</v>
      </c>
      <c r="EF63" s="727" t="str">
        <f>VLOOKUP(WWWW[[#This Row],[Site Name]],SiteDB6[[Site Name]:[CCCM Focal Agency]],7,FALSE)</f>
        <v>KMSS-BMO</v>
      </c>
      <c r="EG63" s="727" t="str">
        <f>VLOOKUP(WWWW[[#This Row],[Site Name]],SiteDB6[[Site Name]:[Location Type 1]],9,FALSE)</f>
        <v>Camp</v>
      </c>
      <c r="EH63" s="727" t="str">
        <f>VLOOKUP(WWWW[[#This Row],[Site Name]],SiteDB6[[Site Name]:[Type of Accommodation]],10,FALSE)</f>
        <v>Camp</v>
      </c>
      <c r="EI63" s="727" t="str">
        <f>VLOOKUP(WWWW[[#This Row],[Site Name]],SiteDB6[[Site Name]:[Ethnic or GCA/NGCA]],11,FALSE)</f>
        <v>GCA</v>
      </c>
      <c r="EJ63" s="727">
        <f>VLOOKUP(WWWW[[#This Row],[Site Name]],SiteDB6[[Site Name]:[Lat]],12,FALSE)</f>
        <v>24.205417000000001</v>
      </c>
      <c r="EK63" s="727">
        <f>VLOOKUP(WWWW[[#This Row],[Site Name]],SiteDB6[[Site Name]:[Long]],13,FALSE)</f>
        <v>97.724566999999993</v>
      </c>
      <c r="EL63" s="727" t="str">
        <f>VLOOKUP(WWWW[[#This Row],[Site Name]],SiteDB6[[Site Name]:[Pcode]],3,FALSE)</f>
        <v>MMR001CMP069</v>
      </c>
      <c r="EM63" s="732" t="str">
        <f t="shared" si="0"/>
        <v>Covered</v>
      </c>
      <c r="EN63" s="732"/>
      <c r="EO63" s="727">
        <f>VLOOKUP(WWWW[[#This Row],[Site Name]],SiteDB6[[Site Name]:[Pop
(Kachin/Shan-CCCM as of July 2021)]],16,FALSE)</f>
        <v>79</v>
      </c>
      <c r="EP63" s="727">
        <f>VLOOKUP(WWWW[[#This Row],[Site Name]],SiteDB6[[Site Name]:[Pop
(Kachin/Shan-CCCM as of July 2021)]],17,FALSE)</f>
        <v>448</v>
      </c>
    </row>
    <row r="64" spans="1:146" hidden="1">
      <c r="A64" s="725" t="s">
        <v>2763</v>
      </c>
      <c r="B64" s="725" t="s">
        <v>276</v>
      </c>
      <c r="C64" s="726" t="s">
        <v>276</v>
      </c>
      <c r="D64" s="369" t="s">
        <v>292</v>
      </c>
      <c r="E64" s="726" t="s">
        <v>37</v>
      </c>
      <c r="F64" s="726" t="s">
        <v>205</v>
      </c>
      <c r="G64" s="591" t="str">
        <f>VLOOKUP(WWWW[[#This Row],[Site Name]],SiteDB6[[Site Name]:[Location Type]],8,FALSE)</f>
        <v>Camp</v>
      </c>
      <c r="H64" s="726" t="s">
        <v>283</v>
      </c>
      <c r="I64" s="902">
        <v>232</v>
      </c>
      <c r="J64" s="902">
        <v>1322</v>
      </c>
      <c r="K64" s="588">
        <v>44652</v>
      </c>
      <c r="L64" s="589">
        <v>44895</v>
      </c>
      <c r="M64" s="728"/>
      <c r="N64" s="728"/>
      <c r="O64" s="728"/>
      <c r="P64" s="728"/>
      <c r="Q64" s="731" t="s">
        <v>41</v>
      </c>
      <c r="R64" s="728">
        <v>11</v>
      </c>
      <c r="S64" s="728">
        <v>13</v>
      </c>
      <c r="T64" s="448">
        <v>5</v>
      </c>
      <c r="U64" s="728"/>
      <c r="V64" s="728"/>
      <c r="W64" s="728">
        <v>5</v>
      </c>
      <c r="X64" s="728"/>
      <c r="Y64" s="728"/>
      <c r="Z64" s="728"/>
      <c r="AA64" s="728">
        <v>4</v>
      </c>
      <c r="AB64" s="728"/>
      <c r="AC64" s="728"/>
      <c r="AD64" s="728"/>
      <c r="AE64" s="728"/>
      <c r="AF64" s="728"/>
      <c r="AG64" s="728"/>
      <c r="AH64" s="728"/>
      <c r="AI64" s="742"/>
      <c r="AJ64" s="742"/>
      <c r="AK64" s="742"/>
      <c r="AL64" s="742"/>
      <c r="AM64" s="728">
        <v>15</v>
      </c>
      <c r="AN64" s="728"/>
      <c r="AO64" s="728"/>
      <c r="AP64" s="732"/>
      <c r="AQ64" s="728">
        <v>47</v>
      </c>
      <c r="AR64" s="728"/>
      <c r="AS64" s="733"/>
      <c r="AT64" s="728"/>
      <c r="AU64" s="742"/>
      <c r="AV64" s="742"/>
      <c r="AW64" s="742"/>
      <c r="AX64" s="728"/>
      <c r="AY64" s="727" t="s">
        <v>41</v>
      </c>
      <c r="AZ64" s="732" t="s">
        <v>137</v>
      </c>
      <c r="BA64" s="728"/>
      <c r="BB64" s="728"/>
      <c r="BC64" s="728"/>
      <c r="BD64" s="448"/>
      <c r="BE64" s="448">
        <v>3</v>
      </c>
      <c r="BF64" s="727"/>
      <c r="BG64" s="728">
        <v>15</v>
      </c>
      <c r="BH64" s="728"/>
      <c r="BI64" s="728"/>
      <c r="BJ64" s="728">
        <v>6</v>
      </c>
      <c r="BK64" s="728"/>
      <c r="BL64" s="728"/>
      <c r="BM64" s="728">
        <v>4</v>
      </c>
      <c r="BN64" s="742"/>
      <c r="BO64" s="728"/>
      <c r="BP64" s="727"/>
      <c r="BQ64" s="744"/>
      <c r="BR64" s="733"/>
      <c r="BS64" s="727"/>
      <c r="BT64" s="903">
        <v>1</v>
      </c>
      <c r="BU64" s="903">
        <v>1</v>
      </c>
      <c r="BV64" s="590">
        <v>41</v>
      </c>
      <c r="BW64" s="903">
        <v>1</v>
      </c>
      <c r="BX64" s="448"/>
      <c r="BY64" s="448"/>
      <c r="BZ64" s="448"/>
      <c r="CA64" s="448"/>
      <c r="CB64" s="448"/>
      <c r="CC64" s="777"/>
      <c r="CD64" s="448"/>
      <c r="CE64" s="735" t="str">
        <f>IFERROR(WWWW[[#This Row],['#_Water sources passed]]/WWWW[[#This Row],['#_Water sources tested for fecal coliform ]],"no test")</f>
        <v>no test</v>
      </c>
      <c r="CF64" s="733" t="str">
        <f>IFERROR(WWWW[[#This Row],['#_Household passed]]/WWWW[[#This Row],['#_Household water samples tested for fecal coliform]],"no test")</f>
        <v>no test</v>
      </c>
      <c r="CG64" s="734" t="str">
        <f>IF(AND(WWWW[[#This Row],[% of water sources passed]]="no test",WWWW[[#This Row],[% Household passed]]="no test"),"No Test","Tested")</f>
        <v>No Test</v>
      </c>
      <c r="CH64" s="734">
        <f>WWWW[[#This Row],['#_Constructed/existing protected hand dug well]]-WWWW[[#This Row],['#_Non-functional protected hand dug well]]</f>
        <v>5</v>
      </c>
      <c r="CI64" s="734">
        <f>(WWWW[[#This Row],['#_Constructed/Existing tube wells/boreholes/handpumps_WASH_agency]]+WWWW[[#This Row],['#_Non-Cluster partner water tube-wells/boreholes/handpumps]])-WWWW[[#This Row],['#_Non-functional tube wells/boreholes/handpumps]]</f>
        <v>5</v>
      </c>
      <c r="CJ64" s="734">
        <f>WWWW[[#This Row],['#_Constructed/Existingwater storage tank with gravity fed reticulation system]]-WWWW[[#This Row],['#_Non-functional storage tank gravity fed reticulation system]]</f>
        <v>4</v>
      </c>
      <c r="CK64" s="734">
        <f>(WWWW[[#This Row],['#_Water_Liters_supplied_by_Water boating or water trucking]]/90)/15</f>
        <v>0</v>
      </c>
      <c r="CL64" s="734">
        <f>WWWW[[#This Row],['#_Water_Liters_from_Constructed/Existing water distribution system from river or natural spring]]/90/15</f>
        <v>0</v>
      </c>
      <c r="CM64" s="424">
        <f>IF(WWWW[[#This Row],['#_of water points in TLS/CFS]]*500&gt;WWWW[[#This Row],[Total PoP ]],WWWW[[#This Row],[Total PoP ]],WWWW[[#This Row],['#_of water points in TLS/CFS]]*500)</f>
        <v>0</v>
      </c>
      <c r="CN64" s="424">
        <f>IF(WWWW[[#This Row],['#_of water points in THF]]*500&gt;WWWW[[#This Row],[Total PoP ]],WWWW[[#This Row],[Total PoP ]],WWWW[[#This Row],['#_of water points in THF]]*500)</f>
        <v>0</v>
      </c>
      <c r="CO6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4" s="733">
        <f>IF(WWWW[[#This Row],[Location Type 1]]="Village",WWWW[[#This Row],[Access to safe drinking water for Village]],WWWW[[#This Row],[Access to safe drinking water for Camp]])</f>
        <v>1</v>
      </c>
      <c r="CR64" s="731">
        <f>WWWW[[#This Row],[%Equitable and continuous access to sufficient quantity of safe drinking water]]*WWWW[[#This Row],[Total PoP ]]</f>
        <v>1322</v>
      </c>
      <c r="CS64" s="733">
        <f>IF((WWWW[[#This Row],['#_Constructed/Existing protected/fenced ponds]]*250)/WWWW[[#This Row],[Total PoP ]]&gt;1,1,(WWWW[[#This Row],['#_Constructed/Existing protected/fenced ponds]]*250)/WWWW[[#This Row],[Total PoP ]])</f>
        <v>0</v>
      </c>
      <c r="CT64" s="731">
        <f>WWWW[[#This Row],[% Access to unimproved water points]]*WWWW[[#This Row],[Total PoP ]]</f>
        <v>0</v>
      </c>
      <c r="CU6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1322</v>
      </c>
      <c r="CW64" s="731">
        <f>WWWW[[#This Row],[HRP1]]/500</f>
        <v>2.6440000000000001</v>
      </c>
      <c r="CX64" s="736">
        <f>1-WWWW[[#This Row],[% Equitable and continuous access to sufficient quantity of domestic water]]</f>
        <v>0</v>
      </c>
      <c r="CY64" s="731">
        <f>WWWW[[#This Row],[%equitable and continuous access to sufficient quantity of safe drinking and domestic water''s GAP]]*WWWW[[#This Row],[Total PoP ]]</f>
        <v>0</v>
      </c>
      <c r="CZ64" s="734">
        <f>IF(WWWW[[#This Row],[Total required water points]]-WWWW[[#This Row],['#Water points coverage]]&lt;0,0,WWWW[[#This Row],[Total required water points]]-WWWW[[#This Row],['#Water points coverage]])</f>
        <v>0.35599999999999987</v>
      </c>
      <c r="DA64" s="734">
        <f>ROUND(IF(WWWW[[#This Row],[Total PoP ]]&lt;500,1,WWWW[[#This Row],[Total PoP ]]/500),0)</f>
        <v>3</v>
      </c>
      <c r="DB64" s="734">
        <f>(WWWW[[#This Row],['#_Constructed latrines_by_WASHAgencies]]+WWWW[[#This Row],['#_Non Cluster partner latrines]])-WWWW[[#This Row],['#_Non-functional latrines]]</f>
        <v>47</v>
      </c>
      <c r="DC64" s="631">
        <f>WWWW[[#This Row],[HRP2]]/WWWW[[#This Row],[Total PoP ]]</f>
        <v>0.71331316187594551</v>
      </c>
      <c r="DD6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943</v>
      </c>
      <c r="DE6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4" s="424">
        <f>IF(WWWW[[#This Row],['# of functional latrines in THF supported by WASH partners during the reporting period2]]="",0,WWWW[[#This Row],['# of functional latrines in THF supported by WASH partners during the reporting period2]]*50)</f>
        <v>0</v>
      </c>
      <c r="DH64" s="734">
        <f>ROUND(IF(WWWW[[#This Row],[Location Type 1]]="camp",WWWW[[#This Row],[Total PoP ]]/20,IF(WWWW[[#This Row],[Location Type 1]]="Temporary Location",WWWW[[#This Row],[Total PoP ]]/50,(WWWW[[#This Row],[Total PoP ]]/6))),0)</f>
        <v>66</v>
      </c>
      <c r="DI64" s="734">
        <f>IF(WWWW[[#This Row],[Total required Latrines]]-(WWWW[[#This Row],['#_Constructed latrines_by_WASHAgencies]]+WWWW[[#This Row],['#_Non Cluster partner latrines]])&lt;0,0,WWWW[[#This Row],[Total required Latrines]]-(WWWW[[#This Row],['#_Constructed latrines_by_WASHAgencies]]+WWWW[[#This Row],['#_Non Cluster partner latrines]]))</f>
        <v>19</v>
      </c>
      <c r="DJ64" s="736">
        <f>1-WWWW[[#This Row],[% people access to functioning Latrine]]</f>
        <v>0.28668683812405449</v>
      </c>
      <c r="DK64" s="735">
        <f>IF(OR(WWWW[[#This Row],['#_Non-functional latrines]]="",WWWW[[#This Row],['#_Non-functional latrines]]=0),0,WWWW[[#This Row],['#_Non-functional latrines]]/(WWWW[[#This Row],['#_Constructed latrines_by_WASHAgencies]]+WWWW[[#This Row],['#_Non Cluster partner latrines]]))</f>
        <v>0</v>
      </c>
      <c r="DL64" s="731">
        <f>IF(500*(WWWW[[#This Row],['#_male hygiene promoters]]+WWWW[[#This Row],['#_female hygiene promoters]])&gt;WWWW[[#This Row],[Total PoP ]],WWWW[[#This Row],[Total PoP ]],500*(WWWW[[#This Row],['#_male hygiene promoters]]+WWWW[[#This Row],['#_female hygiene promoters]]))</f>
        <v>1322</v>
      </c>
      <c r="DM6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6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64" s="734">
        <f>IF(WWWW[[#This Row],['# People with access to soap]]&gt;WWWW[[#This Row],['# People with access to Sanity Pads]],WWWW[[#This Row],['# People with access to soap]],WWWW[[#This Row],['# People with access to Sanity Pads]])</f>
        <v>0</v>
      </c>
      <c r="DP64" s="734">
        <f>IF(WWWW[[#This Row],['# people reached by regular dedicated hygiene promotion_5]]&gt;WWWW[[#This Row],['# People received regular supply of hygiene items_6]],WWWW[[#This Row],['# people reached by regular dedicated hygiene promotion_5]],WWWW[[#This Row],['# People received regular supply of hygiene items_6]])</f>
        <v>1322</v>
      </c>
      <c r="DQ64" s="736">
        <f>IF(WWWW[[#This Row],[HRP3]]/WWWW[[#This Row],[Total PoP ]]&gt;1,1,WWWW[[#This Row],[HRP3]]/WWWW[[#This Row],[Total PoP ]])</f>
        <v>1</v>
      </c>
      <c r="DR64" s="735">
        <f>1-WWWW[[#This Row],[Hygiene Coverage%]]</f>
        <v>0</v>
      </c>
      <c r="DS64" s="733">
        <f>WWWW[[#This Row],['# people reached by regular dedicated hygiene promotion_5]]/WWWW[[#This Row],[Total PoP ]]</f>
        <v>1</v>
      </c>
      <c r="DT6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6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64" s="734">
        <f>WWWW[[#This Row],['#_Constructed/Existing hand washing stations]]-WWWW[[#This Row],['#_Non-Functional_hand_washing_stations]]</f>
        <v>15</v>
      </c>
      <c r="DW64" s="731">
        <f>IF(WWWW[[#This Row],['# Functional hand washing stations during reporting period]]*20&gt;WWWW[[#This Row],[Total HH]],WWWW[[#This Row],[Total HH]],WWWW[[#This Row],['# Functional hand washing stations during reporting period]]*20)</f>
        <v>232</v>
      </c>
      <c r="DX64" s="731">
        <f>IF(WWWW[[#This Row],[Is sufficient soap available for TLS? (Yes/No)]]="yes",WWWW[[#This Row],['#_Constructed/Existing hand washing stations at TLS/CFS/THF]],0)</f>
        <v>0</v>
      </c>
      <c r="DY64" s="428">
        <f>IF(WWWW[[#This Row],['# Functional hand washing stations during reporting period]]*100&gt;WWWW[[#This Row],[Total PoP ]],WWWW[[#This Row],[Total PoP ]],WWWW[[#This Row],['# Functional hand washing stations during reporting period]]*100)</f>
        <v>1322</v>
      </c>
      <c r="DZ64" s="428" t="str">
        <f>IF(OR(WWWW[[#This Row],['#_students at TLS_CFS]]="",WWWW[[#This Row],['#_students at TLS_CFS]]=0),"No","Yes")</f>
        <v>No</v>
      </c>
      <c r="EA64" s="631">
        <f>IF(WWWW[[#This Row],['#_of_affected_people_surveyed_who_report_feeling_informed_about_the_different_WASH_services_available_to_them]]="","",WWWW[[#This Row],['#_of_affected_people_surveyed_who_report_feeling_informed_about_the_different_WASH_services_available_to_them]]/WWWW[[#This Row],[Total PoP ]])</f>
        <v>3.1013615733736764E-2</v>
      </c>
      <c r="EB6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4" s="727" t="str">
        <f>VLOOKUP(WWWW[[#This Row],[Site Name]],SiteDB6[[Site Name]:[CCCM Management]],6,FALSE)</f>
        <v>Yes</v>
      </c>
      <c r="EF64" s="727" t="str">
        <f>VLOOKUP(WWWW[[#This Row],[Site Name]],SiteDB6[[Site Name]:[CCCM Focal Agency]],7,FALSE)</f>
        <v>KBC-BMO</v>
      </c>
      <c r="EG64" s="727" t="str">
        <f>VLOOKUP(WWWW[[#This Row],[Site Name]],SiteDB6[[Site Name]:[Location Type 1]],9,FALSE)</f>
        <v>Camp</v>
      </c>
      <c r="EH64" s="727" t="str">
        <f>VLOOKUP(WWWW[[#This Row],[Site Name]],SiteDB6[[Site Name]:[Type of Accommodation]],10,FALSE)</f>
        <v>Camp</v>
      </c>
      <c r="EI64" s="727" t="str">
        <f>VLOOKUP(WWWW[[#This Row],[Site Name]],SiteDB6[[Site Name]:[Ethnic or GCA/NGCA]],11,FALSE)</f>
        <v>GCA</v>
      </c>
      <c r="EJ64" s="727">
        <f>VLOOKUP(WWWW[[#This Row],[Site Name]],SiteDB6[[Site Name]:[Lat]],12,FALSE)</f>
        <v>24.200433</v>
      </c>
      <c r="EK64" s="727">
        <f>VLOOKUP(WWWW[[#This Row],[Site Name]],SiteDB6[[Site Name]:[Long]],13,FALSE)</f>
        <v>97.717133000000004</v>
      </c>
      <c r="EL64" s="727" t="str">
        <f>VLOOKUP(WWWW[[#This Row],[Site Name]],SiteDB6[[Site Name]:[Pcode]],3,FALSE)</f>
        <v>MMR001CMP070</v>
      </c>
      <c r="EM64" s="732" t="str">
        <f t="shared" si="0"/>
        <v>Covered</v>
      </c>
      <c r="EN64" s="732"/>
      <c r="EO64" s="727">
        <f>VLOOKUP(WWWW[[#This Row],[Site Name]],SiteDB6[[Site Name]:[Pop
(Kachin/Shan-CCCM as of July 2021)]],16,FALSE)</f>
        <v>240</v>
      </c>
      <c r="EP64" s="727">
        <f>VLOOKUP(WWWW[[#This Row],[Site Name]],SiteDB6[[Site Name]:[Pop
(Kachin/Shan-CCCM as of July 2021)]],17,FALSE)</f>
        <v>1395</v>
      </c>
    </row>
    <row r="65" spans="1:146" hidden="1">
      <c r="A65" s="725" t="s">
        <v>2763</v>
      </c>
      <c r="B65" s="725" t="s">
        <v>36</v>
      </c>
      <c r="C65" s="726" t="s">
        <v>36</v>
      </c>
      <c r="D65" s="726" t="s">
        <v>241</v>
      </c>
      <c r="E65" s="726" t="s">
        <v>37</v>
      </c>
      <c r="F65" s="726" t="s">
        <v>148</v>
      </c>
      <c r="G65" s="591" t="str">
        <f>VLOOKUP(WWWW[[#This Row],[Site Name]],SiteDB6[[Site Name]:[Location Type]],8,FALSE)</f>
        <v>Camp_not registered</v>
      </c>
      <c r="H65" s="726" t="s">
        <v>1591</v>
      </c>
      <c r="I65" s="788">
        <v>94</v>
      </c>
      <c r="J65" s="788">
        <v>467</v>
      </c>
      <c r="K65" s="798">
        <v>44414</v>
      </c>
      <c r="L65" s="799">
        <v>44778</v>
      </c>
      <c r="M65" s="728"/>
      <c r="N65" s="728">
        <v>5</v>
      </c>
      <c r="O65" s="728"/>
      <c r="P65" s="728"/>
      <c r="Q65" s="731" t="s">
        <v>41</v>
      </c>
      <c r="R65" s="728">
        <v>2</v>
      </c>
      <c r="S65" s="728">
        <v>5</v>
      </c>
      <c r="T65" s="448">
        <v>1</v>
      </c>
      <c r="U65" s="728"/>
      <c r="V65" s="728"/>
      <c r="W65" s="728"/>
      <c r="X65" s="728"/>
      <c r="Y65" s="728"/>
      <c r="Z65" s="728"/>
      <c r="AA65" s="728"/>
      <c r="AB65" s="728"/>
      <c r="AC65" s="728"/>
      <c r="AD65" s="728"/>
      <c r="AE65" s="728"/>
      <c r="AF65" s="728"/>
      <c r="AG65" s="728"/>
      <c r="AH65" s="728"/>
      <c r="AI65" s="728">
        <v>10</v>
      </c>
      <c r="AJ65" s="728"/>
      <c r="AK65" s="728"/>
      <c r="AL65" s="728"/>
      <c r="AM65" s="728"/>
      <c r="AN65" s="728"/>
      <c r="AO65" s="728"/>
      <c r="AP65" s="732"/>
      <c r="AQ65" s="728">
        <v>12</v>
      </c>
      <c r="AR65" s="728"/>
      <c r="AS65" s="733"/>
      <c r="AT65" s="728"/>
      <c r="AU65" s="728"/>
      <c r="AV65" s="728"/>
      <c r="AW65" s="728"/>
      <c r="AX65" s="728"/>
      <c r="AY65" s="727" t="s">
        <v>41</v>
      </c>
      <c r="AZ65" s="732" t="s">
        <v>137</v>
      </c>
      <c r="BA65" s="728">
        <v>3</v>
      </c>
      <c r="BB65" s="728"/>
      <c r="BC65" s="728"/>
      <c r="BD65" s="448"/>
      <c r="BE65" s="448"/>
      <c r="BF65" s="727"/>
      <c r="BG65" s="728">
        <v>1</v>
      </c>
      <c r="BH65" s="728"/>
      <c r="BI65" s="728"/>
      <c r="BJ65" s="728">
        <v>3</v>
      </c>
      <c r="BK65" s="728"/>
      <c r="BL65" s="728"/>
      <c r="BM65" s="728"/>
      <c r="BN65" s="728">
        <v>41</v>
      </c>
      <c r="BO65" s="728">
        <v>85</v>
      </c>
      <c r="BP65" s="727"/>
      <c r="BQ65" s="734">
        <v>100</v>
      </c>
      <c r="BR65" s="733">
        <v>0.3</v>
      </c>
      <c r="BS65" s="727"/>
      <c r="BT65" s="423"/>
      <c r="BU65" s="423"/>
      <c r="BV65" s="425"/>
      <c r="BW65" s="423"/>
      <c r="BX65" s="448"/>
      <c r="BY65" s="448"/>
      <c r="BZ65" s="448"/>
      <c r="CA65" s="448"/>
      <c r="CB65" s="448"/>
      <c r="CC65" s="777"/>
      <c r="CD65" s="448"/>
      <c r="CE65" s="735">
        <f>IFERROR(WWWW[[#This Row],['#_Water sources passed]]/WWWW[[#This Row],['#_Water sources tested for fecal coliform ]],"no test")</f>
        <v>0</v>
      </c>
      <c r="CF65" s="733" t="str">
        <f>IFERROR(WWWW[[#This Row],['#_Household passed]]/WWWW[[#This Row],['#_Household water samples tested for fecal coliform]],"no test")</f>
        <v>no test</v>
      </c>
      <c r="CG65" s="734" t="str">
        <f>IF(AND(WWWW[[#This Row],[% of water sources passed]]="no test",WWWW[[#This Row],[% Household passed]]="no test"),"No Test","Tested")</f>
        <v>Tested</v>
      </c>
      <c r="CH65" s="734">
        <f>WWWW[[#This Row],['#_Constructed/existing protected hand dug well]]-WWWW[[#This Row],['#_Non-functional protected hand dug well]]</f>
        <v>1</v>
      </c>
      <c r="CI65" s="734">
        <f>(WWWW[[#This Row],['#_Constructed/Existing tube wells/boreholes/handpumps_WASH_agency]]+WWWW[[#This Row],['#_Non-Cluster partner water tube-wells/boreholes/handpumps]])-WWWW[[#This Row],['#_Non-functional tube wells/boreholes/handpumps]]</f>
        <v>0</v>
      </c>
      <c r="CJ65" s="734">
        <f>WWWW[[#This Row],['#_Constructed/Existingwater storage tank with gravity fed reticulation system]]-WWWW[[#This Row],['#_Non-functional storage tank gravity fed reticulation system]]</f>
        <v>0</v>
      </c>
      <c r="CK65" s="734">
        <f>(WWWW[[#This Row],['#_Water_Liters_supplied_by_Water boating or water trucking]]/90)/15</f>
        <v>0</v>
      </c>
      <c r="CL65" s="734">
        <f>WWWW[[#This Row],['#_Water_Liters_from_Constructed/Existing water distribution system from river or natural spring]]/90/15</f>
        <v>0</v>
      </c>
      <c r="CM65" s="424">
        <f>IF(WWWW[[#This Row],['#_of water points in TLS/CFS]]*500&gt;WWWW[[#This Row],[Total PoP ]],WWWW[[#This Row],[Total PoP ]],WWWW[[#This Row],['#_of water points in TLS/CFS]]*500)</f>
        <v>0</v>
      </c>
      <c r="CN65" s="424">
        <f>IF(WWWW[[#This Row],['#_of water points in THF]]*500&gt;WWWW[[#This Row],[Total PoP ]],WWWW[[#This Row],[Total PoP ]],WWWW[[#This Row],['#_of water points in THF]]*500)</f>
        <v>0</v>
      </c>
      <c r="CO6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0.85653104925053536</v>
      </c>
      <c r="CP6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0.53533190578158463</v>
      </c>
      <c r="CQ65" s="733">
        <f>IF(WWWW[[#This Row],[Location Type 1]]="Village",WWWW[[#This Row],[Access to safe drinking water for Village]],WWWW[[#This Row],[Access to safe drinking water for Camp]])</f>
        <v>0.85653104925053536</v>
      </c>
      <c r="CR65" s="731">
        <f>WWWW[[#This Row],[%Equitable and continuous access to sufficient quantity of safe drinking water]]*WWWW[[#This Row],[Total PoP ]]</f>
        <v>400</v>
      </c>
      <c r="CS65" s="733">
        <f>IF((WWWW[[#This Row],['#_Constructed/Existing protected/fenced ponds]]*250)/WWWW[[#This Row],[Total PoP ]]&gt;1,1,(WWWW[[#This Row],['#_Constructed/Existing protected/fenced ponds]]*250)/WWWW[[#This Row],[Total PoP ]])</f>
        <v>0</v>
      </c>
      <c r="CT65" s="731">
        <f>WWWW[[#This Row],[% Access to unimproved water points]]*WWWW[[#This Row],[Total PoP ]]</f>
        <v>0</v>
      </c>
      <c r="CU6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0.85653104925053536</v>
      </c>
      <c r="CV6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65" s="731">
        <f>WWWW[[#This Row],[HRP1]]/500</f>
        <v>0.8</v>
      </c>
      <c r="CX65" s="736">
        <f>1-WWWW[[#This Row],[% Equitable and continuous access to sufficient quantity of domestic water]]</f>
        <v>0.14346895074946464</v>
      </c>
      <c r="CY65" s="731">
        <f>WWWW[[#This Row],[%equitable and continuous access to sufficient quantity of safe drinking and domestic water''s GAP]]*WWWW[[#This Row],[Total PoP ]]</f>
        <v>66.999999999999986</v>
      </c>
      <c r="CZ65" s="734">
        <f>IF(WWWW[[#This Row],[Total required water points]]-WWWW[[#This Row],['#Water points coverage]]&lt;0,0,WWWW[[#This Row],[Total required water points]]-WWWW[[#This Row],['#Water points coverage]])</f>
        <v>0.19999999999999996</v>
      </c>
      <c r="DA65" s="734">
        <f>ROUND(IF(WWWW[[#This Row],[Total PoP ]]&lt;500,1,WWWW[[#This Row],[Total PoP ]]/500),0)</f>
        <v>1</v>
      </c>
      <c r="DB65" s="734">
        <f>(WWWW[[#This Row],['#_Constructed latrines_by_WASHAgencies]]+WWWW[[#This Row],['#_Non Cluster partner latrines]])-WWWW[[#This Row],['#_Non-functional latrines]]</f>
        <v>12</v>
      </c>
      <c r="DC65" s="631">
        <f>WWWW[[#This Row],[HRP2]]/WWWW[[#This Row],[Total PoP ]]</f>
        <v>0.64239828693790146</v>
      </c>
      <c r="DD6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6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5" s="424">
        <f>IF(WWWW[[#This Row],['# of functional latrines in THF supported by WASH partners during the reporting period2]]="",0,WWWW[[#This Row],['# of functional latrines in THF supported by WASH partners during the reporting period2]]*50)</f>
        <v>0</v>
      </c>
      <c r="DH65" s="734">
        <f>ROUND(IF(WWWW[[#This Row],[Location Type 1]]="camp",WWWW[[#This Row],[Total PoP ]]/20,IF(WWWW[[#This Row],[Location Type 1]]="Temporary Location",WWWW[[#This Row],[Total PoP ]]/50,(WWWW[[#This Row],[Total PoP ]]/6))),0)</f>
        <v>23</v>
      </c>
      <c r="DI65" s="734">
        <f>IF(WWWW[[#This Row],[Total required Latrines]]-(WWWW[[#This Row],['#_Constructed latrines_by_WASHAgencies]]+WWWW[[#This Row],['#_Non Cluster partner latrines]])&lt;0,0,WWWW[[#This Row],[Total required Latrines]]-(WWWW[[#This Row],['#_Constructed latrines_by_WASHAgencies]]+WWWW[[#This Row],['#_Non Cluster partner latrines]]))</f>
        <v>11</v>
      </c>
      <c r="DJ65" s="736">
        <f>1-WWWW[[#This Row],[% people access to functioning Latrine]]</f>
        <v>0.35760171306209854</v>
      </c>
      <c r="DK65" s="735">
        <f>IF(OR(WWWW[[#This Row],['#_Non-functional latrines]]="",WWWW[[#This Row],['#_Non-functional latrines]]=0),0,WWWW[[#This Row],['#_Non-functional latrines]]/(WWWW[[#This Row],['#_Constructed latrines_by_WASHAgencies]]+WWWW[[#This Row],['#_Non Cluster partner latrines]]))</f>
        <v>0</v>
      </c>
      <c r="DL65" s="731">
        <f>IF(500*(WWWW[[#This Row],['#_male hygiene promoters]]+WWWW[[#This Row],['#_female hygiene promoters]])&gt;WWWW[[#This Row],[Total PoP ]],WWWW[[#This Row],[Total PoP ]],500*(WWWW[[#This Row],['#_male hygiene promoters]]+WWWW[[#This Row],['#_female hygiene promoters]]))</f>
        <v>0</v>
      </c>
      <c r="DM6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6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65" s="734">
        <f>IF(WWWW[[#This Row],['# People with access to soap]]&gt;WWWW[[#This Row],['# People with access to Sanity Pads]],WWWW[[#This Row],['# People with access to soap]],WWWW[[#This Row],['# People with access to Sanity Pads]])</f>
        <v>205</v>
      </c>
      <c r="DP65" s="734">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65" s="736">
        <f>IF(WWWW[[#This Row],[HRP3]]/WWWW[[#This Row],[Total PoP ]]&gt;1,1,WWWW[[#This Row],[HRP3]]/WWWW[[#This Row],[Total PoP ]])</f>
        <v>0.43897216274089934</v>
      </c>
      <c r="DR65" s="735">
        <f>1-WWWW[[#This Row],[Hygiene Coverage%]]</f>
        <v>0.56102783725910066</v>
      </c>
      <c r="DS65" s="733">
        <f>WWWW[[#This Row],['# people reached by regular dedicated hygiene promotion_5]]/WWWW[[#This Row],[Total PoP ]]</f>
        <v>0</v>
      </c>
      <c r="DT6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0.9042553191489362</v>
      </c>
      <c r="DV65" s="734">
        <f>WWWW[[#This Row],['#_Constructed/Existing hand washing stations]]-WWWW[[#This Row],['#_Non-Functional_hand_washing_stations]]</f>
        <v>1</v>
      </c>
      <c r="DW65" s="731">
        <f>IF(WWWW[[#This Row],['# Functional hand washing stations during reporting period]]*20&gt;WWWW[[#This Row],[Total HH]],WWWW[[#This Row],[Total HH]],WWWW[[#This Row],['# Functional hand washing stations during reporting period]]*20)</f>
        <v>20</v>
      </c>
      <c r="DX65" s="731">
        <f>IF(WWWW[[#This Row],[Is sufficient soap available for TLS? (Yes/No)]]="yes",WWWW[[#This Row],['#_Constructed/Existing hand washing stations at TLS/CFS/THF]],0)</f>
        <v>0</v>
      </c>
      <c r="DY65" s="428">
        <f>IF(WWWW[[#This Row],['# Functional hand washing stations during reporting period]]*100&gt;WWWW[[#This Row],[Total PoP ]],WWWW[[#This Row],[Total PoP ]],WWWW[[#This Row],['# Functional hand washing stations during reporting period]]*100)</f>
        <v>100</v>
      </c>
      <c r="DZ65" s="428" t="str">
        <f>IF(OR(WWWW[[#This Row],['#_students at TLS_CFS]]="",WWWW[[#This Row],['#_students at TLS_CFS]]=0),"No","Yes")</f>
        <v>No</v>
      </c>
      <c r="EA6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5" s="727">
        <f>VLOOKUP(WWWW[[#This Row],[Site Name]],SiteDB6[[Site Name]:[CCCM Management]],6,FALSE)</f>
        <v>0</v>
      </c>
      <c r="EF65" s="727">
        <f>VLOOKUP(WWWW[[#This Row],[Site Name]],SiteDB6[[Site Name]:[CCCM Focal Agency]],7,FALSE)</f>
        <v>0</v>
      </c>
      <c r="EG65" s="727" t="str">
        <f>VLOOKUP(WWWW[[#This Row],[Site Name]],SiteDB6[[Site Name]:[Location Type 1]],9,FALSE)</f>
        <v>Camp</v>
      </c>
      <c r="EH65" s="727" t="str">
        <f>VLOOKUP(WWWW[[#This Row],[Site Name]],SiteDB6[[Site Name]:[Type of Accommodation]],10,FALSE)</f>
        <v>Camp like setting</v>
      </c>
      <c r="EI65" s="727" t="str">
        <f>VLOOKUP(WWWW[[#This Row],[Site Name]],SiteDB6[[Site Name]:[Ethnic or GCA/NGCA]],11,FALSE)</f>
        <v>GCA</v>
      </c>
      <c r="EJ65" s="727">
        <f>VLOOKUP(WWWW[[#This Row],[Site Name]],SiteDB6[[Site Name]:[Lat]],12,FALSE)</f>
        <v>0</v>
      </c>
      <c r="EK65" s="727">
        <f>VLOOKUP(WWWW[[#This Row],[Site Name]],SiteDB6[[Site Name]:[Long]],13,FALSE)</f>
        <v>0</v>
      </c>
      <c r="EL65" s="727">
        <f>VLOOKUP(WWWW[[#This Row],[Site Name]],SiteDB6[[Site Name]:[Pcode]],3,FALSE)</f>
        <v>0</v>
      </c>
      <c r="EM65" s="732" t="str">
        <f t="shared" si="0"/>
        <v>Covered</v>
      </c>
      <c r="EN65" s="732"/>
      <c r="EO65" s="727">
        <f>VLOOKUP(WWWW[[#This Row],[Site Name]],SiteDB6[[Site Name]:[Pop
(Kachin/Shan-CCCM as of July 2021)]],16,FALSE)</f>
        <v>0</v>
      </c>
      <c r="EP65" s="727">
        <f>VLOOKUP(WWWW[[#This Row],[Site Name]],SiteDB6[[Site Name]:[Pop
(Kachin/Shan-CCCM as of July 2021)]],17,FALSE)</f>
        <v>0</v>
      </c>
    </row>
    <row r="66" spans="1:146" hidden="1">
      <c r="A66" s="725" t="s">
        <v>2763</v>
      </c>
      <c r="B66" s="725" t="s">
        <v>141</v>
      </c>
      <c r="C66" s="726" t="s">
        <v>141</v>
      </c>
      <c r="D66" s="726" t="s">
        <v>241</v>
      </c>
      <c r="E66" s="726" t="s">
        <v>37</v>
      </c>
      <c r="F66" s="726" t="s">
        <v>173</v>
      </c>
      <c r="G66" s="591" t="str">
        <f>VLOOKUP(WWWW[[#This Row],[Site Name]],SiteDB6[[Site Name]:[Location Type]],8,FALSE)</f>
        <v>Camp</v>
      </c>
      <c r="H66" s="726" t="s">
        <v>174</v>
      </c>
      <c r="I66" s="728">
        <v>60</v>
      </c>
      <c r="J66" s="728">
        <v>289</v>
      </c>
      <c r="K66" s="588">
        <v>44105</v>
      </c>
      <c r="L66" s="589">
        <v>44681</v>
      </c>
      <c r="M66" s="728"/>
      <c r="N66" s="728">
        <v>2</v>
      </c>
      <c r="O66" s="728"/>
      <c r="P66" s="728"/>
      <c r="Q66" s="731" t="s">
        <v>41</v>
      </c>
      <c r="R66" s="728"/>
      <c r="S66" s="728"/>
      <c r="T66" s="448">
        <v>1</v>
      </c>
      <c r="U66" s="728"/>
      <c r="V66" s="728"/>
      <c r="W66" s="728"/>
      <c r="X66" s="728"/>
      <c r="Y66" s="728"/>
      <c r="Z66" s="728"/>
      <c r="AA66" s="728"/>
      <c r="AB66" s="728"/>
      <c r="AC66" s="728"/>
      <c r="AD66" s="728"/>
      <c r="AE66" s="728">
        <v>1</v>
      </c>
      <c r="AF66" s="728"/>
      <c r="AG66" s="728"/>
      <c r="AH66" s="728">
        <v>1</v>
      </c>
      <c r="AI66" s="728"/>
      <c r="AJ66" s="728"/>
      <c r="AK66" s="728"/>
      <c r="AL66" s="728"/>
      <c r="AM66" s="728"/>
      <c r="AN66" s="728"/>
      <c r="AO66" s="728"/>
      <c r="AP66" s="732"/>
      <c r="AQ66" s="728">
        <v>12</v>
      </c>
      <c r="AR66" s="728"/>
      <c r="AS66" s="733"/>
      <c r="AT66" s="728"/>
      <c r="AU66" s="728"/>
      <c r="AV66" s="728"/>
      <c r="AW66" s="728"/>
      <c r="AX66" s="728">
        <v>12</v>
      </c>
      <c r="AY66" s="727" t="s">
        <v>41</v>
      </c>
      <c r="AZ66" s="732" t="s">
        <v>137</v>
      </c>
      <c r="BA66" s="728"/>
      <c r="BB66" s="728"/>
      <c r="BC66" s="728"/>
      <c r="BD66" s="448"/>
      <c r="BE66" s="448"/>
      <c r="BF66" s="727"/>
      <c r="BG66" s="728">
        <v>1</v>
      </c>
      <c r="BH66" s="728"/>
      <c r="BI66" s="728"/>
      <c r="BJ66" s="728">
        <v>3</v>
      </c>
      <c r="BK66" s="728"/>
      <c r="BL66" s="728">
        <v>1</v>
      </c>
      <c r="BM66" s="728">
        <v>1</v>
      </c>
      <c r="BN66" s="728">
        <v>41</v>
      </c>
      <c r="BO66" s="728">
        <v>85</v>
      </c>
      <c r="BP66" s="727"/>
      <c r="BQ66" s="734"/>
      <c r="BR66" s="733"/>
      <c r="BS66" s="727"/>
      <c r="BT66" s="423"/>
      <c r="BU66" s="423"/>
      <c r="BV66" s="425"/>
      <c r="BW66" s="423"/>
      <c r="BX66" s="448"/>
      <c r="BY66" s="448"/>
      <c r="BZ66" s="448"/>
      <c r="CA66" s="448"/>
      <c r="CB66" s="448"/>
      <c r="CC66" s="777"/>
      <c r="CD66" s="448"/>
      <c r="CE66" s="735" t="str">
        <f>IFERROR(WWWW[[#This Row],['#_Water sources passed]]/WWWW[[#This Row],['#_Water sources tested for fecal coliform ]],"no test")</f>
        <v>no test</v>
      </c>
      <c r="CF66" s="733" t="str">
        <f>IFERROR(WWWW[[#This Row],['#_Household passed]]/WWWW[[#This Row],['#_Household water samples tested for fecal coliform]],"no test")</f>
        <v>no test</v>
      </c>
      <c r="CG66" s="734" t="str">
        <f>IF(AND(WWWW[[#This Row],[% of water sources passed]]="no test",WWWW[[#This Row],[% Household passed]]="no test"),"No Test","Tested")</f>
        <v>No Test</v>
      </c>
      <c r="CH66" s="734">
        <f>WWWW[[#This Row],['#_Constructed/existing protected hand dug well]]-WWWW[[#This Row],['#_Non-functional protected hand dug well]]</f>
        <v>1</v>
      </c>
      <c r="CI66" s="734">
        <f>(WWWW[[#This Row],['#_Constructed/Existing tube wells/boreholes/handpumps_WASH_agency]]+WWWW[[#This Row],['#_Non-Cluster partner water tube-wells/boreholes/handpumps]])-WWWW[[#This Row],['#_Non-functional tube wells/boreholes/handpumps]]</f>
        <v>0</v>
      </c>
      <c r="CJ66" s="734">
        <f>WWWW[[#This Row],['#_Constructed/Existingwater storage tank with gravity fed reticulation system]]-WWWW[[#This Row],['#_Non-functional storage tank gravity fed reticulation system]]</f>
        <v>0</v>
      </c>
      <c r="CK66" s="734">
        <f>(WWWW[[#This Row],['#_Water_Liters_supplied_by_Water boating or water trucking]]/90)/15</f>
        <v>0</v>
      </c>
      <c r="CL66" s="734">
        <f>WWWW[[#This Row],['#_Water_Liters_from_Constructed/Existing water distribution system from river or natural spring]]/90/15</f>
        <v>0</v>
      </c>
      <c r="CM66" s="424">
        <f>IF(WWWW[[#This Row],['#_of water points in TLS/CFS]]*500&gt;WWWW[[#This Row],[Total PoP ]],WWWW[[#This Row],[Total PoP ]],WWWW[[#This Row],['#_of water points in TLS/CFS]]*500)</f>
        <v>0</v>
      </c>
      <c r="CN66" s="424">
        <f>IF(WWWW[[#This Row],['#_of water points in THF]]*500&gt;WWWW[[#This Row],[Total PoP ]],WWWW[[#This Row],[Total PoP ]],WWWW[[#This Row],['#_of water points in THF]]*500)</f>
        <v>0</v>
      </c>
      <c r="CO6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0.86505190311418689</v>
      </c>
      <c r="CQ66" s="733">
        <f>IF(WWWW[[#This Row],[Location Type 1]]="Village",WWWW[[#This Row],[Access to safe drinking water for Village]],WWWW[[#This Row],[Access to safe drinking water for Camp]])</f>
        <v>1</v>
      </c>
      <c r="CR66" s="731">
        <f>WWWW[[#This Row],[%Equitable and continuous access to sufficient quantity of safe drinking water]]*WWWW[[#This Row],[Total PoP ]]</f>
        <v>289</v>
      </c>
      <c r="CS66" s="733">
        <f>IF((WWWW[[#This Row],['#_Constructed/Existing protected/fenced ponds]]*250)/WWWW[[#This Row],[Total PoP ]]&gt;1,1,(WWWW[[#This Row],['#_Constructed/Existing protected/fenced ponds]]*250)/WWWW[[#This Row],[Total PoP ]])</f>
        <v>0.86505190311418689</v>
      </c>
      <c r="CT66" s="731">
        <f>WWWW[[#This Row],[% Access to unimproved water points]]*WWWW[[#This Row],[Total PoP ]]</f>
        <v>250</v>
      </c>
      <c r="CU6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W66" s="731">
        <f>WWWW[[#This Row],[HRP1]]/500</f>
        <v>0.57799999999999996</v>
      </c>
      <c r="CX66" s="736">
        <f>1-WWWW[[#This Row],[% Equitable and continuous access to sufficient quantity of domestic water]]</f>
        <v>0</v>
      </c>
      <c r="CY66" s="731">
        <f>WWWW[[#This Row],[%equitable and continuous access to sufficient quantity of safe drinking and domestic water''s GAP]]*WWWW[[#This Row],[Total PoP ]]</f>
        <v>0</v>
      </c>
      <c r="CZ66" s="734">
        <f>IF(WWWW[[#This Row],[Total required water points]]-WWWW[[#This Row],['#Water points coverage]]&lt;0,0,WWWW[[#This Row],[Total required water points]]-WWWW[[#This Row],['#Water points coverage]])</f>
        <v>0.42200000000000004</v>
      </c>
      <c r="DA66" s="734">
        <f>ROUND(IF(WWWW[[#This Row],[Total PoP ]]&lt;500,1,WWWW[[#This Row],[Total PoP ]]/500),0)</f>
        <v>1</v>
      </c>
      <c r="DB66" s="734">
        <f>(WWWW[[#This Row],['#_Constructed latrines_by_WASHAgencies]]+WWWW[[#This Row],['#_Non Cluster partner latrines]])-WWWW[[#This Row],['#_Non-functional latrines]]</f>
        <v>12</v>
      </c>
      <c r="DC66" s="631">
        <f>WWWW[[#This Row],[HRP2]]/WWWW[[#This Row],[Total PoP ]]</f>
        <v>0.83044982698961933</v>
      </c>
      <c r="DD6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DE6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6" s="424">
        <f>IF(WWWW[[#This Row],['# of functional latrines in THF supported by WASH partners during the reporting period2]]="",0,WWWW[[#This Row],['# of functional latrines in THF supported by WASH partners during the reporting period2]]*50)</f>
        <v>0</v>
      </c>
      <c r="DH66" s="734">
        <f>ROUND(IF(WWWW[[#This Row],[Location Type 1]]="camp",WWWW[[#This Row],[Total PoP ]]/20,IF(WWWW[[#This Row],[Location Type 1]]="Temporary Location",WWWW[[#This Row],[Total PoP ]]/50,(WWWW[[#This Row],[Total PoP ]]/6))),0)</f>
        <v>14</v>
      </c>
      <c r="DI66" s="734">
        <f>IF(WWWW[[#This Row],[Total required Latrines]]-(WWWW[[#This Row],['#_Constructed latrines_by_WASHAgencies]]+WWWW[[#This Row],['#_Non Cluster partner latrines]])&lt;0,0,WWWW[[#This Row],[Total required Latrines]]-(WWWW[[#This Row],['#_Constructed latrines_by_WASHAgencies]]+WWWW[[#This Row],['#_Non Cluster partner latrines]]))</f>
        <v>2</v>
      </c>
      <c r="DJ66" s="736">
        <f>1-WWWW[[#This Row],[% people access to functioning Latrine]]</f>
        <v>0.16955017301038067</v>
      </c>
      <c r="DK66" s="735">
        <f>IF(OR(WWWW[[#This Row],['#_Non-functional latrines]]="",WWWW[[#This Row],['#_Non-functional latrines]]=0),0,WWWW[[#This Row],['#_Non-functional latrines]]/(WWWW[[#This Row],['#_Constructed latrines_by_WASHAgencies]]+WWWW[[#This Row],['#_Non Cluster partner latrines]]))</f>
        <v>0</v>
      </c>
      <c r="DL66" s="731">
        <f>IF(500*(WWWW[[#This Row],['#_male hygiene promoters]]+WWWW[[#This Row],['#_female hygiene promoters]])&gt;WWWW[[#This Row],[Total PoP ]],WWWW[[#This Row],[Total PoP ]],500*(WWWW[[#This Row],['#_male hygiene promoters]]+WWWW[[#This Row],['#_female hygiene promoters]]))</f>
        <v>289</v>
      </c>
      <c r="DM6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6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66" s="734">
        <f>IF(WWWW[[#This Row],['# People with access to soap]]&gt;WWWW[[#This Row],['# People with access to Sanity Pads]],WWWW[[#This Row],['# People with access to soap]],WWWW[[#This Row],['# People with access to Sanity Pads]])</f>
        <v>205</v>
      </c>
      <c r="DP66" s="734">
        <f>IF(WWWW[[#This Row],['# people reached by regular dedicated hygiene promotion_5]]&gt;WWWW[[#This Row],['# People received regular supply of hygiene items_6]],WWWW[[#This Row],['# people reached by regular dedicated hygiene promotion_5]],WWWW[[#This Row],['# People received regular supply of hygiene items_6]])</f>
        <v>289</v>
      </c>
      <c r="DQ66" s="736">
        <f>IF(WWWW[[#This Row],[HRP3]]/WWWW[[#This Row],[Total PoP ]]&gt;1,1,WWWW[[#This Row],[HRP3]]/WWWW[[#This Row],[Total PoP ]])</f>
        <v>1</v>
      </c>
      <c r="DR66" s="735">
        <f>1-WWWW[[#This Row],[Hygiene Coverage%]]</f>
        <v>0</v>
      </c>
      <c r="DS66" s="733">
        <f>WWWW[[#This Row],['# people reached by regular dedicated hygiene promotion_5]]/WWWW[[#This Row],[Total PoP ]]</f>
        <v>1</v>
      </c>
      <c r="DT6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6" s="734">
        <f>WWWW[[#This Row],['#_Constructed/Existing hand washing stations]]-WWWW[[#This Row],['#_Non-Functional_hand_washing_stations]]</f>
        <v>1</v>
      </c>
      <c r="DW66" s="731">
        <f>IF(WWWW[[#This Row],['# Functional hand washing stations during reporting period]]*20&gt;WWWW[[#This Row],[Total HH]],WWWW[[#This Row],[Total HH]],WWWW[[#This Row],['# Functional hand washing stations during reporting period]]*20)</f>
        <v>20</v>
      </c>
      <c r="DX66" s="731">
        <f>IF(WWWW[[#This Row],[Is sufficient soap available for TLS? (Yes/No)]]="yes",WWWW[[#This Row],['#_Constructed/Existing hand washing stations at TLS/CFS/THF]],0)</f>
        <v>0</v>
      </c>
      <c r="DY66" s="428">
        <f>IF(WWWW[[#This Row],['# Functional hand washing stations during reporting period]]*100&gt;WWWW[[#This Row],[Total PoP ]],WWWW[[#This Row],[Total PoP ]],WWWW[[#This Row],['# Functional hand washing stations during reporting period]]*100)</f>
        <v>100</v>
      </c>
      <c r="DZ66" s="428" t="str">
        <f>IF(OR(WWWW[[#This Row],['#_students at TLS_CFS]]="",WWWW[[#This Row],['#_students at TLS_CFS]]=0),"No","Yes")</f>
        <v>No</v>
      </c>
      <c r="EA6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6" s="727" t="str">
        <f>VLOOKUP(WWWW[[#This Row],[Site Name]],SiteDB6[[Site Name]:[CCCM Management]],6,FALSE)</f>
        <v>Yes</v>
      </c>
      <c r="EF66" s="727" t="str">
        <f>VLOOKUP(WWWW[[#This Row],[Site Name]],SiteDB6[[Site Name]:[CCCM Focal Agency]],7,FALSE)</f>
        <v>KBC-MYT</v>
      </c>
      <c r="EG66" s="727" t="str">
        <f>VLOOKUP(WWWW[[#This Row],[Site Name]],SiteDB6[[Site Name]:[Location Type 1]],9,FALSE)</f>
        <v>Camp</v>
      </c>
      <c r="EH66" s="727" t="str">
        <f>VLOOKUP(WWWW[[#This Row],[Site Name]],SiteDB6[[Site Name]:[Type of Accommodation]],10,FALSE)</f>
        <v>Closed Camp</v>
      </c>
      <c r="EI66" s="727" t="str">
        <f>VLOOKUP(WWWW[[#This Row],[Site Name]],SiteDB6[[Site Name]:[Ethnic or GCA/NGCA]],11,FALSE)</f>
        <v>GCA</v>
      </c>
      <c r="EJ66" s="727">
        <f>VLOOKUP(WWWW[[#This Row],[Site Name]],SiteDB6[[Site Name]:[Lat]],12,FALSE)</f>
        <v>27.337499999999999</v>
      </c>
      <c r="EK66" s="727">
        <f>VLOOKUP(WWWW[[#This Row],[Site Name]],SiteDB6[[Site Name]:[Long]],13,FALSE)</f>
        <v>97.416121000000004</v>
      </c>
      <c r="EL66" s="727" t="str">
        <f>VLOOKUP(WWWW[[#This Row],[Site Name]],SiteDB6[[Site Name]:[Pcode]],3,FALSE)</f>
        <v>MMR001CMP234</v>
      </c>
      <c r="EM66" s="732" t="str">
        <f t="shared" si="0"/>
        <v>Covered</v>
      </c>
      <c r="EN66" s="732"/>
      <c r="EO66" s="727">
        <f>VLOOKUP(WWWW[[#This Row],[Site Name]],SiteDB6[[Site Name]:[Pop
(Kachin/Shan-CCCM as of July 2021)]],16,FALSE)</f>
        <v>0</v>
      </c>
      <c r="EP66" s="727">
        <f>VLOOKUP(WWWW[[#This Row],[Site Name]],SiteDB6[[Site Name]:[Pop
(Kachin/Shan-CCCM as of July 2021)]],17,FALSE)</f>
        <v>0</v>
      </c>
    </row>
    <row r="67" spans="1:146" hidden="1">
      <c r="A67" s="725" t="s">
        <v>2763</v>
      </c>
      <c r="B67" s="369" t="s">
        <v>309</v>
      </c>
      <c r="C67" s="369" t="s">
        <v>309</v>
      </c>
      <c r="D67" s="726"/>
      <c r="E67" s="726" t="s">
        <v>37</v>
      </c>
      <c r="F67" s="726" t="s">
        <v>205</v>
      </c>
      <c r="G67" s="591" t="str">
        <f>VLOOKUP(WWWW[[#This Row],[Site Name]],SiteDB6[[Site Name]:[Location Type]],8,FALSE)</f>
        <v>Camp_not registered</v>
      </c>
      <c r="H67" s="726" t="s">
        <v>288</v>
      </c>
      <c r="I67" s="728"/>
      <c r="J67" s="728"/>
      <c r="K67" s="729">
        <v>43833</v>
      </c>
      <c r="L67" s="730">
        <v>44620</v>
      </c>
      <c r="M67" s="728"/>
      <c r="N67" s="728"/>
      <c r="O67" s="728"/>
      <c r="P67" s="728"/>
      <c r="Q67" s="731" t="s">
        <v>41</v>
      </c>
      <c r="R67" s="728"/>
      <c r="S67" s="728"/>
      <c r="T67" s="448">
        <v>2</v>
      </c>
      <c r="U67" s="728"/>
      <c r="V67" s="728"/>
      <c r="W67" s="728">
        <v>1</v>
      </c>
      <c r="X67" s="728"/>
      <c r="Y67" s="728"/>
      <c r="Z67" s="728"/>
      <c r="AA67" s="728"/>
      <c r="AB67" s="728"/>
      <c r="AC67" s="728"/>
      <c r="AD67" s="728"/>
      <c r="AE67" s="728"/>
      <c r="AF67" s="728"/>
      <c r="AG67" s="728"/>
      <c r="AH67" s="728"/>
      <c r="AI67" s="728"/>
      <c r="AJ67" s="728"/>
      <c r="AK67" s="728"/>
      <c r="AL67" s="728"/>
      <c r="AM67" s="728"/>
      <c r="AN67" s="728"/>
      <c r="AO67" s="728"/>
      <c r="AP67" s="732"/>
      <c r="AQ67" s="728">
        <v>7</v>
      </c>
      <c r="AR67" s="728"/>
      <c r="AS67" s="733"/>
      <c r="AT67" s="728"/>
      <c r="AU67" s="728"/>
      <c r="AV67" s="728"/>
      <c r="AW67" s="728"/>
      <c r="AX67" s="728"/>
      <c r="AY67" s="727" t="s">
        <v>41</v>
      </c>
      <c r="AZ67" s="732" t="s">
        <v>140</v>
      </c>
      <c r="BA67" s="728"/>
      <c r="BB67" s="728"/>
      <c r="BC67" s="728"/>
      <c r="BD67" s="448"/>
      <c r="BE67" s="448">
        <v>5</v>
      </c>
      <c r="BF67" s="727"/>
      <c r="BG67" s="728">
        <v>1</v>
      </c>
      <c r="BH67" s="728"/>
      <c r="BI67" s="728"/>
      <c r="BJ67" s="728">
        <v>3</v>
      </c>
      <c r="BK67" s="728"/>
      <c r="BL67" s="728"/>
      <c r="BM67" s="728"/>
      <c r="BN67" s="728">
        <v>41</v>
      </c>
      <c r="BO67" s="728">
        <v>85</v>
      </c>
      <c r="BP67" s="727"/>
      <c r="BQ67" s="734"/>
      <c r="BR67" s="733"/>
      <c r="BS67" s="727"/>
      <c r="BT67" s="423"/>
      <c r="BU67" s="423"/>
      <c r="BV67" s="425"/>
      <c r="BW67" s="423"/>
      <c r="BX67" s="448"/>
      <c r="BY67" s="448"/>
      <c r="BZ67" s="448"/>
      <c r="CA67" s="448"/>
      <c r="CB67" s="448"/>
      <c r="CC67" s="777"/>
      <c r="CD67" s="448"/>
      <c r="CE67" s="735" t="str">
        <f>IFERROR(WWWW[[#This Row],['#_Water sources passed]]/WWWW[[#This Row],['#_Water sources tested for fecal coliform ]],"no test")</f>
        <v>no test</v>
      </c>
      <c r="CF67" s="733" t="str">
        <f>IFERROR(WWWW[[#This Row],['#_Household passed]]/WWWW[[#This Row],['#_Household water samples tested for fecal coliform]],"no test")</f>
        <v>no test</v>
      </c>
      <c r="CG67" s="734" t="str">
        <f>IF(AND(WWWW[[#This Row],[% of water sources passed]]="no test",WWWW[[#This Row],[% Household passed]]="no test"),"No Test","Tested")</f>
        <v>No Test</v>
      </c>
      <c r="CH67" s="734">
        <f>WWWW[[#This Row],['#_Constructed/existing protected hand dug well]]-WWWW[[#This Row],['#_Non-functional protected hand dug well]]</f>
        <v>2</v>
      </c>
      <c r="CI67" s="734">
        <f>(WWWW[[#This Row],['#_Constructed/Existing tube wells/boreholes/handpumps_WASH_agency]]+WWWW[[#This Row],['#_Non-Cluster partner water tube-wells/boreholes/handpumps]])-WWWW[[#This Row],['#_Non-functional tube wells/boreholes/handpumps]]</f>
        <v>1</v>
      </c>
      <c r="CJ67" s="734">
        <f>WWWW[[#This Row],['#_Constructed/Existingwater storage tank with gravity fed reticulation system]]-WWWW[[#This Row],['#_Non-functional storage tank gravity fed reticulation system]]</f>
        <v>0</v>
      </c>
      <c r="CK67" s="734">
        <f>(WWWW[[#This Row],['#_Water_Liters_supplied_by_Water boating or water trucking]]/90)/15</f>
        <v>0</v>
      </c>
      <c r="CL67" s="734">
        <f>WWWW[[#This Row],['#_Water_Liters_from_Constructed/Existing water distribution system from river or natural spring]]/90/15</f>
        <v>0</v>
      </c>
      <c r="CM67" s="424">
        <f>IF(WWWW[[#This Row],['#_of water points in TLS/CFS]]*500&gt;WWWW[[#This Row],[Total PoP ]],WWWW[[#This Row],[Total PoP ]],WWWW[[#This Row],['#_of water points in TLS/CFS]]*500)</f>
        <v>0</v>
      </c>
      <c r="CN67" s="424">
        <f>IF(WWWW[[#This Row],['#_of water points in THF]]*500&gt;WWWW[[#This Row],[Total PoP ]],WWWW[[#This Row],[Total PoP ]],WWWW[[#This Row],['#_of water points in THF]]*500)</f>
        <v>0</v>
      </c>
      <c r="CO67" s="735"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67" s="735"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67" s="733" t="str">
        <f>IF(WWWW[[#This Row],[Location Type 1]]="Village",WWWW[[#This Row],[Access to safe drinking water for Village]],WWWW[[#This Row],[Access to safe drinking water for Camp]])</f>
        <v/>
      </c>
      <c r="CR67" s="731"/>
      <c r="CS67" s="733"/>
      <c r="CT67" s="731">
        <f>WWWW[[#This Row],[% Access to unimproved water points]]*WWWW[[#This Row],[Total PoP ]]</f>
        <v>0</v>
      </c>
      <c r="CU67" s="733"/>
      <c r="CV67" s="731"/>
      <c r="CW67" s="731">
        <f>WWWW[[#This Row],[HRP1]]/500</f>
        <v>0</v>
      </c>
      <c r="CX67" s="736"/>
      <c r="CY67" s="731"/>
      <c r="CZ67" s="734">
        <f>IF(WWWW[[#This Row],[Total required water points]]-WWWW[[#This Row],['#Water points coverage]]&lt;0,0,WWWW[[#This Row],[Total required water points]]-WWWW[[#This Row],['#Water points coverage]])</f>
        <v>1</v>
      </c>
      <c r="DA67" s="734">
        <f>ROUND(IF(WWWW[[#This Row],[Total PoP ]]&lt;500,1,WWWW[[#This Row],[Total PoP ]]/500),0)</f>
        <v>1</v>
      </c>
      <c r="DB67" s="734">
        <f>(WWWW[[#This Row],['#_Constructed latrines_by_WASHAgencies]]+WWWW[[#This Row],['#_Non Cluster partner latrines]])-WWWW[[#This Row],['#_Non-functional latrines]]</f>
        <v>7</v>
      </c>
      <c r="DC67" s="631"/>
      <c r="DD6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6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7" s="424">
        <f>IF(WWWW[[#This Row],['# of functional latrines in THF supported by WASH partners during the reporting period2]]="",0,WWWW[[#This Row],['# of functional latrines in THF supported by WASH partners during the reporting period2]]*50)</f>
        <v>0</v>
      </c>
      <c r="DH67" s="734">
        <f>ROUND(IF(WWWW[[#This Row],[Location Type 1]]="camp",WWWW[[#This Row],[Total PoP ]]/20,IF(WWWW[[#This Row],[Location Type 1]]="Temporary Location",WWWW[[#This Row],[Total PoP ]]/50,(WWWW[[#This Row],[Total PoP ]]/6))),0)</f>
        <v>0</v>
      </c>
      <c r="DI67" s="734">
        <f>IF(WWWW[[#This Row],[Total required Latrines]]-(WWWW[[#This Row],['#_Constructed latrines_by_WASHAgencies]]+WWWW[[#This Row],['#_Non Cluster partner latrines]])&lt;0,0,WWWW[[#This Row],[Total required Latrines]]-(WWWW[[#This Row],['#_Constructed latrines_by_WASHAgencies]]+WWWW[[#This Row],['#_Non Cluster partner latrines]]))</f>
        <v>0</v>
      </c>
      <c r="DJ67" s="736"/>
      <c r="DK67" s="735"/>
      <c r="DL67" s="731">
        <f>IF(500*(WWWW[[#This Row],['#_male hygiene promoters]]+WWWW[[#This Row],['#_female hygiene promoters]])&gt;WWWW[[#This Row],[Total PoP ]],WWWW[[#This Row],[Total PoP ]],500*(WWWW[[#This Row],['#_male hygiene promoters]]+WWWW[[#This Row],['#_female hygiene promoters]]))</f>
        <v>0</v>
      </c>
      <c r="DM6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6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67" s="734">
        <f>IF(WWWW[[#This Row],['# People with access to soap]]&gt;WWWW[[#This Row],['# People with access to Sanity Pads]],WWWW[[#This Row],['# People with access to soap]],WWWW[[#This Row],['# People with access to Sanity Pads]])</f>
        <v>0</v>
      </c>
      <c r="DP67" s="73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67" s="736"/>
      <c r="DR67" s="735"/>
      <c r="DS67" s="733"/>
      <c r="DT67" s="735"/>
      <c r="DU67" s="733"/>
      <c r="DV67" s="734">
        <f>WWWW[[#This Row],['#_Constructed/Existing hand washing stations]]-WWWW[[#This Row],['#_Non-Functional_hand_washing_stations]]</f>
        <v>1</v>
      </c>
      <c r="DW67" s="731">
        <f>IF(WWWW[[#This Row],['# Functional hand washing stations during reporting period]]*20&gt;WWWW[[#This Row],[Total HH]],WWWW[[#This Row],[Total HH]],WWWW[[#This Row],['# Functional hand washing stations during reporting period]]*20)</f>
        <v>0</v>
      </c>
      <c r="DX67" s="731">
        <f>IF(WWWW[[#This Row],[Is sufficient soap available for TLS? (Yes/No)]]="yes",WWWW[[#This Row],['#_Constructed/Existing hand washing stations at TLS/CFS/THF]],0)</f>
        <v>0</v>
      </c>
      <c r="DY67" s="428">
        <f>IF(WWWW[[#This Row],['# Functional hand washing stations during reporting period]]*100&gt;WWWW[[#This Row],[Total PoP ]],WWWW[[#This Row],[Total PoP ]],WWWW[[#This Row],['# Functional hand washing stations during reporting period]]*100)</f>
        <v>0</v>
      </c>
      <c r="DZ67" s="428" t="str">
        <f>IF(OR(WWWW[[#This Row],['#_students at TLS_CFS]]="",WWWW[[#This Row],['#_students at TLS_CFS]]=0),"No","Yes")</f>
        <v>No</v>
      </c>
      <c r="EA6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7" s="727">
        <f>VLOOKUP(WWWW[[#This Row],[Site Name]],SiteDB6[[Site Name]:[CCCM Management]],6,FALSE)</f>
        <v>0</v>
      </c>
      <c r="EF67" s="727">
        <f>VLOOKUP(WWWW[[#This Row],[Site Name]],SiteDB6[[Site Name]:[CCCM Focal Agency]],7,FALSE)</f>
        <v>0</v>
      </c>
      <c r="EG67" s="727" t="str">
        <f>VLOOKUP(WWWW[[#This Row],[Site Name]],SiteDB6[[Site Name]:[Location Type 1]],9,FALSE)</f>
        <v>Camp</v>
      </c>
      <c r="EH67" s="727" t="str">
        <f>VLOOKUP(WWWW[[#This Row],[Site Name]],SiteDB6[[Site Name]:[Type of Accommodation]],10,FALSE)</f>
        <v>School</v>
      </c>
      <c r="EI67" s="727" t="str">
        <f>VLOOKUP(WWWW[[#This Row],[Site Name]],SiteDB6[[Site Name]:[Ethnic or GCA/NGCA]],11,FALSE)</f>
        <v>GCA</v>
      </c>
      <c r="EJ67" s="727">
        <f>VLOOKUP(WWWW[[#This Row],[Site Name]],SiteDB6[[Site Name]:[Lat]],12,FALSE)</f>
        <v>0</v>
      </c>
      <c r="EK67" s="727">
        <f>VLOOKUP(WWWW[[#This Row],[Site Name]],SiteDB6[[Site Name]:[Long]],13,FALSE)</f>
        <v>0</v>
      </c>
      <c r="EL67" s="727">
        <f>VLOOKUP(WWWW[[#This Row],[Site Name]],SiteDB6[[Site Name]:[Pcode]],3,FALSE)</f>
        <v>0</v>
      </c>
      <c r="EM67" s="732" t="str">
        <f t="shared" si="0"/>
        <v>Notcovered</v>
      </c>
      <c r="EN67" s="732"/>
      <c r="EO67" s="727">
        <f>VLOOKUP(WWWW[[#This Row],[Site Name]],SiteDB6[[Site Name]:[Pop
(Kachin/Shan-CCCM as of July 2021)]],16,FALSE)</f>
        <v>0</v>
      </c>
      <c r="EP67" s="727">
        <f>VLOOKUP(WWWW[[#This Row],[Site Name]],SiteDB6[[Site Name]:[Pop
(Kachin/Shan-CCCM as of July 2021)]],17,FALSE)</f>
        <v>0</v>
      </c>
    </row>
    <row r="68" spans="1:146" hidden="1">
      <c r="A68" s="725" t="s">
        <v>2763</v>
      </c>
      <c r="B68" s="725" t="s">
        <v>141</v>
      </c>
      <c r="C68" s="726" t="s">
        <v>141</v>
      </c>
      <c r="D68" s="726" t="s">
        <v>241</v>
      </c>
      <c r="E68" s="726" t="s">
        <v>37</v>
      </c>
      <c r="F68" s="726" t="s">
        <v>152</v>
      </c>
      <c r="G68" s="591" t="str">
        <f>VLOOKUP(WWWW[[#This Row],[Site Name]],SiteDB6[[Site Name]:[Location Type]],8,FALSE)</f>
        <v>Camp</v>
      </c>
      <c r="H68" s="726" t="s">
        <v>1613</v>
      </c>
      <c r="I68" s="728">
        <v>16</v>
      </c>
      <c r="J68" s="728">
        <v>78</v>
      </c>
      <c r="K68" s="729">
        <v>44105</v>
      </c>
      <c r="L68" s="730">
        <v>44681</v>
      </c>
      <c r="M68" s="728"/>
      <c r="N68" s="728">
        <v>1</v>
      </c>
      <c r="O68" s="728"/>
      <c r="P68" s="728"/>
      <c r="Q68" s="731" t="s">
        <v>41</v>
      </c>
      <c r="R68" s="728"/>
      <c r="S68" s="728">
        <v>3</v>
      </c>
      <c r="T68" s="448"/>
      <c r="U68" s="728"/>
      <c r="V68" s="728"/>
      <c r="W68" s="728">
        <v>1</v>
      </c>
      <c r="X68" s="728"/>
      <c r="Y68" s="728"/>
      <c r="Z68" s="728"/>
      <c r="AA68" s="728"/>
      <c r="AB68" s="728"/>
      <c r="AC68" s="728"/>
      <c r="AD68" s="728"/>
      <c r="AE68" s="728"/>
      <c r="AF68" s="728"/>
      <c r="AG68" s="728"/>
      <c r="AH68" s="728">
        <v>2</v>
      </c>
      <c r="AI68" s="728"/>
      <c r="AJ68" s="728"/>
      <c r="AK68" s="728"/>
      <c r="AL68" s="728"/>
      <c r="AM68" s="728"/>
      <c r="AN68" s="728"/>
      <c r="AO68" s="728"/>
      <c r="AP68" s="732"/>
      <c r="AQ68" s="728">
        <v>2</v>
      </c>
      <c r="AR68" s="728"/>
      <c r="AS68" s="733"/>
      <c r="AT68" s="728"/>
      <c r="AU68" s="728"/>
      <c r="AV68" s="728"/>
      <c r="AW68" s="728"/>
      <c r="AX68" s="728">
        <v>2</v>
      </c>
      <c r="AY68" s="727" t="s">
        <v>41</v>
      </c>
      <c r="AZ68" s="732" t="s">
        <v>137</v>
      </c>
      <c r="BA68" s="728"/>
      <c r="BB68" s="728"/>
      <c r="BC68" s="728"/>
      <c r="BD68" s="448"/>
      <c r="BE68" s="448"/>
      <c r="BF68" s="727"/>
      <c r="BG68" s="728">
        <v>1</v>
      </c>
      <c r="BH68" s="728"/>
      <c r="BI68" s="728"/>
      <c r="BJ68" s="728">
        <v>1</v>
      </c>
      <c r="BK68" s="728"/>
      <c r="BL68" s="728"/>
      <c r="BM68" s="728">
        <v>1</v>
      </c>
      <c r="BN68" s="728">
        <v>6</v>
      </c>
      <c r="BO68" s="728">
        <v>5</v>
      </c>
      <c r="BP68" s="727"/>
      <c r="BQ68" s="734"/>
      <c r="BR68" s="733"/>
      <c r="BS68" s="727"/>
      <c r="BT68" s="423"/>
      <c r="BU68" s="423"/>
      <c r="BV68" s="425"/>
      <c r="BW68" s="423"/>
      <c r="BX68" s="448"/>
      <c r="BY68" s="448"/>
      <c r="BZ68" s="448"/>
      <c r="CA68" s="448"/>
      <c r="CB68" s="448"/>
      <c r="CC68" s="777"/>
      <c r="CD68" s="448"/>
      <c r="CE68" s="735" t="str">
        <f>IFERROR(WWWW[[#This Row],['#_Water sources passed]]/WWWW[[#This Row],['#_Water sources tested for fecal coliform ]],"no test")</f>
        <v>no test</v>
      </c>
      <c r="CF68" s="733" t="str">
        <f>IFERROR(WWWW[[#This Row],['#_Household passed]]/WWWW[[#This Row],['#_Household water samples tested for fecal coliform]],"no test")</f>
        <v>no test</v>
      </c>
      <c r="CG68" s="734" t="str">
        <f>IF(AND(WWWW[[#This Row],[% of water sources passed]]="no test",WWWW[[#This Row],[% Household passed]]="no test"),"No Test","Tested")</f>
        <v>No Test</v>
      </c>
      <c r="CH68" s="734">
        <f>WWWW[[#This Row],['#_Constructed/existing protected hand dug well]]-WWWW[[#This Row],['#_Non-functional protected hand dug well]]</f>
        <v>0</v>
      </c>
      <c r="CI68" s="734">
        <f>(WWWW[[#This Row],['#_Constructed/Existing tube wells/boreholes/handpumps_WASH_agency]]+WWWW[[#This Row],['#_Non-Cluster partner water tube-wells/boreholes/handpumps]])-WWWW[[#This Row],['#_Non-functional tube wells/boreholes/handpumps]]</f>
        <v>1</v>
      </c>
      <c r="CJ68" s="734">
        <f>WWWW[[#This Row],['#_Constructed/Existingwater storage tank with gravity fed reticulation system]]-WWWW[[#This Row],['#_Non-functional storage tank gravity fed reticulation system]]</f>
        <v>0</v>
      </c>
      <c r="CK68" s="734">
        <f>(WWWW[[#This Row],['#_Water_Liters_supplied_by_Water boating or water trucking]]/90)/15</f>
        <v>0</v>
      </c>
      <c r="CL68" s="734">
        <f>WWWW[[#This Row],['#_Water_Liters_from_Constructed/Existing water distribution system from river or natural spring]]/90/15</f>
        <v>0</v>
      </c>
      <c r="CM68" s="424">
        <f>IF(WWWW[[#This Row],['#_of water points in TLS/CFS]]*500&gt;WWWW[[#This Row],[Total PoP ]],WWWW[[#This Row],[Total PoP ]],WWWW[[#This Row],['#_of water points in TLS/CFS]]*500)</f>
        <v>0</v>
      </c>
      <c r="CN68" s="424">
        <f>IF(WWWW[[#This Row],['#_of water points in THF]]*500&gt;WWWW[[#This Row],[Total PoP ]],WWWW[[#This Row],[Total PoP ]],WWWW[[#This Row],['#_of water points in THF]]*500)</f>
        <v>0</v>
      </c>
      <c r="CO6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8" s="733">
        <f>IF(WWWW[[#This Row],[Location Type 1]]="Village",WWWW[[#This Row],[Access to safe drinking water for Village]],WWWW[[#This Row],[Access to safe drinking water for Camp]])</f>
        <v>1</v>
      </c>
      <c r="CR68" s="731">
        <f>WWWW[[#This Row],[%Equitable and continuous access to sufficient quantity of safe drinking water]]*WWWW[[#This Row],[Total PoP ]]</f>
        <v>78</v>
      </c>
      <c r="CS68" s="733">
        <f>IF((WWWW[[#This Row],['#_Constructed/Existing protected/fenced ponds]]*250)/WWWW[[#This Row],[Total PoP ]]&gt;1,1,(WWWW[[#This Row],['#_Constructed/Existing protected/fenced ponds]]*250)/WWWW[[#This Row],[Total PoP ]])</f>
        <v>0</v>
      </c>
      <c r="CT68" s="731">
        <f>WWWW[[#This Row],[% Access to unimproved water points]]*WWWW[[#This Row],[Total PoP ]]</f>
        <v>0</v>
      </c>
      <c r="CU6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W68" s="731">
        <f>WWWW[[#This Row],[HRP1]]/500</f>
        <v>0.156</v>
      </c>
      <c r="CX68" s="736">
        <f>1-WWWW[[#This Row],[% Equitable and continuous access to sufficient quantity of domestic water]]</f>
        <v>0</v>
      </c>
      <c r="CY68" s="731">
        <f>WWWW[[#This Row],[%equitable and continuous access to sufficient quantity of safe drinking and domestic water''s GAP]]*WWWW[[#This Row],[Total PoP ]]</f>
        <v>0</v>
      </c>
      <c r="CZ68" s="734">
        <f>IF(WWWW[[#This Row],[Total required water points]]-WWWW[[#This Row],['#Water points coverage]]&lt;0,0,WWWW[[#This Row],[Total required water points]]-WWWW[[#This Row],['#Water points coverage]])</f>
        <v>0.84399999999999997</v>
      </c>
      <c r="DA68" s="734">
        <f>ROUND(IF(WWWW[[#This Row],[Total PoP ]]&lt;500,1,WWWW[[#This Row],[Total PoP ]]/500),0)</f>
        <v>1</v>
      </c>
      <c r="DB68" s="734">
        <f>(WWWW[[#This Row],['#_Constructed latrines_by_WASHAgencies]]+WWWW[[#This Row],['#_Non Cluster partner latrines]])-WWWW[[#This Row],['#_Non-functional latrines]]</f>
        <v>2</v>
      </c>
      <c r="DC68" s="631">
        <f>WWWW[[#This Row],[HRP2]]/WWWW[[#This Row],[Total PoP ]]</f>
        <v>0.51282051282051277</v>
      </c>
      <c r="DD6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6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8" s="424">
        <f>IF(WWWW[[#This Row],['# of functional latrines in THF supported by WASH partners during the reporting period2]]="",0,WWWW[[#This Row],['# of functional latrines in THF supported by WASH partners during the reporting period2]]*50)</f>
        <v>0</v>
      </c>
      <c r="DH68" s="734">
        <f>ROUND(IF(WWWW[[#This Row],[Location Type 1]]="camp",WWWW[[#This Row],[Total PoP ]]/20,IF(WWWW[[#This Row],[Location Type 1]]="Temporary Location",WWWW[[#This Row],[Total PoP ]]/50,(WWWW[[#This Row],[Total PoP ]]/6))),0)</f>
        <v>4</v>
      </c>
      <c r="DI68" s="734">
        <f>IF(WWWW[[#This Row],[Total required Latrines]]-(WWWW[[#This Row],['#_Constructed latrines_by_WASHAgencies]]+WWWW[[#This Row],['#_Non Cluster partner latrines]])&lt;0,0,WWWW[[#This Row],[Total required Latrines]]-(WWWW[[#This Row],['#_Constructed latrines_by_WASHAgencies]]+WWWW[[#This Row],['#_Non Cluster partner latrines]]))</f>
        <v>2</v>
      </c>
      <c r="DJ68" s="736">
        <f>1-WWWW[[#This Row],[% people access to functioning Latrine]]</f>
        <v>0.48717948717948723</v>
      </c>
      <c r="DK68" s="735">
        <f>IF(OR(WWWW[[#This Row],['#_Non-functional latrines]]="",WWWW[[#This Row],['#_Non-functional latrines]]=0),0,WWWW[[#This Row],['#_Non-functional latrines]]/(WWWW[[#This Row],['#_Constructed latrines_by_WASHAgencies]]+WWWW[[#This Row],['#_Non Cluster partner latrines]]))</f>
        <v>0</v>
      </c>
      <c r="DL68" s="731">
        <f>IF(500*(WWWW[[#This Row],['#_male hygiene promoters]]+WWWW[[#This Row],['#_female hygiene promoters]])&gt;WWWW[[#This Row],[Total PoP ]],WWWW[[#This Row],[Total PoP ]],500*(WWWW[[#This Row],['#_male hygiene promoters]]+WWWW[[#This Row],['#_female hygiene promoters]]))</f>
        <v>78</v>
      </c>
      <c r="DM6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6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68" s="734">
        <f>IF(WWWW[[#This Row],['# People with access to soap]]&gt;WWWW[[#This Row],['# People with access to Sanity Pads]],WWWW[[#This Row],['# People with access to soap]],WWWW[[#This Row],['# People with access to Sanity Pads]])</f>
        <v>30</v>
      </c>
      <c r="DP68" s="734">
        <f>IF(WWWW[[#This Row],['# people reached by regular dedicated hygiene promotion_5]]&gt;WWWW[[#This Row],['# People received regular supply of hygiene items_6]],WWWW[[#This Row],['# people reached by regular dedicated hygiene promotion_5]],WWWW[[#This Row],['# People received regular supply of hygiene items_6]])</f>
        <v>78</v>
      </c>
      <c r="DQ68" s="736">
        <f>IF(WWWW[[#This Row],[HRP3]]/WWWW[[#This Row],[Total PoP ]]&gt;1,1,WWWW[[#This Row],[HRP3]]/WWWW[[#This Row],[Total PoP ]])</f>
        <v>1</v>
      </c>
      <c r="DR68" s="735">
        <f>1-WWWW[[#This Row],[Hygiene Coverage%]]</f>
        <v>0</v>
      </c>
      <c r="DS68" s="733">
        <f>WWWW[[#This Row],['# people reached by regular dedicated hygiene promotion_5]]/WWWW[[#This Row],[Total PoP ]]</f>
        <v>1</v>
      </c>
      <c r="DT6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0.3125</v>
      </c>
      <c r="DV68" s="734">
        <f>WWWW[[#This Row],['#_Constructed/Existing hand washing stations]]-WWWW[[#This Row],['#_Non-Functional_hand_washing_stations]]</f>
        <v>1</v>
      </c>
      <c r="DW68" s="731">
        <f>IF(WWWW[[#This Row],['# Functional hand washing stations during reporting period]]*20&gt;WWWW[[#This Row],[Total HH]],WWWW[[#This Row],[Total HH]],WWWW[[#This Row],['# Functional hand washing stations during reporting period]]*20)</f>
        <v>16</v>
      </c>
      <c r="DX68" s="731">
        <f>IF(WWWW[[#This Row],[Is sufficient soap available for TLS? (Yes/No)]]="yes",WWWW[[#This Row],['#_Constructed/Existing hand washing stations at TLS/CFS/THF]],0)</f>
        <v>0</v>
      </c>
      <c r="DY68" s="428">
        <f>IF(WWWW[[#This Row],['# Functional hand washing stations during reporting period]]*100&gt;WWWW[[#This Row],[Total PoP ]],WWWW[[#This Row],[Total PoP ]],WWWW[[#This Row],['# Functional hand washing stations during reporting period]]*100)</f>
        <v>78</v>
      </c>
      <c r="DZ68" s="428" t="str">
        <f>IF(OR(WWWW[[#This Row],['#_students at TLS_CFS]]="",WWWW[[#This Row],['#_students at TLS_CFS]]=0),"No","Yes")</f>
        <v>No</v>
      </c>
      <c r="EA6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8" s="727" t="str">
        <f>VLOOKUP(WWWW[[#This Row],[Site Name]],SiteDB6[[Site Name]:[CCCM Management]],6,FALSE)</f>
        <v>Yes</v>
      </c>
      <c r="EF68" s="727" t="str">
        <f>VLOOKUP(WWWW[[#This Row],[Site Name]],SiteDB6[[Site Name]:[CCCM Focal Agency]],7,FALSE)</f>
        <v>KBC-MYT</v>
      </c>
      <c r="EG68" s="727" t="str">
        <f>VLOOKUP(WWWW[[#This Row],[Site Name]],SiteDB6[[Site Name]:[Location Type 1]],9,FALSE)</f>
        <v>Camp</v>
      </c>
      <c r="EH68" s="727" t="str">
        <f>VLOOKUP(WWWW[[#This Row],[Site Name]],SiteDB6[[Site Name]:[Type of Accommodation]],10,FALSE)</f>
        <v>Camp</v>
      </c>
      <c r="EI68" s="727" t="str">
        <f>VLOOKUP(WWWW[[#This Row],[Site Name]],SiteDB6[[Site Name]:[Ethnic or GCA/NGCA]],11,FALSE)</f>
        <v>GCA</v>
      </c>
      <c r="EJ68" s="727">
        <f>VLOOKUP(WWWW[[#This Row],[Site Name]],SiteDB6[[Site Name]:[Lat]],12,FALSE)</f>
        <v>25.296579999999999</v>
      </c>
      <c r="EK68" s="727">
        <f>VLOOKUP(WWWW[[#This Row],[Site Name]],SiteDB6[[Site Name]:[Long]],13,FALSE)</f>
        <v>96.942279999999997</v>
      </c>
      <c r="EL68" s="727" t="str">
        <f>VLOOKUP(WWWW[[#This Row],[Site Name]],SiteDB6[[Site Name]:[Pcode]],3,FALSE)</f>
        <v>MMR001CMP077</v>
      </c>
      <c r="EM68" s="732" t="str">
        <f t="shared" si="0"/>
        <v>Covered</v>
      </c>
      <c r="EN68" s="732"/>
      <c r="EO68" s="727">
        <f>VLOOKUP(WWWW[[#This Row],[Site Name]],SiteDB6[[Site Name]:[Pop
(Kachin/Shan-CCCM as of July 2021)]],16,FALSE)</f>
        <v>16</v>
      </c>
      <c r="EP68" s="727">
        <f>VLOOKUP(WWWW[[#This Row],[Site Name]],SiteDB6[[Site Name]:[Pop
(Kachin/Shan-CCCM as of July 2021)]],17,FALSE)</f>
        <v>75</v>
      </c>
    </row>
    <row r="69" spans="1:146" hidden="1">
      <c r="A69" s="725" t="s">
        <v>2763</v>
      </c>
      <c r="B69" s="725" t="s">
        <v>141</v>
      </c>
      <c r="C69" s="726" t="s">
        <v>141</v>
      </c>
      <c r="D69" s="726" t="s">
        <v>241</v>
      </c>
      <c r="E69" s="726" t="s">
        <v>37</v>
      </c>
      <c r="F69" s="726" t="s">
        <v>142</v>
      </c>
      <c r="G69" s="591" t="str">
        <f>VLOOKUP(WWWW[[#This Row],[Site Name]],SiteDB6[[Site Name]:[Location Type]],8,FALSE)</f>
        <v>Camp</v>
      </c>
      <c r="H69" s="726" t="s">
        <v>176</v>
      </c>
      <c r="I69" s="728">
        <v>28</v>
      </c>
      <c r="J69" s="728">
        <v>159</v>
      </c>
      <c r="K69" s="729">
        <v>44105</v>
      </c>
      <c r="L69" s="730">
        <v>44681</v>
      </c>
      <c r="M69" s="728"/>
      <c r="N69" s="728">
        <v>1</v>
      </c>
      <c r="O69" s="728"/>
      <c r="P69" s="728"/>
      <c r="Q69" s="731" t="s">
        <v>41</v>
      </c>
      <c r="R69" s="728"/>
      <c r="S69" s="728">
        <v>1</v>
      </c>
      <c r="T69" s="448">
        <v>2</v>
      </c>
      <c r="U69" s="728"/>
      <c r="V69" s="728"/>
      <c r="W69" s="728">
        <v>1</v>
      </c>
      <c r="X69" s="728"/>
      <c r="Y69" s="728"/>
      <c r="Z69" s="728"/>
      <c r="AA69" s="728"/>
      <c r="AB69" s="728"/>
      <c r="AC69" s="728"/>
      <c r="AD69" s="728"/>
      <c r="AE69" s="728"/>
      <c r="AF69" s="728"/>
      <c r="AG69" s="728"/>
      <c r="AH69" s="728">
        <v>3</v>
      </c>
      <c r="AI69" s="728"/>
      <c r="AJ69" s="728"/>
      <c r="AK69" s="728"/>
      <c r="AL69" s="728"/>
      <c r="AM69" s="728"/>
      <c r="AN69" s="728"/>
      <c r="AO69" s="728"/>
      <c r="AP69" s="732"/>
      <c r="AQ69" s="728">
        <v>6</v>
      </c>
      <c r="AR69" s="728"/>
      <c r="AS69" s="733"/>
      <c r="AT69" s="728"/>
      <c r="AU69" s="728"/>
      <c r="AV69" s="728">
        <v>12</v>
      </c>
      <c r="AW69" s="728"/>
      <c r="AX69" s="728">
        <v>6</v>
      </c>
      <c r="AY69" s="727" t="s">
        <v>41</v>
      </c>
      <c r="AZ69" s="732" t="s">
        <v>137</v>
      </c>
      <c r="BA69" s="728"/>
      <c r="BB69" s="728"/>
      <c r="BC69" s="728"/>
      <c r="BD69" s="448"/>
      <c r="BE69" s="448"/>
      <c r="BF69" s="727"/>
      <c r="BG69" s="728">
        <v>8</v>
      </c>
      <c r="BH69" s="728"/>
      <c r="BI69" s="728"/>
      <c r="BJ69" s="728">
        <v>3</v>
      </c>
      <c r="BK69" s="728"/>
      <c r="BL69" s="728"/>
      <c r="BM69" s="728">
        <v>1</v>
      </c>
      <c r="BN69" s="728">
        <v>91</v>
      </c>
      <c r="BO69" s="728">
        <v>124</v>
      </c>
      <c r="BP69" s="727"/>
      <c r="BQ69" s="734"/>
      <c r="BR69" s="733"/>
      <c r="BS69" s="727"/>
      <c r="BT69" s="423"/>
      <c r="BU69" s="423"/>
      <c r="BV69" s="425"/>
      <c r="BW69" s="423"/>
      <c r="BX69" s="448"/>
      <c r="BY69" s="448"/>
      <c r="BZ69" s="448"/>
      <c r="CA69" s="448"/>
      <c r="CB69" s="448"/>
      <c r="CC69" s="777"/>
      <c r="CD69" s="448"/>
      <c r="CE69" s="735" t="str">
        <f>IFERROR(WWWW[[#This Row],['#_Water sources passed]]/WWWW[[#This Row],['#_Water sources tested for fecal coliform ]],"no test")</f>
        <v>no test</v>
      </c>
      <c r="CF69" s="733" t="str">
        <f>IFERROR(WWWW[[#This Row],['#_Household passed]]/WWWW[[#This Row],['#_Household water samples tested for fecal coliform]],"no test")</f>
        <v>no test</v>
      </c>
      <c r="CG69" s="734" t="str">
        <f>IF(AND(WWWW[[#This Row],[% of water sources passed]]="no test",WWWW[[#This Row],[% Household passed]]="no test"),"No Test","Tested")</f>
        <v>No Test</v>
      </c>
      <c r="CH69" s="734">
        <f>WWWW[[#This Row],['#_Constructed/existing protected hand dug well]]-WWWW[[#This Row],['#_Non-functional protected hand dug well]]</f>
        <v>2</v>
      </c>
      <c r="CI69" s="734">
        <f>(WWWW[[#This Row],['#_Constructed/Existing tube wells/boreholes/handpumps_WASH_agency]]+WWWW[[#This Row],['#_Non-Cluster partner water tube-wells/boreholes/handpumps]])-WWWW[[#This Row],['#_Non-functional tube wells/boreholes/handpumps]]</f>
        <v>1</v>
      </c>
      <c r="CJ69" s="734">
        <f>WWWW[[#This Row],['#_Constructed/Existingwater storage tank with gravity fed reticulation system]]-WWWW[[#This Row],['#_Non-functional storage tank gravity fed reticulation system]]</f>
        <v>0</v>
      </c>
      <c r="CK69" s="734">
        <f>(WWWW[[#This Row],['#_Water_Liters_supplied_by_Water boating or water trucking]]/90)/15</f>
        <v>0</v>
      </c>
      <c r="CL69" s="734">
        <f>WWWW[[#This Row],['#_Water_Liters_from_Constructed/Existing water distribution system from river or natural spring]]/90/15</f>
        <v>0</v>
      </c>
      <c r="CM69" s="424">
        <f>IF(WWWW[[#This Row],['#_of water points in TLS/CFS]]*500&gt;WWWW[[#This Row],[Total PoP ]],WWWW[[#This Row],[Total PoP ]],WWWW[[#This Row],['#_of water points in TLS/CFS]]*500)</f>
        <v>0</v>
      </c>
      <c r="CN69" s="424">
        <f>IF(WWWW[[#This Row],['#_of water points in THF]]*500&gt;WWWW[[#This Row],[Total PoP ]],WWWW[[#This Row],[Total PoP ]],WWWW[[#This Row],['#_of water points in THF]]*500)</f>
        <v>0</v>
      </c>
      <c r="CO6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9" s="733">
        <f>IF(WWWW[[#This Row],[Location Type 1]]="Village",WWWW[[#This Row],[Access to safe drinking water for Village]],WWWW[[#This Row],[Access to safe drinking water for Camp]])</f>
        <v>1</v>
      </c>
      <c r="CR69" s="731">
        <f>WWWW[[#This Row],[%Equitable and continuous access to sufficient quantity of safe drinking water]]*WWWW[[#This Row],[Total PoP ]]</f>
        <v>159</v>
      </c>
      <c r="CS69" s="733">
        <f>IF((WWWW[[#This Row],['#_Constructed/Existing protected/fenced ponds]]*250)/WWWW[[#This Row],[Total PoP ]]&gt;1,1,(WWWW[[#This Row],['#_Constructed/Existing protected/fenced ponds]]*250)/WWWW[[#This Row],[Total PoP ]])</f>
        <v>0</v>
      </c>
      <c r="CT69" s="731">
        <f>WWWW[[#This Row],[% Access to unimproved water points]]*WWWW[[#This Row],[Total PoP ]]</f>
        <v>0</v>
      </c>
      <c r="CU6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v>
      </c>
      <c r="CW69" s="731">
        <f>WWWW[[#This Row],[HRP1]]/500</f>
        <v>0.318</v>
      </c>
      <c r="CX69" s="736">
        <f>1-WWWW[[#This Row],[% Equitable and continuous access to sufficient quantity of domestic water]]</f>
        <v>0</v>
      </c>
      <c r="CY69" s="731">
        <f>WWWW[[#This Row],[%equitable and continuous access to sufficient quantity of safe drinking and domestic water''s GAP]]*WWWW[[#This Row],[Total PoP ]]</f>
        <v>0</v>
      </c>
      <c r="CZ69" s="734">
        <f>IF(WWWW[[#This Row],[Total required water points]]-WWWW[[#This Row],['#Water points coverage]]&lt;0,0,WWWW[[#This Row],[Total required water points]]-WWWW[[#This Row],['#Water points coverage]])</f>
        <v>0.68199999999999994</v>
      </c>
      <c r="DA69" s="734">
        <f>ROUND(IF(WWWW[[#This Row],[Total PoP ]]&lt;500,1,WWWW[[#This Row],[Total PoP ]]/500),0)</f>
        <v>1</v>
      </c>
      <c r="DB69" s="734">
        <f>(WWWW[[#This Row],['#_Constructed latrines_by_WASHAgencies]]+WWWW[[#This Row],['#_Non Cluster partner latrines]])-WWWW[[#This Row],['#_Non-functional latrines]]</f>
        <v>6</v>
      </c>
      <c r="DC69" s="631">
        <f>WWWW[[#This Row],[HRP2]]/WWWW[[#This Row],[Total PoP ]]</f>
        <v>0.75471698113207553</v>
      </c>
      <c r="DD6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6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159</v>
      </c>
      <c r="DF6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9" s="424">
        <f>IF(WWWW[[#This Row],['# of functional latrines in THF supported by WASH partners during the reporting period2]]="",0,WWWW[[#This Row],['# of functional latrines in THF supported by WASH partners during the reporting period2]]*50)</f>
        <v>0</v>
      </c>
      <c r="DH69" s="734">
        <f>ROUND(IF(WWWW[[#This Row],[Location Type 1]]="camp",WWWW[[#This Row],[Total PoP ]]/20,IF(WWWW[[#This Row],[Location Type 1]]="Temporary Location",WWWW[[#This Row],[Total PoP ]]/50,(WWWW[[#This Row],[Total PoP ]]/6))),0)</f>
        <v>8</v>
      </c>
      <c r="DI69" s="734">
        <f>IF(WWWW[[#This Row],[Total required Latrines]]-(WWWW[[#This Row],['#_Constructed latrines_by_WASHAgencies]]+WWWW[[#This Row],['#_Non Cluster partner latrines]])&lt;0,0,WWWW[[#This Row],[Total required Latrines]]-(WWWW[[#This Row],['#_Constructed latrines_by_WASHAgencies]]+WWWW[[#This Row],['#_Non Cluster partner latrines]]))</f>
        <v>2</v>
      </c>
      <c r="DJ69" s="736">
        <f>1-WWWW[[#This Row],[% people access to functioning Latrine]]</f>
        <v>0.24528301886792447</v>
      </c>
      <c r="DK69" s="735">
        <f>IF(OR(WWWW[[#This Row],['#_Non-functional latrines]]="",WWWW[[#This Row],['#_Non-functional latrines]]=0),0,WWWW[[#This Row],['#_Non-functional latrines]]/(WWWW[[#This Row],['#_Constructed latrines_by_WASHAgencies]]+WWWW[[#This Row],['#_Non Cluster partner latrines]]))</f>
        <v>0</v>
      </c>
      <c r="DL69" s="731">
        <f>IF(500*(WWWW[[#This Row],['#_male hygiene promoters]]+WWWW[[#This Row],['#_female hygiene promoters]])&gt;WWWW[[#This Row],[Total PoP ]],WWWW[[#This Row],[Total PoP ]],500*(WWWW[[#This Row],['#_male hygiene promoters]]+WWWW[[#This Row],['#_female hygiene promoters]]))</f>
        <v>159</v>
      </c>
      <c r="DM6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159</v>
      </c>
      <c r="DN6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69" s="734">
        <f>IF(WWWW[[#This Row],['# People with access to soap]]&gt;WWWW[[#This Row],['# People with access to Sanity Pads]],WWWW[[#This Row],['# People with access to soap]],WWWW[[#This Row],['# People with access to Sanity Pads]])</f>
        <v>159</v>
      </c>
      <c r="DP69" s="734">
        <f>IF(WWWW[[#This Row],['# people reached by regular dedicated hygiene promotion_5]]&gt;WWWW[[#This Row],['# People received regular supply of hygiene items_6]],WWWW[[#This Row],['# people reached by regular dedicated hygiene promotion_5]],WWWW[[#This Row],['# People received regular supply of hygiene items_6]])</f>
        <v>159</v>
      </c>
      <c r="DQ69" s="736">
        <f>IF(WWWW[[#This Row],[HRP3]]/WWWW[[#This Row],[Total PoP ]]&gt;1,1,WWWW[[#This Row],[HRP3]]/WWWW[[#This Row],[Total PoP ]])</f>
        <v>1</v>
      </c>
      <c r="DR69" s="735">
        <f>1-WWWW[[#This Row],[Hygiene Coverage%]]</f>
        <v>0</v>
      </c>
      <c r="DS69" s="733">
        <f>WWWW[[#This Row],['# people reached by regular dedicated hygiene promotion_5]]/WWWW[[#This Row],[Total PoP ]]</f>
        <v>1</v>
      </c>
      <c r="DT6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9" s="734">
        <f>WWWW[[#This Row],['#_Constructed/Existing hand washing stations]]-WWWW[[#This Row],['#_Non-Functional_hand_washing_stations]]</f>
        <v>8</v>
      </c>
      <c r="DW69" s="731">
        <f>IF(WWWW[[#This Row],['# Functional hand washing stations during reporting period]]*20&gt;WWWW[[#This Row],[Total HH]],WWWW[[#This Row],[Total HH]],WWWW[[#This Row],['# Functional hand washing stations during reporting period]]*20)</f>
        <v>28</v>
      </c>
      <c r="DX69" s="731">
        <f>IF(WWWW[[#This Row],[Is sufficient soap available for TLS? (Yes/No)]]="yes",WWWW[[#This Row],['#_Constructed/Existing hand washing stations at TLS/CFS/THF]],0)</f>
        <v>0</v>
      </c>
      <c r="DY69" s="428">
        <f>IF(WWWW[[#This Row],['# Functional hand washing stations during reporting period]]*100&gt;WWWW[[#This Row],[Total PoP ]],WWWW[[#This Row],[Total PoP ]],WWWW[[#This Row],['# Functional hand washing stations during reporting period]]*100)</f>
        <v>159</v>
      </c>
      <c r="DZ69" s="428" t="str">
        <f>IF(OR(WWWW[[#This Row],['#_students at TLS_CFS]]="",WWWW[[#This Row],['#_students at TLS_CFS]]=0),"No","Yes")</f>
        <v>No</v>
      </c>
      <c r="EA6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9" s="727" t="str">
        <f>VLOOKUP(WWWW[[#This Row],[Site Name]],SiteDB6[[Site Name]:[CCCM Management]],6,FALSE)</f>
        <v>Yes</v>
      </c>
      <c r="EF69" s="727" t="str">
        <f>VLOOKUP(WWWW[[#This Row],[Site Name]],SiteDB6[[Site Name]:[CCCM Focal Agency]],7,FALSE)</f>
        <v>KBC-MYT</v>
      </c>
      <c r="EG69" s="727" t="str">
        <f>VLOOKUP(WWWW[[#This Row],[Site Name]],SiteDB6[[Site Name]:[Location Type 1]],9,FALSE)</f>
        <v>Camp</v>
      </c>
      <c r="EH69" s="727" t="str">
        <f>VLOOKUP(WWWW[[#This Row],[Site Name]],SiteDB6[[Site Name]:[Type of Accommodation]],10,FALSE)</f>
        <v>Camp</v>
      </c>
      <c r="EI69" s="727" t="str">
        <f>VLOOKUP(WWWW[[#This Row],[Site Name]],SiteDB6[[Site Name]:[Ethnic or GCA/NGCA]],11,FALSE)</f>
        <v>GCA</v>
      </c>
      <c r="EJ69" s="727">
        <f>VLOOKUP(WWWW[[#This Row],[Site Name]],SiteDB6[[Site Name]:[Lat]],12,FALSE)</f>
        <v>25.356632000000001</v>
      </c>
      <c r="EK69" s="727">
        <f>VLOOKUP(WWWW[[#This Row],[Site Name]],SiteDB6[[Site Name]:[Long]],13,FALSE)</f>
        <v>97.451965000000001</v>
      </c>
      <c r="EL69" s="727" t="str">
        <f>VLOOKUP(WWWW[[#This Row],[Site Name]],SiteDB6[[Site Name]:[Pcode]],3,FALSE)</f>
        <v>MMR001CMP027</v>
      </c>
      <c r="EM69" s="732" t="str">
        <f t="shared" si="0"/>
        <v>Covered</v>
      </c>
      <c r="EN69" s="732"/>
      <c r="EO69" s="727">
        <f>VLOOKUP(WWWW[[#This Row],[Site Name]],SiteDB6[[Site Name]:[Pop
(Kachin/Shan-CCCM as of July 2021)]],16,FALSE)</f>
        <v>39</v>
      </c>
      <c r="EP69" s="727">
        <f>VLOOKUP(WWWW[[#This Row],[Site Name]],SiteDB6[[Site Name]:[Pop
(Kachin/Shan-CCCM as of July 2021)]],17,FALSE)</f>
        <v>238</v>
      </c>
    </row>
    <row r="70" spans="1:146" hidden="1">
      <c r="A70" s="725" t="s">
        <v>2763</v>
      </c>
      <c r="B70" s="707" t="s">
        <v>2806</v>
      </c>
      <c r="C70" s="726" t="s">
        <v>141</v>
      </c>
      <c r="D70" s="369" t="s">
        <v>2587</v>
      </c>
      <c r="E70" s="726" t="s">
        <v>37</v>
      </c>
      <c r="F70" s="726" t="s">
        <v>142</v>
      </c>
      <c r="G70" s="591" t="str">
        <f>VLOOKUP(WWWW[[#This Row],[Site Name]],SiteDB6[[Site Name]:[Location Type]],8,FALSE)</f>
        <v>Camp</v>
      </c>
      <c r="H70" s="726" t="s">
        <v>177</v>
      </c>
      <c r="I70" s="448">
        <v>405</v>
      </c>
      <c r="J70" s="448">
        <v>1736</v>
      </c>
      <c r="K70" s="800" t="s">
        <v>2814</v>
      </c>
      <c r="L70" s="56" t="s">
        <v>2815</v>
      </c>
      <c r="M70" s="728"/>
      <c r="N70" s="728">
        <v>6</v>
      </c>
      <c r="O70" s="728"/>
      <c r="P70" s="728"/>
      <c r="Q70" s="731" t="s">
        <v>41</v>
      </c>
      <c r="R70" s="728"/>
      <c r="S70" s="728">
        <v>5</v>
      </c>
      <c r="T70" s="448"/>
      <c r="U70" s="728"/>
      <c r="V70" s="728"/>
      <c r="W70" s="728"/>
      <c r="X70" s="728"/>
      <c r="Y70" s="728"/>
      <c r="Z70" s="728"/>
      <c r="AA70" s="728"/>
      <c r="AB70" s="728"/>
      <c r="AC70" s="728"/>
      <c r="AD70" s="728"/>
      <c r="AE70" s="728"/>
      <c r="AF70" s="728"/>
      <c r="AG70" s="728"/>
      <c r="AH70" s="728"/>
      <c r="AI70" s="728"/>
      <c r="AJ70" s="728"/>
      <c r="AK70" s="728"/>
      <c r="AL70" s="728"/>
      <c r="AM70" s="728"/>
      <c r="AN70" s="728"/>
      <c r="AO70" s="728"/>
      <c r="AP70" s="732"/>
      <c r="AQ70" s="728">
        <v>407</v>
      </c>
      <c r="AR70" s="728"/>
      <c r="AS70" s="733"/>
      <c r="AT70" s="728"/>
      <c r="AU70" s="728"/>
      <c r="AV70" s="728"/>
      <c r="AW70" s="728"/>
      <c r="AX70" s="728"/>
      <c r="AY70" s="727" t="s">
        <v>41</v>
      </c>
      <c r="AZ70" s="732" t="s">
        <v>137</v>
      </c>
      <c r="BA70" s="728">
        <v>3</v>
      </c>
      <c r="BB70" s="728"/>
      <c r="BC70" s="728"/>
      <c r="BD70" s="448"/>
      <c r="BE70" s="448"/>
      <c r="BF70" s="727"/>
      <c r="BG70" s="728">
        <v>3</v>
      </c>
      <c r="BH70" s="728"/>
      <c r="BI70" s="728"/>
      <c r="BJ70" s="728">
        <v>2</v>
      </c>
      <c r="BK70" s="728"/>
      <c r="BL70" s="728">
        <v>1</v>
      </c>
      <c r="BM70" s="728">
        <v>5</v>
      </c>
      <c r="BN70" s="728">
        <v>10</v>
      </c>
      <c r="BO70" s="728">
        <v>18</v>
      </c>
      <c r="BP70" s="727"/>
      <c r="BQ70" s="734"/>
      <c r="BR70" s="733"/>
      <c r="BS70" s="727"/>
      <c r="BT70" s="423"/>
      <c r="BU70" s="423"/>
      <c r="BV70" s="425"/>
      <c r="BW70" s="423"/>
      <c r="BX70" s="448"/>
      <c r="BY70" s="448"/>
      <c r="BZ70" s="448"/>
      <c r="CA70" s="448"/>
      <c r="CB70" s="448"/>
      <c r="CC70" s="777"/>
      <c r="CD70" s="448"/>
      <c r="CE70" s="735" t="str">
        <f>IFERROR(WWWW[[#This Row],['#_Water sources passed]]/WWWW[[#This Row],['#_Water sources tested for fecal coliform ]],"no test")</f>
        <v>no test</v>
      </c>
      <c r="CF70" s="733" t="str">
        <f>IFERROR(WWWW[[#This Row],['#_Household passed]]/WWWW[[#This Row],['#_Household water samples tested for fecal coliform]],"no test")</f>
        <v>no test</v>
      </c>
      <c r="CG70" s="734" t="str">
        <f>IF(AND(WWWW[[#This Row],[% of water sources passed]]="no test",WWWW[[#This Row],[% Household passed]]="no test"),"No Test","Tested")</f>
        <v>No Test</v>
      </c>
      <c r="CH70" s="734">
        <f>WWWW[[#This Row],['#_Constructed/existing protected hand dug well]]-WWWW[[#This Row],['#_Non-functional protected hand dug well]]</f>
        <v>0</v>
      </c>
      <c r="CI70" s="734">
        <f>(WWWW[[#This Row],['#_Constructed/Existing tube wells/boreholes/handpumps_WASH_agency]]+WWWW[[#This Row],['#_Non-Cluster partner water tube-wells/boreholes/handpumps]])-WWWW[[#This Row],['#_Non-functional tube wells/boreholes/handpumps]]</f>
        <v>0</v>
      </c>
      <c r="CJ70" s="734">
        <f>WWWW[[#This Row],['#_Constructed/Existingwater storage tank with gravity fed reticulation system]]-WWWW[[#This Row],['#_Non-functional storage tank gravity fed reticulation system]]</f>
        <v>0</v>
      </c>
      <c r="CK70" s="734">
        <f>(WWWW[[#This Row],['#_Water_Liters_supplied_by_Water boating or water trucking]]/90)/15</f>
        <v>0</v>
      </c>
      <c r="CL70" s="734">
        <f>WWWW[[#This Row],['#_Water_Liters_from_Constructed/Existing water distribution system from river or natural spring]]/90/15</f>
        <v>0</v>
      </c>
      <c r="CM70" s="424">
        <f>IF(WWWW[[#This Row],['#_of water points in TLS/CFS]]*500&gt;WWWW[[#This Row],[Total PoP ]],WWWW[[#This Row],[Total PoP ]],WWWW[[#This Row],['#_of water points in TLS/CFS]]*500)</f>
        <v>0</v>
      </c>
      <c r="CN70" s="424">
        <f>IF(WWWW[[#This Row],['#_of water points in THF]]*500&gt;WWWW[[#This Row],[Total PoP ]],WWWW[[#This Row],[Total PoP ]],WWWW[[#This Row],['#_of water points in THF]]*500)</f>
        <v>0</v>
      </c>
      <c r="CO7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7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70" s="733">
        <f>IF(WWWW[[#This Row],[Location Type 1]]="Village",WWWW[[#This Row],[Access to safe drinking water for Village]],WWWW[[#This Row],[Access to safe drinking water for Camp]])</f>
        <v>0</v>
      </c>
      <c r="CR70" s="731">
        <f>WWWW[[#This Row],[%Equitable and continuous access to sufficient quantity of safe drinking water]]*WWWW[[#This Row],[Total PoP ]]</f>
        <v>0</v>
      </c>
      <c r="CS70" s="733">
        <f>IF((WWWW[[#This Row],['#_Constructed/Existing protected/fenced ponds]]*250)/WWWW[[#This Row],[Total PoP ]]&gt;1,1,(WWWW[[#This Row],['#_Constructed/Existing protected/fenced ponds]]*250)/WWWW[[#This Row],[Total PoP ]])</f>
        <v>0</v>
      </c>
      <c r="CT70" s="731">
        <f>WWWW[[#This Row],[% Access to unimproved water points]]*WWWW[[#This Row],[Total PoP ]]</f>
        <v>0</v>
      </c>
      <c r="CU7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7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70" s="731">
        <f>WWWW[[#This Row],[HRP1]]/500</f>
        <v>0</v>
      </c>
      <c r="CX70" s="736">
        <f>1-WWWW[[#This Row],[% Equitable and continuous access to sufficient quantity of domestic water]]</f>
        <v>1</v>
      </c>
      <c r="CY70" s="731">
        <f>WWWW[[#This Row],[%equitable and continuous access to sufficient quantity of safe drinking and domestic water''s GAP]]*WWWW[[#This Row],[Total PoP ]]</f>
        <v>1736</v>
      </c>
      <c r="CZ70" s="734">
        <f>IF(WWWW[[#This Row],[Total required water points]]-WWWW[[#This Row],['#Water points coverage]]&lt;0,0,WWWW[[#This Row],[Total required water points]]-WWWW[[#This Row],['#Water points coverage]])</f>
        <v>3</v>
      </c>
      <c r="DA70" s="734">
        <f>ROUND(IF(WWWW[[#This Row],[Total PoP ]]&lt;500,1,WWWW[[#This Row],[Total PoP ]]/500),0)</f>
        <v>3</v>
      </c>
      <c r="DB70" s="734">
        <f>(WWWW[[#This Row],['#_Constructed latrines_by_WASHAgencies]]+WWWW[[#This Row],['#_Non Cluster partner latrines]])-WWWW[[#This Row],['#_Non-functional latrines]]</f>
        <v>407</v>
      </c>
      <c r="DC70" s="631">
        <f>WWWW[[#This Row],[HRP2]]/WWWW[[#This Row],[Total PoP ]]</f>
        <v>1</v>
      </c>
      <c r="DD7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1736</v>
      </c>
      <c r="DE7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0" s="424">
        <f>IF(WWWW[[#This Row],['# of functional latrines in THF supported by WASH partners during the reporting period2]]="",0,WWWW[[#This Row],['# of functional latrines in THF supported by WASH partners during the reporting period2]]*50)</f>
        <v>0</v>
      </c>
      <c r="DH70" s="734">
        <f>ROUND(IF(WWWW[[#This Row],[Location Type 1]]="camp",WWWW[[#This Row],[Total PoP ]]/20,IF(WWWW[[#This Row],[Location Type 1]]="Temporary Location",WWWW[[#This Row],[Total PoP ]]/50,(WWWW[[#This Row],[Total PoP ]]/6))),0)</f>
        <v>289</v>
      </c>
      <c r="DI70" s="734">
        <f>IF(WWWW[[#This Row],[Total required Latrines]]-(WWWW[[#This Row],['#_Constructed latrines_by_WASHAgencies]]+WWWW[[#This Row],['#_Non Cluster partner latrines]])&lt;0,0,WWWW[[#This Row],[Total required Latrines]]-(WWWW[[#This Row],['#_Constructed latrines_by_WASHAgencies]]+WWWW[[#This Row],['#_Non Cluster partner latrines]]))</f>
        <v>0</v>
      </c>
      <c r="DJ70" s="736">
        <f>1-WWWW[[#This Row],[% people access to functioning Latrine]]</f>
        <v>0</v>
      </c>
      <c r="DK70" s="735">
        <f>IF(OR(WWWW[[#This Row],['#_Non-functional latrines]]="",WWWW[[#This Row],['#_Non-functional latrines]]=0),0,WWWW[[#This Row],['#_Non-functional latrines]]/(WWWW[[#This Row],['#_Constructed latrines_by_WASHAgencies]]+WWWW[[#This Row],['#_Non Cluster partner latrines]]))</f>
        <v>0</v>
      </c>
      <c r="DL70" s="731">
        <f>IF(500*(WWWW[[#This Row],['#_male hygiene promoters]]+WWWW[[#This Row],['#_female hygiene promoters]])&gt;WWWW[[#This Row],[Total PoP ]],WWWW[[#This Row],[Total PoP ]],500*(WWWW[[#This Row],['#_male hygiene promoters]]+WWWW[[#This Row],['#_female hygiene promoters]]))</f>
        <v>1736</v>
      </c>
      <c r="DM7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7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70" s="734">
        <f>IF(WWWW[[#This Row],['# People with access to soap]]&gt;WWWW[[#This Row],['# People with access to Sanity Pads]],WWWW[[#This Row],['# People with access to soap]],WWWW[[#This Row],['# People with access to Sanity Pads]])</f>
        <v>50</v>
      </c>
      <c r="DP70" s="734">
        <f>IF(WWWW[[#This Row],['# people reached by regular dedicated hygiene promotion_5]]&gt;WWWW[[#This Row],['# People received regular supply of hygiene items_6]],WWWW[[#This Row],['# people reached by regular dedicated hygiene promotion_5]],WWWW[[#This Row],['# People received regular supply of hygiene items_6]])</f>
        <v>1736</v>
      </c>
      <c r="DQ70" s="736">
        <f>IF(WWWW[[#This Row],[HRP3]]/WWWW[[#This Row],[Total PoP ]]&gt;1,1,WWWW[[#This Row],[HRP3]]/WWWW[[#This Row],[Total PoP ]])</f>
        <v>1</v>
      </c>
      <c r="DR70" s="735">
        <f>1-WWWW[[#This Row],[Hygiene Coverage%]]</f>
        <v>0</v>
      </c>
      <c r="DS70" s="733">
        <f>WWWW[[#This Row],['# people reached by regular dedicated hygiene promotion_5]]/WWWW[[#This Row],[Total PoP ]]</f>
        <v>1</v>
      </c>
      <c r="DT7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2.4691358024691357E-2</v>
      </c>
      <c r="DU7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4.4444444444444446E-2</v>
      </c>
      <c r="DV70" s="734">
        <f>WWWW[[#This Row],['#_Constructed/Existing hand washing stations]]-WWWW[[#This Row],['#_Non-Functional_hand_washing_stations]]</f>
        <v>3</v>
      </c>
      <c r="DW70" s="731">
        <f>IF(WWWW[[#This Row],['# Functional hand washing stations during reporting period]]*20&gt;WWWW[[#This Row],[Total HH]],WWWW[[#This Row],[Total HH]],WWWW[[#This Row],['# Functional hand washing stations during reporting period]]*20)</f>
        <v>60</v>
      </c>
      <c r="DX70" s="731">
        <f>IF(WWWW[[#This Row],[Is sufficient soap available for TLS? (Yes/No)]]="yes",WWWW[[#This Row],['#_Constructed/Existing hand washing stations at TLS/CFS/THF]],0)</f>
        <v>0</v>
      </c>
      <c r="DY70" s="428">
        <f>IF(WWWW[[#This Row],['# Functional hand washing stations during reporting period]]*100&gt;WWWW[[#This Row],[Total PoP ]],WWWW[[#This Row],[Total PoP ]],WWWW[[#This Row],['# Functional hand washing stations during reporting period]]*100)</f>
        <v>300</v>
      </c>
      <c r="DZ70" s="428" t="str">
        <f>IF(OR(WWWW[[#This Row],['#_students at TLS_CFS]]="",WWWW[[#This Row],['#_students at TLS_CFS]]=0),"No","Yes")</f>
        <v>No</v>
      </c>
      <c r="EA7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0" s="727" t="str">
        <f>VLOOKUP(WWWW[[#This Row],[Site Name]],SiteDB6[[Site Name]:[CCCM Management]],6,FALSE)</f>
        <v>Yes</v>
      </c>
      <c r="EF70" s="727" t="str">
        <f>VLOOKUP(WWWW[[#This Row],[Site Name]],SiteDB6[[Site Name]:[CCCM Focal Agency]],7,FALSE)</f>
        <v>KMSS-MYT</v>
      </c>
      <c r="EG70" s="727" t="str">
        <f>VLOOKUP(WWWW[[#This Row],[Site Name]],SiteDB6[[Site Name]:[Location Type 1]],9,FALSE)</f>
        <v>Village Type Camp</v>
      </c>
      <c r="EH70" s="727" t="str">
        <f>VLOOKUP(WWWW[[#This Row],[Site Name]],SiteDB6[[Site Name]:[Type of Accommodation]],10,FALSE)</f>
        <v>Camp</v>
      </c>
      <c r="EI70" s="727" t="str">
        <f>VLOOKUP(WWWW[[#This Row],[Site Name]],SiteDB6[[Site Name]:[Ethnic or GCA/NGCA]],11,FALSE)</f>
        <v>NGCA</v>
      </c>
      <c r="EJ70" s="727">
        <f>VLOOKUP(WWWW[[#This Row],[Site Name]],SiteDB6[[Site Name]:[Lat]],12,FALSE)</f>
        <v>24.980250000000002</v>
      </c>
      <c r="EK70" s="727">
        <f>VLOOKUP(WWWW[[#This Row],[Site Name]],SiteDB6[[Site Name]:[Long]],13,FALSE)</f>
        <v>97.715230000000005</v>
      </c>
      <c r="EL70" s="727" t="str">
        <f>VLOOKUP(WWWW[[#This Row],[Site Name]],SiteDB6[[Site Name]:[Pcode]],3,FALSE)</f>
        <v>MMR001CMP119</v>
      </c>
      <c r="EM70" s="732" t="str">
        <f t="shared" si="0"/>
        <v>Covered</v>
      </c>
      <c r="EN70" s="732"/>
      <c r="EO70" s="727">
        <f>VLOOKUP(WWWW[[#This Row],[Site Name]],SiteDB6[[Site Name]:[Pop
(Kachin/Shan-CCCM as of July 2021)]],16,FALSE)</f>
        <v>417</v>
      </c>
      <c r="EP70" s="727">
        <f>VLOOKUP(WWWW[[#This Row],[Site Name]],SiteDB6[[Site Name]:[Pop
(Kachin/Shan-CCCM as of July 2021)]],17,FALSE)</f>
        <v>1608</v>
      </c>
    </row>
    <row r="71" spans="1:146" hidden="1">
      <c r="A71" s="725" t="s">
        <v>2763</v>
      </c>
      <c r="B71" s="725" t="s">
        <v>242</v>
      </c>
      <c r="C71" s="726" t="s">
        <v>242</v>
      </c>
      <c r="D71" s="726" t="s">
        <v>307</v>
      </c>
      <c r="E71" s="726" t="s">
        <v>37</v>
      </c>
      <c r="F71" s="726" t="s">
        <v>142</v>
      </c>
      <c r="G71" s="591" t="str">
        <f>VLOOKUP(WWWW[[#This Row],[Site Name]],SiteDB6[[Site Name]:[Location Type]],8,FALSE)</f>
        <v>Camp</v>
      </c>
      <c r="H71" s="726" t="s">
        <v>269</v>
      </c>
      <c r="I71" s="448">
        <v>353</v>
      </c>
      <c r="J71" s="448">
        <v>2160</v>
      </c>
      <c r="K71" s="588">
        <v>44197</v>
      </c>
      <c r="L71" s="589">
        <v>44651</v>
      </c>
      <c r="M71" s="728"/>
      <c r="N71" s="728">
        <v>1</v>
      </c>
      <c r="O71" s="728"/>
      <c r="P71" s="728"/>
      <c r="Q71" s="731" t="s">
        <v>41</v>
      </c>
      <c r="R71" s="728">
        <v>1</v>
      </c>
      <c r="S71" s="728">
        <v>6</v>
      </c>
      <c r="T71" s="448">
        <v>3</v>
      </c>
      <c r="U71" s="728">
        <v>3</v>
      </c>
      <c r="V71" s="728"/>
      <c r="W71" s="728">
        <v>1</v>
      </c>
      <c r="X71" s="728">
        <v>2</v>
      </c>
      <c r="Y71" s="728">
        <v>1</v>
      </c>
      <c r="Z71" s="728"/>
      <c r="AA71" s="728"/>
      <c r="AB71" s="728"/>
      <c r="AC71" s="728"/>
      <c r="AD71" s="728"/>
      <c r="AE71" s="728"/>
      <c r="AF71" s="728"/>
      <c r="AG71" s="728"/>
      <c r="AH71" s="728"/>
      <c r="AI71" s="728"/>
      <c r="AJ71" s="728"/>
      <c r="AK71" s="728"/>
      <c r="AL71" s="728"/>
      <c r="AM71" s="728">
        <v>2</v>
      </c>
      <c r="AN71" s="728"/>
      <c r="AO71" s="728"/>
      <c r="AP71" s="732"/>
      <c r="AQ71" s="728">
        <v>20</v>
      </c>
      <c r="AR71" s="728">
        <v>4</v>
      </c>
      <c r="AS71" s="733" t="s">
        <v>2685</v>
      </c>
      <c r="AT71" s="728">
        <v>3</v>
      </c>
      <c r="AU71" s="728"/>
      <c r="AV71" s="728"/>
      <c r="AW71" s="728"/>
      <c r="AX71" s="728"/>
      <c r="AY71" s="727" t="s">
        <v>41</v>
      </c>
      <c r="AZ71" s="732" t="s">
        <v>137</v>
      </c>
      <c r="BA71" s="728"/>
      <c r="BB71" s="728">
        <v>10</v>
      </c>
      <c r="BC71" s="728">
        <v>10</v>
      </c>
      <c r="BD71" s="448">
        <v>10</v>
      </c>
      <c r="BE71" s="448"/>
      <c r="BF71" s="425" t="s">
        <v>2890</v>
      </c>
      <c r="BG71" s="728">
        <v>1</v>
      </c>
      <c r="BH71" s="728"/>
      <c r="BI71" s="728"/>
      <c r="BJ71" s="728">
        <v>1</v>
      </c>
      <c r="BK71" s="728">
        <v>1</v>
      </c>
      <c r="BL71" s="448">
        <v>1</v>
      </c>
      <c r="BM71" s="448">
        <v>1</v>
      </c>
      <c r="BN71" s="448">
        <v>6</v>
      </c>
      <c r="BO71" s="728">
        <v>5</v>
      </c>
      <c r="BP71" s="425" t="s">
        <v>41</v>
      </c>
      <c r="BQ71" s="734"/>
      <c r="BR71" s="423">
        <v>0.8</v>
      </c>
      <c r="BS71" s="425" t="s">
        <v>2891</v>
      </c>
      <c r="BT71" s="423">
        <v>1</v>
      </c>
      <c r="BU71" s="423">
        <v>1</v>
      </c>
      <c r="BV71" s="425"/>
      <c r="BW71" s="423"/>
      <c r="BX71" s="448"/>
      <c r="BY71" s="448"/>
      <c r="BZ71" s="448"/>
      <c r="CA71" s="448"/>
      <c r="CB71" s="448"/>
      <c r="CC71" s="777"/>
      <c r="CD71" s="448"/>
      <c r="CE71" s="735" t="str">
        <f>IFERROR(WWWW[[#This Row],['#_Water sources passed]]/WWWW[[#This Row],['#_Water sources tested for fecal coliform ]],"no test")</f>
        <v>no test</v>
      </c>
      <c r="CF71" s="733" t="str">
        <f>IFERROR(WWWW[[#This Row],['#_Household passed]]/WWWW[[#This Row],['#_Household water samples tested for fecal coliform]],"no test")</f>
        <v>no test</v>
      </c>
      <c r="CG71" s="734" t="str">
        <f>IF(AND(WWWW[[#This Row],[% of water sources passed]]="no test",WWWW[[#This Row],[% Household passed]]="no test"),"No Test","Tested")</f>
        <v>No Test</v>
      </c>
      <c r="CH71" s="734">
        <f>WWWW[[#This Row],['#_Constructed/existing protected hand dug well]]-WWWW[[#This Row],['#_Non-functional protected hand dug well]]</f>
        <v>0</v>
      </c>
      <c r="CI71" s="734">
        <f>(WWWW[[#This Row],['#_Constructed/Existing tube wells/boreholes/handpumps_WASH_agency]]+WWWW[[#This Row],['#_Non-Cluster partner water tube-wells/boreholes/handpumps]])-WWWW[[#This Row],['#_Non-functional tube wells/boreholes/handpumps]]</f>
        <v>2</v>
      </c>
      <c r="CJ71" s="734">
        <f>WWWW[[#This Row],['#_Constructed/Existingwater storage tank with gravity fed reticulation system]]-WWWW[[#This Row],['#_Non-functional storage tank gravity fed reticulation system]]</f>
        <v>0</v>
      </c>
      <c r="CK71" s="734">
        <f>(WWWW[[#This Row],['#_Water_Liters_supplied_by_Water boating or water trucking]]/90)/15</f>
        <v>0</v>
      </c>
      <c r="CL71" s="734">
        <f>WWWW[[#This Row],['#_Water_Liters_from_Constructed/Existing water distribution system from river or natural spring]]/90/15</f>
        <v>0</v>
      </c>
      <c r="CM71" s="424">
        <f>IF(WWWW[[#This Row],['#_of water points in TLS/CFS]]*500&gt;WWWW[[#This Row],[Total PoP ]],WWWW[[#This Row],[Total PoP ]],WWWW[[#This Row],['#_of water points in TLS/CFS]]*500)</f>
        <v>0</v>
      </c>
      <c r="CN71" s="424">
        <f>IF(WWWW[[#This Row],['#_of water points in THF]]*500&gt;WWWW[[#This Row],[Total PoP ]],WWWW[[#This Row],[Total PoP ]],WWWW[[#This Row],['#_of water points in THF]]*500)</f>
        <v>0</v>
      </c>
      <c r="CO7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0.46296296296296297</v>
      </c>
      <c r="CP7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0.23148148148148148</v>
      </c>
      <c r="CQ71" s="733">
        <f>IF(WWWW[[#This Row],[Location Type 1]]="Village",WWWW[[#This Row],[Access to safe drinking water for Village]],WWWW[[#This Row],[Access to safe drinking water for Camp]])</f>
        <v>0.46296296296296297</v>
      </c>
      <c r="CR71" s="731">
        <f>WWWW[[#This Row],[%Equitable and continuous access to sufficient quantity of safe drinking water]]*WWWW[[#This Row],[Total PoP ]]</f>
        <v>1000</v>
      </c>
      <c r="CS71" s="733">
        <f>IF((WWWW[[#This Row],['#_Constructed/Existing protected/fenced ponds]]*250)/WWWW[[#This Row],[Total PoP ]]&gt;1,1,(WWWW[[#This Row],['#_Constructed/Existing protected/fenced ponds]]*250)/WWWW[[#This Row],[Total PoP ]])</f>
        <v>0</v>
      </c>
      <c r="CT71" s="731">
        <f>WWWW[[#This Row],[% Access to unimproved water points]]*WWWW[[#This Row],[Total PoP ]]</f>
        <v>0</v>
      </c>
      <c r="CU7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0.46296296296296297</v>
      </c>
      <c r="CV7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1000</v>
      </c>
      <c r="CW71" s="731">
        <f>WWWW[[#This Row],[HRP1]]/500</f>
        <v>2</v>
      </c>
      <c r="CX71" s="736">
        <f>1-WWWW[[#This Row],[% Equitable and continuous access to sufficient quantity of domestic water]]</f>
        <v>0.53703703703703698</v>
      </c>
      <c r="CY71" s="731">
        <f>WWWW[[#This Row],[%equitable and continuous access to sufficient quantity of safe drinking and domestic water''s GAP]]*WWWW[[#This Row],[Total PoP ]]</f>
        <v>1159.9999999999998</v>
      </c>
      <c r="CZ71" s="734">
        <f>IF(WWWW[[#This Row],[Total required water points]]-WWWW[[#This Row],['#Water points coverage]]&lt;0,0,WWWW[[#This Row],[Total required water points]]-WWWW[[#This Row],['#Water points coverage]])</f>
        <v>2</v>
      </c>
      <c r="DA71" s="734">
        <f>ROUND(IF(WWWW[[#This Row],[Total PoP ]]&lt;500,1,WWWW[[#This Row],[Total PoP ]]/500),0)</f>
        <v>4</v>
      </c>
      <c r="DB71" s="734">
        <f>(WWWW[[#This Row],['#_Constructed latrines_by_WASHAgencies]]+WWWW[[#This Row],['#_Non Cluster partner latrines]])-WWWW[[#This Row],['#_Non-functional latrines]]</f>
        <v>21</v>
      </c>
      <c r="DC71" s="631">
        <f>WWWW[[#This Row],[HRP2]]/WWWW[[#This Row],[Total PoP ]]</f>
        <v>0.19444444444444445</v>
      </c>
      <c r="DD7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DE7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1" s="424">
        <f>IF(WWWW[[#This Row],['# of functional latrines in THF supported by WASH partners during the reporting period2]]="",0,WWWW[[#This Row],['# of functional latrines in THF supported by WASH partners during the reporting period2]]*50)</f>
        <v>500</v>
      </c>
      <c r="DH71" s="734">
        <f>ROUND(IF(WWWW[[#This Row],[Location Type 1]]="camp",WWWW[[#This Row],[Total PoP ]]/20,IF(WWWW[[#This Row],[Location Type 1]]="Temporary Location",WWWW[[#This Row],[Total PoP ]]/50,(WWWW[[#This Row],[Total PoP ]]/6))),0)</f>
        <v>108</v>
      </c>
      <c r="DI71" s="734">
        <f>IF(WWWW[[#This Row],[Total required Latrines]]-(WWWW[[#This Row],['#_Constructed latrines_by_WASHAgencies]]+WWWW[[#This Row],['#_Non Cluster partner latrines]])&lt;0,0,WWWW[[#This Row],[Total required Latrines]]-(WWWW[[#This Row],['#_Constructed latrines_by_WASHAgencies]]+WWWW[[#This Row],['#_Non Cluster partner latrines]]))</f>
        <v>84</v>
      </c>
      <c r="DJ71" s="736">
        <f>1-WWWW[[#This Row],[% people access to functioning Latrine]]</f>
        <v>0.80555555555555558</v>
      </c>
      <c r="DK71" s="735">
        <f>IF(OR(WWWW[[#This Row],['#_Non-functional latrines]]="",WWWW[[#This Row],['#_Non-functional latrines]]=0),0,WWWW[[#This Row],['#_Non-functional latrines]]/(WWWW[[#This Row],['#_Constructed latrines_by_WASHAgencies]]+WWWW[[#This Row],['#_Non Cluster partner latrines]]))</f>
        <v>0.125</v>
      </c>
      <c r="DL71" s="731">
        <f>IF(500*(WWWW[[#This Row],['#_male hygiene promoters]]+WWWW[[#This Row],['#_female hygiene promoters]])&gt;WWWW[[#This Row],[Total PoP ]],WWWW[[#This Row],[Total PoP ]],500*(WWWW[[#This Row],['#_male hygiene promoters]]+WWWW[[#This Row],['#_female hygiene promoters]]))</f>
        <v>1000</v>
      </c>
      <c r="DM7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7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71" s="734">
        <f>IF(WWWW[[#This Row],['# People with access to soap]]&gt;WWWW[[#This Row],['# People with access to Sanity Pads]],WWWW[[#This Row],['# People with access to soap]],WWWW[[#This Row],['# People with access to Sanity Pads]])</f>
        <v>30</v>
      </c>
      <c r="DP71" s="734">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Q71" s="736">
        <f>IF(WWWW[[#This Row],[HRP3]]/WWWW[[#This Row],[Total PoP ]]&gt;1,1,WWWW[[#This Row],[HRP3]]/WWWW[[#This Row],[Total PoP ]])</f>
        <v>0.46296296296296297</v>
      </c>
      <c r="DR71" s="735">
        <f>1-WWWW[[#This Row],[Hygiene Coverage%]]</f>
        <v>0.53703703703703698</v>
      </c>
      <c r="DS71" s="733">
        <f>WWWW[[#This Row],['# people reached by regular dedicated hygiene promotion_5]]/WWWW[[#This Row],[Total PoP ]]</f>
        <v>0.46296296296296297</v>
      </c>
      <c r="DT7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6.79886685552408E-2</v>
      </c>
      <c r="DU7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1.4164305949008499E-2</v>
      </c>
      <c r="DV71" s="734">
        <f>WWWW[[#This Row],['#_Constructed/Existing hand washing stations]]-WWWW[[#This Row],['#_Non-Functional_hand_washing_stations]]</f>
        <v>1</v>
      </c>
      <c r="DW71" s="731">
        <f>IF(WWWW[[#This Row],['# Functional hand washing stations during reporting period]]*20&gt;WWWW[[#This Row],[Total HH]],WWWW[[#This Row],[Total HH]],WWWW[[#This Row],['# Functional hand washing stations during reporting period]]*20)</f>
        <v>20</v>
      </c>
      <c r="DX71" s="731">
        <f>IF(WWWW[[#This Row],[Is sufficient soap available for TLS? (Yes/No)]]="yes",WWWW[[#This Row],['#_Constructed/Existing hand washing stations at TLS/CFS/THF]],0)</f>
        <v>2</v>
      </c>
      <c r="DY71" s="428">
        <f>IF(WWWW[[#This Row],['# Functional hand washing stations during reporting period]]*100&gt;WWWW[[#This Row],[Total PoP ]],WWWW[[#This Row],[Total PoP ]],WWWW[[#This Row],['# Functional hand washing stations during reporting period]]*100)</f>
        <v>100</v>
      </c>
      <c r="DZ71" s="428" t="str">
        <f>IF(OR(WWWW[[#This Row],['#_students at TLS_CFS]]="",WWWW[[#This Row],['#_students at TLS_CFS]]=0),"No","Yes")</f>
        <v>No</v>
      </c>
      <c r="EA7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500</v>
      </c>
      <c r="EE71" s="727" t="str">
        <f>VLOOKUP(WWWW[[#This Row],[Site Name]],SiteDB6[[Site Name]:[CCCM Management]],6,FALSE)</f>
        <v>Yes</v>
      </c>
      <c r="EF71" s="727" t="str">
        <f>VLOOKUP(WWWW[[#This Row],[Site Name]],SiteDB6[[Site Name]:[CCCM Focal Agency]],7,FALSE)</f>
        <v>Shalom</v>
      </c>
      <c r="EG71" s="727" t="str">
        <f>VLOOKUP(WWWW[[#This Row],[Site Name]],SiteDB6[[Site Name]:[Location Type 1]],9,FALSE)</f>
        <v>Camp</v>
      </c>
      <c r="EH71" s="727" t="str">
        <f>VLOOKUP(WWWW[[#This Row],[Site Name]],SiteDB6[[Site Name]:[Type of Accommodation]],10,FALSE)</f>
        <v>Camp</v>
      </c>
      <c r="EI71" s="727" t="str">
        <f>VLOOKUP(WWWW[[#This Row],[Site Name]],SiteDB6[[Site Name]:[Ethnic or GCA/NGCA]],11,FALSE)</f>
        <v>GCA</v>
      </c>
      <c r="EJ71" s="727">
        <f>VLOOKUP(WWWW[[#This Row],[Site Name]],SiteDB6[[Site Name]:[Lat]],12,FALSE)</f>
        <v>25.424529444444399</v>
      </c>
      <c r="EK71" s="727">
        <f>VLOOKUP(WWWW[[#This Row],[Site Name]],SiteDB6[[Site Name]:[Long]],13,FALSE)</f>
        <v>97.433419259259296</v>
      </c>
      <c r="EL71" s="727" t="str">
        <f>VLOOKUP(WWWW[[#This Row],[Site Name]],SiteDB6[[Site Name]:[Pcode]],3,FALSE)</f>
        <v>MMR001CMP031</v>
      </c>
      <c r="EM71" s="732" t="str">
        <f t="shared" ref="EM71:EM134" si="1">IF(C71="none","Notcovered","Covered")</f>
        <v>Covered</v>
      </c>
      <c r="EN71" s="732"/>
      <c r="EO71" s="727">
        <f>VLOOKUP(WWWW[[#This Row],[Site Name]],SiteDB6[[Site Name]:[Pop
(Kachin/Shan-CCCM as of July 2021)]],16,FALSE)</f>
        <v>353</v>
      </c>
      <c r="EP71" s="727">
        <f>VLOOKUP(WWWW[[#This Row],[Site Name]],SiteDB6[[Site Name]:[Pop
(Kachin/Shan-CCCM as of July 2021)]],17,FALSE)</f>
        <v>2166</v>
      </c>
    </row>
    <row r="72" spans="1:146" hidden="1">
      <c r="A72" s="725" t="s">
        <v>2763</v>
      </c>
      <c r="B72" s="725" t="s">
        <v>36</v>
      </c>
      <c r="C72" s="726" t="s">
        <v>36</v>
      </c>
      <c r="D72" s="726" t="s">
        <v>241</v>
      </c>
      <c r="E72" s="726" t="s">
        <v>37</v>
      </c>
      <c r="F72" s="726" t="s">
        <v>142</v>
      </c>
      <c r="G72" s="591" t="str">
        <f>VLOOKUP(WWWW[[#This Row],[Site Name]],SiteDB6[[Site Name]:[Location Type]],8,FALSE)</f>
        <v>Camp</v>
      </c>
      <c r="H72" s="726" t="s">
        <v>237</v>
      </c>
      <c r="I72" s="728">
        <v>328</v>
      </c>
      <c r="J72" s="728">
        <v>1776</v>
      </c>
      <c r="K72" s="798">
        <v>44414</v>
      </c>
      <c r="L72" s="799">
        <v>44778</v>
      </c>
      <c r="M72" s="728"/>
      <c r="N72" s="728">
        <v>5</v>
      </c>
      <c r="O72" s="728"/>
      <c r="P72" s="728"/>
      <c r="Q72" s="731" t="s">
        <v>41</v>
      </c>
      <c r="R72" s="728">
        <v>4</v>
      </c>
      <c r="S72" s="728">
        <v>3</v>
      </c>
      <c r="T72" s="448">
        <v>11</v>
      </c>
      <c r="U72" s="728"/>
      <c r="V72" s="728"/>
      <c r="W72" s="728"/>
      <c r="X72" s="728"/>
      <c r="Y72" s="728"/>
      <c r="Z72" s="728"/>
      <c r="AA72" s="728"/>
      <c r="AB72" s="728"/>
      <c r="AC72" s="728"/>
      <c r="AD72" s="728"/>
      <c r="AE72" s="728"/>
      <c r="AF72" s="728"/>
      <c r="AG72" s="728"/>
      <c r="AH72" s="728"/>
      <c r="AI72" s="728"/>
      <c r="AJ72" s="728"/>
      <c r="AK72" s="728"/>
      <c r="AL72" s="728"/>
      <c r="AM72" s="728">
        <v>5</v>
      </c>
      <c r="AN72" s="728"/>
      <c r="AO72" s="728"/>
      <c r="AP72" s="732"/>
      <c r="AQ72" s="728">
        <v>97</v>
      </c>
      <c r="AR72" s="728"/>
      <c r="AS72" s="733"/>
      <c r="AT72" s="728"/>
      <c r="AU72" s="728"/>
      <c r="AV72" s="728"/>
      <c r="AW72" s="728"/>
      <c r="AX72" s="728"/>
      <c r="AY72" s="727" t="s">
        <v>41</v>
      </c>
      <c r="AZ72" s="732" t="s">
        <v>137</v>
      </c>
      <c r="BA72" s="728"/>
      <c r="BB72" s="728"/>
      <c r="BC72" s="728"/>
      <c r="BD72" s="448"/>
      <c r="BE72" s="448"/>
      <c r="BF72" s="727"/>
      <c r="BG72" s="728">
        <v>1</v>
      </c>
      <c r="BH72" s="728"/>
      <c r="BI72" s="728"/>
      <c r="BJ72" s="728">
        <v>1</v>
      </c>
      <c r="BK72" s="728"/>
      <c r="BL72" s="728"/>
      <c r="BM72" s="728"/>
      <c r="BN72" s="728">
        <v>6</v>
      </c>
      <c r="BO72" s="728">
        <v>5</v>
      </c>
      <c r="BP72" s="727"/>
      <c r="BQ72" s="734">
        <v>100</v>
      </c>
      <c r="BR72" s="733">
        <v>0.6</v>
      </c>
      <c r="BS72" s="727"/>
      <c r="BT72" s="423"/>
      <c r="BU72" s="423"/>
      <c r="BV72" s="425"/>
      <c r="BW72" s="423"/>
      <c r="BX72" s="448"/>
      <c r="BY72" s="448"/>
      <c r="BZ72" s="448"/>
      <c r="CA72" s="448"/>
      <c r="CB72" s="448"/>
      <c r="CC72" s="777"/>
      <c r="CD72" s="448"/>
      <c r="CE72" s="735" t="str">
        <f>IFERROR(WWWW[[#This Row],['#_Water sources passed]]/WWWW[[#This Row],['#_Water sources tested for fecal coliform ]],"no test")</f>
        <v>no test</v>
      </c>
      <c r="CF72" s="733" t="str">
        <f>IFERROR(WWWW[[#This Row],['#_Household passed]]/WWWW[[#This Row],['#_Household water samples tested for fecal coliform]],"no test")</f>
        <v>no test</v>
      </c>
      <c r="CG72" s="734" t="str">
        <f>IF(AND(WWWW[[#This Row],[% of water sources passed]]="no test",WWWW[[#This Row],[% Household passed]]="no test"),"No Test","Tested")</f>
        <v>No Test</v>
      </c>
      <c r="CH72" s="734">
        <f>WWWW[[#This Row],['#_Constructed/existing protected hand dug well]]-WWWW[[#This Row],['#_Non-functional protected hand dug well]]</f>
        <v>11</v>
      </c>
      <c r="CI72" s="734">
        <f>(WWWW[[#This Row],['#_Constructed/Existing tube wells/boreholes/handpumps_WASH_agency]]+WWWW[[#This Row],['#_Non-Cluster partner water tube-wells/boreholes/handpumps]])-WWWW[[#This Row],['#_Non-functional tube wells/boreholes/handpumps]]</f>
        <v>0</v>
      </c>
      <c r="CJ72" s="734">
        <f>WWWW[[#This Row],['#_Constructed/Existingwater storage tank with gravity fed reticulation system]]-WWWW[[#This Row],['#_Non-functional storage tank gravity fed reticulation system]]</f>
        <v>0</v>
      </c>
      <c r="CK72" s="734">
        <f>(WWWW[[#This Row],['#_Water_Liters_supplied_by_Water boating or water trucking]]/90)/15</f>
        <v>0</v>
      </c>
      <c r="CL72" s="734">
        <f>WWWW[[#This Row],['#_Water_Liters_from_Constructed/Existing water distribution system from river or natural spring]]/90/15</f>
        <v>0</v>
      </c>
      <c r="CM72" s="424">
        <f>IF(WWWW[[#This Row],['#_of water points in TLS/CFS]]*500&gt;WWWW[[#This Row],[Total PoP ]],WWWW[[#This Row],[Total PoP ]],WWWW[[#This Row],['#_of water points in TLS/CFS]]*500)</f>
        <v>0</v>
      </c>
      <c r="CN72" s="424">
        <f>IF(WWWW[[#This Row],['#_of water points in THF]]*500&gt;WWWW[[#This Row],[Total PoP ]],WWWW[[#This Row],[Total PoP ]],WWWW[[#This Row],['#_of water points in THF]]*500)</f>
        <v>0</v>
      </c>
      <c r="CO7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2" s="733">
        <f>IF(WWWW[[#This Row],[Location Type 1]]="Village",WWWW[[#This Row],[Access to safe drinking water for Village]],WWWW[[#This Row],[Access to safe drinking water for Camp]])</f>
        <v>1</v>
      </c>
      <c r="CR72" s="731">
        <f>WWWW[[#This Row],[%Equitable and continuous access to sufficient quantity of safe drinking water]]*WWWW[[#This Row],[Total PoP ]]</f>
        <v>1776</v>
      </c>
      <c r="CS72" s="733">
        <f>IF((WWWW[[#This Row],['#_Constructed/Existing protected/fenced ponds]]*250)/WWWW[[#This Row],[Total PoP ]]&gt;1,1,(WWWW[[#This Row],['#_Constructed/Existing protected/fenced ponds]]*250)/WWWW[[#This Row],[Total PoP ]])</f>
        <v>0</v>
      </c>
      <c r="CT72" s="731">
        <f>WWWW[[#This Row],[% Access to unimproved water points]]*WWWW[[#This Row],[Total PoP ]]</f>
        <v>0</v>
      </c>
      <c r="CU7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1776</v>
      </c>
      <c r="CW72" s="731">
        <f>WWWW[[#This Row],[HRP1]]/500</f>
        <v>3.552</v>
      </c>
      <c r="CX72" s="736">
        <f>1-WWWW[[#This Row],[% Equitable and continuous access to sufficient quantity of domestic water]]</f>
        <v>0</v>
      </c>
      <c r="CY72" s="731">
        <f>WWWW[[#This Row],[%equitable and continuous access to sufficient quantity of safe drinking and domestic water''s GAP]]*WWWW[[#This Row],[Total PoP ]]</f>
        <v>0</v>
      </c>
      <c r="CZ72" s="734">
        <f>IF(WWWW[[#This Row],[Total required water points]]-WWWW[[#This Row],['#Water points coverage]]&lt;0,0,WWWW[[#This Row],[Total required water points]]-WWWW[[#This Row],['#Water points coverage]])</f>
        <v>0.44799999999999995</v>
      </c>
      <c r="DA72" s="734">
        <f>ROUND(IF(WWWW[[#This Row],[Total PoP ]]&lt;500,1,WWWW[[#This Row],[Total PoP ]]/500),0)</f>
        <v>4</v>
      </c>
      <c r="DB72" s="734">
        <f>(WWWW[[#This Row],['#_Constructed latrines_by_WASHAgencies]]+WWWW[[#This Row],['#_Non Cluster partner latrines]])-WWWW[[#This Row],['#_Non-functional latrines]]</f>
        <v>97</v>
      </c>
      <c r="DC72" s="631">
        <f>WWWW[[#This Row],[HRP2]]/WWWW[[#This Row],[Total PoP ]]</f>
        <v>1</v>
      </c>
      <c r="DD7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1776</v>
      </c>
      <c r="DE7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2" s="424">
        <f>IF(WWWW[[#This Row],['# of functional latrines in THF supported by WASH partners during the reporting period2]]="",0,WWWW[[#This Row],['# of functional latrines in THF supported by WASH partners during the reporting period2]]*50)</f>
        <v>0</v>
      </c>
      <c r="DH72" s="734">
        <f>ROUND(IF(WWWW[[#This Row],[Location Type 1]]="camp",WWWW[[#This Row],[Total PoP ]]/20,IF(WWWW[[#This Row],[Location Type 1]]="Temporary Location",WWWW[[#This Row],[Total PoP ]]/50,(WWWW[[#This Row],[Total PoP ]]/6))),0)</f>
        <v>89</v>
      </c>
      <c r="DI72" s="734">
        <f>IF(WWWW[[#This Row],[Total required Latrines]]-(WWWW[[#This Row],['#_Constructed latrines_by_WASHAgencies]]+WWWW[[#This Row],['#_Non Cluster partner latrines]])&lt;0,0,WWWW[[#This Row],[Total required Latrines]]-(WWWW[[#This Row],['#_Constructed latrines_by_WASHAgencies]]+WWWW[[#This Row],['#_Non Cluster partner latrines]]))</f>
        <v>0</v>
      </c>
      <c r="DJ72" s="736">
        <f>1-WWWW[[#This Row],[% people access to functioning Latrine]]</f>
        <v>0</v>
      </c>
      <c r="DK72" s="735">
        <f>IF(OR(WWWW[[#This Row],['#_Non-functional latrines]]="",WWWW[[#This Row],['#_Non-functional latrines]]=0),0,WWWW[[#This Row],['#_Non-functional latrines]]/(WWWW[[#This Row],['#_Constructed latrines_by_WASHAgencies]]+WWWW[[#This Row],['#_Non Cluster partner latrines]]))</f>
        <v>0</v>
      </c>
      <c r="DL72" s="731">
        <f>IF(500*(WWWW[[#This Row],['#_male hygiene promoters]]+WWWW[[#This Row],['#_female hygiene promoters]])&gt;WWWW[[#This Row],[Total PoP ]],WWWW[[#This Row],[Total PoP ]],500*(WWWW[[#This Row],['#_male hygiene promoters]]+WWWW[[#This Row],['#_female hygiene promoters]]))</f>
        <v>0</v>
      </c>
      <c r="DM7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7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72" s="734">
        <f>IF(WWWW[[#This Row],['# People with access to soap]]&gt;WWWW[[#This Row],['# People with access to Sanity Pads]],WWWW[[#This Row],['# People with access to soap]],WWWW[[#This Row],['# People with access to Sanity Pads]])</f>
        <v>30</v>
      </c>
      <c r="DP72" s="734">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72" s="736">
        <f>IF(WWWW[[#This Row],[HRP3]]/WWWW[[#This Row],[Total PoP ]]&gt;1,1,WWWW[[#This Row],[HRP3]]/WWWW[[#This Row],[Total PoP ]])</f>
        <v>1.6891891891891893E-2</v>
      </c>
      <c r="DR72" s="735">
        <f>1-WWWW[[#This Row],[Hygiene Coverage%]]</f>
        <v>0.98310810810810811</v>
      </c>
      <c r="DS72" s="733">
        <f>WWWW[[#This Row],['# people reached by regular dedicated hygiene promotion_5]]/WWWW[[#This Row],[Total PoP ]]</f>
        <v>0</v>
      </c>
      <c r="DT7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7.3170731707317069E-2</v>
      </c>
      <c r="DU7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1.524390243902439E-2</v>
      </c>
      <c r="DV72" s="734">
        <f>WWWW[[#This Row],['#_Constructed/Existing hand washing stations]]-WWWW[[#This Row],['#_Non-Functional_hand_washing_stations]]</f>
        <v>1</v>
      </c>
      <c r="DW72" s="731">
        <f>IF(WWWW[[#This Row],['# Functional hand washing stations during reporting period]]*20&gt;WWWW[[#This Row],[Total HH]],WWWW[[#This Row],[Total HH]],WWWW[[#This Row],['# Functional hand washing stations during reporting period]]*20)</f>
        <v>20</v>
      </c>
      <c r="DX72" s="731">
        <f>IF(WWWW[[#This Row],[Is sufficient soap available for TLS? (Yes/No)]]="yes",WWWW[[#This Row],['#_Constructed/Existing hand washing stations at TLS/CFS/THF]],0)</f>
        <v>0</v>
      </c>
      <c r="DY72" s="428">
        <f>IF(WWWW[[#This Row],['# Functional hand washing stations during reporting period]]*100&gt;WWWW[[#This Row],[Total PoP ]],WWWW[[#This Row],[Total PoP ]],WWWW[[#This Row],['# Functional hand washing stations during reporting period]]*100)</f>
        <v>100</v>
      </c>
      <c r="DZ72" s="428" t="str">
        <f>IF(OR(WWWW[[#This Row],['#_students at TLS_CFS]]="",WWWW[[#This Row],['#_students at TLS_CFS]]=0),"No","Yes")</f>
        <v>No</v>
      </c>
      <c r="EA7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2" s="727" t="str">
        <f>VLOOKUP(WWWW[[#This Row],[Site Name]],SiteDB6[[Site Name]:[CCCM Management]],6,FALSE)</f>
        <v>Yes</v>
      </c>
      <c r="EF72" s="727" t="str">
        <f>VLOOKUP(WWWW[[#This Row],[Site Name]],SiteDB6[[Site Name]:[CCCM Focal Agency]],7,FALSE)</f>
        <v>KMSS-MYT</v>
      </c>
      <c r="EG72" s="727" t="str">
        <f>VLOOKUP(WWWW[[#This Row],[Site Name]],SiteDB6[[Site Name]:[Location Type 1]],9,FALSE)</f>
        <v>Camp</v>
      </c>
      <c r="EH72" s="727" t="str">
        <f>VLOOKUP(WWWW[[#This Row],[Site Name]],SiteDB6[[Site Name]:[Type of Accommodation]],10,FALSE)</f>
        <v>Camp</v>
      </c>
      <c r="EI72" s="727" t="str">
        <f>VLOOKUP(WWWW[[#This Row],[Site Name]],SiteDB6[[Site Name]:[Ethnic or GCA/NGCA]],11,FALSE)</f>
        <v>GCA</v>
      </c>
      <c r="EJ72" s="727">
        <f>VLOOKUP(WWWW[[#This Row],[Site Name]],SiteDB6[[Site Name]:[Lat]],12,FALSE)</f>
        <v>25.415667500000001</v>
      </c>
      <c r="EK72" s="727">
        <f>VLOOKUP(WWWW[[#This Row],[Site Name]],SiteDB6[[Site Name]:[Long]],13,FALSE)</f>
        <v>97.437782499999997</v>
      </c>
      <c r="EL72" s="727" t="str">
        <f>VLOOKUP(WWWW[[#This Row],[Site Name]],SiteDB6[[Site Name]:[Pcode]],3,FALSE)</f>
        <v>MMR001CMP029</v>
      </c>
      <c r="EM72" s="732" t="str">
        <f t="shared" si="1"/>
        <v>Covered</v>
      </c>
      <c r="EN72" s="732"/>
      <c r="EO72" s="727">
        <f>VLOOKUP(WWWW[[#This Row],[Site Name]],SiteDB6[[Site Name]:[Pop
(Kachin/Shan-CCCM as of July 2021)]],16,FALSE)</f>
        <v>276</v>
      </c>
      <c r="EP72" s="727">
        <f>VLOOKUP(WWWW[[#This Row],[Site Name]],SiteDB6[[Site Name]:[Pop
(Kachin/Shan-CCCM as of July 2021)]],17,FALSE)</f>
        <v>1492</v>
      </c>
    </row>
    <row r="73" spans="1:146" hidden="1">
      <c r="A73" s="725" t="s">
        <v>2763</v>
      </c>
      <c r="B73" s="725" t="s">
        <v>141</v>
      </c>
      <c r="C73" s="726" t="s">
        <v>141</v>
      </c>
      <c r="D73" s="726" t="s">
        <v>241</v>
      </c>
      <c r="E73" s="726" t="s">
        <v>37</v>
      </c>
      <c r="F73" s="726" t="s">
        <v>142</v>
      </c>
      <c r="G73" s="591" t="str">
        <f>VLOOKUP(WWWW[[#This Row],[Site Name]],SiteDB6[[Site Name]:[Location Type]],8,FALSE)</f>
        <v>Camp</v>
      </c>
      <c r="H73" s="726" t="s">
        <v>178</v>
      </c>
      <c r="I73" s="728">
        <v>494</v>
      </c>
      <c r="J73" s="728">
        <v>2500</v>
      </c>
      <c r="K73" s="729">
        <v>44105</v>
      </c>
      <c r="L73" s="730">
        <v>44681</v>
      </c>
      <c r="M73" s="728"/>
      <c r="N73" s="728">
        <v>6</v>
      </c>
      <c r="O73" s="728"/>
      <c r="P73" s="728"/>
      <c r="Q73" s="731" t="s">
        <v>41</v>
      </c>
      <c r="R73" s="728"/>
      <c r="S73" s="728"/>
      <c r="T73" s="448">
        <v>9</v>
      </c>
      <c r="U73" s="728"/>
      <c r="V73" s="728"/>
      <c r="W73" s="728">
        <v>2</v>
      </c>
      <c r="X73" s="728"/>
      <c r="Y73" s="728"/>
      <c r="Z73" s="728"/>
      <c r="AA73" s="728"/>
      <c r="AB73" s="728"/>
      <c r="AC73" s="728"/>
      <c r="AD73" s="728"/>
      <c r="AE73" s="728"/>
      <c r="AF73" s="728"/>
      <c r="AG73" s="728"/>
      <c r="AH73" s="728">
        <v>9</v>
      </c>
      <c r="AI73" s="728"/>
      <c r="AJ73" s="728"/>
      <c r="AK73" s="728"/>
      <c r="AL73" s="728"/>
      <c r="AM73" s="728"/>
      <c r="AN73" s="728"/>
      <c r="AO73" s="728"/>
      <c r="AP73" s="732"/>
      <c r="AQ73" s="728">
        <v>130</v>
      </c>
      <c r="AR73" s="728"/>
      <c r="AS73" s="733"/>
      <c r="AT73" s="728"/>
      <c r="AU73" s="728">
        <v>30</v>
      </c>
      <c r="AV73" s="728">
        <v>122</v>
      </c>
      <c r="AW73" s="728"/>
      <c r="AX73" s="728">
        <v>130</v>
      </c>
      <c r="AY73" s="727" t="s">
        <v>41</v>
      </c>
      <c r="AZ73" s="732" t="s">
        <v>137</v>
      </c>
      <c r="BA73" s="728"/>
      <c r="BB73" s="728"/>
      <c r="BC73" s="728"/>
      <c r="BD73" s="448"/>
      <c r="BE73" s="448"/>
      <c r="BF73" s="727"/>
      <c r="BG73" s="728">
        <v>7</v>
      </c>
      <c r="BH73" s="728"/>
      <c r="BI73" s="728"/>
      <c r="BJ73" s="728">
        <v>7</v>
      </c>
      <c r="BK73" s="728"/>
      <c r="BL73" s="728">
        <v>2</v>
      </c>
      <c r="BM73" s="728">
        <v>4</v>
      </c>
      <c r="BN73" s="728">
        <v>104</v>
      </c>
      <c r="BO73" s="728">
        <v>148</v>
      </c>
      <c r="BP73" s="727"/>
      <c r="BQ73" s="734"/>
      <c r="BR73" s="733"/>
      <c r="BS73" s="727"/>
      <c r="BT73" s="423"/>
      <c r="BU73" s="423"/>
      <c r="BV73" s="425"/>
      <c r="BW73" s="423"/>
      <c r="BX73" s="448"/>
      <c r="BY73" s="448"/>
      <c r="BZ73" s="448"/>
      <c r="CA73" s="448"/>
      <c r="CB73" s="448"/>
      <c r="CC73" s="777"/>
      <c r="CD73" s="448"/>
      <c r="CE73" s="735" t="str">
        <f>IFERROR(WWWW[[#This Row],['#_Water sources passed]]/WWWW[[#This Row],['#_Water sources tested for fecal coliform ]],"no test")</f>
        <v>no test</v>
      </c>
      <c r="CF73" s="733" t="str">
        <f>IFERROR(WWWW[[#This Row],['#_Household passed]]/WWWW[[#This Row],['#_Household water samples tested for fecal coliform]],"no test")</f>
        <v>no test</v>
      </c>
      <c r="CG73" s="734" t="str">
        <f>IF(AND(WWWW[[#This Row],[% of water sources passed]]="no test",WWWW[[#This Row],[% Household passed]]="no test"),"No Test","Tested")</f>
        <v>No Test</v>
      </c>
      <c r="CH73" s="734">
        <f>WWWW[[#This Row],['#_Constructed/existing protected hand dug well]]-WWWW[[#This Row],['#_Non-functional protected hand dug well]]</f>
        <v>9</v>
      </c>
      <c r="CI73" s="734">
        <f>(WWWW[[#This Row],['#_Constructed/Existing tube wells/boreholes/handpumps_WASH_agency]]+WWWW[[#This Row],['#_Non-Cluster partner water tube-wells/boreholes/handpumps]])-WWWW[[#This Row],['#_Non-functional tube wells/boreholes/handpumps]]</f>
        <v>2</v>
      </c>
      <c r="CJ73" s="734">
        <f>WWWW[[#This Row],['#_Constructed/Existingwater storage tank with gravity fed reticulation system]]-WWWW[[#This Row],['#_Non-functional storage tank gravity fed reticulation system]]</f>
        <v>0</v>
      </c>
      <c r="CK73" s="734">
        <f>(WWWW[[#This Row],['#_Water_Liters_supplied_by_Water boating or water trucking]]/90)/15</f>
        <v>0</v>
      </c>
      <c r="CL73" s="734">
        <f>WWWW[[#This Row],['#_Water_Liters_from_Constructed/Existing water distribution system from river or natural spring]]/90/15</f>
        <v>0</v>
      </c>
      <c r="CM73" s="424">
        <f>IF(WWWW[[#This Row],['#_of water points in TLS/CFS]]*500&gt;WWWW[[#This Row],[Total PoP ]],WWWW[[#This Row],[Total PoP ]],WWWW[[#This Row],['#_of water points in TLS/CFS]]*500)</f>
        <v>0</v>
      </c>
      <c r="CN73" s="424">
        <f>IF(WWWW[[#This Row],['#_of water points in THF]]*500&gt;WWWW[[#This Row],[Total PoP ]],WWWW[[#This Row],[Total PoP ]],WWWW[[#This Row],['#_of water points in THF]]*500)</f>
        <v>0</v>
      </c>
      <c r="CO7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3" s="733">
        <f>IF(WWWW[[#This Row],[Location Type 1]]="Village",WWWW[[#This Row],[Access to safe drinking water for Village]],WWWW[[#This Row],[Access to safe drinking water for Camp]])</f>
        <v>1</v>
      </c>
      <c r="CR73" s="731">
        <f>WWWW[[#This Row],[%Equitable and continuous access to sufficient quantity of safe drinking water]]*WWWW[[#This Row],[Total PoP ]]</f>
        <v>2500</v>
      </c>
      <c r="CS73" s="733">
        <f>IF((WWWW[[#This Row],['#_Constructed/Existing protected/fenced ponds]]*250)/WWWW[[#This Row],[Total PoP ]]&gt;1,1,(WWWW[[#This Row],['#_Constructed/Existing protected/fenced ponds]]*250)/WWWW[[#This Row],[Total PoP ]])</f>
        <v>0</v>
      </c>
      <c r="CT73" s="731">
        <f>WWWW[[#This Row],[% Access to unimproved water points]]*WWWW[[#This Row],[Total PoP ]]</f>
        <v>0</v>
      </c>
      <c r="CU7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v>
      </c>
      <c r="CW73" s="731">
        <f>WWWW[[#This Row],[HRP1]]/500</f>
        <v>5</v>
      </c>
      <c r="CX73" s="736">
        <f>1-WWWW[[#This Row],[% Equitable and continuous access to sufficient quantity of domestic water]]</f>
        <v>0</v>
      </c>
      <c r="CY73" s="731">
        <f>WWWW[[#This Row],[%equitable and continuous access to sufficient quantity of safe drinking and domestic water''s GAP]]*WWWW[[#This Row],[Total PoP ]]</f>
        <v>0</v>
      </c>
      <c r="CZ73" s="734">
        <f>IF(WWWW[[#This Row],[Total required water points]]-WWWW[[#This Row],['#Water points coverage]]&lt;0,0,WWWW[[#This Row],[Total required water points]]-WWWW[[#This Row],['#Water points coverage]])</f>
        <v>0</v>
      </c>
      <c r="DA73" s="734">
        <f>ROUND(IF(WWWW[[#This Row],[Total PoP ]]&lt;500,1,WWWW[[#This Row],[Total PoP ]]/500),0)</f>
        <v>5</v>
      </c>
      <c r="DB73" s="734">
        <f>(WWWW[[#This Row],['#_Constructed latrines_by_WASHAgencies]]+WWWW[[#This Row],['#_Non Cluster partner latrines]])-WWWW[[#This Row],['#_Non-functional latrines]]</f>
        <v>130</v>
      </c>
      <c r="DC73" s="631">
        <f>WWWW[[#This Row],[HRP2]]/WWWW[[#This Row],[Total PoP ]]</f>
        <v>1</v>
      </c>
      <c r="DD7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2500</v>
      </c>
      <c r="DE7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2440</v>
      </c>
      <c r="DF7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3" s="424">
        <f>IF(WWWW[[#This Row],['# of functional latrines in THF supported by WASH partners during the reporting period2]]="",0,WWWW[[#This Row],['# of functional latrines in THF supported by WASH partners during the reporting period2]]*50)</f>
        <v>0</v>
      </c>
      <c r="DH73" s="734">
        <f>ROUND(IF(WWWW[[#This Row],[Location Type 1]]="camp",WWWW[[#This Row],[Total PoP ]]/20,IF(WWWW[[#This Row],[Location Type 1]]="Temporary Location",WWWW[[#This Row],[Total PoP ]]/50,(WWWW[[#This Row],[Total PoP ]]/6))),0)</f>
        <v>125</v>
      </c>
      <c r="DI73" s="734">
        <f>IF(WWWW[[#This Row],[Total required Latrines]]-(WWWW[[#This Row],['#_Constructed latrines_by_WASHAgencies]]+WWWW[[#This Row],['#_Non Cluster partner latrines]])&lt;0,0,WWWW[[#This Row],[Total required Latrines]]-(WWWW[[#This Row],['#_Constructed latrines_by_WASHAgencies]]+WWWW[[#This Row],['#_Non Cluster partner latrines]]))</f>
        <v>0</v>
      </c>
      <c r="DJ73" s="736">
        <f>1-WWWW[[#This Row],[% people access to functioning Latrine]]</f>
        <v>0</v>
      </c>
      <c r="DK73" s="735">
        <f>IF(OR(WWWW[[#This Row],['#_Non-functional latrines]]="",WWWW[[#This Row],['#_Non-functional latrines]]=0),0,WWWW[[#This Row],['#_Non-functional latrines]]/(WWWW[[#This Row],['#_Constructed latrines_by_WASHAgencies]]+WWWW[[#This Row],['#_Non Cluster partner latrines]]))</f>
        <v>0</v>
      </c>
      <c r="DL73" s="731">
        <f>IF(500*(WWWW[[#This Row],['#_male hygiene promoters]]+WWWW[[#This Row],['#_female hygiene promoters]])&gt;WWWW[[#This Row],[Total PoP ]],WWWW[[#This Row],[Total PoP ]],500*(WWWW[[#This Row],['#_male hygiene promoters]]+WWWW[[#This Row],['#_female hygiene promoters]]))</f>
        <v>2500</v>
      </c>
      <c r="DM7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7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73" s="734">
        <f>IF(WWWW[[#This Row],['# People with access to soap]]&gt;WWWW[[#This Row],['# People with access to Sanity Pads]],WWWW[[#This Row],['# People with access to soap]],WWWW[[#This Row],['# People with access to Sanity Pads]])</f>
        <v>520</v>
      </c>
      <c r="DP73" s="734">
        <f>IF(WWWW[[#This Row],['# people reached by regular dedicated hygiene promotion_5]]&gt;WWWW[[#This Row],['# People received regular supply of hygiene items_6]],WWWW[[#This Row],['# people reached by regular dedicated hygiene promotion_5]],WWWW[[#This Row],['# People received regular supply of hygiene items_6]])</f>
        <v>2500</v>
      </c>
      <c r="DQ73" s="736">
        <f>IF(WWWW[[#This Row],[HRP3]]/WWWW[[#This Row],[Total PoP ]]&gt;1,1,WWWW[[#This Row],[HRP3]]/WWWW[[#This Row],[Total PoP ]])</f>
        <v>1</v>
      </c>
      <c r="DR73" s="735">
        <f>1-WWWW[[#This Row],[Hygiene Coverage%]]</f>
        <v>0</v>
      </c>
      <c r="DS73" s="733">
        <f>WWWW[[#This Row],['# people reached by regular dedicated hygiene promotion_5]]/WWWW[[#This Row],[Total PoP ]]</f>
        <v>1</v>
      </c>
      <c r="DT7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0.84210526315789469</v>
      </c>
      <c r="DU7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0.29959514170040485</v>
      </c>
      <c r="DV73" s="734">
        <f>WWWW[[#This Row],['#_Constructed/Existing hand washing stations]]-WWWW[[#This Row],['#_Non-Functional_hand_washing_stations]]</f>
        <v>7</v>
      </c>
      <c r="DW73" s="731">
        <f>IF(WWWW[[#This Row],['# Functional hand washing stations during reporting period]]*20&gt;WWWW[[#This Row],[Total HH]],WWWW[[#This Row],[Total HH]],WWWW[[#This Row],['# Functional hand washing stations during reporting period]]*20)</f>
        <v>140</v>
      </c>
      <c r="DX73" s="731">
        <f>IF(WWWW[[#This Row],[Is sufficient soap available for TLS? (Yes/No)]]="yes",WWWW[[#This Row],['#_Constructed/Existing hand washing stations at TLS/CFS/THF]],0)</f>
        <v>0</v>
      </c>
      <c r="DY73" s="428">
        <f>IF(WWWW[[#This Row],['# Functional hand washing stations during reporting period]]*100&gt;WWWW[[#This Row],[Total PoP ]],WWWW[[#This Row],[Total PoP ]],WWWW[[#This Row],['# Functional hand washing stations during reporting period]]*100)</f>
        <v>700</v>
      </c>
      <c r="DZ73" s="428" t="str">
        <f>IF(OR(WWWW[[#This Row],['#_students at TLS_CFS]]="",WWWW[[#This Row],['#_students at TLS_CFS]]=0),"No","Yes")</f>
        <v>No</v>
      </c>
      <c r="EA7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3" s="727" t="str">
        <f>VLOOKUP(WWWW[[#This Row],[Site Name]],SiteDB6[[Site Name]:[CCCM Management]],6,FALSE)</f>
        <v>Yes</v>
      </c>
      <c r="EF73" s="727" t="str">
        <f>VLOOKUP(WWWW[[#This Row],[Site Name]],SiteDB6[[Site Name]:[CCCM Focal Agency]],7,FALSE)</f>
        <v>KBC-MYT</v>
      </c>
      <c r="EG73" s="727" t="str">
        <f>VLOOKUP(WWWW[[#This Row],[Site Name]],SiteDB6[[Site Name]:[Location Type 1]],9,FALSE)</f>
        <v>Camp</v>
      </c>
      <c r="EH73" s="727" t="str">
        <f>VLOOKUP(WWWW[[#This Row],[Site Name]],SiteDB6[[Site Name]:[Type of Accommodation]],10,FALSE)</f>
        <v>Camp</v>
      </c>
      <c r="EI73" s="727" t="str">
        <f>VLOOKUP(WWWW[[#This Row],[Site Name]],SiteDB6[[Site Name]:[Ethnic or GCA/NGCA]],11,FALSE)</f>
        <v>GCA</v>
      </c>
      <c r="EJ73" s="727">
        <f>VLOOKUP(WWWW[[#This Row],[Site Name]],SiteDB6[[Site Name]:[Lat]],12,FALSE)</f>
        <v>25.4118005797101</v>
      </c>
      <c r="EK73" s="727">
        <f>VLOOKUP(WWWW[[#This Row],[Site Name]],SiteDB6[[Site Name]:[Long]],13,FALSE)</f>
        <v>97.434855869565197</v>
      </c>
      <c r="EL73" s="727" t="str">
        <f>VLOOKUP(WWWW[[#This Row],[Site Name]],SiteDB6[[Site Name]:[Pcode]],3,FALSE)</f>
        <v>MMR001CMP040</v>
      </c>
      <c r="EM73" s="732" t="str">
        <f t="shared" si="1"/>
        <v>Covered</v>
      </c>
      <c r="EN73" s="732"/>
      <c r="EO73" s="727">
        <f>VLOOKUP(WWWW[[#This Row],[Site Name]],SiteDB6[[Site Name]:[Pop
(Kachin/Shan-CCCM as of July 2021)]],16,FALSE)</f>
        <v>531</v>
      </c>
      <c r="EP73" s="727">
        <f>VLOOKUP(WWWW[[#This Row],[Site Name]],SiteDB6[[Site Name]:[Pop
(Kachin/Shan-CCCM as of July 2021)]],17,FALSE)</f>
        <v>2920</v>
      </c>
    </row>
    <row r="74" spans="1:146" hidden="1">
      <c r="A74" s="725" t="s">
        <v>2763</v>
      </c>
      <c r="B74" s="725" t="s">
        <v>141</v>
      </c>
      <c r="C74" s="726" t="s">
        <v>141</v>
      </c>
      <c r="D74" s="726" t="s">
        <v>241</v>
      </c>
      <c r="E74" s="726" t="s">
        <v>37</v>
      </c>
      <c r="F74" s="726" t="s">
        <v>142</v>
      </c>
      <c r="G74" s="591" t="str">
        <f>VLOOKUP(WWWW[[#This Row],[Site Name]],SiteDB6[[Site Name]:[Location Type]],8,FALSE)</f>
        <v>Camp</v>
      </c>
      <c r="H74" s="726" t="s">
        <v>179</v>
      </c>
      <c r="I74" s="728">
        <v>43</v>
      </c>
      <c r="J74" s="728">
        <v>191</v>
      </c>
      <c r="K74" s="729">
        <v>44105</v>
      </c>
      <c r="L74" s="730">
        <v>44681</v>
      </c>
      <c r="M74" s="728"/>
      <c r="N74" s="728">
        <v>1</v>
      </c>
      <c r="O74" s="728"/>
      <c r="P74" s="728"/>
      <c r="Q74" s="731" t="s">
        <v>41</v>
      </c>
      <c r="R74" s="728"/>
      <c r="S74" s="728">
        <v>4</v>
      </c>
      <c r="T74" s="448">
        <v>1</v>
      </c>
      <c r="U74" s="728"/>
      <c r="V74" s="728"/>
      <c r="W74" s="728"/>
      <c r="X74" s="728"/>
      <c r="Y74" s="728"/>
      <c r="Z74" s="728"/>
      <c r="AA74" s="728"/>
      <c r="AB74" s="728"/>
      <c r="AC74" s="728"/>
      <c r="AD74" s="728"/>
      <c r="AE74" s="728"/>
      <c r="AF74" s="728"/>
      <c r="AG74" s="728"/>
      <c r="AH74" s="728">
        <v>2</v>
      </c>
      <c r="AI74" s="728"/>
      <c r="AJ74" s="728"/>
      <c r="AK74" s="728"/>
      <c r="AL74" s="728"/>
      <c r="AM74" s="728"/>
      <c r="AN74" s="728"/>
      <c r="AO74" s="728"/>
      <c r="AP74" s="732"/>
      <c r="AQ74" s="728">
        <v>10</v>
      </c>
      <c r="AR74" s="728"/>
      <c r="AS74" s="733"/>
      <c r="AT74" s="728"/>
      <c r="AU74" s="728"/>
      <c r="AV74" s="728">
        <v>60</v>
      </c>
      <c r="AW74" s="728"/>
      <c r="AX74" s="728">
        <v>10</v>
      </c>
      <c r="AY74" s="727" t="s">
        <v>41</v>
      </c>
      <c r="AZ74" s="732" t="s">
        <v>137</v>
      </c>
      <c r="BA74" s="728"/>
      <c r="BB74" s="728"/>
      <c r="BC74" s="728"/>
      <c r="BD74" s="448"/>
      <c r="BE74" s="448"/>
      <c r="BF74" s="727"/>
      <c r="BG74" s="728">
        <v>7</v>
      </c>
      <c r="BH74" s="728"/>
      <c r="BI74" s="728"/>
      <c r="BJ74" s="728">
        <v>4</v>
      </c>
      <c r="BK74" s="728"/>
      <c r="BL74" s="728">
        <v>1</v>
      </c>
      <c r="BM74" s="728"/>
      <c r="BN74" s="728">
        <v>124</v>
      </c>
      <c r="BO74" s="728">
        <v>198</v>
      </c>
      <c r="BP74" s="727"/>
      <c r="BQ74" s="734"/>
      <c r="BR74" s="733"/>
      <c r="BS74" s="727"/>
      <c r="BT74" s="423"/>
      <c r="BU74" s="423"/>
      <c r="BV74" s="425"/>
      <c r="BW74" s="423"/>
      <c r="BX74" s="448"/>
      <c r="BY74" s="448"/>
      <c r="BZ74" s="448"/>
      <c r="CA74" s="448"/>
      <c r="CB74" s="448"/>
      <c r="CC74" s="777"/>
      <c r="CD74" s="448"/>
      <c r="CE74" s="735" t="str">
        <f>IFERROR(WWWW[[#This Row],['#_Water sources passed]]/WWWW[[#This Row],['#_Water sources tested for fecal coliform ]],"no test")</f>
        <v>no test</v>
      </c>
      <c r="CF74" s="733" t="str">
        <f>IFERROR(WWWW[[#This Row],['#_Household passed]]/WWWW[[#This Row],['#_Household water samples tested for fecal coliform]],"no test")</f>
        <v>no test</v>
      </c>
      <c r="CG74" s="734" t="str">
        <f>IF(AND(WWWW[[#This Row],[% of water sources passed]]="no test",WWWW[[#This Row],[% Household passed]]="no test"),"No Test","Tested")</f>
        <v>No Test</v>
      </c>
      <c r="CH74" s="734">
        <f>WWWW[[#This Row],['#_Constructed/existing protected hand dug well]]-WWWW[[#This Row],['#_Non-functional protected hand dug well]]</f>
        <v>1</v>
      </c>
      <c r="CI74" s="734">
        <f>(WWWW[[#This Row],['#_Constructed/Existing tube wells/boreholes/handpumps_WASH_agency]]+WWWW[[#This Row],['#_Non-Cluster partner water tube-wells/boreholes/handpumps]])-WWWW[[#This Row],['#_Non-functional tube wells/boreholes/handpumps]]</f>
        <v>0</v>
      </c>
      <c r="CJ74" s="734">
        <f>WWWW[[#This Row],['#_Constructed/Existingwater storage tank with gravity fed reticulation system]]-WWWW[[#This Row],['#_Non-functional storage tank gravity fed reticulation system]]</f>
        <v>0</v>
      </c>
      <c r="CK74" s="734">
        <f>(WWWW[[#This Row],['#_Water_Liters_supplied_by_Water boating or water trucking]]/90)/15</f>
        <v>0</v>
      </c>
      <c r="CL74" s="734">
        <f>WWWW[[#This Row],['#_Water_Liters_from_Constructed/Existing water distribution system from river or natural spring]]/90/15</f>
        <v>0</v>
      </c>
      <c r="CM74" s="424">
        <f>IF(WWWW[[#This Row],['#_of water points in TLS/CFS]]*500&gt;WWWW[[#This Row],[Total PoP ]],WWWW[[#This Row],[Total PoP ]],WWWW[[#This Row],['#_of water points in TLS/CFS]]*500)</f>
        <v>0</v>
      </c>
      <c r="CN74" s="424">
        <f>IF(WWWW[[#This Row],['#_of water points in THF]]*500&gt;WWWW[[#This Row],[Total PoP ]],WWWW[[#This Row],[Total PoP ]],WWWW[[#This Row],['#_of water points in THF]]*500)</f>
        <v>0</v>
      </c>
      <c r="CO7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4" s="733">
        <f>IF(WWWW[[#This Row],[Location Type 1]]="Village",WWWW[[#This Row],[Access to safe drinking water for Village]],WWWW[[#This Row],[Access to safe drinking water for Camp]])</f>
        <v>1</v>
      </c>
      <c r="CR74" s="731">
        <f>WWWW[[#This Row],[%Equitable and continuous access to sufficient quantity of safe drinking water]]*WWWW[[#This Row],[Total PoP ]]</f>
        <v>191</v>
      </c>
      <c r="CS74" s="733">
        <f>IF((WWWW[[#This Row],['#_Constructed/Existing protected/fenced ponds]]*250)/WWWW[[#This Row],[Total PoP ]]&gt;1,1,(WWWW[[#This Row],['#_Constructed/Existing protected/fenced ponds]]*250)/WWWW[[#This Row],[Total PoP ]])</f>
        <v>0</v>
      </c>
      <c r="CT74" s="731">
        <f>WWWW[[#This Row],[% Access to unimproved water points]]*WWWW[[#This Row],[Total PoP ]]</f>
        <v>0</v>
      </c>
      <c r="CU7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W74" s="731">
        <f>WWWW[[#This Row],[HRP1]]/500</f>
        <v>0.38200000000000001</v>
      </c>
      <c r="CX74" s="736">
        <f>1-WWWW[[#This Row],[% Equitable and continuous access to sufficient quantity of domestic water]]</f>
        <v>0</v>
      </c>
      <c r="CY74" s="731">
        <f>WWWW[[#This Row],[%equitable and continuous access to sufficient quantity of safe drinking and domestic water''s GAP]]*WWWW[[#This Row],[Total PoP ]]</f>
        <v>0</v>
      </c>
      <c r="CZ74" s="734">
        <f>IF(WWWW[[#This Row],[Total required water points]]-WWWW[[#This Row],['#Water points coverage]]&lt;0,0,WWWW[[#This Row],[Total required water points]]-WWWW[[#This Row],['#Water points coverage]])</f>
        <v>0.61799999999999999</v>
      </c>
      <c r="DA74" s="734">
        <f>ROUND(IF(WWWW[[#This Row],[Total PoP ]]&lt;500,1,WWWW[[#This Row],[Total PoP ]]/500),0)</f>
        <v>1</v>
      </c>
      <c r="DB74" s="734">
        <f>(WWWW[[#This Row],['#_Constructed latrines_by_WASHAgencies]]+WWWW[[#This Row],['#_Non Cluster partner latrines]])-WWWW[[#This Row],['#_Non-functional latrines]]</f>
        <v>10</v>
      </c>
      <c r="DC74" s="631">
        <f>WWWW[[#This Row],[HRP2]]/WWWW[[#This Row],[Total PoP ]]</f>
        <v>1</v>
      </c>
      <c r="DD7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191</v>
      </c>
      <c r="DE7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191</v>
      </c>
      <c r="DF7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4" s="424">
        <f>IF(WWWW[[#This Row],['# of functional latrines in THF supported by WASH partners during the reporting period2]]="",0,WWWW[[#This Row],['# of functional latrines in THF supported by WASH partners during the reporting period2]]*50)</f>
        <v>0</v>
      </c>
      <c r="DH74" s="734">
        <f>ROUND(IF(WWWW[[#This Row],[Location Type 1]]="camp",WWWW[[#This Row],[Total PoP ]]/20,IF(WWWW[[#This Row],[Location Type 1]]="Temporary Location",WWWW[[#This Row],[Total PoP ]]/50,(WWWW[[#This Row],[Total PoP ]]/6))),0)</f>
        <v>10</v>
      </c>
      <c r="DI74" s="734">
        <f>IF(WWWW[[#This Row],[Total required Latrines]]-(WWWW[[#This Row],['#_Constructed latrines_by_WASHAgencies]]+WWWW[[#This Row],['#_Non Cluster partner latrines]])&lt;0,0,WWWW[[#This Row],[Total required Latrines]]-(WWWW[[#This Row],['#_Constructed latrines_by_WASHAgencies]]+WWWW[[#This Row],['#_Non Cluster partner latrines]]))</f>
        <v>0</v>
      </c>
      <c r="DJ74" s="736">
        <f>1-WWWW[[#This Row],[% people access to functioning Latrine]]</f>
        <v>0</v>
      </c>
      <c r="DK74" s="735">
        <f>IF(OR(WWWW[[#This Row],['#_Non-functional latrines]]="",WWWW[[#This Row],['#_Non-functional latrines]]=0),0,WWWW[[#This Row],['#_Non-functional latrines]]/(WWWW[[#This Row],['#_Constructed latrines_by_WASHAgencies]]+WWWW[[#This Row],['#_Non Cluster partner latrines]]))</f>
        <v>0</v>
      </c>
      <c r="DL74" s="731">
        <f>IF(500*(WWWW[[#This Row],['#_male hygiene promoters]]+WWWW[[#This Row],['#_female hygiene promoters]])&gt;WWWW[[#This Row],[Total PoP ]],WWWW[[#This Row],[Total PoP ]],500*(WWWW[[#This Row],['#_male hygiene promoters]]+WWWW[[#This Row],['#_female hygiene promoters]]))</f>
        <v>191</v>
      </c>
      <c r="DM7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191</v>
      </c>
      <c r="DN7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191</v>
      </c>
      <c r="DO74" s="734">
        <f>IF(WWWW[[#This Row],['# People with access to soap]]&gt;WWWW[[#This Row],['# People with access to Sanity Pads]],WWWW[[#This Row],['# People with access to soap]],WWWW[[#This Row],['# People with access to Sanity Pads]])</f>
        <v>191</v>
      </c>
      <c r="DP74" s="734">
        <f>IF(WWWW[[#This Row],['# people reached by regular dedicated hygiene promotion_5]]&gt;WWWW[[#This Row],['# People received regular supply of hygiene items_6]],WWWW[[#This Row],['# people reached by regular dedicated hygiene promotion_5]],WWWW[[#This Row],['# People received regular supply of hygiene items_6]])</f>
        <v>191</v>
      </c>
      <c r="DQ74" s="736">
        <f>IF(WWWW[[#This Row],[HRP3]]/WWWW[[#This Row],[Total PoP ]]&gt;1,1,WWWW[[#This Row],[HRP3]]/WWWW[[#This Row],[Total PoP ]])</f>
        <v>1</v>
      </c>
      <c r="DR74" s="735">
        <f>1-WWWW[[#This Row],[Hygiene Coverage%]]</f>
        <v>0</v>
      </c>
      <c r="DS74" s="733">
        <f>WWWW[[#This Row],['# people reached by regular dedicated hygiene promotion_5]]/WWWW[[#This Row],[Total PoP ]]</f>
        <v>1</v>
      </c>
      <c r="DT7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74" s="734">
        <f>WWWW[[#This Row],['#_Constructed/Existing hand washing stations]]-WWWW[[#This Row],['#_Non-Functional_hand_washing_stations]]</f>
        <v>7</v>
      </c>
      <c r="DW74" s="731">
        <f>IF(WWWW[[#This Row],['# Functional hand washing stations during reporting period]]*20&gt;WWWW[[#This Row],[Total HH]],WWWW[[#This Row],[Total HH]],WWWW[[#This Row],['# Functional hand washing stations during reporting period]]*20)</f>
        <v>43</v>
      </c>
      <c r="DX74" s="731">
        <f>IF(WWWW[[#This Row],[Is sufficient soap available for TLS? (Yes/No)]]="yes",WWWW[[#This Row],['#_Constructed/Existing hand washing stations at TLS/CFS/THF]],0)</f>
        <v>0</v>
      </c>
      <c r="DY74" s="428">
        <f>IF(WWWW[[#This Row],['# Functional hand washing stations during reporting period]]*100&gt;WWWW[[#This Row],[Total PoP ]],WWWW[[#This Row],[Total PoP ]],WWWW[[#This Row],['# Functional hand washing stations during reporting period]]*100)</f>
        <v>191</v>
      </c>
      <c r="DZ74" s="428" t="str">
        <f>IF(OR(WWWW[[#This Row],['#_students at TLS_CFS]]="",WWWW[[#This Row],['#_students at TLS_CFS]]=0),"No","Yes")</f>
        <v>No</v>
      </c>
      <c r="EA7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4" s="727" t="str">
        <f>VLOOKUP(WWWW[[#This Row],[Site Name]],SiteDB6[[Site Name]:[CCCM Management]],6,FALSE)</f>
        <v>Yes</v>
      </c>
      <c r="EF74" s="727" t="str">
        <f>VLOOKUP(WWWW[[#This Row],[Site Name]],SiteDB6[[Site Name]:[CCCM Focal Agency]],7,FALSE)</f>
        <v>KBC-MYT</v>
      </c>
      <c r="EG74" s="727" t="str">
        <f>VLOOKUP(WWWW[[#This Row],[Site Name]],SiteDB6[[Site Name]:[Location Type 1]],9,FALSE)</f>
        <v>Camp</v>
      </c>
      <c r="EH74" s="727" t="str">
        <f>VLOOKUP(WWWW[[#This Row],[Site Name]],SiteDB6[[Site Name]:[Type of Accommodation]],10,FALSE)</f>
        <v>Camp</v>
      </c>
      <c r="EI74" s="727" t="str">
        <f>VLOOKUP(WWWW[[#This Row],[Site Name]],SiteDB6[[Site Name]:[Ethnic or GCA/NGCA]],11,FALSE)</f>
        <v>GCA</v>
      </c>
      <c r="EJ74" s="727">
        <f>VLOOKUP(WWWW[[#This Row],[Site Name]],SiteDB6[[Site Name]:[Lat]],12,FALSE)</f>
        <v>25.409612685185198</v>
      </c>
      <c r="EK74" s="727">
        <f>VLOOKUP(WWWW[[#This Row],[Site Name]],SiteDB6[[Site Name]:[Long]],13,FALSE)</f>
        <v>97.426536944444507</v>
      </c>
      <c r="EL74" s="727" t="str">
        <f>VLOOKUP(WWWW[[#This Row],[Site Name]],SiteDB6[[Site Name]:[Pcode]],3,FALSE)</f>
        <v>MMR001CMP039</v>
      </c>
      <c r="EM74" s="732" t="str">
        <f t="shared" si="1"/>
        <v>Covered</v>
      </c>
      <c r="EN74" s="732"/>
      <c r="EO74" s="727">
        <f>VLOOKUP(WWWW[[#This Row],[Site Name]],SiteDB6[[Site Name]:[Pop
(Kachin/Shan-CCCM as of July 2021)]],16,FALSE)</f>
        <v>55</v>
      </c>
      <c r="EP74" s="727">
        <f>VLOOKUP(WWWW[[#This Row],[Site Name]],SiteDB6[[Site Name]:[Pop
(Kachin/Shan-CCCM as of July 2021)]],17,FALSE)</f>
        <v>283</v>
      </c>
    </row>
    <row r="75" spans="1:146" hidden="1">
      <c r="A75" s="725" t="s">
        <v>2763</v>
      </c>
      <c r="B75" s="725" t="s">
        <v>242</v>
      </c>
      <c r="C75" s="726" t="s">
        <v>242</v>
      </c>
      <c r="D75" s="726" t="s">
        <v>307</v>
      </c>
      <c r="E75" s="726" t="s">
        <v>37</v>
      </c>
      <c r="F75" s="726" t="s">
        <v>142</v>
      </c>
      <c r="G75" s="591" t="str">
        <f>VLOOKUP(WWWW[[#This Row],[Site Name]],SiteDB6[[Site Name]:[Location Type]],8,FALSE)</f>
        <v>Camp</v>
      </c>
      <c r="H75" s="726" t="s">
        <v>3003</v>
      </c>
      <c r="I75" s="448">
        <v>40</v>
      </c>
      <c r="J75" s="448">
        <v>221</v>
      </c>
      <c r="K75" s="588">
        <v>44197</v>
      </c>
      <c r="L75" s="589">
        <v>44651</v>
      </c>
      <c r="M75" s="728"/>
      <c r="N75" s="728">
        <v>1</v>
      </c>
      <c r="O75" s="728"/>
      <c r="P75" s="728"/>
      <c r="Q75" s="731" t="s">
        <v>41</v>
      </c>
      <c r="R75" s="728">
        <v>1</v>
      </c>
      <c r="S75" s="728">
        <v>4</v>
      </c>
      <c r="T75" s="448">
        <v>1</v>
      </c>
      <c r="U75" s="728"/>
      <c r="V75" s="728"/>
      <c r="W75" s="728"/>
      <c r="X75" s="728"/>
      <c r="Y75" s="728"/>
      <c r="Z75" s="728"/>
      <c r="AA75" s="728"/>
      <c r="AB75" s="728"/>
      <c r="AC75" s="728"/>
      <c r="AD75" s="728"/>
      <c r="AE75" s="728"/>
      <c r="AF75" s="728"/>
      <c r="AG75" s="728"/>
      <c r="AH75" s="728"/>
      <c r="AI75" s="728"/>
      <c r="AJ75" s="728"/>
      <c r="AK75" s="728"/>
      <c r="AL75" s="728"/>
      <c r="AM75" s="728"/>
      <c r="AN75" s="728"/>
      <c r="AO75" s="728"/>
      <c r="AP75" s="732" t="s">
        <v>2887</v>
      </c>
      <c r="AQ75" s="728">
        <v>8</v>
      </c>
      <c r="AR75" s="728"/>
      <c r="AS75" s="733"/>
      <c r="AT75" s="728"/>
      <c r="AU75" s="728"/>
      <c r="AV75" s="728"/>
      <c r="AW75" s="728"/>
      <c r="AX75" s="728"/>
      <c r="AY75" s="727" t="s">
        <v>41</v>
      </c>
      <c r="AZ75" s="732" t="s">
        <v>137</v>
      </c>
      <c r="BA75" s="728"/>
      <c r="BB75" s="728"/>
      <c r="BC75" s="728"/>
      <c r="BD75" s="448"/>
      <c r="BE75" s="448"/>
      <c r="BF75" s="727"/>
      <c r="BG75" s="728">
        <v>7</v>
      </c>
      <c r="BH75" s="728"/>
      <c r="BI75" s="728"/>
      <c r="BJ75" s="728">
        <v>4</v>
      </c>
      <c r="BK75" s="728"/>
      <c r="BL75" s="728">
        <v>1</v>
      </c>
      <c r="BM75" s="728"/>
      <c r="BN75" s="728">
        <v>124</v>
      </c>
      <c r="BO75" s="728">
        <v>198</v>
      </c>
      <c r="BP75" s="727" t="s">
        <v>136</v>
      </c>
      <c r="BQ75" s="734"/>
      <c r="BR75" s="423">
        <v>0.5</v>
      </c>
      <c r="BS75" s="425"/>
      <c r="BT75" s="423">
        <v>0.98</v>
      </c>
      <c r="BU75" s="423">
        <v>0.9</v>
      </c>
      <c r="BV75" s="425">
        <v>4</v>
      </c>
      <c r="BW75" s="423">
        <v>0.99</v>
      </c>
      <c r="BX75" s="448"/>
      <c r="BY75" s="448"/>
      <c r="BZ75" s="448"/>
      <c r="CA75" s="448"/>
      <c r="CB75" s="448"/>
      <c r="CC75" s="777"/>
      <c r="CD75" s="448"/>
      <c r="CE75" s="735" t="str">
        <f>IFERROR(WWWW[[#This Row],['#_Water sources passed]]/WWWW[[#This Row],['#_Water sources tested for fecal coliform ]],"no test")</f>
        <v>no test</v>
      </c>
      <c r="CF75" s="733" t="str">
        <f>IFERROR(WWWW[[#This Row],['#_Household passed]]/WWWW[[#This Row],['#_Household water samples tested for fecal coliform]],"no test")</f>
        <v>no test</v>
      </c>
      <c r="CG75" s="734" t="str">
        <f>IF(AND(WWWW[[#This Row],[% of water sources passed]]="no test",WWWW[[#This Row],[% Household passed]]="no test"),"No Test","Tested")</f>
        <v>No Test</v>
      </c>
      <c r="CH75" s="734">
        <f>WWWW[[#This Row],['#_Constructed/existing protected hand dug well]]-WWWW[[#This Row],['#_Non-functional protected hand dug well]]</f>
        <v>1</v>
      </c>
      <c r="CI75" s="734">
        <f>(WWWW[[#This Row],['#_Constructed/Existing tube wells/boreholes/handpumps_WASH_agency]]+WWWW[[#This Row],['#_Non-Cluster partner water tube-wells/boreholes/handpumps]])-WWWW[[#This Row],['#_Non-functional tube wells/boreholes/handpumps]]</f>
        <v>0</v>
      </c>
      <c r="CJ75" s="734">
        <f>WWWW[[#This Row],['#_Constructed/Existingwater storage tank with gravity fed reticulation system]]-WWWW[[#This Row],['#_Non-functional storage tank gravity fed reticulation system]]</f>
        <v>0</v>
      </c>
      <c r="CK75" s="734">
        <f>(WWWW[[#This Row],['#_Water_Liters_supplied_by_Water boating or water trucking]]/90)/15</f>
        <v>0</v>
      </c>
      <c r="CL75" s="734">
        <f>WWWW[[#This Row],['#_Water_Liters_from_Constructed/Existing water distribution system from river or natural spring]]/90/15</f>
        <v>0</v>
      </c>
      <c r="CM75" s="424">
        <f>IF(WWWW[[#This Row],['#_of water points in TLS/CFS]]*500&gt;WWWW[[#This Row],[Total PoP ]],WWWW[[#This Row],[Total PoP ]],WWWW[[#This Row],['#_of water points in TLS/CFS]]*500)</f>
        <v>0</v>
      </c>
      <c r="CN75" s="424">
        <f>IF(WWWW[[#This Row],['#_of water points in THF]]*500&gt;WWWW[[#This Row],[Total PoP ]],WWWW[[#This Row],[Total PoP ]],WWWW[[#This Row],['#_of water points in THF]]*500)</f>
        <v>0</v>
      </c>
      <c r="CO7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5" s="733">
        <f>IF(WWWW[[#This Row],[Location Type 1]]="Village",WWWW[[#This Row],[Access to safe drinking water for Village]],WWWW[[#This Row],[Access to safe drinking water for Camp]])</f>
        <v>1</v>
      </c>
      <c r="CR75" s="731">
        <f>WWWW[[#This Row],[%Equitable and continuous access to sufficient quantity of safe drinking water]]*WWWW[[#This Row],[Total PoP ]]</f>
        <v>221</v>
      </c>
      <c r="CS75" s="733">
        <f>IF((WWWW[[#This Row],['#_Constructed/Existing protected/fenced ponds]]*250)/WWWW[[#This Row],[Total PoP ]]&gt;1,1,(WWWW[[#This Row],['#_Constructed/Existing protected/fenced ponds]]*250)/WWWW[[#This Row],[Total PoP ]])</f>
        <v>0</v>
      </c>
      <c r="CT75" s="731">
        <f>WWWW[[#This Row],[% Access to unimproved water points]]*WWWW[[#This Row],[Total PoP ]]</f>
        <v>0</v>
      </c>
      <c r="CU7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75" s="731">
        <f>WWWW[[#This Row],[HRP1]]/500</f>
        <v>0.442</v>
      </c>
      <c r="CX75" s="736">
        <f>1-WWWW[[#This Row],[% Equitable and continuous access to sufficient quantity of domestic water]]</f>
        <v>0</v>
      </c>
      <c r="CY75" s="731">
        <f>WWWW[[#This Row],[%equitable and continuous access to sufficient quantity of safe drinking and domestic water''s GAP]]*WWWW[[#This Row],[Total PoP ]]</f>
        <v>0</v>
      </c>
      <c r="CZ75" s="734">
        <f>IF(WWWW[[#This Row],[Total required water points]]-WWWW[[#This Row],['#Water points coverage]]&lt;0,0,WWWW[[#This Row],[Total required water points]]-WWWW[[#This Row],['#Water points coverage]])</f>
        <v>0.55800000000000005</v>
      </c>
      <c r="DA75" s="734">
        <f>ROUND(IF(WWWW[[#This Row],[Total PoP ]]&lt;500,1,WWWW[[#This Row],[Total PoP ]]/500),0)</f>
        <v>1</v>
      </c>
      <c r="DB75" s="734">
        <f>(WWWW[[#This Row],['#_Constructed latrines_by_WASHAgencies]]+WWWW[[#This Row],['#_Non Cluster partner latrines]])-WWWW[[#This Row],['#_Non-functional latrines]]</f>
        <v>8</v>
      </c>
      <c r="DC75" s="631">
        <f>WWWW[[#This Row],[HRP2]]/WWWW[[#This Row],[Total PoP ]]</f>
        <v>0.72398190045248867</v>
      </c>
      <c r="DD7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7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5" s="424">
        <f>IF(WWWW[[#This Row],['# of functional latrines in THF supported by WASH partners during the reporting period2]]="",0,WWWW[[#This Row],['# of functional latrines in THF supported by WASH partners during the reporting period2]]*50)</f>
        <v>0</v>
      </c>
      <c r="DH75" s="734">
        <f>ROUND(IF(WWWW[[#This Row],[Location Type 1]]="camp",WWWW[[#This Row],[Total PoP ]]/20,IF(WWWW[[#This Row],[Location Type 1]]="Temporary Location",WWWW[[#This Row],[Total PoP ]]/50,(WWWW[[#This Row],[Total PoP ]]/6))),0)</f>
        <v>11</v>
      </c>
      <c r="DI75" s="734">
        <f>IF(WWWW[[#This Row],[Total required Latrines]]-(WWWW[[#This Row],['#_Constructed latrines_by_WASHAgencies]]+WWWW[[#This Row],['#_Non Cluster partner latrines]])&lt;0,0,WWWW[[#This Row],[Total required Latrines]]-(WWWW[[#This Row],['#_Constructed latrines_by_WASHAgencies]]+WWWW[[#This Row],['#_Non Cluster partner latrines]]))</f>
        <v>3</v>
      </c>
      <c r="DJ75" s="736">
        <f>1-WWWW[[#This Row],[% people access to functioning Latrine]]</f>
        <v>0.27601809954751133</v>
      </c>
      <c r="DK75" s="735">
        <f>IF(OR(WWWW[[#This Row],['#_Non-functional latrines]]="",WWWW[[#This Row],['#_Non-functional latrines]]=0),0,WWWW[[#This Row],['#_Non-functional latrines]]/(WWWW[[#This Row],['#_Constructed latrines_by_WASHAgencies]]+WWWW[[#This Row],['#_Non Cluster partner latrines]]))</f>
        <v>0</v>
      </c>
      <c r="DL75" s="731">
        <f>IF(500*(WWWW[[#This Row],['#_male hygiene promoters]]+WWWW[[#This Row],['#_female hygiene promoters]])&gt;WWWW[[#This Row],[Total PoP ]],WWWW[[#This Row],[Total PoP ]],500*(WWWW[[#This Row],['#_male hygiene promoters]]+WWWW[[#This Row],['#_female hygiene promoters]]))</f>
        <v>221</v>
      </c>
      <c r="DM7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N7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75" s="734">
        <f>IF(WWWW[[#This Row],['# People with access to soap]]&gt;WWWW[[#This Row],['# People with access to Sanity Pads]],WWWW[[#This Row],['# People with access to soap]],WWWW[[#This Row],['# People with access to Sanity Pads]])</f>
        <v>221</v>
      </c>
      <c r="DP75" s="734">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Q75" s="736">
        <f>IF(WWWW[[#This Row],[HRP3]]/WWWW[[#This Row],[Total PoP ]]&gt;1,1,WWWW[[#This Row],[HRP3]]/WWWW[[#This Row],[Total PoP ]])</f>
        <v>1</v>
      </c>
      <c r="DR75" s="735">
        <f>1-WWWW[[#This Row],[Hygiene Coverage%]]</f>
        <v>0</v>
      </c>
      <c r="DS75" s="733">
        <f>WWWW[[#This Row],['# people reached by regular dedicated hygiene promotion_5]]/WWWW[[#This Row],[Total PoP ]]</f>
        <v>1</v>
      </c>
      <c r="DT7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75" s="734">
        <f>WWWW[[#This Row],['#_Constructed/Existing hand washing stations]]-WWWW[[#This Row],['#_Non-Functional_hand_washing_stations]]</f>
        <v>7</v>
      </c>
      <c r="DW75" s="731">
        <f>IF(WWWW[[#This Row],['# Functional hand washing stations during reporting period]]*20&gt;WWWW[[#This Row],[Total HH]],WWWW[[#This Row],[Total HH]],WWWW[[#This Row],['# Functional hand washing stations during reporting period]]*20)</f>
        <v>40</v>
      </c>
      <c r="DX75" s="731">
        <f>IF(WWWW[[#This Row],[Is sufficient soap available for TLS? (Yes/No)]]="yes",WWWW[[#This Row],['#_Constructed/Existing hand washing stations at TLS/CFS/THF]],0)</f>
        <v>0</v>
      </c>
      <c r="DY75" s="428">
        <f>IF(WWWW[[#This Row],['# Functional hand washing stations during reporting period]]*100&gt;WWWW[[#This Row],[Total PoP ]],WWWW[[#This Row],[Total PoP ]],WWWW[[#This Row],['# Functional hand washing stations during reporting period]]*100)</f>
        <v>221</v>
      </c>
      <c r="DZ75" s="428" t="str">
        <f>IF(OR(WWWW[[#This Row],['#_students at TLS_CFS]]="",WWWW[[#This Row],['#_students at TLS_CFS]]=0),"No","Yes")</f>
        <v>No</v>
      </c>
      <c r="EA75" s="631">
        <f>IF(WWWW[[#This Row],['#_of_affected_people_surveyed_who_report_feeling_informed_about_the_different_WASH_services_available_to_them]]="","",WWWW[[#This Row],['#_of_affected_people_surveyed_who_report_feeling_informed_about_the_different_WASH_services_available_to_them]]/WWWW[[#This Row],[Total PoP ]])</f>
        <v>1.8099547511312219E-2</v>
      </c>
      <c r="EB7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5" s="727" t="str">
        <f>VLOOKUP(WWWW[[#This Row],[Site Name]],SiteDB6[[Site Name]:[CCCM Management]],6,FALSE)</f>
        <v>Yes</v>
      </c>
      <c r="EF75" s="727" t="str">
        <f>VLOOKUP(WWWW[[#This Row],[Site Name]],SiteDB6[[Site Name]:[CCCM Focal Agency]],7,FALSE)</f>
        <v>Shalom</v>
      </c>
      <c r="EG75" s="727" t="str">
        <f>VLOOKUP(WWWW[[#This Row],[Site Name]],SiteDB6[[Site Name]:[Location Type 1]],9,FALSE)</f>
        <v>Camp</v>
      </c>
      <c r="EH75" s="727" t="str">
        <f>VLOOKUP(WWWW[[#This Row],[Site Name]],SiteDB6[[Site Name]:[Type of Accommodation]],10,FALSE)</f>
        <v>Camp</v>
      </c>
      <c r="EI75" s="727" t="str">
        <f>VLOOKUP(WWWW[[#This Row],[Site Name]],SiteDB6[[Site Name]:[Ethnic or GCA/NGCA]],11,FALSE)</f>
        <v>GCA</v>
      </c>
      <c r="EJ75" s="727">
        <f>VLOOKUP(WWWW[[#This Row],[Site Name]],SiteDB6[[Site Name]:[Lat]],12,FALSE)</f>
        <v>25.345918166666699</v>
      </c>
      <c r="EK75" s="727">
        <f>VLOOKUP(WWWW[[#This Row],[Site Name]],SiteDB6[[Site Name]:[Long]],13,FALSE)</f>
        <v>97.437472666666693</v>
      </c>
      <c r="EL75" s="727" t="str">
        <f>VLOOKUP(WWWW[[#This Row],[Site Name]],SiteDB6[[Site Name]:[Pcode]],3,FALSE)</f>
        <v>MMR001CMP030</v>
      </c>
      <c r="EM75" s="732" t="str">
        <f t="shared" si="1"/>
        <v>Covered</v>
      </c>
      <c r="EN75" s="732"/>
      <c r="EO75" s="727">
        <f>VLOOKUP(WWWW[[#This Row],[Site Name]],SiteDB6[[Site Name]:[Pop
(Kachin/Shan-CCCM as of July 2021)]],16,FALSE)</f>
        <v>40</v>
      </c>
      <c r="EP75" s="727">
        <f>VLOOKUP(WWWW[[#This Row],[Site Name]],SiteDB6[[Site Name]:[Pop
(Kachin/Shan-CCCM as of July 2021)]],17,FALSE)</f>
        <v>221</v>
      </c>
    </row>
    <row r="76" spans="1:146" hidden="1">
      <c r="A76" s="725" t="s">
        <v>2763</v>
      </c>
      <c r="B76" s="707" t="s">
        <v>2806</v>
      </c>
      <c r="C76" s="726" t="s">
        <v>141</v>
      </c>
      <c r="D76" s="369" t="s">
        <v>2587</v>
      </c>
      <c r="E76" s="786" t="s">
        <v>37</v>
      </c>
      <c r="F76" s="786" t="s">
        <v>38</v>
      </c>
      <c r="G76" s="787" t="str">
        <f>VLOOKUP(WWWW[[#This Row],[Site Name]],SiteDB6[[Site Name]:[Location Type]],8,FALSE)</f>
        <v>Camp</v>
      </c>
      <c r="H76" s="786" t="s">
        <v>183</v>
      </c>
      <c r="I76" s="788">
        <v>364</v>
      </c>
      <c r="J76" s="788">
        <v>1599</v>
      </c>
      <c r="K76" s="800" t="s">
        <v>2807</v>
      </c>
      <c r="L76" s="56" t="s">
        <v>2808</v>
      </c>
      <c r="M76" s="788">
        <v>456</v>
      </c>
      <c r="N76" s="788">
        <v>9</v>
      </c>
      <c r="O76" s="788"/>
      <c r="P76" s="788"/>
      <c r="Q76" s="731" t="s">
        <v>41</v>
      </c>
      <c r="R76" s="788">
        <v>14</v>
      </c>
      <c r="S76" s="788">
        <v>42</v>
      </c>
      <c r="T76" s="448"/>
      <c r="U76" s="788"/>
      <c r="V76" s="788">
        <v>0</v>
      </c>
      <c r="W76" s="788">
        <v>4</v>
      </c>
      <c r="X76" s="788">
        <v>0</v>
      </c>
      <c r="Y76" s="788"/>
      <c r="Z76" s="788">
        <v>3</v>
      </c>
      <c r="AA76" s="788"/>
      <c r="AB76" s="788"/>
      <c r="AC76" s="788"/>
      <c r="AD76" s="788"/>
      <c r="AE76" s="788"/>
      <c r="AF76" s="788"/>
      <c r="AG76" s="788">
        <v>5</v>
      </c>
      <c r="AH76" s="788"/>
      <c r="AI76" s="788">
        <v>4</v>
      </c>
      <c r="AJ76" s="788">
        <v>4</v>
      </c>
      <c r="AK76" s="788">
        <v>15</v>
      </c>
      <c r="AL76" s="788">
        <v>13</v>
      </c>
      <c r="AM76" s="788">
        <v>8</v>
      </c>
      <c r="AN76" s="788"/>
      <c r="AO76" s="788"/>
      <c r="AP76" s="792"/>
      <c r="AQ76" s="448">
        <v>110</v>
      </c>
      <c r="AR76" s="788">
        <v>0</v>
      </c>
      <c r="AS76" s="793"/>
      <c r="AT76" s="788">
        <v>0</v>
      </c>
      <c r="AU76" s="788"/>
      <c r="AV76" s="788"/>
      <c r="AW76" s="788"/>
      <c r="AX76" s="448">
        <v>110</v>
      </c>
      <c r="AY76" s="787" t="s">
        <v>41</v>
      </c>
      <c r="AZ76" s="792" t="s">
        <v>137</v>
      </c>
      <c r="BA76" s="788"/>
      <c r="BB76" s="788"/>
      <c r="BC76" s="788">
        <v>4</v>
      </c>
      <c r="BD76" s="448"/>
      <c r="BE76" s="448">
        <v>76</v>
      </c>
      <c r="BF76" s="787"/>
      <c r="BG76" s="728">
        <v>1</v>
      </c>
      <c r="BH76" s="788"/>
      <c r="BI76" s="788"/>
      <c r="BJ76" s="728">
        <v>3</v>
      </c>
      <c r="BK76" s="788"/>
      <c r="BL76" s="788"/>
      <c r="BM76" s="788">
        <v>5</v>
      </c>
      <c r="BN76" s="788">
        <v>41</v>
      </c>
      <c r="BO76" s="448">
        <v>85</v>
      </c>
      <c r="BP76" s="787"/>
      <c r="BQ76" s="794"/>
      <c r="BR76" s="793"/>
      <c r="BS76" s="787"/>
      <c r="BT76" s="423"/>
      <c r="BU76" s="423"/>
      <c r="BV76" s="574">
        <f>88%*WWWW[[#This Row],[Total PoP ]]</f>
        <v>1407.1200000000001</v>
      </c>
      <c r="BW76" s="423">
        <v>0.62</v>
      </c>
      <c r="BX76" s="448"/>
      <c r="BY76" s="448">
        <v>17</v>
      </c>
      <c r="BZ76" s="448"/>
      <c r="CA76" s="448">
        <v>0</v>
      </c>
      <c r="CB76" s="448">
        <v>0</v>
      </c>
      <c r="CC76" s="777"/>
      <c r="CD76" s="448"/>
      <c r="CE76" s="795">
        <f>IFERROR(WWWW[[#This Row],['#_Water sources passed]]/WWWW[[#This Row],['#_Water sources tested for fecal coliform ]],"no test")</f>
        <v>1</v>
      </c>
      <c r="CF76" s="793">
        <f>IFERROR(WWWW[[#This Row],['#_Household passed]]/WWWW[[#This Row],['#_Household water samples tested for fecal coliform]],"no test")</f>
        <v>0.8666666666666667</v>
      </c>
      <c r="CG76" s="794" t="str">
        <f>IF(AND(WWWW[[#This Row],[% of water sources passed]]="no test",WWWW[[#This Row],[% Household passed]]="no test"),"No Test","Tested")</f>
        <v>Tested</v>
      </c>
      <c r="CH76" s="794">
        <f>WWWW[[#This Row],['#_Constructed/existing protected hand dug well]]-WWWW[[#This Row],['#_Non-functional protected hand dug well]]</f>
        <v>0</v>
      </c>
      <c r="CI76" s="794">
        <f>(WWWW[[#This Row],['#_Constructed/Existing tube wells/boreholes/handpumps_WASH_agency]]+WWWW[[#This Row],['#_Non-Cluster partner water tube-wells/boreholes/handpumps]])-WWWW[[#This Row],['#_Non-functional tube wells/boreholes/handpumps]]</f>
        <v>4</v>
      </c>
      <c r="CJ76" s="794">
        <f>WWWW[[#This Row],['#_Constructed/Existingwater storage tank with gravity fed reticulation system]]-WWWW[[#This Row],['#_Non-functional storage tank gravity fed reticulation system]]</f>
        <v>0</v>
      </c>
      <c r="CK76" s="794">
        <f>(WWWW[[#This Row],['#_Water_Liters_supplied_by_Water boating or water trucking]]/90)/15</f>
        <v>0</v>
      </c>
      <c r="CL76" s="794">
        <f>WWWW[[#This Row],['#_Water_Liters_from_Constructed/Existing water distribution system from river or natural spring]]/90/15</f>
        <v>0</v>
      </c>
      <c r="CM76" s="424">
        <f>IF(WWWW[[#This Row],['#_of water points in TLS/CFS]]*500&gt;WWWW[[#This Row],[Total PoP ]],WWWW[[#This Row],[Total PoP ]],WWWW[[#This Row],['#_of water points in TLS/CFS]]*500)</f>
        <v>0</v>
      </c>
      <c r="CN76" s="424">
        <f>IF(WWWW[[#This Row],['#_of water points in THF]]*500&gt;WWWW[[#This Row],[Total PoP ]],WWWW[[#This Row],[Total PoP ]],WWWW[[#This Row],['#_of water points in THF]]*500)</f>
        <v>0</v>
      </c>
      <c r="CO76"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6"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0.62539086929330834</v>
      </c>
      <c r="CQ76" s="793">
        <f>IF(WWWW[[#This Row],[Location Type 1]]="Village",WWWW[[#This Row],[Access to safe drinking water for Village]],WWWW[[#This Row],[Access to safe drinking water for Camp]])</f>
        <v>1</v>
      </c>
      <c r="CR76" s="791">
        <f>WWWW[[#This Row],[%Equitable and continuous access to sufficient quantity of safe drinking water]]*WWWW[[#This Row],[Total PoP ]]</f>
        <v>1599</v>
      </c>
      <c r="CS76" s="793">
        <f>IF((WWWW[[#This Row],['#_Constructed/Existing protected/fenced ponds]]*250)/WWWW[[#This Row],[Total PoP ]]&gt;1,1,(WWWW[[#This Row],['#_Constructed/Existing protected/fenced ponds]]*250)/WWWW[[#This Row],[Total PoP ]])</f>
        <v>0</v>
      </c>
      <c r="CT76" s="791">
        <f>WWWW[[#This Row],[% Access to unimproved water points]]*WWWW[[#This Row],[Total PoP ]]</f>
        <v>0</v>
      </c>
      <c r="CU76"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6"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1599</v>
      </c>
      <c r="CW76" s="791">
        <f>WWWW[[#This Row],[HRP1]]/500</f>
        <v>3.198</v>
      </c>
      <c r="CX76" s="796">
        <f>1-WWWW[[#This Row],[% Equitable and continuous access to sufficient quantity of domestic water]]</f>
        <v>0</v>
      </c>
      <c r="CY76" s="791">
        <f>WWWW[[#This Row],[%equitable and continuous access to sufficient quantity of safe drinking and domestic water''s GAP]]*WWWW[[#This Row],[Total PoP ]]</f>
        <v>0</v>
      </c>
      <c r="CZ76" s="794">
        <f>IF(WWWW[[#This Row],[Total required water points]]-WWWW[[#This Row],['#Water points coverage]]&lt;0,0,WWWW[[#This Row],[Total required water points]]-WWWW[[#This Row],['#Water points coverage]])</f>
        <v>0</v>
      </c>
      <c r="DA76" s="794">
        <f>ROUND(IF(WWWW[[#This Row],[Total PoP ]]&lt;500,1,WWWW[[#This Row],[Total PoP ]]/500),0)</f>
        <v>3</v>
      </c>
      <c r="DB76" s="794">
        <f>(WWWW[[#This Row],['#_Constructed latrines_by_WASHAgencies]]+WWWW[[#This Row],['#_Non Cluster partner latrines]])-WWWW[[#This Row],['#_Non-functional latrines]]</f>
        <v>110</v>
      </c>
      <c r="DC76" s="631">
        <f>WWWW[[#This Row],[HRP2]]/WWWW[[#This Row],[Total PoP ]]</f>
        <v>1</v>
      </c>
      <c r="DD76"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1599</v>
      </c>
      <c r="DE76"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6"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200</v>
      </c>
      <c r="DG76" s="424">
        <f>IF(WWWW[[#This Row],['# of functional latrines in THF supported by WASH partners during the reporting period2]]="",0,WWWW[[#This Row],['# of functional latrines in THF supported by WASH partners during the reporting period2]]*50)</f>
        <v>0</v>
      </c>
      <c r="DH76" s="794">
        <f>ROUND(IF(WWWW[[#This Row],[Location Type 1]]="camp",WWWW[[#This Row],[Total PoP ]]/20,IF(WWWW[[#This Row],[Location Type 1]]="Temporary Location",WWWW[[#This Row],[Total PoP ]]/50,(WWWW[[#This Row],[Total PoP ]]/6))),0)</f>
        <v>80</v>
      </c>
      <c r="DI76" s="794">
        <f>IF(WWWW[[#This Row],[Total required Latrines]]-(WWWW[[#This Row],['#_Constructed latrines_by_WASHAgencies]]+WWWW[[#This Row],['#_Non Cluster partner latrines]])&lt;0,0,WWWW[[#This Row],[Total required Latrines]]-(WWWW[[#This Row],['#_Constructed latrines_by_WASHAgencies]]+WWWW[[#This Row],['#_Non Cluster partner latrines]]))</f>
        <v>0</v>
      </c>
      <c r="DJ76" s="796">
        <f>1-WWWW[[#This Row],[% people access to functioning Latrine]]</f>
        <v>0</v>
      </c>
      <c r="DK76" s="795">
        <f>IF(OR(WWWW[[#This Row],['#_Non-functional latrines]]="",WWWW[[#This Row],['#_Non-functional latrines]]=0),0,WWWW[[#This Row],['#_Non-functional latrines]]/(WWWW[[#This Row],['#_Constructed latrines_by_WASHAgencies]]+WWWW[[#This Row],['#_Non Cluster partner latrines]]))</f>
        <v>0</v>
      </c>
      <c r="DL76" s="791">
        <f>IF(500*(WWWW[[#This Row],['#_male hygiene promoters]]+WWWW[[#This Row],['#_female hygiene promoters]])&gt;WWWW[[#This Row],[Total PoP ]],WWWW[[#This Row],[Total PoP ]],500*(WWWW[[#This Row],['#_male hygiene promoters]]+WWWW[[#This Row],['#_female hygiene promoters]]))</f>
        <v>1599</v>
      </c>
      <c r="DM76"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76"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76" s="794">
        <f>IF(WWWW[[#This Row],['# People with access to soap]]&gt;WWWW[[#This Row],['# People with access to Sanity Pads]],WWWW[[#This Row],['# People with access to soap]],WWWW[[#This Row],['# People with access to Sanity Pads]])</f>
        <v>205</v>
      </c>
      <c r="DP76" s="794">
        <f>IF(WWWW[[#This Row],['# people reached by regular dedicated hygiene promotion_5]]&gt;WWWW[[#This Row],['# People received regular supply of hygiene items_6]],WWWW[[#This Row],['# people reached by regular dedicated hygiene promotion_5]],WWWW[[#This Row],['# People received regular supply of hygiene items_6]])</f>
        <v>1599</v>
      </c>
      <c r="DQ76" s="796">
        <f>IF(WWWW[[#This Row],[HRP3]]/WWWW[[#This Row],[Total PoP ]]&gt;1,1,WWWW[[#This Row],[HRP3]]/WWWW[[#This Row],[Total PoP ]])</f>
        <v>1</v>
      </c>
      <c r="DR76" s="795">
        <f>1-WWWW[[#This Row],[Hygiene Coverage%]]</f>
        <v>0</v>
      </c>
      <c r="DS76" s="793">
        <f>WWWW[[#This Row],['# people reached by regular dedicated hygiene promotion_5]]/WWWW[[#This Row],[Total PoP ]]</f>
        <v>1</v>
      </c>
      <c r="DT76"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0.45054945054945056</v>
      </c>
      <c r="DU76"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0.23351648351648352</v>
      </c>
      <c r="DV76" s="794">
        <f>WWWW[[#This Row],['#_Constructed/Existing hand washing stations]]-WWWW[[#This Row],['#_Non-Functional_hand_washing_stations]]</f>
        <v>1</v>
      </c>
      <c r="DW76" s="791">
        <f>IF(WWWW[[#This Row],['# Functional hand washing stations during reporting period]]*20&gt;WWWW[[#This Row],[Total HH]],WWWW[[#This Row],[Total HH]],WWWW[[#This Row],['# Functional hand washing stations during reporting period]]*20)</f>
        <v>20</v>
      </c>
      <c r="DX76" s="791">
        <f>IF(WWWW[[#This Row],[Is sufficient soap available for TLS? (Yes/No)]]="yes",WWWW[[#This Row],['#_Constructed/Existing hand washing stations at TLS/CFS/THF]],0)</f>
        <v>0</v>
      </c>
      <c r="DY76" s="428">
        <f>IF(WWWW[[#This Row],['# Functional hand washing stations during reporting period]]*100&gt;WWWW[[#This Row],[Total PoP ]],WWWW[[#This Row],[Total PoP ]],WWWW[[#This Row],['# Functional hand washing stations during reporting period]]*100)</f>
        <v>100</v>
      </c>
      <c r="DZ76" s="428" t="str">
        <f>IF(OR(WWWW[[#This Row],['#_students at TLS_CFS]]="",WWWW[[#This Row],['#_students at TLS_CFS]]=0),"No","Yes")</f>
        <v>Yes</v>
      </c>
      <c r="EA76" s="631">
        <f>IF(WWWW[[#This Row],['#_of_affected_people_surveyed_who_report_feeling_informed_about_the_different_WASH_services_available_to_them]]="","",WWWW[[#This Row],['#_of_affected_people_surveyed_who_report_feeling_informed_about_the_different_WASH_services_available_to_them]]/WWWW[[#This Row],[Total PoP ]])</f>
        <v>0.88000000000000012</v>
      </c>
      <c r="EB7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17</v>
      </c>
      <c r="EC7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200</v>
      </c>
      <c r="ED7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6" s="787" t="str">
        <f>VLOOKUP(WWWW[[#This Row],[Site Name]],SiteDB6[[Site Name]:[CCCM Management]],6,FALSE)</f>
        <v>Yes</v>
      </c>
      <c r="EF76" s="787" t="str">
        <f>VLOOKUP(WWWW[[#This Row],[Site Name]],SiteDB6[[Site Name]:[CCCM Focal Agency]],7,FALSE)</f>
        <v>KBC-BMO</v>
      </c>
      <c r="EG76" s="787" t="str">
        <f>VLOOKUP(WWWW[[#This Row],[Site Name]],SiteDB6[[Site Name]:[Location Type 1]],9,FALSE)</f>
        <v>Camp</v>
      </c>
      <c r="EH76" s="787" t="str">
        <f>VLOOKUP(WWWW[[#This Row],[Site Name]],SiteDB6[[Site Name]:[Type of Accommodation]],10,FALSE)</f>
        <v>Camp</v>
      </c>
      <c r="EI76" s="787" t="str">
        <f>VLOOKUP(WWWW[[#This Row],[Site Name]],SiteDB6[[Site Name]:[Ethnic or GCA/NGCA]],11,FALSE)</f>
        <v>GCA</v>
      </c>
      <c r="EJ76" s="787">
        <f>VLOOKUP(WWWW[[#This Row],[Site Name]],SiteDB6[[Site Name]:[Lat]],12,FALSE)</f>
        <v>23.972453000000002</v>
      </c>
      <c r="EK76" s="787">
        <f>VLOOKUP(WWWW[[#This Row],[Site Name]],SiteDB6[[Site Name]:[Long]],13,FALSE)</f>
        <v>97.225881000000001</v>
      </c>
      <c r="EL76" s="787" t="str">
        <f>VLOOKUP(WWWW[[#This Row],[Site Name]],SiteDB6[[Site Name]:[Pcode]],3,FALSE)</f>
        <v>MMR001CMP218</v>
      </c>
      <c r="EM76" s="792" t="str">
        <f t="shared" si="1"/>
        <v>Covered</v>
      </c>
      <c r="EN76" s="792"/>
      <c r="EO76" s="787">
        <f>VLOOKUP(WWWW[[#This Row],[Site Name]],SiteDB6[[Site Name]:[Pop
(Kachin/Shan-CCCM as of July 2021)]],16,FALSE)</f>
        <v>363</v>
      </c>
      <c r="EP76" s="787">
        <f>VLOOKUP(WWWW[[#This Row],[Site Name]],SiteDB6[[Site Name]:[Pop
(Kachin/Shan-CCCM as of July 2021)]],17,FALSE)</f>
        <v>1757</v>
      </c>
    </row>
    <row r="77" spans="1:146" hidden="1">
      <c r="A77" s="725" t="s">
        <v>2763</v>
      </c>
      <c r="B77" s="707" t="s">
        <v>309</v>
      </c>
      <c r="C77" s="707" t="s">
        <v>309</v>
      </c>
      <c r="D77" s="726"/>
      <c r="E77" s="726" t="s">
        <v>37</v>
      </c>
      <c r="F77" s="726" t="s">
        <v>38</v>
      </c>
      <c r="G77" s="591" t="str">
        <f>VLOOKUP(WWWW[[#This Row],[Site Name]],SiteDB6[[Site Name]:[Location Type]],8,FALSE)</f>
        <v>Camp</v>
      </c>
      <c r="H77" s="726" t="s">
        <v>39</v>
      </c>
      <c r="I77" s="728">
        <v>154</v>
      </c>
      <c r="J77" s="728">
        <v>694</v>
      </c>
      <c r="K77" s="729"/>
      <c r="L77" s="730"/>
      <c r="M77" s="728"/>
      <c r="N77" s="728">
        <v>2</v>
      </c>
      <c r="O77" s="728"/>
      <c r="P77" s="728"/>
      <c r="Q77" s="731" t="s">
        <v>41</v>
      </c>
      <c r="R77" s="728">
        <v>7</v>
      </c>
      <c r="S77" s="728">
        <v>7</v>
      </c>
      <c r="T77" s="448">
        <v>1</v>
      </c>
      <c r="U77" s="728">
        <v>1</v>
      </c>
      <c r="V77" s="728"/>
      <c r="W77" s="728"/>
      <c r="X77" s="728">
        <v>2</v>
      </c>
      <c r="Y77" s="728"/>
      <c r="Z77" s="728">
        <v>1</v>
      </c>
      <c r="AA77" s="728"/>
      <c r="AB77" s="728"/>
      <c r="AC77" s="728"/>
      <c r="AD77" s="728"/>
      <c r="AE77" s="728">
        <v>1</v>
      </c>
      <c r="AF77" s="728"/>
      <c r="AG77" s="448">
        <v>2</v>
      </c>
      <c r="AH77" s="448">
        <v>8</v>
      </c>
      <c r="AI77" s="448"/>
      <c r="AJ77" s="448"/>
      <c r="AK77" s="448"/>
      <c r="AL77" s="448"/>
      <c r="AM77" s="728"/>
      <c r="AN77" s="728"/>
      <c r="AO77" s="728"/>
      <c r="AP77" s="732"/>
      <c r="AQ77" s="728">
        <v>61</v>
      </c>
      <c r="AR77" s="728"/>
      <c r="AS77" s="733"/>
      <c r="AT77" s="448">
        <v>6</v>
      </c>
      <c r="AU77" s="448">
        <v>0</v>
      </c>
      <c r="AV77" s="448">
        <v>11</v>
      </c>
      <c r="AW77" s="448">
        <v>732</v>
      </c>
      <c r="AX77" s="728"/>
      <c r="AY77" s="727" t="s">
        <v>41</v>
      </c>
      <c r="AZ77" s="732" t="s">
        <v>137</v>
      </c>
      <c r="BA77" s="728"/>
      <c r="BB77" s="728">
        <v>2</v>
      </c>
      <c r="BC77" s="728"/>
      <c r="BD77" s="448"/>
      <c r="BE77" s="448">
        <v>7</v>
      </c>
      <c r="BF77" s="727"/>
      <c r="BG77" s="448">
        <v>4</v>
      </c>
      <c r="BH77" s="448"/>
      <c r="BI77" s="448">
        <v>0</v>
      </c>
      <c r="BJ77" s="448">
        <v>3</v>
      </c>
      <c r="BK77" s="448">
        <v>0</v>
      </c>
      <c r="BL77" s="728"/>
      <c r="BM77" s="728">
        <v>2</v>
      </c>
      <c r="BN77" s="728">
        <v>41</v>
      </c>
      <c r="BO77" s="728">
        <v>85</v>
      </c>
      <c r="BP77" s="727"/>
      <c r="BQ77" s="734"/>
      <c r="BR77" s="423">
        <v>0.4</v>
      </c>
      <c r="BS77" s="727"/>
      <c r="BT77" s="423"/>
      <c r="BU77" s="423"/>
      <c r="BV77" s="425"/>
      <c r="BW77" s="423"/>
      <c r="BX77" s="448"/>
      <c r="BY77" s="448"/>
      <c r="BZ77" s="448"/>
      <c r="CA77" s="448"/>
      <c r="CB77" s="448"/>
      <c r="CC77" s="777"/>
      <c r="CD77" s="448"/>
      <c r="CE77" s="735" t="str">
        <f>IFERROR(WWWW[[#This Row],['#_Water sources passed]]/WWWW[[#This Row],['#_Water sources tested for fecal coliform ]],"no test")</f>
        <v>no test</v>
      </c>
      <c r="CF77" s="733" t="str">
        <f>IFERROR(WWWW[[#This Row],['#_Household passed]]/WWWW[[#This Row],['#_Household water samples tested for fecal coliform]],"no test")</f>
        <v>no test</v>
      </c>
      <c r="CG77" s="734" t="str">
        <f>IF(AND(WWWW[[#This Row],[% of water sources passed]]="no test",WWWW[[#This Row],[% Household passed]]="no test"),"No Test","Tested")</f>
        <v>No Test</v>
      </c>
      <c r="CH77" s="734">
        <f>WWWW[[#This Row],['#_Constructed/existing protected hand dug well]]-WWWW[[#This Row],['#_Non-functional protected hand dug well]]</f>
        <v>0</v>
      </c>
      <c r="CI77" s="734">
        <f>(WWWW[[#This Row],['#_Constructed/Existing tube wells/boreholes/handpumps_WASH_agency]]+WWWW[[#This Row],['#_Non-Cluster partner water tube-wells/boreholes/handpumps]])-WWWW[[#This Row],['#_Non-functional tube wells/boreholes/handpumps]]</f>
        <v>2</v>
      </c>
      <c r="CJ77" s="734">
        <f>WWWW[[#This Row],['#_Constructed/Existingwater storage tank with gravity fed reticulation system]]-WWWW[[#This Row],['#_Non-functional storage tank gravity fed reticulation system]]</f>
        <v>0</v>
      </c>
      <c r="CK77" s="734">
        <f>(WWWW[[#This Row],['#_Water_Liters_supplied_by_Water boating or water trucking]]/90)/15</f>
        <v>0</v>
      </c>
      <c r="CL77" s="734">
        <f>WWWW[[#This Row],['#_Water_Liters_from_Constructed/Existing water distribution system from river or natural spring]]/90/15</f>
        <v>0</v>
      </c>
      <c r="CM77" s="424">
        <f>IF(WWWW[[#This Row],['#_of water points in TLS/CFS]]*500&gt;WWWW[[#This Row],[Total PoP ]],WWWW[[#This Row],[Total PoP ]],WWWW[[#This Row],['#_of water points in TLS/CFS]]*500)</f>
        <v>0</v>
      </c>
      <c r="CN77" s="424">
        <f>IF(WWWW[[#This Row],['#_of water points in THF]]*500&gt;WWWW[[#This Row],[Total PoP ]],WWWW[[#This Row],[Total PoP ]],WWWW[[#This Row],['#_of water points in THF]]*500)</f>
        <v>0</v>
      </c>
      <c r="CO7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0.72046109510086453</v>
      </c>
      <c r="CQ77" s="733">
        <f>IF(WWWW[[#This Row],[Location Type 1]]="Village",WWWW[[#This Row],[Access to safe drinking water for Village]],WWWW[[#This Row],[Access to safe drinking water for Camp]])</f>
        <v>1</v>
      </c>
      <c r="CR77" s="731">
        <f>WWWW[[#This Row],[%Equitable and continuous access to sufficient quantity of safe drinking water]]*WWWW[[#This Row],[Total PoP ]]</f>
        <v>694</v>
      </c>
      <c r="CS77" s="733">
        <f>IF((WWWW[[#This Row],['#_Constructed/Existing protected/fenced ponds]]*250)/WWWW[[#This Row],[Total PoP ]]&gt;1,1,(WWWW[[#This Row],['#_Constructed/Existing protected/fenced ponds]]*250)/WWWW[[#This Row],[Total PoP ]])</f>
        <v>0.36023054755043227</v>
      </c>
      <c r="CT77" s="731">
        <f>WWWW[[#This Row],[% Access to unimproved water points]]*WWWW[[#This Row],[Total PoP ]]</f>
        <v>250</v>
      </c>
      <c r="CU7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W77" s="731">
        <f>WWWW[[#This Row],[HRP1]]/500</f>
        <v>1.3879999999999999</v>
      </c>
      <c r="CX77" s="736">
        <f>1-WWWW[[#This Row],[% Equitable and continuous access to sufficient quantity of domestic water]]</f>
        <v>0</v>
      </c>
      <c r="CY77" s="731">
        <f>WWWW[[#This Row],[%equitable and continuous access to sufficient quantity of safe drinking and domestic water''s GAP]]*WWWW[[#This Row],[Total PoP ]]</f>
        <v>0</v>
      </c>
      <c r="CZ77" s="734">
        <f>IF(WWWW[[#This Row],[Total required water points]]-WWWW[[#This Row],['#Water points coverage]]&lt;0,0,WWWW[[#This Row],[Total required water points]]-WWWW[[#This Row],['#Water points coverage]])</f>
        <v>0</v>
      </c>
      <c r="DA77" s="734">
        <f>ROUND(IF(WWWW[[#This Row],[Total PoP ]]&lt;500,1,WWWW[[#This Row],[Total PoP ]]/500),0)</f>
        <v>1</v>
      </c>
      <c r="DB77" s="734">
        <f>(WWWW[[#This Row],['#_Constructed latrines_by_WASHAgencies]]+WWWW[[#This Row],['#_Non Cluster partner latrines]])-WWWW[[#This Row],['#_Non-functional latrines]]</f>
        <v>55</v>
      </c>
      <c r="DC77" s="631">
        <f>WWWW[[#This Row],[HRP2]]/WWWW[[#This Row],[Total PoP ]]</f>
        <v>1</v>
      </c>
      <c r="DD7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694</v>
      </c>
      <c r="DE7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220</v>
      </c>
      <c r="DF7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7" s="424">
        <f>IF(WWWW[[#This Row],['# of functional latrines in THF supported by WASH partners during the reporting period2]]="",0,WWWW[[#This Row],['# of functional latrines in THF supported by WASH partners during the reporting period2]]*50)</f>
        <v>0</v>
      </c>
      <c r="DH77" s="734">
        <f>ROUND(IF(WWWW[[#This Row],[Location Type 1]]="camp",WWWW[[#This Row],[Total PoP ]]/20,IF(WWWW[[#This Row],[Location Type 1]]="Temporary Location",WWWW[[#This Row],[Total PoP ]]/50,(WWWW[[#This Row],[Total PoP ]]/6))),0)</f>
        <v>35</v>
      </c>
      <c r="DI77" s="734">
        <f>IF(WWWW[[#This Row],[Total required Latrines]]-(WWWW[[#This Row],['#_Constructed latrines_by_WASHAgencies]]+WWWW[[#This Row],['#_Non Cluster partner latrines]])&lt;0,0,WWWW[[#This Row],[Total required Latrines]]-(WWWW[[#This Row],['#_Constructed latrines_by_WASHAgencies]]+WWWW[[#This Row],['#_Non Cluster partner latrines]]))</f>
        <v>0</v>
      </c>
      <c r="DJ77" s="736">
        <f>1-WWWW[[#This Row],[% people access to functioning Latrine]]</f>
        <v>0</v>
      </c>
      <c r="DK77" s="735">
        <f>IF(OR(WWWW[[#This Row],['#_Non-functional latrines]]="",WWWW[[#This Row],['#_Non-functional latrines]]=0),0,WWWW[[#This Row],['#_Non-functional latrines]]/(WWWW[[#This Row],['#_Constructed latrines_by_WASHAgencies]]+WWWW[[#This Row],['#_Non Cluster partner latrines]]))</f>
        <v>9.8360655737704916E-2</v>
      </c>
      <c r="DL77" s="731">
        <f>IF(500*(WWWW[[#This Row],['#_male hygiene promoters]]+WWWW[[#This Row],['#_female hygiene promoters]])&gt;WWWW[[#This Row],[Total PoP ]],WWWW[[#This Row],[Total PoP ]],500*(WWWW[[#This Row],['#_male hygiene promoters]]+WWWW[[#This Row],['#_female hygiene promoters]]))</f>
        <v>694</v>
      </c>
      <c r="DM7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7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77" s="734">
        <f>IF(WWWW[[#This Row],['# People with access to soap]]&gt;WWWW[[#This Row],['# People with access to Sanity Pads]],WWWW[[#This Row],['# People with access to soap]],WWWW[[#This Row],['# People with access to Sanity Pads]])</f>
        <v>205</v>
      </c>
      <c r="DP77" s="734">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Q77" s="736">
        <f>IF(WWWW[[#This Row],[HRP3]]/WWWW[[#This Row],[Total PoP ]]&gt;1,1,WWWW[[#This Row],[HRP3]]/WWWW[[#This Row],[Total PoP ]])</f>
        <v>1</v>
      </c>
      <c r="DR77" s="735">
        <f>1-WWWW[[#This Row],[Hygiene Coverage%]]</f>
        <v>0</v>
      </c>
      <c r="DS77" s="733">
        <f>WWWW[[#This Row],['# people reached by regular dedicated hygiene promotion_5]]/WWWW[[#This Row],[Total PoP ]]</f>
        <v>1</v>
      </c>
      <c r="DT7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0.55194805194805197</v>
      </c>
      <c r="DV77" s="734">
        <f>WWWW[[#This Row],['#_Constructed/Existing hand washing stations]]-WWWW[[#This Row],['#_Non-Functional_hand_washing_stations]]</f>
        <v>4</v>
      </c>
      <c r="DW77" s="731">
        <f>IF(WWWW[[#This Row],['# Functional hand washing stations during reporting period]]*20&gt;WWWW[[#This Row],[Total HH]],WWWW[[#This Row],[Total HH]],WWWW[[#This Row],['# Functional hand washing stations during reporting period]]*20)</f>
        <v>80</v>
      </c>
      <c r="DX77" s="731">
        <f>IF(WWWW[[#This Row],[Is sufficient soap available for TLS? (Yes/No)]]="yes",WWWW[[#This Row],['#_Constructed/Existing hand washing stations at TLS/CFS/THF]],0)</f>
        <v>0</v>
      </c>
      <c r="DY77" s="428">
        <f>IF(WWWW[[#This Row],['# Functional hand washing stations during reporting period]]*100&gt;WWWW[[#This Row],[Total PoP ]],WWWW[[#This Row],[Total PoP ]],WWWW[[#This Row],['# Functional hand washing stations during reporting period]]*100)</f>
        <v>400</v>
      </c>
      <c r="DZ77" s="428" t="str">
        <f>IF(OR(WWWW[[#This Row],['#_students at TLS_CFS]]="",WWWW[[#This Row],['#_students at TLS_CFS]]=0),"No","Yes")</f>
        <v>No</v>
      </c>
      <c r="EA7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7" s="727" t="str">
        <f>VLOOKUP(WWWW[[#This Row],[Site Name]],SiteDB6[[Site Name]:[CCCM Management]],6,FALSE)</f>
        <v>Yes</v>
      </c>
      <c r="EF77" s="727" t="str">
        <f>VLOOKUP(WWWW[[#This Row],[Site Name]],SiteDB6[[Site Name]:[CCCM Focal Agency]],7,FALSE)</f>
        <v>KMSS-BMO</v>
      </c>
      <c r="EG77" s="727" t="str">
        <f>VLOOKUP(WWWW[[#This Row],[Site Name]],SiteDB6[[Site Name]:[Location Type 1]],9,FALSE)</f>
        <v>Camp</v>
      </c>
      <c r="EH77" s="727" t="str">
        <f>VLOOKUP(WWWW[[#This Row],[Site Name]],SiteDB6[[Site Name]:[Type of Accommodation]],10,FALSE)</f>
        <v>Camp</v>
      </c>
      <c r="EI77" s="727" t="str">
        <f>VLOOKUP(WWWW[[#This Row],[Site Name]],SiteDB6[[Site Name]:[Ethnic or GCA/NGCA]],11,FALSE)</f>
        <v>GCA</v>
      </c>
      <c r="EJ77" s="727">
        <f>VLOOKUP(WWWW[[#This Row],[Site Name]],SiteDB6[[Site Name]:[Lat]],12,FALSE)</f>
        <v>23.976571</v>
      </c>
      <c r="EK77" s="727">
        <f>VLOOKUP(WWWW[[#This Row],[Site Name]],SiteDB6[[Site Name]:[Long]],13,FALSE)</f>
        <v>97.227057000000002</v>
      </c>
      <c r="EL77" s="727" t="str">
        <f>VLOOKUP(WWWW[[#This Row],[Site Name]],SiteDB6[[Site Name]:[Pcode]],3,FALSE)</f>
        <v>MMR001CMP223</v>
      </c>
      <c r="EM77" s="732" t="str">
        <f t="shared" si="1"/>
        <v>Notcovered</v>
      </c>
      <c r="EN77" s="732"/>
      <c r="EO77" s="727">
        <f>VLOOKUP(WWWW[[#This Row],[Site Name]],SiteDB6[[Site Name]:[Pop
(Kachin/Shan-CCCM as of July 2021)]],16,FALSE)</f>
        <v>151</v>
      </c>
      <c r="EP77" s="727">
        <f>VLOOKUP(WWWW[[#This Row],[Site Name]],SiteDB6[[Site Name]:[Pop
(Kachin/Shan-CCCM as of July 2021)]],17,FALSE)</f>
        <v>732</v>
      </c>
    </row>
    <row r="78" spans="1:146" hidden="1">
      <c r="A78" s="725" t="s">
        <v>2763</v>
      </c>
      <c r="B78" s="725" t="s">
        <v>141</v>
      </c>
      <c r="C78" s="726" t="s">
        <v>141</v>
      </c>
      <c r="D78" s="726" t="s">
        <v>241</v>
      </c>
      <c r="E78" s="726" t="s">
        <v>37</v>
      </c>
      <c r="F78" s="726" t="s">
        <v>159</v>
      </c>
      <c r="G78" s="591" t="str">
        <f>VLOOKUP(WWWW[[#This Row],[Site Name]],SiteDB6[[Site Name]:[Location Type]],8,FALSE)</f>
        <v>Camp</v>
      </c>
      <c r="H78" s="726" t="s">
        <v>165</v>
      </c>
      <c r="I78" s="728">
        <v>61</v>
      </c>
      <c r="J78" s="728">
        <v>290</v>
      </c>
      <c r="K78" s="729">
        <v>44105</v>
      </c>
      <c r="L78" s="589">
        <v>44681</v>
      </c>
      <c r="M78" s="728"/>
      <c r="N78" s="728">
        <v>2</v>
      </c>
      <c r="O78" s="728"/>
      <c r="P78" s="728"/>
      <c r="Q78" s="731" t="s">
        <v>41</v>
      </c>
      <c r="R78" s="728"/>
      <c r="S78" s="728">
        <v>4</v>
      </c>
      <c r="T78" s="448">
        <v>1</v>
      </c>
      <c r="U78" s="728"/>
      <c r="V78" s="728"/>
      <c r="W78" s="728">
        <v>7</v>
      </c>
      <c r="X78" s="728"/>
      <c r="Y78" s="728"/>
      <c r="Z78" s="728"/>
      <c r="AA78" s="728"/>
      <c r="AB78" s="728"/>
      <c r="AC78" s="728"/>
      <c r="AD78" s="728"/>
      <c r="AE78" s="728"/>
      <c r="AF78" s="728"/>
      <c r="AG78" s="728"/>
      <c r="AH78" s="728">
        <v>2</v>
      </c>
      <c r="AI78" s="728"/>
      <c r="AJ78" s="728"/>
      <c r="AK78" s="728"/>
      <c r="AL78" s="728"/>
      <c r="AM78" s="728"/>
      <c r="AN78" s="728"/>
      <c r="AO78" s="728"/>
      <c r="AP78" s="732"/>
      <c r="AQ78" s="728">
        <v>7</v>
      </c>
      <c r="AR78" s="728"/>
      <c r="AS78" s="733"/>
      <c r="AT78" s="728"/>
      <c r="AU78" s="448">
        <v>9</v>
      </c>
      <c r="AV78" s="448">
        <v>74</v>
      </c>
      <c r="AW78" s="728"/>
      <c r="AX78" s="728">
        <v>7</v>
      </c>
      <c r="AY78" s="727" t="s">
        <v>41</v>
      </c>
      <c r="AZ78" s="732" t="s">
        <v>904</v>
      </c>
      <c r="BA78" s="728"/>
      <c r="BB78" s="728"/>
      <c r="BC78" s="728"/>
      <c r="BD78" s="448"/>
      <c r="BE78" s="448"/>
      <c r="BF78" s="727"/>
      <c r="BG78" s="728">
        <v>3</v>
      </c>
      <c r="BH78" s="728"/>
      <c r="BI78" s="728"/>
      <c r="BJ78" s="728">
        <v>2</v>
      </c>
      <c r="BK78" s="728"/>
      <c r="BL78" s="728"/>
      <c r="BM78" s="728">
        <v>2</v>
      </c>
      <c r="BN78" s="728">
        <v>88</v>
      </c>
      <c r="BO78" s="728">
        <v>100</v>
      </c>
      <c r="BP78" s="727"/>
      <c r="BQ78" s="734"/>
      <c r="BR78" s="733"/>
      <c r="BS78" s="727"/>
      <c r="BT78" s="423"/>
      <c r="BU78" s="423"/>
      <c r="BV78" s="425"/>
      <c r="BW78" s="423"/>
      <c r="BX78" s="448"/>
      <c r="BY78" s="448"/>
      <c r="BZ78" s="448"/>
      <c r="CA78" s="448"/>
      <c r="CB78" s="448"/>
      <c r="CC78" s="777"/>
      <c r="CD78" s="448"/>
      <c r="CE78" s="735" t="str">
        <f>IFERROR(WWWW[[#This Row],['#_Water sources passed]]/WWWW[[#This Row],['#_Water sources tested for fecal coliform ]],"no test")</f>
        <v>no test</v>
      </c>
      <c r="CF78" s="733" t="str">
        <f>IFERROR(WWWW[[#This Row],['#_Household passed]]/WWWW[[#This Row],['#_Household water samples tested for fecal coliform]],"no test")</f>
        <v>no test</v>
      </c>
      <c r="CG78" s="734" t="str">
        <f>IF(AND(WWWW[[#This Row],[% of water sources passed]]="no test",WWWW[[#This Row],[% Household passed]]="no test"),"No Test","Tested")</f>
        <v>No Test</v>
      </c>
      <c r="CH78" s="734">
        <f>WWWW[[#This Row],['#_Constructed/existing protected hand dug well]]-WWWW[[#This Row],['#_Non-functional protected hand dug well]]</f>
        <v>1</v>
      </c>
      <c r="CI78" s="734">
        <f>(WWWW[[#This Row],['#_Constructed/Existing tube wells/boreholes/handpumps_WASH_agency]]+WWWW[[#This Row],['#_Non-Cluster partner water tube-wells/boreholes/handpumps]])-WWWW[[#This Row],['#_Non-functional tube wells/boreholes/handpumps]]</f>
        <v>7</v>
      </c>
      <c r="CJ78" s="734">
        <f>WWWW[[#This Row],['#_Constructed/Existingwater storage tank with gravity fed reticulation system]]-WWWW[[#This Row],['#_Non-functional storage tank gravity fed reticulation system]]</f>
        <v>0</v>
      </c>
      <c r="CK78" s="734">
        <f>(WWWW[[#This Row],['#_Water_Liters_supplied_by_Water boating or water trucking]]/90)/15</f>
        <v>0</v>
      </c>
      <c r="CL78" s="734">
        <f>WWWW[[#This Row],['#_Water_Liters_from_Constructed/Existing water distribution system from river or natural spring]]/90/15</f>
        <v>0</v>
      </c>
      <c r="CM78" s="424">
        <f>IF(WWWW[[#This Row],['#_of water points in TLS/CFS]]*500&gt;WWWW[[#This Row],[Total PoP ]],WWWW[[#This Row],[Total PoP ]],WWWW[[#This Row],['#_of water points in TLS/CFS]]*500)</f>
        <v>0</v>
      </c>
      <c r="CN78" s="424">
        <f>IF(WWWW[[#This Row],['#_of water points in THF]]*500&gt;WWWW[[#This Row],[Total PoP ]],WWWW[[#This Row],[Total PoP ]],WWWW[[#This Row],['#_of water points in THF]]*500)</f>
        <v>0</v>
      </c>
      <c r="CO7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8" s="733">
        <f>IF(WWWW[[#This Row],[Location Type 1]]="Village",WWWW[[#This Row],[Access to safe drinking water for Village]],WWWW[[#This Row],[Access to safe drinking water for Camp]])</f>
        <v>1</v>
      </c>
      <c r="CR78" s="731">
        <f>WWWW[[#This Row],[%Equitable and continuous access to sufficient quantity of safe drinking water]]*WWWW[[#This Row],[Total PoP ]]</f>
        <v>290</v>
      </c>
      <c r="CS78" s="733">
        <f>IF((WWWW[[#This Row],['#_Constructed/Existing protected/fenced ponds]]*250)/WWWW[[#This Row],[Total PoP ]]&gt;1,1,(WWWW[[#This Row],['#_Constructed/Existing protected/fenced ponds]]*250)/WWWW[[#This Row],[Total PoP ]])</f>
        <v>0</v>
      </c>
      <c r="CT78" s="731">
        <f>WWWW[[#This Row],[% Access to unimproved water points]]*WWWW[[#This Row],[Total PoP ]]</f>
        <v>0</v>
      </c>
      <c r="CU7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290</v>
      </c>
      <c r="CW78" s="731">
        <f>WWWW[[#This Row],[HRP1]]/500</f>
        <v>0.57999999999999996</v>
      </c>
      <c r="CX78" s="736">
        <f>1-WWWW[[#This Row],[% Equitable and continuous access to sufficient quantity of domestic water]]</f>
        <v>0</v>
      </c>
      <c r="CY78" s="731">
        <f>WWWW[[#This Row],[%equitable and continuous access to sufficient quantity of safe drinking and domestic water''s GAP]]*WWWW[[#This Row],[Total PoP ]]</f>
        <v>0</v>
      </c>
      <c r="CZ78" s="734">
        <f>IF(WWWW[[#This Row],[Total required water points]]-WWWW[[#This Row],['#Water points coverage]]&lt;0,0,WWWW[[#This Row],[Total required water points]]-WWWW[[#This Row],['#Water points coverage]])</f>
        <v>0.42000000000000004</v>
      </c>
      <c r="DA78" s="734">
        <f>ROUND(IF(WWWW[[#This Row],[Total PoP ]]&lt;500,1,WWWW[[#This Row],[Total PoP ]]/500),0)</f>
        <v>1</v>
      </c>
      <c r="DB78" s="734">
        <f>(WWWW[[#This Row],['#_Constructed latrines_by_WASHAgencies]]+WWWW[[#This Row],['#_Non Cluster partner latrines]])-WWWW[[#This Row],['#_Non-functional latrines]]</f>
        <v>7</v>
      </c>
      <c r="DC78" s="631">
        <f>WWWW[[#This Row],[HRP2]]/WWWW[[#This Row],[Total PoP ]]</f>
        <v>0.48275862068965519</v>
      </c>
      <c r="DD7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7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290</v>
      </c>
      <c r="DF7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8" s="424">
        <f>IF(WWWW[[#This Row],['# of functional latrines in THF supported by WASH partners during the reporting period2]]="",0,WWWW[[#This Row],['# of functional latrines in THF supported by WASH partners during the reporting period2]]*50)</f>
        <v>0</v>
      </c>
      <c r="DH78" s="734">
        <f>ROUND(IF(WWWW[[#This Row],[Location Type 1]]="camp",WWWW[[#This Row],[Total PoP ]]/20,IF(WWWW[[#This Row],[Location Type 1]]="Temporary Location",WWWW[[#This Row],[Total PoP ]]/50,(WWWW[[#This Row],[Total PoP ]]/6))),0)</f>
        <v>15</v>
      </c>
      <c r="DI78" s="734">
        <f>IF(WWWW[[#This Row],[Total required Latrines]]-(WWWW[[#This Row],['#_Constructed latrines_by_WASHAgencies]]+WWWW[[#This Row],['#_Non Cluster partner latrines]])&lt;0,0,WWWW[[#This Row],[Total required Latrines]]-(WWWW[[#This Row],['#_Constructed latrines_by_WASHAgencies]]+WWWW[[#This Row],['#_Non Cluster partner latrines]]))</f>
        <v>8</v>
      </c>
      <c r="DJ78" s="736">
        <f>1-WWWW[[#This Row],[% people access to functioning Latrine]]</f>
        <v>0.51724137931034475</v>
      </c>
      <c r="DK78" s="735">
        <f>IF(OR(WWWW[[#This Row],['#_Non-functional latrines]]="",WWWW[[#This Row],['#_Non-functional latrines]]=0),0,WWWW[[#This Row],['#_Non-functional latrines]]/(WWWW[[#This Row],['#_Constructed latrines_by_WASHAgencies]]+WWWW[[#This Row],['#_Non Cluster partner latrines]]))</f>
        <v>0</v>
      </c>
      <c r="DL78" s="731">
        <f>IF(500*(WWWW[[#This Row],['#_male hygiene promoters]]+WWWW[[#This Row],['#_female hygiene promoters]])&gt;WWWW[[#This Row],[Total PoP ]],WWWW[[#This Row],[Total PoP ]],500*(WWWW[[#This Row],['#_male hygiene promoters]]+WWWW[[#This Row],['#_female hygiene promoters]]))</f>
        <v>290</v>
      </c>
      <c r="DM7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290</v>
      </c>
      <c r="DN7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78" s="734">
        <f>IF(WWWW[[#This Row],['# People with access to soap]]&gt;WWWW[[#This Row],['# People with access to Sanity Pads]],WWWW[[#This Row],['# People with access to soap]],WWWW[[#This Row],['# People with access to Sanity Pads]])</f>
        <v>290</v>
      </c>
      <c r="DP78" s="734">
        <f>IF(WWWW[[#This Row],['# people reached by regular dedicated hygiene promotion_5]]&gt;WWWW[[#This Row],['# People received regular supply of hygiene items_6]],WWWW[[#This Row],['# people reached by regular dedicated hygiene promotion_5]],WWWW[[#This Row],['# People received regular supply of hygiene items_6]])</f>
        <v>290</v>
      </c>
      <c r="DQ78" s="736">
        <f>IF(WWWW[[#This Row],[HRP3]]/WWWW[[#This Row],[Total PoP ]]&gt;1,1,WWWW[[#This Row],[HRP3]]/WWWW[[#This Row],[Total PoP ]])</f>
        <v>1</v>
      </c>
      <c r="DR78" s="735">
        <f>1-WWWW[[#This Row],[Hygiene Coverage%]]</f>
        <v>0</v>
      </c>
      <c r="DS78" s="733">
        <f>WWWW[[#This Row],['# people reached by regular dedicated hygiene promotion_5]]/WWWW[[#This Row],[Total PoP ]]</f>
        <v>1</v>
      </c>
      <c r="DT7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78" s="734">
        <f>WWWW[[#This Row],['#_Constructed/Existing hand washing stations]]-WWWW[[#This Row],['#_Non-Functional_hand_washing_stations]]</f>
        <v>3</v>
      </c>
      <c r="DW78" s="731">
        <f>IF(WWWW[[#This Row],['# Functional hand washing stations during reporting period]]*20&gt;WWWW[[#This Row],[Total HH]],WWWW[[#This Row],[Total HH]],WWWW[[#This Row],['# Functional hand washing stations during reporting period]]*20)</f>
        <v>60</v>
      </c>
      <c r="DX78" s="731">
        <f>IF(WWWW[[#This Row],[Is sufficient soap available for TLS? (Yes/No)]]="yes",WWWW[[#This Row],['#_Constructed/Existing hand washing stations at TLS/CFS/THF]],0)</f>
        <v>0</v>
      </c>
      <c r="DY78" s="428">
        <f>IF(WWWW[[#This Row],['# Functional hand washing stations during reporting period]]*100&gt;WWWW[[#This Row],[Total PoP ]],WWWW[[#This Row],[Total PoP ]],WWWW[[#This Row],['# Functional hand washing stations during reporting period]]*100)</f>
        <v>290</v>
      </c>
      <c r="DZ78" s="428" t="str">
        <f>IF(OR(WWWW[[#This Row],['#_students at TLS_CFS]]="",WWWW[[#This Row],['#_students at TLS_CFS]]=0),"No","Yes")</f>
        <v>No</v>
      </c>
      <c r="EA7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8" s="727" t="str">
        <f>VLOOKUP(WWWW[[#This Row],[Site Name]],SiteDB6[[Site Name]:[CCCM Management]],6,FALSE)</f>
        <v>Yes</v>
      </c>
      <c r="EF78" s="727" t="str">
        <f>VLOOKUP(WWWW[[#This Row],[Site Name]],SiteDB6[[Site Name]:[CCCM Focal Agency]],7,FALSE)</f>
        <v>KBC-MYT</v>
      </c>
      <c r="EG78" s="727" t="str">
        <f>VLOOKUP(WWWW[[#This Row],[Site Name]],SiteDB6[[Site Name]:[Location Type 1]],9,FALSE)</f>
        <v>Camp</v>
      </c>
      <c r="EH78" s="727" t="str">
        <f>VLOOKUP(WWWW[[#This Row],[Site Name]],SiteDB6[[Site Name]:[Type of Accommodation]],10,FALSE)</f>
        <v>Camp</v>
      </c>
      <c r="EI78" s="727" t="str">
        <f>VLOOKUP(WWWW[[#This Row],[Site Name]],SiteDB6[[Site Name]:[Ethnic or GCA/NGCA]],11,FALSE)</f>
        <v>GCA</v>
      </c>
      <c r="EJ78" s="727">
        <f>VLOOKUP(WWWW[[#This Row],[Site Name]],SiteDB6[[Site Name]:[Lat]],12,FALSE)</f>
        <v>25.360463124999999</v>
      </c>
      <c r="EK78" s="727">
        <f>VLOOKUP(WWWW[[#This Row],[Site Name]],SiteDB6[[Site Name]:[Long]],13,FALSE)</f>
        <v>97.4113064583333</v>
      </c>
      <c r="EL78" s="727" t="str">
        <f>VLOOKUP(WWWW[[#This Row],[Site Name]],SiteDB6[[Site Name]:[Pcode]],3,FALSE)</f>
        <v>MMR001CMP016</v>
      </c>
      <c r="EM78" s="732" t="str">
        <f t="shared" si="1"/>
        <v>Covered</v>
      </c>
      <c r="EN78" s="732"/>
      <c r="EO78" s="727">
        <f>VLOOKUP(WWWW[[#This Row],[Site Name]],SiteDB6[[Site Name]:[Pop
(Kachin/Shan-CCCM as of July 2021)]],16,FALSE)</f>
        <v>59</v>
      </c>
      <c r="EP78" s="727">
        <f>VLOOKUP(WWWW[[#This Row],[Site Name]],SiteDB6[[Site Name]:[Pop
(Kachin/Shan-CCCM as of July 2021)]],17,FALSE)</f>
        <v>327</v>
      </c>
    </row>
    <row r="79" spans="1:146" hidden="1">
      <c r="A79" s="725" t="s">
        <v>2763</v>
      </c>
      <c r="B79" s="725" t="s">
        <v>192</v>
      </c>
      <c r="C79" s="726" t="s">
        <v>192</v>
      </c>
      <c r="D79" s="726" t="s">
        <v>2669</v>
      </c>
      <c r="E79" s="726" t="s">
        <v>37</v>
      </c>
      <c r="F79" s="726" t="s">
        <v>205</v>
      </c>
      <c r="G79" s="591" t="str">
        <f>VLOOKUP(WWWW[[#This Row],[Site Name]],SiteDB6[[Site Name]:[Location Type]],8,FALSE)</f>
        <v>Camp</v>
      </c>
      <c r="H79" s="726" t="s">
        <v>210</v>
      </c>
      <c r="I79" s="728">
        <v>127</v>
      </c>
      <c r="J79" s="728">
        <v>741</v>
      </c>
      <c r="K79" s="729" t="s">
        <v>2670</v>
      </c>
      <c r="L79" s="730" t="s">
        <v>2671</v>
      </c>
      <c r="M79" s="728"/>
      <c r="N79" s="728"/>
      <c r="O79" s="728"/>
      <c r="P79" s="728"/>
      <c r="Q79" s="731" t="s">
        <v>136</v>
      </c>
      <c r="R79" s="728"/>
      <c r="S79" s="728"/>
      <c r="T79" s="448"/>
      <c r="U79" s="728"/>
      <c r="V79" s="728"/>
      <c r="W79" s="728">
        <v>2</v>
      </c>
      <c r="X79" s="728">
        <v>1</v>
      </c>
      <c r="Y79" s="728"/>
      <c r="Z79" s="728"/>
      <c r="AA79" s="728"/>
      <c r="AB79" s="728"/>
      <c r="AC79" s="728"/>
      <c r="AD79" s="728"/>
      <c r="AE79" s="728"/>
      <c r="AF79" s="728"/>
      <c r="AG79" s="728"/>
      <c r="AH79" s="728"/>
      <c r="AI79" s="728"/>
      <c r="AJ79" s="728"/>
      <c r="AK79" s="728"/>
      <c r="AL79" s="728"/>
      <c r="AM79" s="728"/>
      <c r="AN79" s="728"/>
      <c r="AO79" s="728"/>
      <c r="AP79" s="732"/>
      <c r="AQ79" s="728">
        <v>40</v>
      </c>
      <c r="AR79" s="728"/>
      <c r="AS79" s="733"/>
      <c r="AT79" s="728"/>
      <c r="AU79" s="728"/>
      <c r="AV79" s="728"/>
      <c r="AW79" s="728"/>
      <c r="AX79" s="728"/>
      <c r="AY79" s="727" t="s">
        <v>41</v>
      </c>
      <c r="AZ79" s="732" t="s">
        <v>137</v>
      </c>
      <c r="BA79" s="728"/>
      <c r="BB79" s="728"/>
      <c r="BC79" s="728"/>
      <c r="BD79" s="448"/>
      <c r="BE79" s="448"/>
      <c r="BF79" s="727"/>
      <c r="BG79" s="728">
        <v>1</v>
      </c>
      <c r="BH79" s="728"/>
      <c r="BI79" s="728"/>
      <c r="BJ79" s="728">
        <v>1</v>
      </c>
      <c r="BK79" s="728"/>
      <c r="BL79" s="728"/>
      <c r="BM79" s="728">
        <v>1</v>
      </c>
      <c r="BN79" s="728">
        <v>6</v>
      </c>
      <c r="BO79" s="728">
        <v>5</v>
      </c>
      <c r="BP79" s="727"/>
      <c r="BQ79" s="734"/>
      <c r="BR79" s="733"/>
      <c r="BS79" s="727"/>
      <c r="BT79" s="423"/>
      <c r="BU79" s="423"/>
      <c r="BV79" s="425"/>
      <c r="BW79" s="423"/>
      <c r="BX79" s="448"/>
      <c r="BY79" s="448"/>
      <c r="BZ79" s="448"/>
      <c r="CA79" s="448"/>
      <c r="CB79" s="448"/>
      <c r="CC79" s="777"/>
      <c r="CD79" s="448"/>
      <c r="CE79" s="735" t="str">
        <f>IFERROR(WWWW[[#This Row],['#_Water sources passed]]/WWWW[[#This Row],['#_Water sources tested for fecal coliform ]],"no test")</f>
        <v>no test</v>
      </c>
      <c r="CF79" s="733" t="str">
        <f>IFERROR(WWWW[[#This Row],['#_Household passed]]/WWWW[[#This Row],['#_Household water samples tested for fecal coliform]],"no test")</f>
        <v>no test</v>
      </c>
      <c r="CG79" s="734" t="str">
        <f>IF(AND(WWWW[[#This Row],[% of water sources passed]]="no test",WWWW[[#This Row],[% Household passed]]="no test"),"No Test","Tested")</f>
        <v>No Test</v>
      </c>
      <c r="CH79" s="734">
        <f>WWWW[[#This Row],['#_Constructed/existing protected hand dug well]]-WWWW[[#This Row],['#_Non-functional protected hand dug well]]</f>
        <v>0</v>
      </c>
      <c r="CI79" s="734">
        <f>(WWWW[[#This Row],['#_Constructed/Existing tube wells/boreholes/handpumps_WASH_agency]]+WWWW[[#This Row],['#_Non-Cluster partner water tube-wells/boreholes/handpumps]])-WWWW[[#This Row],['#_Non-functional tube wells/boreholes/handpumps]]</f>
        <v>3</v>
      </c>
      <c r="CJ79" s="734">
        <f>WWWW[[#This Row],['#_Constructed/Existingwater storage tank with gravity fed reticulation system]]-WWWW[[#This Row],['#_Non-functional storage tank gravity fed reticulation system]]</f>
        <v>0</v>
      </c>
      <c r="CK79" s="734">
        <f>(WWWW[[#This Row],['#_Water_Liters_supplied_by_Water boating or water trucking]]/90)/15</f>
        <v>0</v>
      </c>
      <c r="CL79" s="734">
        <f>WWWW[[#This Row],['#_Water_Liters_from_Constructed/Existing water distribution system from river or natural spring]]/90/15</f>
        <v>0</v>
      </c>
      <c r="CM79" s="424">
        <f>IF(WWWW[[#This Row],['#_of water points in TLS/CFS]]*500&gt;WWWW[[#This Row],[Total PoP ]],WWWW[[#This Row],[Total PoP ]],WWWW[[#This Row],['#_of water points in TLS/CFS]]*500)</f>
        <v>0</v>
      </c>
      <c r="CN79" s="424">
        <f>IF(WWWW[[#This Row],['#_of water points in THF]]*500&gt;WWWW[[#This Row],[Total PoP ]],WWWW[[#This Row],[Total PoP ]],WWWW[[#This Row],['#_of water points in THF]]*500)</f>
        <v>0</v>
      </c>
      <c r="CO7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9" s="733">
        <f>IF(WWWW[[#This Row],[Location Type 1]]="Village",WWWW[[#This Row],[Access to safe drinking water for Village]],WWWW[[#This Row],[Access to safe drinking water for Camp]])</f>
        <v>1</v>
      </c>
      <c r="CR79" s="731">
        <f>WWWW[[#This Row],[%Equitable and continuous access to sufficient quantity of safe drinking water]]*WWWW[[#This Row],[Total PoP ]]</f>
        <v>741</v>
      </c>
      <c r="CS79" s="733">
        <f>IF((WWWW[[#This Row],['#_Constructed/Existing protected/fenced ponds]]*250)/WWWW[[#This Row],[Total PoP ]]&gt;1,1,(WWWW[[#This Row],['#_Constructed/Existing protected/fenced ponds]]*250)/WWWW[[#This Row],[Total PoP ]])</f>
        <v>0</v>
      </c>
      <c r="CT79" s="731">
        <f>WWWW[[#This Row],[% Access to unimproved water points]]*WWWW[[#This Row],[Total PoP ]]</f>
        <v>0</v>
      </c>
      <c r="CU7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W79" s="731">
        <f>WWWW[[#This Row],[HRP1]]/500</f>
        <v>1.482</v>
      </c>
      <c r="CX79" s="736">
        <f>1-WWWW[[#This Row],[% Equitable and continuous access to sufficient quantity of domestic water]]</f>
        <v>0</v>
      </c>
      <c r="CY79" s="731">
        <f>WWWW[[#This Row],[%equitable and continuous access to sufficient quantity of safe drinking and domestic water''s GAP]]*WWWW[[#This Row],[Total PoP ]]</f>
        <v>0</v>
      </c>
      <c r="CZ79" s="734">
        <f>IF(WWWW[[#This Row],[Total required water points]]-WWWW[[#This Row],['#Water points coverage]]&lt;0,0,WWWW[[#This Row],[Total required water points]]-WWWW[[#This Row],['#Water points coverage]])</f>
        <v>0</v>
      </c>
      <c r="DA79" s="734">
        <f>ROUND(IF(WWWW[[#This Row],[Total PoP ]]&lt;500,1,WWWW[[#This Row],[Total PoP ]]/500),0)</f>
        <v>1</v>
      </c>
      <c r="DB79" s="734">
        <f>(WWWW[[#This Row],['#_Constructed latrines_by_WASHAgencies]]+WWWW[[#This Row],['#_Non Cluster partner latrines]])-WWWW[[#This Row],['#_Non-functional latrines]]</f>
        <v>40</v>
      </c>
      <c r="DC79" s="631">
        <f>WWWW[[#This Row],[HRP2]]/WWWW[[#This Row],[Total PoP ]]</f>
        <v>1</v>
      </c>
      <c r="DD7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741</v>
      </c>
      <c r="DE7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9" s="424">
        <f>IF(WWWW[[#This Row],['# of functional latrines in THF supported by WASH partners during the reporting period2]]="",0,WWWW[[#This Row],['# of functional latrines in THF supported by WASH partners during the reporting period2]]*50)</f>
        <v>0</v>
      </c>
      <c r="DH79" s="734">
        <f>ROUND(IF(WWWW[[#This Row],[Location Type 1]]="camp",WWWW[[#This Row],[Total PoP ]]/20,IF(WWWW[[#This Row],[Location Type 1]]="Temporary Location",WWWW[[#This Row],[Total PoP ]]/50,(WWWW[[#This Row],[Total PoP ]]/6))),0)</f>
        <v>37</v>
      </c>
      <c r="DI79" s="734">
        <f>IF(WWWW[[#This Row],[Total required Latrines]]-(WWWW[[#This Row],['#_Constructed latrines_by_WASHAgencies]]+WWWW[[#This Row],['#_Non Cluster partner latrines]])&lt;0,0,WWWW[[#This Row],[Total required Latrines]]-(WWWW[[#This Row],['#_Constructed latrines_by_WASHAgencies]]+WWWW[[#This Row],['#_Non Cluster partner latrines]]))</f>
        <v>0</v>
      </c>
      <c r="DJ79" s="736">
        <f>1-WWWW[[#This Row],[% people access to functioning Latrine]]</f>
        <v>0</v>
      </c>
      <c r="DK79" s="735">
        <f>IF(OR(WWWW[[#This Row],['#_Non-functional latrines]]="",WWWW[[#This Row],['#_Non-functional latrines]]=0),0,WWWW[[#This Row],['#_Non-functional latrines]]/(WWWW[[#This Row],['#_Constructed latrines_by_WASHAgencies]]+WWWW[[#This Row],['#_Non Cluster partner latrines]]))</f>
        <v>0</v>
      </c>
      <c r="DL79" s="731">
        <f>IF(500*(WWWW[[#This Row],['#_male hygiene promoters]]+WWWW[[#This Row],['#_female hygiene promoters]])&gt;WWWW[[#This Row],[Total PoP ]],WWWW[[#This Row],[Total PoP ]],500*(WWWW[[#This Row],['#_male hygiene promoters]]+WWWW[[#This Row],['#_female hygiene promoters]]))</f>
        <v>500</v>
      </c>
      <c r="DM7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7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79" s="734">
        <f>IF(WWWW[[#This Row],['# People with access to soap]]&gt;WWWW[[#This Row],['# People with access to Sanity Pads]],WWWW[[#This Row],['# People with access to soap]],WWWW[[#This Row],['# People with access to Sanity Pads]])</f>
        <v>30</v>
      </c>
      <c r="DP79" s="73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79" s="736">
        <f>IF(WWWW[[#This Row],[HRP3]]/WWWW[[#This Row],[Total PoP ]]&gt;1,1,WWWW[[#This Row],[HRP3]]/WWWW[[#This Row],[Total PoP ]])</f>
        <v>0.67476383265856954</v>
      </c>
      <c r="DR79" s="735">
        <f>1-WWWW[[#This Row],[Hygiene Coverage%]]</f>
        <v>0.32523616734143046</v>
      </c>
      <c r="DS79" s="733">
        <f>WWWW[[#This Row],['# people reached by regular dedicated hygiene promotion_5]]/WWWW[[#This Row],[Total PoP ]]</f>
        <v>0.67476383265856954</v>
      </c>
      <c r="DT7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0.1889763779527559</v>
      </c>
      <c r="DU7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3.937007874015748E-2</v>
      </c>
      <c r="DV79" s="734">
        <f>WWWW[[#This Row],['#_Constructed/Existing hand washing stations]]-WWWW[[#This Row],['#_Non-Functional_hand_washing_stations]]</f>
        <v>1</v>
      </c>
      <c r="DW79" s="731">
        <f>IF(WWWW[[#This Row],['# Functional hand washing stations during reporting period]]*20&gt;WWWW[[#This Row],[Total HH]],WWWW[[#This Row],[Total HH]],WWWW[[#This Row],['# Functional hand washing stations during reporting period]]*20)</f>
        <v>20</v>
      </c>
      <c r="DX79" s="731">
        <f>IF(WWWW[[#This Row],[Is sufficient soap available for TLS? (Yes/No)]]="yes",WWWW[[#This Row],['#_Constructed/Existing hand washing stations at TLS/CFS/THF]],0)</f>
        <v>0</v>
      </c>
      <c r="DY79" s="428">
        <f>IF(WWWW[[#This Row],['# Functional hand washing stations during reporting period]]*100&gt;WWWW[[#This Row],[Total PoP ]],WWWW[[#This Row],[Total PoP ]],WWWW[[#This Row],['# Functional hand washing stations during reporting period]]*100)</f>
        <v>100</v>
      </c>
      <c r="DZ79" s="428" t="str">
        <f>IF(OR(WWWW[[#This Row],['#_students at TLS_CFS]]="",WWWW[[#This Row],['#_students at TLS_CFS]]=0),"No","Yes")</f>
        <v>No</v>
      </c>
      <c r="EA7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9" s="727" t="str">
        <f>VLOOKUP(WWWW[[#This Row],[Site Name]],SiteDB6[[Site Name]:[CCCM Management]],6,FALSE)</f>
        <v>Yes</v>
      </c>
      <c r="EF79" s="727" t="str">
        <f>VLOOKUP(WWWW[[#This Row],[Site Name]],SiteDB6[[Site Name]:[CCCM Focal Agency]],7,FALSE)</f>
        <v>KMSS-BMO</v>
      </c>
      <c r="EG79" s="727" t="str">
        <f>VLOOKUP(WWWW[[#This Row],[Site Name]],SiteDB6[[Site Name]:[Location Type 1]],9,FALSE)</f>
        <v>Camp</v>
      </c>
      <c r="EH79" s="727" t="str">
        <f>VLOOKUP(WWWW[[#This Row],[Site Name]],SiteDB6[[Site Name]:[Type of Accommodation]],10,FALSE)</f>
        <v>Camp</v>
      </c>
      <c r="EI79" s="727" t="str">
        <f>VLOOKUP(WWWW[[#This Row],[Site Name]],SiteDB6[[Site Name]:[Ethnic or GCA/NGCA]],11,FALSE)</f>
        <v>GCA</v>
      </c>
      <c r="EJ79" s="727">
        <f>VLOOKUP(WWWW[[#This Row],[Site Name]],SiteDB6[[Site Name]:[Lat]],12,FALSE)</f>
        <v>24.245100000000001</v>
      </c>
      <c r="EK79" s="727">
        <f>VLOOKUP(WWWW[[#This Row],[Site Name]],SiteDB6[[Site Name]:[Long]],13,FALSE)</f>
        <v>97.325019999999995</v>
      </c>
      <c r="EL79" s="727" t="str">
        <f>VLOOKUP(WWWW[[#This Row],[Site Name]],SiteDB6[[Site Name]:[Pcode]],3,FALSE)</f>
        <v>MMR001CMP062</v>
      </c>
      <c r="EM79" s="732" t="str">
        <f t="shared" si="1"/>
        <v>Covered</v>
      </c>
      <c r="EN79" s="732"/>
      <c r="EO79" s="727">
        <f>VLOOKUP(WWWW[[#This Row],[Site Name]],SiteDB6[[Site Name]:[Pop
(Kachin/Shan-CCCM as of July 2021)]],16,FALSE)</f>
        <v>122</v>
      </c>
      <c r="EP79" s="727">
        <f>VLOOKUP(WWWW[[#This Row],[Site Name]],SiteDB6[[Site Name]:[Pop
(Kachin/Shan-CCCM as of July 2021)]],17,FALSE)</f>
        <v>571</v>
      </c>
    </row>
    <row r="80" spans="1:146" hidden="1">
      <c r="A80" s="725" t="s">
        <v>2763</v>
      </c>
      <c r="B80" s="725" t="s">
        <v>276</v>
      </c>
      <c r="C80" s="726" t="s">
        <v>276</v>
      </c>
      <c r="D80" s="369" t="s">
        <v>292</v>
      </c>
      <c r="E80" s="726" t="s">
        <v>37</v>
      </c>
      <c r="F80" s="726" t="s">
        <v>205</v>
      </c>
      <c r="G80" s="591" t="str">
        <f>VLOOKUP(WWWW[[#This Row],[Site Name]],SiteDB6[[Site Name]:[Location Type]],8,FALSE)</f>
        <v>Camp_not registered</v>
      </c>
      <c r="H80" s="726" t="s">
        <v>287</v>
      </c>
      <c r="I80" s="902">
        <v>114</v>
      </c>
      <c r="J80" s="902">
        <v>590</v>
      </c>
      <c r="K80" s="588">
        <v>44652</v>
      </c>
      <c r="L80" s="589">
        <v>44895</v>
      </c>
      <c r="M80" s="728"/>
      <c r="N80" s="728"/>
      <c r="O80" s="728"/>
      <c r="P80" s="728"/>
      <c r="Q80" s="731" t="s">
        <v>41</v>
      </c>
      <c r="R80" s="728">
        <v>6</v>
      </c>
      <c r="S80" s="728">
        <v>10</v>
      </c>
      <c r="T80" s="448">
        <v>1</v>
      </c>
      <c r="U80" s="728"/>
      <c r="V80" s="728"/>
      <c r="W80" s="728">
        <v>1</v>
      </c>
      <c r="X80" s="728"/>
      <c r="Y80" s="728"/>
      <c r="Z80" s="728"/>
      <c r="AA80" s="728"/>
      <c r="AB80" s="728"/>
      <c r="AC80" s="728"/>
      <c r="AD80" s="728"/>
      <c r="AE80" s="728"/>
      <c r="AF80" s="728"/>
      <c r="AG80" s="728"/>
      <c r="AH80" s="728"/>
      <c r="AI80" s="742"/>
      <c r="AJ80" s="742"/>
      <c r="AK80" s="742"/>
      <c r="AL80" s="742"/>
      <c r="AM80" s="728">
        <v>12</v>
      </c>
      <c r="AN80" s="728"/>
      <c r="AO80" s="728"/>
      <c r="AP80" s="732" t="s">
        <v>2424</v>
      </c>
      <c r="AQ80" s="728">
        <v>28</v>
      </c>
      <c r="AR80" s="728"/>
      <c r="AS80" s="733"/>
      <c r="AT80" s="728"/>
      <c r="AU80" s="742"/>
      <c r="AV80" s="742"/>
      <c r="AW80" s="742"/>
      <c r="AX80" s="728"/>
      <c r="AY80" s="727" t="s">
        <v>41</v>
      </c>
      <c r="AZ80" s="732" t="s">
        <v>137</v>
      </c>
      <c r="BA80" s="728"/>
      <c r="BB80" s="728"/>
      <c r="BC80" s="728"/>
      <c r="BD80" s="448"/>
      <c r="BE80" s="448">
        <v>3</v>
      </c>
      <c r="BF80" s="727"/>
      <c r="BG80" s="728">
        <v>12</v>
      </c>
      <c r="BH80" s="728"/>
      <c r="BI80" s="728"/>
      <c r="BJ80" s="728">
        <v>4</v>
      </c>
      <c r="BK80" s="728"/>
      <c r="BL80" s="728"/>
      <c r="BM80" s="728">
        <v>2</v>
      </c>
      <c r="BN80" s="742"/>
      <c r="BO80" s="728"/>
      <c r="BP80" s="727"/>
      <c r="BQ80" s="744"/>
      <c r="BR80" s="733"/>
      <c r="BS80" s="727"/>
      <c r="BT80" s="903">
        <v>1</v>
      </c>
      <c r="BU80" s="903">
        <v>1</v>
      </c>
      <c r="BV80" s="590">
        <v>12</v>
      </c>
      <c r="BW80" s="903"/>
      <c r="BX80" s="448"/>
      <c r="BY80" s="448"/>
      <c r="BZ80" s="448"/>
      <c r="CA80" s="448"/>
      <c r="CB80" s="448"/>
      <c r="CC80" s="777"/>
      <c r="CD80" s="448"/>
      <c r="CE80" s="735" t="str">
        <f>IFERROR(WWWW[[#This Row],['#_Water sources passed]]/WWWW[[#This Row],['#_Water sources tested for fecal coliform ]],"no test")</f>
        <v>no test</v>
      </c>
      <c r="CF80" s="733" t="str">
        <f>IFERROR(WWWW[[#This Row],['#_Household passed]]/WWWW[[#This Row],['#_Household water samples tested for fecal coliform]],"no test")</f>
        <v>no test</v>
      </c>
      <c r="CG80" s="734" t="str">
        <f>IF(AND(WWWW[[#This Row],[% of water sources passed]]="no test",WWWW[[#This Row],[% Household passed]]="no test"),"No Test","Tested")</f>
        <v>No Test</v>
      </c>
      <c r="CH80" s="734">
        <f>WWWW[[#This Row],['#_Constructed/existing protected hand dug well]]-WWWW[[#This Row],['#_Non-functional protected hand dug well]]</f>
        <v>1</v>
      </c>
      <c r="CI80" s="734">
        <f>(WWWW[[#This Row],['#_Constructed/Existing tube wells/boreholes/handpumps_WASH_agency]]+WWWW[[#This Row],['#_Non-Cluster partner water tube-wells/boreholes/handpumps]])-WWWW[[#This Row],['#_Non-functional tube wells/boreholes/handpumps]]</f>
        <v>1</v>
      </c>
      <c r="CJ80" s="734">
        <f>WWWW[[#This Row],['#_Constructed/Existingwater storage tank with gravity fed reticulation system]]-WWWW[[#This Row],['#_Non-functional storage tank gravity fed reticulation system]]</f>
        <v>0</v>
      </c>
      <c r="CK80" s="734">
        <f>(WWWW[[#This Row],['#_Water_Liters_supplied_by_Water boating or water trucking]]/90)/15</f>
        <v>0</v>
      </c>
      <c r="CL80" s="734">
        <f>WWWW[[#This Row],['#_Water_Liters_from_Constructed/Existing water distribution system from river or natural spring]]/90/15</f>
        <v>0</v>
      </c>
      <c r="CM80" s="424">
        <f>IF(WWWW[[#This Row],['#_of water points in TLS/CFS]]*500&gt;WWWW[[#This Row],[Total PoP ]],WWWW[[#This Row],[Total PoP ]],WWWW[[#This Row],['#_of water points in TLS/CFS]]*500)</f>
        <v>0</v>
      </c>
      <c r="CN80" s="424">
        <f>IF(WWWW[[#This Row],['#_of water points in THF]]*500&gt;WWWW[[#This Row],[Total PoP ]],WWWW[[#This Row],[Total PoP ]],WWWW[[#This Row],['#_of water points in THF]]*500)</f>
        <v>0</v>
      </c>
      <c r="CO8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0.84745762711864403</v>
      </c>
      <c r="CQ80" s="733">
        <f>IF(WWWW[[#This Row],[Location Type 1]]="Village",WWWW[[#This Row],[Access to safe drinking water for Village]],WWWW[[#This Row],[Access to safe drinking water for Camp]])</f>
        <v>1</v>
      </c>
      <c r="CR80" s="731">
        <f>WWWW[[#This Row],[%Equitable and continuous access to sufficient quantity of safe drinking water]]*WWWW[[#This Row],[Total PoP ]]</f>
        <v>590</v>
      </c>
      <c r="CS80" s="733">
        <f>IF((WWWW[[#This Row],['#_Constructed/Existing protected/fenced ponds]]*250)/WWWW[[#This Row],[Total PoP ]]&gt;1,1,(WWWW[[#This Row],['#_Constructed/Existing protected/fenced ponds]]*250)/WWWW[[#This Row],[Total PoP ]])</f>
        <v>0</v>
      </c>
      <c r="CT80" s="731">
        <f>WWWW[[#This Row],[% Access to unimproved water points]]*WWWW[[#This Row],[Total PoP ]]</f>
        <v>0</v>
      </c>
      <c r="CU8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590</v>
      </c>
      <c r="CW80" s="731">
        <f>WWWW[[#This Row],[HRP1]]/500</f>
        <v>1.18</v>
      </c>
      <c r="CX80" s="736">
        <f>1-WWWW[[#This Row],[% Equitable and continuous access to sufficient quantity of domestic water]]</f>
        <v>0</v>
      </c>
      <c r="CY80" s="731">
        <f>WWWW[[#This Row],[%equitable and continuous access to sufficient quantity of safe drinking and domestic water''s GAP]]*WWWW[[#This Row],[Total PoP ]]</f>
        <v>0</v>
      </c>
      <c r="CZ80" s="734">
        <f>IF(WWWW[[#This Row],[Total required water points]]-WWWW[[#This Row],['#Water points coverage]]&lt;0,0,WWWW[[#This Row],[Total required water points]]-WWWW[[#This Row],['#Water points coverage]])</f>
        <v>0</v>
      </c>
      <c r="DA80" s="734">
        <f>ROUND(IF(WWWW[[#This Row],[Total PoP ]]&lt;500,1,WWWW[[#This Row],[Total PoP ]]/500),0)</f>
        <v>1</v>
      </c>
      <c r="DB80" s="734">
        <f>(WWWW[[#This Row],['#_Constructed latrines_by_WASHAgencies]]+WWWW[[#This Row],['#_Non Cluster partner latrines]])-WWWW[[#This Row],['#_Non-functional latrines]]</f>
        <v>28</v>
      </c>
      <c r="DC80" s="631">
        <f>WWWW[[#This Row],[HRP2]]/WWWW[[#This Row],[Total PoP ]]</f>
        <v>0.95423728813559328</v>
      </c>
      <c r="DD8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563</v>
      </c>
      <c r="DE8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0" s="424">
        <f>IF(WWWW[[#This Row],['# of functional latrines in THF supported by WASH partners during the reporting period2]]="",0,WWWW[[#This Row],['# of functional latrines in THF supported by WASH partners during the reporting period2]]*50)</f>
        <v>0</v>
      </c>
      <c r="DH80" s="734">
        <f>ROUND(IF(WWWW[[#This Row],[Location Type 1]]="camp",WWWW[[#This Row],[Total PoP ]]/20,IF(WWWW[[#This Row],[Location Type 1]]="Temporary Location",WWWW[[#This Row],[Total PoP ]]/50,(WWWW[[#This Row],[Total PoP ]]/6))),0)</f>
        <v>30</v>
      </c>
      <c r="DI80" s="734">
        <f>IF(WWWW[[#This Row],[Total required Latrines]]-(WWWW[[#This Row],['#_Constructed latrines_by_WASHAgencies]]+WWWW[[#This Row],['#_Non Cluster partner latrines]])&lt;0,0,WWWW[[#This Row],[Total required Latrines]]-(WWWW[[#This Row],['#_Constructed latrines_by_WASHAgencies]]+WWWW[[#This Row],['#_Non Cluster partner latrines]]))</f>
        <v>2</v>
      </c>
      <c r="DJ80" s="736">
        <f>1-WWWW[[#This Row],[% people access to functioning Latrine]]</f>
        <v>4.5762711864406724E-2</v>
      </c>
      <c r="DK80" s="735">
        <f>IF(OR(WWWW[[#This Row],['#_Non-functional latrines]]="",WWWW[[#This Row],['#_Non-functional latrines]]=0),0,WWWW[[#This Row],['#_Non-functional latrines]]/(WWWW[[#This Row],['#_Constructed latrines_by_WASHAgencies]]+WWWW[[#This Row],['#_Non Cluster partner latrines]]))</f>
        <v>0</v>
      </c>
      <c r="DL80" s="731">
        <f>IF(500*(WWWW[[#This Row],['#_male hygiene promoters]]+WWWW[[#This Row],['#_female hygiene promoters]])&gt;WWWW[[#This Row],[Total PoP ]],WWWW[[#This Row],[Total PoP ]],500*(WWWW[[#This Row],['#_male hygiene promoters]]+WWWW[[#This Row],['#_female hygiene promoters]]))</f>
        <v>590</v>
      </c>
      <c r="DM8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8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80" s="734">
        <f>IF(WWWW[[#This Row],['# People with access to soap]]&gt;WWWW[[#This Row],['# People with access to Sanity Pads]],WWWW[[#This Row],['# People with access to soap]],WWWW[[#This Row],['# People with access to Sanity Pads]])</f>
        <v>0</v>
      </c>
      <c r="DP80" s="734">
        <f>IF(WWWW[[#This Row],['# people reached by regular dedicated hygiene promotion_5]]&gt;WWWW[[#This Row],['# People received regular supply of hygiene items_6]],WWWW[[#This Row],['# people reached by regular dedicated hygiene promotion_5]],WWWW[[#This Row],['# People received regular supply of hygiene items_6]])</f>
        <v>590</v>
      </c>
      <c r="DQ80" s="736">
        <f>IF(WWWW[[#This Row],[HRP3]]/WWWW[[#This Row],[Total PoP ]]&gt;1,1,WWWW[[#This Row],[HRP3]]/WWWW[[#This Row],[Total PoP ]])</f>
        <v>1</v>
      </c>
      <c r="DR80" s="735">
        <f>1-WWWW[[#This Row],[Hygiene Coverage%]]</f>
        <v>0</v>
      </c>
      <c r="DS80" s="733">
        <f>WWWW[[#This Row],['# people reached by regular dedicated hygiene promotion_5]]/WWWW[[#This Row],[Total PoP ]]</f>
        <v>1</v>
      </c>
      <c r="DT8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8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80" s="734">
        <f>WWWW[[#This Row],['#_Constructed/Existing hand washing stations]]-WWWW[[#This Row],['#_Non-Functional_hand_washing_stations]]</f>
        <v>12</v>
      </c>
      <c r="DW80" s="731">
        <f>IF(WWWW[[#This Row],['# Functional hand washing stations during reporting period]]*20&gt;WWWW[[#This Row],[Total HH]],WWWW[[#This Row],[Total HH]],WWWW[[#This Row],['# Functional hand washing stations during reporting period]]*20)</f>
        <v>114</v>
      </c>
      <c r="DX80" s="731">
        <f>IF(WWWW[[#This Row],[Is sufficient soap available for TLS? (Yes/No)]]="yes",WWWW[[#This Row],['#_Constructed/Existing hand washing stations at TLS/CFS/THF]],0)</f>
        <v>0</v>
      </c>
      <c r="DY80" s="428">
        <f>IF(WWWW[[#This Row],['# Functional hand washing stations during reporting period]]*100&gt;WWWW[[#This Row],[Total PoP ]],WWWW[[#This Row],[Total PoP ]],WWWW[[#This Row],['# Functional hand washing stations during reporting period]]*100)</f>
        <v>590</v>
      </c>
      <c r="DZ80" s="428" t="str">
        <f>IF(OR(WWWW[[#This Row],['#_students at TLS_CFS]]="",WWWW[[#This Row],['#_students at TLS_CFS]]=0),"No","Yes")</f>
        <v>No</v>
      </c>
      <c r="EA80" s="631">
        <f>IF(WWWW[[#This Row],['#_of_affected_people_surveyed_who_report_feeling_informed_about_the_different_WASH_services_available_to_them]]="","",WWWW[[#This Row],['#_of_affected_people_surveyed_who_report_feeling_informed_about_the_different_WASH_services_available_to_them]]/WWWW[[#This Row],[Total PoP ]])</f>
        <v>2.0338983050847456E-2</v>
      </c>
      <c r="EB8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0" s="727">
        <f>VLOOKUP(WWWW[[#This Row],[Site Name]],SiteDB6[[Site Name]:[CCCM Management]],6,FALSE)</f>
        <v>0</v>
      </c>
      <c r="EF80" s="727">
        <f>VLOOKUP(WWWW[[#This Row],[Site Name]],SiteDB6[[Site Name]:[CCCM Focal Agency]],7,FALSE)</f>
        <v>0</v>
      </c>
      <c r="EG80" s="727" t="str">
        <f>VLOOKUP(WWWW[[#This Row],[Site Name]],SiteDB6[[Site Name]:[Location Type 1]],9,FALSE)</f>
        <v>Camp</v>
      </c>
      <c r="EH80" s="727" t="str">
        <f>VLOOKUP(WWWW[[#This Row],[Site Name]],SiteDB6[[Site Name]:[Type of Accommodation]],10,FALSE)</f>
        <v>Camp</v>
      </c>
      <c r="EI80" s="727" t="str">
        <f>VLOOKUP(WWWW[[#This Row],[Site Name]],SiteDB6[[Site Name]:[Ethnic or GCA/NGCA]],11,FALSE)</f>
        <v>GCA</v>
      </c>
      <c r="EJ80" s="727">
        <f>VLOOKUP(WWWW[[#This Row],[Site Name]],SiteDB6[[Site Name]:[Lat]],12,FALSE)</f>
        <v>0</v>
      </c>
      <c r="EK80" s="727">
        <f>VLOOKUP(WWWW[[#This Row],[Site Name]],SiteDB6[[Site Name]:[Long]],13,FALSE)</f>
        <v>0</v>
      </c>
      <c r="EL80" s="727">
        <f>VLOOKUP(WWWW[[#This Row],[Site Name]],SiteDB6[[Site Name]:[Pcode]],3,FALSE)</f>
        <v>0</v>
      </c>
      <c r="EM80" s="732" t="str">
        <f t="shared" si="1"/>
        <v>Covered</v>
      </c>
      <c r="EN80" s="732"/>
      <c r="EO80" s="727">
        <f>VLOOKUP(WWWW[[#This Row],[Site Name]],SiteDB6[[Site Name]:[Pop
(Kachin/Shan-CCCM as of July 2021)]],16,FALSE)</f>
        <v>0</v>
      </c>
      <c r="EP80" s="727">
        <f>VLOOKUP(WWWW[[#This Row],[Site Name]],SiteDB6[[Site Name]:[Pop
(Kachin/Shan-CCCM as of July 2021)]],17,FALSE)</f>
        <v>0</v>
      </c>
    </row>
    <row r="81" spans="1:146" hidden="1">
      <c r="A81" s="725" t="s">
        <v>2763</v>
      </c>
      <c r="B81" s="725" t="s">
        <v>141</v>
      </c>
      <c r="C81" s="726" t="s">
        <v>141</v>
      </c>
      <c r="D81" s="726" t="s">
        <v>241</v>
      </c>
      <c r="E81" s="726" t="s">
        <v>37</v>
      </c>
      <c r="F81" s="726" t="s">
        <v>159</v>
      </c>
      <c r="G81" s="591" t="str">
        <f>VLOOKUP(WWWW[[#This Row],[Site Name]],SiteDB6[[Site Name]:[Location Type]],8,FALSE)</f>
        <v>Camp</v>
      </c>
      <c r="H81" s="726" t="s">
        <v>166</v>
      </c>
      <c r="I81" s="728">
        <v>101</v>
      </c>
      <c r="J81" s="728">
        <v>547</v>
      </c>
      <c r="K81" s="729">
        <v>44105</v>
      </c>
      <c r="L81" s="589">
        <v>44681</v>
      </c>
      <c r="M81" s="728"/>
      <c r="N81" s="728">
        <v>2</v>
      </c>
      <c r="O81" s="728"/>
      <c r="P81" s="728"/>
      <c r="Q81" s="731" t="s">
        <v>41</v>
      </c>
      <c r="R81" s="728"/>
      <c r="S81" s="728">
        <v>5</v>
      </c>
      <c r="T81" s="448"/>
      <c r="U81" s="728"/>
      <c r="V81" s="728"/>
      <c r="W81" s="728">
        <v>3</v>
      </c>
      <c r="X81" s="728"/>
      <c r="Y81" s="728"/>
      <c r="Z81" s="728"/>
      <c r="AA81" s="728"/>
      <c r="AB81" s="728"/>
      <c r="AC81" s="728"/>
      <c r="AD81" s="728"/>
      <c r="AE81" s="728"/>
      <c r="AF81" s="728"/>
      <c r="AG81" s="728"/>
      <c r="AH81" s="728">
        <v>3</v>
      </c>
      <c r="AI81" s="728"/>
      <c r="AJ81" s="728"/>
      <c r="AK81" s="728"/>
      <c r="AL81" s="728"/>
      <c r="AM81" s="728"/>
      <c r="AN81" s="728"/>
      <c r="AO81" s="728"/>
      <c r="AP81" s="732"/>
      <c r="AQ81" s="728">
        <v>34</v>
      </c>
      <c r="AR81" s="728"/>
      <c r="AS81" s="733"/>
      <c r="AT81" s="728"/>
      <c r="AU81" s="448">
        <v>5</v>
      </c>
      <c r="AV81" s="448">
        <v>14</v>
      </c>
      <c r="AW81" s="728"/>
      <c r="AX81" s="728">
        <v>34</v>
      </c>
      <c r="AY81" s="727" t="s">
        <v>41</v>
      </c>
      <c r="AZ81" s="732" t="s">
        <v>904</v>
      </c>
      <c r="BA81" s="728"/>
      <c r="BB81" s="728"/>
      <c r="BC81" s="728"/>
      <c r="BD81" s="448"/>
      <c r="BE81" s="448"/>
      <c r="BF81" s="727"/>
      <c r="BG81" s="728">
        <v>3</v>
      </c>
      <c r="BH81" s="728"/>
      <c r="BI81" s="728"/>
      <c r="BJ81" s="728">
        <v>2</v>
      </c>
      <c r="BK81" s="728"/>
      <c r="BL81" s="728"/>
      <c r="BM81" s="728">
        <v>2</v>
      </c>
      <c r="BN81" s="728">
        <v>10</v>
      </c>
      <c r="BO81" s="728">
        <v>18</v>
      </c>
      <c r="BP81" s="727"/>
      <c r="BQ81" s="734"/>
      <c r="BR81" s="733"/>
      <c r="BS81" s="727"/>
      <c r="BT81" s="423"/>
      <c r="BU81" s="423"/>
      <c r="BV81" s="425"/>
      <c r="BW81" s="423"/>
      <c r="BX81" s="448"/>
      <c r="BY81" s="448"/>
      <c r="BZ81" s="448"/>
      <c r="CA81" s="448"/>
      <c r="CB81" s="448"/>
      <c r="CC81" s="777"/>
      <c r="CD81" s="448"/>
      <c r="CE81" s="735" t="str">
        <f>IFERROR(WWWW[[#This Row],['#_Water sources passed]]/WWWW[[#This Row],['#_Water sources tested for fecal coliform ]],"no test")</f>
        <v>no test</v>
      </c>
      <c r="CF81" s="733" t="str">
        <f>IFERROR(WWWW[[#This Row],['#_Household passed]]/WWWW[[#This Row],['#_Household water samples tested for fecal coliform]],"no test")</f>
        <v>no test</v>
      </c>
      <c r="CG81" s="734" t="str">
        <f>IF(AND(WWWW[[#This Row],[% of water sources passed]]="no test",WWWW[[#This Row],[% Household passed]]="no test"),"No Test","Tested")</f>
        <v>No Test</v>
      </c>
      <c r="CH81" s="734">
        <f>WWWW[[#This Row],['#_Constructed/existing protected hand dug well]]-WWWW[[#This Row],['#_Non-functional protected hand dug well]]</f>
        <v>0</v>
      </c>
      <c r="CI81" s="734">
        <f>(WWWW[[#This Row],['#_Constructed/Existing tube wells/boreholes/handpumps_WASH_agency]]+WWWW[[#This Row],['#_Non-Cluster partner water tube-wells/boreholes/handpumps]])-WWWW[[#This Row],['#_Non-functional tube wells/boreholes/handpumps]]</f>
        <v>3</v>
      </c>
      <c r="CJ81" s="734">
        <f>WWWW[[#This Row],['#_Constructed/Existingwater storage tank with gravity fed reticulation system]]-WWWW[[#This Row],['#_Non-functional storage tank gravity fed reticulation system]]</f>
        <v>0</v>
      </c>
      <c r="CK81" s="734">
        <f>(WWWW[[#This Row],['#_Water_Liters_supplied_by_Water boating or water trucking]]/90)/15</f>
        <v>0</v>
      </c>
      <c r="CL81" s="734">
        <f>WWWW[[#This Row],['#_Water_Liters_from_Constructed/Existing water distribution system from river or natural spring]]/90/15</f>
        <v>0</v>
      </c>
      <c r="CM81" s="424">
        <f>IF(WWWW[[#This Row],['#_of water points in TLS/CFS]]*500&gt;WWWW[[#This Row],[Total PoP ]],WWWW[[#This Row],[Total PoP ]],WWWW[[#This Row],['#_of water points in TLS/CFS]]*500)</f>
        <v>0</v>
      </c>
      <c r="CN81" s="424">
        <f>IF(WWWW[[#This Row],['#_of water points in THF]]*500&gt;WWWW[[#This Row],[Total PoP ]],WWWW[[#This Row],[Total PoP ]],WWWW[[#This Row],['#_of water points in THF]]*500)</f>
        <v>0</v>
      </c>
      <c r="CO8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1" s="733">
        <f>IF(WWWW[[#This Row],[Location Type 1]]="Village",WWWW[[#This Row],[Access to safe drinking water for Village]],WWWW[[#This Row],[Access to safe drinking water for Camp]])</f>
        <v>1</v>
      </c>
      <c r="CR81" s="731">
        <f>WWWW[[#This Row],[%Equitable and continuous access to sufficient quantity of safe drinking water]]*WWWW[[#This Row],[Total PoP ]]</f>
        <v>547</v>
      </c>
      <c r="CS81" s="733">
        <f>IF((WWWW[[#This Row],['#_Constructed/Existing protected/fenced ponds]]*250)/WWWW[[#This Row],[Total PoP ]]&gt;1,1,(WWWW[[#This Row],['#_Constructed/Existing protected/fenced ponds]]*250)/WWWW[[#This Row],[Total PoP ]])</f>
        <v>0</v>
      </c>
      <c r="CT81" s="731">
        <f>WWWW[[#This Row],[% Access to unimproved water points]]*WWWW[[#This Row],[Total PoP ]]</f>
        <v>0</v>
      </c>
      <c r="CU8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W81" s="731">
        <f>WWWW[[#This Row],[HRP1]]/500</f>
        <v>1.0940000000000001</v>
      </c>
      <c r="CX81" s="736">
        <f>1-WWWW[[#This Row],[% Equitable and continuous access to sufficient quantity of domestic water]]</f>
        <v>0</v>
      </c>
      <c r="CY81" s="731">
        <f>WWWW[[#This Row],[%equitable and continuous access to sufficient quantity of safe drinking and domestic water''s GAP]]*WWWW[[#This Row],[Total PoP ]]</f>
        <v>0</v>
      </c>
      <c r="CZ81" s="734">
        <f>IF(WWWW[[#This Row],[Total required water points]]-WWWW[[#This Row],['#Water points coverage]]&lt;0,0,WWWW[[#This Row],[Total required water points]]-WWWW[[#This Row],['#Water points coverage]])</f>
        <v>0</v>
      </c>
      <c r="DA81" s="734">
        <f>ROUND(IF(WWWW[[#This Row],[Total PoP ]]&lt;500,1,WWWW[[#This Row],[Total PoP ]]/500),0)</f>
        <v>1</v>
      </c>
      <c r="DB81" s="734">
        <f>(WWWW[[#This Row],['#_Constructed latrines_by_WASHAgencies]]+WWWW[[#This Row],['#_Non Cluster partner latrines]])-WWWW[[#This Row],['#_Non-functional latrines]]</f>
        <v>34</v>
      </c>
      <c r="DC81" s="631">
        <f>WWWW[[#This Row],[HRP2]]/WWWW[[#This Row],[Total PoP ]]</f>
        <v>1</v>
      </c>
      <c r="DD8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DE8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DF8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1" s="424">
        <f>IF(WWWW[[#This Row],['# of functional latrines in THF supported by WASH partners during the reporting period2]]="",0,WWWW[[#This Row],['# of functional latrines in THF supported by WASH partners during the reporting period2]]*50)</f>
        <v>0</v>
      </c>
      <c r="DH81" s="734">
        <f>ROUND(IF(WWWW[[#This Row],[Location Type 1]]="camp",WWWW[[#This Row],[Total PoP ]]/20,IF(WWWW[[#This Row],[Location Type 1]]="Temporary Location",WWWW[[#This Row],[Total PoP ]]/50,(WWWW[[#This Row],[Total PoP ]]/6))),0)</f>
        <v>27</v>
      </c>
      <c r="DI81" s="734">
        <f>IF(WWWW[[#This Row],[Total required Latrines]]-(WWWW[[#This Row],['#_Constructed latrines_by_WASHAgencies]]+WWWW[[#This Row],['#_Non Cluster partner latrines]])&lt;0,0,WWWW[[#This Row],[Total required Latrines]]-(WWWW[[#This Row],['#_Constructed latrines_by_WASHAgencies]]+WWWW[[#This Row],['#_Non Cluster partner latrines]]))</f>
        <v>0</v>
      </c>
      <c r="DJ81" s="736">
        <f>1-WWWW[[#This Row],[% people access to functioning Latrine]]</f>
        <v>0</v>
      </c>
      <c r="DK81" s="735">
        <f>IF(OR(WWWW[[#This Row],['#_Non-functional latrines]]="",WWWW[[#This Row],['#_Non-functional latrines]]=0),0,WWWW[[#This Row],['#_Non-functional latrines]]/(WWWW[[#This Row],['#_Constructed latrines_by_WASHAgencies]]+WWWW[[#This Row],['#_Non Cluster partner latrines]]))</f>
        <v>0</v>
      </c>
      <c r="DL81" s="731">
        <f>IF(500*(WWWW[[#This Row],['#_male hygiene promoters]]+WWWW[[#This Row],['#_female hygiene promoters]])&gt;WWWW[[#This Row],[Total PoP ]],WWWW[[#This Row],[Total PoP ]],500*(WWWW[[#This Row],['#_male hygiene promoters]]+WWWW[[#This Row],['#_female hygiene promoters]]))</f>
        <v>547</v>
      </c>
      <c r="DM8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8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81" s="734">
        <f>IF(WWWW[[#This Row],['# People with access to soap]]&gt;WWWW[[#This Row],['# People with access to Sanity Pads]],WWWW[[#This Row],['# People with access to soap]],WWWW[[#This Row],['# People with access to Sanity Pads]])</f>
        <v>50</v>
      </c>
      <c r="DP81" s="734">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Q81" s="736">
        <f>IF(WWWW[[#This Row],[HRP3]]/WWWW[[#This Row],[Total PoP ]]&gt;1,1,WWWW[[#This Row],[HRP3]]/WWWW[[#This Row],[Total PoP ]])</f>
        <v>1</v>
      </c>
      <c r="DR81" s="735">
        <f>1-WWWW[[#This Row],[Hygiene Coverage%]]</f>
        <v>0</v>
      </c>
      <c r="DS81" s="733">
        <f>WWWW[[#This Row],['# people reached by regular dedicated hygiene promotion_5]]/WWWW[[#This Row],[Total PoP ]]</f>
        <v>1</v>
      </c>
      <c r="DT8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0.39603960396039606</v>
      </c>
      <c r="DU8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0.17821782178217821</v>
      </c>
      <c r="DV81" s="734">
        <f>WWWW[[#This Row],['#_Constructed/Existing hand washing stations]]-WWWW[[#This Row],['#_Non-Functional_hand_washing_stations]]</f>
        <v>3</v>
      </c>
      <c r="DW81" s="731">
        <f>IF(WWWW[[#This Row],['# Functional hand washing stations during reporting period]]*20&gt;WWWW[[#This Row],[Total HH]],WWWW[[#This Row],[Total HH]],WWWW[[#This Row],['# Functional hand washing stations during reporting period]]*20)</f>
        <v>60</v>
      </c>
      <c r="DX81" s="731">
        <f>IF(WWWW[[#This Row],[Is sufficient soap available for TLS? (Yes/No)]]="yes",WWWW[[#This Row],['#_Constructed/Existing hand washing stations at TLS/CFS/THF]],0)</f>
        <v>0</v>
      </c>
      <c r="DY81" s="428">
        <f>IF(WWWW[[#This Row],['# Functional hand washing stations during reporting period]]*100&gt;WWWW[[#This Row],[Total PoP ]],WWWW[[#This Row],[Total PoP ]],WWWW[[#This Row],['# Functional hand washing stations during reporting period]]*100)</f>
        <v>300</v>
      </c>
      <c r="DZ81" s="428" t="str">
        <f>IF(OR(WWWW[[#This Row],['#_students at TLS_CFS]]="",WWWW[[#This Row],['#_students at TLS_CFS]]=0),"No","Yes")</f>
        <v>No</v>
      </c>
      <c r="EA8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1" s="727" t="str">
        <f>VLOOKUP(WWWW[[#This Row],[Site Name]],SiteDB6[[Site Name]:[CCCM Management]],6,FALSE)</f>
        <v>Yes</v>
      </c>
      <c r="EF81" s="727" t="str">
        <f>VLOOKUP(WWWW[[#This Row],[Site Name]],SiteDB6[[Site Name]:[CCCM Focal Agency]],7,FALSE)</f>
        <v>KBC-MYT</v>
      </c>
      <c r="EG81" s="727" t="str">
        <f>VLOOKUP(WWWW[[#This Row],[Site Name]],SiteDB6[[Site Name]:[Location Type 1]],9,FALSE)</f>
        <v>Camp</v>
      </c>
      <c r="EH81" s="727" t="str">
        <f>VLOOKUP(WWWW[[#This Row],[Site Name]],SiteDB6[[Site Name]:[Type of Accommodation]],10,FALSE)</f>
        <v>Camp</v>
      </c>
      <c r="EI81" s="727" t="str">
        <f>VLOOKUP(WWWW[[#This Row],[Site Name]],SiteDB6[[Site Name]:[Ethnic or GCA/NGCA]],11,FALSE)</f>
        <v>GCA</v>
      </c>
      <c r="EJ81" s="727">
        <f>VLOOKUP(WWWW[[#This Row],[Site Name]],SiteDB6[[Site Name]:[Lat]],12,FALSE)</f>
        <v>25.428910999999999</v>
      </c>
      <c r="EK81" s="727">
        <f>VLOOKUP(WWWW[[#This Row],[Site Name]],SiteDB6[[Site Name]:[Long]],13,FALSE)</f>
        <v>97.418694000000002</v>
      </c>
      <c r="EL81" s="727" t="str">
        <f>VLOOKUP(WWWW[[#This Row],[Site Name]],SiteDB6[[Site Name]:[Pcode]],3,FALSE)</f>
        <v>MMR001CMP008</v>
      </c>
      <c r="EM81" s="732" t="str">
        <f t="shared" si="1"/>
        <v>Covered</v>
      </c>
      <c r="EN81" s="732"/>
      <c r="EO81" s="727">
        <f>VLOOKUP(WWWW[[#This Row],[Site Name]],SiteDB6[[Site Name]:[Pop
(Kachin/Shan-CCCM as of July 2021)]],16,FALSE)</f>
        <v>108</v>
      </c>
      <c r="EP81" s="727">
        <f>VLOOKUP(WWWW[[#This Row],[Site Name]],SiteDB6[[Site Name]:[Pop
(Kachin/Shan-CCCM as of July 2021)]],17,FALSE)</f>
        <v>622</v>
      </c>
    </row>
    <row r="82" spans="1:146" hidden="1">
      <c r="A82" s="725" t="s">
        <v>2763</v>
      </c>
      <c r="B82" s="707" t="s">
        <v>2730</v>
      </c>
      <c r="C82" s="707" t="s">
        <v>2730</v>
      </c>
      <c r="D82" s="369" t="s">
        <v>2731</v>
      </c>
      <c r="E82" s="726" t="s">
        <v>37</v>
      </c>
      <c r="F82" s="726" t="s">
        <v>38</v>
      </c>
      <c r="G82" s="591" t="str">
        <f>VLOOKUP(WWWW[[#This Row],[Site Name]],SiteDB6[[Site Name]:[Location Type]],8,FALSE)</f>
        <v>Camp</v>
      </c>
      <c r="H82" s="726" t="s">
        <v>298</v>
      </c>
      <c r="I82" s="788">
        <v>155</v>
      </c>
      <c r="J82" s="788">
        <v>655</v>
      </c>
      <c r="K82" s="798">
        <v>44409</v>
      </c>
      <c r="L82" s="799">
        <v>44774</v>
      </c>
      <c r="M82" s="728"/>
      <c r="N82" s="728">
        <v>1</v>
      </c>
      <c r="O82" s="728"/>
      <c r="P82" s="728"/>
      <c r="Q82" s="731" t="s">
        <v>41</v>
      </c>
      <c r="R82" s="728"/>
      <c r="S82" s="728"/>
      <c r="T82" s="448"/>
      <c r="U82" s="728"/>
      <c r="V82" s="728"/>
      <c r="W82" s="728"/>
      <c r="X82" s="728">
        <v>1</v>
      </c>
      <c r="Y82" s="728"/>
      <c r="Z82" s="728"/>
      <c r="AA82" s="728"/>
      <c r="AB82" s="728"/>
      <c r="AC82" s="728">
        <v>2</v>
      </c>
      <c r="AD82" s="728"/>
      <c r="AE82" s="728"/>
      <c r="AF82" s="728"/>
      <c r="AG82" s="728"/>
      <c r="AH82" s="728"/>
      <c r="AI82" s="728"/>
      <c r="AJ82" s="728"/>
      <c r="AK82" s="728"/>
      <c r="AL82" s="728"/>
      <c r="AM82" s="728"/>
      <c r="AN82" s="728"/>
      <c r="AO82" s="728"/>
      <c r="AP82" s="732"/>
      <c r="AQ82" s="448">
        <v>18</v>
      </c>
      <c r="AR82" s="728"/>
      <c r="AS82" s="733"/>
      <c r="AT82" s="728"/>
      <c r="AU82" s="728"/>
      <c r="AV82" s="728"/>
      <c r="AW82" s="728"/>
      <c r="AX82" s="728"/>
      <c r="AY82" s="727" t="s">
        <v>140</v>
      </c>
      <c r="AZ82" s="732" t="s">
        <v>140</v>
      </c>
      <c r="BA82" s="728"/>
      <c r="BB82" s="728"/>
      <c r="BC82" s="728"/>
      <c r="BD82" s="448"/>
      <c r="BE82" s="448"/>
      <c r="BF82" s="727"/>
      <c r="BG82" s="448">
        <v>3</v>
      </c>
      <c r="BH82" s="448"/>
      <c r="BI82" s="448"/>
      <c r="BJ82" s="448">
        <v>2</v>
      </c>
      <c r="BK82" s="448"/>
      <c r="BL82" s="728"/>
      <c r="BM82" s="728">
        <v>1</v>
      </c>
      <c r="BN82" s="448">
        <v>88</v>
      </c>
      <c r="BO82" s="728">
        <v>100</v>
      </c>
      <c r="BP82" s="727"/>
      <c r="BQ82" s="734"/>
      <c r="BR82" s="423"/>
      <c r="BS82" s="727"/>
      <c r="BT82" s="423"/>
      <c r="BU82" s="423"/>
      <c r="BV82" s="425"/>
      <c r="BW82" s="423"/>
      <c r="BX82" s="448"/>
      <c r="BY82" s="448"/>
      <c r="BZ82" s="448"/>
      <c r="CA82" s="448"/>
      <c r="CB82" s="448"/>
      <c r="CC82" s="777"/>
      <c r="CD82" s="448"/>
      <c r="CE82" s="735" t="str">
        <f>IFERROR(WWWW[[#This Row],['#_Water sources passed]]/WWWW[[#This Row],['#_Water sources tested for fecal coliform ]],"no test")</f>
        <v>no test</v>
      </c>
      <c r="CF82" s="733" t="str">
        <f>IFERROR(WWWW[[#This Row],['#_Household passed]]/WWWW[[#This Row],['#_Household water samples tested for fecal coliform]],"no test")</f>
        <v>no test</v>
      </c>
      <c r="CG82" s="734" t="str">
        <f>IF(AND(WWWW[[#This Row],[% of water sources passed]]="no test",WWWW[[#This Row],[% Household passed]]="no test"),"No Test","Tested")</f>
        <v>No Test</v>
      </c>
      <c r="CH82" s="734">
        <f>WWWW[[#This Row],['#_Constructed/existing protected hand dug well]]-WWWW[[#This Row],['#_Non-functional protected hand dug well]]</f>
        <v>0</v>
      </c>
      <c r="CI82" s="734">
        <f>(WWWW[[#This Row],['#_Constructed/Existing tube wells/boreholes/handpumps_WASH_agency]]+WWWW[[#This Row],['#_Non-Cluster partner water tube-wells/boreholes/handpumps]])-WWWW[[#This Row],['#_Non-functional tube wells/boreholes/handpumps]]</f>
        <v>1</v>
      </c>
      <c r="CJ82" s="734">
        <f>WWWW[[#This Row],['#_Constructed/Existingwater storage tank with gravity fed reticulation system]]-WWWW[[#This Row],['#_Non-functional storage tank gravity fed reticulation system]]</f>
        <v>0</v>
      </c>
      <c r="CK82" s="734">
        <f>(WWWW[[#This Row],['#_Water_Liters_supplied_by_Water boating or water trucking]]/90)/15</f>
        <v>0</v>
      </c>
      <c r="CL82" s="734">
        <f>WWWW[[#This Row],['#_Water_Liters_from_Constructed/Existing water distribution system from river or natural spring]]/90/15</f>
        <v>0</v>
      </c>
      <c r="CM82" s="424">
        <f>IF(WWWW[[#This Row],['#_of water points in TLS/CFS]]*500&gt;WWWW[[#This Row],[Total PoP ]],WWWW[[#This Row],[Total PoP ]],WWWW[[#This Row],['#_of water points in TLS/CFS]]*500)</f>
        <v>0</v>
      </c>
      <c r="CN82" s="424">
        <f>IF(WWWW[[#This Row],['#_of water points in THF]]*500&gt;WWWW[[#This Row],[Total PoP ]],WWWW[[#This Row],[Total PoP ]],WWWW[[#This Row],['#_of water points in THF]]*500)</f>
        <v>0</v>
      </c>
      <c r="CO8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0.76335877862595425</v>
      </c>
      <c r="CP8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0.38167938931297712</v>
      </c>
      <c r="CQ82" s="733">
        <f>IF(WWWW[[#This Row],[Location Type 1]]="Village",WWWW[[#This Row],[Access to safe drinking water for Village]],WWWW[[#This Row],[Access to safe drinking water for Camp]])</f>
        <v>0.76335877862595425</v>
      </c>
      <c r="CR82" s="731">
        <f>WWWW[[#This Row],[%Equitable and continuous access to sufficient quantity of safe drinking water]]*WWWW[[#This Row],[Total PoP ]]</f>
        <v>500.00000000000006</v>
      </c>
      <c r="CS82" s="733">
        <f>IF((WWWW[[#This Row],['#_Constructed/Existing protected/fenced ponds]]*250)/WWWW[[#This Row],[Total PoP ]]&gt;1,1,(WWWW[[#This Row],['#_Constructed/Existing protected/fenced ponds]]*250)/WWWW[[#This Row],[Total PoP ]])</f>
        <v>0</v>
      </c>
      <c r="CT82" s="731">
        <f>WWWW[[#This Row],[% Access to unimproved water points]]*WWWW[[#This Row],[Total PoP ]]</f>
        <v>0</v>
      </c>
      <c r="CU8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0.76335877862595425</v>
      </c>
      <c r="CV8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500.00000000000006</v>
      </c>
      <c r="CW82" s="731">
        <f>WWWW[[#This Row],[HRP1]]/500</f>
        <v>1.0000000000000002</v>
      </c>
      <c r="CX82" s="736">
        <f>1-WWWW[[#This Row],[% Equitable and continuous access to sufficient quantity of domestic water]]</f>
        <v>0.23664122137404575</v>
      </c>
      <c r="CY82" s="731">
        <f>WWWW[[#This Row],[%equitable and continuous access to sufficient quantity of safe drinking and domestic water''s GAP]]*WWWW[[#This Row],[Total PoP ]]</f>
        <v>154.99999999999997</v>
      </c>
      <c r="CZ82" s="734">
        <f>IF(WWWW[[#This Row],[Total required water points]]-WWWW[[#This Row],['#Water points coverage]]&lt;0,0,WWWW[[#This Row],[Total required water points]]-WWWW[[#This Row],['#Water points coverage]])</f>
        <v>0</v>
      </c>
      <c r="DA82" s="734">
        <f>ROUND(IF(WWWW[[#This Row],[Total PoP ]]&lt;500,1,WWWW[[#This Row],[Total PoP ]]/500),0)</f>
        <v>1</v>
      </c>
      <c r="DB82" s="734">
        <f>(WWWW[[#This Row],['#_Constructed latrines_by_WASHAgencies]]+WWWW[[#This Row],['#_Non Cluster partner latrines]])-WWWW[[#This Row],['#_Non-functional latrines]]</f>
        <v>18</v>
      </c>
      <c r="DC82" s="631">
        <f>WWWW[[#This Row],[HRP2]]/WWWW[[#This Row],[Total PoP ]]</f>
        <v>0.54961832061068705</v>
      </c>
      <c r="DD8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8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2" s="424">
        <f>IF(WWWW[[#This Row],['# of functional latrines in THF supported by WASH partners during the reporting period2]]="",0,WWWW[[#This Row],['# of functional latrines in THF supported by WASH partners during the reporting period2]]*50)</f>
        <v>0</v>
      </c>
      <c r="DH82" s="734">
        <f>ROUND(IF(WWWW[[#This Row],[Location Type 1]]="camp",WWWW[[#This Row],[Total PoP ]]/20,IF(WWWW[[#This Row],[Location Type 1]]="Temporary Location",WWWW[[#This Row],[Total PoP ]]/50,(WWWW[[#This Row],[Total PoP ]]/6))),0)</f>
        <v>33</v>
      </c>
      <c r="DI82" s="734">
        <f>IF(WWWW[[#This Row],[Total required Latrines]]-(WWWW[[#This Row],['#_Constructed latrines_by_WASHAgencies]]+WWWW[[#This Row],['#_Non Cluster partner latrines]])&lt;0,0,WWWW[[#This Row],[Total required Latrines]]-(WWWW[[#This Row],['#_Constructed latrines_by_WASHAgencies]]+WWWW[[#This Row],['#_Non Cluster partner latrines]]))</f>
        <v>15</v>
      </c>
      <c r="DJ82" s="736">
        <f>1-WWWW[[#This Row],[% people access to functioning Latrine]]</f>
        <v>0.45038167938931295</v>
      </c>
      <c r="DK82" s="735">
        <f>IF(OR(WWWW[[#This Row],['#_Non-functional latrines]]="",WWWW[[#This Row],['#_Non-functional latrines]]=0),0,WWWW[[#This Row],['#_Non-functional latrines]]/(WWWW[[#This Row],['#_Constructed latrines_by_WASHAgencies]]+WWWW[[#This Row],['#_Non Cluster partner latrines]]))</f>
        <v>0</v>
      </c>
      <c r="DL82" s="731">
        <f>IF(500*(WWWW[[#This Row],['#_male hygiene promoters]]+WWWW[[#This Row],['#_female hygiene promoters]])&gt;WWWW[[#This Row],[Total PoP ]],WWWW[[#This Row],[Total PoP ]],500*(WWWW[[#This Row],['#_male hygiene promoters]]+WWWW[[#This Row],['#_female hygiene promoters]]))</f>
        <v>500</v>
      </c>
      <c r="DM8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8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82" s="734">
        <f>IF(WWWW[[#This Row],['# People with access to soap]]&gt;WWWW[[#This Row],['# People with access to Sanity Pads]],WWWW[[#This Row],['# People with access to soap]],WWWW[[#This Row],['# People with access to Sanity Pads]])</f>
        <v>440</v>
      </c>
      <c r="DP82" s="73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82" s="736">
        <f>IF(WWWW[[#This Row],[HRP3]]/WWWW[[#This Row],[Total PoP ]]&gt;1,1,WWWW[[#This Row],[HRP3]]/WWWW[[#This Row],[Total PoP ]])</f>
        <v>0.76335877862595425</v>
      </c>
      <c r="DR82" s="735">
        <f>1-WWWW[[#This Row],[Hygiene Coverage%]]</f>
        <v>0.23664122137404575</v>
      </c>
      <c r="DS82" s="733">
        <f>WWWW[[#This Row],['# people reached by regular dedicated hygiene promotion_5]]/WWWW[[#This Row],[Total PoP ]]</f>
        <v>0.76335877862595425</v>
      </c>
      <c r="DT8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0.64516129032258063</v>
      </c>
      <c r="DV82" s="734">
        <f>WWWW[[#This Row],['#_Constructed/Existing hand washing stations]]-WWWW[[#This Row],['#_Non-Functional_hand_washing_stations]]</f>
        <v>3</v>
      </c>
      <c r="DW82" s="731">
        <f>IF(WWWW[[#This Row],['# Functional hand washing stations during reporting period]]*20&gt;WWWW[[#This Row],[Total HH]],WWWW[[#This Row],[Total HH]],WWWW[[#This Row],['# Functional hand washing stations during reporting period]]*20)</f>
        <v>60</v>
      </c>
      <c r="DX82" s="731">
        <f>IF(WWWW[[#This Row],[Is sufficient soap available for TLS? (Yes/No)]]="yes",WWWW[[#This Row],['#_Constructed/Existing hand washing stations at TLS/CFS/THF]],0)</f>
        <v>0</v>
      </c>
      <c r="DY82" s="428">
        <f>IF(WWWW[[#This Row],['# Functional hand washing stations during reporting period]]*100&gt;WWWW[[#This Row],[Total PoP ]],WWWW[[#This Row],[Total PoP ]],WWWW[[#This Row],['# Functional hand washing stations during reporting period]]*100)</f>
        <v>300</v>
      </c>
      <c r="DZ82" s="428" t="str">
        <f>IF(OR(WWWW[[#This Row],['#_students at TLS_CFS]]="",WWWW[[#This Row],['#_students at TLS_CFS]]=0),"No","Yes")</f>
        <v>No</v>
      </c>
      <c r="EA8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2" s="727" t="str">
        <f>VLOOKUP(WWWW[[#This Row],[Site Name]],SiteDB6[[Site Name]:[CCCM Management]],6,FALSE)</f>
        <v>Yes</v>
      </c>
      <c r="EF82" s="727" t="str">
        <f>VLOOKUP(WWWW[[#This Row],[Site Name]],SiteDB6[[Site Name]:[CCCM Focal Agency]],7,FALSE)</f>
        <v>KBC-NSS</v>
      </c>
      <c r="EG82" s="727" t="str">
        <f>VLOOKUP(WWWW[[#This Row],[Site Name]],SiteDB6[[Site Name]:[Location Type 1]],9,FALSE)</f>
        <v>Camp</v>
      </c>
      <c r="EH82" s="727" t="str">
        <f>VLOOKUP(WWWW[[#This Row],[Site Name]],SiteDB6[[Site Name]:[Type of Accommodation]],10,FALSE)</f>
        <v>Camp</v>
      </c>
      <c r="EI82" s="727" t="str">
        <f>VLOOKUP(WWWW[[#This Row],[Site Name]],SiteDB6[[Site Name]:[Ethnic or GCA/NGCA]],11,FALSE)</f>
        <v>GCA</v>
      </c>
      <c r="EJ82" s="727">
        <f>VLOOKUP(WWWW[[#This Row],[Site Name]],SiteDB6[[Site Name]:[Lat]],12,FALSE)</f>
        <v>23.83013</v>
      </c>
      <c r="EK82" s="727">
        <f>VLOOKUP(WWWW[[#This Row],[Site Name]],SiteDB6[[Site Name]:[Long]],13,FALSE)</f>
        <v>97.589979999999997</v>
      </c>
      <c r="EL82" s="727" t="str">
        <f>VLOOKUP(WWWW[[#This Row],[Site Name]],SiteDB6[[Site Name]:[Pcode]],3,FALSE)</f>
        <v>MMR001CMP133</v>
      </c>
      <c r="EM82" s="732" t="str">
        <f t="shared" si="1"/>
        <v>Covered</v>
      </c>
      <c r="EN82" s="732"/>
      <c r="EO82" s="727">
        <f>VLOOKUP(WWWW[[#This Row],[Site Name]],SiteDB6[[Site Name]:[Pop
(Kachin/Shan-CCCM as of July 2021)]],16,FALSE)</f>
        <v>132</v>
      </c>
      <c r="EP82" s="727">
        <f>VLOOKUP(WWWW[[#This Row],[Site Name]],SiteDB6[[Site Name]:[Pop
(Kachin/Shan-CCCM as of July 2021)]],17,FALSE)</f>
        <v>630</v>
      </c>
    </row>
    <row r="83" spans="1:146" hidden="1">
      <c r="A83" s="725" t="s">
        <v>2763</v>
      </c>
      <c r="B83" s="707" t="s">
        <v>2730</v>
      </c>
      <c r="C83" s="707" t="s">
        <v>2730</v>
      </c>
      <c r="D83" s="369" t="s">
        <v>2731</v>
      </c>
      <c r="E83" s="726" t="s">
        <v>37</v>
      </c>
      <c r="F83" s="726" t="s">
        <v>38</v>
      </c>
      <c r="G83" s="591" t="str">
        <f>VLOOKUP(WWWW[[#This Row],[Site Name]],SiteDB6[[Site Name]:[Location Type]],8,FALSE)</f>
        <v>Camp</v>
      </c>
      <c r="H83" s="726" t="s">
        <v>300</v>
      </c>
      <c r="I83" s="788">
        <v>119</v>
      </c>
      <c r="J83" s="788">
        <v>538</v>
      </c>
      <c r="K83" s="798">
        <v>44409</v>
      </c>
      <c r="L83" s="799">
        <v>44774</v>
      </c>
      <c r="M83" s="728"/>
      <c r="N83" s="728"/>
      <c r="O83" s="728"/>
      <c r="P83" s="728"/>
      <c r="Q83" s="731"/>
      <c r="R83" s="728"/>
      <c r="S83" s="728"/>
      <c r="T83" s="448"/>
      <c r="U83" s="728"/>
      <c r="V83" s="728"/>
      <c r="W83" s="728"/>
      <c r="X83" s="728">
        <v>2</v>
      </c>
      <c r="Y83" s="728"/>
      <c r="Z83" s="728"/>
      <c r="AA83" s="728">
        <v>2</v>
      </c>
      <c r="AB83" s="728"/>
      <c r="AC83" s="728">
        <v>2</v>
      </c>
      <c r="AD83" s="728"/>
      <c r="AE83" s="728"/>
      <c r="AF83" s="728"/>
      <c r="AG83" s="728"/>
      <c r="AH83" s="728"/>
      <c r="AI83" s="728"/>
      <c r="AJ83" s="728"/>
      <c r="AK83" s="728"/>
      <c r="AL83" s="728"/>
      <c r="AM83" s="728"/>
      <c r="AN83" s="728">
        <v>4</v>
      </c>
      <c r="AO83" s="728"/>
      <c r="AP83" s="732"/>
      <c r="AQ83" s="448">
        <v>29</v>
      </c>
      <c r="AR83" s="728"/>
      <c r="AS83" s="733"/>
      <c r="AT83" s="728"/>
      <c r="AU83" s="728"/>
      <c r="AV83" s="728"/>
      <c r="AW83" s="728"/>
      <c r="AX83" s="728"/>
      <c r="AY83" s="727" t="s">
        <v>140</v>
      </c>
      <c r="AZ83" s="732" t="s">
        <v>140</v>
      </c>
      <c r="BA83" s="728"/>
      <c r="BB83" s="728"/>
      <c r="BC83" s="728"/>
      <c r="BD83" s="448"/>
      <c r="BE83" s="448"/>
      <c r="BF83" s="727"/>
      <c r="BG83" s="448">
        <v>3</v>
      </c>
      <c r="BH83" s="448"/>
      <c r="BI83" s="448"/>
      <c r="BJ83" s="448">
        <v>2</v>
      </c>
      <c r="BK83" s="448"/>
      <c r="BL83" s="728"/>
      <c r="BM83" s="728"/>
      <c r="BN83" s="448">
        <v>10</v>
      </c>
      <c r="BO83" s="728">
        <v>18</v>
      </c>
      <c r="BP83" s="727"/>
      <c r="BQ83" s="734"/>
      <c r="BR83" s="423"/>
      <c r="BS83" s="727"/>
      <c r="BT83" s="423"/>
      <c r="BU83" s="423"/>
      <c r="BV83" s="425"/>
      <c r="BW83" s="423"/>
      <c r="BX83" s="448"/>
      <c r="BY83" s="448"/>
      <c r="BZ83" s="448"/>
      <c r="CA83" s="448"/>
      <c r="CB83" s="448"/>
      <c r="CC83" s="777"/>
      <c r="CD83" s="448"/>
      <c r="CE83" s="735" t="str">
        <f>IFERROR(WWWW[[#This Row],['#_Water sources passed]]/WWWW[[#This Row],['#_Water sources tested for fecal coliform ]],"no test")</f>
        <v>no test</v>
      </c>
      <c r="CF83" s="733" t="str">
        <f>IFERROR(WWWW[[#This Row],['#_Household passed]]/WWWW[[#This Row],['#_Household water samples tested for fecal coliform]],"no test")</f>
        <v>no test</v>
      </c>
      <c r="CG83" s="734" t="str">
        <f>IF(AND(WWWW[[#This Row],[% of water sources passed]]="no test",WWWW[[#This Row],[% Household passed]]="no test"),"No Test","Tested")</f>
        <v>No Test</v>
      </c>
      <c r="CH83" s="734">
        <f>WWWW[[#This Row],['#_Constructed/existing protected hand dug well]]-WWWW[[#This Row],['#_Non-functional protected hand dug well]]</f>
        <v>0</v>
      </c>
      <c r="CI83" s="734">
        <f>(WWWW[[#This Row],['#_Constructed/Existing tube wells/boreholes/handpumps_WASH_agency]]+WWWW[[#This Row],['#_Non-Cluster partner water tube-wells/boreholes/handpumps]])-WWWW[[#This Row],['#_Non-functional tube wells/boreholes/handpumps]]</f>
        <v>2</v>
      </c>
      <c r="CJ83" s="734">
        <f>WWWW[[#This Row],['#_Constructed/Existingwater storage tank with gravity fed reticulation system]]-WWWW[[#This Row],['#_Non-functional storage tank gravity fed reticulation system]]</f>
        <v>2</v>
      </c>
      <c r="CK83" s="734">
        <f>(WWWW[[#This Row],['#_Water_Liters_supplied_by_Water boating or water trucking]]/90)/15</f>
        <v>0</v>
      </c>
      <c r="CL83" s="734">
        <f>WWWW[[#This Row],['#_Water_Liters_from_Constructed/Existing water distribution system from river or natural spring]]/90/15</f>
        <v>0</v>
      </c>
      <c r="CM83" s="424">
        <f>IF(WWWW[[#This Row],['#_of water points in TLS/CFS]]*500&gt;WWWW[[#This Row],[Total PoP ]],WWWW[[#This Row],[Total PoP ]],WWWW[[#This Row],['#_of water points in TLS/CFS]]*500)</f>
        <v>538</v>
      </c>
      <c r="CN83" s="424">
        <f>IF(WWWW[[#This Row],['#_of water points in THF]]*500&gt;WWWW[[#This Row],[Total PoP ]],WWWW[[#This Row],[Total PoP ]],WWWW[[#This Row],['#_of water points in THF]]*500)</f>
        <v>0</v>
      </c>
      <c r="CO8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3" s="733">
        <f>IF(WWWW[[#This Row],[Location Type 1]]="Village",WWWW[[#This Row],[Access to safe drinking water for Village]],WWWW[[#This Row],[Access to safe drinking water for Camp]])</f>
        <v>1</v>
      </c>
      <c r="CR83" s="731">
        <f>WWWW[[#This Row],[%Equitable and continuous access to sufficient quantity of safe drinking water]]*WWWW[[#This Row],[Total PoP ]]</f>
        <v>538</v>
      </c>
      <c r="CS83" s="733">
        <f>IF((WWWW[[#This Row],['#_Constructed/Existing protected/fenced ponds]]*250)/WWWW[[#This Row],[Total PoP ]]&gt;1,1,(WWWW[[#This Row],['#_Constructed/Existing protected/fenced ponds]]*250)/WWWW[[#This Row],[Total PoP ]])</f>
        <v>0</v>
      </c>
      <c r="CT83" s="731">
        <f>WWWW[[#This Row],[% Access to unimproved water points]]*WWWW[[#This Row],[Total PoP ]]</f>
        <v>0</v>
      </c>
      <c r="CU8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538</v>
      </c>
      <c r="CW83" s="731">
        <f>WWWW[[#This Row],[HRP1]]/500</f>
        <v>1.0760000000000001</v>
      </c>
      <c r="CX83" s="736">
        <f>1-WWWW[[#This Row],[% Equitable and continuous access to sufficient quantity of domestic water]]</f>
        <v>0</v>
      </c>
      <c r="CY83" s="731">
        <f>WWWW[[#This Row],[%equitable and continuous access to sufficient quantity of safe drinking and domestic water''s GAP]]*WWWW[[#This Row],[Total PoP ]]</f>
        <v>0</v>
      </c>
      <c r="CZ83" s="734">
        <f>IF(WWWW[[#This Row],[Total required water points]]-WWWW[[#This Row],['#Water points coverage]]&lt;0,0,WWWW[[#This Row],[Total required water points]]-WWWW[[#This Row],['#Water points coverage]])</f>
        <v>0</v>
      </c>
      <c r="DA83" s="734">
        <f>ROUND(IF(WWWW[[#This Row],[Total PoP ]]&lt;500,1,WWWW[[#This Row],[Total PoP ]]/500),0)</f>
        <v>1</v>
      </c>
      <c r="DB83" s="734">
        <f>(WWWW[[#This Row],['#_Constructed latrines_by_WASHAgencies]]+WWWW[[#This Row],['#_Non Cluster partner latrines]])-WWWW[[#This Row],['#_Non-functional latrines]]</f>
        <v>29</v>
      </c>
      <c r="DC83" s="631">
        <f>WWWW[[#This Row],[HRP2]]/WWWW[[#This Row],[Total PoP ]]</f>
        <v>1</v>
      </c>
      <c r="DD8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538</v>
      </c>
      <c r="DE8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3" s="424">
        <f>IF(WWWW[[#This Row],['# of functional latrines in THF supported by WASH partners during the reporting period2]]="",0,WWWW[[#This Row],['# of functional latrines in THF supported by WASH partners during the reporting period2]]*50)</f>
        <v>0</v>
      </c>
      <c r="DH83" s="734">
        <f>ROUND(IF(WWWW[[#This Row],[Location Type 1]]="camp",WWWW[[#This Row],[Total PoP ]]/20,IF(WWWW[[#This Row],[Location Type 1]]="Temporary Location",WWWW[[#This Row],[Total PoP ]]/50,(WWWW[[#This Row],[Total PoP ]]/6))),0)</f>
        <v>27</v>
      </c>
      <c r="DI83" s="734">
        <f>IF(WWWW[[#This Row],[Total required Latrines]]-(WWWW[[#This Row],['#_Constructed latrines_by_WASHAgencies]]+WWWW[[#This Row],['#_Non Cluster partner latrines]])&lt;0,0,WWWW[[#This Row],[Total required Latrines]]-(WWWW[[#This Row],['#_Constructed latrines_by_WASHAgencies]]+WWWW[[#This Row],['#_Non Cluster partner latrines]]))</f>
        <v>0</v>
      </c>
      <c r="DJ83" s="736">
        <f>1-WWWW[[#This Row],[% people access to functioning Latrine]]</f>
        <v>0</v>
      </c>
      <c r="DK83" s="735">
        <f>IF(OR(WWWW[[#This Row],['#_Non-functional latrines]]="",WWWW[[#This Row],['#_Non-functional latrines]]=0),0,WWWW[[#This Row],['#_Non-functional latrines]]/(WWWW[[#This Row],['#_Constructed latrines_by_WASHAgencies]]+WWWW[[#This Row],['#_Non Cluster partner latrines]]))</f>
        <v>0</v>
      </c>
      <c r="DL83" s="731">
        <f>IF(500*(WWWW[[#This Row],['#_male hygiene promoters]]+WWWW[[#This Row],['#_female hygiene promoters]])&gt;WWWW[[#This Row],[Total PoP ]],WWWW[[#This Row],[Total PoP ]],500*(WWWW[[#This Row],['#_male hygiene promoters]]+WWWW[[#This Row],['#_female hygiene promoters]]))</f>
        <v>0</v>
      </c>
      <c r="DM8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8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83" s="734">
        <f>IF(WWWW[[#This Row],['# People with access to soap]]&gt;WWWW[[#This Row],['# People with access to Sanity Pads]],WWWW[[#This Row],['# People with access to soap]],WWWW[[#This Row],['# People with access to Sanity Pads]])</f>
        <v>50</v>
      </c>
      <c r="DP83" s="734">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83" s="736">
        <f>IF(WWWW[[#This Row],[HRP3]]/WWWW[[#This Row],[Total PoP ]]&gt;1,1,WWWW[[#This Row],[HRP3]]/WWWW[[#This Row],[Total PoP ]])</f>
        <v>9.2936802973977689E-2</v>
      </c>
      <c r="DR83" s="735">
        <f>1-WWWW[[#This Row],[Hygiene Coverage%]]</f>
        <v>0.90706319702602234</v>
      </c>
      <c r="DS83" s="733">
        <f>WWWW[[#This Row],['# people reached by regular dedicated hygiene promotion_5]]/WWWW[[#This Row],[Total PoP ]]</f>
        <v>0</v>
      </c>
      <c r="DT8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0.33613445378151263</v>
      </c>
      <c r="DU8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0.15126050420168066</v>
      </c>
      <c r="DV83" s="734">
        <f>WWWW[[#This Row],['#_Constructed/Existing hand washing stations]]-WWWW[[#This Row],['#_Non-Functional_hand_washing_stations]]</f>
        <v>3</v>
      </c>
      <c r="DW83" s="731">
        <f>IF(WWWW[[#This Row],['# Functional hand washing stations during reporting period]]*20&gt;WWWW[[#This Row],[Total HH]],WWWW[[#This Row],[Total HH]],WWWW[[#This Row],['# Functional hand washing stations during reporting period]]*20)</f>
        <v>60</v>
      </c>
      <c r="DX83" s="731">
        <f>IF(WWWW[[#This Row],[Is sufficient soap available for TLS? (Yes/No)]]="yes",WWWW[[#This Row],['#_Constructed/Existing hand washing stations at TLS/CFS/THF]],0)</f>
        <v>0</v>
      </c>
      <c r="DY83" s="428">
        <f>IF(WWWW[[#This Row],['# Functional hand washing stations during reporting period]]*100&gt;WWWW[[#This Row],[Total PoP ]],WWWW[[#This Row],[Total PoP ]],WWWW[[#This Row],['# Functional hand washing stations during reporting period]]*100)</f>
        <v>300</v>
      </c>
      <c r="DZ83" s="428" t="str">
        <f>IF(OR(WWWW[[#This Row],['#_students at TLS_CFS]]="",WWWW[[#This Row],['#_students at TLS_CFS]]=0),"No","Yes")</f>
        <v>No</v>
      </c>
      <c r="EA8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538</v>
      </c>
      <c r="ED8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3" s="727" t="str">
        <f>VLOOKUP(WWWW[[#This Row],[Site Name]],SiteDB6[[Site Name]:[CCCM Management]],6,FALSE)</f>
        <v>Yes</v>
      </c>
      <c r="EF83" s="727" t="str">
        <f>VLOOKUP(WWWW[[#This Row],[Site Name]],SiteDB6[[Site Name]:[CCCM Focal Agency]],7,FALSE)</f>
        <v>KBC-NSS</v>
      </c>
      <c r="EG83" s="727" t="str">
        <f>VLOOKUP(WWWW[[#This Row],[Site Name]],SiteDB6[[Site Name]:[Location Type 1]],9,FALSE)</f>
        <v>Camp</v>
      </c>
      <c r="EH83" s="727" t="str">
        <f>VLOOKUP(WWWW[[#This Row],[Site Name]],SiteDB6[[Site Name]:[Type of Accommodation]],10,FALSE)</f>
        <v>Camp</v>
      </c>
      <c r="EI83" s="727" t="str">
        <f>VLOOKUP(WWWW[[#This Row],[Site Name]],SiteDB6[[Site Name]:[Ethnic or GCA/NGCA]],11,FALSE)</f>
        <v>GCA</v>
      </c>
      <c r="EJ83" s="727">
        <f>VLOOKUP(WWWW[[#This Row],[Site Name]],SiteDB6[[Site Name]:[Lat]],12,FALSE)</f>
        <v>23.829599000000002</v>
      </c>
      <c r="EK83" s="727">
        <f>VLOOKUP(WWWW[[#This Row],[Site Name]],SiteDB6[[Site Name]:[Long]],13,FALSE)</f>
        <v>97.590767</v>
      </c>
      <c r="EL83" s="727" t="str">
        <f>VLOOKUP(WWWW[[#This Row],[Site Name]],SiteDB6[[Site Name]:[Pcode]],3,FALSE)</f>
        <v>MMR001CMP230</v>
      </c>
      <c r="EM83" s="732" t="str">
        <f t="shared" si="1"/>
        <v>Covered</v>
      </c>
      <c r="EN83" s="732"/>
      <c r="EO83" s="727">
        <f>VLOOKUP(WWWW[[#This Row],[Site Name]],SiteDB6[[Site Name]:[Pop
(Kachin/Shan-CCCM as of July 2021)]],16,FALSE)</f>
        <v>155</v>
      </c>
      <c r="EP83" s="727">
        <f>VLOOKUP(WWWW[[#This Row],[Site Name]],SiteDB6[[Site Name]:[Pop
(Kachin/Shan-CCCM as of July 2021)]],17,FALSE)</f>
        <v>677</v>
      </c>
    </row>
    <row r="84" spans="1:146" hidden="1">
      <c r="A84" s="725" t="s">
        <v>2763</v>
      </c>
      <c r="B84" s="707" t="s">
        <v>2730</v>
      </c>
      <c r="C84" s="707" t="s">
        <v>2730</v>
      </c>
      <c r="D84" s="369" t="s">
        <v>2731</v>
      </c>
      <c r="E84" s="726" t="s">
        <v>37</v>
      </c>
      <c r="F84" s="726" t="s">
        <v>38</v>
      </c>
      <c r="G84" s="591" t="str">
        <f>VLOOKUP(WWWW[[#This Row],[Site Name]],SiteDB6[[Site Name]:[Location Type]],8,FALSE)</f>
        <v>Camp</v>
      </c>
      <c r="H84" s="726" t="s">
        <v>301</v>
      </c>
      <c r="I84" s="788">
        <v>454</v>
      </c>
      <c r="J84" s="788">
        <v>2354</v>
      </c>
      <c r="K84" s="798">
        <v>44409</v>
      </c>
      <c r="L84" s="799">
        <v>44774</v>
      </c>
      <c r="M84" s="728"/>
      <c r="N84" s="728"/>
      <c r="O84" s="728"/>
      <c r="P84" s="728"/>
      <c r="Q84" s="731"/>
      <c r="R84" s="728"/>
      <c r="S84" s="728"/>
      <c r="T84" s="448"/>
      <c r="U84" s="728"/>
      <c r="V84" s="728"/>
      <c r="W84" s="728"/>
      <c r="X84" s="728">
        <v>1</v>
      </c>
      <c r="Y84" s="728"/>
      <c r="Z84" s="728"/>
      <c r="AA84" s="728">
        <v>2</v>
      </c>
      <c r="AB84" s="728">
        <v>2</v>
      </c>
      <c r="AC84" s="728"/>
      <c r="AD84" s="728"/>
      <c r="AE84" s="728"/>
      <c r="AF84" s="728"/>
      <c r="AG84" s="728"/>
      <c r="AH84" s="728"/>
      <c r="AI84" s="728"/>
      <c r="AJ84" s="728"/>
      <c r="AK84" s="728"/>
      <c r="AL84" s="728"/>
      <c r="AM84" s="728"/>
      <c r="AN84" s="728">
        <v>12</v>
      </c>
      <c r="AO84" s="728"/>
      <c r="AP84" s="732"/>
      <c r="AQ84" s="448">
        <v>147</v>
      </c>
      <c r="AR84" s="728"/>
      <c r="AS84" s="733"/>
      <c r="AT84" s="448"/>
      <c r="AU84" s="728"/>
      <c r="AV84" s="728"/>
      <c r="AW84" s="728"/>
      <c r="AX84" s="728"/>
      <c r="AY84" s="727" t="s">
        <v>140</v>
      </c>
      <c r="AZ84" s="732" t="s">
        <v>140</v>
      </c>
      <c r="BA84" s="728"/>
      <c r="BB84" s="728"/>
      <c r="BC84" s="728"/>
      <c r="BD84" s="448"/>
      <c r="BE84" s="448"/>
      <c r="BF84" s="727"/>
      <c r="BG84" s="448">
        <v>1</v>
      </c>
      <c r="BH84" s="448"/>
      <c r="BI84" s="448"/>
      <c r="BJ84" s="448">
        <v>3</v>
      </c>
      <c r="BK84" s="448"/>
      <c r="BL84" s="728"/>
      <c r="BM84" s="728">
        <v>1</v>
      </c>
      <c r="BN84" s="728">
        <v>41</v>
      </c>
      <c r="BO84" s="728">
        <v>85</v>
      </c>
      <c r="BP84" s="727"/>
      <c r="BQ84" s="734"/>
      <c r="BR84" s="423"/>
      <c r="BS84" s="727"/>
      <c r="BT84" s="423"/>
      <c r="BU84" s="423"/>
      <c r="BV84" s="425"/>
      <c r="BW84" s="423"/>
      <c r="BX84" s="448"/>
      <c r="BY84" s="448"/>
      <c r="BZ84" s="448"/>
      <c r="CA84" s="448"/>
      <c r="CB84" s="448"/>
      <c r="CC84" s="777"/>
      <c r="CD84" s="448"/>
      <c r="CE84" s="735" t="str">
        <f>IFERROR(WWWW[[#This Row],['#_Water sources passed]]/WWWW[[#This Row],['#_Water sources tested for fecal coliform ]],"no test")</f>
        <v>no test</v>
      </c>
      <c r="CF84" s="733" t="str">
        <f>IFERROR(WWWW[[#This Row],['#_Household passed]]/WWWW[[#This Row],['#_Household water samples tested for fecal coliform]],"no test")</f>
        <v>no test</v>
      </c>
      <c r="CG84" s="734" t="str">
        <f>IF(AND(WWWW[[#This Row],[% of water sources passed]]="no test",WWWW[[#This Row],[% Household passed]]="no test"),"No Test","Tested")</f>
        <v>No Test</v>
      </c>
      <c r="CH84" s="734">
        <f>WWWW[[#This Row],['#_Constructed/existing protected hand dug well]]-WWWW[[#This Row],['#_Non-functional protected hand dug well]]</f>
        <v>0</v>
      </c>
      <c r="CI84" s="734">
        <f>(WWWW[[#This Row],['#_Constructed/Existing tube wells/boreholes/handpumps_WASH_agency]]+WWWW[[#This Row],['#_Non-Cluster partner water tube-wells/boreholes/handpumps]])-WWWW[[#This Row],['#_Non-functional tube wells/boreholes/handpumps]]</f>
        <v>1</v>
      </c>
      <c r="CJ84" s="734">
        <f>WWWW[[#This Row],['#_Constructed/Existingwater storage tank with gravity fed reticulation system]]-WWWW[[#This Row],['#_Non-functional storage tank gravity fed reticulation system]]</f>
        <v>0</v>
      </c>
      <c r="CK84" s="734">
        <f>(WWWW[[#This Row],['#_Water_Liters_supplied_by_Water boating or water trucking]]/90)/15</f>
        <v>0</v>
      </c>
      <c r="CL84" s="734">
        <f>WWWW[[#This Row],['#_Water_Liters_from_Constructed/Existing water distribution system from river or natural spring]]/90/15</f>
        <v>0</v>
      </c>
      <c r="CM84" s="424">
        <f>IF(WWWW[[#This Row],['#_of water points in TLS/CFS]]*500&gt;WWWW[[#This Row],[Total PoP ]],WWWW[[#This Row],[Total PoP ]],WWWW[[#This Row],['#_of water points in TLS/CFS]]*500)</f>
        <v>2354</v>
      </c>
      <c r="CN84" s="424">
        <f>IF(WWWW[[#This Row],['#_of water points in THF]]*500&gt;WWWW[[#This Row],[Total PoP ]],WWWW[[#This Row],[Total PoP ]],WWWW[[#This Row],['#_of water points in THF]]*500)</f>
        <v>0</v>
      </c>
      <c r="CO8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0.21240441801189464</v>
      </c>
      <c r="CP8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0.10620220900594732</v>
      </c>
      <c r="CQ84" s="733">
        <f>IF(WWWW[[#This Row],[Location Type 1]]="Village",WWWW[[#This Row],[Access to safe drinking water for Village]],WWWW[[#This Row],[Access to safe drinking water for Camp]])</f>
        <v>0.21240441801189464</v>
      </c>
      <c r="CR84" s="731">
        <f>WWWW[[#This Row],[%Equitable and continuous access to sufficient quantity of safe drinking water]]*WWWW[[#This Row],[Total PoP ]]</f>
        <v>500</v>
      </c>
      <c r="CS84" s="733">
        <f>IF((WWWW[[#This Row],['#_Constructed/Existing protected/fenced ponds]]*250)/WWWW[[#This Row],[Total PoP ]]&gt;1,1,(WWWW[[#This Row],['#_Constructed/Existing protected/fenced ponds]]*250)/WWWW[[#This Row],[Total PoP ]])</f>
        <v>0</v>
      </c>
      <c r="CT84" s="731">
        <f>WWWW[[#This Row],[% Access to unimproved water points]]*WWWW[[#This Row],[Total PoP ]]</f>
        <v>0</v>
      </c>
      <c r="CU8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0.21240441801189464</v>
      </c>
      <c r="CV8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84" s="731">
        <f>WWWW[[#This Row],[HRP1]]/500</f>
        <v>1</v>
      </c>
      <c r="CX84" s="736">
        <f>1-WWWW[[#This Row],[% Equitable and continuous access to sufficient quantity of domestic water]]</f>
        <v>0.78759558198810531</v>
      </c>
      <c r="CY84" s="731">
        <f>WWWW[[#This Row],[%equitable and continuous access to sufficient quantity of safe drinking and domestic water''s GAP]]*WWWW[[#This Row],[Total PoP ]]</f>
        <v>1854</v>
      </c>
      <c r="CZ84" s="734">
        <f>IF(WWWW[[#This Row],[Total required water points]]-WWWW[[#This Row],['#Water points coverage]]&lt;0,0,WWWW[[#This Row],[Total required water points]]-WWWW[[#This Row],['#Water points coverage]])</f>
        <v>4</v>
      </c>
      <c r="DA84" s="734">
        <f>ROUND(IF(WWWW[[#This Row],[Total PoP ]]&lt;500,1,WWWW[[#This Row],[Total PoP ]]/500),0)</f>
        <v>5</v>
      </c>
      <c r="DB84" s="734">
        <f>(WWWW[[#This Row],['#_Constructed latrines_by_WASHAgencies]]+WWWW[[#This Row],['#_Non Cluster partner latrines]])-WWWW[[#This Row],['#_Non-functional latrines]]</f>
        <v>147</v>
      </c>
      <c r="DC84" s="631">
        <f>WWWW[[#This Row],[HRP2]]/WWWW[[#This Row],[Total PoP ]]</f>
        <v>1</v>
      </c>
      <c r="DD8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2354</v>
      </c>
      <c r="DE8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4" s="424">
        <f>IF(WWWW[[#This Row],['# of functional latrines in THF supported by WASH partners during the reporting period2]]="",0,WWWW[[#This Row],['# of functional latrines in THF supported by WASH partners during the reporting period2]]*50)</f>
        <v>0</v>
      </c>
      <c r="DH84" s="734">
        <f>ROUND(IF(WWWW[[#This Row],[Location Type 1]]="camp",WWWW[[#This Row],[Total PoP ]]/20,IF(WWWW[[#This Row],[Location Type 1]]="Temporary Location",WWWW[[#This Row],[Total PoP ]]/50,(WWWW[[#This Row],[Total PoP ]]/6))),0)</f>
        <v>118</v>
      </c>
      <c r="DI84" s="734">
        <f>IF(WWWW[[#This Row],[Total required Latrines]]-(WWWW[[#This Row],['#_Constructed latrines_by_WASHAgencies]]+WWWW[[#This Row],['#_Non Cluster partner latrines]])&lt;0,0,WWWW[[#This Row],[Total required Latrines]]-(WWWW[[#This Row],['#_Constructed latrines_by_WASHAgencies]]+WWWW[[#This Row],['#_Non Cluster partner latrines]]))</f>
        <v>0</v>
      </c>
      <c r="DJ84" s="736">
        <f>1-WWWW[[#This Row],[% people access to functioning Latrine]]</f>
        <v>0</v>
      </c>
      <c r="DK84" s="735">
        <f>IF(OR(WWWW[[#This Row],['#_Non-functional latrines]]="",WWWW[[#This Row],['#_Non-functional latrines]]=0),0,WWWW[[#This Row],['#_Non-functional latrines]]/(WWWW[[#This Row],['#_Constructed latrines_by_WASHAgencies]]+WWWW[[#This Row],['#_Non Cluster partner latrines]]))</f>
        <v>0</v>
      </c>
      <c r="DL84" s="731">
        <f>IF(500*(WWWW[[#This Row],['#_male hygiene promoters]]+WWWW[[#This Row],['#_female hygiene promoters]])&gt;WWWW[[#This Row],[Total PoP ]],WWWW[[#This Row],[Total PoP ]],500*(WWWW[[#This Row],['#_male hygiene promoters]]+WWWW[[#This Row],['#_female hygiene promoters]]))</f>
        <v>500</v>
      </c>
      <c r="DM8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8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84" s="734">
        <f>IF(WWWW[[#This Row],['# People with access to soap]]&gt;WWWW[[#This Row],['# People with access to Sanity Pads]],WWWW[[#This Row],['# People with access to soap]],WWWW[[#This Row],['# People with access to Sanity Pads]])</f>
        <v>205</v>
      </c>
      <c r="DP84" s="73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84" s="736">
        <f>IF(WWWW[[#This Row],[HRP3]]/WWWW[[#This Row],[Total PoP ]]&gt;1,1,WWWW[[#This Row],[HRP3]]/WWWW[[#This Row],[Total PoP ]])</f>
        <v>0.21240441801189464</v>
      </c>
      <c r="DR84" s="735">
        <f>1-WWWW[[#This Row],[Hygiene Coverage%]]</f>
        <v>0.78759558198810531</v>
      </c>
      <c r="DS84" s="733">
        <f>WWWW[[#This Row],['# people reached by regular dedicated hygiene promotion_5]]/WWWW[[#This Row],[Total PoP ]]</f>
        <v>0.21240441801189464</v>
      </c>
      <c r="DT8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0.36123348017621143</v>
      </c>
      <c r="DU8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0.18722466960352424</v>
      </c>
      <c r="DV84" s="734">
        <f>WWWW[[#This Row],['#_Constructed/Existing hand washing stations]]-WWWW[[#This Row],['#_Non-Functional_hand_washing_stations]]</f>
        <v>1</v>
      </c>
      <c r="DW84" s="731">
        <f>IF(WWWW[[#This Row],['# Functional hand washing stations during reporting period]]*20&gt;WWWW[[#This Row],[Total HH]],WWWW[[#This Row],[Total HH]],WWWW[[#This Row],['# Functional hand washing stations during reporting period]]*20)</f>
        <v>20</v>
      </c>
      <c r="DX84" s="731">
        <f>IF(WWWW[[#This Row],[Is sufficient soap available for TLS? (Yes/No)]]="yes",WWWW[[#This Row],['#_Constructed/Existing hand washing stations at TLS/CFS/THF]],0)</f>
        <v>0</v>
      </c>
      <c r="DY84" s="428">
        <f>IF(WWWW[[#This Row],['# Functional hand washing stations during reporting period]]*100&gt;WWWW[[#This Row],[Total PoP ]],WWWW[[#This Row],[Total PoP ]],WWWW[[#This Row],['# Functional hand washing stations during reporting period]]*100)</f>
        <v>100</v>
      </c>
      <c r="DZ84" s="428" t="str">
        <f>IF(OR(WWWW[[#This Row],['#_students at TLS_CFS]]="",WWWW[[#This Row],['#_students at TLS_CFS]]=0),"No","Yes")</f>
        <v>No</v>
      </c>
      <c r="EA8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2354</v>
      </c>
      <c r="ED8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4" s="727" t="str">
        <f>VLOOKUP(WWWW[[#This Row],[Site Name]],SiteDB6[[Site Name]:[CCCM Management]],6,FALSE)</f>
        <v>Yes</v>
      </c>
      <c r="EF84" s="727" t="str">
        <f>VLOOKUP(WWWW[[#This Row],[Site Name]],SiteDB6[[Site Name]:[CCCM Focal Agency]],7,FALSE)</f>
        <v>KMSS-BMO</v>
      </c>
      <c r="EG84" s="727" t="str">
        <f>VLOOKUP(WWWW[[#This Row],[Site Name]],SiteDB6[[Site Name]:[Location Type 1]],9,FALSE)</f>
        <v>Camp</v>
      </c>
      <c r="EH84" s="727" t="str">
        <f>VLOOKUP(WWWW[[#This Row],[Site Name]],SiteDB6[[Site Name]:[Type of Accommodation]],10,FALSE)</f>
        <v>Camp</v>
      </c>
      <c r="EI84" s="727" t="str">
        <f>VLOOKUP(WWWW[[#This Row],[Site Name]],SiteDB6[[Site Name]:[Ethnic or GCA/NGCA]],11,FALSE)</f>
        <v>GCA</v>
      </c>
      <c r="EJ84" s="727">
        <f>VLOOKUP(WWWW[[#This Row],[Site Name]],SiteDB6[[Site Name]:[Lat]],12,FALSE)</f>
        <v>23.835319999999999</v>
      </c>
      <c r="EK84" s="727">
        <f>VLOOKUP(WWWW[[#This Row],[Site Name]],SiteDB6[[Site Name]:[Long]],13,FALSE)</f>
        <v>97.578490000000002</v>
      </c>
      <c r="EL84" s="727" t="str">
        <f>VLOOKUP(WWWW[[#This Row],[Site Name]],SiteDB6[[Site Name]:[Pcode]],3,FALSE)</f>
        <v>MMR001CMP132</v>
      </c>
      <c r="EM84" s="732" t="str">
        <f t="shared" si="1"/>
        <v>Covered</v>
      </c>
      <c r="EN84" s="732"/>
      <c r="EO84" s="727">
        <f>VLOOKUP(WWWW[[#This Row],[Site Name]],SiteDB6[[Site Name]:[Pop
(Kachin/Shan-CCCM as of July 2021)]],16,FALSE)</f>
        <v>622</v>
      </c>
      <c r="EP84" s="727">
        <f>VLOOKUP(WWWW[[#This Row],[Site Name]],SiteDB6[[Site Name]:[Pop
(Kachin/Shan-CCCM as of July 2021)]],17,FALSE)</f>
        <v>3302</v>
      </c>
    </row>
    <row r="85" spans="1:146" hidden="1">
      <c r="A85" s="725" t="s">
        <v>2763</v>
      </c>
      <c r="B85" s="707" t="s">
        <v>2730</v>
      </c>
      <c r="C85" s="707" t="s">
        <v>2730</v>
      </c>
      <c r="D85" s="369" t="s">
        <v>2731</v>
      </c>
      <c r="E85" s="726" t="s">
        <v>37</v>
      </c>
      <c r="F85" s="726" t="s">
        <v>38</v>
      </c>
      <c r="G85" s="591" t="str">
        <f>VLOOKUP(WWWW[[#This Row],[Site Name]],SiteDB6[[Site Name]:[Location Type]],8,FALSE)</f>
        <v>Camp</v>
      </c>
      <c r="H85" s="726" t="s">
        <v>302</v>
      </c>
      <c r="I85" s="788">
        <v>142</v>
      </c>
      <c r="J85" s="788">
        <v>737</v>
      </c>
      <c r="K85" s="798">
        <v>44409</v>
      </c>
      <c r="L85" s="799">
        <v>44774</v>
      </c>
      <c r="M85" s="728"/>
      <c r="N85" s="728"/>
      <c r="O85" s="728"/>
      <c r="P85" s="728"/>
      <c r="Q85" s="731"/>
      <c r="R85" s="728"/>
      <c r="S85" s="728"/>
      <c r="T85" s="448">
        <v>1</v>
      </c>
      <c r="U85" s="728"/>
      <c r="V85" s="728"/>
      <c r="W85" s="728"/>
      <c r="X85" s="728">
        <v>1</v>
      </c>
      <c r="Y85" s="728"/>
      <c r="Z85" s="728"/>
      <c r="AA85" s="728"/>
      <c r="AB85" s="728"/>
      <c r="AC85" s="728"/>
      <c r="AD85" s="728"/>
      <c r="AE85" s="728"/>
      <c r="AF85" s="728"/>
      <c r="AG85" s="728"/>
      <c r="AH85" s="728"/>
      <c r="AI85" s="728"/>
      <c r="AJ85" s="728"/>
      <c r="AK85" s="728"/>
      <c r="AL85" s="728"/>
      <c r="AM85" s="728"/>
      <c r="AN85" s="728"/>
      <c r="AO85" s="728"/>
      <c r="AP85" s="732"/>
      <c r="AQ85" s="448">
        <v>48</v>
      </c>
      <c r="AR85" s="728"/>
      <c r="AS85" s="733"/>
      <c r="AT85" s="728"/>
      <c r="AU85" s="728"/>
      <c r="AV85" s="728"/>
      <c r="AW85" s="728"/>
      <c r="AX85" s="728"/>
      <c r="AY85" s="727" t="s">
        <v>140</v>
      </c>
      <c r="AZ85" s="732" t="s">
        <v>140</v>
      </c>
      <c r="BA85" s="728"/>
      <c r="BB85" s="728"/>
      <c r="BC85" s="728"/>
      <c r="BD85" s="448"/>
      <c r="BE85" s="448"/>
      <c r="BF85" s="727"/>
      <c r="BG85" s="448">
        <v>1</v>
      </c>
      <c r="BH85" s="448"/>
      <c r="BI85" s="448"/>
      <c r="BJ85" s="448">
        <v>1</v>
      </c>
      <c r="BK85" s="448"/>
      <c r="BL85" s="728"/>
      <c r="BM85" s="728"/>
      <c r="BN85" s="728">
        <v>6</v>
      </c>
      <c r="BO85" s="728">
        <v>5</v>
      </c>
      <c r="BP85" s="727"/>
      <c r="BQ85" s="734"/>
      <c r="BR85" s="423"/>
      <c r="BS85" s="727"/>
      <c r="BT85" s="423"/>
      <c r="BU85" s="423"/>
      <c r="BV85" s="425"/>
      <c r="BW85" s="423"/>
      <c r="BX85" s="448"/>
      <c r="BY85" s="448"/>
      <c r="BZ85" s="448"/>
      <c r="CA85" s="448"/>
      <c r="CB85" s="448"/>
      <c r="CC85" s="777"/>
      <c r="CD85" s="448"/>
      <c r="CE85" s="735" t="str">
        <f>IFERROR(WWWW[[#This Row],['#_Water sources passed]]/WWWW[[#This Row],['#_Water sources tested for fecal coliform ]],"no test")</f>
        <v>no test</v>
      </c>
      <c r="CF85" s="733" t="str">
        <f>IFERROR(WWWW[[#This Row],['#_Household passed]]/WWWW[[#This Row],['#_Household water samples tested for fecal coliform]],"no test")</f>
        <v>no test</v>
      </c>
      <c r="CG85" s="734" t="str">
        <f>IF(AND(WWWW[[#This Row],[% of water sources passed]]="no test",WWWW[[#This Row],[% Household passed]]="no test"),"No Test","Tested")</f>
        <v>No Test</v>
      </c>
      <c r="CH85" s="734">
        <f>WWWW[[#This Row],['#_Constructed/existing protected hand dug well]]-WWWW[[#This Row],['#_Non-functional protected hand dug well]]</f>
        <v>1</v>
      </c>
      <c r="CI85" s="734">
        <f>(WWWW[[#This Row],['#_Constructed/Existing tube wells/boreholes/handpumps_WASH_agency]]+WWWW[[#This Row],['#_Non-Cluster partner water tube-wells/boreholes/handpumps]])-WWWW[[#This Row],['#_Non-functional tube wells/boreholes/handpumps]]</f>
        <v>1</v>
      </c>
      <c r="CJ85" s="734">
        <f>WWWW[[#This Row],['#_Constructed/Existingwater storage tank with gravity fed reticulation system]]-WWWW[[#This Row],['#_Non-functional storage tank gravity fed reticulation system]]</f>
        <v>0</v>
      </c>
      <c r="CK85" s="734">
        <f>(WWWW[[#This Row],['#_Water_Liters_supplied_by_Water boating or water trucking]]/90)/15</f>
        <v>0</v>
      </c>
      <c r="CL85" s="734">
        <f>WWWW[[#This Row],['#_Water_Liters_from_Constructed/Existing water distribution system from river or natural spring]]/90/15</f>
        <v>0</v>
      </c>
      <c r="CM85" s="424">
        <f>IF(WWWW[[#This Row],['#_of water points in TLS/CFS]]*500&gt;WWWW[[#This Row],[Total PoP ]],WWWW[[#This Row],[Total PoP ]],WWWW[[#This Row],['#_of water points in TLS/CFS]]*500)</f>
        <v>0</v>
      </c>
      <c r="CN85" s="424">
        <f>IF(WWWW[[#This Row],['#_of water points in THF]]*500&gt;WWWW[[#This Row],[Total PoP ]],WWWW[[#This Row],[Total PoP ]],WWWW[[#This Row],['#_of water points in THF]]*500)</f>
        <v>0</v>
      </c>
      <c r="CO8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0.67842605156037994</v>
      </c>
      <c r="CQ85" s="733">
        <f>IF(WWWW[[#This Row],[Location Type 1]]="Village",WWWW[[#This Row],[Access to safe drinking water for Village]],WWWW[[#This Row],[Access to safe drinking water for Camp]])</f>
        <v>1</v>
      </c>
      <c r="CR85" s="731">
        <f>WWWW[[#This Row],[%Equitable and continuous access to sufficient quantity of safe drinking water]]*WWWW[[#This Row],[Total PoP ]]</f>
        <v>737</v>
      </c>
      <c r="CS85" s="733">
        <f>IF((WWWW[[#This Row],['#_Constructed/Existing protected/fenced ponds]]*250)/WWWW[[#This Row],[Total PoP ]]&gt;1,1,(WWWW[[#This Row],['#_Constructed/Existing protected/fenced ponds]]*250)/WWWW[[#This Row],[Total PoP ]])</f>
        <v>0</v>
      </c>
      <c r="CT85" s="731">
        <f>WWWW[[#This Row],[% Access to unimproved water points]]*WWWW[[#This Row],[Total PoP ]]</f>
        <v>0</v>
      </c>
      <c r="CU8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737</v>
      </c>
      <c r="CW85" s="731">
        <f>WWWW[[#This Row],[HRP1]]/500</f>
        <v>1.474</v>
      </c>
      <c r="CX85" s="736">
        <f>1-WWWW[[#This Row],[% Equitable and continuous access to sufficient quantity of domestic water]]</f>
        <v>0</v>
      </c>
      <c r="CY85" s="731">
        <f>WWWW[[#This Row],[%equitable and continuous access to sufficient quantity of safe drinking and domestic water''s GAP]]*WWWW[[#This Row],[Total PoP ]]</f>
        <v>0</v>
      </c>
      <c r="CZ85" s="734">
        <f>IF(WWWW[[#This Row],[Total required water points]]-WWWW[[#This Row],['#Water points coverage]]&lt;0,0,WWWW[[#This Row],[Total required water points]]-WWWW[[#This Row],['#Water points coverage]])</f>
        <v>0</v>
      </c>
      <c r="DA85" s="734">
        <f>ROUND(IF(WWWW[[#This Row],[Total PoP ]]&lt;500,1,WWWW[[#This Row],[Total PoP ]]/500),0)</f>
        <v>1</v>
      </c>
      <c r="DB85" s="734">
        <f>(WWWW[[#This Row],['#_Constructed latrines_by_WASHAgencies]]+WWWW[[#This Row],['#_Non Cluster partner latrines]])-WWWW[[#This Row],['#_Non-functional latrines]]</f>
        <v>48</v>
      </c>
      <c r="DC85" s="631">
        <f>WWWW[[#This Row],[HRP2]]/WWWW[[#This Row],[Total PoP ]]</f>
        <v>1</v>
      </c>
      <c r="DD8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737</v>
      </c>
      <c r="DE8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5" s="424">
        <f>IF(WWWW[[#This Row],['# of functional latrines in THF supported by WASH partners during the reporting period2]]="",0,WWWW[[#This Row],['# of functional latrines in THF supported by WASH partners during the reporting period2]]*50)</f>
        <v>0</v>
      </c>
      <c r="DH85" s="734">
        <f>ROUND(IF(WWWW[[#This Row],[Location Type 1]]="camp",WWWW[[#This Row],[Total PoP ]]/20,IF(WWWW[[#This Row],[Location Type 1]]="Temporary Location",WWWW[[#This Row],[Total PoP ]]/50,(WWWW[[#This Row],[Total PoP ]]/6))),0)</f>
        <v>37</v>
      </c>
      <c r="DI85" s="734">
        <f>IF(WWWW[[#This Row],[Total required Latrines]]-(WWWW[[#This Row],['#_Constructed latrines_by_WASHAgencies]]+WWWW[[#This Row],['#_Non Cluster partner latrines]])&lt;0,0,WWWW[[#This Row],[Total required Latrines]]-(WWWW[[#This Row],['#_Constructed latrines_by_WASHAgencies]]+WWWW[[#This Row],['#_Non Cluster partner latrines]]))</f>
        <v>0</v>
      </c>
      <c r="DJ85" s="736">
        <f>1-WWWW[[#This Row],[% people access to functioning Latrine]]</f>
        <v>0</v>
      </c>
      <c r="DK85" s="735">
        <f>IF(OR(WWWW[[#This Row],['#_Non-functional latrines]]="",WWWW[[#This Row],['#_Non-functional latrines]]=0),0,WWWW[[#This Row],['#_Non-functional latrines]]/(WWWW[[#This Row],['#_Constructed latrines_by_WASHAgencies]]+WWWW[[#This Row],['#_Non Cluster partner latrines]]))</f>
        <v>0</v>
      </c>
      <c r="DL85" s="731">
        <f>IF(500*(WWWW[[#This Row],['#_male hygiene promoters]]+WWWW[[#This Row],['#_female hygiene promoters]])&gt;WWWW[[#This Row],[Total PoP ]],WWWW[[#This Row],[Total PoP ]],500*(WWWW[[#This Row],['#_male hygiene promoters]]+WWWW[[#This Row],['#_female hygiene promoters]]))</f>
        <v>0</v>
      </c>
      <c r="DM8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8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85" s="734">
        <f>IF(WWWW[[#This Row],['# People with access to soap]]&gt;WWWW[[#This Row],['# People with access to Sanity Pads]],WWWW[[#This Row],['# People with access to soap]],WWWW[[#This Row],['# People with access to Sanity Pads]])</f>
        <v>30</v>
      </c>
      <c r="DP85" s="734">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85" s="736">
        <f>IF(WWWW[[#This Row],[HRP3]]/WWWW[[#This Row],[Total PoP ]]&gt;1,1,WWWW[[#This Row],[HRP3]]/WWWW[[#This Row],[Total PoP ]])</f>
        <v>4.0705563093622797E-2</v>
      </c>
      <c r="DR85" s="735">
        <f>1-WWWW[[#This Row],[Hygiene Coverage%]]</f>
        <v>0.95929443690637717</v>
      </c>
      <c r="DS85" s="733">
        <f>WWWW[[#This Row],['# people reached by regular dedicated hygiene promotion_5]]/WWWW[[#This Row],[Total PoP ]]</f>
        <v>0</v>
      </c>
      <c r="DT8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0.16901408450704225</v>
      </c>
      <c r="DU8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3.5211267605633804E-2</v>
      </c>
      <c r="DV85" s="734">
        <f>WWWW[[#This Row],['#_Constructed/Existing hand washing stations]]-WWWW[[#This Row],['#_Non-Functional_hand_washing_stations]]</f>
        <v>1</v>
      </c>
      <c r="DW85" s="731">
        <f>IF(WWWW[[#This Row],['# Functional hand washing stations during reporting period]]*20&gt;WWWW[[#This Row],[Total HH]],WWWW[[#This Row],[Total HH]],WWWW[[#This Row],['# Functional hand washing stations during reporting period]]*20)</f>
        <v>20</v>
      </c>
      <c r="DX85" s="731">
        <f>IF(WWWW[[#This Row],[Is sufficient soap available for TLS? (Yes/No)]]="yes",WWWW[[#This Row],['#_Constructed/Existing hand washing stations at TLS/CFS/THF]],0)</f>
        <v>0</v>
      </c>
      <c r="DY85" s="428">
        <f>IF(WWWW[[#This Row],['# Functional hand washing stations during reporting period]]*100&gt;WWWW[[#This Row],[Total PoP ]],WWWW[[#This Row],[Total PoP ]],WWWW[[#This Row],['# Functional hand washing stations during reporting period]]*100)</f>
        <v>100</v>
      </c>
      <c r="DZ85" s="428" t="str">
        <f>IF(OR(WWWW[[#This Row],['#_students at TLS_CFS]]="",WWWW[[#This Row],['#_students at TLS_CFS]]=0),"No","Yes")</f>
        <v>No</v>
      </c>
      <c r="EA8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5" s="727" t="str">
        <f>VLOOKUP(WWWW[[#This Row],[Site Name]],SiteDB6[[Site Name]:[CCCM Management]],6,FALSE)</f>
        <v>Yes</v>
      </c>
      <c r="EF85" s="727" t="str">
        <f>VLOOKUP(WWWW[[#This Row],[Site Name]],SiteDB6[[Site Name]:[CCCM Focal Agency]],7,FALSE)</f>
        <v>KMSS-BMO</v>
      </c>
      <c r="EG85" s="727" t="str">
        <f>VLOOKUP(WWWW[[#This Row],[Site Name]],SiteDB6[[Site Name]:[Location Type 1]],9,FALSE)</f>
        <v>Camp</v>
      </c>
      <c r="EH85" s="727" t="str">
        <f>VLOOKUP(WWWW[[#This Row],[Site Name]],SiteDB6[[Site Name]:[Type of Accommodation]],10,FALSE)</f>
        <v>Camp</v>
      </c>
      <c r="EI85" s="727" t="str">
        <f>VLOOKUP(WWWW[[#This Row],[Site Name]],SiteDB6[[Site Name]:[Ethnic or GCA/NGCA]],11,FALSE)</f>
        <v>GCA</v>
      </c>
      <c r="EJ85" s="727">
        <f>VLOOKUP(WWWW[[#This Row],[Site Name]],SiteDB6[[Site Name]:[Lat]],12,FALSE)</f>
        <v>23.833477999999999</v>
      </c>
      <c r="EK85" s="727">
        <f>VLOOKUP(WWWW[[#This Row],[Site Name]],SiteDB6[[Site Name]:[Long]],13,FALSE)</f>
        <v>97.578367</v>
      </c>
      <c r="EL85" s="727" t="str">
        <f>VLOOKUP(WWWW[[#This Row],[Site Name]],SiteDB6[[Site Name]:[Pcode]],3,FALSE)</f>
        <v>MMR001CMP228</v>
      </c>
      <c r="EM85" s="732" t="str">
        <f t="shared" si="1"/>
        <v>Covered</v>
      </c>
      <c r="EN85" s="732"/>
      <c r="EO85" s="727">
        <f>VLOOKUP(WWWW[[#This Row],[Site Name]],SiteDB6[[Site Name]:[Pop
(Kachin/Shan-CCCM as of July 2021)]],16,FALSE)</f>
        <v>142</v>
      </c>
      <c r="EP85" s="727">
        <f>VLOOKUP(WWWW[[#This Row],[Site Name]],SiteDB6[[Site Name]:[Pop
(Kachin/Shan-CCCM as of July 2021)]],17,FALSE)</f>
        <v>830</v>
      </c>
    </row>
    <row r="86" spans="1:146" hidden="1">
      <c r="A86" s="725" t="s">
        <v>2763</v>
      </c>
      <c r="B86" s="725" t="s">
        <v>192</v>
      </c>
      <c r="C86" s="726" t="s">
        <v>192</v>
      </c>
      <c r="D86" s="726" t="s">
        <v>2673</v>
      </c>
      <c r="E86" s="726" t="s">
        <v>37</v>
      </c>
      <c r="F86" s="726" t="s">
        <v>38</v>
      </c>
      <c r="G86" s="591" t="str">
        <f>VLOOKUP(WWWW[[#This Row],[Site Name]],SiteDB6[[Site Name]:[Location Type]],8,FALSE)</f>
        <v>Camp</v>
      </c>
      <c r="H86" s="726" t="s">
        <v>3024</v>
      </c>
      <c r="I86" s="728">
        <v>97</v>
      </c>
      <c r="J86" s="728">
        <v>544</v>
      </c>
      <c r="K86" s="729" t="s">
        <v>2667</v>
      </c>
      <c r="L86" s="56" t="s">
        <v>2674</v>
      </c>
      <c r="M86" s="728"/>
      <c r="N86" s="728"/>
      <c r="O86" s="728"/>
      <c r="P86" s="728"/>
      <c r="Q86" s="731"/>
      <c r="R86" s="728"/>
      <c r="S86" s="728"/>
      <c r="T86" s="448">
        <v>3</v>
      </c>
      <c r="U86" s="728"/>
      <c r="V86" s="728"/>
      <c r="W86" s="728"/>
      <c r="X86" s="728"/>
      <c r="Y86" s="728"/>
      <c r="Z86" s="728"/>
      <c r="AA86" s="728"/>
      <c r="AB86" s="728"/>
      <c r="AC86" s="728"/>
      <c r="AD86" s="728"/>
      <c r="AE86" s="728"/>
      <c r="AF86" s="728"/>
      <c r="AG86" s="728"/>
      <c r="AH86" s="728"/>
      <c r="AI86" s="728"/>
      <c r="AJ86" s="728"/>
      <c r="AK86" s="728"/>
      <c r="AL86" s="728"/>
      <c r="AM86" s="728"/>
      <c r="AN86" s="728"/>
      <c r="AO86" s="728"/>
      <c r="AP86" s="732"/>
      <c r="AQ86" s="728"/>
      <c r="AR86" s="728"/>
      <c r="AS86" s="733"/>
      <c r="AT86" s="728"/>
      <c r="AU86" s="728"/>
      <c r="AV86" s="728"/>
      <c r="AW86" s="728"/>
      <c r="AX86" s="728"/>
      <c r="AY86" s="727" t="s">
        <v>140</v>
      </c>
      <c r="AZ86" s="732" t="s">
        <v>140</v>
      </c>
      <c r="BA86" s="728"/>
      <c r="BB86" s="728"/>
      <c r="BC86" s="728"/>
      <c r="BD86" s="448"/>
      <c r="BE86" s="448"/>
      <c r="BF86" s="727"/>
      <c r="BG86" s="728">
        <v>7</v>
      </c>
      <c r="BH86" s="728"/>
      <c r="BI86" s="728"/>
      <c r="BJ86" s="728">
        <v>7</v>
      </c>
      <c r="BK86" s="728"/>
      <c r="BL86" s="728"/>
      <c r="BM86" s="728"/>
      <c r="BN86" s="728">
        <v>104</v>
      </c>
      <c r="BO86" s="728">
        <v>148</v>
      </c>
      <c r="BP86" s="727"/>
      <c r="BQ86" s="734"/>
      <c r="BR86" s="733"/>
      <c r="BS86" s="727"/>
      <c r="BT86" s="423"/>
      <c r="BU86" s="423"/>
      <c r="BV86" s="425"/>
      <c r="BW86" s="423"/>
      <c r="BX86" s="448"/>
      <c r="BY86" s="448"/>
      <c r="BZ86" s="448"/>
      <c r="CA86" s="448"/>
      <c r="CB86" s="448"/>
      <c r="CC86" s="777"/>
      <c r="CD86" s="448"/>
      <c r="CE86" s="735" t="str">
        <f>IFERROR(WWWW[[#This Row],['#_Water sources passed]]/WWWW[[#This Row],['#_Water sources tested for fecal coliform ]],"no test")</f>
        <v>no test</v>
      </c>
      <c r="CF86" s="733" t="str">
        <f>IFERROR(WWWW[[#This Row],['#_Household passed]]/WWWW[[#This Row],['#_Household water samples tested for fecal coliform]],"no test")</f>
        <v>no test</v>
      </c>
      <c r="CG86" s="734" t="str">
        <f>IF(AND(WWWW[[#This Row],[% of water sources passed]]="no test",WWWW[[#This Row],[% Household passed]]="no test"),"No Test","Tested")</f>
        <v>No Test</v>
      </c>
      <c r="CH86" s="734">
        <f>WWWW[[#This Row],['#_Constructed/existing protected hand dug well]]-WWWW[[#This Row],['#_Non-functional protected hand dug well]]</f>
        <v>3</v>
      </c>
      <c r="CI86" s="734">
        <f>(WWWW[[#This Row],['#_Constructed/Existing tube wells/boreholes/handpumps_WASH_agency]]+WWWW[[#This Row],['#_Non-Cluster partner water tube-wells/boreholes/handpumps]])-WWWW[[#This Row],['#_Non-functional tube wells/boreholes/handpumps]]</f>
        <v>0</v>
      </c>
      <c r="CJ86" s="734">
        <f>WWWW[[#This Row],['#_Constructed/Existingwater storage tank with gravity fed reticulation system]]-WWWW[[#This Row],['#_Non-functional storage tank gravity fed reticulation system]]</f>
        <v>0</v>
      </c>
      <c r="CK86" s="734">
        <f>(WWWW[[#This Row],['#_Water_Liters_supplied_by_Water boating or water trucking]]/90)/15</f>
        <v>0</v>
      </c>
      <c r="CL86" s="734">
        <f>WWWW[[#This Row],['#_Water_Liters_from_Constructed/Existing water distribution system from river or natural spring]]/90/15</f>
        <v>0</v>
      </c>
      <c r="CM86" s="424">
        <f>IF(WWWW[[#This Row],['#_of water points in TLS/CFS]]*500&gt;WWWW[[#This Row],[Total PoP ]],WWWW[[#This Row],[Total PoP ]],WWWW[[#This Row],['#_of water points in TLS/CFS]]*500)</f>
        <v>0</v>
      </c>
      <c r="CN86" s="424">
        <f>IF(WWWW[[#This Row],['#_of water points in THF]]*500&gt;WWWW[[#This Row],[Total PoP ]],WWWW[[#This Row],[Total PoP ]],WWWW[[#This Row],['#_of water points in THF]]*500)</f>
        <v>0</v>
      </c>
      <c r="CO8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6" s="733">
        <f>IF(WWWW[[#This Row],[Location Type 1]]="Village",WWWW[[#This Row],[Access to safe drinking water for Village]],WWWW[[#This Row],[Access to safe drinking water for Camp]])</f>
        <v>1</v>
      </c>
      <c r="CR86" s="731">
        <f>WWWW[[#This Row],[%Equitable and continuous access to sufficient quantity of safe drinking water]]*WWWW[[#This Row],[Total PoP ]]</f>
        <v>544</v>
      </c>
      <c r="CS86" s="733">
        <f>IF((WWWW[[#This Row],['#_Constructed/Existing protected/fenced ponds]]*250)/WWWW[[#This Row],[Total PoP ]]&gt;1,1,(WWWW[[#This Row],['#_Constructed/Existing protected/fenced ponds]]*250)/WWWW[[#This Row],[Total PoP ]])</f>
        <v>0</v>
      </c>
      <c r="CT86" s="731">
        <f>WWWW[[#This Row],[% Access to unimproved water points]]*WWWW[[#This Row],[Total PoP ]]</f>
        <v>0</v>
      </c>
      <c r="CU8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W86" s="731">
        <f>WWWW[[#This Row],[HRP1]]/500</f>
        <v>1.0880000000000001</v>
      </c>
      <c r="CX86" s="736">
        <f>1-WWWW[[#This Row],[% Equitable and continuous access to sufficient quantity of domestic water]]</f>
        <v>0</v>
      </c>
      <c r="CY86" s="731">
        <f>WWWW[[#This Row],[%equitable and continuous access to sufficient quantity of safe drinking and domestic water''s GAP]]*WWWW[[#This Row],[Total PoP ]]</f>
        <v>0</v>
      </c>
      <c r="CZ86" s="734">
        <f>IF(WWWW[[#This Row],[Total required water points]]-WWWW[[#This Row],['#Water points coverage]]&lt;0,0,WWWW[[#This Row],[Total required water points]]-WWWW[[#This Row],['#Water points coverage]])</f>
        <v>0</v>
      </c>
      <c r="DA86" s="734">
        <f>ROUND(IF(WWWW[[#This Row],[Total PoP ]]&lt;500,1,WWWW[[#This Row],[Total PoP ]]/500),0)</f>
        <v>1</v>
      </c>
      <c r="DB86" s="734">
        <f>(WWWW[[#This Row],['#_Constructed latrines_by_WASHAgencies]]+WWWW[[#This Row],['#_Non Cluster partner latrines]])-WWWW[[#This Row],['#_Non-functional latrines]]</f>
        <v>0</v>
      </c>
      <c r="DC86" s="631">
        <f>WWWW[[#This Row],[HRP2]]/WWWW[[#This Row],[Total PoP ]]</f>
        <v>0</v>
      </c>
      <c r="DD8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8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6" s="424">
        <f>IF(WWWW[[#This Row],['# of functional latrines in THF supported by WASH partners during the reporting period2]]="",0,WWWW[[#This Row],['# of functional latrines in THF supported by WASH partners during the reporting period2]]*50)</f>
        <v>0</v>
      </c>
      <c r="DH86" s="734">
        <f>ROUND(IF(WWWW[[#This Row],[Location Type 1]]="camp",WWWW[[#This Row],[Total PoP ]]/20,IF(WWWW[[#This Row],[Location Type 1]]="Temporary Location",WWWW[[#This Row],[Total PoP ]]/50,(WWWW[[#This Row],[Total PoP ]]/6))),0)</f>
        <v>27</v>
      </c>
      <c r="DI86" s="734">
        <f>IF(WWWW[[#This Row],[Total required Latrines]]-(WWWW[[#This Row],['#_Constructed latrines_by_WASHAgencies]]+WWWW[[#This Row],['#_Non Cluster partner latrines]])&lt;0,0,WWWW[[#This Row],[Total required Latrines]]-(WWWW[[#This Row],['#_Constructed latrines_by_WASHAgencies]]+WWWW[[#This Row],['#_Non Cluster partner latrines]]))</f>
        <v>27</v>
      </c>
      <c r="DJ86" s="736">
        <f>1-WWWW[[#This Row],[% people access to functioning Latrine]]</f>
        <v>1</v>
      </c>
      <c r="DK86" s="735">
        <f>IF(OR(WWWW[[#This Row],['#_Non-functional latrines]]="",WWWW[[#This Row],['#_Non-functional latrines]]=0),0,WWWW[[#This Row],['#_Non-functional latrines]]/(WWWW[[#This Row],['#_Constructed latrines_by_WASHAgencies]]+WWWW[[#This Row],['#_Non Cluster partner latrines]]))</f>
        <v>0</v>
      </c>
      <c r="DL86" s="731">
        <f>IF(500*(WWWW[[#This Row],['#_male hygiene promoters]]+WWWW[[#This Row],['#_female hygiene promoters]])&gt;WWWW[[#This Row],[Total PoP ]],WWWW[[#This Row],[Total PoP ]],500*(WWWW[[#This Row],['#_male hygiene promoters]]+WWWW[[#This Row],['#_female hygiene promoters]]))</f>
        <v>0</v>
      </c>
      <c r="DM8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8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86" s="734">
        <f>IF(WWWW[[#This Row],['# People with access to soap]]&gt;WWWW[[#This Row],['# People with access to Sanity Pads]],WWWW[[#This Row],['# People with access to soap]],WWWW[[#This Row],['# People with access to Sanity Pads]])</f>
        <v>520</v>
      </c>
      <c r="DP86" s="734">
        <f>IF(WWWW[[#This Row],['# people reached by regular dedicated hygiene promotion_5]]&gt;WWWW[[#This Row],['# People received regular supply of hygiene items_6]],WWWW[[#This Row],['# people reached by regular dedicated hygiene promotion_5]],WWWW[[#This Row],['# People received regular supply of hygiene items_6]])</f>
        <v>520</v>
      </c>
      <c r="DQ86" s="736">
        <f>IF(WWWW[[#This Row],[HRP3]]/WWWW[[#This Row],[Total PoP ]]&gt;1,1,WWWW[[#This Row],[HRP3]]/WWWW[[#This Row],[Total PoP ]])</f>
        <v>0.95588235294117652</v>
      </c>
      <c r="DR86" s="735">
        <f>1-WWWW[[#This Row],[Hygiene Coverage%]]</f>
        <v>4.4117647058823484E-2</v>
      </c>
      <c r="DS86" s="733">
        <f>WWWW[[#This Row],['# people reached by regular dedicated hygiene promotion_5]]/WWWW[[#This Row],[Total PoP ]]</f>
        <v>0</v>
      </c>
      <c r="DT8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6" s="734">
        <f>WWWW[[#This Row],['#_Constructed/Existing hand washing stations]]-WWWW[[#This Row],['#_Non-Functional_hand_washing_stations]]</f>
        <v>7</v>
      </c>
      <c r="DW86" s="731">
        <f>IF(WWWW[[#This Row],['# Functional hand washing stations during reporting period]]*20&gt;WWWW[[#This Row],[Total HH]],WWWW[[#This Row],[Total HH]],WWWW[[#This Row],['# Functional hand washing stations during reporting period]]*20)</f>
        <v>97</v>
      </c>
      <c r="DX86" s="731">
        <f>IF(WWWW[[#This Row],[Is sufficient soap available for TLS? (Yes/No)]]="yes",WWWW[[#This Row],['#_Constructed/Existing hand washing stations at TLS/CFS/THF]],0)</f>
        <v>0</v>
      </c>
      <c r="DY86" s="428">
        <f>IF(WWWW[[#This Row],['# Functional hand washing stations during reporting period]]*100&gt;WWWW[[#This Row],[Total PoP ]],WWWW[[#This Row],[Total PoP ]],WWWW[[#This Row],['# Functional hand washing stations during reporting period]]*100)</f>
        <v>544</v>
      </c>
      <c r="DZ86" s="428" t="str">
        <f>IF(OR(WWWW[[#This Row],['#_students at TLS_CFS]]="",WWWW[[#This Row],['#_students at TLS_CFS]]=0),"No","Yes")</f>
        <v>No</v>
      </c>
      <c r="EA8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6" s="727">
        <f>VLOOKUP(WWWW[[#This Row],[Site Name]],SiteDB6[[Site Name]:[CCCM Management]],6,FALSE)</f>
        <v>0</v>
      </c>
      <c r="EF86" s="727" t="str">
        <f>VLOOKUP(WWWW[[#This Row],[Site Name]],SiteDB6[[Site Name]:[CCCM Focal Agency]],7,FALSE)</f>
        <v>uncovered</v>
      </c>
      <c r="EG86" s="727" t="str">
        <f>VLOOKUP(WWWW[[#This Row],[Site Name]],SiteDB6[[Site Name]:[Location Type 1]],9,FALSE)</f>
        <v>Camp</v>
      </c>
      <c r="EH86" s="727" t="str">
        <f>VLOOKUP(WWWW[[#This Row],[Site Name]],SiteDB6[[Site Name]:[Type of Accommodation]],10,FALSE)</f>
        <v>IDPs in host</v>
      </c>
      <c r="EI86" s="727" t="str">
        <f>VLOOKUP(WWWW[[#This Row],[Site Name]],SiteDB6[[Site Name]:[Ethnic or GCA/NGCA]],11,FALSE)</f>
        <v>GCA</v>
      </c>
      <c r="EJ86" s="727">
        <f>VLOOKUP(WWWW[[#This Row],[Site Name]],SiteDB6[[Site Name]:[Lat]],12,FALSE)</f>
        <v>23.827870999999998</v>
      </c>
      <c r="EK86" s="727">
        <f>VLOOKUP(WWWW[[#This Row],[Site Name]],SiteDB6[[Site Name]:[Long]],13,FALSE)</f>
        <v>97.588291999999996</v>
      </c>
      <c r="EL86" s="727" t="str">
        <f>VLOOKUP(WWWW[[#This Row],[Site Name]],SiteDB6[[Site Name]:[Pcode]],3,FALSE)</f>
        <v>MMR001CMP134</v>
      </c>
      <c r="EM86" s="732" t="str">
        <f t="shared" si="1"/>
        <v>Covered</v>
      </c>
      <c r="EN86" s="732"/>
      <c r="EO86" s="727">
        <f>VLOOKUP(WWWW[[#This Row],[Site Name]],SiteDB6[[Site Name]:[Pop
(Kachin/Shan-CCCM as of July 2021)]],16,FALSE)</f>
        <v>120</v>
      </c>
      <c r="EP86" s="727">
        <f>VLOOKUP(WWWW[[#This Row],[Site Name]],SiteDB6[[Site Name]:[Pop
(Kachin/Shan-CCCM as of July 2021)]],17,FALSE)</f>
        <v>664</v>
      </c>
    </row>
    <row r="87" spans="1:146" hidden="1">
      <c r="A87" s="725" t="s">
        <v>2763</v>
      </c>
      <c r="B87" s="725" t="s">
        <v>192</v>
      </c>
      <c r="C87" s="726" t="s">
        <v>192</v>
      </c>
      <c r="D87" s="726" t="s">
        <v>2669</v>
      </c>
      <c r="E87" s="726" t="s">
        <v>37</v>
      </c>
      <c r="F87" s="726" t="s">
        <v>38</v>
      </c>
      <c r="G87" s="591" t="str">
        <f>VLOOKUP(WWWW[[#This Row],[Site Name]],SiteDB6[[Site Name]:[Location Type]],8,FALSE)</f>
        <v>Camp</v>
      </c>
      <c r="H87" s="726" t="s">
        <v>193</v>
      </c>
      <c r="I87" s="728">
        <v>172</v>
      </c>
      <c r="J87" s="728">
        <v>789</v>
      </c>
      <c r="K87" s="729" t="s">
        <v>2670</v>
      </c>
      <c r="L87" s="730" t="s">
        <v>2672</v>
      </c>
      <c r="M87" s="728"/>
      <c r="N87" s="728"/>
      <c r="O87" s="728"/>
      <c r="P87" s="728"/>
      <c r="Q87" s="731" t="s">
        <v>41</v>
      </c>
      <c r="R87" s="728"/>
      <c r="S87" s="728">
        <v>7</v>
      </c>
      <c r="T87" s="448">
        <v>2</v>
      </c>
      <c r="U87" s="728"/>
      <c r="V87" s="728"/>
      <c r="W87" s="728">
        <v>2</v>
      </c>
      <c r="X87" s="728">
        <v>3</v>
      </c>
      <c r="Y87" s="728"/>
      <c r="Z87" s="728"/>
      <c r="AA87" s="728"/>
      <c r="AB87" s="728"/>
      <c r="AC87" s="728"/>
      <c r="AD87" s="728"/>
      <c r="AE87" s="728"/>
      <c r="AF87" s="728"/>
      <c r="AG87" s="728"/>
      <c r="AH87" s="728"/>
      <c r="AI87" s="728"/>
      <c r="AJ87" s="728"/>
      <c r="AK87" s="728"/>
      <c r="AL87" s="728"/>
      <c r="AM87" s="728">
        <v>1</v>
      </c>
      <c r="AN87" s="728"/>
      <c r="AO87" s="728"/>
      <c r="AP87" s="732"/>
      <c r="AQ87" s="728">
        <v>40</v>
      </c>
      <c r="AR87" s="728"/>
      <c r="AS87" s="733"/>
      <c r="AT87" s="728"/>
      <c r="AU87" s="728"/>
      <c r="AV87" s="728"/>
      <c r="AW87" s="728"/>
      <c r="AX87" s="728"/>
      <c r="AY87" s="727" t="s">
        <v>41</v>
      </c>
      <c r="AZ87" s="732" t="s">
        <v>137</v>
      </c>
      <c r="BA87" s="728"/>
      <c r="BB87" s="728">
        <v>1</v>
      </c>
      <c r="BC87" s="728">
        <v>3</v>
      </c>
      <c r="BD87" s="448"/>
      <c r="BE87" s="448">
        <v>1</v>
      </c>
      <c r="BF87" s="727"/>
      <c r="BG87" s="728">
        <v>3</v>
      </c>
      <c r="BH87" s="728"/>
      <c r="BI87" s="728"/>
      <c r="BJ87" s="728">
        <v>2</v>
      </c>
      <c r="BK87" s="728"/>
      <c r="BL87" s="728"/>
      <c r="BM87" s="728">
        <v>3</v>
      </c>
      <c r="BN87" s="728">
        <v>88</v>
      </c>
      <c r="BO87" s="728">
        <v>100</v>
      </c>
      <c r="BP87" s="727"/>
      <c r="BQ87" s="734"/>
      <c r="BR87" s="733"/>
      <c r="BS87" s="727"/>
      <c r="BT87" s="423"/>
      <c r="BU87" s="423"/>
      <c r="BV87" s="425"/>
      <c r="BW87" s="423"/>
      <c r="BX87" s="448"/>
      <c r="BY87" s="448"/>
      <c r="BZ87" s="448"/>
      <c r="CA87" s="448"/>
      <c r="CB87" s="448"/>
      <c r="CC87" s="777"/>
      <c r="CD87" s="448"/>
      <c r="CE87" s="735" t="str">
        <f>IFERROR(WWWW[[#This Row],['#_Water sources passed]]/WWWW[[#This Row],['#_Water sources tested for fecal coliform ]],"no test")</f>
        <v>no test</v>
      </c>
      <c r="CF87" s="733" t="str">
        <f>IFERROR(WWWW[[#This Row],['#_Household passed]]/WWWW[[#This Row],['#_Household water samples tested for fecal coliform]],"no test")</f>
        <v>no test</v>
      </c>
      <c r="CG87" s="734" t="str">
        <f>IF(AND(WWWW[[#This Row],[% of water sources passed]]="no test",WWWW[[#This Row],[% Household passed]]="no test"),"No Test","Tested")</f>
        <v>No Test</v>
      </c>
      <c r="CH87" s="734">
        <f>WWWW[[#This Row],['#_Constructed/existing protected hand dug well]]-WWWW[[#This Row],['#_Non-functional protected hand dug well]]</f>
        <v>2</v>
      </c>
      <c r="CI87" s="734">
        <f>(WWWW[[#This Row],['#_Constructed/Existing tube wells/boreholes/handpumps_WASH_agency]]+WWWW[[#This Row],['#_Non-Cluster partner water tube-wells/boreholes/handpumps]])-WWWW[[#This Row],['#_Non-functional tube wells/boreholes/handpumps]]</f>
        <v>5</v>
      </c>
      <c r="CJ87" s="734">
        <f>WWWW[[#This Row],['#_Constructed/Existingwater storage tank with gravity fed reticulation system]]-WWWW[[#This Row],['#_Non-functional storage tank gravity fed reticulation system]]</f>
        <v>0</v>
      </c>
      <c r="CK87" s="734">
        <f>(WWWW[[#This Row],['#_Water_Liters_supplied_by_Water boating or water trucking]]/90)/15</f>
        <v>0</v>
      </c>
      <c r="CL87" s="734">
        <f>WWWW[[#This Row],['#_Water_Liters_from_Constructed/Existing water distribution system from river or natural spring]]/90/15</f>
        <v>0</v>
      </c>
      <c r="CM87" s="424">
        <f>IF(WWWW[[#This Row],['#_of water points in TLS/CFS]]*500&gt;WWWW[[#This Row],[Total PoP ]],WWWW[[#This Row],[Total PoP ]],WWWW[[#This Row],['#_of water points in TLS/CFS]]*500)</f>
        <v>0</v>
      </c>
      <c r="CN87" s="424">
        <f>IF(WWWW[[#This Row],['#_of water points in THF]]*500&gt;WWWW[[#This Row],[Total PoP ]],WWWW[[#This Row],[Total PoP ]],WWWW[[#This Row],['#_of water points in THF]]*500)</f>
        <v>0</v>
      </c>
      <c r="CO8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7" s="733">
        <f>IF(WWWW[[#This Row],[Location Type 1]]="Village",WWWW[[#This Row],[Access to safe drinking water for Village]],WWWW[[#This Row],[Access to safe drinking water for Camp]])</f>
        <v>1</v>
      </c>
      <c r="CR87" s="731">
        <f>WWWW[[#This Row],[%Equitable and continuous access to sufficient quantity of safe drinking water]]*WWWW[[#This Row],[Total PoP ]]</f>
        <v>789</v>
      </c>
      <c r="CS87" s="733">
        <f>IF((WWWW[[#This Row],['#_Constructed/Existing protected/fenced ponds]]*250)/WWWW[[#This Row],[Total PoP ]]&gt;1,1,(WWWW[[#This Row],['#_Constructed/Existing protected/fenced ponds]]*250)/WWWW[[#This Row],[Total PoP ]])</f>
        <v>0</v>
      </c>
      <c r="CT87" s="731">
        <f>WWWW[[#This Row],[% Access to unimproved water points]]*WWWW[[#This Row],[Total PoP ]]</f>
        <v>0</v>
      </c>
      <c r="CU8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W87" s="731">
        <f>WWWW[[#This Row],[HRP1]]/500</f>
        <v>1.5780000000000001</v>
      </c>
      <c r="CX87" s="736">
        <f>1-WWWW[[#This Row],[% Equitable and continuous access to sufficient quantity of domestic water]]</f>
        <v>0</v>
      </c>
      <c r="CY87" s="731">
        <f>WWWW[[#This Row],[%equitable and continuous access to sufficient quantity of safe drinking and domestic water''s GAP]]*WWWW[[#This Row],[Total PoP ]]</f>
        <v>0</v>
      </c>
      <c r="CZ87" s="734">
        <f>IF(WWWW[[#This Row],[Total required water points]]-WWWW[[#This Row],['#Water points coverage]]&lt;0,0,WWWW[[#This Row],[Total required water points]]-WWWW[[#This Row],['#Water points coverage]])</f>
        <v>0.42199999999999993</v>
      </c>
      <c r="DA87" s="734">
        <f>ROUND(IF(WWWW[[#This Row],[Total PoP ]]&lt;500,1,WWWW[[#This Row],[Total PoP ]]/500),0)</f>
        <v>2</v>
      </c>
      <c r="DB87" s="734">
        <f>(WWWW[[#This Row],['#_Constructed latrines_by_WASHAgencies]]+WWWW[[#This Row],['#_Non Cluster partner latrines]])-WWWW[[#This Row],['#_Non-functional latrines]]</f>
        <v>40</v>
      </c>
      <c r="DC87" s="631">
        <f>WWWW[[#This Row],[HRP2]]/WWWW[[#This Row],[Total PoP ]]</f>
        <v>1</v>
      </c>
      <c r="DD8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DE8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7" s="424">
        <f>IF(WWWW[[#This Row],['# of functional latrines in THF supported by WASH partners during the reporting period2]]="",0,WWWW[[#This Row],['# of functional latrines in THF supported by WASH partners during the reporting period2]]*50)</f>
        <v>0</v>
      </c>
      <c r="DH87" s="734">
        <f>ROUND(IF(WWWW[[#This Row],[Location Type 1]]="camp",WWWW[[#This Row],[Total PoP ]]/20,IF(WWWW[[#This Row],[Location Type 1]]="Temporary Location",WWWW[[#This Row],[Total PoP ]]/50,(WWWW[[#This Row],[Total PoP ]]/6))),0)</f>
        <v>39</v>
      </c>
      <c r="DI87" s="734">
        <f>IF(WWWW[[#This Row],[Total required Latrines]]-(WWWW[[#This Row],['#_Constructed latrines_by_WASHAgencies]]+WWWW[[#This Row],['#_Non Cluster partner latrines]])&lt;0,0,WWWW[[#This Row],[Total required Latrines]]-(WWWW[[#This Row],['#_Constructed latrines_by_WASHAgencies]]+WWWW[[#This Row],['#_Non Cluster partner latrines]]))</f>
        <v>0</v>
      </c>
      <c r="DJ87" s="736">
        <f>1-WWWW[[#This Row],[% people access to functioning Latrine]]</f>
        <v>0</v>
      </c>
      <c r="DK87" s="735">
        <f>IF(OR(WWWW[[#This Row],['#_Non-functional latrines]]="",WWWW[[#This Row],['#_Non-functional latrines]]=0),0,WWWW[[#This Row],['#_Non-functional latrines]]/(WWWW[[#This Row],['#_Constructed latrines_by_WASHAgencies]]+WWWW[[#This Row],['#_Non Cluster partner latrines]]))</f>
        <v>0</v>
      </c>
      <c r="DL87" s="731">
        <f>IF(500*(WWWW[[#This Row],['#_male hygiene promoters]]+WWWW[[#This Row],['#_female hygiene promoters]])&gt;WWWW[[#This Row],[Total PoP ]],WWWW[[#This Row],[Total PoP ]],500*(WWWW[[#This Row],['#_male hygiene promoters]]+WWWW[[#This Row],['#_female hygiene promoters]]))</f>
        <v>789</v>
      </c>
      <c r="DM8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8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87" s="734">
        <f>IF(WWWW[[#This Row],['# People with access to soap]]&gt;WWWW[[#This Row],['# People with access to Sanity Pads]],WWWW[[#This Row],['# People with access to soap]],WWWW[[#This Row],['# People with access to Sanity Pads]])</f>
        <v>440</v>
      </c>
      <c r="DP87" s="734">
        <f>IF(WWWW[[#This Row],['# people reached by regular dedicated hygiene promotion_5]]&gt;WWWW[[#This Row],['# People received regular supply of hygiene items_6]],WWWW[[#This Row],['# people reached by regular dedicated hygiene promotion_5]],WWWW[[#This Row],['# People received regular supply of hygiene items_6]])</f>
        <v>789</v>
      </c>
      <c r="DQ87" s="736">
        <f>IF(WWWW[[#This Row],[HRP3]]/WWWW[[#This Row],[Total PoP ]]&gt;1,1,WWWW[[#This Row],[HRP3]]/WWWW[[#This Row],[Total PoP ]])</f>
        <v>1</v>
      </c>
      <c r="DR87" s="735">
        <f>1-WWWW[[#This Row],[Hygiene Coverage%]]</f>
        <v>0</v>
      </c>
      <c r="DS87" s="733">
        <f>WWWW[[#This Row],['# people reached by regular dedicated hygiene promotion_5]]/WWWW[[#This Row],[Total PoP ]]</f>
        <v>1</v>
      </c>
      <c r="DT8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0.58139534883720934</v>
      </c>
      <c r="DV87" s="734">
        <f>WWWW[[#This Row],['#_Constructed/Existing hand washing stations]]-WWWW[[#This Row],['#_Non-Functional_hand_washing_stations]]</f>
        <v>3</v>
      </c>
      <c r="DW87" s="731">
        <f>IF(WWWW[[#This Row],['# Functional hand washing stations during reporting period]]*20&gt;WWWW[[#This Row],[Total HH]],WWWW[[#This Row],[Total HH]],WWWW[[#This Row],['# Functional hand washing stations during reporting period]]*20)</f>
        <v>60</v>
      </c>
      <c r="DX87" s="731">
        <f>IF(WWWW[[#This Row],[Is sufficient soap available for TLS? (Yes/No)]]="yes",WWWW[[#This Row],['#_Constructed/Existing hand washing stations at TLS/CFS/THF]],0)</f>
        <v>0</v>
      </c>
      <c r="DY87" s="428">
        <f>IF(WWWW[[#This Row],['# Functional hand washing stations during reporting period]]*100&gt;WWWW[[#This Row],[Total PoP ]],WWWW[[#This Row],[Total PoP ]],WWWW[[#This Row],['# Functional hand washing stations during reporting period]]*100)</f>
        <v>300</v>
      </c>
      <c r="DZ87" s="428" t="str">
        <f>IF(OR(WWWW[[#This Row],['#_students at TLS_CFS]]="",WWWW[[#This Row],['#_students at TLS_CFS]]=0),"No","Yes")</f>
        <v>No</v>
      </c>
      <c r="EA8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7" s="727" t="str">
        <f>VLOOKUP(WWWW[[#This Row],[Site Name]],SiteDB6[[Site Name]:[CCCM Management]],6,FALSE)</f>
        <v>Yes</v>
      </c>
      <c r="EF87" s="727" t="str">
        <f>VLOOKUP(WWWW[[#This Row],[Site Name]],SiteDB6[[Site Name]:[CCCM Focal Agency]],7,FALSE)</f>
        <v>KBC-BMO</v>
      </c>
      <c r="EG87" s="727" t="str">
        <f>VLOOKUP(WWWW[[#This Row],[Site Name]],SiteDB6[[Site Name]:[Location Type 1]],9,FALSE)</f>
        <v>Camp</v>
      </c>
      <c r="EH87" s="727" t="str">
        <f>VLOOKUP(WWWW[[#This Row],[Site Name]],SiteDB6[[Site Name]:[Type of Accommodation]],10,FALSE)</f>
        <v>Camp</v>
      </c>
      <c r="EI87" s="727" t="str">
        <f>VLOOKUP(WWWW[[#This Row],[Site Name]],SiteDB6[[Site Name]:[Ethnic or GCA/NGCA]],11,FALSE)</f>
        <v>GCA</v>
      </c>
      <c r="EJ87" s="727">
        <f>VLOOKUP(WWWW[[#This Row],[Site Name]],SiteDB6[[Site Name]:[Lat]],12,FALSE)</f>
        <v>24.129059999999999</v>
      </c>
      <c r="EK87" s="727">
        <f>VLOOKUP(WWWW[[#This Row],[Site Name]],SiteDB6[[Site Name]:[Long]],13,FALSE)</f>
        <v>97.291820000000001</v>
      </c>
      <c r="EL87" s="727" t="str">
        <f>VLOOKUP(WWWW[[#This Row],[Site Name]],SiteDB6[[Site Name]:[Pcode]],3,FALSE)</f>
        <v>MMR001CMP066</v>
      </c>
      <c r="EM87" s="732" t="str">
        <f t="shared" si="1"/>
        <v>Covered</v>
      </c>
      <c r="EN87" s="732"/>
      <c r="EO87" s="727">
        <f>VLOOKUP(WWWW[[#This Row],[Site Name]],SiteDB6[[Site Name]:[Pop
(Kachin/Shan-CCCM as of July 2021)]],16,FALSE)</f>
        <v>181</v>
      </c>
      <c r="EP87" s="727">
        <f>VLOOKUP(WWWW[[#This Row],[Site Name]],SiteDB6[[Site Name]:[Pop
(Kachin/Shan-CCCM as of July 2021)]],17,FALSE)</f>
        <v>815</v>
      </c>
    </row>
    <row r="88" spans="1:146" hidden="1">
      <c r="A88" s="725" t="s">
        <v>2763</v>
      </c>
      <c r="B88" s="725" t="s">
        <v>309</v>
      </c>
      <c r="C88" s="726" t="s">
        <v>309</v>
      </c>
      <c r="D88" s="726"/>
      <c r="E88" s="726" t="s">
        <v>37</v>
      </c>
      <c r="F88" s="726" t="s">
        <v>38</v>
      </c>
      <c r="G88" s="591" t="str">
        <f>VLOOKUP(WWWW[[#This Row],[Site Name]],SiteDB6[[Site Name]:[Location Type]],8,FALSE)</f>
        <v>Camp</v>
      </c>
      <c r="H88" s="726" t="s">
        <v>3025</v>
      </c>
      <c r="I88" s="728">
        <v>67</v>
      </c>
      <c r="J88" s="728">
        <v>308</v>
      </c>
      <c r="K88" s="729" t="s">
        <v>2650</v>
      </c>
      <c r="L88" s="730" t="s">
        <v>2651</v>
      </c>
      <c r="M88" s="728"/>
      <c r="N88" s="728"/>
      <c r="O88" s="728"/>
      <c r="P88" s="728"/>
      <c r="Q88" s="731"/>
      <c r="R88" s="728"/>
      <c r="S88" s="728">
        <v>4</v>
      </c>
      <c r="T88" s="448"/>
      <c r="U88" s="728"/>
      <c r="V88" s="728"/>
      <c r="W88" s="728"/>
      <c r="X88" s="728"/>
      <c r="Y88" s="728"/>
      <c r="Z88" s="728"/>
      <c r="AA88" s="728"/>
      <c r="AB88" s="728"/>
      <c r="AC88" s="728"/>
      <c r="AD88" s="728"/>
      <c r="AE88" s="728"/>
      <c r="AF88" s="728"/>
      <c r="AG88" s="728"/>
      <c r="AH88" s="728"/>
      <c r="AI88" s="728"/>
      <c r="AJ88" s="728"/>
      <c r="AK88" s="728"/>
      <c r="AL88" s="728"/>
      <c r="AM88" s="728"/>
      <c r="AN88" s="728"/>
      <c r="AO88" s="728"/>
      <c r="AP88" s="732"/>
      <c r="AQ88" s="728"/>
      <c r="AR88" s="728"/>
      <c r="AS88" s="733"/>
      <c r="AT88" s="728"/>
      <c r="AU88" s="728"/>
      <c r="AV88" s="728"/>
      <c r="AW88" s="728"/>
      <c r="AX88" s="728"/>
      <c r="AY88" s="425" t="s">
        <v>140</v>
      </c>
      <c r="AZ88" s="860" t="s">
        <v>140</v>
      </c>
      <c r="BA88" s="728"/>
      <c r="BB88" s="728"/>
      <c r="BC88" s="728"/>
      <c r="BD88" s="448"/>
      <c r="BE88" s="448"/>
      <c r="BF88" s="727"/>
      <c r="BG88" s="728">
        <v>7</v>
      </c>
      <c r="BH88" s="728"/>
      <c r="BI88" s="728"/>
      <c r="BJ88" s="728">
        <v>7</v>
      </c>
      <c r="BK88" s="728"/>
      <c r="BL88" s="728"/>
      <c r="BM88" s="728"/>
      <c r="BN88" s="728">
        <v>104</v>
      </c>
      <c r="BO88" s="728">
        <v>148</v>
      </c>
      <c r="BP88" s="727"/>
      <c r="BQ88" s="734"/>
      <c r="BR88" s="733"/>
      <c r="BS88" s="727"/>
      <c r="BT88" s="423"/>
      <c r="BU88" s="423"/>
      <c r="BV88" s="425"/>
      <c r="BW88" s="423"/>
      <c r="BX88" s="448"/>
      <c r="BY88" s="448"/>
      <c r="BZ88" s="448"/>
      <c r="CA88" s="448"/>
      <c r="CB88" s="448"/>
      <c r="CC88" s="777"/>
      <c r="CD88" s="448"/>
      <c r="CE88" s="735" t="str">
        <f>IFERROR(WWWW[[#This Row],['#_Water sources passed]]/WWWW[[#This Row],['#_Water sources tested for fecal coliform ]],"no test")</f>
        <v>no test</v>
      </c>
      <c r="CF88" s="733" t="str">
        <f>IFERROR(WWWW[[#This Row],['#_Household passed]]/WWWW[[#This Row],['#_Household water samples tested for fecal coliform]],"no test")</f>
        <v>no test</v>
      </c>
      <c r="CG88" s="734" t="str">
        <f>IF(AND(WWWW[[#This Row],[% of water sources passed]]="no test",WWWW[[#This Row],[% Household passed]]="no test"),"No Test","Tested")</f>
        <v>No Test</v>
      </c>
      <c r="CH88" s="734">
        <f>WWWW[[#This Row],['#_Constructed/existing protected hand dug well]]-WWWW[[#This Row],['#_Non-functional protected hand dug well]]</f>
        <v>0</v>
      </c>
      <c r="CI88" s="734">
        <f>(WWWW[[#This Row],['#_Constructed/Existing tube wells/boreholes/handpumps_WASH_agency]]+WWWW[[#This Row],['#_Non-Cluster partner water tube-wells/boreholes/handpumps]])-WWWW[[#This Row],['#_Non-functional tube wells/boreholes/handpumps]]</f>
        <v>0</v>
      </c>
      <c r="CJ88" s="734">
        <f>WWWW[[#This Row],['#_Constructed/Existingwater storage tank with gravity fed reticulation system]]-WWWW[[#This Row],['#_Non-functional storage tank gravity fed reticulation system]]</f>
        <v>0</v>
      </c>
      <c r="CK88" s="734">
        <f>(WWWW[[#This Row],['#_Water_Liters_supplied_by_Water boating or water trucking]]/90)/15</f>
        <v>0</v>
      </c>
      <c r="CL88" s="734">
        <f>WWWW[[#This Row],['#_Water_Liters_from_Constructed/Existing water distribution system from river or natural spring]]/90/15</f>
        <v>0</v>
      </c>
      <c r="CM88" s="424">
        <f>IF(WWWW[[#This Row],['#_of water points in TLS/CFS]]*500&gt;WWWW[[#This Row],[Total PoP ]],WWWW[[#This Row],[Total PoP ]],WWWW[[#This Row],['#_of water points in TLS/CFS]]*500)</f>
        <v>0</v>
      </c>
      <c r="CN88" s="424">
        <f>IF(WWWW[[#This Row],['#_of water points in THF]]*500&gt;WWWW[[#This Row],[Total PoP ]],WWWW[[#This Row],[Total PoP ]],WWWW[[#This Row],['#_of water points in THF]]*500)</f>
        <v>0</v>
      </c>
      <c r="CO8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8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88" s="733">
        <f>IF(WWWW[[#This Row],[Location Type 1]]="Village",WWWW[[#This Row],[Access to safe drinking water for Village]],WWWW[[#This Row],[Access to safe drinking water for Camp]])</f>
        <v>0</v>
      </c>
      <c r="CR88" s="731">
        <f>WWWW[[#This Row],[%Equitable and continuous access to sufficient quantity of safe drinking water]]*WWWW[[#This Row],[Total PoP ]]</f>
        <v>0</v>
      </c>
      <c r="CS88" s="733">
        <f>IF((WWWW[[#This Row],['#_Constructed/Existing protected/fenced ponds]]*250)/WWWW[[#This Row],[Total PoP ]]&gt;1,1,(WWWW[[#This Row],['#_Constructed/Existing protected/fenced ponds]]*250)/WWWW[[#This Row],[Total PoP ]])</f>
        <v>0</v>
      </c>
      <c r="CT88" s="731">
        <f>WWWW[[#This Row],[% Access to unimproved water points]]*WWWW[[#This Row],[Total PoP ]]</f>
        <v>0</v>
      </c>
      <c r="CU8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8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88" s="731">
        <f>WWWW[[#This Row],[HRP1]]/500</f>
        <v>0</v>
      </c>
      <c r="CX88" s="736">
        <f>1-WWWW[[#This Row],[% Equitable and continuous access to sufficient quantity of domestic water]]</f>
        <v>1</v>
      </c>
      <c r="CY88" s="731">
        <f>WWWW[[#This Row],[%equitable and continuous access to sufficient quantity of safe drinking and domestic water''s GAP]]*WWWW[[#This Row],[Total PoP ]]</f>
        <v>308</v>
      </c>
      <c r="CZ88" s="734">
        <f>IF(WWWW[[#This Row],[Total required water points]]-WWWW[[#This Row],['#Water points coverage]]&lt;0,0,WWWW[[#This Row],[Total required water points]]-WWWW[[#This Row],['#Water points coverage]])</f>
        <v>1</v>
      </c>
      <c r="DA88" s="734">
        <f>ROUND(IF(WWWW[[#This Row],[Total PoP ]]&lt;500,1,WWWW[[#This Row],[Total PoP ]]/500),0)</f>
        <v>1</v>
      </c>
      <c r="DB88" s="734">
        <f>(WWWW[[#This Row],['#_Constructed latrines_by_WASHAgencies]]+WWWW[[#This Row],['#_Non Cluster partner latrines]])-WWWW[[#This Row],['#_Non-functional latrines]]</f>
        <v>0</v>
      </c>
      <c r="DC88" s="631">
        <f>WWWW[[#This Row],[HRP2]]/WWWW[[#This Row],[Total PoP ]]</f>
        <v>0</v>
      </c>
      <c r="DD8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8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8" s="424">
        <f>IF(WWWW[[#This Row],['# of functional latrines in THF supported by WASH partners during the reporting period2]]="",0,WWWW[[#This Row],['# of functional latrines in THF supported by WASH partners during the reporting period2]]*50)</f>
        <v>0</v>
      </c>
      <c r="DH88" s="734">
        <f>ROUND(IF(WWWW[[#This Row],[Location Type 1]]="camp",WWWW[[#This Row],[Total PoP ]]/20,IF(WWWW[[#This Row],[Location Type 1]]="Temporary Location",WWWW[[#This Row],[Total PoP ]]/50,(WWWW[[#This Row],[Total PoP ]]/6))),0)</f>
        <v>15</v>
      </c>
      <c r="DI88" s="734">
        <f>IF(WWWW[[#This Row],[Total required Latrines]]-(WWWW[[#This Row],['#_Constructed latrines_by_WASHAgencies]]+WWWW[[#This Row],['#_Non Cluster partner latrines]])&lt;0,0,WWWW[[#This Row],[Total required Latrines]]-(WWWW[[#This Row],['#_Constructed latrines_by_WASHAgencies]]+WWWW[[#This Row],['#_Non Cluster partner latrines]]))</f>
        <v>15</v>
      </c>
      <c r="DJ88" s="736">
        <f>1-WWWW[[#This Row],[% people access to functioning Latrine]]</f>
        <v>1</v>
      </c>
      <c r="DK88" s="735">
        <f>IF(OR(WWWW[[#This Row],['#_Non-functional latrines]]="",WWWW[[#This Row],['#_Non-functional latrines]]=0),0,WWWW[[#This Row],['#_Non-functional latrines]]/(WWWW[[#This Row],['#_Constructed latrines_by_WASHAgencies]]+WWWW[[#This Row],['#_Non Cluster partner latrines]]))</f>
        <v>0</v>
      </c>
      <c r="DL88" s="731">
        <f>IF(500*(WWWW[[#This Row],['#_male hygiene promoters]]+WWWW[[#This Row],['#_female hygiene promoters]])&gt;WWWW[[#This Row],[Total PoP ]],WWWW[[#This Row],[Total PoP ]],500*(WWWW[[#This Row],['#_male hygiene promoters]]+WWWW[[#This Row],['#_female hygiene promoters]]))</f>
        <v>0</v>
      </c>
      <c r="DM8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308</v>
      </c>
      <c r="DN8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88" s="734">
        <f>IF(WWWW[[#This Row],['# People with access to soap]]&gt;WWWW[[#This Row],['# People with access to Sanity Pads]],WWWW[[#This Row],['# People with access to soap]],WWWW[[#This Row],['# People with access to Sanity Pads]])</f>
        <v>308</v>
      </c>
      <c r="DP88" s="734">
        <f>IF(WWWW[[#This Row],['# people reached by regular dedicated hygiene promotion_5]]&gt;WWWW[[#This Row],['# People received regular supply of hygiene items_6]],WWWW[[#This Row],['# people reached by regular dedicated hygiene promotion_5]],WWWW[[#This Row],['# People received regular supply of hygiene items_6]])</f>
        <v>308</v>
      </c>
      <c r="DQ88" s="736">
        <f>IF(WWWW[[#This Row],[HRP3]]/WWWW[[#This Row],[Total PoP ]]&gt;1,1,WWWW[[#This Row],[HRP3]]/WWWW[[#This Row],[Total PoP ]])</f>
        <v>1</v>
      </c>
      <c r="DR88" s="735">
        <f>1-WWWW[[#This Row],[Hygiene Coverage%]]</f>
        <v>0</v>
      </c>
      <c r="DS88" s="733">
        <f>WWWW[[#This Row],['# people reached by regular dedicated hygiene promotion_5]]/WWWW[[#This Row],[Total PoP ]]</f>
        <v>0</v>
      </c>
      <c r="DT8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8" s="734">
        <f>WWWW[[#This Row],['#_Constructed/Existing hand washing stations]]-WWWW[[#This Row],['#_Non-Functional_hand_washing_stations]]</f>
        <v>7</v>
      </c>
      <c r="DW88" s="731">
        <f>IF(WWWW[[#This Row],['# Functional hand washing stations during reporting period]]*20&gt;WWWW[[#This Row],[Total HH]],WWWW[[#This Row],[Total HH]],WWWW[[#This Row],['# Functional hand washing stations during reporting period]]*20)</f>
        <v>67</v>
      </c>
      <c r="DX88" s="731">
        <f>IF(WWWW[[#This Row],[Is sufficient soap available for TLS? (Yes/No)]]="yes",WWWW[[#This Row],['#_Constructed/Existing hand washing stations at TLS/CFS/THF]],0)</f>
        <v>0</v>
      </c>
      <c r="DY88" s="428">
        <f>IF(WWWW[[#This Row],['# Functional hand washing stations during reporting period]]*100&gt;WWWW[[#This Row],[Total PoP ]],WWWW[[#This Row],[Total PoP ]],WWWW[[#This Row],['# Functional hand washing stations during reporting period]]*100)</f>
        <v>308</v>
      </c>
      <c r="DZ88" s="428" t="str">
        <f>IF(OR(WWWW[[#This Row],['#_students at TLS_CFS]]="",WWWW[[#This Row],['#_students at TLS_CFS]]=0),"No","Yes")</f>
        <v>No</v>
      </c>
      <c r="EA8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8" s="727">
        <f>VLOOKUP(WWWW[[#This Row],[Site Name]],SiteDB6[[Site Name]:[CCCM Management]],6,FALSE)</f>
        <v>0</v>
      </c>
      <c r="EF88" s="727" t="str">
        <f>VLOOKUP(WWWW[[#This Row],[Site Name]],SiteDB6[[Site Name]:[CCCM Focal Agency]],7,FALSE)</f>
        <v>uncovered</v>
      </c>
      <c r="EG88" s="727" t="str">
        <f>VLOOKUP(WWWW[[#This Row],[Site Name]],SiteDB6[[Site Name]:[Location Type 1]],9,FALSE)</f>
        <v>Camp</v>
      </c>
      <c r="EH88" s="727" t="str">
        <f>VLOOKUP(WWWW[[#This Row],[Site Name]],SiteDB6[[Site Name]:[Type of Accommodation]],10,FALSE)</f>
        <v>IDPs in host</v>
      </c>
      <c r="EI88" s="727" t="str">
        <f>VLOOKUP(WWWW[[#This Row],[Site Name]],SiteDB6[[Site Name]:[Ethnic or GCA/NGCA]],11,FALSE)</f>
        <v>GCA</v>
      </c>
      <c r="EJ88" s="727">
        <f>VLOOKUP(WWWW[[#This Row],[Site Name]],SiteDB6[[Site Name]:[Lat]],12,FALSE)</f>
        <v>24.118618999999999</v>
      </c>
      <c r="EK88" s="727">
        <f>VLOOKUP(WWWW[[#This Row],[Site Name]],SiteDB6[[Site Name]:[Long]],13,FALSE)</f>
        <v>97.298055000000005</v>
      </c>
      <c r="EL88" s="727" t="str">
        <f>VLOOKUP(WWWW[[#This Row],[Site Name]],SiteDB6[[Site Name]:[Pcode]],3,FALSE)</f>
        <v>MMR001CMP196</v>
      </c>
      <c r="EM88" s="732" t="str">
        <f t="shared" si="1"/>
        <v>Notcovered</v>
      </c>
      <c r="EN88" s="732"/>
      <c r="EO88" s="727">
        <f>VLOOKUP(WWWW[[#This Row],[Site Name]],SiteDB6[[Site Name]:[Pop
(Kachin/Shan-CCCM as of July 2021)]],16,FALSE)</f>
        <v>70</v>
      </c>
      <c r="EP88" s="727">
        <f>VLOOKUP(WWWW[[#This Row],[Site Name]],SiteDB6[[Site Name]:[Pop
(Kachin/Shan-CCCM as of July 2021)]],17,FALSE)</f>
        <v>344</v>
      </c>
    </row>
    <row r="89" spans="1:146" hidden="1">
      <c r="A89" s="725" t="s">
        <v>2763</v>
      </c>
      <c r="B89" s="725" t="s">
        <v>242</v>
      </c>
      <c r="C89" s="726" t="s">
        <v>242</v>
      </c>
      <c r="D89" s="726" t="s">
        <v>307</v>
      </c>
      <c r="E89" s="726" t="s">
        <v>37</v>
      </c>
      <c r="F89" s="726" t="s">
        <v>159</v>
      </c>
      <c r="G89" s="591" t="str">
        <f>VLOOKUP(WWWW[[#This Row],[Site Name]],SiteDB6[[Site Name]:[Location Type]],8,FALSE)</f>
        <v>Camp</v>
      </c>
      <c r="H89" s="726" t="s">
        <v>263</v>
      </c>
      <c r="I89" s="448">
        <v>22</v>
      </c>
      <c r="J89" s="448">
        <v>90</v>
      </c>
      <c r="K89" s="588">
        <v>44197</v>
      </c>
      <c r="L89" s="589">
        <v>44651</v>
      </c>
      <c r="M89" s="728"/>
      <c r="N89" s="728">
        <v>1</v>
      </c>
      <c r="O89" s="728"/>
      <c r="P89" s="728"/>
      <c r="Q89" s="731" t="s">
        <v>41</v>
      </c>
      <c r="R89" s="728">
        <v>2</v>
      </c>
      <c r="S89" s="728">
        <v>3</v>
      </c>
      <c r="T89" s="448">
        <v>1</v>
      </c>
      <c r="U89" s="728"/>
      <c r="V89" s="728"/>
      <c r="W89" s="728"/>
      <c r="X89" s="728">
        <v>1</v>
      </c>
      <c r="Y89" s="728"/>
      <c r="Z89" s="728"/>
      <c r="AA89" s="728"/>
      <c r="AB89" s="728"/>
      <c r="AC89" s="728"/>
      <c r="AD89" s="728"/>
      <c r="AE89" s="728"/>
      <c r="AF89" s="728"/>
      <c r="AG89" s="728"/>
      <c r="AH89" s="728"/>
      <c r="AI89" s="728"/>
      <c r="AJ89" s="728"/>
      <c r="AK89" s="728"/>
      <c r="AL89" s="728"/>
      <c r="AM89" s="728"/>
      <c r="AN89" s="728"/>
      <c r="AO89" s="728"/>
      <c r="AP89" s="732"/>
      <c r="AQ89" s="728">
        <v>4</v>
      </c>
      <c r="AR89" s="728"/>
      <c r="AS89" s="733"/>
      <c r="AT89" s="728"/>
      <c r="AU89" s="728"/>
      <c r="AV89" s="728">
        <v>4</v>
      </c>
      <c r="AW89" s="728"/>
      <c r="AX89" s="728"/>
      <c r="AY89" s="727" t="s">
        <v>41</v>
      </c>
      <c r="AZ89" s="732" t="s">
        <v>137</v>
      </c>
      <c r="BA89" s="728"/>
      <c r="BB89" s="728"/>
      <c r="BC89" s="728"/>
      <c r="BD89" s="448"/>
      <c r="BE89" s="448"/>
      <c r="BF89" s="727"/>
      <c r="BG89" s="728">
        <v>8</v>
      </c>
      <c r="BH89" s="728"/>
      <c r="BI89" s="728"/>
      <c r="BJ89" s="728">
        <v>3</v>
      </c>
      <c r="BK89" s="728"/>
      <c r="BL89" s="728">
        <v>1</v>
      </c>
      <c r="BM89" s="728"/>
      <c r="BN89" s="448">
        <v>91</v>
      </c>
      <c r="BO89" s="448">
        <v>124</v>
      </c>
      <c r="BP89" s="727"/>
      <c r="BQ89" s="734"/>
      <c r="BR89" s="733">
        <v>0.5</v>
      </c>
      <c r="BS89" s="425" t="s">
        <v>2883</v>
      </c>
      <c r="BT89" s="423">
        <v>0.5</v>
      </c>
      <c r="BU89" s="423">
        <v>0.8</v>
      </c>
      <c r="BV89" s="425"/>
      <c r="BW89" s="423">
        <v>0.5</v>
      </c>
      <c r="BX89" s="448"/>
      <c r="BY89" s="448"/>
      <c r="BZ89" s="448">
        <v>2</v>
      </c>
      <c r="CA89" s="448"/>
      <c r="CB89" s="448"/>
      <c r="CC89" s="777"/>
      <c r="CD89" s="448"/>
      <c r="CE89" s="735" t="str">
        <f>IFERROR(WWWW[[#This Row],['#_Water sources passed]]/WWWW[[#This Row],['#_Water sources tested for fecal coliform ]],"no test")</f>
        <v>no test</v>
      </c>
      <c r="CF89" s="733" t="str">
        <f>IFERROR(WWWW[[#This Row],['#_Household passed]]/WWWW[[#This Row],['#_Household water samples tested for fecal coliform]],"no test")</f>
        <v>no test</v>
      </c>
      <c r="CG89" s="734" t="str">
        <f>IF(AND(WWWW[[#This Row],[% of water sources passed]]="no test",WWWW[[#This Row],[% Household passed]]="no test"),"No Test","Tested")</f>
        <v>No Test</v>
      </c>
      <c r="CH89" s="734">
        <f>WWWW[[#This Row],['#_Constructed/existing protected hand dug well]]-WWWW[[#This Row],['#_Non-functional protected hand dug well]]</f>
        <v>1</v>
      </c>
      <c r="CI89" s="734">
        <f>(WWWW[[#This Row],['#_Constructed/Existing tube wells/boreholes/handpumps_WASH_agency]]+WWWW[[#This Row],['#_Non-Cluster partner water tube-wells/boreholes/handpumps]])-WWWW[[#This Row],['#_Non-functional tube wells/boreholes/handpumps]]</f>
        <v>1</v>
      </c>
      <c r="CJ89" s="734">
        <f>WWWW[[#This Row],['#_Constructed/Existingwater storage tank with gravity fed reticulation system]]-WWWW[[#This Row],['#_Non-functional storage tank gravity fed reticulation system]]</f>
        <v>0</v>
      </c>
      <c r="CK89" s="734">
        <f>(WWWW[[#This Row],['#_Water_Liters_supplied_by_Water boating or water trucking]]/90)/15</f>
        <v>0</v>
      </c>
      <c r="CL89" s="734">
        <f>WWWW[[#This Row],['#_Water_Liters_from_Constructed/Existing water distribution system from river or natural spring]]/90/15</f>
        <v>0</v>
      </c>
      <c r="CM89" s="424">
        <f>IF(WWWW[[#This Row],['#_of water points in TLS/CFS]]*500&gt;WWWW[[#This Row],[Total PoP ]],WWWW[[#This Row],[Total PoP ]],WWWW[[#This Row],['#_of water points in TLS/CFS]]*500)</f>
        <v>0</v>
      </c>
      <c r="CN89" s="424">
        <f>IF(WWWW[[#This Row],['#_of water points in THF]]*500&gt;WWWW[[#This Row],[Total PoP ]],WWWW[[#This Row],[Total PoP ]],WWWW[[#This Row],['#_of water points in THF]]*500)</f>
        <v>0</v>
      </c>
      <c r="CO8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9" s="733">
        <f>IF(WWWW[[#This Row],[Location Type 1]]="Village",WWWW[[#This Row],[Access to safe drinking water for Village]],WWWW[[#This Row],[Access to safe drinking water for Camp]])</f>
        <v>1</v>
      </c>
      <c r="CR89" s="731">
        <f>WWWW[[#This Row],[%Equitable and continuous access to sufficient quantity of safe drinking water]]*WWWW[[#This Row],[Total PoP ]]</f>
        <v>90</v>
      </c>
      <c r="CS89" s="733">
        <f>IF((WWWW[[#This Row],['#_Constructed/Existing protected/fenced ponds]]*250)/WWWW[[#This Row],[Total PoP ]]&gt;1,1,(WWWW[[#This Row],['#_Constructed/Existing protected/fenced ponds]]*250)/WWWW[[#This Row],[Total PoP ]])</f>
        <v>0</v>
      </c>
      <c r="CT89" s="731">
        <f>WWWW[[#This Row],[% Access to unimproved water points]]*WWWW[[#This Row],[Total PoP ]]</f>
        <v>0</v>
      </c>
      <c r="CU8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90</v>
      </c>
      <c r="CW89" s="731">
        <f>WWWW[[#This Row],[HRP1]]/500</f>
        <v>0.18</v>
      </c>
      <c r="CX89" s="736">
        <f>1-WWWW[[#This Row],[% Equitable and continuous access to sufficient quantity of domestic water]]</f>
        <v>0</v>
      </c>
      <c r="CY89" s="731">
        <f>WWWW[[#This Row],[%equitable and continuous access to sufficient quantity of safe drinking and domestic water''s GAP]]*WWWW[[#This Row],[Total PoP ]]</f>
        <v>0</v>
      </c>
      <c r="CZ89" s="734">
        <f>IF(WWWW[[#This Row],[Total required water points]]-WWWW[[#This Row],['#Water points coverage]]&lt;0,0,WWWW[[#This Row],[Total required water points]]-WWWW[[#This Row],['#Water points coverage]])</f>
        <v>0.82000000000000006</v>
      </c>
      <c r="DA89" s="734">
        <f>ROUND(IF(WWWW[[#This Row],[Total PoP ]]&lt;500,1,WWWW[[#This Row],[Total PoP ]]/500),0)</f>
        <v>1</v>
      </c>
      <c r="DB89" s="734">
        <f>(WWWW[[#This Row],['#_Constructed latrines_by_WASHAgencies]]+WWWW[[#This Row],['#_Non Cluster partner latrines]])-WWWW[[#This Row],['#_Non-functional latrines]]</f>
        <v>4</v>
      </c>
      <c r="DC89" s="631">
        <f>WWWW[[#This Row],[HRP2]]/WWWW[[#This Row],[Total PoP ]]</f>
        <v>0.88888888888888884</v>
      </c>
      <c r="DD8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8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F8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9" s="424">
        <f>IF(WWWW[[#This Row],['# of functional latrines in THF supported by WASH partners during the reporting period2]]="",0,WWWW[[#This Row],['# of functional latrines in THF supported by WASH partners during the reporting period2]]*50)</f>
        <v>0</v>
      </c>
      <c r="DH89" s="734">
        <f>ROUND(IF(WWWW[[#This Row],[Location Type 1]]="camp",WWWW[[#This Row],[Total PoP ]]/20,IF(WWWW[[#This Row],[Location Type 1]]="Temporary Location",WWWW[[#This Row],[Total PoP ]]/50,(WWWW[[#This Row],[Total PoP ]]/6))),0)</f>
        <v>5</v>
      </c>
      <c r="DI89" s="734">
        <f>IF(WWWW[[#This Row],[Total required Latrines]]-(WWWW[[#This Row],['#_Constructed latrines_by_WASHAgencies]]+WWWW[[#This Row],['#_Non Cluster partner latrines]])&lt;0,0,WWWW[[#This Row],[Total required Latrines]]-(WWWW[[#This Row],['#_Constructed latrines_by_WASHAgencies]]+WWWW[[#This Row],['#_Non Cluster partner latrines]]))</f>
        <v>1</v>
      </c>
      <c r="DJ89" s="736">
        <f>1-WWWW[[#This Row],[% people access to functioning Latrine]]</f>
        <v>0.11111111111111116</v>
      </c>
      <c r="DK89" s="735">
        <f>IF(OR(WWWW[[#This Row],['#_Non-functional latrines]]="",WWWW[[#This Row],['#_Non-functional latrines]]=0),0,WWWW[[#This Row],['#_Non-functional latrines]]/(WWWW[[#This Row],['#_Constructed latrines_by_WASHAgencies]]+WWWW[[#This Row],['#_Non Cluster partner latrines]]))</f>
        <v>0</v>
      </c>
      <c r="DL89" s="731">
        <f>IF(500*(WWWW[[#This Row],['#_male hygiene promoters]]+WWWW[[#This Row],['#_female hygiene promoters]])&gt;WWWW[[#This Row],[Total PoP ]],WWWW[[#This Row],[Total PoP ]],500*(WWWW[[#This Row],['#_male hygiene promoters]]+WWWW[[#This Row],['#_female hygiene promoters]]))</f>
        <v>90</v>
      </c>
      <c r="DM8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90</v>
      </c>
      <c r="DN8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90</v>
      </c>
      <c r="DO89" s="734">
        <f>IF(WWWW[[#This Row],['# People with access to soap]]&gt;WWWW[[#This Row],['# People with access to Sanity Pads]],WWWW[[#This Row],['# People with access to soap]],WWWW[[#This Row],['# People with access to Sanity Pads]])</f>
        <v>90</v>
      </c>
      <c r="DP89" s="734">
        <f>IF(WWWW[[#This Row],['# people reached by regular dedicated hygiene promotion_5]]&gt;WWWW[[#This Row],['# People received regular supply of hygiene items_6]],WWWW[[#This Row],['# people reached by regular dedicated hygiene promotion_5]],WWWW[[#This Row],['# People received regular supply of hygiene items_6]])</f>
        <v>90</v>
      </c>
      <c r="DQ89" s="736">
        <f>IF(WWWW[[#This Row],[HRP3]]/WWWW[[#This Row],[Total PoP ]]&gt;1,1,WWWW[[#This Row],[HRP3]]/WWWW[[#This Row],[Total PoP ]])</f>
        <v>1</v>
      </c>
      <c r="DR89" s="735">
        <f>1-WWWW[[#This Row],[Hygiene Coverage%]]</f>
        <v>0</v>
      </c>
      <c r="DS89" s="733">
        <f>WWWW[[#This Row],['# people reached by regular dedicated hygiene promotion_5]]/WWWW[[#This Row],[Total PoP ]]</f>
        <v>1</v>
      </c>
      <c r="DT8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9" s="734">
        <f>WWWW[[#This Row],['#_Constructed/Existing hand washing stations]]-WWWW[[#This Row],['#_Non-Functional_hand_washing_stations]]</f>
        <v>8</v>
      </c>
      <c r="DW89" s="731">
        <f>IF(WWWW[[#This Row],['# Functional hand washing stations during reporting period]]*20&gt;WWWW[[#This Row],[Total HH]],WWWW[[#This Row],[Total HH]],WWWW[[#This Row],['# Functional hand washing stations during reporting period]]*20)</f>
        <v>22</v>
      </c>
      <c r="DX89" s="731">
        <f>IF(WWWW[[#This Row],[Is sufficient soap available for TLS? (Yes/No)]]="yes",WWWW[[#This Row],['#_Constructed/Existing hand washing stations at TLS/CFS/THF]],0)</f>
        <v>0</v>
      </c>
      <c r="DY89" s="428">
        <f>IF(WWWW[[#This Row],['# Functional hand washing stations during reporting period]]*100&gt;WWWW[[#This Row],[Total PoP ]],WWWW[[#This Row],[Total PoP ]],WWWW[[#This Row],['# Functional hand washing stations during reporting period]]*100)</f>
        <v>90</v>
      </c>
      <c r="DZ89" s="428" t="str">
        <f>IF(OR(WWWW[[#This Row],['#_students at TLS_CFS]]="",WWWW[[#This Row],['#_students at TLS_CFS]]=0),"No","Yes")</f>
        <v>No</v>
      </c>
      <c r="EA8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2</v>
      </c>
      <c r="EC8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9" s="727" t="str">
        <f>VLOOKUP(WWWW[[#This Row],[Site Name]],SiteDB6[[Site Name]:[CCCM Management]],6,FALSE)</f>
        <v>Yes</v>
      </c>
      <c r="EF89" s="727" t="str">
        <f>VLOOKUP(WWWW[[#This Row],[Site Name]],SiteDB6[[Site Name]:[CCCM Focal Agency]],7,FALSE)</f>
        <v>Shalom</v>
      </c>
      <c r="EG89" s="727" t="str">
        <f>VLOOKUP(WWWW[[#This Row],[Site Name]],SiteDB6[[Site Name]:[Location Type 1]],9,FALSE)</f>
        <v>Camp</v>
      </c>
      <c r="EH89" s="727" t="str">
        <f>VLOOKUP(WWWW[[#This Row],[Site Name]],SiteDB6[[Site Name]:[Type of Accommodation]],10,FALSE)</f>
        <v>Camp</v>
      </c>
      <c r="EI89" s="727" t="str">
        <f>VLOOKUP(WWWW[[#This Row],[Site Name]],SiteDB6[[Site Name]:[Ethnic or GCA/NGCA]],11,FALSE)</f>
        <v>GCA</v>
      </c>
      <c r="EJ89" s="727">
        <f>VLOOKUP(WWWW[[#This Row],[Site Name]],SiteDB6[[Site Name]:[Lat]],12,FALSE)</f>
        <v>25.374343974359</v>
      </c>
      <c r="EK89" s="727">
        <f>VLOOKUP(WWWW[[#This Row],[Site Name]],SiteDB6[[Site Name]:[Long]],13,FALSE)</f>
        <v>97.2843958974359</v>
      </c>
      <c r="EL89" s="727" t="str">
        <f>VLOOKUP(WWWW[[#This Row],[Site Name]],SiteDB6[[Site Name]:[Pcode]],3,FALSE)</f>
        <v>MMR001CMP020</v>
      </c>
      <c r="EM89" s="732" t="str">
        <f t="shared" si="1"/>
        <v>Covered</v>
      </c>
      <c r="EN89" s="732"/>
      <c r="EO89" s="727">
        <f>VLOOKUP(WWWW[[#This Row],[Site Name]],SiteDB6[[Site Name]:[Pop
(Kachin/Shan-CCCM as of July 2021)]],16,FALSE)</f>
        <v>22</v>
      </c>
      <c r="EP89" s="727">
        <f>VLOOKUP(WWWW[[#This Row],[Site Name]],SiteDB6[[Site Name]:[Pop
(Kachin/Shan-CCCM as of July 2021)]],17,FALSE)</f>
        <v>90</v>
      </c>
    </row>
    <row r="90" spans="1:146" hidden="1">
      <c r="A90" s="725" t="s">
        <v>2763</v>
      </c>
      <c r="B90" s="725" t="s">
        <v>242</v>
      </c>
      <c r="C90" s="726" t="s">
        <v>242</v>
      </c>
      <c r="D90" s="726" t="s">
        <v>307</v>
      </c>
      <c r="E90" s="726" t="s">
        <v>37</v>
      </c>
      <c r="F90" s="726" t="s">
        <v>159</v>
      </c>
      <c r="G90" s="591" t="str">
        <f>VLOOKUP(WWWW[[#This Row],[Site Name]],SiteDB6[[Site Name]:[Location Type]],8,FALSE)</f>
        <v>Camp</v>
      </c>
      <c r="H90" s="726" t="s">
        <v>264</v>
      </c>
      <c r="I90" s="448">
        <v>28</v>
      </c>
      <c r="J90" s="448">
        <v>166</v>
      </c>
      <c r="K90" s="588">
        <v>44197</v>
      </c>
      <c r="L90" s="589">
        <v>44651</v>
      </c>
      <c r="M90" s="728">
        <v>43</v>
      </c>
      <c r="N90" s="728">
        <v>1</v>
      </c>
      <c r="O90" s="728"/>
      <c r="P90" s="728"/>
      <c r="Q90" s="731" t="s">
        <v>41</v>
      </c>
      <c r="R90" s="728"/>
      <c r="S90" s="728">
        <v>5</v>
      </c>
      <c r="T90" s="448">
        <v>1</v>
      </c>
      <c r="U90" s="728"/>
      <c r="V90" s="448">
        <v>1</v>
      </c>
      <c r="W90" s="448">
        <v>1</v>
      </c>
      <c r="X90" s="448">
        <v>1</v>
      </c>
      <c r="Y90" s="728"/>
      <c r="Z90" s="728">
        <v>1</v>
      </c>
      <c r="AA90" s="728"/>
      <c r="AB90" s="728"/>
      <c r="AC90" s="728"/>
      <c r="AD90" s="728"/>
      <c r="AE90" s="728">
        <v>2</v>
      </c>
      <c r="AF90" s="728"/>
      <c r="AG90" s="728"/>
      <c r="AH90" s="728"/>
      <c r="AI90" s="728"/>
      <c r="AJ90" s="728"/>
      <c r="AK90" s="728"/>
      <c r="AL90" s="728"/>
      <c r="AM90" s="728">
        <v>1</v>
      </c>
      <c r="AN90" s="728"/>
      <c r="AO90" s="728"/>
      <c r="AP90" s="590" t="s">
        <v>2879</v>
      </c>
      <c r="AQ90" s="728">
        <v>6</v>
      </c>
      <c r="AR90" s="728"/>
      <c r="AS90" s="733"/>
      <c r="AT90" s="728"/>
      <c r="AU90" s="728"/>
      <c r="AV90" s="728"/>
      <c r="AW90" s="728"/>
      <c r="AX90" s="728"/>
      <c r="AY90" s="727" t="s">
        <v>136</v>
      </c>
      <c r="AZ90" s="732" t="s">
        <v>137</v>
      </c>
      <c r="BA90" s="728"/>
      <c r="BB90" s="728"/>
      <c r="BC90" s="728"/>
      <c r="BD90" s="448"/>
      <c r="BE90" s="448"/>
      <c r="BF90" s="425" t="s">
        <v>2881</v>
      </c>
      <c r="BG90" s="728">
        <v>7</v>
      </c>
      <c r="BH90" s="728"/>
      <c r="BI90" s="728"/>
      <c r="BJ90" s="728">
        <v>7</v>
      </c>
      <c r="BK90" s="728"/>
      <c r="BL90" s="728"/>
      <c r="BM90" s="728">
        <v>1</v>
      </c>
      <c r="BN90" s="448">
        <v>104</v>
      </c>
      <c r="BO90" s="448">
        <v>148</v>
      </c>
      <c r="BP90" s="425" t="s">
        <v>136</v>
      </c>
      <c r="BQ90" s="734">
        <v>2</v>
      </c>
      <c r="BR90" s="423">
        <v>0.7</v>
      </c>
      <c r="BS90" s="425" t="s">
        <v>2884</v>
      </c>
      <c r="BT90" s="423">
        <v>0.9</v>
      </c>
      <c r="BU90" s="423">
        <v>0.9</v>
      </c>
      <c r="BV90" s="425">
        <v>60</v>
      </c>
      <c r="BW90" s="423">
        <v>0.7</v>
      </c>
      <c r="BX90" s="448"/>
      <c r="BY90" s="448"/>
      <c r="BZ90" s="448"/>
      <c r="CA90" s="448"/>
      <c r="CB90" s="448"/>
      <c r="CC90" s="777"/>
      <c r="CD90" s="448"/>
      <c r="CE90" s="735" t="str">
        <f>IFERROR(WWWW[[#This Row],['#_Water sources passed]]/WWWW[[#This Row],['#_Water sources tested for fecal coliform ]],"no test")</f>
        <v>no test</v>
      </c>
      <c r="CF90" s="733" t="str">
        <f>IFERROR(WWWW[[#This Row],['#_Household passed]]/WWWW[[#This Row],['#_Household water samples tested for fecal coliform]],"no test")</f>
        <v>no test</v>
      </c>
      <c r="CG90" s="734" t="str">
        <f>IF(AND(WWWW[[#This Row],[% of water sources passed]]="no test",WWWW[[#This Row],[% Household passed]]="no test"),"No Test","Tested")</f>
        <v>No Test</v>
      </c>
      <c r="CH90" s="734">
        <f>WWWW[[#This Row],['#_Constructed/existing protected hand dug well]]-WWWW[[#This Row],['#_Non-functional protected hand dug well]]</f>
        <v>1</v>
      </c>
      <c r="CI90" s="734">
        <f>(WWWW[[#This Row],['#_Constructed/Existing tube wells/boreholes/handpumps_WASH_agency]]+WWWW[[#This Row],['#_Non-Cluster partner water tube-wells/boreholes/handpumps]])-WWWW[[#This Row],['#_Non-functional tube wells/boreholes/handpumps]]</f>
        <v>2</v>
      </c>
      <c r="CJ90" s="734">
        <f>WWWW[[#This Row],['#_Constructed/Existingwater storage tank with gravity fed reticulation system]]-WWWW[[#This Row],['#_Non-functional storage tank gravity fed reticulation system]]</f>
        <v>0</v>
      </c>
      <c r="CK90" s="734">
        <f>(WWWW[[#This Row],['#_Water_Liters_supplied_by_Water boating or water trucking]]/90)/15</f>
        <v>0</v>
      </c>
      <c r="CL90" s="734">
        <f>WWWW[[#This Row],['#_Water_Liters_from_Constructed/Existing water distribution system from river or natural spring]]/90/15</f>
        <v>0</v>
      </c>
      <c r="CM90" s="424">
        <f>IF(WWWW[[#This Row],['#_of water points in TLS/CFS]]*500&gt;WWWW[[#This Row],[Total PoP ]],WWWW[[#This Row],[Total PoP ]],WWWW[[#This Row],['#_of water points in TLS/CFS]]*500)</f>
        <v>0</v>
      </c>
      <c r="CN90" s="424">
        <f>IF(WWWW[[#This Row],['#_of water points in THF]]*500&gt;WWWW[[#This Row],[Total PoP ]],WWWW[[#This Row],[Total PoP ]],WWWW[[#This Row],['#_of water points in THF]]*500)</f>
        <v>0</v>
      </c>
      <c r="CO9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0" s="733">
        <f>IF(WWWW[[#This Row],[Location Type 1]]="Village",WWWW[[#This Row],[Access to safe drinking water for Village]],WWWW[[#This Row],[Access to safe drinking water for Camp]])</f>
        <v>1</v>
      </c>
      <c r="CR90" s="731">
        <f>WWWW[[#This Row],[%Equitable and continuous access to sufficient quantity of safe drinking water]]*WWWW[[#This Row],[Total PoP ]]</f>
        <v>166</v>
      </c>
      <c r="CS90" s="733">
        <f>IF((WWWW[[#This Row],['#_Constructed/Existing protected/fenced ponds]]*250)/WWWW[[#This Row],[Total PoP ]]&gt;1,1,(WWWW[[#This Row],['#_Constructed/Existing protected/fenced ponds]]*250)/WWWW[[#This Row],[Total PoP ]])</f>
        <v>1</v>
      </c>
      <c r="CT90" s="731">
        <f>WWWW[[#This Row],[% Access to unimproved water points]]*WWWW[[#This Row],[Total PoP ]]</f>
        <v>166</v>
      </c>
      <c r="CU9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v>
      </c>
      <c r="CW90" s="731">
        <f>WWWW[[#This Row],[HRP1]]/500</f>
        <v>0.33200000000000002</v>
      </c>
      <c r="CX90" s="736">
        <f>1-WWWW[[#This Row],[% Equitable and continuous access to sufficient quantity of domestic water]]</f>
        <v>0</v>
      </c>
      <c r="CY90" s="731">
        <f>WWWW[[#This Row],[%equitable and continuous access to sufficient quantity of safe drinking and domestic water''s GAP]]*WWWW[[#This Row],[Total PoP ]]</f>
        <v>0</v>
      </c>
      <c r="CZ90" s="734">
        <f>IF(WWWW[[#This Row],[Total required water points]]-WWWW[[#This Row],['#Water points coverage]]&lt;0,0,WWWW[[#This Row],[Total required water points]]-WWWW[[#This Row],['#Water points coverage]])</f>
        <v>0.66799999999999993</v>
      </c>
      <c r="DA90" s="734">
        <f>ROUND(IF(WWWW[[#This Row],[Total PoP ]]&lt;500,1,WWWW[[#This Row],[Total PoP ]]/500),0)</f>
        <v>1</v>
      </c>
      <c r="DB90" s="734">
        <f>(WWWW[[#This Row],['#_Constructed latrines_by_WASHAgencies]]+WWWW[[#This Row],['#_Non Cluster partner latrines]])-WWWW[[#This Row],['#_Non-functional latrines]]</f>
        <v>6</v>
      </c>
      <c r="DC90" s="631">
        <f>WWWW[[#This Row],[HRP2]]/WWWW[[#This Row],[Total PoP ]]</f>
        <v>0.72289156626506024</v>
      </c>
      <c r="DD9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9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0" s="424">
        <f>IF(WWWW[[#This Row],['# of functional latrines in THF supported by WASH partners during the reporting period2]]="",0,WWWW[[#This Row],['# of functional latrines in THF supported by WASH partners during the reporting period2]]*50)</f>
        <v>0</v>
      </c>
      <c r="DH90" s="734">
        <f>ROUND(IF(WWWW[[#This Row],[Location Type 1]]="camp",WWWW[[#This Row],[Total PoP ]]/20,IF(WWWW[[#This Row],[Location Type 1]]="Temporary Location",WWWW[[#This Row],[Total PoP ]]/50,(WWWW[[#This Row],[Total PoP ]]/6))),0)</f>
        <v>8</v>
      </c>
      <c r="DI90" s="734">
        <f>IF(WWWW[[#This Row],[Total required Latrines]]-(WWWW[[#This Row],['#_Constructed latrines_by_WASHAgencies]]+WWWW[[#This Row],['#_Non Cluster partner latrines]])&lt;0,0,WWWW[[#This Row],[Total required Latrines]]-(WWWW[[#This Row],['#_Constructed latrines_by_WASHAgencies]]+WWWW[[#This Row],['#_Non Cluster partner latrines]]))</f>
        <v>2</v>
      </c>
      <c r="DJ90" s="736">
        <f>1-WWWW[[#This Row],[% people access to functioning Latrine]]</f>
        <v>0.27710843373493976</v>
      </c>
      <c r="DK90" s="735">
        <f>IF(OR(WWWW[[#This Row],['#_Non-functional latrines]]="",WWWW[[#This Row],['#_Non-functional latrines]]=0),0,WWWW[[#This Row],['#_Non-functional latrines]]/(WWWW[[#This Row],['#_Constructed latrines_by_WASHAgencies]]+WWWW[[#This Row],['#_Non Cluster partner latrines]]))</f>
        <v>0</v>
      </c>
      <c r="DL90" s="731">
        <f>IF(500*(WWWW[[#This Row],['#_male hygiene promoters]]+WWWW[[#This Row],['#_female hygiene promoters]])&gt;WWWW[[#This Row],[Total PoP ]],WWWW[[#This Row],[Total PoP ]],500*(WWWW[[#This Row],['#_male hygiene promoters]]+WWWW[[#This Row],['#_female hygiene promoters]]))</f>
        <v>166</v>
      </c>
      <c r="DM9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166</v>
      </c>
      <c r="DN9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90" s="734">
        <f>IF(WWWW[[#This Row],['# People with access to soap]]&gt;WWWW[[#This Row],['# People with access to Sanity Pads]],WWWW[[#This Row],['# People with access to soap]],WWWW[[#This Row],['# People with access to Sanity Pads]])</f>
        <v>166</v>
      </c>
      <c r="DP90" s="734">
        <f>IF(WWWW[[#This Row],['# people reached by regular dedicated hygiene promotion_5]]&gt;WWWW[[#This Row],['# People received regular supply of hygiene items_6]],WWWW[[#This Row],['# people reached by regular dedicated hygiene promotion_5]],WWWW[[#This Row],['# People received regular supply of hygiene items_6]])</f>
        <v>166</v>
      </c>
      <c r="DQ90" s="736">
        <f>IF(WWWW[[#This Row],[HRP3]]/WWWW[[#This Row],[Total PoP ]]&gt;1,1,WWWW[[#This Row],[HRP3]]/WWWW[[#This Row],[Total PoP ]])</f>
        <v>1</v>
      </c>
      <c r="DR90" s="735">
        <f>1-WWWW[[#This Row],[Hygiene Coverage%]]</f>
        <v>0</v>
      </c>
      <c r="DS90" s="733">
        <f>WWWW[[#This Row],['# people reached by regular dedicated hygiene promotion_5]]/WWWW[[#This Row],[Total PoP ]]</f>
        <v>1</v>
      </c>
      <c r="DT9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0" s="734">
        <f>WWWW[[#This Row],['#_Constructed/Existing hand washing stations]]-WWWW[[#This Row],['#_Non-Functional_hand_washing_stations]]</f>
        <v>7</v>
      </c>
      <c r="DW90" s="731">
        <f>IF(WWWW[[#This Row],['# Functional hand washing stations during reporting period]]*20&gt;WWWW[[#This Row],[Total HH]],WWWW[[#This Row],[Total HH]],WWWW[[#This Row],['# Functional hand washing stations during reporting period]]*20)</f>
        <v>28</v>
      </c>
      <c r="DX90" s="731">
        <f>IF(WWWW[[#This Row],[Is sufficient soap available for TLS? (Yes/No)]]="yes",WWWW[[#This Row],['#_Constructed/Existing hand washing stations at TLS/CFS/THF]],0)</f>
        <v>0</v>
      </c>
      <c r="DY90" s="428">
        <f>IF(WWWW[[#This Row],['# Functional hand washing stations during reporting period]]*100&gt;WWWW[[#This Row],[Total PoP ]],WWWW[[#This Row],[Total PoP ]],WWWW[[#This Row],['# Functional hand washing stations during reporting period]]*100)</f>
        <v>166</v>
      </c>
      <c r="DZ90" s="428" t="str">
        <f>IF(OR(WWWW[[#This Row],['#_students at TLS_CFS]]="",WWWW[[#This Row],['#_students at TLS_CFS]]=0),"No","Yes")</f>
        <v>Yes</v>
      </c>
      <c r="EA90" s="631">
        <f>IF(WWWW[[#This Row],['#_of_affected_people_surveyed_who_report_feeling_informed_about_the_different_WASH_services_available_to_them]]="","",WWWW[[#This Row],['#_of_affected_people_surveyed_who_report_feeling_informed_about_the_different_WASH_services_available_to_them]]/WWWW[[#This Row],[Total PoP ]])</f>
        <v>0.36144578313253012</v>
      </c>
      <c r="EB9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0" s="727" t="str">
        <f>VLOOKUP(WWWW[[#This Row],[Site Name]],SiteDB6[[Site Name]:[CCCM Management]],6,FALSE)</f>
        <v>Yes</v>
      </c>
      <c r="EF90" s="727" t="str">
        <f>VLOOKUP(WWWW[[#This Row],[Site Name]],SiteDB6[[Site Name]:[CCCM Focal Agency]],7,FALSE)</f>
        <v>Shalom</v>
      </c>
      <c r="EG90" s="727" t="str">
        <f>VLOOKUP(WWWW[[#This Row],[Site Name]],SiteDB6[[Site Name]:[Location Type 1]],9,FALSE)</f>
        <v>Camp</v>
      </c>
      <c r="EH90" s="727" t="str">
        <f>VLOOKUP(WWWW[[#This Row],[Site Name]],SiteDB6[[Site Name]:[Type of Accommodation]],10,FALSE)</f>
        <v>Camp</v>
      </c>
      <c r="EI90" s="727" t="str">
        <f>VLOOKUP(WWWW[[#This Row],[Site Name]],SiteDB6[[Site Name]:[Ethnic or GCA/NGCA]],11,FALSE)</f>
        <v>GCA</v>
      </c>
      <c r="EJ90" s="727">
        <f>VLOOKUP(WWWW[[#This Row],[Site Name]],SiteDB6[[Site Name]:[Lat]],12,FALSE)</f>
        <v>25.371049444444399</v>
      </c>
      <c r="EK90" s="727">
        <f>VLOOKUP(WWWW[[#This Row],[Site Name]],SiteDB6[[Site Name]:[Long]],13,FALSE)</f>
        <v>97.290952037037002</v>
      </c>
      <c r="EL90" s="727" t="str">
        <f>VLOOKUP(WWWW[[#This Row],[Site Name]],SiteDB6[[Site Name]:[Pcode]],3,FALSE)</f>
        <v>MMR001CMP021</v>
      </c>
      <c r="EM90" s="732" t="str">
        <f t="shared" si="1"/>
        <v>Covered</v>
      </c>
      <c r="EN90" s="732"/>
      <c r="EO90" s="727">
        <f>VLOOKUP(WWWW[[#This Row],[Site Name]],SiteDB6[[Site Name]:[Pop
(Kachin/Shan-CCCM as of July 2021)]],16,FALSE)</f>
        <v>30</v>
      </c>
      <c r="EP90" s="727">
        <f>VLOOKUP(WWWW[[#This Row],[Site Name]],SiteDB6[[Site Name]:[Pop
(Kachin/Shan-CCCM as of July 2021)]],17,FALSE)</f>
        <v>177</v>
      </c>
    </row>
    <row r="91" spans="1:146" hidden="1">
      <c r="A91" s="725" t="s">
        <v>2763</v>
      </c>
      <c r="B91" s="725" t="s">
        <v>309</v>
      </c>
      <c r="C91" s="726" t="s">
        <v>309</v>
      </c>
      <c r="D91" s="726"/>
      <c r="E91" s="726" t="s">
        <v>37</v>
      </c>
      <c r="F91" s="726" t="s">
        <v>148</v>
      </c>
      <c r="G91" s="591" t="str">
        <f>VLOOKUP(WWWW[[#This Row],[Site Name]],SiteDB6[[Site Name]:[Location Type]],8,FALSE)</f>
        <v>Camp</v>
      </c>
      <c r="H91" s="726" t="s">
        <v>257</v>
      </c>
      <c r="I91" s="728">
        <v>3</v>
      </c>
      <c r="J91" s="728">
        <v>15</v>
      </c>
      <c r="K91" s="729" t="s">
        <v>2650</v>
      </c>
      <c r="L91" s="730" t="s">
        <v>2651</v>
      </c>
      <c r="M91" s="728"/>
      <c r="N91" s="728">
        <v>0</v>
      </c>
      <c r="O91" s="728"/>
      <c r="P91" s="728"/>
      <c r="Q91" s="731" t="s">
        <v>41</v>
      </c>
      <c r="R91" s="728"/>
      <c r="S91" s="728">
        <v>5</v>
      </c>
      <c r="T91" s="448">
        <v>1</v>
      </c>
      <c r="U91" s="728"/>
      <c r="V91" s="728"/>
      <c r="W91" s="728">
        <v>1</v>
      </c>
      <c r="X91" s="728"/>
      <c r="Y91" s="728"/>
      <c r="Z91" s="728"/>
      <c r="AA91" s="728"/>
      <c r="AB91" s="728"/>
      <c r="AC91" s="728"/>
      <c r="AD91" s="728"/>
      <c r="AE91" s="728"/>
      <c r="AF91" s="728"/>
      <c r="AG91" s="728"/>
      <c r="AH91" s="728">
        <v>1</v>
      </c>
      <c r="AI91" s="728"/>
      <c r="AJ91" s="728"/>
      <c r="AK91" s="728"/>
      <c r="AL91" s="728"/>
      <c r="AM91" s="728"/>
      <c r="AN91" s="728"/>
      <c r="AO91" s="728"/>
      <c r="AP91" s="732"/>
      <c r="AQ91" s="728">
        <v>0</v>
      </c>
      <c r="AR91" s="728"/>
      <c r="AS91" s="733"/>
      <c r="AT91" s="728"/>
      <c r="AU91" s="728"/>
      <c r="AV91" s="728"/>
      <c r="AW91" s="728"/>
      <c r="AX91" s="728">
        <v>0</v>
      </c>
      <c r="AY91" s="727" t="s">
        <v>41</v>
      </c>
      <c r="AZ91" s="732" t="s">
        <v>904</v>
      </c>
      <c r="BA91" s="728"/>
      <c r="BB91" s="728"/>
      <c r="BC91" s="728"/>
      <c r="BD91" s="448"/>
      <c r="BE91" s="448"/>
      <c r="BF91" s="727"/>
      <c r="BG91" s="728">
        <v>7</v>
      </c>
      <c r="BH91" s="728"/>
      <c r="BI91" s="728">
        <v>0</v>
      </c>
      <c r="BJ91" s="728">
        <v>4</v>
      </c>
      <c r="BK91" s="728"/>
      <c r="BL91" s="728"/>
      <c r="BM91" s="728"/>
      <c r="BN91" s="728">
        <v>124</v>
      </c>
      <c r="BO91" s="728">
        <v>198</v>
      </c>
      <c r="BP91" s="727"/>
      <c r="BQ91" s="734"/>
      <c r="BR91" s="733"/>
      <c r="BS91" s="727"/>
      <c r="BT91" s="423"/>
      <c r="BU91" s="423"/>
      <c r="BV91" s="425"/>
      <c r="BW91" s="423"/>
      <c r="BX91" s="448"/>
      <c r="BY91" s="448"/>
      <c r="BZ91" s="448"/>
      <c r="CA91" s="448"/>
      <c r="CB91" s="448"/>
      <c r="CC91" s="777"/>
      <c r="CD91" s="448"/>
      <c r="CE91" s="735" t="str">
        <f>IFERROR(WWWW[[#This Row],['#_Water sources passed]]/WWWW[[#This Row],['#_Water sources tested for fecal coliform ]],"no test")</f>
        <v>no test</v>
      </c>
      <c r="CF91" s="733" t="str">
        <f>IFERROR(WWWW[[#This Row],['#_Household passed]]/WWWW[[#This Row],['#_Household water samples tested for fecal coliform]],"no test")</f>
        <v>no test</v>
      </c>
      <c r="CG91" s="734" t="str">
        <f>IF(AND(WWWW[[#This Row],[% of water sources passed]]="no test",WWWW[[#This Row],[% Household passed]]="no test"),"No Test","Tested")</f>
        <v>No Test</v>
      </c>
      <c r="CH91" s="734">
        <f>WWWW[[#This Row],['#_Constructed/existing protected hand dug well]]-WWWW[[#This Row],['#_Non-functional protected hand dug well]]</f>
        <v>1</v>
      </c>
      <c r="CI91" s="734">
        <f>(WWWW[[#This Row],['#_Constructed/Existing tube wells/boreholes/handpumps_WASH_agency]]+WWWW[[#This Row],['#_Non-Cluster partner water tube-wells/boreholes/handpumps]])-WWWW[[#This Row],['#_Non-functional tube wells/boreholes/handpumps]]</f>
        <v>1</v>
      </c>
      <c r="CJ91" s="734">
        <f>WWWW[[#This Row],['#_Constructed/Existingwater storage tank with gravity fed reticulation system]]-WWWW[[#This Row],['#_Non-functional storage tank gravity fed reticulation system]]</f>
        <v>0</v>
      </c>
      <c r="CK91" s="734">
        <f>(WWWW[[#This Row],['#_Water_Liters_supplied_by_Water boating or water trucking]]/90)/15</f>
        <v>0</v>
      </c>
      <c r="CL91" s="734">
        <f>WWWW[[#This Row],['#_Water_Liters_from_Constructed/Existing water distribution system from river or natural spring]]/90/15</f>
        <v>0</v>
      </c>
      <c r="CM91" s="424">
        <f>IF(WWWW[[#This Row],['#_of water points in TLS/CFS]]*500&gt;WWWW[[#This Row],[Total PoP ]],WWWW[[#This Row],[Total PoP ]],WWWW[[#This Row],['#_of water points in TLS/CFS]]*500)</f>
        <v>0</v>
      </c>
      <c r="CN91" s="424">
        <f>IF(WWWW[[#This Row],['#_of water points in THF]]*500&gt;WWWW[[#This Row],[Total PoP ]],WWWW[[#This Row],[Total PoP ]],WWWW[[#This Row],['#_of water points in THF]]*500)</f>
        <v>0</v>
      </c>
      <c r="CO9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1" s="733">
        <f>IF(WWWW[[#This Row],[Location Type 1]]="Village",WWWW[[#This Row],[Access to safe drinking water for Village]],WWWW[[#This Row],[Access to safe drinking water for Camp]])</f>
        <v>1</v>
      </c>
      <c r="CR91" s="731">
        <f>WWWW[[#This Row],[%Equitable and continuous access to sufficient quantity of safe drinking water]]*WWWW[[#This Row],[Total PoP ]]</f>
        <v>15</v>
      </c>
      <c r="CS91" s="733">
        <f>IF((WWWW[[#This Row],['#_Constructed/Existing protected/fenced ponds]]*250)/WWWW[[#This Row],[Total PoP ]]&gt;1,1,(WWWW[[#This Row],['#_Constructed/Existing protected/fenced ponds]]*250)/WWWW[[#This Row],[Total PoP ]])</f>
        <v>0</v>
      </c>
      <c r="CT91" s="731">
        <f>WWWW[[#This Row],[% Access to unimproved water points]]*WWWW[[#This Row],[Total PoP ]]</f>
        <v>0</v>
      </c>
      <c r="CU9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W91" s="731">
        <f>WWWW[[#This Row],[HRP1]]/500</f>
        <v>0.03</v>
      </c>
      <c r="CX91" s="736">
        <f>1-WWWW[[#This Row],[% Equitable and continuous access to sufficient quantity of domestic water]]</f>
        <v>0</v>
      </c>
      <c r="CY91" s="731">
        <f>WWWW[[#This Row],[%equitable and continuous access to sufficient quantity of safe drinking and domestic water''s GAP]]*WWWW[[#This Row],[Total PoP ]]</f>
        <v>0</v>
      </c>
      <c r="CZ91" s="734">
        <f>IF(WWWW[[#This Row],[Total required water points]]-WWWW[[#This Row],['#Water points coverage]]&lt;0,0,WWWW[[#This Row],[Total required water points]]-WWWW[[#This Row],['#Water points coverage]])</f>
        <v>0.97</v>
      </c>
      <c r="DA91" s="734">
        <f>ROUND(IF(WWWW[[#This Row],[Total PoP ]]&lt;500,1,WWWW[[#This Row],[Total PoP ]]/500),0)</f>
        <v>1</v>
      </c>
      <c r="DB91" s="734">
        <f>(WWWW[[#This Row],['#_Constructed latrines_by_WASHAgencies]]+WWWW[[#This Row],['#_Non Cluster partner latrines]])-WWWW[[#This Row],['#_Non-functional latrines]]</f>
        <v>0</v>
      </c>
      <c r="DC91" s="631">
        <f>WWWW[[#This Row],[HRP2]]/WWWW[[#This Row],[Total PoP ]]</f>
        <v>0</v>
      </c>
      <c r="DD9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9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1" s="424">
        <f>IF(WWWW[[#This Row],['# of functional latrines in THF supported by WASH partners during the reporting period2]]="",0,WWWW[[#This Row],['# of functional latrines in THF supported by WASH partners during the reporting period2]]*50)</f>
        <v>0</v>
      </c>
      <c r="DH91" s="734">
        <f>ROUND(IF(WWWW[[#This Row],[Location Type 1]]="camp",WWWW[[#This Row],[Total PoP ]]/20,IF(WWWW[[#This Row],[Location Type 1]]="Temporary Location",WWWW[[#This Row],[Total PoP ]]/50,(WWWW[[#This Row],[Total PoP ]]/6))),0)</f>
        <v>1</v>
      </c>
      <c r="DI91" s="734">
        <f>IF(WWWW[[#This Row],[Total required Latrines]]-(WWWW[[#This Row],['#_Constructed latrines_by_WASHAgencies]]+WWWW[[#This Row],['#_Non Cluster partner latrines]])&lt;0,0,WWWW[[#This Row],[Total required Latrines]]-(WWWW[[#This Row],['#_Constructed latrines_by_WASHAgencies]]+WWWW[[#This Row],['#_Non Cluster partner latrines]]))</f>
        <v>1</v>
      </c>
      <c r="DJ91" s="736">
        <f>1-WWWW[[#This Row],[% people access to functioning Latrine]]</f>
        <v>1</v>
      </c>
      <c r="DK91" s="735">
        <f>IF(OR(WWWW[[#This Row],['#_Non-functional latrines]]="",WWWW[[#This Row],['#_Non-functional latrines]]=0),0,WWWW[[#This Row],['#_Non-functional latrines]]/(WWWW[[#This Row],['#_Constructed latrines_by_WASHAgencies]]+WWWW[[#This Row],['#_Non Cluster partner latrines]]))</f>
        <v>0</v>
      </c>
      <c r="DL91" s="731">
        <f>IF(500*(WWWW[[#This Row],['#_male hygiene promoters]]+WWWW[[#This Row],['#_female hygiene promoters]])&gt;WWWW[[#This Row],[Total PoP ]],WWWW[[#This Row],[Total PoP ]],500*(WWWW[[#This Row],['#_male hygiene promoters]]+WWWW[[#This Row],['#_female hygiene promoters]]))</f>
        <v>0</v>
      </c>
      <c r="DM9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v>
      </c>
      <c r="DN9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v>
      </c>
      <c r="DO91" s="734">
        <f>IF(WWWW[[#This Row],['# People with access to soap]]&gt;WWWW[[#This Row],['# People with access to Sanity Pads]],WWWW[[#This Row],['# People with access to soap]],WWWW[[#This Row],['# People with access to Sanity Pads]])</f>
        <v>15</v>
      </c>
      <c r="DP91" s="734">
        <f>IF(WWWW[[#This Row],['# people reached by regular dedicated hygiene promotion_5]]&gt;WWWW[[#This Row],['# People received regular supply of hygiene items_6]],WWWW[[#This Row],['# people reached by regular dedicated hygiene promotion_5]],WWWW[[#This Row],['# People received regular supply of hygiene items_6]])</f>
        <v>15</v>
      </c>
      <c r="DQ91" s="736">
        <f>IF(WWWW[[#This Row],[HRP3]]/WWWW[[#This Row],[Total PoP ]]&gt;1,1,WWWW[[#This Row],[HRP3]]/WWWW[[#This Row],[Total PoP ]])</f>
        <v>1</v>
      </c>
      <c r="DR91" s="735">
        <f>1-WWWW[[#This Row],[Hygiene Coverage%]]</f>
        <v>0</v>
      </c>
      <c r="DS91" s="733">
        <f>WWWW[[#This Row],['# people reached by regular dedicated hygiene promotion_5]]/WWWW[[#This Row],[Total PoP ]]</f>
        <v>0</v>
      </c>
      <c r="DT9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1" s="734">
        <f>WWWW[[#This Row],['#_Constructed/Existing hand washing stations]]-WWWW[[#This Row],['#_Non-Functional_hand_washing_stations]]</f>
        <v>7</v>
      </c>
      <c r="DW91" s="731">
        <f>IF(WWWW[[#This Row],['# Functional hand washing stations during reporting period]]*20&gt;WWWW[[#This Row],[Total HH]],WWWW[[#This Row],[Total HH]],WWWW[[#This Row],['# Functional hand washing stations during reporting period]]*20)</f>
        <v>3</v>
      </c>
      <c r="DX91" s="731">
        <f>IF(WWWW[[#This Row],[Is sufficient soap available for TLS? (Yes/No)]]="yes",WWWW[[#This Row],['#_Constructed/Existing hand washing stations at TLS/CFS/THF]],0)</f>
        <v>0</v>
      </c>
      <c r="DY91" s="428">
        <f>IF(WWWW[[#This Row],['# Functional hand washing stations during reporting period]]*100&gt;WWWW[[#This Row],[Total PoP ]],WWWW[[#This Row],[Total PoP ]],WWWW[[#This Row],['# Functional hand washing stations during reporting period]]*100)</f>
        <v>15</v>
      </c>
      <c r="DZ91" s="428" t="str">
        <f>IF(OR(WWWW[[#This Row],['#_students at TLS_CFS]]="",WWWW[[#This Row],['#_students at TLS_CFS]]=0),"No","Yes")</f>
        <v>No</v>
      </c>
      <c r="EA9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1" s="727" t="str">
        <f>VLOOKUP(WWWW[[#This Row],[Site Name]],SiteDB6[[Site Name]:[CCCM Management]],6,FALSE)</f>
        <v>Yes</v>
      </c>
      <c r="EF91" s="727" t="str">
        <f>VLOOKUP(WWWW[[#This Row],[Site Name]],SiteDB6[[Site Name]:[CCCM Focal Agency]],7,FALSE)</f>
        <v>Shalom</v>
      </c>
      <c r="EG91" s="727" t="str">
        <f>VLOOKUP(WWWW[[#This Row],[Site Name]],SiteDB6[[Site Name]:[Location Type 1]],9,FALSE)</f>
        <v>Camp</v>
      </c>
      <c r="EH91" s="727" t="str">
        <f>VLOOKUP(WWWW[[#This Row],[Site Name]],SiteDB6[[Site Name]:[Type of Accommodation]],10,FALSE)</f>
        <v>Camp like setting</v>
      </c>
      <c r="EI91" s="727" t="str">
        <f>VLOOKUP(WWWW[[#This Row],[Site Name]],SiteDB6[[Site Name]:[Ethnic or GCA/NGCA]],11,FALSE)</f>
        <v>GCA</v>
      </c>
      <c r="EJ91" s="727">
        <f>VLOOKUP(WWWW[[#This Row],[Site Name]],SiteDB6[[Site Name]:[Lat]],12,FALSE)</f>
        <v>25.6145</v>
      </c>
      <c r="EK91" s="727">
        <f>VLOOKUP(WWWW[[#This Row],[Site Name]],SiteDB6[[Site Name]:[Long]],13,FALSE)</f>
        <v>96.319829999999996</v>
      </c>
      <c r="EL91" s="727" t="str">
        <f>VLOOKUP(WWWW[[#This Row],[Site Name]],SiteDB6[[Site Name]:[Pcode]],3,FALSE)</f>
        <v>MMR001CMP091</v>
      </c>
      <c r="EM91" s="732" t="str">
        <f t="shared" si="1"/>
        <v>Notcovered</v>
      </c>
      <c r="EN91" s="732"/>
      <c r="EO91" s="727">
        <f>VLOOKUP(WWWW[[#This Row],[Site Name]],SiteDB6[[Site Name]:[Pop
(Kachin/Shan-CCCM as of July 2021)]],16,FALSE)</f>
        <v>3</v>
      </c>
      <c r="EP91" s="727">
        <f>VLOOKUP(WWWW[[#This Row],[Site Name]],SiteDB6[[Site Name]:[Pop
(Kachin/Shan-CCCM as of July 2021)]],17,FALSE)</f>
        <v>14</v>
      </c>
    </row>
    <row r="92" spans="1:146" hidden="1">
      <c r="A92" s="725" t="s">
        <v>2763</v>
      </c>
      <c r="B92" s="725" t="s">
        <v>309</v>
      </c>
      <c r="C92" s="726" t="s">
        <v>309</v>
      </c>
      <c r="D92" s="726"/>
      <c r="E92" s="726" t="s">
        <v>37</v>
      </c>
      <c r="F92" s="726" t="s">
        <v>157</v>
      </c>
      <c r="G92" s="591" t="str">
        <f>VLOOKUP(WWWW[[#This Row],[Site Name]],SiteDB6[[Site Name]:[Location Type]],8,FALSE)</f>
        <v>Camp</v>
      </c>
      <c r="H92" s="726" t="s">
        <v>3027</v>
      </c>
      <c r="I92" s="728">
        <v>15</v>
      </c>
      <c r="J92" s="728">
        <v>71</v>
      </c>
      <c r="K92" s="729" t="s">
        <v>2650</v>
      </c>
      <c r="L92" s="730" t="s">
        <v>2651</v>
      </c>
      <c r="M92" s="728"/>
      <c r="N92" s="728"/>
      <c r="O92" s="728"/>
      <c r="P92" s="728"/>
      <c r="Q92" s="731"/>
      <c r="R92" s="728"/>
      <c r="S92" s="728">
        <v>4</v>
      </c>
      <c r="T92" s="448"/>
      <c r="U92" s="728"/>
      <c r="V92" s="728"/>
      <c r="W92" s="728"/>
      <c r="X92" s="728"/>
      <c r="Y92" s="728"/>
      <c r="Z92" s="728"/>
      <c r="AA92" s="728"/>
      <c r="AB92" s="728"/>
      <c r="AC92" s="728"/>
      <c r="AD92" s="728"/>
      <c r="AE92" s="728"/>
      <c r="AF92" s="728"/>
      <c r="AG92" s="728"/>
      <c r="AH92" s="728"/>
      <c r="AI92" s="728"/>
      <c r="AJ92" s="728"/>
      <c r="AK92" s="728"/>
      <c r="AL92" s="728"/>
      <c r="AM92" s="728"/>
      <c r="AN92" s="728"/>
      <c r="AO92" s="728"/>
      <c r="AP92" s="732"/>
      <c r="AQ92" s="728"/>
      <c r="AR92" s="728"/>
      <c r="AS92" s="733"/>
      <c r="AT92" s="728"/>
      <c r="AU92" s="728"/>
      <c r="AV92" s="728"/>
      <c r="AW92" s="728"/>
      <c r="AX92" s="728"/>
      <c r="AY92" s="425" t="s">
        <v>140</v>
      </c>
      <c r="AZ92" s="860" t="s">
        <v>140</v>
      </c>
      <c r="BA92" s="728"/>
      <c r="BB92" s="728"/>
      <c r="BC92" s="728"/>
      <c r="BD92" s="448"/>
      <c r="BE92" s="448"/>
      <c r="BF92" s="727"/>
      <c r="BG92" s="728">
        <v>3</v>
      </c>
      <c r="BH92" s="728"/>
      <c r="BI92" s="728"/>
      <c r="BJ92" s="728">
        <v>2</v>
      </c>
      <c r="BK92" s="728"/>
      <c r="BL92" s="728"/>
      <c r="BM92" s="728"/>
      <c r="BN92" s="728">
        <v>88</v>
      </c>
      <c r="BO92" s="728">
        <v>100</v>
      </c>
      <c r="BP92" s="727"/>
      <c r="BQ92" s="734"/>
      <c r="BR92" s="733"/>
      <c r="BS92" s="727"/>
      <c r="BT92" s="423"/>
      <c r="BU92" s="423"/>
      <c r="BV92" s="425"/>
      <c r="BW92" s="423"/>
      <c r="BX92" s="448"/>
      <c r="BY92" s="448"/>
      <c r="BZ92" s="448"/>
      <c r="CA92" s="448"/>
      <c r="CB92" s="448"/>
      <c r="CC92" s="777"/>
      <c r="CD92" s="448"/>
      <c r="CE92" s="735" t="str">
        <f>IFERROR(WWWW[[#This Row],['#_Water sources passed]]/WWWW[[#This Row],['#_Water sources tested for fecal coliform ]],"no test")</f>
        <v>no test</v>
      </c>
      <c r="CF92" s="733" t="str">
        <f>IFERROR(WWWW[[#This Row],['#_Household passed]]/WWWW[[#This Row],['#_Household water samples tested for fecal coliform]],"no test")</f>
        <v>no test</v>
      </c>
      <c r="CG92" s="734" t="str">
        <f>IF(AND(WWWW[[#This Row],[% of water sources passed]]="no test",WWWW[[#This Row],[% Household passed]]="no test"),"No Test","Tested")</f>
        <v>No Test</v>
      </c>
      <c r="CH92" s="734">
        <f>WWWW[[#This Row],['#_Constructed/existing protected hand dug well]]-WWWW[[#This Row],['#_Non-functional protected hand dug well]]</f>
        <v>0</v>
      </c>
      <c r="CI92" s="734">
        <f>(WWWW[[#This Row],['#_Constructed/Existing tube wells/boreholes/handpumps_WASH_agency]]+WWWW[[#This Row],['#_Non-Cluster partner water tube-wells/boreholes/handpumps]])-WWWW[[#This Row],['#_Non-functional tube wells/boreholes/handpumps]]</f>
        <v>0</v>
      </c>
      <c r="CJ92" s="734">
        <f>WWWW[[#This Row],['#_Constructed/Existingwater storage tank with gravity fed reticulation system]]-WWWW[[#This Row],['#_Non-functional storage tank gravity fed reticulation system]]</f>
        <v>0</v>
      </c>
      <c r="CK92" s="734">
        <f>(WWWW[[#This Row],['#_Water_Liters_supplied_by_Water boating or water trucking]]/90)/15</f>
        <v>0</v>
      </c>
      <c r="CL92" s="734">
        <f>WWWW[[#This Row],['#_Water_Liters_from_Constructed/Existing water distribution system from river or natural spring]]/90/15</f>
        <v>0</v>
      </c>
      <c r="CM92" s="424">
        <f>IF(WWWW[[#This Row],['#_of water points in TLS/CFS]]*500&gt;WWWW[[#This Row],[Total PoP ]],WWWW[[#This Row],[Total PoP ]],WWWW[[#This Row],['#_of water points in TLS/CFS]]*500)</f>
        <v>0</v>
      </c>
      <c r="CN92" s="424">
        <f>IF(WWWW[[#This Row],['#_of water points in THF]]*500&gt;WWWW[[#This Row],[Total PoP ]],WWWW[[#This Row],[Total PoP ]],WWWW[[#This Row],['#_of water points in THF]]*500)</f>
        <v>0</v>
      </c>
      <c r="CO9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9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92" s="733">
        <f>IF(WWWW[[#This Row],[Location Type 1]]="Village",WWWW[[#This Row],[Access to safe drinking water for Village]],WWWW[[#This Row],[Access to safe drinking water for Camp]])</f>
        <v>0</v>
      </c>
      <c r="CR92" s="731">
        <f>WWWW[[#This Row],[%Equitable and continuous access to sufficient quantity of safe drinking water]]*WWWW[[#This Row],[Total PoP ]]</f>
        <v>0</v>
      </c>
      <c r="CS92" s="733">
        <f>IF((WWWW[[#This Row],['#_Constructed/Existing protected/fenced ponds]]*250)/WWWW[[#This Row],[Total PoP ]]&gt;1,1,(WWWW[[#This Row],['#_Constructed/Existing protected/fenced ponds]]*250)/WWWW[[#This Row],[Total PoP ]])</f>
        <v>0</v>
      </c>
      <c r="CT92" s="731">
        <f>WWWW[[#This Row],[% Access to unimproved water points]]*WWWW[[#This Row],[Total PoP ]]</f>
        <v>0</v>
      </c>
      <c r="CU9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9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92" s="731">
        <f>WWWW[[#This Row],[HRP1]]/500</f>
        <v>0</v>
      </c>
      <c r="CX92" s="736">
        <f>1-WWWW[[#This Row],[% Equitable and continuous access to sufficient quantity of domestic water]]</f>
        <v>1</v>
      </c>
      <c r="CY92" s="731">
        <f>WWWW[[#This Row],[%equitable and continuous access to sufficient quantity of safe drinking and domestic water''s GAP]]*WWWW[[#This Row],[Total PoP ]]</f>
        <v>71</v>
      </c>
      <c r="CZ92" s="734">
        <f>IF(WWWW[[#This Row],[Total required water points]]-WWWW[[#This Row],['#Water points coverage]]&lt;0,0,WWWW[[#This Row],[Total required water points]]-WWWW[[#This Row],['#Water points coverage]])</f>
        <v>1</v>
      </c>
      <c r="DA92" s="734">
        <f>ROUND(IF(WWWW[[#This Row],[Total PoP ]]&lt;500,1,WWWW[[#This Row],[Total PoP ]]/500),0)</f>
        <v>1</v>
      </c>
      <c r="DB92" s="734">
        <f>(WWWW[[#This Row],['#_Constructed latrines_by_WASHAgencies]]+WWWW[[#This Row],['#_Non Cluster partner latrines]])-WWWW[[#This Row],['#_Non-functional latrines]]</f>
        <v>0</v>
      </c>
      <c r="DC92" s="631">
        <f>WWWW[[#This Row],[HRP2]]/WWWW[[#This Row],[Total PoP ]]</f>
        <v>0</v>
      </c>
      <c r="DD9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9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2" s="424">
        <f>IF(WWWW[[#This Row],['# of functional latrines in THF supported by WASH partners during the reporting period2]]="",0,WWWW[[#This Row],['# of functional latrines in THF supported by WASH partners during the reporting period2]]*50)</f>
        <v>0</v>
      </c>
      <c r="DH92" s="734">
        <f>ROUND(IF(WWWW[[#This Row],[Location Type 1]]="camp",WWWW[[#This Row],[Total PoP ]]/20,IF(WWWW[[#This Row],[Location Type 1]]="Temporary Location",WWWW[[#This Row],[Total PoP ]]/50,(WWWW[[#This Row],[Total PoP ]]/6))),0)</f>
        <v>4</v>
      </c>
      <c r="DI92" s="734">
        <f>IF(WWWW[[#This Row],[Total required Latrines]]-(WWWW[[#This Row],['#_Constructed latrines_by_WASHAgencies]]+WWWW[[#This Row],['#_Non Cluster partner latrines]])&lt;0,0,WWWW[[#This Row],[Total required Latrines]]-(WWWW[[#This Row],['#_Constructed latrines_by_WASHAgencies]]+WWWW[[#This Row],['#_Non Cluster partner latrines]]))</f>
        <v>4</v>
      </c>
      <c r="DJ92" s="736">
        <f>1-WWWW[[#This Row],[% people access to functioning Latrine]]</f>
        <v>1</v>
      </c>
      <c r="DK92" s="735">
        <f>IF(OR(WWWW[[#This Row],['#_Non-functional latrines]]="",WWWW[[#This Row],['#_Non-functional latrines]]=0),0,WWWW[[#This Row],['#_Non-functional latrines]]/(WWWW[[#This Row],['#_Constructed latrines_by_WASHAgencies]]+WWWW[[#This Row],['#_Non Cluster partner latrines]]))</f>
        <v>0</v>
      </c>
      <c r="DL92" s="731">
        <f>IF(500*(WWWW[[#This Row],['#_male hygiene promoters]]+WWWW[[#This Row],['#_female hygiene promoters]])&gt;WWWW[[#This Row],[Total PoP ]],WWWW[[#This Row],[Total PoP ]],500*(WWWW[[#This Row],['#_male hygiene promoters]]+WWWW[[#This Row],['#_female hygiene promoters]]))</f>
        <v>0</v>
      </c>
      <c r="DM9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71</v>
      </c>
      <c r="DN9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71</v>
      </c>
      <c r="DO92" s="734">
        <f>IF(WWWW[[#This Row],['# People with access to soap]]&gt;WWWW[[#This Row],['# People with access to Sanity Pads]],WWWW[[#This Row],['# People with access to soap]],WWWW[[#This Row],['# People with access to Sanity Pads]])</f>
        <v>71</v>
      </c>
      <c r="DP92" s="734">
        <f>IF(WWWW[[#This Row],['# people reached by regular dedicated hygiene promotion_5]]&gt;WWWW[[#This Row],['# People received regular supply of hygiene items_6]],WWWW[[#This Row],['# people reached by regular dedicated hygiene promotion_5]],WWWW[[#This Row],['# People received regular supply of hygiene items_6]])</f>
        <v>71</v>
      </c>
      <c r="DQ92" s="736">
        <f>IF(WWWW[[#This Row],[HRP3]]/WWWW[[#This Row],[Total PoP ]]&gt;1,1,WWWW[[#This Row],[HRP3]]/WWWW[[#This Row],[Total PoP ]])</f>
        <v>1</v>
      </c>
      <c r="DR92" s="735">
        <f>1-WWWW[[#This Row],[Hygiene Coverage%]]</f>
        <v>0</v>
      </c>
      <c r="DS92" s="733">
        <f>WWWW[[#This Row],['# people reached by regular dedicated hygiene promotion_5]]/WWWW[[#This Row],[Total PoP ]]</f>
        <v>0</v>
      </c>
      <c r="DT9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2" s="734">
        <f>WWWW[[#This Row],['#_Constructed/Existing hand washing stations]]-WWWW[[#This Row],['#_Non-Functional_hand_washing_stations]]</f>
        <v>3</v>
      </c>
      <c r="DW92" s="731">
        <f>IF(WWWW[[#This Row],['# Functional hand washing stations during reporting period]]*20&gt;WWWW[[#This Row],[Total HH]],WWWW[[#This Row],[Total HH]],WWWW[[#This Row],['# Functional hand washing stations during reporting period]]*20)</f>
        <v>15</v>
      </c>
      <c r="DX92" s="731">
        <f>IF(WWWW[[#This Row],[Is sufficient soap available for TLS? (Yes/No)]]="yes",WWWW[[#This Row],['#_Constructed/Existing hand washing stations at TLS/CFS/THF]],0)</f>
        <v>0</v>
      </c>
      <c r="DY92" s="428">
        <f>IF(WWWW[[#This Row],['# Functional hand washing stations during reporting period]]*100&gt;WWWW[[#This Row],[Total PoP ]],WWWW[[#This Row],[Total PoP ]],WWWW[[#This Row],['# Functional hand washing stations during reporting period]]*100)</f>
        <v>71</v>
      </c>
      <c r="DZ92" s="428" t="str">
        <f>IF(OR(WWWW[[#This Row],['#_students at TLS_CFS]]="",WWWW[[#This Row],['#_students at TLS_CFS]]=0),"No","Yes")</f>
        <v>No</v>
      </c>
      <c r="EA9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2" s="727">
        <f>VLOOKUP(WWWW[[#This Row],[Site Name]],SiteDB6[[Site Name]:[CCCM Management]],6,FALSE)</f>
        <v>0</v>
      </c>
      <c r="EF92" s="727" t="str">
        <f>VLOOKUP(WWWW[[#This Row],[Site Name]],SiteDB6[[Site Name]:[CCCM Focal Agency]],7,FALSE)</f>
        <v>uncovered</v>
      </c>
      <c r="EG92" s="727" t="str">
        <f>VLOOKUP(WWWW[[#This Row],[Site Name]],SiteDB6[[Site Name]:[Location Type 1]],9,FALSE)</f>
        <v>Camp</v>
      </c>
      <c r="EH92" s="727" t="str">
        <f>VLOOKUP(WWWW[[#This Row],[Site Name]],SiteDB6[[Site Name]:[Type of Accommodation]],10,FALSE)</f>
        <v>IDPs in host</v>
      </c>
      <c r="EI92" s="727" t="str">
        <f>VLOOKUP(WWWW[[#This Row],[Site Name]],SiteDB6[[Site Name]:[Ethnic or GCA/NGCA]],11,FALSE)</f>
        <v>GCA</v>
      </c>
      <c r="EJ92" s="727">
        <f>VLOOKUP(WWWW[[#This Row],[Site Name]],SiteDB6[[Site Name]:[Lat]],12,FALSE)</f>
        <v>24.764959999999999</v>
      </c>
      <c r="EK92" s="727">
        <f>VLOOKUP(WWWW[[#This Row],[Site Name]],SiteDB6[[Site Name]:[Long]],13,FALSE)</f>
        <v>96.366919999999993</v>
      </c>
      <c r="EL92" s="727" t="str">
        <f>VLOOKUP(WWWW[[#This Row],[Site Name]],SiteDB6[[Site Name]:[Pcode]],3,FALSE)</f>
        <v>MMR001CMP233</v>
      </c>
      <c r="EM92" s="732" t="str">
        <f t="shared" si="1"/>
        <v>Notcovered</v>
      </c>
      <c r="EN92" s="732"/>
      <c r="EO92" s="727">
        <f>VLOOKUP(WWWW[[#This Row],[Site Name]],SiteDB6[[Site Name]:[Pop
(Kachin/Shan-CCCM as of July 2021)]],16,FALSE)</f>
        <v>7</v>
      </c>
      <c r="EP92" s="727">
        <f>VLOOKUP(WWWW[[#This Row],[Site Name]],SiteDB6[[Site Name]:[Pop
(Kachin/Shan-CCCM as of July 2021)]],17,FALSE)</f>
        <v>35</v>
      </c>
    </row>
    <row r="93" spans="1:146" hidden="1">
      <c r="A93" s="725" t="s">
        <v>2763</v>
      </c>
      <c r="B93" s="725" t="s">
        <v>192</v>
      </c>
      <c r="C93" s="726" t="s">
        <v>192</v>
      </c>
      <c r="D93" s="726" t="s">
        <v>2679</v>
      </c>
      <c r="E93" s="726" t="s">
        <v>37</v>
      </c>
      <c r="F93" s="726" t="s">
        <v>205</v>
      </c>
      <c r="G93" s="591" t="str">
        <f>VLOOKUP(WWWW[[#This Row],[Site Name]],SiteDB6[[Site Name]:[Location Type]],8,FALSE)</f>
        <v>Camp</v>
      </c>
      <c r="H93" s="726" t="s">
        <v>213</v>
      </c>
      <c r="I93" s="728">
        <v>86</v>
      </c>
      <c r="J93" s="728">
        <v>424</v>
      </c>
      <c r="K93" s="729" t="s">
        <v>2670</v>
      </c>
      <c r="L93" s="730" t="s">
        <v>2680</v>
      </c>
      <c r="M93" s="728"/>
      <c r="N93" s="728"/>
      <c r="O93" s="728"/>
      <c r="P93" s="728"/>
      <c r="Q93" s="731" t="s">
        <v>41</v>
      </c>
      <c r="R93" s="728">
        <v>5</v>
      </c>
      <c r="S93" s="728">
        <v>3</v>
      </c>
      <c r="T93" s="448">
        <v>2</v>
      </c>
      <c r="U93" s="728"/>
      <c r="V93" s="728"/>
      <c r="W93" s="728">
        <v>2</v>
      </c>
      <c r="X93" s="728"/>
      <c r="Y93" s="728"/>
      <c r="Z93" s="728"/>
      <c r="AA93" s="728"/>
      <c r="AB93" s="728"/>
      <c r="AC93" s="728"/>
      <c r="AD93" s="728"/>
      <c r="AE93" s="728"/>
      <c r="AF93" s="728"/>
      <c r="AG93" s="728"/>
      <c r="AH93" s="728"/>
      <c r="AI93" s="728"/>
      <c r="AJ93" s="728"/>
      <c r="AK93" s="728"/>
      <c r="AL93" s="728"/>
      <c r="AM93" s="728">
        <v>1</v>
      </c>
      <c r="AN93" s="728"/>
      <c r="AO93" s="728"/>
      <c r="AP93" s="732"/>
      <c r="AQ93" s="728">
        <v>28</v>
      </c>
      <c r="AR93" s="728"/>
      <c r="AS93" s="733"/>
      <c r="AT93" s="728"/>
      <c r="AU93" s="728"/>
      <c r="AV93" s="728"/>
      <c r="AW93" s="728"/>
      <c r="AX93" s="728"/>
      <c r="AY93" s="727" t="s">
        <v>41</v>
      </c>
      <c r="AZ93" s="732" t="s">
        <v>137</v>
      </c>
      <c r="BA93" s="728"/>
      <c r="BB93" s="728"/>
      <c r="BC93" s="728">
        <v>2</v>
      </c>
      <c r="BD93" s="448"/>
      <c r="BE93" s="448"/>
      <c r="BF93" s="727"/>
      <c r="BG93" s="728">
        <v>1</v>
      </c>
      <c r="BH93" s="728"/>
      <c r="BI93" s="728"/>
      <c r="BJ93" s="728">
        <v>3</v>
      </c>
      <c r="BK93" s="728"/>
      <c r="BL93" s="728"/>
      <c r="BM93" s="728">
        <v>1</v>
      </c>
      <c r="BN93" s="728">
        <v>41</v>
      </c>
      <c r="BO93" s="728">
        <v>85</v>
      </c>
      <c r="BP93" s="727"/>
      <c r="BQ93" s="734"/>
      <c r="BR93" s="733"/>
      <c r="BS93" s="727"/>
      <c r="BT93" s="423"/>
      <c r="BU93" s="423"/>
      <c r="BV93" s="425"/>
      <c r="BW93" s="423"/>
      <c r="BX93" s="448"/>
      <c r="BY93" s="448"/>
      <c r="BZ93" s="448"/>
      <c r="CA93" s="448"/>
      <c r="CB93" s="448"/>
      <c r="CC93" s="777"/>
      <c r="CD93" s="448"/>
      <c r="CE93" s="735" t="str">
        <f>IFERROR(WWWW[[#This Row],['#_Water sources passed]]/WWWW[[#This Row],['#_Water sources tested for fecal coliform ]],"no test")</f>
        <v>no test</v>
      </c>
      <c r="CF93" s="733" t="str">
        <f>IFERROR(WWWW[[#This Row],['#_Household passed]]/WWWW[[#This Row],['#_Household water samples tested for fecal coliform]],"no test")</f>
        <v>no test</v>
      </c>
      <c r="CG93" s="734" t="str">
        <f>IF(AND(WWWW[[#This Row],[% of water sources passed]]="no test",WWWW[[#This Row],[% Household passed]]="no test"),"No Test","Tested")</f>
        <v>No Test</v>
      </c>
      <c r="CH93" s="734">
        <f>WWWW[[#This Row],['#_Constructed/existing protected hand dug well]]-WWWW[[#This Row],['#_Non-functional protected hand dug well]]</f>
        <v>2</v>
      </c>
      <c r="CI93" s="734">
        <f>(WWWW[[#This Row],['#_Constructed/Existing tube wells/boreholes/handpumps_WASH_agency]]+WWWW[[#This Row],['#_Non-Cluster partner water tube-wells/boreholes/handpumps]])-WWWW[[#This Row],['#_Non-functional tube wells/boreholes/handpumps]]</f>
        <v>2</v>
      </c>
      <c r="CJ93" s="734">
        <f>WWWW[[#This Row],['#_Constructed/Existingwater storage tank with gravity fed reticulation system]]-WWWW[[#This Row],['#_Non-functional storage tank gravity fed reticulation system]]</f>
        <v>0</v>
      </c>
      <c r="CK93" s="734">
        <f>(WWWW[[#This Row],['#_Water_Liters_supplied_by_Water boating or water trucking]]/90)/15</f>
        <v>0</v>
      </c>
      <c r="CL93" s="734">
        <f>WWWW[[#This Row],['#_Water_Liters_from_Constructed/Existing water distribution system from river or natural spring]]/90/15</f>
        <v>0</v>
      </c>
      <c r="CM93" s="424">
        <f>IF(WWWW[[#This Row],['#_of water points in TLS/CFS]]*500&gt;WWWW[[#This Row],[Total PoP ]],WWWW[[#This Row],[Total PoP ]],WWWW[[#This Row],['#_of water points in TLS/CFS]]*500)</f>
        <v>0</v>
      </c>
      <c r="CN93" s="424">
        <f>IF(WWWW[[#This Row],['#_of water points in THF]]*500&gt;WWWW[[#This Row],[Total PoP ]],WWWW[[#This Row],[Total PoP ]],WWWW[[#This Row],['#_of water points in THF]]*500)</f>
        <v>0</v>
      </c>
      <c r="CO9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3" s="733">
        <f>IF(WWWW[[#This Row],[Location Type 1]]="Village",WWWW[[#This Row],[Access to safe drinking water for Village]],WWWW[[#This Row],[Access to safe drinking water for Camp]])</f>
        <v>1</v>
      </c>
      <c r="CR93" s="731">
        <f>WWWW[[#This Row],[%Equitable and continuous access to sufficient quantity of safe drinking water]]*WWWW[[#This Row],[Total PoP ]]</f>
        <v>424</v>
      </c>
      <c r="CS93" s="733">
        <f>IF((WWWW[[#This Row],['#_Constructed/Existing protected/fenced ponds]]*250)/WWWW[[#This Row],[Total PoP ]]&gt;1,1,(WWWW[[#This Row],['#_Constructed/Existing protected/fenced ponds]]*250)/WWWW[[#This Row],[Total PoP ]])</f>
        <v>0</v>
      </c>
      <c r="CT93" s="731">
        <f>WWWW[[#This Row],[% Access to unimproved water points]]*WWWW[[#This Row],[Total PoP ]]</f>
        <v>0</v>
      </c>
      <c r="CU9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W93" s="731">
        <f>WWWW[[#This Row],[HRP1]]/500</f>
        <v>0.84799999999999998</v>
      </c>
      <c r="CX93" s="736">
        <f>1-WWWW[[#This Row],[% Equitable and continuous access to sufficient quantity of domestic water]]</f>
        <v>0</v>
      </c>
      <c r="CY93" s="731">
        <f>WWWW[[#This Row],[%equitable and continuous access to sufficient quantity of safe drinking and domestic water''s GAP]]*WWWW[[#This Row],[Total PoP ]]</f>
        <v>0</v>
      </c>
      <c r="CZ93" s="734">
        <f>IF(WWWW[[#This Row],[Total required water points]]-WWWW[[#This Row],['#Water points coverage]]&lt;0,0,WWWW[[#This Row],[Total required water points]]-WWWW[[#This Row],['#Water points coverage]])</f>
        <v>0.15200000000000002</v>
      </c>
      <c r="DA93" s="734">
        <f>ROUND(IF(WWWW[[#This Row],[Total PoP ]]&lt;500,1,WWWW[[#This Row],[Total PoP ]]/500),0)</f>
        <v>1</v>
      </c>
      <c r="DB93" s="734">
        <f>(WWWW[[#This Row],['#_Constructed latrines_by_WASHAgencies]]+WWWW[[#This Row],['#_Non Cluster partner latrines]])-WWWW[[#This Row],['#_Non-functional latrines]]</f>
        <v>28</v>
      </c>
      <c r="DC93" s="631">
        <f>WWWW[[#This Row],[HRP2]]/WWWW[[#This Row],[Total PoP ]]</f>
        <v>1</v>
      </c>
      <c r="DD9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424</v>
      </c>
      <c r="DE9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3" s="424">
        <f>IF(WWWW[[#This Row],['# of functional latrines in THF supported by WASH partners during the reporting period2]]="",0,WWWW[[#This Row],['# of functional latrines in THF supported by WASH partners during the reporting period2]]*50)</f>
        <v>0</v>
      </c>
      <c r="DH93" s="734">
        <f>ROUND(IF(WWWW[[#This Row],[Location Type 1]]="camp",WWWW[[#This Row],[Total PoP ]]/20,IF(WWWW[[#This Row],[Location Type 1]]="Temporary Location",WWWW[[#This Row],[Total PoP ]]/50,(WWWW[[#This Row],[Total PoP ]]/6))),0)</f>
        <v>21</v>
      </c>
      <c r="DI93" s="734">
        <f>IF(WWWW[[#This Row],[Total required Latrines]]-(WWWW[[#This Row],['#_Constructed latrines_by_WASHAgencies]]+WWWW[[#This Row],['#_Non Cluster partner latrines]])&lt;0,0,WWWW[[#This Row],[Total required Latrines]]-(WWWW[[#This Row],['#_Constructed latrines_by_WASHAgencies]]+WWWW[[#This Row],['#_Non Cluster partner latrines]]))</f>
        <v>0</v>
      </c>
      <c r="DJ93" s="736">
        <f>1-WWWW[[#This Row],[% people access to functioning Latrine]]</f>
        <v>0</v>
      </c>
      <c r="DK93" s="735">
        <f>IF(OR(WWWW[[#This Row],['#_Non-functional latrines]]="",WWWW[[#This Row],['#_Non-functional latrines]]=0),0,WWWW[[#This Row],['#_Non-functional latrines]]/(WWWW[[#This Row],['#_Constructed latrines_by_WASHAgencies]]+WWWW[[#This Row],['#_Non Cluster partner latrines]]))</f>
        <v>0</v>
      </c>
      <c r="DL93" s="731">
        <f>IF(500*(WWWW[[#This Row],['#_male hygiene promoters]]+WWWW[[#This Row],['#_female hygiene promoters]])&gt;WWWW[[#This Row],[Total PoP ]],WWWW[[#This Row],[Total PoP ]],500*(WWWW[[#This Row],['#_male hygiene promoters]]+WWWW[[#This Row],['#_female hygiene promoters]]))</f>
        <v>424</v>
      </c>
      <c r="DM9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9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93" s="734">
        <f>IF(WWWW[[#This Row],['# People with access to soap]]&gt;WWWW[[#This Row],['# People with access to Sanity Pads]],WWWW[[#This Row],['# People with access to soap]],WWWW[[#This Row],['# People with access to Sanity Pads]])</f>
        <v>205</v>
      </c>
      <c r="DP93" s="734">
        <f>IF(WWWW[[#This Row],['# people reached by regular dedicated hygiene promotion_5]]&gt;WWWW[[#This Row],['# People received regular supply of hygiene items_6]],WWWW[[#This Row],['# people reached by regular dedicated hygiene promotion_5]],WWWW[[#This Row],['# People received regular supply of hygiene items_6]])</f>
        <v>424</v>
      </c>
      <c r="DQ93" s="736">
        <f>IF(WWWW[[#This Row],[HRP3]]/WWWW[[#This Row],[Total PoP ]]&gt;1,1,WWWW[[#This Row],[HRP3]]/WWWW[[#This Row],[Total PoP ]])</f>
        <v>1</v>
      </c>
      <c r="DR93" s="735">
        <f>1-WWWW[[#This Row],[Hygiene Coverage%]]</f>
        <v>0</v>
      </c>
      <c r="DS93" s="733">
        <f>WWWW[[#This Row],['# people reached by regular dedicated hygiene promotion_5]]/WWWW[[#This Row],[Total PoP ]]</f>
        <v>1</v>
      </c>
      <c r="DT9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0.98837209302325579</v>
      </c>
      <c r="DV93" s="734">
        <f>WWWW[[#This Row],['#_Constructed/Existing hand washing stations]]-WWWW[[#This Row],['#_Non-Functional_hand_washing_stations]]</f>
        <v>1</v>
      </c>
      <c r="DW93" s="731">
        <f>IF(WWWW[[#This Row],['# Functional hand washing stations during reporting period]]*20&gt;WWWW[[#This Row],[Total HH]],WWWW[[#This Row],[Total HH]],WWWW[[#This Row],['# Functional hand washing stations during reporting period]]*20)</f>
        <v>20</v>
      </c>
      <c r="DX93" s="731">
        <f>IF(WWWW[[#This Row],[Is sufficient soap available for TLS? (Yes/No)]]="yes",WWWW[[#This Row],['#_Constructed/Existing hand washing stations at TLS/CFS/THF]],0)</f>
        <v>0</v>
      </c>
      <c r="DY93" s="428">
        <f>IF(WWWW[[#This Row],['# Functional hand washing stations during reporting period]]*100&gt;WWWW[[#This Row],[Total PoP ]],WWWW[[#This Row],[Total PoP ]],WWWW[[#This Row],['# Functional hand washing stations during reporting period]]*100)</f>
        <v>100</v>
      </c>
      <c r="DZ93" s="428" t="str">
        <f>IF(OR(WWWW[[#This Row],['#_students at TLS_CFS]]="",WWWW[[#This Row],['#_students at TLS_CFS]]=0),"No","Yes")</f>
        <v>No</v>
      </c>
      <c r="EA9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3" s="727" t="str">
        <f>VLOOKUP(WWWW[[#This Row],[Site Name]],SiteDB6[[Site Name]:[CCCM Management]],6,FALSE)</f>
        <v>Yes</v>
      </c>
      <c r="EF93" s="727" t="str">
        <f>VLOOKUP(WWWW[[#This Row],[Site Name]],SiteDB6[[Site Name]:[CCCM Focal Agency]],7,FALSE)</f>
        <v>KBC-BMO</v>
      </c>
      <c r="EG93" s="727" t="str">
        <f>VLOOKUP(WWWW[[#This Row],[Site Name]],SiteDB6[[Site Name]:[Location Type 1]],9,FALSE)</f>
        <v>Camp</v>
      </c>
      <c r="EH93" s="727" t="str">
        <f>VLOOKUP(WWWW[[#This Row],[Site Name]],SiteDB6[[Site Name]:[Type of Accommodation]],10,FALSE)</f>
        <v>Camp</v>
      </c>
      <c r="EI93" s="727" t="str">
        <f>VLOOKUP(WWWW[[#This Row],[Site Name]],SiteDB6[[Site Name]:[Ethnic or GCA/NGCA]],11,FALSE)</f>
        <v>GCA</v>
      </c>
      <c r="EJ93" s="727">
        <f>VLOOKUP(WWWW[[#This Row],[Site Name]],SiteDB6[[Site Name]:[Lat]],12,FALSE)</f>
        <v>24.250689999999999</v>
      </c>
      <c r="EK93" s="727">
        <f>VLOOKUP(WWWW[[#This Row],[Site Name]],SiteDB6[[Site Name]:[Long]],13,FALSE)</f>
        <v>97.344359999999995</v>
      </c>
      <c r="EL93" s="727" t="str">
        <f>VLOOKUP(WWWW[[#This Row],[Site Name]],SiteDB6[[Site Name]:[Pcode]],3,FALSE)</f>
        <v>MMR001CMP056</v>
      </c>
      <c r="EM93" s="732" t="str">
        <f t="shared" si="1"/>
        <v>Covered</v>
      </c>
      <c r="EN93" s="732"/>
      <c r="EO93" s="727">
        <f>VLOOKUP(WWWW[[#This Row],[Site Name]],SiteDB6[[Site Name]:[Pop
(Kachin/Shan-CCCM as of July 2021)]],16,FALSE)</f>
        <v>646</v>
      </c>
      <c r="EP93" s="727">
        <f>VLOOKUP(WWWW[[#This Row],[Site Name]],SiteDB6[[Site Name]:[Pop
(Kachin/Shan-CCCM as of July 2021)]],17,FALSE)</f>
        <v>2978</v>
      </c>
    </row>
    <row r="94" spans="1:146" hidden="1">
      <c r="A94" s="725" t="s">
        <v>2763</v>
      </c>
      <c r="B94" s="725" t="s">
        <v>141</v>
      </c>
      <c r="C94" s="726" t="s">
        <v>141</v>
      </c>
      <c r="D94" s="726" t="s">
        <v>241</v>
      </c>
      <c r="E94" s="726" t="s">
        <v>37</v>
      </c>
      <c r="F94" s="726" t="s">
        <v>195</v>
      </c>
      <c r="G94" s="591" t="str">
        <f>VLOOKUP(WWWW[[#This Row],[Site Name]],SiteDB6[[Site Name]:[Location Type]],8,FALSE)</f>
        <v>Camp_not registered</v>
      </c>
      <c r="H94" s="726" t="s">
        <v>2233</v>
      </c>
      <c r="I94" s="728">
        <v>48</v>
      </c>
      <c r="J94" s="728">
        <v>267</v>
      </c>
      <c r="K94" s="729">
        <v>44105</v>
      </c>
      <c r="L94" s="730">
        <v>44681</v>
      </c>
      <c r="M94" s="728"/>
      <c r="N94" s="728"/>
      <c r="O94" s="728"/>
      <c r="P94" s="728"/>
      <c r="Q94" s="731" t="s">
        <v>41</v>
      </c>
      <c r="R94" s="728">
        <v>2</v>
      </c>
      <c r="S94" s="728">
        <v>2</v>
      </c>
      <c r="T94" s="448"/>
      <c r="U94" s="728"/>
      <c r="V94" s="728"/>
      <c r="W94" s="728">
        <v>2</v>
      </c>
      <c r="X94" s="728"/>
      <c r="Y94" s="728"/>
      <c r="Z94" s="728"/>
      <c r="AA94" s="728"/>
      <c r="AB94" s="728"/>
      <c r="AC94" s="728"/>
      <c r="AD94" s="728"/>
      <c r="AE94" s="728"/>
      <c r="AF94" s="728"/>
      <c r="AG94" s="728"/>
      <c r="AH94" s="728">
        <v>2</v>
      </c>
      <c r="AI94" s="728"/>
      <c r="AJ94" s="728"/>
      <c r="AK94" s="728"/>
      <c r="AL94" s="728"/>
      <c r="AM94" s="728">
        <v>1</v>
      </c>
      <c r="AN94" s="728"/>
      <c r="AO94" s="728"/>
      <c r="AP94" s="732"/>
      <c r="AQ94" s="728">
        <v>7</v>
      </c>
      <c r="AR94" s="728"/>
      <c r="AS94" s="733"/>
      <c r="AT94" s="728"/>
      <c r="AU94" s="728"/>
      <c r="AV94" s="728"/>
      <c r="AW94" s="728"/>
      <c r="AX94" s="728">
        <v>6</v>
      </c>
      <c r="AY94" s="727" t="s">
        <v>41</v>
      </c>
      <c r="AZ94" s="732" t="s">
        <v>137</v>
      </c>
      <c r="BA94" s="728"/>
      <c r="BB94" s="728"/>
      <c r="BC94" s="728"/>
      <c r="BD94" s="448"/>
      <c r="BE94" s="448">
        <v>4</v>
      </c>
      <c r="BF94" s="727"/>
      <c r="BG94" s="728">
        <v>1</v>
      </c>
      <c r="BH94" s="728"/>
      <c r="BI94" s="728"/>
      <c r="BJ94" s="728">
        <v>3</v>
      </c>
      <c r="BK94" s="728"/>
      <c r="BL94" s="728"/>
      <c r="BM94" s="728">
        <v>2</v>
      </c>
      <c r="BN94" s="728">
        <v>41</v>
      </c>
      <c r="BO94" s="728">
        <v>85</v>
      </c>
      <c r="BP94" s="727"/>
      <c r="BQ94" s="734"/>
      <c r="BR94" s="733"/>
      <c r="BS94" s="727"/>
      <c r="BT94" s="423"/>
      <c r="BU94" s="423"/>
      <c r="BV94" s="425"/>
      <c r="BW94" s="423"/>
      <c r="BX94" s="448"/>
      <c r="BY94" s="448"/>
      <c r="BZ94" s="448"/>
      <c r="CA94" s="448"/>
      <c r="CB94" s="448"/>
      <c r="CC94" s="777"/>
      <c r="CD94" s="448"/>
      <c r="CE94" s="735" t="str">
        <f>IFERROR(WWWW[[#This Row],['#_Water sources passed]]/WWWW[[#This Row],['#_Water sources tested for fecal coliform ]],"no test")</f>
        <v>no test</v>
      </c>
      <c r="CF94" s="733" t="str">
        <f>IFERROR(WWWW[[#This Row],['#_Household passed]]/WWWW[[#This Row],['#_Household water samples tested for fecal coliform]],"no test")</f>
        <v>no test</v>
      </c>
      <c r="CG94" s="734" t="str">
        <f>IF(AND(WWWW[[#This Row],[% of water sources passed]]="no test",WWWW[[#This Row],[% Household passed]]="no test"),"No Test","Tested")</f>
        <v>No Test</v>
      </c>
      <c r="CH94" s="734">
        <f>WWWW[[#This Row],['#_Constructed/existing protected hand dug well]]-WWWW[[#This Row],['#_Non-functional protected hand dug well]]</f>
        <v>0</v>
      </c>
      <c r="CI94" s="734">
        <f>(WWWW[[#This Row],['#_Constructed/Existing tube wells/boreholes/handpumps_WASH_agency]]+WWWW[[#This Row],['#_Non-Cluster partner water tube-wells/boreholes/handpumps]])-WWWW[[#This Row],['#_Non-functional tube wells/boreholes/handpumps]]</f>
        <v>2</v>
      </c>
      <c r="CJ94" s="734">
        <f>WWWW[[#This Row],['#_Constructed/Existingwater storage tank with gravity fed reticulation system]]-WWWW[[#This Row],['#_Non-functional storage tank gravity fed reticulation system]]</f>
        <v>0</v>
      </c>
      <c r="CK94" s="734">
        <f>(WWWW[[#This Row],['#_Water_Liters_supplied_by_Water boating or water trucking]]/90)/15</f>
        <v>0</v>
      </c>
      <c r="CL94" s="734">
        <f>WWWW[[#This Row],['#_Water_Liters_from_Constructed/Existing water distribution system from river or natural spring]]/90/15</f>
        <v>0</v>
      </c>
      <c r="CM94" s="424">
        <f>IF(WWWW[[#This Row],['#_of water points in TLS/CFS]]*500&gt;WWWW[[#This Row],[Total PoP ]],WWWW[[#This Row],[Total PoP ]],WWWW[[#This Row],['#_of water points in TLS/CFS]]*500)</f>
        <v>0</v>
      </c>
      <c r="CN94" s="424">
        <f>IF(WWWW[[#This Row],['#_of water points in THF]]*500&gt;WWWW[[#This Row],[Total PoP ]],WWWW[[#This Row],[Total PoP ]],WWWW[[#This Row],['#_of water points in THF]]*500)</f>
        <v>0</v>
      </c>
      <c r="CO9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4" s="733">
        <f>IF(WWWW[[#This Row],[Location Type 1]]="Village",WWWW[[#This Row],[Access to safe drinking water for Village]],WWWW[[#This Row],[Access to safe drinking water for Camp]])</f>
        <v>1</v>
      </c>
      <c r="CR94" s="731">
        <f>WWWW[[#This Row],[%Equitable and continuous access to sufficient quantity of safe drinking water]]*WWWW[[#This Row],[Total PoP ]]</f>
        <v>267</v>
      </c>
      <c r="CS94" s="733">
        <f>IF((WWWW[[#This Row],['#_Constructed/Existing protected/fenced ponds]]*250)/WWWW[[#This Row],[Total PoP ]]&gt;1,1,(WWWW[[#This Row],['#_Constructed/Existing protected/fenced ponds]]*250)/WWWW[[#This Row],[Total PoP ]])</f>
        <v>0</v>
      </c>
      <c r="CT94" s="731">
        <f>WWWW[[#This Row],[% Access to unimproved water points]]*WWWW[[#This Row],[Total PoP ]]</f>
        <v>0</v>
      </c>
      <c r="CU9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W94" s="731">
        <f>WWWW[[#This Row],[HRP1]]/500</f>
        <v>0.53400000000000003</v>
      </c>
      <c r="CX94" s="736">
        <f>1-WWWW[[#This Row],[% Equitable and continuous access to sufficient quantity of domestic water]]</f>
        <v>0</v>
      </c>
      <c r="CY94" s="731">
        <f>WWWW[[#This Row],[%equitable and continuous access to sufficient quantity of safe drinking and domestic water''s GAP]]*WWWW[[#This Row],[Total PoP ]]</f>
        <v>0</v>
      </c>
      <c r="CZ94" s="734">
        <f>IF(WWWW[[#This Row],[Total required water points]]-WWWW[[#This Row],['#Water points coverage]]&lt;0,0,WWWW[[#This Row],[Total required water points]]-WWWW[[#This Row],['#Water points coverage]])</f>
        <v>0.46599999999999997</v>
      </c>
      <c r="DA94" s="734">
        <f>ROUND(IF(WWWW[[#This Row],[Total PoP ]]&lt;500,1,WWWW[[#This Row],[Total PoP ]]/500),0)</f>
        <v>1</v>
      </c>
      <c r="DB94" s="734">
        <f>(WWWW[[#This Row],['#_Constructed latrines_by_WASHAgencies]]+WWWW[[#This Row],['#_Non Cluster partner latrines]])-WWWW[[#This Row],['#_Non-functional latrines]]</f>
        <v>7</v>
      </c>
      <c r="DC94" s="631">
        <f>WWWW[[#This Row],[HRP2]]/WWWW[[#This Row],[Total PoP ]]</f>
        <v>0.5393258426966292</v>
      </c>
      <c r="DD9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144</v>
      </c>
      <c r="DE9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4" s="424">
        <f>IF(WWWW[[#This Row],['# of functional latrines in THF supported by WASH partners during the reporting period2]]="",0,WWWW[[#This Row],['# of functional latrines in THF supported by WASH partners during the reporting period2]]*50)</f>
        <v>0</v>
      </c>
      <c r="DH94" s="734">
        <f>ROUND(IF(WWWW[[#This Row],[Location Type 1]]="camp",WWWW[[#This Row],[Total PoP ]]/20,IF(WWWW[[#This Row],[Location Type 1]]="Temporary Location",WWWW[[#This Row],[Total PoP ]]/50,(WWWW[[#This Row],[Total PoP ]]/6))),0)</f>
        <v>13</v>
      </c>
      <c r="DI94" s="734">
        <f>IF(WWWW[[#This Row],[Total required Latrines]]-(WWWW[[#This Row],['#_Constructed latrines_by_WASHAgencies]]+WWWW[[#This Row],['#_Non Cluster partner latrines]])&lt;0,0,WWWW[[#This Row],[Total required Latrines]]-(WWWW[[#This Row],['#_Constructed latrines_by_WASHAgencies]]+WWWW[[#This Row],['#_Non Cluster partner latrines]]))</f>
        <v>6</v>
      </c>
      <c r="DJ94" s="736">
        <f>1-WWWW[[#This Row],[% people access to functioning Latrine]]</f>
        <v>0.4606741573033708</v>
      </c>
      <c r="DK94" s="735">
        <f>IF(OR(WWWW[[#This Row],['#_Non-functional latrines]]="",WWWW[[#This Row],['#_Non-functional latrines]]=0),0,WWWW[[#This Row],['#_Non-functional latrines]]/(WWWW[[#This Row],['#_Constructed latrines_by_WASHAgencies]]+WWWW[[#This Row],['#_Non Cluster partner latrines]]))</f>
        <v>0</v>
      </c>
      <c r="DL94" s="731">
        <f>IF(500*(WWWW[[#This Row],['#_male hygiene promoters]]+WWWW[[#This Row],['#_female hygiene promoters]])&gt;WWWW[[#This Row],[Total PoP ]],WWWW[[#This Row],[Total PoP ]],500*(WWWW[[#This Row],['#_male hygiene promoters]]+WWWW[[#This Row],['#_female hygiene promoters]]))</f>
        <v>267</v>
      </c>
      <c r="DM9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9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94" s="734">
        <f>IF(WWWW[[#This Row],['# People with access to soap]]&gt;WWWW[[#This Row],['# People with access to Sanity Pads]],WWWW[[#This Row],['# People with access to soap]],WWWW[[#This Row],['# People with access to Sanity Pads]])</f>
        <v>205</v>
      </c>
      <c r="DP94" s="734">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Q94" s="736">
        <f>IF(WWWW[[#This Row],[HRP3]]/WWWW[[#This Row],[Total PoP ]]&gt;1,1,WWWW[[#This Row],[HRP3]]/WWWW[[#This Row],[Total PoP ]])</f>
        <v>1</v>
      </c>
      <c r="DR94" s="735">
        <f>1-WWWW[[#This Row],[Hygiene Coverage%]]</f>
        <v>0</v>
      </c>
      <c r="DS94" s="733">
        <f>WWWW[[#This Row],['# people reached by regular dedicated hygiene promotion_5]]/WWWW[[#This Row],[Total PoP ]]</f>
        <v>1</v>
      </c>
      <c r="DT9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4" s="734">
        <f>WWWW[[#This Row],['#_Constructed/Existing hand washing stations]]-WWWW[[#This Row],['#_Non-Functional_hand_washing_stations]]</f>
        <v>1</v>
      </c>
      <c r="DW94" s="731">
        <f>IF(WWWW[[#This Row],['# Functional hand washing stations during reporting period]]*20&gt;WWWW[[#This Row],[Total HH]],WWWW[[#This Row],[Total HH]],WWWW[[#This Row],['# Functional hand washing stations during reporting period]]*20)</f>
        <v>20</v>
      </c>
      <c r="DX94" s="731">
        <f>IF(WWWW[[#This Row],[Is sufficient soap available for TLS? (Yes/No)]]="yes",WWWW[[#This Row],['#_Constructed/Existing hand washing stations at TLS/CFS/THF]],0)</f>
        <v>0</v>
      </c>
      <c r="DY94" s="428">
        <f>IF(WWWW[[#This Row],['# Functional hand washing stations during reporting period]]*100&gt;WWWW[[#This Row],[Total PoP ]],WWWW[[#This Row],[Total PoP ]],WWWW[[#This Row],['# Functional hand washing stations during reporting period]]*100)</f>
        <v>100</v>
      </c>
      <c r="DZ94" s="428" t="str">
        <f>IF(OR(WWWW[[#This Row],['#_students at TLS_CFS]]="",WWWW[[#This Row],['#_students at TLS_CFS]]=0),"No","Yes")</f>
        <v>No</v>
      </c>
      <c r="EA9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4" s="727">
        <f>VLOOKUP(WWWW[[#This Row],[Site Name]],SiteDB6[[Site Name]:[CCCM Management]],6,FALSE)</f>
        <v>0</v>
      </c>
      <c r="EF94" s="727">
        <f>VLOOKUP(WWWW[[#This Row],[Site Name]],SiteDB6[[Site Name]:[CCCM Focal Agency]],7,FALSE)</f>
        <v>0</v>
      </c>
      <c r="EG94" s="727" t="str">
        <f>VLOOKUP(WWWW[[#This Row],[Site Name]],SiteDB6[[Site Name]:[Location Type 1]],9,FALSE)</f>
        <v>Camp</v>
      </c>
      <c r="EH94" s="727" t="str">
        <f>VLOOKUP(WWWW[[#This Row],[Site Name]],SiteDB6[[Site Name]:[Type of Accommodation]],10,FALSE)</f>
        <v>Camp like setting</v>
      </c>
      <c r="EI94" s="727" t="str">
        <f>VLOOKUP(WWWW[[#This Row],[Site Name]],SiteDB6[[Site Name]:[Ethnic or GCA/NGCA]],11,FALSE)</f>
        <v>GCA</v>
      </c>
      <c r="EJ94" s="727">
        <f>VLOOKUP(WWWW[[#This Row],[Site Name]],SiteDB6[[Site Name]:[Lat]],12,FALSE)</f>
        <v>0</v>
      </c>
      <c r="EK94" s="727">
        <f>VLOOKUP(WWWW[[#This Row],[Site Name]],SiteDB6[[Site Name]:[Long]],13,FALSE)</f>
        <v>0</v>
      </c>
      <c r="EL94" s="727">
        <f>VLOOKUP(WWWW[[#This Row],[Site Name]],SiteDB6[[Site Name]:[Pcode]],3,FALSE)</f>
        <v>0</v>
      </c>
      <c r="EM94" s="732" t="str">
        <f t="shared" si="1"/>
        <v>Covered</v>
      </c>
      <c r="EN94" s="732"/>
      <c r="EO94" s="727">
        <f>VLOOKUP(WWWW[[#This Row],[Site Name]],SiteDB6[[Site Name]:[Pop
(Kachin/Shan-CCCM as of July 2021)]],16,FALSE)</f>
        <v>0</v>
      </c>
      <c r="EP94" s="727">
        <f>VLOOKUP(WWWW[[#This Row],[Site Name]],SiteDB6[[Site Name]:[Pop
(Kachin/Shan-CCCM as of July 2021)]],17,FALSE)</f>
        <v>0</v>
      </c>
    </row>
    <row r="95" spans="1:146" hidden="1">
      <c r="A95" s="725" t="s">
        <v>2763</v>
      </c>
      <c r="B95" s="876" t="s">
        <v>2081</v>
      </c>
      <c r="C95" s="786" t="s">
        <v>141</v>
      </c>
      <c r="D95" s="786" t="s">
        <v>299</v>
      </c>
      <c r="E95" s="786" t="s">
        <v>37</v>
      </c>
      <c r="F95" s="786" t="s">
        <v>205</v>
      </c>
      <c r="G95" s="591" t="str">
        <f>VLOOKUP(WWWW[[#This Row],[Site Name]],SiteDB6[[Site Name]:[Location Type]],8,FALSE)</f>
        <v>Camp_not registered</v>
      </c>
      <c r="H95" s="786" t="s">
        <v>1534</v>
      </c>
      <c r="I95" s="788">
        <v>311</v>
      </c>
      <c r="J95" s="788">
        <v>1340</v>
      </c>
      <c r="K95" s="789">
        <v>44412</v>
      </c>
      <c r="L95" s="790">
        <v>44776</v>
      </c>
      <c r="M95" s="788">
        <v>543</v>
      </c>
      <c r="N95" s="788">
        <v>4</v>
      </c>
      <c r="O95" s="788"/>
      <c r="P95" s="788"/>
      <c r="Q95" s="791" t="s">
        <v>136</v>
      </c>
      <c r="R95" s="788">
        <v>2</v>
      </c>
      <c r="S95" s="788">
        <v>6</v>
      </c>
      <c r="T95" s="448"/>
      <c r="U95" s="788">
        <v>0</v>
      </c>
      <c r="V95" s="788">
        <v>0</v>
      </c>
      <c r="W95" s="788">
        <v>0</v>
      </c>
      <c r="X95" s="788">
        <v>0</v>
      </c>
      <c r="Y95" s="788">
        <v>0</v>
      </c>
      <c r="Z95" s="788">
        <v>8</v>
      </c>
      <c r="AA95" s="788">
        <v>0</v>
      </c>
      <c r="AB95" s="788">
        <v>0</v>
      </c>
      <c r="AC95" s="788"/>
      <c r="AD95" s="788">
        <v>0</v>
      </c>
      <c r="AE95" s="788">
        <v>0</v>
      </c>
      <c r="AF95" s="788">
        <v>0</v>
      </c>
      <c r="AG95" s="788">
        <v>0</v>
      </c>
      <c r="AH95" s="788">
        <v>0</v>
      </c>
      <c r="AI95" s="788">
        <v>6</v>
      </c>
      <c r="AJ95" s="788">
        <v>6</v>
      </c>
      <c r="AK95" s="788">
        <v>19</v>
      </c>
      <c r="AL95" s="788">
        <v>0</v>
      </c>
      <c r="AM95" s="788">
        <v>0</v>
      </c>
      <c r="AN95" s="788">
        <v>0</v>
      </c>
      <c r="AO95" s="788"/>
      <c r="AP95" s="792"/>
      <c r="AQ95" s="788">
        <v>0</v>
      </c>
      <c r="AR95" s="788">
        <v>0</v>
      </c>
      <c r="AS95" s="793"/>
      <c r="AT95" s="788">
        <v>0</v>
      </c>
      <c r="AU95" s="788"/>
      <c r="AV95" s="788"/>
      <c r="AW95" s="788"/>
      <c r="AX95" s="788">
        <v>0</v>
      </c>
      <c r="AY95" s="787" t="s">
        <v>41</v>
      </c>
      <c r="AZ95" s="792" t="s">
        <v>137</v>
      </c>
      <c r="BA95" s="788">
        <v>0</v>
      </c>
      <c r="BB95" s="788">
        <v>0</v>
      </c>
      <c r="BC95" s="788">
        <v>0</v>
      </c>
      <c r="BD95" s="448">
        <v>0</v>
      </c>
      <c r="BE95" s="448">
        <v>9</v>
      </c>
      <c r="BF95" s="787"/>
      <c r="BG95" s="788">
        <v>3</v>
      </c>
      <c r="BH95" s="788"/>
      <c r="BI95" s="788"/>
      <c r="BJ95" s="788">
        <v>2</v>
      </c>
      <c r="BK95" s="788"/>
      <c r="BL95" s="788"/>
      <c r="BM95" s="788">
        <v>6</v>
      </c>
      <c r="BN95" s="788">
        <v>88</v>
      </c>
      <c r="BO95" s="788">
        <v>100</v>
      </c>
      <c r="BP95" s="787"/>
      <c r="BQ95" s="794"/>
      <c r="BR95" s="793"/>
      <c r="BS95" s="787"/>
      <c r="BT95" s="423"/>
      <c r="BU95" s="423"/>
      <c r="BV95" s="425">
        <v>0.8</v>
      </c>
      <c r="BW95" s="423">
        <v>0.46</v>
      </c>
      <c r="BX95" s="448"/>
      <c r="BY95" s="448"/>
      <c r="BZ95" s="448"/>
      <c r="CA95" s="448">
        <v>0</v>
      </c>
      <c r="CB95" s="448">
        <v>0</v>
      </c>
      <c r="CC95" s="777"/>
      <c r="CD95" s="448"/>
      <c r="CE95" s="795">
        <f>IFERROR(WWWW[[#This Row],['#_Water sources passed]]/WWWW[[#This Row],['#_Water sources tested for fecal coliform ]],"no test")</f>
        <v>1</v>
      </c>
      <c r="CF95" s="793">
        <f>IFERROR(WWWW[[#This Row],['#_Household passed]]/WWWW[[#This Row],['#_Household water samples tested for fecal coliform]],"no test")</f>
        <v>0</v>
      </c>
      <c r="CG95" s="794" t="str">
        <f>IF(AND(WWWW[[#This Row],[% of water sources passed]]="no test",WWWW[[#This Row],[% Household passed]]="no test"),"No Test","Tested")</f>
        <v>Tested</v>
      </c>
      <c r="CH95" s="794">
        <f>WWWW[[#This Row],['#_Constructed/existing protected hand dug well]]-WWWW[[#This Row],['#_Non-functional protected hand dug well]]</f>
        <v>0</v>
      </c>
      <c r="CI95" s="794">
        <f>(WWWW[[#This Row],['#_Constructed/Existing tube wells/boreholes/handpumps_WASH_agency]]+WWWW[[#This Row],['#_Non-Cluster partner water tube-wells/boreholes/handpumps]])-WWWW[[#This Row],['#_Non-functional tube wells/boreholes/handpumps]]</f>
        <v>0</v>
      </c>
      <c r="CJ95" s="794">
        <f>WWWW[[#This Row],['#_Constructed/Existingwater storage tank with gravity fed reticulation system]]-WWWW[[#This Row],['#_Non-functional storage tank gravity fed reticulation system]]</f>
        <v>0</v>
      </c>
      <c r="CK95" s="794">
        <f>(WWWW[[#This Row],['#_Water_Liters_supplied_by_Water boating or water trucking]]/90)/15</f>
        <v>0</v>
      </c>
      <c r="CL95" s="794">
        <f>WWWW[[#This Row],['#_Water_Liters_from_Constructed/Existing water distribution system from river or natural spring]]/90/15</f>
        <v>0</v>
      </c>
      <c r="CM95" s="424">
        <f>IF(WWWW[[#This Row],['#_of water points in TLS/CFS]]*500&gt;WWWW[[#This Row],[Total PoP ]],WWWW[[#This Row],[Total PoP ]],WWWW[[#This Row],['#_of water points in TLS/CFS]]*500)</f>
        <v>0</v>
      </c>
      <c r="CN95" s="424">
        <f>IF(WWWW[[#This Row],['#_of water points in THF]]*500&gt;WWWW[[#This Row],[Total PoP ]],WWWW[[#This Row],[Total PoP ]],WWWW[[#This Row],['#_of water points in THF]]*500)</f>
        <v>0</v>
      </c>
      <c r="CO95"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95"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95" s="793">
        <f>IF(WWWW[[#This Row],[Location Type 1]]="Village",WWWW[[#This Row],[Access to safe drinking water for Village]],WWWW[[#This Row],[Access to safe drinking water for Camp]])</f>
        <v>0</v>
      </c>
      <c r="CR95" s="791">
        <f>WWWW[[#This Row],[%Equitable and continuous access to sufficient quantity of safe drinking water]]*WWWW[[#This Row],[Total PoP ]]</f>
        <v>0</v>
      </c>
      <c r="CS95" s="793">
        <f>IF((WWWW[[#This Row],['#_Constructed/Existing protected/fenced ponds]]*250)/WWWW[[#This Row],[Total PoP ]]&gt;1,1,(WWWW[[#This Row],['#_Constructed/Existing protected/fenced ponds]]*250)/WWWW[[#This Row],[Total PoP ]])</f>
        <v>0</v>
      </c>
      <c r="CT95" s="791">
        <f>WWWW[[#This Row],[% Access to unimproved water points]]*WWWW[[#This Row],[Total PoP ]]</f>
        <v>0</v>
      </c>
      <c r="CU95"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95"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95" s="791">
        <f>WWWW[[#This Row],[HRP1]]/500</f>
        <v>0</v>
      </c>
      <c r="CX95" s="796">
        <f>1-WWWW[[#This Row],[% Equitable and continuous access to sufficient quantity of domestic water]]</f>
        <v>1</v>
      </c>
      <c r="CY95" s="791">
        <f>WWWW[[#This Row],[%equitable and continuous access to sufficient quantity of safe drinking and domestic water''s GAP]]*WWWW[[#This Row],[Total PoP ]]</f>
        <v>1340</v>
      </c>
      <c r="CZ95" s="794">
        <f>IF(WWWW[[#This Row],[Total required water points]]-WWWW[[#This Row],['#Water points coverage]]&lt;0,0,WWWW[[#This Row],[Total required water points]]-WWWW[[#This Row],['#Water points coverage]])</f>
        <v>3</v>
      </c>
      <c r="DA95" s="794">
        <f>ROUND(IF(WWWW[[#This Row],[Total PoP ]]&lt;500,1,WWWW[[#This Row],[Total PoP ]]/500),0)</f>
        <v>3</v>
      </c>
      <c r="DB95" s="794">
        <f>(WWWW[[#This Row],['#_Constructed latrines_by_WASHAgencies]]+WWWW[[#This Row],['#_Non Cluster partner latrines]])-WWWW[[#This Row],['#_Non-functional latrines]]</f>
        <v>0</v>
      </c>
      <c r="DC95" s="631">
        <f>WWWW[[#This Row],[HRP2]]/WWWW[[#This Row],[Total PoP ]]</f>
        <v>6.7164179104477612E-3</v>
      </c>
      <c r="DD95"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v>
      </c>
      <c r="DE95"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5"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5" s="424">
        <f>IF(WWWW[[#This Row],['# of functional latrines in THF supported by WASH partners during the reporting period2]]="",0,WWWW[[#This Row],['# of functional latrines in THF supported by WASH partners during the reporting period2]]*50)</f>
        <v>0</v>
      </c>
      <c r="DH95" s="794">
        <f>ROUND(IF(WWWW[[#This Row],[Location Type 1]]="camp",WWWW[[#This Row],[Total PoP ]]/20,IF(WWWW[[#This Row],[Location Type 1]]="Temporary Location",WWWW[[#This Row],[Total PoP ]]/50,(WWWW[[#This Row],[Total PoP ]]/6))),0)</f>
        <v>67</v>
      </c>
      <c r="DI95" s="794">
        <f>IF(WWWW[[#This Row],[Total required Latrines]]-(WWWW[[#This Row],['#_Constructed latrines_by_WASHAgencies]]+WWWW[[#This Row],['#_Non Cluster partner latrines]])&lt;0,0,WWWW[[#This Row],[Total required Latrines]]-(WWWW[[#This Row],['#_Constructed latrines_by_WASHAgencies]]+WWWW[[#This Row],['#_Non Cluster partner latrines]]))</f>
        <v>67</v>
      </c>
      <c r="DJ95" s="796">
        <f>1-WWWW[[#This Row],[% people access to functioning Latrine]]</f>
        <v>0.99328358208955225</v>
      </c>
      <c r="DK95" s="795">
        <f>IF(OR(WWWW[[#This Row],['#_Non-functional latrines]]="",WWWW[[#This Row],['#_Non-functional latrines]]=0),0,WWWW[[#This Row],['#_Non-functional latrines]]/(WWWW[[#This Row],['#_Constructed latrines_by_WASHAgencies]]+WWWW[[#This Row],['#_Non Cluster partner latrines]]))</f>
        <v>0</v>
      </c>
      <c r="DL95" s="791">
        <f>IF(500*(WWWW[[#This Row],['#_male hygiene promoters]]+WWWW[[#This Row],['#_female hygiene promoters]])&gt;WWWW[[#This Row],[Total PoP ]],WWWW[[#This Row],[Total PoP ]],500*(WWWW[[#This Row],['#_male hygiene promoters]]+WWWW[[#This Row],['#_female hygiene promoters]]))</f>
        <v>1340</v>
      </c>
      <c r="DM95"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95"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95" s="794">
        <f>IF(WWWW[[#This Row],['# People with access to soap]]&gt;WWWW[[#This Row],['# People with access to Sanity Pads]],WWWW[[#This Row],['# People with access to soap]],WWWW[[#This Row],['# People with access to Sanity Pads]])</f>
        <v>440</v>
      </c>
      <c r="DP95" s="794">
        <f>IF(WWWW[[#This Row],['# people reached by regular dedicated hygiene promotion_5]]&gt;WWWW[[#This Row],['# People received regular supply of hygiene items_6]],WWWW[[#This Row],['# people reached by regular dedicated hygiene promotion_5]],WWWW[[#This Row],['# People received regular supply of hygiene items_6]])</f>
        <v>1340</v>
      </c>
      <c r="DQ95" s="796">
        <f>IF(WWWW[[#This Row],[HRP3]]/WWWW[[#This Row],[Total PoP ]]&gt;1,1,WWWW[[#This Row],[HRP3]]/WWWW[[#This Row],[Total PoP ]])</f>
        <v>1</v>
      </c>
      <c r="DR95" s="795">
        <f>1-WWWW[[#This Row],[Hygiene Coverage%]]</f>
        <v>0</v>
      </c>
      <c r="DS95" s="793">
        <f>WWWW[[#This Row],['# people reached by regular dedicated hygiene promotion_5]]/WWWW[[#This Row],[Total PoP ]]</f>
        <v>1</v>
      </c>
      <c r="DT95"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5"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0.32154340836012862</v>
      </c>
      <c r="DV95" s="794">
        <f>WWWW[[#This Row],['#_Constructed/Existing hand washing stations]]-WWWW[[#This Row],['#_Non-Functional_hand_washing_stations]]</f>
        <v>3</v>
      </c>
      <c r="DW95" s="791">
        <f>IF(WWWW[[#This Row],['# Functional hand washing stations during reporting period]]*20&gt;WWWW[[#This Row],[Total HH]],WWWW[[#This Row],[Total HH]],WWWW[[#This Row],['# Functional hand washing stations during reporting period]]*20)</f>
        <v>60</v>
      </c>
      <c r="DX95" s="791">
        <f>IF(WWWW[[#This Row],[Is sufficient soap available for TLS? (Yes/No)]]="yes",WWWW[[#This Row],['#_Constructed/Existing hand washing stations at TLS/CFS/THF]],0)</f>
        <v>0</v>
      </c>
      <c r="DY95" s="428">
        <f>IF(WWWW[[#This Row],['# Functional hand washing stations during reporting period]]*100&gt;WWWW[[#This Row],[Total PoP ]],WWWW[[#This Row],[Total PoP ]],WWWW[[#This Row],['# Functional hand washing stations during reporting period]]*100)</f>
        <v>300</v>
      </c>
      <c r="DZ95" s="428" t="str">
        <f>IF(OR(WWWW[[#This Row],['#_students at TLS_CFS]]="",WWWW[[#This Row],['#_students at TLS_CFS]]=0),"No","Yes")</f>
        <v>Yes</v>
      </c>
      <c r="EA95" s="631">
        <f>IF(WWWW[[#This Row],['#_of_affected_people_surveyed_who_report_feeling_informed_about_the_different_WASH_services_available_to_them]]="","",WWWW[[#This Row],['#_of_affected_people_surveyed_who_report_feeling_informed_about_the_different_WASH_services_available_to_them]]/WWWW[[#This Row],[Total PoP ]])</f>
        <v>5.9701492537313433E-4</v>
      </c>
      <c r="EB9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5" s="787">
        <f>VLOOKUP(WWWW[[#This Row],[Site Name]],SiteDB6[[Site Name]:[CCCM Management]],6,FALSE)</f>
        <v>0</v>
      </c>
      <c r="EF95" s="787">
        <f>VLOOKUP(WWWW[[#This Row],[Site Name]],SiteDB6[[Site Name]:[CCCM Focal Agency]],7,FALSE)</f>
        <v>0</v>
      </c>
      <c r="EG95" s="787" t="str">
        <f>VLOOKUP(WWWW[[#This Row],[Site Name]],SiteDB6[[Site Name]:[Location Type 1]],9,FALSE)</f>
        <v>Camp</v>
      </c>
      <c r="EH95" s="787" t="str">
        <f>VLOOKUP(WWWW[[#This Row],[Site Name]],SiteDB6[[Site Name]:[Type of Accommodation]],10,FALSE)</f>
        <v>Camp</v>
      </c>
      <c r="EI95" s="787" t="str">
        <f>VLOOKUP(WWWW[[#This Row],[Site Name]],SiteDB6[[Site Name]:[Ethnic or GCA/NGCA]],11,FALSE)</f>
        <v>GCA</v>
      </c>
      <c r="EJ95" s="787">
        <f>VLOOKUP(WWWW[[#This Row],[Site Name]],SiteDB6[[Site Name]:[Lat]],12,FALSE)</f>
        <v>0</v>
      </c>
      <c r="EK95" s="787">
        <f>VLOOKUP(WWWW[[#This Row],[Site Name]],SiteDB6[[Site Name]:[Long]],13,FALSE)</f>
        <v>0</v>
      </c>
      <c r="EL95" s="787">
        <f>VLOOKUP(WWWW[[#This Row],[Site Name]],SiteDB6[[Site Name]:[Pcode]],3,FALSE)</f>
        <v>0</v>
      </c>
      <c r="EM95" s="792" t="str">
        <f t="shared" si="1"/>
        <v>Covered</v>
      </c>
      <c r="EN95" s="792"/>
      <c r="EO95" s="787">
        <f>VLOOKUP(WWWW[[#This Row],[Site Name]],SiteDB6[[Site Name]:[Pop
(Kachin/Shan-CCCM as of July 2021)]],16,FALSE)</f>
        <v>0</v>
      </c>
      <c r="EP95" s="787">
        <f>VLOOKUP(WWWW[[#This Row],[Site Name]],SiteDB6[[Site Name]:[Pop
(Kachin/Shan-CCCM as of July 2021)]],17,FALSE)</f>
        <v>0</v>
      </c>
    </row>
    <row r="96" spans="1:146" hidden="1">
      <c r="A96" s="725" t="s">
        <v>2763</v>
      </c>
      <c r="B96" s="725" t="s">
        <v>309</v>
      </c>
      <c r="C96" s="726" t="s">
        <v>309</v>
      </c>
      <c r="D96" s="726"/>
      <c r="E96" s="726" t="s">
        <v>37</v>
      </c>
      <c r="F96" s="726" t="s">
        <v>205</v>
      </c>
      <c r="G96" s="591" t="str">
        <f>VLOOKUP(WWWW[[#This Row],[Site Name]],SiteDB6[[Site Name]:[Location Type]],8,FALSE)</f>
        <v>Camp</v>
      </c>
      <c r="H96" s="726" t="s">
        <v>3022</v>
      </c>
      <c r="I96" s="728">
        <v>223</v>
      </c>
      <c r="J96" s="728">
        <v>1067</v>
      </c>
      <c r="K96" s="729" t="s">
        <v>2650</v>
      </c>
      <c r="L96" s="730" t="s">
        <v>2651</v>
      </c>
      <c r="M96" s="728"/>
      <c r="N96" s="728"/>
      <c r="O96" s="728"/>
      <c r="P96" s="728"/>
      <c r="Q96" s="731"/>
      <c r="R96" s="728"/>
      <c r="S96" s="728">
        <v>4</v>
      </c>
      <c r="T96" s="448"/>
      <c r="U96" s="728"/>
      <c r="V96" s="728"/>
      <c r="W96" s="728"/>
      <c r="X96" s="728"/>
      <c r="Y96" s="728"/>
      <c r="Z96" s="728"/>
      <c r="AA96" s="728"/>
      <c r="AB96" s="728"/>
      <c r="AC96" s="728"/>
      <c r="AD96" s="728"/>
      <c r="AE96" s="728"/>
      <c r="AF96" s="728"/>
      <c r="AG96" s="728"/>
      <c r="AH96" s="728"/>
      <c r="AI96" s="728"/>
      <c r="AJ96" s="728"/>
      <c r="AK96" s="728"/>
      <c r="AL96" s="728"/>
      <c r="AM96" s="728"/>
      <c r="AN96" s="728"/>
      <c r="AO96" s="728"/>
      <c r="AP96" s="732"/>
      <c r="AQ96" s="728"/>
      <c r="AR96" s="728"/>
      <c r="AS96" s="733"/>
      <c r="AT96" s="728"/>
      <c r="AU96" s="728"/>
      <c r="AV96" s="728"/>
      <c r="AW96" s="728"/>
      <c r="AX96" s="728"/>
      <c r="AY96" s="425" t="s">
        <v>140</v>
      </c>
      <c r="AZ96" s="860" t="s">
        <v>140</v>
      </c>
      <c r="BA96" s="728"/>
      <c r="BB96" s="728"/>
      <c r="BC96" s="728"/>
      <c r="BD96" s="448"/>
      <c r="BE96" s="448"/>
      <c r="BF96" s="727"/>
      <c r="BG96" s="728">
        <v>3</v>
      </c>
      <c r="BH96" s="728"/>
      <c r="BI96" s="728"/>
      <c r="BJ96" s="728">
        <v>2</v>
      </c>
      <c r="BK96" s="728"/>
      <c r="BL96" s="728"/>
      <c r="BM96" s="728"/>
      <c r="BN96" s="728">
        <v>10</v>
      </c>
      <c r="BO96" s="728">
        <v>18</v>
      </c>
      <c r="BP96" s="727"/>
      <c r="BQ96" s="734"/>
      <c r="BR96" s="733"/>
      <c r="BS96" s="727"/>
      <c r="BT96" s="423"/>
      <c r="BU96" s="423"/>
      <c r="BV96" s="425"/>
      <c r="BW96" s="423"/>
      <c r="BX96" s="448"/>
      <c r="BY96" s="448"/>
      <c r="BZ96" s="448"/>
      <c r="CA96" s="448"/>
      <c r="CB96" s="448"/>
      <c r="CC96" s="777"/>
      <c r="CD96" s="448"/>
      <c r="CE96" s="735" t="str">
        <f>IFERROR(WWWW[[#This Row],['#_Water sources passed]]/WWWW[[#This Row],['#_Water sources tested for fecal coliform ]],"no test")</f>
        <v>no test</v>
      </c>
      <c r="CF96" s="733" t="str">
        <f>IFERROR(WWWW[[#This Row],['#_Household passed]]/WWWW[[#This Row],['#_Household water samples tested for fecal coliform]],"no test")</f>
        <v>no test</v>
      </c>
      <c r="CG96" s="734" t="str">
        <f>IF(AND(WWWW[[#This Row],[% of water sources passed]]="no test",WWWW[[#This Row],[% Household passed]]="no test"),"No Test","Tested")</f>
        <v>No Test</v>
      </c>
      <c r="CH96" s="734">
        <f>WWWW[[#This Row],['#_Constructed/existing protected hand dug well]]-WWWW[[#This Row],['#_Non-functional protected hand dug well]]</f>
        <v>0</v>
      </c>
      <c r="CI96" s="734">
        <f>(WWWW[[#This Row],['#_Constructed/Existing tube wells/boreholes/handpumps_WASH_agency]]+WWWW[[#This Row],['#_Non-Cluster partner water tube-wells/boreholes/handpumps]])-WWWW[[#This Row],['#_Non-functional tube wells/boreholes/handpumps]]</f>
        <v>0</v>
      </c>
      <c r="CJ96" s="734">
        <f>WWWW[[#This Row],['#_Constructed/Existingwater storage tank with gravity fed reticulation system]]-WWWW[[#This Row],['#_Non-functional storage tank gravity fed reticulation system]]</f>
        <v>0</v>
      </c>
      <c r="CK96" s="734">
        <f>(WWWW[[#This Row],['#_Water_Liters_supplied_by_Water boating or water trucking]]/90)/15</f>
        <v>0</v>
      </c>
      <c r="CL96" s="734">
        <f>WWWW[[#This Row],['#_Water_Liters_from_Constructed/Existing water distribution system from river or natural spring]]/90/15</f>
        <v>0</v>
      </c>
      <c r="CM96" s="424">
        <f>IF(WWWW[[#This Row],['#_of water points in TLS/CFS]]*500&gt;WWWW[[#This Row],[Total PoP ]],WWWW[[#This Row],[Total PoP ]],WWWW[[#This Row],['#_of water points in TLS/CFS]]*500)</f>
        <v>0</v>
      </c>
      <c r="CN96" s="424">
        <f>IF(WWWW[[#This Row],['#_of water points in THF]]*500&gt;WWWW[[#This Row],[Total PoP ]],WWWW[[#This Row],[Total PoP ]],WWWW[[#This Row],['#_of water points in THF]]*500)</f>
        <v>0</v>
      </c>
      <c r="CO9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9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96" s="733">
        <f>IF(WWWW[[#This Row],[Location Type 1]]="Village",WWWW[[#This Row],[Access to safe drinking water for Village]],WWWW[[#This Row],[Access to safe drinking water for Camp]])</f>
        <v>0</v>
      </c>
      <c r="CR96" s="731">
        <f>WWWW[[#This Row],[%Equitable and continuous access to sufficient quantity of safe drinking water]]*WWWW[[#This Row],[Total PoP ]]</f>
        <v>0</v>
      </c>
      <c r="CS96" s="733">
        <f>IF((WWWW[[#This Row],['#_Constructed/Existing protected/fenced ponds]]*250)/WWWW[[#This Row],[Total PoP ]]&gt;1,1,(WWWW[[#This Row],['#_Constructed/Existing protected/fenced ponds]]*250)/WWWW[[#This Row],[Total PoP ]])</f>
        <v>0</v>
      </c>
      <c r="CT96" s="731">
        <f>WWWW[[#This Row],[% Access to unimproved water points]]*WWWW[[#This Row],[Total PoP ]]</f>
        <v>0</v>
      </c>
      <c r="CU9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9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96" s="731">
        <f>WWWW[[#This Row],[HRP1]]/500</f>
        <v>0</v>
      </c>
      <c r="CX96" s="736">
        <f>1-WWWW[[#This Row],[% Equitable and continuous access to sufficient quantity of domestic water]]</f>
        <v>1</v>
      </c>
      <c r="CY96" s="731">
        <f>WWWW[[#This Row],[%equitable and continuous access to sufficient quantity of safe drinking and domestic water''s GAP]]*WWWW[[#This Row],[Total PoP ]]</f>
        <v>1067</v>
      </c>
      <c r="CZ96" s="734">
        <f>IF(WWWW[[#This Row],[Total required water points]]-WWWW[[#This Row],['#Water points coverage]]&lt;0,0,WWWW[[#This Row],[Total required water points]]-WWWW[[#This Row],['#Water points coverage]])</f>
        <v>2</v>
      </c>
      <c r="DA96" s="734">
        <f>ROUND(IF(WWWW[[#This Row],[Total PoP ]]&lt;500,1,WWWW[[#This Row],[Total PoP ]]/500),0)</f>
        <v>2</v>
      </c>
      <c r="DB96" s="734">
        <f>(WWWW[[#This Row],['#_Constructed latrines_by_WASHAgencies]]+WWWW[[#This Row],['#_Non Cluster partner latrines]])-WWWW[[#This Row],['#_Non-functional latrines]]</f>
        <v>0</v>
      </c>
      <c r="DC96" s="631">
        <f>WWWW[[#This Row],[HRP2]]/WWWW[[#This Row],[Total PoP ]]</f>
        <v>0</v>
      </c>
      <c r="DD9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9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6" s="424">
        <f>IF(WWWW[[#This Row],['# of functional latrines in THF supported by WASH partners during the reporting period2]]="",0,WWWW[[#This Row],['# of functional latrines in THF supported by WASH partners during the reporting period2]]*50)</f>
        <v>0</v>
      </c>
      <c r="DH96" s="734">
        <f>ROUND(IF(WWWW[[#This Row],[Location Type 1]]="camp",WWWW[[#This Row],[Total PoP ]]/20,IF(WWWW[[#This Row],[Location Type 1]]="Temporary Location",WWWW[[#This Row],[Total PoP ]]/50,(WWWW[[#This Row],[Total PoP ]]/6))),0)</f>
        <v>53</v>
      </c>
      <c r="DI96" s="734">
        <f>IF(WWWW[[#This Row],[Total required Latrines]]-(WWWW[[#This Row],['#_Constructed latrines_by_WASHAgencies]]+WWWW[[#This Row],['#_Non Cluster partner latrines]])&lt;0,0,WWWW[[#This Row],[Total required Latrines]]-(WWWW[[#This Row],['#_Constructed latrines_by_WASHAgencies]]+WWWW[[#This Row],['#_Non Cluster partner latrines]]))</f>
        <v>53</v>
      </c>
      <c r="DJ96" s="736">
        <f>1-WWWW[[#This Row],[% people access to functioning Latrine]]</f>
        <v>1</v>
      </c>
      <c r="DK96" s="735">
        <f>IF(OR(WWWW[[#This Row],['#_Non-functional latrines]]="",WWWW[[#This Row],['#_Non-functional latrines]]=0),0,WWWW[[#This Row],['#_Non-functional latrines]]/(WWWW[[#This Row],['#_Constructed latrines_by_WASHAgencies]]+WWWW[[#This Row],['#_Non Cluster partner latrines]]))</f>
        <v>0</v>
      </c>
      <c r="DL96" s="731">
        <f>IF(500*(WWWW[[#This Row],['#_male hygiene promoters]]+WWWW[[#This Row],['#_female hygiene promoters]])&gt;WWWW[[#This Row],[Total PoP ]],WWWW[[#This Row],[Total PoP ]],500*(WWWW[[#This Row],['#_male hygiene promoters]]+WWWW[[#This Row],['#_female hygiene promoters]]))</f>
        <v>0</v>
      </c>
      <c r="DM9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9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96" s="734">
        <f>IF(WWWW[[#This Row],['# People with access to soap]]&gt;WWWW[[#This Row],['# People with access to Sanity Pads]],WWWW[[#This Row],['# People with access to soap]],WWWW[[#This Row],['# People with access to Sanity Pads]])</f>
        <v>50</v>
      </c>
      <c r="DP96" s="734">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96" s="736">
        <f>IF(WWWW[[#This Row],[HRP3]]/WWWW[[#This Row],[Total PoP ]]&gt;1,1,WWWW[[#This Row],[HRP3]]/WWWW[[#This Row],[Total PoP ]])</f>
        <v>4.6860356138706656E-2</v>
      </c>
      <c r="DR96" s="735">
        <f>1-WWWW[[#This Row],[Hygiene Coverage%]]</f>
        <v>0.95313964386129335</v>
      </c>
      <c r="DS96" s="733">
        <f>WWWW[[#This Row],['# people reached by regular dedicated hygiene promotion_5]]/WWWW[[#This Row],[Total PoP ]]</f>
        <v>0</v>
      </c>
      <c r="DT9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0.17937219730941703</v>
      </c>
      <c r="DU9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8.0717488789237665E-2</v>
      </c>
      <c r="DV96" s="734">
        <f>WWWW[[#This Row],['#_Constructed/Existing hand washing stations]]-WWWW[[#This Row],['#_Non-Functional_hand_washing_stations]]</f>
        <v>3</v>
      </c>
      <c r="DW96" s="731">
        <f>IF(WWWW[[#This Row],['# Functional hand washing stations during reporting period]]*20&gt;WWWW[[#This Row],[Total HH]],WWWW[[#This Row],[Total HH]],WWWW[[#This Row],['# Functional hand washing stations during reporting period]]*20)</f>
        <v>60</v>
      </c>
      <c r="DX96" s="731">
        <f>IF(WWWW[[#This Row],[Is sufficient soap available for TLS? (Yes/No)]]="yes",WWWW[[#This Row],['#_Constructed/Existing hand washing stations at TLS/CFS/THF]],0)</f>
        <v>0</v>
      </c>
      <c r="DY96" s="428">
        <f>IF(WWWW[[#This Row],['# Functional hand washing stations during reporting period]]*100&gt;WWWW[[#This Row],[Total PoP ]],WWWW[[#This Row],[Total PoP ]],WWWW[[#This Row],['# Functional hand washing stations during reporting period]]*100)</f>
        <v>300</v>
      </c>
      <c r="DZ96" s="428" t="str">
        <f>IF(OR(WWWW[[#This Row],['#_students at TLS_CFS]]="",WWWW[[#This Row],['#_students at TLS_CFS]]=0),"No","Yes")</f>
        <v>No</v>
      </c>
      <c r="EA9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6" s="727">
        <f>VLOOKUP(WWWW[[#This Row],[Site Name]],SiteDB6[[Site Name]:[CCCM Management]],6,FALSE)</f>
        <v>0</v>
      </c>
      <c r="EF96" s="727" t="str">
        <f>VLOOKUP(WWWW[[#This Row],[Site Name]],SiteDB6[[Site Name]:[CCCM Focal Agency]],7,FALSE)</f>
        <v>uncovered</v>
      </c>
      <c r="EG96" s="727" t="str">
        <f>VLOOKUP(WWWW[[#This Row],[Site Name]],SiteDB6[[Site Name]:[Location Type 1]],9,FALSE)</f>
        <v>Camp</v>
      </c>
      <c r="EH96" s="727" t="str">
        <f>VLOOKUP(WWWW[[#This Row],[Site Name]],SiteDB6[[Site Name]:[Type of Accommodation]],10,FALSE)</f>
        <v>IDPs in host</v>
      </c>
      <c r="EI96" s="727" t="str">
        <f>VLOOKUP(WWWW[[#This Row],[Site Name]],SiteDB6[[Site Name]:[Ethnic or GCA/NGCA]],11,FALSE)</f>
        <v>GCA</v>
      </c>
      <c r="EJ96" s="727">
        <f>VLOOKUP(WWWW[[#This Row],[Site Name]],SiteDB6[[Site Name]:[Lat]],12,FALSE)</f>
        <v>24.251232000000002</v>
      </c>
      <c r="EK96" s="727">
        <f>VLOOKUP(WWWW[[#This Row],[Site Name]],SiteDB6[[Site Name]:[Long]],13,FALSE)</f>
        <v>97.348405</v>
      </c>
      <c r="EL96" s="727" t="str">
        <f>VLOOKUP(WWWW[[#This Row],[Site Name]],SiteDB6[[Site Name]:[Pcode]],3,FALSE)</f>
        <v>MMR001CMP197</v>
      </c>
      <c r="EM96" s="732" t="str">
        <f t="shared" si="1"/>
        <v>Notcovered</v>
      </c>
      <c r="EN96" s="732"/>
      <c r="EO96" s="727">
        <f>VLOOKUP(WWWW[[#This Row],[Site Name]],SiteDB6[[Site Name]:[Pop
(Kachin/Shan-CCCM as of July 2021)]],16,FALSE)</f>
        <v>171</v>
      </c>
      <c r="EP96" s="727">
        <f>VLOOKUP(WWWW[[#This Row],[Site Name]],SiteDB6[[Site Name]:[Pop
(Kachin/Shan-CCCM as of July 2021)]],17,FALSE)</f>
        <v>882</v>
      </c>
    </row>
    <row r="97" spans="1:146" hidden="1">
      <c r="A97" s="725" t="s">
        <v>2763</v>
      </c>
      <c r="B97" s="725" t="s">
        <v>141</v>
      </c>
      <c r="C97" s="726" t="s">
        <v>141</v>
      </c>
      <c r="D97" s="726" t="s">
        <v>241</v>
      </c>
      <c r="E97" s="726" t="s">
        <v>37</v>
      </c>
      <c r="F97" s="726" t="s">
        <v>148</v>
      </c>
      <c r="G97" s="591" t="str">
        <f>VLOOKUP(WWWW[[#This Row],[Site Name]],SiteDB6[[Site Name]:[Location Type]],8,FALSE)</f>
        <v>Camp</v>
      </c>
      <c r="H97" s="726" t="s">
        <v>190</v>
      </c>
      <c r="I97" s="728">
        <v>10</v>
      </c>
      <c r="J97" s="728">
        <v>18</v>
      </c>
      <c r="K97" s="729">
        <v>44105</v>
      </c>
      <c r="L97" s="730">
        <v>44681</v>
      </c>
      <c r="M97" s="728"/>
      <c r="N97" s="728"/>
      <c r="O97" s="728"/>
      <c r="P97" s="728"/>
      <c r="Q97" s="731"/>
      <c r="R97" s="728"/>
      <c r="S97" s="728">
        <v>4</v>
      </c>
      <c r="T97" s="448"/>
      <c r="U97" s="728"/>
      <c r="V97" s="728"/>
      <c r="W97" s="728"/>
      <c r="X97" s="728"/>
      <c r="Y97" s="728"/>
      <c r="Z97" s="728"/>
      <c r="AA97" s="728"/>
      <c r="AB97" s="728"/>
      <c r="AC97" s="728"/>
      <c r="AD97" s="728"/>
      <c r="AE97" s="728"/>
      <c r="AF97" s="728"/>
      <c r="AG97" s="728"/>
      <c r="AH97" s="728"/>
      <c r="AI97" s="728"/>
      <c r="AJ97" s="728"/>
      <c r="AK97" s="728"/>
      <c r="AL97" s="728"/>
      <c r="AM97" s="728"/>
      <c r="AN97" s="728"/>
      <c r="AO97" s="728"/>
      <c r="AP97" s="732"/>
      <c r="AQ97" s="728"/>
      <c r="AR97" s="728"/>
      <c r="AS97" s="733"/>
      <c r="AT97" s="728"/>
      <c r="AU97" s="728"/>
      <c r="AV97" s="728"/>
      <c r="AW97" s="728"/>
      <c r="AX97" s="728"/>
      <c r="AY97" s="727" t="s">
        <v>140</v>
      </c>
      <c r="AZ97" s="732" t="s">
        <v>140</v>
      </c>
      <c r="BA97" s="728"/>
      <c r="BB97" s="728"/>
      <c r="BC97" s="728"/>
      <c r="BD97" s="448"/>
      <c r="BE97" s="448"/>
      <c r="BF97" s="727"/>
      <c r="BG97" s="728">
        <v>1</v>
      </c>
      <c r="BH97" s="728"/>
      <c r="BI97" s="728"/>
      <c r="BJ97" s="728">
        <v>1</v>
      </c>
      <c r="BK97" s="728"/>
      <c r="BL97" s="728"/>
      <c r="BM97" s="728"/>
      <c r="BN97" s="728">
        <v>6</v>
      </c>
      <c r="BO97" s="728">
        <v>5</v>
      </c>
      <c r="BP97" s="727"/>
      <c r="BQ97" s="734"/>
      <c r="BR97" s="733"/>
      <c r="BS97" s="727"/>
      <c r="BT97" s="423"/>
      <c r="BU97" s="423"/>
      <c r="BV97" s="425"/>
      <c r="BW97" s="423"/>
      <c r="BX97" s="448"/>
      <c r="BY97" s="448"/>
      <c r="BZ97" s="448"/>
      <c r="CA97" s="448"/>
      <c r="CB97" s="448"/>
      <c r="CC97" s="777"/>
      <c r="CD97" s="448"/>
      <c r="CE97" s="735" t="str">
        <f>IFERROR(WWWW[[#This Row],['#_Water sources passed]]/WWWW[[#This Row],['#_Water sources tested for fecal coliform ]],"no test")</f>
        <v>no test</v>
      </c>
      <c r="CF97" s="733" t="str">
        <f>IFERROR(WWWW[[#This Row],['#_Household passed]]/WWWW[[#This Row],['#_Household water samples tested for fecal coliform]],"no test")</f>
        <v>no test</v>
      </c>
      <c r="CG97" s="734" t="str">
        <f>IF(AND(WWWW[[#This Row],[% of water sources passed]]="no test",WWWW[[#This Row],[% Household passed]]="no test"),"No Test","Tested")</f>
        <v>No Test</v>
      </c>
      <c r="CH97" s="734">
        <f>WWWW[[#This Row],['#_Constructed/existing protected hand dug well]]-WWWW[[#This Row],['#_Non-functional protected hand dug well]]</f>
        <v>0</v>
      </c>
      <c r="CI97" s="734">
        <f>(WWWW[[#This Row],['#_Constructed/Existing tube wells/boreholes/handpumps_WASH_agency]]+WWWW[[#This Row],['#_Non-Cluster partner water tube-wells/boreholes/handpumps]])-WWWW[[#This Row],['#_Non-functional tube wells/boreholes/handpumps]]</f>
        <v>0</v>
      </c>
      <c r="CJ97" s="734">
        <f>WWWW[[#This Row],['#_Constructed/Existingwater storage tank with gravity fed reticulation system]]-WWWW[[#This Row],['#_Non-functional storage tank gravity fed reticulation system]]</f>
        <v>0</v>
      </c>
      <c r="CK97" s="734">
        <f>(WWWW[[#This Row],['#_Water_Liters_supplied_by_Water boating or water trucking]]/90)/15</f>
        <v>0</v>
      </c>
      <c r="CL97" s="734">
        <f>WWWW[[#This Row],['#_Water_Liters_from_Constructed/Existing water distribution system from river or natural spring]]/90/15</f>
        <v>0</v>
      </c>
      <c r="CM97" s="424">
        <f>IF(WWWW[[#This Row],['#_of water points in TLS/CFS]]*500&gt;WWWW[[#This Row],[Total PoP ]],WWWW[[#This Row],[Total PoP ]],WWWW[[#This Row],['#_of water points in TLS/CFS]]*500)</f>
        <v>0</v>
      </c>
      <c r="CN97" s="424">
        <f>IF(WWWW[[#This Row],['#_of water points in THF]]*500&gt;WWWW[[#This Row],[Total PoP ]],WWWW[[#This Row],[Total PoP ]],WWWW[[#This Row],['#_of water points in THF]]*500)</f>
        <v>0</v>
      </c>
      <c r="CO9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9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97" s="733">
        <f>IF(WWWW[[#This Row],[Location Type 1]]="Village",WWWW[[#This Row],[Access to safe drinking water for Village]],WWWW[[#This Row],[Access to safe drinking water for Camp]])</f>
        <v>0</v>
      </c>
      <c r="CR97" s="731">
        <f>WWWW[[#This Row],[%Equitable and continuous access to sufficient quantity of safe drinking water]]*WWWW[[#This Row],[Total PoP ]]</f>
        <v>0</v>
      </c>
      <c r="CS97" s="733">
        <f>IF((WWWW[[#This Row],['#_Constructed/Existing protected/fenced ponds]]*250)/WWWW[[#This Row],[Total PoP ]]&gt;1,1,(WWWW[[#This Row],['#_Constructed/Existing protected/fenced ponds]]*250)/WWWW[[#This Row],[Total PoP ]])</f>
        <v>0</v>
      </c>
      <c r="CT97" s="731">
        <f>WWWW[[#This Row],[% Access to unimproved water points]]*WWWW[[#This Row],[Total PoP ]]</f>
        <v>0</v>
      </c>
      <c r="CU9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9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97" s="731">
        <f>WWWW[[#This Row],[HRP1]]/500</f>
        <v>0</v>
      </c>
      <c r="CX97" s="736">
        <f>1-WWWW[[#This Row],[% Equitable and continuous access to sufficient quantity of domestic water]]</f>
        <v>1</v>
      </c>
      <c r="CY97" s="731">
        <f>WWWW[[#This Row],[%equitable and continuous access to sufficient quantity of safe drinking and domestic water''s GAP]]*WWWW[[#This Row],[Total PoP ]]</f>
        <v>18</v>
      </c>
      <c r="CZ97" s="734">
        <f>IF(WWWW[[#This Row],[Total required water points]]-WWWW[[#This Row],['#Water points coverage]]&lt;0,0,WWWW[[#This Row],[Total required water points]]-WWWW[[#This Row],['#Water points coverage]])</f>
        <v>1</v>
      </c>
      <c r="DA97" s="734">
        <f>ROUND(IF(WWWW[[#This Row],[Total PoP ]]&lt;500,1,WWWW[[#This Row],[Total PoP ]]/500),0)</f>
        <v>1</v>
      </c>
      <c r="DB97" s="734">
        <f>(WWWW[[#This Row],['#_Constructed latrines_by_WASHAgencies]]+WWWW[[#This Row],['#_Non Cluster partner latrines]])-WWWW[[#This Row],['#_Non-functional latrines]]</f>
        <v>0</v>
      </c>
      <c r="DC97" s="631">
        <f>WWWW[[#This Row],[HRP2]]/WWWW[[#This Row],[Total PoP ]]</f>
        <v>0</v>
      </c>
      <c r="DD9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9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7" s="424">
        <f>IF(WWWW[[#This Row],['# of functional latrines in THF supported by WASH partners during the reporting period2]]="",0,WWWW[[#This Row],['# of functional latrines in THF supported by WASH partners during the reporting period2]]*50)</f>
        <v>0</v>
      </c>
      <c r="DH97" s="734">
        <f>ROUND(IF(WWWW[[#This Row],[Location Type 1]]="camp",WWWW[[#This Row],[Total PoP ]]/20,IF(WWWW[[#This Row],[Location Type 1]]="Temporary Location",WWWW[[#This Row],[Total PoP ]]/50,(WWWW[[#This Row],[Total PoP ]]/6))),0)</f>
        <v>1</v>
      </c>
      <c r="DI97" s="734">
        <f>IF(WWWW[[#This Row],[Total required Latrines]]-(WWWW[[#This Row],['#_Constructed latrines_by_WASHAgencies]]+WWWW[[#This Row],['#_Non Cluster partner latrines]])&lt;0,0,WWWW[[#This Row],[Total required Latrines]]-(WWWW[[#This Row],['#_Constructed latrines_by_WASHAgencies]]+WWWW[[#This Row],['#_Non Cluster partner latrines]]))</f>
        <v>1</v>
      </c>
      <c r="DJ97" s="736">
        <f>1-WWWW[[#This Row],[% people access to functioning Latrine]]</f>
        <v>1</v>
      </c>
      <c r="DK97" s="735">
        <f>IF(OR(WWWW[[#This Row],['#_Non-functional latrines]]="",WWWW[[#This Row],['#_Non-functional latrines]]=0),0,WWWW[[#This Row],['#_Non-functional latrines]]/(WWWW[[#This Row],['#_Constructed latrines_by_WASHAgencies]]+WWWW[[#This Row],['#_Non Cluster partner latrines]]))</f>
        <v>0</v>
      </c>
      <c r="DL97" s="731">
        <f>IF(500*(WWWW[[#This Row],['#_male hygiene promoters]]+WWWW[[#This Row],['#_female hygiene promoters]])&gt;WWWW[[#This Row],[Total PoP ]],WWWW[[#This Row],[Total PoP ]],500*(WWWW[[#This Row],['#_male hygiene promoters]]+WWWW[[#This Row],['#_female hygiene promoters]]))</f>
        <v>0</v>
      </c>
      <c r="DM9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v>
      </c>
      <c r="DN9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97" s="734">
        <f>IF(WWWW[[#This Row],['# People with access to soap]]&gt;WWWW[[#This Row],['# People with access to Sanity Pads]],WWWW[[#This Row],['# People with access to soap]],WWWW[[#This Row],['# People with access to Sanity Pads]])</f>
        <v>18</v>
      </c>
      <c r="DP97" s="734">
        <f>IF(WWWW[[#This Row],['# people reached by regular dedicated hygiene promotion_5]]&gt;WWWW[[#This Row],['# People received regular supply of hygiene items_6]],WWWW[[#This Row],['# people reached by regular dedicated hygiene promotion_5]],WWWW[[#This Row],['# People received regular supply of hygiene items_6]])</f>
        <v>18</v>
      </c>
      <c r="DQ97" s="736">
        <f>IF(WWWW[[#This Row],[HRP3]]/WWWW[[#This Row],[Total PoP ]]&gt;1,1,WWWW[[#This Row],[HRP3]]/WWWW[[#This Row],[Total PoP ]])</f>
        <v>1</v>
      </c>
      <c r="DR97" s="735">
        <f>1-WWWW[[#This Row],[Hygiene Coverage%]]</f>
        <v>0</v>
      </c>
      <c r="DS97" s="733">
        <f>WWWW[[#This Row],['# people reached by regular dedicated hygiene promotion_5]]/WWWW[[#This Row],[Total PoP ]]</f>
        <v>0</v>
      </c>
      <c r="DT9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v>
      </c>
      <c r="DV97" s="734">
        <f>WWWW[[#This Row],['#_Constructed/Existing hand washing stations]]-WWWW[[#This Row],['#_Non-Functional_hand_washing_stations]]</f>
        <v>1</v>
      </c>
      <c r="DW97" s="731">
        <f>IF(WWWW[[#This Row],['# Functional hand washing stations during reporting period]]*20&gt;WWWW[[#This Row],[Total HH]],WWWW[[#This Row],[Total HH]],WWWW[[#This Row],['# Functional hand washing stations during reporting period]]*20)</f>
        <v>10</v>
      </c>
      <c r="DX97" s="731">
        <f>IF(WWWW[[#This Row],[Is sufficient soap available for TLS? (Yes/No)]]="yes",WWWW[[#This Row],['#_Constructed/Existing hand washing stations at TLS/CFS/THF]],0)</f>
        <v>0</v>
      </c>
      <c r="DY97" s="428">
        <f>IF(WWWW[[#This Row],['# Functional hand washing stations during reporting period]]*100&gt;WWWW[[#This Row],[Total PoP ]],WWWW[[#This Row],[Total PoP ]],WWWW[[#This Row],['# Functional hand washing stations during reporting period]]*100)</f>
        <v>18</v>
      </c>
      <c r="DZ97" s="428" t="str">
        <f>IF(OR(WWWW[[#This Row],['#_students at TLS_CFS]]="",WWWW[[#This Row],['#_students at TLS_CFS]]=0),"No","Yes")</f>
        <v>No</v>
      </c>
      <c r="EA9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7" s="727" t="str">
        <f>VLOOKUP(WWWW[[#This Row],[Site Name]],SiteDB6[[Site Name]:[CCCM Management]],6,FALSE)</f>
        <v>Yes</v>
      </c>
      <c r="EF97" s="727" t="str">
        <f>VLOOKUP(WWWW[[#This Row],[Site Name]],SiteDB6[[Site Name]:[CCCM Focal Agency]],7,FALSE)</f>
        <v>KMSS-MYT</v>
      </c>
      <c r="EG97" s="727" t="str">
        <f>VLOOKUP(WWWW[[#This Row],[Site Name]],SiteDB6[[Site Name]:[Location Type 1]],9,FALSE)</f>
        <v>Camp</v>
      </c>
      <c r="EH97" s="727" t="str">
        <f>VLOOKUP(WWWW[[#This Row],[Site Name]],SiteDB6[[Site Name]:[Type of Accommodation]],10,FALSE)</f>
        <v>Camp</v>
      </c>
      <c r="EI97" s="727" t="str">
        <f>VLOOKUP(WWWW[[#This Row],[Site Name]],SiteDB6[[Site Name]:[Ethnic or GCA/NGCA]],11,FALSE)</f>
        <v>GCA</v>
      </c>
      <c r="EJ97" s="727">
        <f>VLOOKUP(WWWW[[#This Row],[Site Name]],SiteDB6[[Site Name]:[Lat]],12,FALSE)</f>
        <v>25.920006000000001</v>
      </c>
      <c r="EK97" s="727">
        <f>VLOOKUP(WWWW[[#This Row],[Site Name]],SiteDB6[[Site Name]:[Long]],13,FALSE)</f>
        <v>96.662092000000001</v>
      </c>
      <c r="EL97" s="727" t="str">
        <f>VLOOKUP(WWWW[[#This Row],[Site Name]],SiteDB6[[Site Name]:[Pcode]],3,FALSE)</f>
        <v>MMR001CMP247</v>
      </c>
      <c r="EM97" s="732" t="str">
        <f t="shared" si="1"/>
        <v>Covered</v>
      </c>
      <c r="EN97" s="732"/>
      <c r="EO97" s="727">
        <f>VLOOKUP(WWWW[[#This Row],[Site Name]],SiteDB6[[Site Name]:[Pop
(Kachin/Shan-CCCM as of July 2021)]],16,FALSE)</f>
        <v>24</v>
      </c>
      <c r="EP97" s="727">
        <f>VLOOKUP(WWWW[[#This Row],[Site Name]],SiteDB6[[Site Name]:[Pop
(Kachin/Shan-CCCM as of July 2021)]],17,FALSE)</f>
        <v>101</v>
      </c>
    </row>
    <row r="98" spans="1:146" hidden="1">
      <c r="A98" s="725" t="s">
        <v>2763</v>
      </c>
      <c r="B98" s="725" t="s">
        <v>309</v>
      </c>
      <c r="C98" s="726" t="s">
        <v>309</v>
      </c>
      <c r="D98" s="726"/>
      <c r="E98" s="726" t="s">
        <v>37</v>
      </c>
      <c r="F98" s="726" t="s">
        <v>205</v>
      </c>
      <c r="G98" s="591" t="str">
        <f>VLOOKUP(WWWW[[#This Row],[Site Name]],SiteDB6[[Site Name]:[Location Type]],8,FALSE)</f>
        <v>Camp</v>
      </c>
      <c r="H98" s="726" t="s">
        <v>3019</v>
      </c>
      <c r="I98" s="728">
        <v>15</v>
      </c>
      <c r="J98" s="728">
        <v>101</v>
      </c>
      <c r="K98" s="729" t="s">
        <v>2650</v>
      </c>
      <c r="L98" s="730" t="s">
        <v>2651</v>
      </c>
      <c r="M98" s="728"/>
      <c r="N98" s="728"/>
      <c r="O98" s="728"/>
      <c r="P98" s="728"/>
      <c r="Q98" s="731"/>
      <c r="R98" s="728"/>
      <c r="S98" s="728">
        <v>1</v>
      </c>
      <c r="T98" s="448"/>
      <c r="U98" s="728"/>
      <c r="V98" s="728"/>
      <c r="W98" s="728"/>
      <c r="X98" s="728"/>
      <c r="Y98" s="728"/>
      <c r="Z98" s="728"/>
      <c r="AA98" s="728"/>
      <c r="AB98" s="728"/>
      <c r="AC98" s="728"/>
      <c r="AD98" s="728"/>
      <c r="AE98" s="728"/>
      <c r="AF98" s="728"/>
      <c r="AG98" s="728"/>
      <c r="AH98" s="728"/>
      <c r="AI98" s="728"/>
      <c r="AJ98" s="728"/>
      <c r="AK98" s="728"/>
      <c r="AL98" s="728"/>
      <c r="AM98" s="728"/>
      <c r="AN98" s="728"/>
      <c r="AO98" s="728"/>
      <c r="AP98" s="732"/>
      <c r="AQ98" s="728"/>
      <c r="AR98" s="728"/>
      <c r="AS98" s="733"/>
      <c r="AT98" s="728"/>
      <c r="AU98" s="728"/>
      <c r="AV98" s="728"/>
      <c r="AW98" s="728"/>
      <c r="AX98" s="728"/>
      <c r="AY98" s="425" t="s">
        <v>140</v>
      </c>
      <c r="AZ98" s="860" t="s">
        <v>140</v>
      </c>
      <c r="BA98" s="728"/>
      <c r="BB98" s="728"/>
      <c r="BC98" s="728"/>
      <c r="BD98" s="448"/>
      <c r="BE98" s="448"/>
      <c r="BF98" s="727"/>
      <c r="BG98" s="728">
        <v>1</v>
      </c>
      <c r="BH98" s="728"/>
      <c r="BI98" s="728"/>
      <c r="BJ98" s="728">
        <v>3</v>
      </c>
      <c r="BK98" s="728"/>
      <c r="BL98" s="728"/>
      <c r="BM98" s="728"/>
      <c r="BN98" s="728">
        <v>41</v>
      </c>
      <c r="BO98" s="728">
        <v>85</v>
      </c>
      <c r="BP98" s="727"/>
      <c r="BQ98" s="734"/>
      <c r="BR98" s="733"/>
      <c r="BS98" s="727"/>
      <c r="BT98" s="423"/>
      <c r="BU98" s="423"/>
      <c r="BV98" s="425"/>
      <c r="BW98" s="423"/>
      <c r="BX98" s="448"/>
      <c r="BY98" s="448"/>
      <c r="BZ98" s="448"/>
      <c r="CA98" s="448"/>
      <c r="CB98" s="448"/>
      <c r="CC98" s="777"/>
      <c r="CD98" s="448"/>
      <c r="CE98" s="735" t="str">
        <f>IFERROR(WWWW[[#This Row],['#_Water sources passed]]/WWWW[[#This Row],['#_Water sources tested for fecal coliform ]],"no test")</f>
        <v>no test</v>
      </c>
      <c r="CF98" s="733" t="str">
        <f>IFERROR(WWWW[[#This Row],['#_Household passed]]/WWWW[[#This Row],['#_Household water samples tested for fecal coliform]],"no test")</f>
        <v>no test</v>
      </c>
      <c r="CG98" s="734" t="str">
        <f>IF(AND(WWWW[[#This Row],[% of water sources passed]]="no test",WWWW[[#This Row],[% Household passed]]="no test"),"No Test","Tested")</f>
        <v>No Test</v>
      </c>
      <c r="CH98" s="734">
        <f>WWWW[[#This Row],['#_Constructed/existing protected hand dug well]]-WWWW[[#This Row],['#_Non-functional protected hand dug well]]</f>
        <v>0</v>
      </c>
      <c r="CI98" s="734">
        <f>(WWWW[[#This Row],['#_Constructed/Existing tube wells/boreholes/handpumps_WASH_agency]]+WWWW[[#This Row],['#_Non-Cluster partner water tube-wells/boreholes/handpumps]])-WWWW[[#This Row],['#_Non-functional tube wells/boreholes/handpumps]]</f>
        <v>0</v>
      </c>
      <c r="CJ98" s="734">
        <f>WWWW[[#This Row],['#_Constructed/Existingwater storage tank with gravity fed reticulation system]]-WWWW[[#This Row],['#_Non-functional storage tank gravity fed reticulation system]]</f>
        <v>0</v>
      </c>
      <c r="CK98" s="734">
        <f>(WWWW[[#This Row],['#_Water_Liters_supplied_by_Water boating or water trucking]]/90)/15</f>
        <v>0</v>
      </c>
      <c r="CL98" s="734">
        <f>WWWW[[#This Row],['#_Water_Liters_from_Constructed/Existing water distribution system from river or natural spring]]/90/15</f>
        <v>0</v>
      </c>
      <c r="CM98" s="424">
        <f>IF(WWWW[[#This Row],['#_of water points in TLS/CFS]]*500&gt;WWWW[[#This Row],[Total PoP ]],WWWW[[#This Row],[Total PoP ]],WWWW[[#This Row],['#_of water points in TLS/CFS]]*500)</f>
        <v>0</v>
      </c>
      <c r="CN98" s="424">
        <f>IF(WWWW[[#This Row],['#_of water points in THF]]*500&gt;WWWW[[#This Row],[Total PoP ]],WWWW[[#This Row],[Total PoP ]],WWWW[[#This Row],['#_of water points in THF]]*500)</f>
        <v>0</v>
      </c>
      <c r="CO9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9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98" s="733">
        <f>IF(WWWW[[#This Row],[Location Type 1]]="Village",WWWW[[#This Row],[Access to safe drinking water for Village]],WWWW[[#This Row],[Access to safe drinking water for Camp]])</f>
        <v>0</v>
      </c>
      <c r="CR98" s="731">
        <f>WWWW[[#This Row],[%Equitable and continuous access to sufficient quantity of safe drinking water]]*WWWW[[#This Row],[Total PoP ]]</f>
        <v>0</v>
      </c>
      <c r="CS98" s="733">
        <f>IF((WWWW[[#This Row],['#_Constructed/Existing protected/fenced ponds]]*250)/WWWW[[#This Row],[Total PoP ]]&gt;1,1,(WWWW[[#This Row],['#_Constructed/Existing protected/fenced ponds]]*250)/WWWW[[#This Row],[Total PoP ]])</f>
        <v>0</v>
      </c>
      <c r="CT98" s="731">
        <f>WWWW[[#This Row],[% Access to unimproved water points]]*WWWW[[#This Row],[Total PoP ]]</f>
        <v>0</v>
      </c>
      <c r="CU9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9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98" s="731">
        <f>WWWW[[#This Row],[HRP1]]/500</f>
        <v>0</v>
      </c>
      <c r="CX98" s="736">
        <f>1-WWWW[[#This Row],[% Equitable and continuous access to sufficient quantity of domestic water]]</f>
        <v>1</v>
      </c>
      <c r="CY98" s="731">
        <f>WWWW[[#This Row],[%equitable and continuous access to sufficient quantity of safe drinking and domestic water''s GAP]]*WWWW[[#This Row],[Total PoP ]]</f>
        <v>101</v>
      </c>
      <c r="CZ98" s="734">
        <f>IF(WWWW[[#This Row],[Total required water points]]-WWWW[[#This Row],['#Water points coverage]]&lt;0,0,WWWW[[#This Row],[Total required water points]]-WWWW[[#This Row],['#Water points coverage]])</f>
        <v>1</v>
      </c>
      <c r="DA98" s="734">
        <f>ROUND(IF(WWWW[[#This Row],[Total PoP ]]&lt;500,1,WWWW[[#This Row],[Total PoP ]]/500),0)</f>
        <v>1</v>
      </c>
      <c r="DB98" s="734">
        <f>(WWWW[[#This Row],['#_Constructed latrines_by_WASHAgencies]]+WWWW[[#This Row],['#_Non Cluster partner latrines]])-WWWW[[#This Row],['#_Non-functional latrines]]</f>
        <v>0</v>
      </c>
      <c r="DC98" s="631">
        <f>WWWW[[#This Row],[HRP2]]/WWWW[[#This Row],[Total PoP ]]</f>
        <v>0</v>
      </c>
      <c r="DD9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9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8" s="424">
        <f>IF(WWWW[[#This Row],['# of functional latrines in THF supported by WASH partners during the reporting period2]]="",0,WWWW[[#This Row],['# of functional latrines in THF supported by WASH partners during the reporting period2]]*50)</f>
        <v>0</v>
      </c>
      <c r="DH98" s="734">
        <f>ROUND(IF(WWWW[[#This Row],[Location Type 1]]="camp",WWWW[[#This Row],[Total PoP ]]/20,IF(WWWW[[#This Row],[Location Type 1]]="Temporary Location",WWWW[[#This Row],[Total PoP ]]/50,(WWWW[[#This Row],[Total PoP ]]/6))),0)</f>
        <v>5</v>
      </c>
      <c r="DI98" s="734">
        <f>IF(WWWW[[#This Row],[Total required Latrines]]-(WWWW[[#This Row],['#_Constructed latrines_by_WASHAgencies]]+WWWW[[#This Row],['#_Non Cluster partner latrines]])&lt;0,0,WWWW[[#This Row],[Total required Latrines]]-(WWWW[[#This Row],['#_Constructed latrines_by_WASHAgencies]]+WWWW[[#This Row],['#_Non Cluster partner latrines]]))</f>
        <v>5</v>
      </c>
      <c r="DJ98" s="736">
        <f>1-WWWW[[#This Row],[% people access to functioning Latrine]]</f>
        <v>1</v>
      </c>
      <c r="DK98" s="735">
        <f>IF(OR(WWWW[[#This Row],['#_Non-functional latrines]]="",WWWW[[#This Row],['#_Non-functional latrines]]=0),0,WWWW[[#This Row],['#_Non-functional latrines]]/(WWWW[[#This Row],['#_Constructed latrines_by_WASHAgencies]]+WWWW[[#This Row],['#_Non Cluster partner latrines]]))</f>
        <v>0</v>
      </c>
      <c r="DL98" s="731">
        <f>IF(500*(WWWW[[#This Row],['#_male hygiene promoters]]+WWWW[[#This Row],['#_female hygiene promoters]])&gt;WWWW[[#This Row],[Total PoP ]],WWWW[[#This Row],[Total PoP ]],500*(WWWW[[#This Row],['#_male hygiene promoters]]+WWWW[[#This Row],['#_female hygiene promoters]]))</f>
        <v>0</v>
      </c>
      <c r="DM9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101</v>
      </c>
      <c r="DN9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98" s="734">
        <f>IF(WWWW[[#This Row],['# People with access to soap]]&gt;WWWW[[#This Row],['# People with access to Sanity Pads]],WWWW[[#This Row],['# People with access to soap]],WWWW[[#This Row],['# People with access to Sanity Pads]])</f>
        <v>101</v>
      </c>
      <c r="DP98" s="734">
        <f>IF(WWWW[[#This Row],['# people reached by regular dedicated hygiene promotion_5]]&gt;WWWW[[#This Row],['# People received regular supply of hygiene items_6]],WWWW[[#This Row],['# people reached by regular dedicated hygiene promotion_5]],WWWW[[#This Row],['# People received regular supply of hygiene items_6]])</f>
        <v>101</v>
      </c>
      <c r="DQ98" s="736">
        <f>IF(WWWW[[#This Row],[HRP3]]/WWWW[[#This Row],[Total PoP ]]&gt;1,1,WWWW[[#This Row],[HRP3]]/WWWW[[#This Row],[Total PoP ]])</f>
        <v>1</v>
      </c>
      <c r="DR98" s="735">
        <f>1-WWWW[[#This Row],[Hygiene Coverage%]]</f>
        <v>0</v>
      </c>
      <c r="DS98" s="733">
        <f>WWWW[[#This Row],['# people reached by regular dedicated hygiene promotion_5]]/WWWW[[#This Row],[Total PoP ]]</f>
        <v>0</v>
      </c>
      <c r="DT9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8" s="734">
        <f>WWWW[[#This Row],['#_Constructed/Existing hand washing stations]]-WWWW[[#This Row],['#_Non-Functional_hand_washing_stations]]</f>
        <v>1</v>
      </c>
      <c r="DW98" s="731">
        <f>IF(WWWW[[#This Row],['# Functional hand washing stations during reporting period]]*20&gt;WWWW[[#This Row],[Total HH]],WWWW[[#This Row],[Total HH]],WWWW[[#This Row],['# Functional hand washing stations during reporting period]]*20)</f>
        <v>15</v>
      </c>
      <c r="DX98" s="731">
        <f>IF(WWWW[[#This Row],[Is sufficient soap available for TLS? (Yes/No)]]="yes",WWWW[[#This Row],['#_Constructed/Existing hand washing stations at TLS/CFS/THF]],0)</f>
        <v>0</v>
      </c>
      <c r="DY98" s="428">
        <f>IF(WWWW[[#This Row],['# Functional hand washing stations during reporting period]]*100&gt;WWWW[[#This Row],[Total PoP ]],WWWW[[#This Row],[Total PoP ]],WWWW[[#This Row],['# Functional hand washing stations during reporting period]]*100)</f>
        <v>100</v>
      </c>
      <c r="DZ98" s="428" t="str">
        <f>IF(OR(WWWW[[#This Row],['#_students at TLS_CFS]]="",WWWW[[#This Row],['#_students at TLS_CFS]]=0),"No","Yes")</f>
        <v>No</v>
      </c>
      <c r="EA9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8" s="727">
        <f>VLOOKUP(WWWW[[#This Row],[Site Name]],SiteDB6[[Site Name]:[CCCM Management]],6,FALSE)</f>
        <v>0</v>
      </c>
      <c r="EF98" s="727" t="str">
        <f>VLOOKUP(WWWW[[#This Row],[Site Name]],SiteDB6[[Site Name]:[CCCM Focal Agency]],7,FALSE)</f>
        <v>uncovered</v>
      </c>
      <c r="EG98" s="727" t="str">
        <f>VLOOKUP(WWWW[[#This Row],[Site Name]],SiteDB6[[Site Name]:[Location Type 1]],9,FALSE)</f>
        <v>Camp</v>
      </c>
      <c r="EH98" s="727" t="str">
        <f>VLOOKUP(WWWW[[#This Row],[Site Name]],SiteDB6[[Site Name]:[Type of Accommodation]],10,FALSE)</f>
        <v>IDPs in host</v>
      </c>
      <c r="EI98" s="727" t="str">
        <f>VLOOKUP(WWWW[[#This Row],[Site Name]],SiteDB6[[Site Name]:[Ethnic or GCA/NGCA]],11,FALSE)</f>
        <v>GCA</v>
      </c>
      <c r="EJ98" s="727">
        <f>VLOOKUP(WWWW[[#This Row],[Site Name]],SiteDB6[[Site Name]:[Lat]],12,FALSE)</f>
        <v>24.404876999999999</v>
      </c>
      <c r="EK98" s="727">
        <f>VLOOKUP(WWWW[[#This Row],[Site Name]],SiteDB6[[Site Name]:[Long]],13,FALSE)</f>
        <v>97.407787999999996</v>
      </c>
      <c r="EL98" s="727" t="str">
        <f>VLOOKUP(WWWW[[#This Row],[Site Name]],SiteDB6[[Site Name]:[Pcode]],3,FALSE)</f>
        <v>MMR001CMP061</v>
      </c>
      <c r="EM98" s="732" t="str">
        <f t="shared" si="1"/>
        <v>Notcovered</v>
      </c>
      <c r="EN98" s="732"/>
      <c r="EO98" s="727">
        <f>VLOOKUP(WWWW[[#This Row],[Site Name]],SiteDB6[[Site Name]:[Pop
(Kachin/Shan-CCCM as of July 2021)]],16,FALSE)</f>
        <v>15</v>
      </c>
      <c r="EP98" s="727">
        <f>VLOOKUP(WWWW[[#This Row],[Site Name]],SiteDB6[[Site Name]:[Pop
(Kachin/Shan-CCCM as of July 2021)]],17,FALSE)</f>
        <v>101</v>
      </c>
    </row>
    <row r="99" spans="1:146" hidden="1">
      <c r="A99" s="725" t="s">
        <v>2763</v>
      </c>
      <c r="B99" s="725" t="s">
        <v>36</v>
      </c>
      <c r="C99" s="726" t="s">
        <v>36</v>
      </c>
      <c r="D99" s="726" t="s">
        <v>241</v>
      </c>
      <c r="E99" s="726" t="s">
        <v>37</v>
      </c>
      <c r="F99" s="726" t="s">
        <v>142</v>
      </c>
      <c r="G99" s="591" t="str">
        <f>VLOOKUP(WWWW[[#This Row],[Site Name]],SiteDB6[[Site Name]:[Location Type]],8,FALSE)</f>
        <v>Camp</v>
      </c>
      <c r="H99" s="726" t="s">
        <v>3002</v>
      </c>
      <c r="I99" s="728">
        <v>51</v>
      </c>
      <c r="J99" s="728">
        <v>319</v>
      </c>
      <c r="K99" s="798">
        <v>44414</v>
      </c>
      <c r="L99" s="799">
        <v>44778</v>
      </c>
      <c r="M99" s="728"/>
      <c r="N99" s="728"/>
      <c r="O99" s="728"/>
      <c r="P99" s="728"/>
      <c r="Q99" s="731" t="s">
        <v>41</v>
      </c>
      <c r="R99" s="728">
        <v>3</v>
      </c>
      <c r="S99" s="728">
        <v>4</v>
      </c>
      <c r="T99" s="448">
        <v>2</v>
      </c>
      <c r="U99" s="728"/>
      <c r="V99" s="728"/>
      <c r="W99" s="728"/>
      <c r="X99" s="728"/>
      <c r="Y99" s="728"/>
      <c r="Z99" s="728"/>
      <c r="AA99" s="728"/>
      <c r="AB99" s="728"/>
      <c r="AC99" s="728"/>
      <c r="AD99" s="728"/>
      <c r="AE99" s="728"/>
      <c r="AF99" s="728"/>
      <c r="AG99" s="728"/>
      <c r="AH99" s="728"/>
      <c r="AI99" s="728"/>
      <c r="AJ99" s="728"/>
      <c r="AK99" s="728"/>
      <c r="AL99" s="728"/>
      <c r="AM99" s="728">
        <v>4</v>
      </c>
      <c r="AN99" s="728"/>
      <c r="AO99" s="728"/>
      <c r="AP99" s="732"/>
      <c r="AQ99" s="728">
        <v>98</v>
      </c>
      <c r="AR99" s="728"/>
      <c r="AS99" s="733"/>
      <c r="AT99" s="728"/>
      <c r="AU99" s="728"/>
      <c r="AV99" s="728"/>
      <c r="AW99" s="728"/>
      <c r="AX99" s="728"/>
      <c r="AY99" s="727" t="s">
        <v>41</v>
      </c>
      <c r="AZ99" s="732" t="s">
        <v>137</v>
      </c>
      <c r="BA99" s="728">
        <v>3</v>
      </c>
      <c r="BB99" s="728"/>
      <c r="BC99" s="728"/>
      <c r="BD99" s="448"/>
      <c r="BE99" s="448"/>
      <c r="BF99" s="727"/>
      <c r="BG99" s="728">
        <v>1</v>
      </c>
      <c r="BH99" s="728"/>
      <c r="BI99" s="728"/>
      <c r="BJ99" s="728">
        <v>1</v>
      </c>
      <c r="BK99" s="728"/>
      <c r="BL99" s="728">
        <v>1</v>
      </c>
      <c r="BM99" s="728">
        <v>1</v>
      </c>
      <c r="BN99" s="728">
        <v>6</v>
      </c>
      <c r="BO99" s="728">
        <v>5</v>
      </c>
      <c r="BP99" s="727"/>
      <c r="BQ99" s="734"/>
      <c r="BR99" s="733"/>
      <c r="BS99" s="727"/>
      <c r="BT99" s="423"/>
      <c r="BU99" s="423"/>
      <c r="BV99" s="425"/>
      <c r="BW99" s="423"/>
      <c r="BX99" s="448"/>
      <c r="BY99" s="448"/>
      <c r="BZ99" s="448"/>
      <c r="CA99" s="448"/>
      <c r="CB99" s="448"/>
      <c r="CC99" s="777"/>
      <c r="CD99" s="448"/>
      <c r="CE99" s="735" t="str">
        <f>IFERROR(WWWW[[#This Row],['#_Water sources passed]]/WWWW[[#This Row],['#_Water sources tested for fecal coliform ]],"no test")</f>
        <v>no test</v>
      </c>
      <c r="CF99" s="733" t="str">
        <f>IFERROR(WWWW[[#This Row],['#_Household passed]]/WWWW[[#This Row],['#_Household water samples tested for fecal coliform]],"no test")</f>
        <v>no test</v>
      </c>
      <c r="CG99" s="734" t="str">
        <f>IF(AND(WWWW[[#This Row],[% of water sources passed]]="no test",WWWW[[#This Row],[% Household passed]]="no test"),"No Test","Tested")</f>
        <v>No Test</v>
      </c>
      <c r="CH99" s="734">
        <f>WWWW[[#This Row],['#_Constructed/existing protected hand dug well]]-WWWW[[#This Row],['#_Non-functional protected hand dug well]]</f>
        <v>2</v>
      </c>
      <c r="CI99" s="734">
        <f>(WWWW[[#This Row],['#_Constructed/Existing tube wells/boreholes/handpumps_WASH_agency]]+WWWW[[#This Row],['#_Non-Cluster partner water tube-wells/boreholes/handpumps]])-WWWW[[#This Row],['#_Non-functional tube wells/boreholes/handpumps]]</f>
        <v>0</v>
      </c>
      <c r="CJ99" s="734">
        <f>WWWW[[#This Row],['#_Constructed/Existingwater storage tank with gravity fed reticulation system]]-WWWW[[#This Row],['#_Non-functional storage tank gravity fed reticulation system]]</f>
        <v>0</v>
      </c>
      <c r="CK99" s="734">
        <f>(WWWW[[#This Row],['#_Water_Liters_supplied_by_Water boating or water trucking]]/90)/15</f>
        <v>0</v>
      </c>
      <c r="CL99" s="734">
        <f>WWWW[[#This Row],['#_Water_Liters_from_Constructed/Existing water distribution system from river or natural spring]]/90/15</f>
        <v>0</v>
      </c>
      <c r="CM99" s="424">
        <f>IF(WWWW[[#This Row],['#_of water points in TLS/CFS]]*500&gt;WWWW[[#This Row],[Total PoP ]],WWWW[[#This Row],[Total PoP ]],WWWW[[#This Row],['#_of water points in TLS/CFS]]*500)</f>
        <v>0</v>
      </c>
      <c r="CN99" s="424">
        <f>IF(WWWW[[#This Row],['#_of water points in THF]]*500&gt;WWWW[[#This Row],[Total PoP ]],WWWW[[#This Row],[Total PoP ]],WWWW[[#This Row],['#_of water points in THF]]*500)</f>
        <v>0</v>
      </c>
      <c r="CO9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9" s="733">
        <f>IF(WWWW[[#This Row],[Location Type 1]]="Village",WWWW[[#This Row],[Access to safe drinking water for Village]],WWWW[[#This Row],[Access to safe drinking water for Camp]])</f>
        <v>1</v>
      </c>
      <c r="CR99" s="731">
        <f>WWWW[[#This Row],[%Equitable and continuous access to sufficient quantity of safe drinking water]]*WWWW[[#This Row],[Total PoP ]]</f>
        <v>319</v>
      </c>
      <c r="CS99" s="733">
        <f>IF((WWWW[[#This Row],['#_Constructed/Existing protected/fenced ponds]]*250)/WWWW[[#This Row],[Total PoP ]]&gt;1,1,(WWWW[[#This Row],['#_Constructed/Existing protected/fenced ponds]]*250)/WWWW[[#This Row],[Total PoP ]])</f>
        <v>0</v>
      </c>
      <c r="CT99" s="731">
        <f>WWWW[[#This Row],[% Access to unimproved water points]]*WWWW[[#This Row],[Total PoP ]]</f>
        <v>0</v>
      </c>
      <c r="CU9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319</v>
      </c>
      <c r="CW99" s="731">
        <f>WWWW[[#This Row],[HRP1]]/500</f>
        <v>0.63800000000000001</v>
      </c>
      <c r="CX99" s="736">
        <f>1-WWWW[[#This Row],[% Equitable and continuous access to sufficient quantity of domestic water]]</f>
        <v>0</v>
      </c>
      <c r="CY99" s="731">
        <f>WWWW[[#This Row],[%equitable and continuous access to sufficient quantity of safe drinking and domestic water''s GAP]]*WWWW[[#This Row],[Total PoP ]]</f>
        <v>0</v>
      </c>
      <c r="CZ99" s="734">
        <f>IF(WWWW[[#This Row],[Total required water points]]-WWWW[[#This Row],['#Water points coverage]]&lt;0,0,WWWW[[#This Row],[Total required water points]]-WWWW[[#This Row],['#Water points coverage]])</f>
        <v>0.36199999999999999</v>
      </c>
      <c r="DA99" s="734">
        <f>ROUND(IF(WWWW[[#This Row],[Total PoP ]]&lt;500,1,WWWW[[#This Row],[Total PoP ]]/500),0)</f>
        <v>1</v>
      </c>
      <c r="DB99" s="734">
        <f>(WWWW[[#This Row],['#_Constructed latrines_by_WASHAgencies]]+WWWW[[#This Row],['#_Non Cluster partner latrines]])-WWWW[[#This Row],['#_Non-functional latrines]]</f>
        <v>98</v>
      </c>
      <c r="DC99" s="631">
        <f>WWWW[[#This Row],[HRP2]]/WWWW[[#This Row],[Total PoP ]]</f>
        <v>1</v>
      </c>
      <c r="DD9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319</v>
      </c>
      <c r="DE9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9" s="424">
        <f>IF(WWWW[[#This Row],['# of functional latrines in THF supported by WASH partners during the reporting period2]]="",0,WWWW[[#This Row],['# of functional latrines in THF supported by WASH partners during the reporting period2]]*50)</f>
        <v>0</v>
      </c>
      <c r="DH99" s="734">
        <f>ROUND(IF(WWWW[[#This Row],[Location Type 1]]="camp",WWWW[[#This Row],[Total PoP ]]/20,IF(WWWW[[#This Row],[Location Type 1]]="Temporary Location",WWWW[[#This Row],[Total PoP ]]/50,(WWWW[[#This Row],[Total PoP ]]/6))),0)</f>
        <v>16</v>
      </c>
      <c r="DI99" s="734">
        <f>IF(WWWW[[#This Row],[Total required Latrines]]-(WWWW[[#This Row],['#_Constructed latrines_by_WASHAgencies]]+WWWW[[#This Row],['#_Non Cluster partner latrines]])&lt;0,0,WWWW[[#This Row],[Total required Latrines]]-(WWWW[[#This Row],['#_Constructed latrines_by_WASHAgencies]]+WWWW[[#This Row],['#_Non Cluster partner latrines]]))</f>
        <v>0</v>
      </c>
      <c r="DJ99" s="736">
        <f>1-WWWW[[#This Row],[% people access to functioning Latrine]]</f>
        <v>0</v>
      </c>
      <c r="DK99" s="735">
        <f>IF(OR(WWWW[[#This Row],['#_Non-functional latrines]]="",WWWW[[#This Row],['#_Non-functional latrines]]=0),0,WWWW[[#This Row],['#_Non-functional latrines]]/(WWWW[[#This Row],['#_Constructed latrines_by_WASHAgencies]]+WWWW[[#This Row],['#_Non Cluster partner latrines]]))</f>
        <v>0</v>
      </c>
      <c r="DL99" s="731">
        <f>IF(500*(WWWW[[#This Row],['#_male hygiene promoters]]+WWWW[[#This Row],['#_female hygiene promoters]])&gt;WWWW[[#This Row],[Total PoP ]],WWWW[[#This Row],[Total PoP ]],500*(WWWW[[#This Row],['#_male hygiene promoters]]+WWWW[[#This Row],['#_female hygiene promoters]]))</f>
        <v>319</v>
      </c>
      <c r="DM9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9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99" s="734">
        <f>IF(WWWW[[#This Row],['# People with access to soap]]&gt;WWWW[[#This Row],['# People with access to Sanity Pads]],WWWW[[#This Row],['# People with access to soap]],WWWW[[#This Row],['# People with access to Sanity Pads]])</f>
        <v>30</v>
      </c>
      <c r="DP99" s="734">
        <f>IF(WWWW[[#This Row],['# people reached by regular dedicated hygiene promotion_5]]&gt;WWWW[[#This Row],['# People received regular supply of hygiene items_6]],WWWW[[#This Row],['# people reached by regular dedicated hygiene promotion_5]],WWWW[[#This Row],['# People received regular supply of hygiene items_6]])</f>
        <v>319</v>
      </c>
      <c r="DQ99" s="736">
        <f>IF(WWWW[[#This Row],[HRP3]]/WWWW[[#This Row],[Total PoP ]]&gt;1,1,WWWW[[#This Row],[HRP3]]/WWWW[[#This Row],[Total PoP ]])</f>
        <v>1</v>
      </c>
      <c r="DR99" s="735">
        <f>1-WWWW[[#This Row],[Hygiene Coverage%]]</f>
        <v>0</v>
      </c>
      <c r="DS99" s="733">
        <f>WWWW[[#This Row],['# people reached by regular dedicated hygiene promotion_5]]/WWWW[[#This Row],[Total PoP ]]</f>
        <v>1</v>
      </c>
      <c r="DT9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0.47058823529411764</v>
      </c>
      <c r="DU9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9.8039215686274508E-2</v>
      </c>
      <c r="DV99" s="734">
        <f>WWWW[[#This Row],['#_Constructed/Existing hand washing stations]]-WWWW[[#This Row],['#_Non-Functional_hand_washing_stations]]</f>
        <v>1</v>
      </c>
      <c r="DW99" s="731">
        <f>IF(WWWW[[#This Row],['# Functional hand washing stations during reporting period]]*20&gt;WWWW[[#This Row],[Total HH]],WWWW[[#This Row],[Total HH]],WWWW[[#This Row],['# Functional hand washing stations during reporting period]]*20)</f>
        <v>20</v>
      </c>
      <c r="DX99" s="731">
        <f>IF(WWWW[[#This Row],[Is sufficient soap available for TLS? (Yes/No)]]="yes",WWWW[[#This Row],['#_Constructed/Existing hand washing stations at TLS/CFS/THF]],0)</f>
        <v>0</v>
      </c>
      <c r="DY99" s="428">
        <f>IF(WWWW[[#This Row],['# Functional hand washing stations during reporting period]]*100&gt;WWWW[[#This Row],[Total PoP ]],WWWW[[#This Row],[Total PoP ]],WWWW[[#This Row],['# Functional hand washing stations during reporting period]]*100)</f>
        <v>100</v>
      </c>
      <c r="DZ99" s="428" t="str">
        <f>IF(OR(WWWW[[#This Row],['#_students at TLS_CFS]]="",WWWW[[#This Row],['#_students at TLS_CFS]]=0),"No","Yes")</f>
        <v>No</v>
      </c>
      <c r="EA9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9" s="727">
        <f>VLOOKUP(WWWW[[#This Row],[Site Name]],SiteDB6[[Site Name]:[CCCM Management]],6,FALSE)</f>
        <v>0</v>
      </c>
      <c r="EF99" s="727">
        <f>VLOOKUP(WWWW[[#This Row],[Site Name]],SiteDB6[[Site Name]:[CCCM Focal Agency]],7,FALSE)</f>
        <v>0</v>
      </c>
      <c r="EG99" s="727" t="str">
        <f>VLOOKUP(WWWW[[#This Row],[Site Name]],SiteDB6[[Site Name]:[Location Type 1]],9,FALSE)</f>
        <v>Camp</v>
      </c>
      <c r="EH99" s="727" t="str">
        <f>VLOOKUP(WWWW[[#This Row],[Site Name]],SiteDB6[[Site Name]:[Type of Accommodation]],10,FALSE)</f>
        <v>Camp</v>
      </c>
      <c r="EI99" s="727" t="str">
        <f>VLOOKUP(WWWW[[#This Row],[Site Name]],SiteDB6[[Site Name]:[Ethnic or GCA/NGCA]],11,FALSE)</f>
        <v>GCA</v>
      </c>
      <c r="EJ99" s="727">
        <f>VLOOKUP(WWWW[[#This Row],[Site Name]],SiteDB6[[Site Name]:[Lat]],12,FALSE)</f>
        <v>25.428995</v>
      </c>
      <c r="EK99" s="727">
        <f>VLOOKUP(WWWW[[#This Row],[Site Name]],SiteDB6[[Site Name]:[Long]],13,FALSE)</f>
        <v>97.957487999999998</v>
      </c>
      <c r="EL99" s="727" t="str">
        <f>VLOOKUP(WWWW[[#This Row],[Site Name]],SiteDB6[[Site Name]:[Pcode]],3,FALSE)</f>
        <v>MMR001CMP279</v>
      </c>
      <c r="EM99" s="732" t="str">
        <f t="shared" si="1"/>
        <v>Covered</v>
      </c>
      <c r="EN99" s="732"/>
      <c r="EO99" s="727">
        <f>VLOOKUP(WWWW[[#This Row],[Site Name]],SiteDB6[[Site Name]:[Pop
(Kachin/Shan-CCCM as of July 2021)]],16,FALSE)</f>
        <v>55</v>
      </c>
      <c r="EP99" s="727">
        <f>VLOOKUP(WWWW[[#This Row],[Site Name]],SiteDB6[[Site Name]:[Pop
(Kachin/Shan-CCCM as of July 2021)]],17,FALSE)</f>
        <v>320</v>
      </c>
    </row>
    <row r="100" spans="1:146" hidden="1">
      <c r="A100" s="725" t="s">
        <v>2763</v>
      </c>
      <c r="B100" s="725" t="s">
        <v>309</v>
      </c>
      <c r="C100" s="726" t="s">
        <v>309</v>
      </c>
      <c r="D100" s="786"/>
      <c r="E100" s="786" t="s">
        <v>37</v>
      </c>
      <c r="F100" s="786" t="s">
        <v>195</v>
      </c>
      <c r="G100" s="591" t="str">
        <f>VLOOKUP(WWWW[[#This Row],[Site Name]],SiteDB6[[Site Name]:[Location Type]],8,FALSE)</f>
        <v>Camp</v>
      </c>
      <c r="H100" s="786" t="s">
        <v>2773</v>
      </c>
      <c r="I100" s="788">
        <v>40</v>
      </c>
      <c r="J100" s="788">
        <v>168</v>
      </c>
      <c r="K100" s="789"/>
      <c r="L100" s="790"/>
      <c r="M100" s="788"/>
      <c r="N100" s="788"/>
      <c r="O100" s="788"/>
      <c r="P100" s="788"/>
      <c r="Q100" s="791"/>
      <c r="R100" s="788"/>
      <c r="S100" s="788"/>
      <c r="T100" s="448"/>
      <c r="U100" s="788"/>
      <c r="V100" s="788"/>
      <c r="W100" s="788"/>
      <c r="X100" s="788"/>
      <c r="Y100" s="788"/>
      <c r="Z100" s="788"/>
      <c r="AA100" s="788"/>
      <c r="AB100" s="788"/>
      <c r="AC100" s="788"/>
      <c r="AD100" s="788"/>
      <c r="AE100" s="788"/>
      <c r="AF100" s="788"/>
      <c r="AG100" s="788"/>
      <c r="AH100" s="788"/>
      <c r="AI100" s="788"/>
      <c r="AJ100" s="788"/>
      <c r="AK100" s="788"/>
      <c r="AL100" s="788"/>
      <c r="AM100" s="788"/>
      <c r="AN100" s="788"/>
      <c r="AO100" s="788"/>
      <c r="AP100" s="792"/>
      <c r="AQ100" s="788"/>
      <c r="AR100" s="788"/>
      <c r="AS100" s="793"/>
      <c r="AT100" s="788"/>
      <c r="AU100" s="788"/>
      <c r="AV100" s="788"/>
      <c r="AW100" s="788"/>
      <c r="AX100" s="788"/>
      <c r="AY100" s="425" t="s">
        <v>140</v>
      </c>
      <c r="AZ100" s="860" t="s">
        <v>140</v>
      </c>
      <c r="BA100" s="788"/>
      <c r="BB100" s="788"/>
      <c r="BC100" s="788"/>
      <c r="BD100" s="448"/>
      <c r="BE100" s="448"/>
      <c r="BF100" s="787"/>
      <c r="BG100" s="788">
        <v>8</v>
      </c>
      <c r="BH100" s="788"/>
      <c r="BI100" s="788"/>
      <c r="BJ100" s="788">
        <v>3</v>
      </c>
      <c r="BK100" s="788"/>
      <c r="BL100" s="788"/>
      <c r="BM100" s="788"/>
      <c r="BN100" s="788">
        <v>91</v>
      </c>
      <c r="BO100" s="788">
        <v>124</v>
      </c>
      <c r="BP100" s="787"/>
      <c r="BQ100" s="794"/>
      <c r="BR100" s="793"/>
      <c r="BS100" s="787"/>
      <c r="BT100" s="423"/>
      <c r="BU100" s="423"/>
      <c r="BV100" s="425"/>
      <c r="BW100" s="423"/>
      <c r="BX100" s="448"/>
      <c r="BY100" s="448"/>
      <c r="BZ100" s="448"/>
      <c r="CA100" s="448"/>
      <c r="CB100" s="448"/>
      <c r="CC100" s="777"/>
      <c r="CD100" s="448"/>
      <c r="CE100" s="795" t="str">
        <f>IFERROR(WWWW[[#This Row],['#_Water sources passed]]/WWWW[[#This Row],['#_Water sources tested for fecal coliform ]],"no test")</f>
        <v>no test</v>
      </c>
      <c r="CF100" s="793" t="str">
        <f>IFERROR(WWWW[[#This Row],['#_Household passed]]/WWWW[[#This Row],['#_Household water samples tested for fecal coliform]],"no test")</f>
        <v>no test</v>
      </c>
      <c r="CG100" s="794" t="str">
        <f>IF(AND(WWWW[[#This Row],[% of water sources passed]]="no test",WWWW[[#This Row],[% Household passed]]="no test"),"No Test","Tested")</f>
        <v>No Test</v>
      </c>
      <c r="CH100" s="794">
        <f>WWWW[[#This Row],['#_Constructed/existing protected hand dug well]]-WWWW[[#This Row],['#_Non-functional protected hand dug well]]</f>
        <v>0</v>
      </c>
      <c r="CI100" s="794">
        <f>(WWWW[[#This Row],['#_Constructed/Existing tube wells/boreholes/handpumps_WASH_agency]]+WWWW[[#This Row],['#_Non-Cluster partner water tube-wells/boreholes/handpumps]])-WWWW[[#This Row],['#_Non-functional tube wells/boreholes/handpumps]]</f>
        <v>0</v>
      </c>
      <c r="CJ100" s="794">
        <f>WWWW[[#This Row],['#_Constructed/Existingwater storage tank with gravity fed reticulation system]]-WWWW[[#This Row],['#_Non-functional storage tank gravity fed reticulation system]]</f>
        <v>0</v>
      </c>
      <c r="CK100" s="794">
        <f>(WWWW[[#This Row],['#_Water_Liters_supplied_by_Water boating or water trucking]]/90)/15</f>
        <v>0</v>
      </c>
      <c r="CL100" s="794">
        <f>WWWW[[#This Row],['#_Water_Liters_from_Constructed/Existing water distribution system from river or natural spring]]/90/15</f>
        <v>0</v>
      </c>
      <c r="CM100" s="424">
        <f>IF(WWWW[[#This Row],['#_of water points in TLS/CFS]]*500&gt;WWWW[[#This Row],[Total PoP ]],WWWW[[#This Row],[Total PoP ]],WWWW[[#This Row],['#_of water points in TLS/CFS]]*500)</f>
        <v>0</v>
      </c>
      <c r="CN100" s="424">
        <f>IF(WWWW[[#This Row],['#_of water points in THF]]*500&gt;WWWW[[#This Row],[Total PoP ]],WWWW[[#This Row],[Total PoP ]],WWWW[[#This Row],['#_of water points in THF]]*500)</f>
        <v>0</v>
      </c>
      <c r="CO100"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00"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00" s="793">
        <f>IF(WWWW[[#This Row],[Location Type 1]]="Village",WWWW[[#This Row],[Access to safe drinking water for Village]],WWWW[[#This Row],[Access to safe drinking water for Camp]])</f>
        <v>0</v>
      </c>
      <c r="CR100" s="791">
        <f>WWWW[[#This Row],[%Equitable and continuous access to sufficient quantity of safe drinking water]]*WWWW[[#This Row],[Total PoP ]]</f>
        <v>0</v>
      </c>
      <c r="CS100" s="793">
        <f>IF((WWWW[[#This Row],['#_Constructed/Existing protected/fenced ponds]]*250)/WWWW[[#This Row],[Total PoP ]]&gt;1,1,(WWWW[[#This Row],['#_Constructed/Existing protected/fenced ponds]]*250)/WWWW[[#This Row],[Total PoP ]])</f>
        <v>0</v>
      </c>
      <c r="CT100" s="791">
        <f>WWWW[[#This Row],[% Access to unimproved water points]]*WWWW[[#This Row],[Total PoP ]]</f>
        <v>0</v>
      </c>
      <c r="CU100"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00"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00" s="791">
        <f>WWWW[[#This Row],[HRP1]]/500</f>
        <v>0</v>
      </c>
      <c r="CX100" s="796">
        <f>1-WWWW[[#This Row],[% Equitable and continuous access to sufficient quantity of domestic water]]</f>
        <v>1</v>
      </c>
      <c r="CY100" s="791">
        <f>WWWW[[#This Row],[%equitable and continuous access to sufficient quantity of safe drinking and domestic water''s GAP]]*WWWW[[#This Row],[Total PoP ]]</f>
        <v>168</v>
      </c>
      <c r="CZ100" s="794">
        <f>IF(WWWW[[#This Row],[Total required water points]]-WWWW[[#This Row],['#Water points coverage]]&lt;0,0,WWWW[[#This Row],[Total required water points]]-WWWW[[#This Row],['#Water points coverage]])</f>
        <v>1</v>
      </c>
      <c r="DA100" s="794">
        <f>ROUND(IF(WWWW[[#This Row],[Total PoP ]]&lt;500,1,WWWW[[#This Row],[Total PoP ]]/500),0)</f>
        <v>1</v>
      </c>
      <c r="DB100" s="794">
        <f>(WWWW[[#This Row],['#_Constructed latrines_by_WASHAgencies]]+WWWW[[#This Row],['#_Non Cluster partner latrines]])-WWWW[[#This Row],['#_Non-functional latrines]]</f>
        <v>0</v>
      </c>
      <c r="DC100" s="631">
        <f>WWWW[[#This Row],[HRP2]]/WWWW[[#This Row],[Total PoP ]]</f>
        <v>0</v>
      </c>
      <c r="DD100"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00"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0"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0" s="424">
        <f>IF(WWWW[[#This Row],['# of functional latrines in THF supported by WASH partners during the reporting period2]]="",0,WWWW[[#This Row],['# of functional latrines in THF supported by WASH partners during the reporting period2]]*50)</f>
        <v>0</v>
      </c>
      <c r="DH100" s="794">
        <f>ROUND(IF(WWWW[[#This Row],[Location Type 1]]="camp",WWWW[[#This Row],[Total PoP ]]/20,IF(WWWW[[#This Row],[Location Type 1]]="Temporary Location",WWWW[[#This Row],[Total PoP ]]/50,(WWWW[[#This Row],[Total PoP ]]/6))),0)</f>
        <v>8</v>
      </c>
      <c r="DI100" s="794">
        <f>IF(WWWW[[#This Row],[Total required Latrines]]-(WWWW[[#This Row],['#_Constructed latrines_by_WASHAgencies]]+WWWW[[#This Row],['#_Non Cluster partner latrines]])&lt;0,0,WWWW[[#This Row],[Total required Latrines]]-(WWWW[[#This Row],['#_Constructed latrines_by_WASHAgencies]]+WWWW[[#This Row],['#_Non Cluster partner latrines]]))</f>
        <v>8</v>
      </c>
      <c r="DJ100" s="796">
        <f>1-WWWW[[#This Row],[% people access to functioning Latrine]]</f>
        <v>1</v>
      </c>
      <c r="DK100" s="795">
        <f>IF(OR(WWWW[[#This Row],['#_Non-functional latrines]]="",WWWW[[#This Row],['#_Non-functional latrines]]=0),0,WWWW[[#This Row],['#_Non-functional latrines]]/(WWWW[[#This Row],['#_Constructed latrines_by_WASHAgencies]]+WWWW[[#This Row],['#_Non Cluster partner latrines]]))</f>
        <v>0</v>
      </c>
      <c r="DL100" s="791">
        <f>IF(500*(WWWW[[#This Row],['#_male hygiene promoters]]+WWWW[[#This Row],['#_female hygiene promoters]])&gt;WWWW[[#This Row],[Total PoP ]],WWWW[[#This Row],[Total PoP ]],500*(WWWW[[#This Row],['#_male hygiene promoters]]+WWWW[[#This Row],['#_female hygiene promoters]]))</f>
        <v>0</v>
      </c>
      <c r="DM100"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168</v>
      </c>
      <c r="DN100"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00" s="794">
        <f>IF(WWWW[[#This Row],['# People with access to soap]]&gt;WWWW[[#This Row],['# People with access to Sanity Pads]],WWWW[[#This Row],['# People with access to soap]],WWWW[[#This Row],['# People with access to Sanity Pads]])</f>
        <v>168</v>
      </c>
      <c r="DP100" s="794">
        <f>IF(WWWW[[#This Row],['# people reached by regular dedicated hygiene promotion_5]]&gt;WWWW[[#This Row],['# People received regular supply of hygiene items_6]],WWWW[[#This Row],['# people reached by regular dedicated hygiene promotion_5]],WWWW[[#This Row],['# People received regular supply of hygiene items_6]])</f>
        <v>168</v>
      </c>
      <c r="DQ100" s="796">
        <f>IF(WWWW[[#This Row],[HRP3]]/WWWW[[#This Row],[Total PoP ]]&gt;1,1,WWWW[[#This Row],[HRP3]]/WWWW[[#This Row],[Total PoP ]])</f>
        <v>1</v>
      </c>
      <c r="DR100" s="795">
        <f>1-WWWW[[#This Row],[Hygiene Coverage%]]</f>
        <v>0</v>
      </c>
      <c r="DS100" s="793">
        <f>WWWW[[#This Row],['# people reached by regular dedicated hygiene promotion_5]]/WWWW[[#This Row],[Total PoP ]]</f>
        <v>0</v>
      </c>
      <c r="DT100"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0"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0" s="794">
        <f>WWWW[[#This Row],['#_Constructed/Existing hand washing stations]]-WWWW[[#This Row],['#_Non-Functional_hand_washing_stations]]</f>
        <v>8</v>
      </c>
      <c r="DW100" s="791">
        <f>IF(WWWW[[#This Row],['# Functional hand washing stations during reporting period]]*20&gt;WWWW[[#This Row],[Total HH]],WWWW[[#This Row],[Total HH]],WWWW[[#This Row],['# Functional hand washing stations during reporting period]]*20)</f>
        <v>40</v>
      </c>
      <c r="DX100" s="791">
        <f>IF(WWWW[[#This Row],[Is sufficient soap available for TLS? (Yes/No)]]="yes",WWWW[[#This Row],['#_Constructed/Existing hand washing stations at TLS/CFS/THF]],0)</f>
        <v>0</v>
      </c>
      <c r="DY100" s="428">
        <f>IF(WWWW[[#This Row],['# Functional hand washing stations during reporting period]]*100&gt;WWWW[[#This Row],[Total PoP ]],WWWW[[#This Row],[Total PoP ]],WWWW[[#This Row],['# Functional hand washing stations during reporting period]]*100)</f>
        <v>168</v>
      </c>
      <c r="DZ100" s="428" t="str">
        <f>IF(OR(WWWW[[#This Row],['#_students at TLS_CFS]]="",WWWW[[#This Row],['#_students at TLS_CFS]]=0),"No","Yes")</f>
        <v>No</v>
      </c>
      <c r="EA10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0" s="787">
        <f>VLOOKUP(WWWW[[#This Row],[Site Name]],SiteDB6[[Site Name]:[CCCM Management]],6,FALSE)</f>
        <v>0</v>
      </c>
      <c r="EF100" s="787">
        <f>VLOOKUP(WWWW[[#This Row],[Site Name]],SiteDB6[[Site Name]:[CCCM Focal Agency]],7,FALSE)</f>
        <v>0</v>
      </c>
      <c r="EG100" s="787" t="str">
        <f>VLOOKUP(WWWW[[#This Row],[Site Name]],SiteDB6[[Site Name]:[Location Type 1]],9,FALSE)</f>
        <v>Camp</v>
      </c>
      <c r="EH100" s="787" t="str">
        <f>VLOOKUP(WWWW[[#This Row],[Site Name]],SiteDB6[[Site Name]:[Type of Accommodation]],10,FALSE)</f>
        <v>Camp</v>
      </c>
      <c r="EI100" s="787" t="str">
        <f>VLOOKUP(WWWW[[#This Row],[Site Name]],SiteDB6[[Site Name]:[Ethnic or GCA/NGCA]],11,FALSE)</f>
        <v>GCA</v>
      </c>
      <c r="EJ100" s="787">
        <f>VLOOKUP(WWWW[[#This Row],[Site Name]],SiteDB6[[Site Name]:[Lat]],12,FALSE)</f>
        <v>24.314934000000001</v>
      </c>
      <c r="EK100" s="787">
        <f>VLOOKUP(WWWW[[#This Row],[Site Name]],SiteDB6[[Site Name]:[Long]],13,FALSE)</f>
        <v>97.305190999999994</v>
      </c>
      <c r="EL100" s="787" t="str">
        <f>VLOOKUP(WWWW[[#This Row],[Site Name]],SiteDB6[[Site Name]:[Pcode]],3,FALSE)</f>
        <v>MMR001CMP285</v>
      </c>
      <c r="EM100" s="792" t="str">
        <f t="shared" si="1"/>
        <v>Notcovered</v>
      </c>
      <c r="EN100" s="792"/>
      <c r="EO100" s="787">
        <f>VLOOKUP(WWWW[[#This Row],[Site Name]],SiteDB6[[Site Name]:[Pop
(Kachin/Shan-CCCM as of July 2021)]],16,FALSE)</f>
        <v>40</v>
      </c>
      <c r="EP100" s="787">
        <f>VLOOKUP(WWWW[[#This Row],[Site Name]],SiteDB6[[Site Name]:[Pop
(Kachin/Shan-CCCM as of July 2021)]],17,FALSE)</f>
        <v>190</v>
      </c>
    </row>
    <row r="101" spans="1:146" hidden="1">
      <c r="A101" s="725" t="s">
        <v>2763</v>
      </c>
      <c r="B101" s="725" t="s">
        <v>242</v>
      </c>
      <c r="C101" s="726" t="s">
        <v>242</v>
      </c>
      <c r="D101" s="726" t="s">
        <v>307</v>
      </c>
      <c r="E101" s="726" t="s">
        <v>37</v>
      </c>
      <c r="F101" s="726" t="s">
        <v>148</v>
      </c>
      <c r="G101" s="591" t="str">
        <f>VLOOKUP(WWWW[[#This Row],[Site Name]],SiteDB6[[Site Name]:[Location Type]],8,FALSE)</f>
        <v>Camp</v>
      </c>
      <c r="H101" s="726" t="s">
        <v>258</v>
      </c>
      <c r="I101" s="448">
        <v>7</v>
      </c>
      <c r="J101" s="448">
        <v>24</v>
      </c>
      <c r="K101" s="588">
        <v>44197</v>
      </c>
      <c r="L101" s="589">
        <v>44651</v>
      </c>
      <c r="M101" s="448"/>
      <c r="N101" s="448">
        <v>1</v>
      </c>
      <c r="O101" s="448"/>
      <c r="P101" s="448"/>
      <c r="Q101" s="717" t="s">
        <v>41</v>
      </c>
      <c r="R101" s="448">
        <v>2</v>
      </c>
      <c r="S101" s="448">
        <v>2</v>
      </c>
      <c r="T101" s="448">
        <v>1</v>
      </c>
      <c r="U101" s="728"/>
      <c r="V101" s="728"/>
      <c r="W101" s="728"/>
      <c r="X101" s="728"/>
      <c r="Y101" s="728"/>
      <c r="Z101" s="728">
        <v>1</v>
      </c>
      <c r="AA101" s="728">
        <v>1</v>
      </c>
      <c r="AB101" s="728"/>
      <c r="AC101" s="728"/>
      <c r="AD101" s="728"/>
      <c r="AE101" s="728">
        <v>1</v>
      </c>
      <c r="AF101" s="728"/>
      <c r="AG101" s="728">
        <v>1</v>
      </c>
      <c r="AH101" s="728"/>
      <c r="AI101" s="728"/>
      <c r="AJ101" s="728"/>
      <c r="AK101" s="728"/>
      <c r="AL101" s="728"/>
      <c r="AM101" s="728"/>
      <c r="AN101" s="448"/>
      <c r="AO101" s="448"/>
      <c r="AP101" s="732"/>
      <c r="AQ101" s="728">
        <v>3</v>
      </c>
      <c r="AR101" s="728"/>
      <c r="AS101" s="733"/>
      <c r="AT101" s="728"/>
      <c r="AU101" s="728"/>
      <c r="AV101" s="728"/>
      <c r="AW101" s="728"/>
      <c r="AX101" s="728"/>
      <c r="AY101" s="727" t="s">
        <v>41</v>
      </c>
      <c r="AZ101" s="732" t="s">
        <v>136</v>
      </c>
      <c r="BA101" s="728"/>
      <c r="BB101" s="728"/>
      <c r="BC101" s="728"/>
      <c r="BD101" s="448"/>
      <c r="BE101" s="448"/>
      <c r="BF101" s="727"/>
      <c r="BG101" s="728">
        <v>3</v>
      </c>
      <c r="BH101" s="728"/>
      <c r="BI101" s="728"/>
      <c r="BJ101" s="728">
        <v>2</v>
      </c>
      <c r="BK101" s="728"/>
      <c r="BL101" s="448">
        <v>1</v>
      </c>
      <c r="BM101" s="448"/>
      <c r="BN101" s="448">
        <v>7</v>
      </c>
      <c r="BO101" s="448">
        <v>4</v>
      </c>
      <c r="BP101" s="425" t="s">
        <v>136</v>
      </c>
      <c r="BQ101" s="424"/>
      <c r="BR101" s="423"/>
      <c r="BS101" s="425" t="s">
        <v>2913</v>
      </c>
      <c r="BT101" s="423"/>
      <c r="BU101" s="423"/>
      <c r="BV101" s="425">
        <v>5</v>
      </c>
      <c r="BW101" s="423"/>
      <c r="BX101" s="448"/>
      <c r="BY101" s="448"/>
      <c r="BZ101" s="448"/>
      <c r="CA101" s="448"/>
      <c r="CB101" s="448"/>
      <c r="CC101" s="777"/>
      <c r="CD101" s="448"/>
      <c r="CE101" s="735" t="str">
        <f>IFERROR(WWWW[[#This Row],['#_Water sources passed]]/WWWW[[#This Row],['#_Water sources tested for fecal coliform ]],"no test")</f>
        <v>no test</v>
      </c>
      <c r="CF101" s="733" t="str">
        <f>IFERROR(WWWW[[#This Row],['#_Household passed]]/WWWW[[#This Row],['#_Household water samples tested for fecal coliform]],"no test")</f>
        <v>no test</v>
      </c>
      <c r="CG101" s="734" t="str">
        <f>IF(AND(WWWW[[#This Row],[% of water sources passed]]="no test",WWWW[[#This Row],[% Household passed]]="no test"),"No Test","Tested")</f>
        <v>No Test</v>
      </c>
      <c r="CH101" s="734">
        <f>WWWW[[#This Row],['#_Constructed/existing protected hand dug well]]-WWWW[[#This Row],['#_Non-functional protected hand dug well]]</f>
        <v>1</v>
      </c>
      <c r="CI101" s="734">
        <f>(WWWW[[#This Row],['#_Constructed/Existing tube wells/boreholes/handpumps_WASH_agency]]+WWWW[[#This Row],['#_Non-Cluster partner water tube-wells/boreholes/handpumps]])-WWWW[[#This Row],['#_Non-functional tube wells/boreholes/handpumps]]</f>
        <v>0</v>
      </c>
      <c r="CJ101" s="734">
        <f>WWWW[[#This Row],['#_Constructed/Existingwater storage tank with gravity fed reticulation system]]-WWWW[[#This Row],['#_Non-functional storage tank gravity fed reticulation system]]</f>
        <v>1</v>
      </c>
      <c r="CK101" s="734">
        <f>(WWWW[[#This Row],['#_Water_Liters_supplied_by_Water boating or water trucking]]/90)/15</f>
        <v>0</v>
      </c>
      <c r="CL101" s="734">
        <f>WWWW[[#This Row],['#_Water_Liters_from_Constructed/Existing water distribution system from river or natural spring]]/90/15</f>
        <v>0</v>
      </c>
      <c r="CM101" s="424">
        <f>IF(WWWW[[#This Row],['#_of water points in TLS/CFS]]*500&gt;WWWW[[#This Row],[Total PoP ]],WWWW[[#This Row],[Total PoP ]],WWWW[[#This Row],['#_of water points in TLS/CFS]]*500)</f>
        <v>0</v>
      </c>
      <c r="CN101" s="424">
        <f>IF(WWWW[[#This Row],['#_of water points in THF]]*500&gt;WWWW[[#This Row],[Total PoP ]],WWWW[[#This Row],[Total PoP ]],WWWW[[#This Row],['#_of water points in THF]]*500)</f>
        <v>0</v>
      </c>
      <c r="CO10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1" s="733">
        <f>IF(WWWW[[#This Row],[Location Type 1]]="Village",WWWW[[#This Row],[Access to safe drinking water for Village]],WWWW[[#This Row],[Access to safe drinking water for Camp]])</f>
        <v>1</v>
      </c>
      <c r="CR101" s="731">
        <f>WWWW[[#This Row],[%Equitable and continuous access to sufficient quantity of safe drinking water]]*WWWW[[#This Row],[Total PoP ]]</f>
        <v>24</v>
      </c>
      <c r="CS101" s="733">
        <f>IF((WWWW[[#This Row],['#_Constructed/Existing protected/fenced ponds]]*250)/WWWW[[#This Row],[Total PoP ]]&gt;1,1,(WWWW[[#This Row],['#_Constructed/Existing protected/fenced ponds]]*250)/WWWW[[#This Row],[Total PoP ]])</f>
        <v>1</v>
      </c>
      <c r="CT101" s="731">
        <f>WWWW[[#This Row],[% Access to unimproved water points]]*WWWW[[#This Row],[Total PoP ]]</f>
        <v>24</v>
      </c>
      <c r="CU10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W101" s="731">
        <f>WWWW[[#This Row],[HRP1]]/500</f>
        <v>4.8000000000000001E-2</v>
      </c>
      <c r="CX101" s="736">
        <f>1-WWWW[[#This Row],[% Equitable and continuous access to sufficient quantity of domestic water]]</f>
        <v>0</v>
      </c>
      <c r="CY101" s="731">
        <f>WWWW[[#This Row],[%equitable and continuous access to sufficient quantity of safe drinking and domestic water''s GAP]]*WWWW[[#This Row],[Total PoP ]]</f>
        <v>0</v>
      </c>
      <c r="CZ101" s="734">
        <f>IF(WWWW[[#This Row],[Total required water points]]-WWWW[[#This Row],['#Water points coverage]]&lt;0,0,WWWW[[#This Row],[Total required water points]]-WWWW[[#This Row],['#Water points coverage]])</f>
        <v>0.95199999999999996</v>
      </c>
      <c r="DA101" s="734">
        <f>ROUND(IF(WWWW[[#This Row],[Total PoP ]]&lt;500,1,WWWW[[#This Row],[Total PoP ]]/500),0)</f>
        <v>1</v>
      </c>
      <c r="DB101" s="734">
        <f>(WWWW[[#This Row],['#_Constructed latrines_by_WASHAgencies]]+WWWW[[#This Row],['#_Non Cluster partner latrines]])-WWWW[[#This Row],['#_Non-functional latrines]]</f>
        <v>3</v>
      </c>
      <c r="DC101" s="631">
        <f>WWWW[[#This Row],[HRP2]]/WWWW[[#This Row],[Total PoP ]]</f>
        <v>1</v>
      </c>
      <c r="DD10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10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1" s="424">
        <f>IF(WWWW[[#This Row],['# of functional latrines in THF supported by WASH partners during the reporting period2]]="",0,WWWW[[#This Row],['# of functional latrines in THF supported by WASH partners during the reporting period2]]*50)</f>
        <v>0</v>
      </c>
      <c r="DH101" s="734">
        <f>ROUND(IF(WWWW[[#This Row],[Location Type 1]]="camp",WWWW[[#This Row],[Total PoP ]]/20,IF(WWWW[[#This Row],[Location Type 1]]="Temporary Location",WWWW[[#This Row],[Total PoP ]]/50,(WWWW[[#This Row],[Total PoP ]]/6))),0)</f>
        <v>1</v>
      </c>
      <c r="DI101" s="734">
        <f>IF(WWWW[[#This Row],[Total required Latrines]]-(WWWW[[#This Row],['#_Constructed latrines_by_WASHAgencies]]+WWWW[[#This Row],['#_Non Cluster partner latrines]])&lt;0,0,WWWW[[#This Row],[Total required Latrines]]-(WWWW[[#This Row],['#_Constructed latrines_by_WASHAgencies]]+WWWW[[#This Row],['#_Non Cluster partner latrines]]))</f>
        <v>0</v>
      </c>
      <c r="DJ101" s="736">
        <f>1-WWWW[[#This Row],[% people access to functioning Latrine]]</f>
        <v>0</v>
      </c>
      <c r="DK101" s="735">
        <f>IF(OR(WWWW[[#This Row],['#_Non-functional latrines]]="",WWWW[[#This Row],['#_Non-functional latrines]]=0),0,WWWW[[#This Row],['#_Non-functional latrines]]/(WWWW[[#This Row],['#_Constructed latrines_by_WASHAgencies]]+WWWW[[#This Row],['#_Non Cluster partner latrines]]))</f>
        <v>0</v>
      </c>
      <c r="DL101" s="731">
        <f>IF(500*(WWWW[[#This Row],['#_male hygiene promoters]]+WWWW[[#This Row],['#_female hygiene promoters]])&gt;WWWW[[#This Row],[Total PoP ]],WWWW[[#This Row],[Total PoP ]],500*(WWWW[[#This Row],['#_male hygiene promoters]]+WWWW[[#This Row],['#_female hygiene promoters]]))</f>
        <v>24</v>
      </c>
      <c r="DM10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N10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v>
      </c>
      <c r="DO101" s="734">
        <f>IF(WWWW[[#This Row],['# People with access to soap]]&gt;WWWW[[#This Row],['# People with access to Sanity Pads]],WWWW[[#This Row],['# People with access to soap]],WWWW[[#This Row],['# People with access to Sanity Pads]])</f>
        <v>24</v>
      </c>
      <c r="DP101" s="734">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101" s="736">
        <f>IF(WWWW[[#This Row],[HRP3]]/WWWW[[#This Row],[Total PoP ]]&gt;1,1,WWWW[[#This Row],[HRP3]]/WWWW[[#This Row],[Total PoP ]])</f>
        <v>1</v>
      </c>
      <c r="DR101" s="735">
        <f>1-WWWW[[#This Row],[Hygiene Coverage%]]</f>
        <v>0</v>
      </c>
      <c r="DS101" s="733">
        <f>WWWW[[#This Row],['# people reached by regular dedicated hygiene promotion_5]]/WWWW[[#This Row],[Total PoP ]]</f>
        <v>1</v>
      </c>
      <c r="DT10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0.5714285714285714</v>
      </c>
      <c r="DV101" s="734">
        <f>WWWW[[#This Row],['#_Constructed/Existing hand washing stations]]-WWWW[[#This Row],['#_Non-Functional_hand_washing_stations]]</f>
        <v>3</v>
      </c>
      <c r="DW101" s="731">
        <f>IF(WWWW[[#This Row],['# Functional hand washing stations during reporting period]]*20&gt;WWWW[[#This Row],[Total HH]],WWWW[[#This Row],[Total HH]],WWWW[[#This Row],['# Functional hand washing stations during reporting period]]*20)</f>
        <v>7</v>
      </c>
      <c r="DX101" s="731">
        <f>IF(WWWW[[#This Row],[Is sufficient soap available for TLS? (Yes/No)]]="yes",WWWW[[#This Row],['#_Constructed/Existing hand washing stations at TLS/CFS/THF]],0)</f>
        <v>0</v>
      </c>
      <c r="DY101" s="428">
        <f>IF(WWWW[[#This Row],['# Functional hand washing stations during reporting period]]*100&gt;WWWW[[#This Row],[Total PoP ]],WWWW[[#This Row],[Total PoP ]],WWWW[[#This Row],['# Functional hand washing stations during reporting period]]*100)</f>
        <v>24</v>
      </c>
      <c r="DZ101" s="428" t="str">
        <f>IF(OR(WWWW[[#This Row],['#_students at TLS_CFS]]="",WWWW[[#This Row],['#_students at TLS_CFS]]=0),"No","Yes")</f>
        <v>No</v>
      </c>
      <c r="EA101" s="631">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10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1" s="727" t="str">
        <f>VLOOKUP(WWWW[[#This Row],[Site Name]],SiteDB6[[Site Name]:[CCCM Management]],6,FALSE)</f>
        <v>Yes</v>
      </c>
      <c r="EF101" s="727" t="str">
        <f>VLOOKUP(WWWW[[#This Row],[Site Name]],SiteDB6[[Site Name]:[CCCM Focal Agency]],7,FALSE)</f>
        <v>Shalom</v>
      </c>
      <c r="EG101" s="727" t="str">
        <f>VLOOKUP(WWWW[[#This Row],[Site Name]],SiteDB6[[Site Name]:[Location Type 1]],9,FALSE)</f>
        <v>Camp</v>
      </c>
      <c r="EH101" s="727" t="str">
        <f>VLOOKUP(WWWW[[#This Row],[Site Name]],SiteDB6[[Site Name]:[Type of Accommodation]],10,FALSE)</f>
        <v>Camp like setting</v>
      </c>
      <c r="EI101" s="727" t="str">
        <f>VLOOKUP(WWWW[[#This Row],[Site Name]],SiteDB6[[Site Name]:[Ethnic or GCA/NGCA]],11,FALSE)</f>
        <v>GCA</v>
      </c>
      <c r="EJ101" s="727">
        <f>VLOOKUP(WWWW[[#This Row],[Site Name]],SiteDB6[[Site Name]:[Lat]],12,FALSE)</f>
        <v>25.617998</v>
      </c>
      <c r="EK101" s="727">
        <f>VLOOKUP(WWWW[[#This Row],[Site Name]],SiteDB6[[Site Name]:[Long]],13,FALSE)</f>
        <v>96.339590000000001</v>
      </c>
      <c r="EL101" s="727" t="str">
        <f>VLOOKUP(WWWW[[#This Row],[Site Name]],SiteDB6[[Site Name]:[Pcode]],3,FALSE)</f>
        <v>MMR001CMP192</v>
      </c>
      <c r="EM101" s="732" t="str">
        <f t="shared" si="1"/>
        <v>Covered</v>
      </c>
      <c r="EN101" s="732"/>
      <c r="EO101" s="727">
        <f>VLOOKUP(WWWW[[#This Row],[Site Name]],SiteDB6[[Site Name]:[Pop
(Kachin/Shan-CCCM as of July 2021)]],16,FALSE)</f>
        <v>7</v>
      </c>
      <c r="EP101" s="727">
        <f>VLOOKUP(WWWW[[#This Row],[Site Name]],SiteDB6[[Site Name]:[Pop
(Kachin/Shan-CCCM as of July 2021)]],17,FALSE)</f>
        <v>24</v>
      </c>
    </row>
    <row r="102" spans="1:146" hidden="1">
      <c r="A102" s="725" t="s">
        <v>2763</v>
      </c>
      <c r="B102" s="725" t="s">
        <v>141</v>
      </c>
      <c r="C102" s="726" t="s">
        <v>141</v>
      </c>
      <c r="D102" s="726" t="s">
        <v>241</v>
      </c>
      <c r="E102" s="726" t="s">
        <v>37</v>
      </c>
      <c r="F102" s="726" t="s">
        <v>152</v>
      </c>
      <c r="G102" s="591" t="str">
        <f>VLOOKUP(WWWW[[#This Row],[Site Name]],SiteDB6[[Site Name]:[Location Type]],8,FALSE)</f>
        <v>Camp_not registered</v>
      </c>
      <c r="H102" s="726" t="s">
        <v>2624</v>
      </c>
      <c r="I102" s="728">
        <v>6</v>
      </c>
      <c r="J102" s="728">
        <v>36</v>
      </c>
      <c r="K102" s="729">
        <v>44105</v>
      </c>
      <c r="L102" s="730">
        <v>44681</v>
      </c>
      <c r="M102" s="728"/>
      <c r="N102" s="728">
        <v>1</v>
      </c>
      <c r="O102" s="728"/>
      <c r="P102" s="728"/>
      <c r="Q102" s="731" t="s">
        <v>41</v>
      </c>
      <c r="R102" s="728"/>
      <c r="S102" s="728">
        <v>1</v>
      </c>
      <c r="T102" s="448"/>
      <c r="U102" s="728"/>
      <c r="V102" s="728"/>
      <c r="W102" s="728">
        <v>1</v>
      </c>
      <c r="X102" s="728"/>
      <c r="Y102" s="728"/>
      <c r="Z102" s="728"/>
      <c r="AA102" s="728"/>
      <c r="AB102" s="728"/>
      <c r="AC102" s="728"/>
      <c r="AD102" s="728"/>
      <c r="AE102" s="728"/>
      <c r="AF102" s="728"/>
      <c r="AG102" s="728"/>
      <c r="AH102" s="728">
        <v>3</v>
      </c>
      <c r="AI102" s="728"/>
      <c r="AJ102" s="728"/>
      <c r="AK102" s="728"/>
      <c r="AL102" s="728"/>
      <c r="AM102" s="728"/>
      <c r="AN102" s="728"/>
      <c r="AO102" s="728"/>
      <c r="AP102" s="732"/>
      <c r="AQ102" s="728">
        <v>2</v>
      </c>
      <c r="AR102" s="728"/>
      <c r="AS102" s="733"/>
      <c r="AT102" s="728"/>
      <c r="AU102" s="448">
        <v>2</v>
      </c>
      <c r="AV102" s="728"/>
      <c r="AW102" s="728"/>
      <c r="AX102" s="728">
        <v>2</v>
      </c>
      <c r="AY102" s="727" t="s">
        <v>41</v>
      </c>
      <c r="AZ102" s="732" t="s">
        <v>137</v>
      </c>
      <c r="BA102" s="728"/>
      <c r="BB102" s="728"/>
      <c r="BC102" s="728"/>
      <c r="BD102" s="448"/>
      <c r="BE102" s="448"/>
      <c r="BF102" s="727"/>
      <c r="BG102" s="728">
        <v>8</v>
      </c>
      <c r="BH102" s="728"/>
      <c r="BI102" s="728"/>
      <c r="BJ102" s="728">
        <v>3</v>
      </c>
      <c r="BK102" s="728"/>
      <c r="BL102" s="728"/>
      <c r="BM102" s="728">
        <v>1</v>
      </c>
      <c r="BN102" s="728">
        <v>91</v>
      </c>
      <c r="BO102" s="728">
        <v>124</v>
      </c>
      <c r="BP102" s="727"/>
      <c r="BQ102" s="734"/>
      <c r="BR102" s="733"/>
      <c r="BS102" s="727"/>
      <c r="BT102" s="423"/>
      <c r="BU102" s="423"/>
      <c r="BV102" s="425"/>
      <c r="BW102" s="423"/>
      <c r="BX102" s="448"/>
      <c r="BY102" s="448"/>
      <c r="BZ102" s="448"/>
      <c r="CA102" s="448"/>
      <c r="CB102" s="448"/>
      <c r="CC102" s="777"/>
      <c r="CD102" s="448"/>
      <c r="CE102" s="735" t="str">
        <f>IFERROR(WWWW[[#This Row],['#_Water sources passed]]/WWWW[[#This Row],['#_Water sources tested for fecal coliform ]],"no test")</f>
        <v>no test</v>
      </c>
      <c r="CF102" s="733" t="str">
        <f>IFERROR(WWWW[[#This Row],['#_Household passed]]/WWWW[[#This Row],['#_Household water samples tested for fecal coliform]],"no test")</f>
        <v>no test</v>
      </c>
      <c r="CG102" s="734" t="str">
        <f>IF(AND(WWWW[[#This Row],[% of water sources passed]]="no test",WWWW[[#This Row],[% Household passed]]="no test"),"No Test","Tested")</f>
        <v>No Test</v>
      </c>
      <c r="CH102" s="734">
        <f>WWWW[[#This Row],['#_Constructed/existing protected hand dug well]]-WWWW[[#This Row],['#_Non-functional protected hand dug well]]</f>
        <v>0</v>
      </c>
      <c r="CI102" s="734">
        <f>(WWWW[[#This Row],['#_Constructed/Existing tube wells/boreholes/handpumps_WASH_agency]]+WWWW[[#This Row],['#_Non-Cluster partner water tube-wells/boreholes/handpumps]])-WWWW[[#This Row],['#_Non-functional tube wells/boreholes/handpumps]]</f>
        <v>1</v>
      </c>
      <c r="CJ102" s="734">
        <f>WWWW[[#This Row],['#_Constructed/Existingwater storage tank with gravity fed reticulation system]]-WWWW[[#This Row],['#_Non-functional storage tank gravity fed reticulation system]]</f>
        <v>0</v>
      </c>
      <c r="CK102" s="734">
        <f>(WWWW[[#This Row],['#_Water_Liters_supplied_by_Water boating or water trucking]]/90)/15</f>
        <v>0</v>
      </c>
      <c r="CL102" s="734">
        <f>WWWW[[#This Row],['#_Water_Liters_from_Constructed/Existing water distribution system from river or natural spring]]/90/15</f>
        <v>0</v>
      </c>
      <c r="CM102" s="424">
        <f>IF(WWWW[[#This Row],['#_of water points in TLS/CFS]]*500&gt;WWWW[[#This Row],[Total PoP ]],WWWW[[#This Row],[Total PoP ]],WWWW[[#This Row],['#_of water points in TLS/CFS]]*500)</f>
        <v>0</v>
      </c>
      <c r="CN102" s="424">
        <f>IF(WWWW[[#This Row],['#_of water points in THF]]*500&gt;WWWW[[#This Row],[Total PoP ]],WWWW[[#This Row],[Total PoP ]],WWWW[[#This Row],['#_of water points in THF]]*500)</f>
        <v>0</v>
      </c>
      <c r="CO10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2" s="733">
        <f>IF(WWWW[[#This Row],[Location Type 1]]="Village",WWWW[[#This Row],[Access to safe drinking water for Village]],WWWW[[#This Row],[Access to safe drinking water for Camp]])</f>
        <v>1</v>
      </c>
      <c r="CR102" s="731">
        <f>WWWW[[#This Row],[%Equitable and continuous access to sufficient quantity of safe drinking water]]*WWWW[[#This Row],[Total PoP ]]</f>
        <v>36</v>
      </c>
      <c r="CS102" s="733">
        <f>IF((WWWW[[#This Row],['#_Constructed/Existing protected/fenced ponds]]*250)/WWWW[[#This Row],[Total PoP ]]&gt;1,1,(WWWW[[#This Row],['#_Constructed/Existing protected/fenced ponds]]*250)/WWWW[[#This Row],[Total PoP ]])</f>
        <v>0</v>
      </c>
      <c r="CT102" s="731">
        <f>WWWW[[#This Row],[% Access to unimproved water points]]*WWWW[[#This Row],[Total PoP ]]</f>
        <v>0</v>
      </c>
      <c r="CU10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v>
      </c>
      <c r="CW102" s="731">
        <f>WWWW[[#This Row],[HRP1]]/500</f>
        <v>7.1999999999999995E-2</v>
      </c>
      <c r="CX102" s="736">
        <f>1-WWWW[[#This Row],[% Equitable and continuous access to sufficient quantity of domestic water]]</f>
        <v>0</v>
      </c>
      <c r="CY102" s="731">
        <f>WWWW[[#This Row],[%equitable and continuous access to sufficient quantity of safe drinking and domestic water''s GAP]]*WWWW[[#This Row],[Total PoP ]]</f>
        <v>0</v>
      </c>
      <c r="CZ102" s="734">
        <f>IF(WWWW[[#This Row],[Total required water points]]-WWWW[[#This Row],['#Water points coverage]]&lt;0,0,WWWW[[#This Row],[Total required water points]]-WWWW[[#This Row],['#Water points coverage]])</f>
        <v>0.92800000000000005</v>
      </c>
      <c r="DA102" s="734">
        <f>ROUND(IF(WWWW[[#This Row],[Total PoP ]]&lt;500,1,WWWW[[#This Row],[Total PoP ]]/500),0)</f>
        <v>1</v>
      </c>
      <c r="DB102" s="734">
        <f>(WWWW[[#This Row],['#_Constructed latrines_by_WASHAgencies]]+WWWW[[#This Row],['#_Non Cluster partner latrines]])-WWWW[[#This Row],['#_Non-functional latrines]]</f>
        <v>2</v>
      </c>
      <c r="DC102" s="631">
        <f>WWWW[[#This Row],[HRP2]]/WWWW[[#This Row],[Total PoP ]]</f>
        <v>1</v>
      </c>
      <c r="DD10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v>
      </c>
      <c r="DE10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2" s="424">
        <f>IF(WWWW[[#This Row],['# of functional latrines in THF supported by WASH partners during the reporting period2]]="",0,WWWW[[#This Row],['# of functional latrines in THF supported by WASH partners during the reporting period2]]*50)</f>
        <v>0</v>
      </c>
      <c r="DH102" s="734">
        <f>ROUND(IF(WWWW[[#This Row],[Location Type 1]]="camp",WWWW[[#This Row],[Total PoP ]]/20,IF(WWWW[[#This Row],[Location Type 1]]="Temporary Location",WWWW[[#This Row],[Total PoP ]]/50,(WWWW[[#This Row],[Total PoP ]]/6))),0)</f>
        <v>2</v>
      </c>
      <c r="DI102" s="734">
        <f>IF(WWWW[[#This Row],[Total required Latrines]]-(WWWW[[#This Row],['#_Constructed latrines_by_WASHAgencies]]+WWWW[[#This Row],['#_Non Cluster partner latrines]])&lt;0,0,WWWW[[#This Row],[Total required Latrines]]-(WWWW[[#This Row],['#_Constructed latrines_by_WASHAgencies]]+WWWW[[#This Row],['#_Non Cluster partner latrines]]))</f>
        <v>0</v>
      </c>
      <c r="DJ102" s="736">
        <f>1-WWWW[[#This Row],[% people access to functioning Latrine]]</f>
        <v>0</v>
      </c>
      <c r="DK102" s="735">
        <f>IF(OR(WWWW[[#This Row],['#_Non-functional latrines]]="",WWWW[[#This Row],['#_Non-functional latrines]]=0),0,WWWW[[#This Row],['#_Non-functional latrines]]/(WWWW[[#This Row],['#_Constructed latrines_by_WASHAgencies]]+WWWW[[#This Row],['#_Non Cluster partner latrines]]))</f>
        <v>0</v>
      </c>
      <c r="DL102" s="731">
        <f>IF(500*(WWWW[[#This Row],['#_male hygiene promoters]]+WWWW[[#This Row],['#_female hygiene promoters]])&gt;WWWW[[#This Row],[Total PoP ]],WWWW[[#This Row],[Total PoP ]],500*(WWWW[[#This Row],['#_male hygiene promoters]]+WWWW[[#This Row],['#_female hygiene promoters]]))</f>
        <v>36</v>
      </c>
      <c r="DM10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36</v>
      </c>
      <c r="DN10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36</v>
      </c>
      <c r="DO102" s="734">
        <f>IF(WWWW[[#This Row],['# People with access to soap]]&gt;WWWW[[#This Row],['# People with access to Sanity Pads]],WWWW[[#This Row],['# People with access to soap]],WWWW[[#This Row],['# People with access to Sanity Pads]])</f>
        <v>36</v>
      </c>
      <c r="DP102" s="734">
        <f>IF(WWWW[[#This Row],['# people reached by regular dedicated hygiene promotion_5]]&gt;WWWW[[#This Row],['# People received regular supply of hygiene items_6]],WWWW[[#This Row],['# people reached by regular dedicated hygiene promotion_5]],WWWW[[#This Row],['# People received regular supply of hygiene items_6]])</f>
        <v>36</v>
      </c>
      <c r="DQ102" s="736">
        <f>IF(WWWW[[#This Row],[HRP3]]/WWWW[[#This Row],[Total PoP ]]&gt;1,1,WWWW[[#This Row],[HRP3]]/WWWW[[#This Row],[Total PoP ]])</f>
        <v>1</v>
      </c>
      <c r="DR102" s="735">
        <f>1-WWWW[[#This Row],[Hygiene Coverage%]]</f>
        <v>0</v>
      </c>
      <c r="DS102" s="733">
        <f>WWWW[[#This Row],['# people reached by regular dedicated hygiene promotion_5]]/WWWW[[#This Row],[Total PoP ]]</f>
        <v>1</v>
      </c>
      <c r="DT10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2" s="734">
        <f>WWWW[[#This Row],['#_Constructed/Existing hand washing stations]]-WWWW[[#This Row],['#_Non-Functional_hand_washing_stations]]</f>
        <v>8</v>
      </c>
      <c r="DW102" s="731">
        <f>IF(WWWW[[#This Row],['# Functional hand washing stations during reporting period]]*20&gt;WWWW[[#This Row],[Total HH]],WWWW[[#This Row],[Total HH]],WWWW[[#This Row],['# Functional hand washing stations during reporting period]]*20)</f>
        <v>6</v>
      </c>
      <c r="DX102" s="731">
        <f>IF(WWWW[[#This Row],[Is sufficient soap available for TLS? (Yes/No)]]="yes",WWWW[[#This Row],['#_Constructed/Existing hand washing stations at TLS/CFS/THF]],0)</f>
        <v>0</v>
      </c>
      <c r="DY102" s="428">
        <f>IF(WWWW[[#This Row],['# Functional hand washing stations during reporting period]]*100&gt;WWWW[[#This Row],[Total PoP ]],WWWW[[#This Row],[Total PoP ]],WWWW[[#This Row],['# Functional hand washing stations during reporting period]]*100)</f>
        <v>36</v>
      </c>
      <c r="DZ102" s="428" t="str">
        <f>IF(OR(WWWW[[#This Row],['#_students at TLS_CFS]]="",WWWW[[#This Row],['#_students at TLS_CFS]]=0),"No","Yes")</f>
        <v>No</v>
      </c>
      <c r="EA10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2" s="727">
        <f>VLOOKUP(WWWW[[#This Row],[Site Name]],SiteDB6[[Site Name]:[CCCM Management]],6,FALSE)</f>
        <v>0</v>
      </c>
      <c r="EF102" s="727">
        <f>VLOOKUP(WWWW[[#This Row],[Site Name]],SiteDB6[[Site Name]:[CCCM Focal Agency]],7,FALSE)</f>
        <v>0</v>
      </c>
      <c r="EG102" s="727" t="str">
        <f>VLOOKUP(WWWW[[#This Row],[Site Name]],SiteDB6[[Site Name]:[Location Type 1]],9,FALSE)</f>
        <v>Camp</v>
      </c>
      <c r="EH102" s="727" t="str">
        <f>VLOOKUP(WWWW[[#This Row],[Site Name]],SiteDB6[[Site Name]:[Type of Accommodation]],10,FALSE)</f>
        <v>Camp like setting</v>
      </c>
      <c r="EI102" s="727" t="str">
        <f>VLOOKUP(WWWW[[#This Row],[Site Name]],SiteDB6[[Site Name]:[Ethnic or GCA/NGCA]],11,FALSE)</f>
        <v>GCA</v>
      </c>
      <c r="EJ102" s="727">
        <f>VLOOKUP(WWWW[[#This Row],[Site Name]],SiteDB6[[Site Name]:[Lat]],12,FALSE)</f>
        <v>0</v>
      </c>
      <c r="EK102" s="727">
        <f>VLOOKUP(WWWW[[#This Row],[Site Name]],SiteDB6[[Site Name]:[Long]],13,FALSE)</f>
        <v>0</v>
      </c>
      <c r="EL102" s="727">
        <f>VLOOKUP(WWWW[[#This Row],[Site Name]],SiteDB6[[Site Name]:[Pcode]],3,FALSE)</f>
        <v>0</v>
      </c>
      <c r="EM102" s="732" t="str">
        <f t="shared" si="1"/>
        <v>Covered</v>
      </c>
      <c r="EN102" s="732"/>
      <c r="EO102" s="727">
        <f>VLOOKUP(WWWW[[#This Row],[Site Name]],SiteDB6[[Site Name]:[Pop
(Kachin/Shan-CCCM as of July 2021)]],16,FALSE)</f>
        <v>0</v>
      </c>
      <c r="EP102" s="727">
        <f>VLOOKUP(WWWW[[#This Row],[Site Name]],SiteDB6[[Site Name]:[Pop
(Kachin/Shan-CCCM as of July 2021)]],17,FALSE)</f>
        <v>0</v>
      </c>
    </row>
    <row r="103" spans="1:146" hidden="1">
      <c r="A103" s="725" t="s">
        <v>2763</v>
      </c>
      <c r="B103" s="725" t="s">
        <v>141</v>
      </c>
      <c r="C103" s="726" t="s">
        <v>141</v>
      </c>
      <c r="D103" s="726" t="s">
        <v>241</v>
      </c>
      <c r="E103" s="726" t="s">
        <v>37</v>
      </c>
      <c r="F103" s="726" t="s">
        <v>152</v>
      </c>
      <c r="G103" s="591" t="str">
        <f>VLOOKUP(WWWW[[#This Row],[Site Name]],SiteDB6[[Site Name]:[Location Type]],8,FALSE)</f>
        <v>Camp</v>
      </c>
      <c r="H103" s="726" t="s">
        <v>1612</v>
      </c>
      <c r="I103" s="728">
        <v>105</v>
      </c>
      <c r="J103" s="728">
        <v>474</v>
      </c>
      <c r="K103" s="729">
        <v>44105</v>
      </c>
      <c r="L103" s="730">
        <v>44681</v>
      </c>
      <c r="M103" s="728"/>
      <c r="N103" s="728">
        <v>3</v>
      </c>
      <c r="O103" s="728"/>
      <c r="P103" s="728"/>
      <c r="Q103" s="731" t="s">
        <v>41</v>
      </c>
      <c r="R103" s="728"/>
      <c r="S103" s="728">
        <v>2</v>
      </c>
      <c r="T103" s="448">
        <v>1</v>
      </c>
      <c r="U103" s="728"/>
      <c r="V103" s="728"/>
      <c r="W103" s="728"/>
      <c r="X103" s="728"/>
      <c r="Y103" s="728"/>
      <c r="Z103" s="728"/>
      <c r="AA103" s="728"/>
      <c r="AB103" s="728"/>
      <c r="AC103" s="728"/>
      <c r="AD103" s="728"/>
      <c r="AE103" s="728"/>
      <c r="AF103" s="728"/>
      <c r="AG103" s="728"/>
      <c r="AH103" s="728">
        <v>2</v>
      </c>
      <c r="AI103" s="728"/>
      <c r="AJ103" s="728"/>
      <c r="AK103" s="728"/>
      <c r="AL103" s="728"/>
      <c r="AM103" s="728"/>
      <c r="AN103" s="728"/>
      <c r="AO103" s="728"/>
      <c r="AP103" s="732"/>
      <c r="AQ103" s="728">
        <v>13</v>
      </c>
      <c r="AR103" s="728"/>
      <c r="AS103" s="733"/>
      <c r="AT103" s="728"/>
      <c r="AU103" s="448">
        <v>12</v>
      </c>
      <c r="AV103" s="728"/>
      <c r="AW103" s="728"/>
      <c r="AX103" s="728">
        <v>12</v>
      </c>
      <c r="AY103" s="727" t="s">
        <v>41</v>
      </c>
      <c r="AZ103" s="732" t="s">
        <v>137</v>
      </c>
      <c r="BA103" s="728"/>
      <c r="BB103" s="728"/>
      <c r="BC103" s="728"/>
      <c r="BD103" s="448"/>
      <c r="BE103" s="448"/>
      <c r="BF103" s="727"/>
      <c r="BG103" s="728">
        <v>7</v>
      </c>
      <c r="BH103" s="728"/>
      <c r="BI103" s="728"/>
      <c r="BJ103" s="728">
        <v>7</v>
      </c>
      <c r="BK103" s="728"/>
      <c r="BL103" s="728">
        <v>2</v>
      </c>
      <c r="BM103" s="728">
        <v>1</v>
      </c>
      <c r="BN103" s="728">
        <v>104</v>
      </c>
      <c r="BO103" s="728">
        <v>148</v>
      </c>
      <c r="BP103" s="727"/>
      <c r="BQ103" s="734"/>
      <c r="BR103" s="733"/>
      <c r="BS103" s="727"/>
      <c r="BT103" s="423"/>
      <c r="BU103" s="423"/>
      <c r="BV103" s="425"/>
      <c r="BW103" s="423"/>
      <c r="BX103" s="448"/>
      <c r="BY103" s="448"/>
      <c r="BZ103" s="448"/>
      <c r="CA103" s="448"/>
      <c r="CB103" s="448"/>
      <c r="CC103" s="777"/>
      <c r="CD103" s="448"/>
      <c r="CE103" s="735" t="str">
        <f>IFERROR(WWWW[[#This Row],['#_Water sources passed]]/WWWW[[#This Row],['#_Water sources tested for fecal coliform ]],"no test")</f>
        <v>no test</v>
      </c>
      <c r="CF103" s="733" t="str">
        <f>IFERROR(WWWW[[#This Row],['#_Household passed]]/WWWW[[#This Row],['#_Household water samples tested for fecal coliform]],"no test")</f>
        <v>no test</v>
      </c>
      <c r="CG103" s="734" t="str">
        <f>IF(AND(WWWW[[#This Row],[% of water sources passed]]="no test",WWWW[[#This Row],[% Household passed]]="no test"),"No Test","Tested")</f>
        <v>No Test</v>
      </c>
      <c r="CH103" s="734">
        <f>WWWW[[#This Row],['#_Constructed/existing protected hand dug well]]-WWWW[[#This Row],['#_Non-functional protected hand dug well]]</f>
        <v>1</v>
      </c>
      <c r="CI103" s="734">
        <f>(WWWW[[#This Row],['#_Constructed/Existing tube wells/boreholes/handpumps_WASH_agency]]+WWWW[[#This Row],['#_Non-Cluster partner water tube-wells/boreholes/handpumps]])-WWWW[[#This Row],['#_Non-functional tube wells/boreholes/handpumps]]</f>
        <v>0</v>
      </c>
      <c r="CJ103" s="734">
        <f>WWWW[[#This Row],['#_Constructed/Existingwater storage tank with gravity fed reticulation system]]-WWWW[[#This Row],['#_Non-functional storage tank gravity fed reticulation system]]</f>
        <v>0</v>
      </c>
      <c r="CK103" s="734">
        <f>(WWWW[[#This Row],['#_Water_Liters_supplied_by_Water boating or water trucking]]/90)/15</f>
        <v>0</v>
      </c>
      <c r="CL103" s="734">
        <f>WWWW[[#This Row],['#_Water_Liters_from_Constructed/Existing water distribution system from river or natural spring]]/90/15</f>
        <v>0</v>
      </c>
      <c r="CM103" s="424">
        <f>IF(WWWW[[#This Row],['#_of water points in TLS/CFS]]*500&gt;WWWW[[#This Row],[Total PoP ]],WWWW[[#This Row],[Total PoP ]],WWWW[[#This Row],['#_of water points in TLS/CFS]]*500)</f>
        <v>0</v>
      </c>
      <c r="CN103" s="424">
        <f>IF(WWWW[[#This Row],['#_of water points in THF]]*500&gt;WWWW[[#This Row],[Total PoP ]],WWWW[[#This Row],[Total PoP ]],WWWW[[#This Row],['#_of water points in THF]]*500)</f>
        <v>0</v>
      </c>
      <c r="CO10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0.84388185654008441</v>
      </c>
      <c r="CP10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0.52742616033755274</v>
      </c>
      <c r="CQ103" s="733">
        <f>IF(WWWW[[#This Row],[Location Type 1]]="Village",WWWW[[#This Row],[Access to safe drinking water for Village]],WWWW[[#This Row],[Access to safe drinking water for Camp]])</f>
        <v>0.84388185654008441</v>
      </c>
      <c r="CR103" s="731">
        <f>WWWW[[#This Row],[%Equitable and continuous access to sufficient quantity of safe drinking water]]*WWWW[[#This Row],[Total PoP ]]</f>
        <v>400</v>
      </c>
      <c r="CS103" s="733">
        <f>IF((WWWW[[#This Row],['#_Constructed/Existing protected/fenced ponds]]*250)/WWWW[[#This Row],[Total PoP ]]&gt;1,1,(WWWW[[#This Row],['#_Constructed/Existing protected/fenced ponds]]*250)/WWWW[[#This Row],[Total PoP ]])</f>
        <v>0</v>
      </c>
      <c r="CT103" s="731">
        <f>WWWW[[#This Row],[% Access to unimproved water points]]*WWWW[[#This Row],[Total PoP ]]</f>
        <v>0</v>
      </c>
      <c r="CU10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0.84388185654008441</v>
      </c>
      <c r="CV10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103" s="731">
        <f>WWWW[[#This Row],[HRP1]]/500</f>
        <v>0.8</v>
      </c>
      <c r="CX103" s="736">
        <f>1-WWWW[[#This Row],[% Equitable and continuous access to sufficient quantity of domestic water]]</f>
        <v>0.15611814345991559</v>
      </c>
      <c r="CY103" s="731">
        <f>WWWW[[#This Row],[%equitable and continuous access to sufficient quantity of safe drinking and domestic water''s GAP]]*WWWW[[#This Row],[Total PoP ]]</f>
        <v>73.999999999999986</v>
      </c>
      <c r="CZ103" s="734">
        <f>IF(WWWW[[#This Row],[Total required water points]]-WWWW[[#This Row],['#Water points coverage]]&lt;0,0,WWWW[[#This Row],[Total required water points]]-WWWW[[#This Row],['#Water points coverage]])</f>
        <v>0.19999999999999996</v>
      </c>
      <c r="DA103" s="734">
        <f>ROUND(IF(WWWW[[#This Row],[Total PoP ]]&lt;500,1,WWWW[[#This Row],[Total PoP ]]/500),0)</f>
        <v>1</v>
      </c>
      <c r="DB103" s="734">
        <f>(WWWW[[#This Row],['#_Constructed latrines_by_WASHAgencies]]+WWWW[[#This Row],['#_Non Cluster partner latrines]])-WWWW[[#This Row],['#_Non-functional latrines]]</f>
        <v>13</v>
      </c>
      <c r="DC103" s="631">
        <f>WWWW[[#This Row],[HRP2]]/WWWW[[#This Row],[Total PoP ]]</f>
        <v>0.54852320675105481</v>
      </c>
      <c r="DD10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DE10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3" s="424">
        <f>IF(WWWW[[#This Row],['# of functional latrines in THF supported by WASH partners during the reporting period2]]="",0,WWWW[[#This Row],['# of functional latrines in THF supported by WASH partners during the reporting period2]]*50)</f>
        <v>0</v>
      </c>
      <c r="DH103" s="734">
        <f>ROUND(IF(WWWW[[#This Row],[Location Type 1]]="camp",WWWW[[#This Row],[Total PoP ]]/20,IF(WWWW[[#This Row],[Location Type 1]]="Temporary Location",WWWW[[#This Row],[Total PoP ]]/50,(WWWW[[#This Row],[Total PoP ]]/6))),0)</f>
        <v>24</v>
      </c>
      <c r="DI103" s="734">
        <f>IF(WWWW[[#This Row],[Total required Latrines]]-(WWWW[[#This Row],['#_Constructed latrines_by_WASHAgencies]]+WWWW[[#This Row],['#_Non Cluster partner latrines]])&lt;0,0,WWWW[[#This Row],[Total required Latrines]]-(WWWW[[#This Row],['#_Constructed latrines_by_WASHAgencies]]+WWWW[[#This Row],['#_Non Cluster partner latrines]]))</f>
        <v>11</v>
      </c>
      <c r="DJ103" s="736">
        <f>1-WWWW[[#This Row],[% people access to functioning Latrine]]</f>
        <v>0.45147679324894519</v>
      </c>
      <c r="DK103" s="735">
        <f>IF(OR(WWWW[[#This Row],['#_Non-functional latrines]]="",WWWW[[#This Row],['#_Non-functional latrines]]=0),0,WWWW[[#This Row],['#_Non-functional latrines]]/(WWWW[[#This Row],['#_Constructed latrines_by_WASHAgencies]]+WWWW[[#This Row],['#_Non Cluster partner latrines]]))</f>
        <v>0</v>
      </c>
      <c r="DL103" s="731">
        <f>IF(500*(WWWW[[#This Row],['#_male hygiene promoters]]+WWWW[[#This Row],['#_female hygiene promoters]])&gt;WWWW[[#This Row],[Total PoP ]],WWWW[[#This Row],[Total PoP ]],500*(WWWW[[#This Row],['#_male hygiene promoters]]+WWWW[[#This Row],['#_female hygiene promoters]]))</f>
        <v>474</v>
      </c>
      <c r="DM10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474</v>
      </c>
      <c r="DN10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03" s="734">
        <f>IF(WWWW[[#This Row],['# People with access to soap]]&gt;WWWW[[#This Row],['# People with access to Sanity Pads]],WWWW[[#This Row],['# People with access to soap]],WWWW[[#This Row],['# People with access to Sanity Pads]])</f>
        <v>474</v>
      </c>
      <c r="DP103" s="734">
        <f>IF(WWWW[[#This Row],['# people reached by regular dedicated hygiene promotion_5]]&gt;WWWW[[#This Row],['# People received regular supply of hygiene items_6]],WWWW[[#This Row],['# people reached by regular dedicated hygiene promotion_5]],WWWW[[#This Row],['# People received regular supply of hygiene items_6]])</f>
        <v>474</v>
      </c>
      <c r="DQ103" s="736">
        <f>IF(WWWW[[#This Row],[HRP3]]/WWWW[[#This Row],[Total PoP ]]&gt;1,1,WWWW[[#This Row],[HRP3]]/WWWW[[#This Row],[Total PoP ]])</f>
        <v>1</v>
      </c>
      <c r="DR103" s="735">
        <f>1-WWWW[[#This Row],[Hygiene Coverage%]]</f>
        <v>0</v>
      </c>
      <c r="DS103" s="733">
        <f>WWWW[[#This Row],['# people reached by regular dedicated hygiene promotion_5]]/WWWW[[#This Row],[Total PoP ]]</f>
        <v>1</v>
      </c>
      <c r="DT10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3" s="734">
        <f>WWWW[[#This Row],['#_Constructed/Existing hand washing stations]]-WWWW[[#This Row],['#_Non-Functional_hand_washing_stations]]</f>
        <v>7</v>
      </c>
      <c r="DW103" s="731">
        <f>IF(WWWW[[#This Row],['# Functional hand washing stations during reporting period]]*20&gt;WWWW[[#This Row],[Total HH]],WWWW[[#This Row],[Total HH]],WWWW[[#This Row],['# Functional hand washing stations during reporting period]]*20)</f>
        <v>105</v>
      </c>
      <c r="DX103" s="731">
        <f>IF(WWWW[[#This Row],[Is sufficient soap available for TLS? (Yes/No)]]="yes",WWWW[[#This Row],['#_Constructed/Existing hand washing stations at TLS/CFS/THF]],0)</f>
        <v>0</v>
      </c>
      <c r="DY103" s="428">
        <f>IF(WWWW[[#This Row],['# Functional hand washing stations during reporting period]]*100&gt;WWWW[[#This Row],[Total PoP ]],WWWW[[#This Row],[Total PoP ]],WWWW[[#This Row],['# Functional hand washing stations during reporting period]]*100)</f>
        <v>474</v>
      </c>
      <c r="DZ103" s="428" t="str">
        <f>IF(OR(WWWW[[#This Row],['#_students at TLS_CFS]]="",WWWW[[#This Row],['#_students at TLS_CFS]]=0),"No","Yes")</f>
        <v>No</v>
      </c>
      <c r="EA10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3" s="727">
        <f>VLOOKUP(WWWW[[#This Row],[Site Name]],SiteDB6[[Site Name]:[CCCM Management]],6,FALSE)</f>
        <v>0</v>
      </c>
      <c r="EF103" s="727" t="str">
        <f>VLOOKUP(WWWW[[#This Row],[Site Name]],SiteDB6[[Site Name]:[CCCM Focal Agency]],7,FALSE)</f>
        <v>KBC-MYT</v>
      </c>
      <c r="EG103" s="727" t="str">
        <f>VLOOKUP(WWWW[[#This Row],[Site Name]],SiteDB6[[Site Name]:[Location Type 1]],9,FALSE)</f>
        <v>Camp</v>
      </c>
      <c r="EH103" s="727" t="str">
        <f>VLOOKUP(WWWW[[#This Row],[Site Name]],SiteDB6[[Site Name]:[Type of Accommodation]],10,FALSE)</f>
        <v>Camp</v>
      </c>
      <c r="EI103" s="727" t="str">
        <f>VLOOKUP(WWWW[[#This Row],[Site Name]],SiteDB6[[Site Name]:[Ethnic or GCA/NGCA]],11,FALSE)</f>
        <v>GCA</v>
      </c>
      <c r="EJ103" s="727">
        <f>VLOOKUP(WWWW[[#This Row],[Site Name]],SiteDB6[[Site Name]:[Lat]],12,FALSE)</f>
        <v>25.2226</v>
      </c>
      <c r="EK103" s="727">
        <f>VLOOKUP(WWWW[[#This Row],[Site Name]],SiteDB6[[Site Name]:[Long]],13,FALSE)</f>
        <v>97.012299999999996</v>
      </c>
      <c r="EL103" s="727" t="str">
        <f>VLOOKUP(WWWW[[#This Row],[Site Name]],SiteDB6[[Site Name]:[Pcode]],3,FALSE)</f>
        <v>MMR001CMP261</v>
      </c>
      <c r="EM103" s="732" t="str">
        <f t="shared" si="1"/>
        <v>Covered</v>
      </c>
      <c r="EN103" s="732"/>
      <c r="EO103" s="727">
        <f>VLOOKUP(WWWW[[#This Row],[Site Name]],SiteDB6[[Site Name]:[Pop
(Kachin/Shan-CCCM as of July 2021)]],16,FALSE)</f>
        <v>111</v>
      </c>
      <c r="EP103" s="727">
        <f>VLOOKUP(WWWW[[#This Row],[Site Name]],SiteDB6[[Site Name]:[Pop
(Kachin/Shan-CCCM as of July 2021)]],17,FALSE)</f>
        <v>599</v>
      </c>
    </row>
    <row r="104" spans="1:146" hidden="1">
      <c r="A104" s="707" t="s">
        <v>2763</v>
      </c>
      <c r="B104" s="707" t="s">
        <v>276</v>
      </c>
      <c r="C104" s="369" t="s">
        <v>276</v>
      </c>
      <c r="D104" s="369" t="s">
        <v>292</v>
      </c>
      <c r="E104" s="369" t="s">
        <v>37</v>
      </c>
      <c r="F104" s="369" t="s">
        <v>205</v>
      </c>
      <c r="G104" s="591" t="s">
        <v>1099</v>
      </c>
      <c r="H104" s="369" t="s">
        <v>3010</v>
      </c>
      <c r="I104" s="448">
        <v>40</v>
      </c>
      <c r="J104" s="448">
        <v>189</v>
      </c>
      <c r="K104" s="800">
        <v>44652</v>
      </c>
      <c r="L104" s="56">
        <v>44895</v>
      </c>
      <c r="M104" s="448"/>
      <c r="N104" s="448"/>
      <c r="O104" s="448"/>
      <c r="P104" s="448"/>
      <c r="Q104" s="428" t="s">
        <v>41</v>
      </c>
      <c r="R104" s="448">
        <v>2</v>
      </c>
      <c r="S104" s="448">
        <v>5</v>
      </c>
      <c r="T104" s="448">
        <v>2</v>
      </c>
      <c r="U104" s="448"/>
      <c r="V104" s="448"/>
      <c r="W104" s="448">
        <v>2</v>
      </c>
      <c r="X104" s="448"/>
      <c r="Y104" s="448"/>
      <c r="Z104" s="448">
        <v>1</v>
      </c>
      <c r="AA104" s="448"/>
      <c r="AB104" s="448"/>
      <c r="AC104" s="448"/>
      <c r="AD104" s="448"/>
      <c r="AE104" s="448"/>
      <c r="AF104" s="448"/>
      <c r="AG104" s="448"/>
      <c r="AH104" s="448"/>
      <c r="AI104" s="448"/>
      <c r="AJ104" s="448"/>
      <c r="AK104" s="448"/>
      <c r="AL104" s="448"/>
      <c r="AM104" s="448">
        <v>4</v>
      </c>
      <c r="AN104" s="448"/>
      <c r="AO104" s="448"/>
      <c r="AP104" s="860"/>
      <c r="AQ104" s="448">
        <v>8</v>
      </c>
      <c r="AR104" s="448"/>
      <c r="AS104" s="423"/>
      <c r="AT104" s="448"/>
      <c r="AU104" s="448"/>
      <c r="AV104" s="448"/>
      <c r="AW104" s="448"/>
      <c r="AX104" s="448"/>
      <c r="AY104" s="727" t="s">
        <v>41</v>
      </c>
      <c r="AZ104" s="732" t="s">
        <v>137</v>
      </c>
      <c r="BA104" s="448"/>
      <c r="BB104" s="448"/>
      <c r="BC104" s="448"/>
      <c r="BD104" s="448"/>
      <c r="BE104" s="448">
        <v>4</v>
      </c>
      <c r="BF104" s="425"/>
      <c r="BG104" s="448"/>
      <c r="BH104" s="448"/>
      <c r="BI104" s="448"/>
      <c r="BJ104" s="448">
        <v>2</v>
      </c>
      <c r="BK104" s="448"/>
      <c r="BL104" s="448"/>
      <c r="BM104" s="448"/>
      <c r="BN104" s="448"/>
      <c r="BO104" s="448"/>
      <c r="BP104" s="425"/>
      <c r="BQ104" s="424"/>
      <c r="BR104" s="423"/>
      <c r="BS104" s="425"/>
      <c r="BT104" s="423"/>
      <c r="BU104" s="423"/>
      <c r="BV104" s="425"/>
      <c r="BW104" s="903"/>
      <c r="BX104" s="448"/>
      <c r="BY104" s="448"/>
      <c r="BZ104" s="448"/>
      <c r="CA104" s="448"/>
      <c r="CB104" s="448"/>
      <c r="CC104" s="777"/>
      <c r="CD104" s="448"/>
      <c r="CE104" s="631" t="str">
        <f>IFERROR(WWWW[[#This Row],['#_Water sources passed]]/WWWW[[#This Row],['#_Water sources tested for fecal coliform ]],"no test")</f>
        <v>no test</v>
      </c>
      <c r="CF104" s="423" t="str">
        <f>IFERROR(WWWW[[#This Row],['#_Household passed]]/WWWW[[#This Row],['#_Household water samples tested for fecal coliform]],"no test")</f>
        <v>no test</v>
      </c>
      <c r="CG104" s="424" t="str">
        <f>IF(AND(WWWW[[#This Row],[% of water sources passed]]="no test",WWWW[[#This Row],[% Household passed]]="no test"),"No Test","Tested")</f>
        <v>No Test</v>
      </c>
      <c r="CH104" s="424">
        <f>WWWW[[#This Row],['#_Constructed/existing protected hand dug well]]-WWWW[[#This Row],['#_Non-functional protected hand dug well]]</f>
        <v>2</v>
      </c>
      <c r="CI104" s="424">
        <f>(WWWW[[#This Row],['#_Constructed/Existing tube wells/boreholes/handpumps_WASH_agency]]+WWWW[[#This Row],['#_Non-Cluster partner water tube-wells/boreholes/handpumps]])-WWWW[[#This Row],['#_Non-functional tube wells/boreholes/handpumps]]</f>
        <v>2</v>
      </c>
      <c r="CJ104" s="424">
        <f>WWWW[[#This Row],['#_Constructed/Existingwater storage tank with gravity fed reticulation system]]-WWWW[[#This Row],['#_Non-functional storage tank gravity fed reticulation system]]</f>
        <v>0</v>
      </c>
      <c r="CK104" s="424">
        <f>(WWWW[[#This Row],['#_Water_Liters_supplied_by_Water boating or water trucking]]/90)/15</f>
        <v>0</v>
      </c>
      <c r="CL104" s="424">
        <f>WWWW[[#This Row],['#_Water_Liters_from_Constructed/Existing water distribution system from river or natural spring]]/90/15</f>
        <v>0</v>
      </c>
      <c r="CM104" s="424">
        <f>IF(WWWW[[#This Row],['#_of water points in TLS/CFS]]*500&gt;WWWW[[#This Row],[Total PoP ]],WWWW[[#This Row],[Total PoP ]],WWWW[[#This Row],['#_of water points in TLS/CFS]]*500)</f>
        <v>0</v>
      </c>
      <c r="CN104" s="424">
        <f>IF(WWWW[[#This Row],['#_of water points in THF]]*500&gt;WWWW[[#This Row],[Total PoP ]],WWWW[[#This Row],[Total PoP ]],WWWW[[#This Row],['#_of water points in THF]]*500)</f>
        <v>0</v>
      </c>
      <c r="CO104"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4"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4" s="423">
        <f>IF(WWWW[[#This Row],[Location Type 1]]="Village",WWWW[[#This Row],[Access to safe drinking water for Village]],WWWW[[#This Row],[Access to safe drinking water for Camp]])</f>
        <v>1</v>
      </c>
      <c r="CR104" s="428">
        <f>WWWW[[#This Row],[%Equitable and continuous access to sufficient quantity of safe drinking water]]*WWWW[[#This Row],[Total PoP ]]</f>
        <v>189</v>
      </c>
      <c r="CS104" s="423">
        <f>IF((WWWW[[#This Row],['#_Constructed/Existing protected/fenced ponds]]*250)/WWWW[[#This Row],[Total PoP ]]&gt;1,1,(WWWW[[#This Row],['#_Constructed/Existing protected/fenced ponds]]*250)/WWWW[[#This Row],[Total PoP ]])</f>
        <v>0</v>
      </c>
      <c r="CT104" s="428">
        <f>WWWW[[#This Row],[% Access to unimproved water points]]*WWWW[[#This Row],[Total PoP ]]</f>
        <v>0</v>
      </c>
      <c r="CU104"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4"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W104" s="428">
        <f>WWWW[[#This Row],[HRP1]]/500</f>
        <v>0.378</v>
      </c>
      <c r="CX104" s="898">
        <f>1-WWWW[[#This Row],[% Equitable and continuous access to sufficient quantity of domestic water]]</f>
        <v>0</v>
      </c>
      <c r="CY104" s="428">
        <f>WWWW[[#This Row],[%equitable and continuous access to sufficient quantity of safe drinking and domestic water''s GAP]]*WWWW[[#This Row],[Total PoP ]]</f>
        <v>0</v>
      </c>
      <c r="CZ104" s="424">
        <f>IF(WWWW[[#This Row],[Total required water points]]-WWWW[[#This Row],['#Water points coverage]]&lt;0,0,WWWW[[#This Row],[Total required water points]]-WWWW[[#This Row],['#Water points coverage]])</f>
        <v>0.622</v>
      </c>
      <c r="DA104" s="424">
        <f>ROUND(IF(WWWW[[#This Row],[Total PoP ]]&lt;500,1,WWWW[[#This Row],[Total PoP ]]/500),0)</f>
        <v>1</v>
      </c>
      <c r="DB104" s="424">
        <f>(WWWW[[#This Row],['#_Constructed latrines_by_WASHAgencies]]+WWWW[[#This Row],['#_Non Cluster partner latrines]])-WWWW[[#This Row],['#_Non-functional latrines]]</f>
        <v>8</v>
      </c>
      <c r="DC104" s="631">
        <f>WWWW[[#This Row],[HRP2]]/WWWW[[#This Row],[Total PoP ]]</f>
        <v>0.86772486772486768</v>
      </c>
      <c r="DD104"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164</v>
      </c>
      <c r="DE104"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4"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4" s="424">
        <f>IF(WWWW[[#This Row],['# of functional latrines in THF supported by WASH partners during the reporting period2]]="",0,WWWW[[#This Row],['# of functional latrines in THF supported by WASH partners during the reporting period2]]*50)</f>
        <v>0</v>
      </c>
      <c r="DH104" s="424">
        <f>ROUND(IF(WWWW[[#This Row],[Location Type 1]]="camp",WWWW[[#This Row],[Total PoP ]]/20,IF(WWWW[[#This Row],[Location Type 1]]="Temporary Location",WWWW[[#This Row],[Total PoP ]]/50,(WWWW[[#This Row],[Total PoP ]]/6))),0)</f>
        <v>9</v>
      </c>
      <c r="DI104" s="424">
        <f>IF(WWWW[[#This Row],[Total required Latrines]]-(WWWW[[#This Row],['#_Constructed latrines_by_WASHAgencies]]+WWWW[[#This Row],['#_Non Cluster partner latrines]])&lt;0,0,WWWW[[#This Row],[Total required Latrines]]-(WWWW[[#This Row],['#_Constructed latrines_by_WASHAgencies]]+WWWW[[#This Row],['#_Non Cluster partner latrines]]))</f>
        <v>1</v>
      </c>
      <c r="DJ104" s="898">
        <f>1-WWWW[[#This Row],[% people access to functioning Latrine]]</f>
        <v>0.13227513227513232</v>
      </c>
      <c r="DK104" s="631">
        <f>IF(OR(WWWW[[#This Row],['#_Non-functional latrines]]="",WWWW[[#This Row],['#_Non-functional latrines]]=0),0,WWWW[[#This Row],['#_Non-functional latrines]]/(WWWW[[#This Row],['#_Constructed latrines_by_WASHAgencies]]+WWWW[[#This Row],['#_Non Cluster partner latrines]]))</f>
        <v>0</v>
      </c>
      <c r="DL104" s="428">
        <f>IF(500*(WWWW[[#This Row],['#_male hygiene promoters]]+WWWW[[#This Row],['#_female hygiene promoters]])&gt;WWWW[[#This Row],[Total PoP ]],WWWW[[#This Row],[Total PoP ]],500*(WWWW[[#This Row],['#_male hygiene promoters]]+WWWW[[#This Row],['#_female hygiene promoters]]))</f>
        <v>0</v>
      </c>
      <c r="DM104"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04"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04" s="424">
        <f>IF(WWWW[[#This Row],['# People with access to soap]]&gt;WWWW[[#This Row],['# People with access to Sanity Pads]],WWWW[[#This Row],['# People with access to soap]],WWWW[[#This Row],['# People with access to Sanity Pads]])</f>
        <v>0</v>
      </c>
      <c r="DP104"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104" s="898">
        <f>IF(WWWW[[#This Row],[HRP3]]/WWWW[[#This Row],[Total PoP ]]&gt;1,1,WWWW[[#This Row],[HRP3]]/WWWW[[#This Row],[Total PoP ]])</f>
        <v>0</v>
      </c>
      <c r="DR104" s="631">
        <f>1-WWWW[[#This Row],[Hygiene Coverage%]]</f>
        <v>1</v>
      </c>
      <c r="DS104" s="423">
        <f>WWWW[[#This Row],['# people reached by regular dedicated hygiene promotion_5]]/WWWW[[#This Row],[Total PoP ]]</f>
        <v>0</v>
      </c>
      <c r="DT104"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04"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04" s="424">
        <f>WWWW[[#This Row],['#_Constructed/Existing hand washing stations]]-WWWW[[#This Row],['#_Non-Functional_hand_washing_stations]]</f>
        <v>0</v>
      </c>
      <c r="DW104" s="428">
        <f>IF(WWWW[[#This Row],['# Functional hand washing stations during reporting period]]*20&gt;WWWW[[#This Row],[Total HH]],WWWW[[#This Row],[Total HH]],WWWW[[#This Row],['# Functional hand washing stations during reporting period]]*20)</f>
        <v>0</v>
      </c>
      <c r="DX104" s="428">
        <f>IF(WWWW[[#This Row],[Is sufficient soap available for TLS? (Yes/No)]]="yes",WWWW[[#This Row],['#_Constructed/Existing hand washing stations at TLS/CFS/THF]],0)</f>
        <v>0</v>
      </c>
      <c r="DY104" s="428">
        <f>IF(WWWW[[#This Row],['# Functional hand washing stations during reporting period]]*100&gt;WWWW[[#This Row],[Total PoP ]],WWWW[[#This Row],[Total PoP ]],WWWW[[#This Row],['# Functional hand washing stations during reporting period]]*100)</f>
        <v>0</v>
      </c>
      <c r="DZ104" s="428" t="str">
        <f>IF(OR(WWWW[[#This Row],['#_students at TLS_CFS]]="",WWWW[[#This Row],['#_students at TLS_CFS]]=0),"No","Yes")</f>
        <v>No</v>
      </c>
      <c r="EA10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4" s="425" t="e">
        <f>VLOOKUP(WWWW[[#This Row],[Site Name]],SiteDB6[[Site Name]:[CCCM Management]],6,FALSE)</f>
        <v>#N/A</v>
      </c>
      <c r="EF104" s="425" t="e">
        <f>VLOOKUP(WWWW[[#This Row],[Site Name]],SiteDB6[[Site Name]:[CCCM Focal Agency]],7,FALSE)</f>
        <v>#N/A</v>
      </c>
      <c r="EG104" s="425" t="s">
        <v>43</v>
      </c>
      <c r="EH104" s="425" t="s">
        <v>43</v>
      </c>
      <c r="EI104" s="425" t="s">
        <v>44</v>
      </c>
      <c r="EJ104" s="425" t="e">
        <f>VLOOKUP(WWWW[[#This Row],[Site Name]],SiteDB6[[Site Name]:[Lat]],12,FALSE)</f>
        <v>#N/A</v>
      </c>
      <c r="EK104" s="425" t="e">
        <f>VLOOKUP(WWWW[[#This Row],[Site Name]],SiteDB6[[Site Name]:[Long]],13,FALSE)</f>
        <v>#N/A</v>
      </c>
      <c r="EL104" s="425" t="e">
        <f>VLOOKUP(WWWW[[#This Row],[Site Name]],SiteDB6[[Site Name]:[Pcode]],3,FALSE)</f>
        <v>#N/A</v>
      </c>
      <c r="EM104" s="860" t="str">
        <f t="shared" si="1"/>
        <v>Covered</v>
      </c>
      <c r="EN104" s="860"/>
      <c r="EO104" s="425" t="e">
        <f>VLOOKUP(WWWW[[#This Row],[Site Name]],SiteDB6[[Site Name]:[Pop
(Kachin/Shan-CCCM as of July 2021)]],16,FALSE)</f>
        <v>#N/A</v>
      </c>
      <c r="EP104" s="425" t="e">
        <f>VLOOKUP(WWWW[[#This Row],[Site Name]],SiteDB6[[Site Name]:[Pop
(Kachin/Shan-CCCM as of July 2021)]],17,FALSE)</f>
        <v>#N/A</v>
      </c>
    </row>
    <row r="105" spans="1:146" hidden="1">
      <c r="A105" s="725" t="s">
        <v>2763</v>
      </c>
      <c r="B105" s="725" t="s">
        <v>36</v>
      </c>
      <c r="C105" s="726" t="s">
        <v>36</v>
      </c>
      <c r="D105" s="726" t="s">
        <v>241</v>
      </c>
      <c r="E105" s="726" t="s">
        <v>37</v>
      </c>
      <c r="F105" s="726" t="s">
        <v>159</v>
      </c>
      <c r="G105" s="591" t="str">
        <f>VLOOKUP(WWWW[[#This Row],[Site Name]],SiteDB6[[Site Name]:[Location Type]],8,FALSE)</f>
        <v>Camp</v>
      </c>
      <c r="H105" s="726" t="s">
        <v>234</v>
      </c>
      <c r="I105" s="728">
        <v>63</v>
      </c>
      <c r="J105" s="728">
        <v>309</v>
      </c>
      <c r="K105" s="729">
        <v>44414</v>
      </c>
      <c r="L105" s="730">
        <v>44778</v>
      </c>
      <c r="M105" s="728"/>
      <c r="N105" s="728"/>
      <c r="O105" s="728"/>
      <c r="P105" s="728"/>
      <c r="Q105" s="731" t="s">
        <v>41</v>
      </c>
      <c r="R105" s="728">
        <v>2</v>
      </c>
      <c r="S105" s="728">
        <v>9</v>
      </c>
      <c r="T105" s="448"/>
      <c r="U105" s="728"/>
      <c r="V105" s="728"/>
      <c r="W105" s="728">
        <v>4</v>
      </c>
      <c r="X105" s="728"/>
      <c r="Y105" s="728"/>
      <c r="Z105" s="728"/>
      <c r="AA105" s="728"/>
      <c r="AB105" s="728"/>
      <c r="AC105" s="728"/>
      <c r="AD105" s="728"/>
      <c r="AE105" s="728"/>
      <c r="AF105" s="728"/>
      <c r="AG105" s="728"/>
      <c r="AH105" s="728"/>
      <c r="AI105" s="728"/>
      <c r="AJ105" s="728"/>
      <c r="AK105" s="728"/>
      <c r="AL105" s="728"/>
      <c r="AM105" s="728">
        <v>4</v>
      </c>
      <c r="AN105" s="728"/>
      <c r="AO105" s="728"/>
      <c r="AP105" s="732"/>
      <c r="AQ105" s="728">
        <v>20</v>
      </c>
      <c r="AR105" s="728"/>
      <c r="AS105" s="733"/>
      <c r="AT105" s="728"/>
      <c r="AU105" s="728"/>
      <c r="AV105" s="728"/>
      <c r="AW105" s="728"/>
      <c r="AX105" s="728"/>
      <c r="AY105" s="727" t="s">
        <v>41</v>
      </c>
      <c r="AZ105" s="732" t="s">
        <v>137</v>
      </c>
      <c r="BA105" s="728">
        <v>1</v>
      </c>
      <c r="BB105" s="728"/>
      <c r="BC105" s="728"/>
      <c r="BD105" s="448"/>
      <c r="BE105" s="448"/>
      <c r="BF105" s="727"/>
      <c r="BG105" s="728">
        <v>7</v>
      </c>
      <c r="BH105" s="728"/>
      <c r="BI105" s="728"/>
      <c r="BJ105" s="728">
        <v>7</v>
      </c>
      <c r="BK105" s="728"/>
      <c r="BL105" s="728">
        <v>1</v>
      </c>
      <c r="BM105" s="728">
        <v>1</v>
      </c>
      <c r="BN105" s="728">
        <v>104</v>
      </c>
      <c r="BO105" s="728">
        <v>148</v>
      </c>
      <c r="BP105" s="727"/>
      <c r="BQ105" s="734"/>
      <c r="BR105" s="733"/>
      <c r="BS105" s="727"/>
      <c r="BT105" s="423"/>
      <c r="BU105" s="423"/>
      <c r="BV105" s="425"/>
      <c r="BW105" s="423"/>
      <c r="BX105" s="448"/>
      <c r="BY105" s="448"/>
      <c r="BZ105" s="448"/>
      <c r="CA105" s="448"/>
      <c r="CB105" s="448"/>
      <c r="CC105" s="777"/>
      <c r="CD105" s="448"/>
      <c r="CE105" s="735" t="str">
        <f>IFERROR(WWWW[[#This Row],['#_Water sources passed]]/WWWW[[#This Row],['#_Water sources tested for fecal coliform ]],"no test")</f>
        <v>no test</v>
      </c>
      <c r="CF105" s="733" t="str">
        <f>IFERROR(WWWW[[#This Row],['#_Household passed]]/WWWW[[#This Row],['#_Household water samples tested for fecal coliform]],"no test")</f>
        <v>no test</v>
      </c>
      <c r="CG105" s="734" t="str">
        <f>IF(AND(WWWW[[#This Row],[% of water sources passed]]="no test",WWWW[[#This Row],[% Household passed]]="no test"),"No Test","Tested")</f>
        <v>No Test</v>
      </c>
      <c r="CH105" s="734">
        <f>WWWW[[#This Row],['#_Constructed/existing protected hand dug well]]-WWWW[[#This Row],['#_Non-functional protected hand dug well]]</f>
        <v>0</v>
      </c>
      <c r="CI105" s="734">
        <f>(WWWW[[#This Row],['#_Constructed/Existing tube wells/boreholes/handpumps_WASH_agency]]+WWWW[[#This Row],['#_Non-Cluster partner water tube-wells/boreholes/handpumps]])-WWWW[[#This Row],['#_Non-functional tube wells/boreholes/handpumps]]</f>
        <v>4</v>
      </c>
      <c r="CJ105" s="734">
        <f>WWWW[[#This Row],['#_Constructed/Existingwater storage tank with gravity fed reticulation system]]-WWWW[[#This Row],['#_Non-functional storage tank gravity fed reticulation system]]</f>
        <v>0</v>
      </c>
      <c r="CK105" s="734">
        <f>(WWWW[[#This Row],['#_Water_Liters_supplied_by_Water boating or water trucking]]/90)/15</f>
        <v>0</v>
      </c>
      <c r="CL105" s="734">
        <f>WWWW[[#This Row],['#_Water_Liters_from_Constructed/Existing water distribution system from river or natural spring]]/90/15</f>
        <v>0</v>
      </c>
      <c r="CM105" s="424">
        <f>IF(WWWW[[#This Row],['#_of water points in TLS/CFS]]*500&gt;WWWW[[#This Row],[Total PoP ]],WWWW[[#This Row],[Total PoP ]],WWWW[[#This Row],['#_of water points in TLS/CFS]]*500)</f>
        <v>0</v>
      </c>
      <c r="CN105" s="424">
        <f>IF(WWWW[[#This Row],['#_of water points in THF]]*500&gt;WWWW[[#This Row],[Total PoP ]],WWWW[[#This Row],[Total PoP ]],WWWW[[#This Row],['#_of water points in THF]]*500)</f>
        <v>0</v>
      </c>
      <c r="CO10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5" s="733">
        <f>IF(WWWW[[#This Row],[Location Type 1]]="Village",WWWW[[#This Row],[Access to safe drinking water for Village]],WWWW[[#This Row],[Access to safe drinking water for Camp]])</f>
        <v>1</v>
      </c>
      <c r="CR105" s="731">
        <f>WWWW[[#This Row],[%Equitable and continuous access to sufficient quantity of safe drinking water]]*WWWW[[#This Row],[Total PoP ]]</f>
        <v>309</v>
      </c>
      <c r="CS105" s="733">
        <f>IF((WWWW[[#This Row],['#_Constructed/Existing protected/fenced ponds]]*250)/WWWW[[#This Row],[Total PoP ]]&gt;1,1,(WWWW[[#This Row],['#_Constructed/Existing protected/fenced ponds]]*250)/WWWW[[#This Row],[Total PoP ]])</f>
        <v>0</v>
      </c>
      <c r="CT105" s="731">
        <f>WWWW[[#This Row],[% Access to unimproved water points]]*WWWW[[#This Row],[Total PoP ]]</f>
        <v>0</v>
      </c>
      <c r="CU10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v>
      </c>
      <c r="CW105" s="731">
        <f>WWWW[[#This Row],[HRP1]]/500</f>
        <v>0.61799999999999999</v>
      </c>
      <c r="CX105" s="736">
        <f>1-WWWW[[#This Row],[% Equitable and continuous access to sufficient quantity of domestic water]]</f>
        <v>0</v>
      </c>
      <c r="CY105" s="731">
        <f>WWWW[[#This Row],[%equitable and continuous access to sufficient quantity of safe drinking and domestic water''s GAP]]*WWWW[[#This Row],[Total PoP ]]</f>
        <v>0</v>
      </c>
      <c r="CZ105" s="734">
        <f>IF(WWWW[[#This Row],[Total required water points]]-WWWW[[#This Row],['#Water points coverage]]&lt;0,0,WWWW[[#This Row],[Total required water points]]-WWWW[[#This Row],['#Water points coverage]])</f>
        <v>0.38200000000000001</v>
      </c>
      <c r="DA105" s="734">
        <f>ROUND(IF(WWWW[[#This Row],[Total PoP ]]&lt;500,1,WWWW[[#This Row],[Total PoP ]]/500),0)</f>
        <v>1</v>
      </c>
      <c r="DB105" s="734">
        <f>(WWWW[[#This Row],['#_Constructed latrines_by_WASHAgencies]]+WWWW[[#This Row],['#_Non Cluster partner latrines]])-WWWW[[#This Row],['#_Non-functional latrines]]</f>
        <v>20</v>
      </c>
      <c r="DC105" s="631">
        <f>WWWW[[#This Row],[HRP2]]/WWWW[[#This Row],[Total PoP ]]</f>
        <v>1</v>
      </c>
      <c r="DD10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309</v>
      </c>
      <c r="DE10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5" s="424">
        <f>IF(WWWW[[#This Row],['# of functional latrines in THF supported by WASH partners during the reporting period2]]="",0,WWWW[[#This Row],['# of functional latrines in THF supported by WASH partners during the reporting period2]]*50)</f>
        <v>0</v>
      </c>
      <c r="DH105" s="734">
        <f>ROUND(IF(WWWW[[#This Row],[Location Type 1]]="camp",WWWW[[#This Row],[Total PoP ]]/20,IF(WWWW[[#This Row],[Location Type 1]]="Temporary Location",WWWW[[#This Row],[Total PoP ]]/50,(WWWW[[#This Row],[Total PoP ]]/6))),0)</f>
        <v>15</v>
      </c>
      <c r="DI105" s="734">
        <f>IF(WWWW[[#This Row],[Total required Latrines]]-(WWWW[[#This Row],['#_Constructed latrines_by_WASHAgencies]]+WWWW[[#This Row],['#_Non Cluster partner latrines]])&lt;0,0,WWWW[[#This Row],[Total required Latrines]]-(WWWW[[#This Row],['#_Constructed latrines_by_WASHAgencies]]+WWWW[[#This Row],['#_Non Cluster partner latrines]]))</f>
        <v>0</v>
      </c>
      <c r="DJ105" s="736">
        <f>1-WWWW[[#This Row],[% people access to functioning Latrine]]</f>
        <v>0</v>
      </c>
      <c r="DK105" s="735">
        <f>IF(OR(WWWW[[#This Row],['#_Non-functional latrines]]="",WWWW[[#This Row],['#_Non-functional latrines]]=0),0,WWWW[[#This Row],['#_Non-functional latrines]]/(WWWW[[#This Row],['#_Constructed latrines_by_WASHAgencies]]+WWWW[[#This Row],['#_Non Cluster partner latrines]]))</f>
        <v>0</v>
      </c>
      <c r="DL105" s="731">
        <f>IF(500*(WWWW[[#This Row],['#_male hygiene promoters]]+WWWW[[#This Row],['#_female hygiene promoters]])&gt;WWWW[[#This Row],[Total PoP ]],WWWW[[#This Row],[Total PoP ]],500*(WWWW[[#This Row],['#_male hygiene promoters]]+WWWW[[#This Row],['#_female hygiene promoters]]))</f>
        <v>309</v>
      </c>
      <c r="DM10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309</v>
      </c>
      <c r="DN10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05" s="734">
        <f>IF(WWWW[[#This Row],['# People with access to soap]]&gt;WWWW[[#This Row],['# People with access to Sanity Pads]],WWWW[[#This Row],['# People with access to soap]],WWWW[[#This Row],['# People with access to Sanity Pads]])</f>
        <v>309</v>
      </c>
      <c r="DP105" s="734">
        <f>IF(WWWW[[#This Row],['# people reached by regular dedicated hygiene promotion_5]]&gt;WWWW[[#This Row],['# People received regular supply of hygiene items_6]],WWWW[[#This Row],['# people reached by regular dedicated hygiene promotion_5]],WWWW[[#This Row],['# People received regular supply of hygiene items_6]])</f>
        <v>309</v>
      </c>
      <c r="DQ105" s="736">
        <f>IF(WWWW[[#This Row],[HRP3]]/WWWW[[#This Row],[Total PoP ]]&gt;1,1,WWWW[[#This Row],[HRP3]]/WWWW[[#This Row],[Total PoP ]])</f>
        <v>1</v>
      </c>
      <c r="DR105" s="735">
        <f>1-WWWW[[#This Row],[Hygiene Coverage%]]</f>
        <v>0</v>
      </c>
      <c r="DS105" s="733">
        <f>WWWW[[#This Row],['# people reached by regular dedicated hygiene promotion_5]]/WWWW[[#This Row],[Total PoP ]]</f>
        <v>1</v>
      </c>
      <c r="DT10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5" s="734">
        <f>WWWW[[#This Row],['#_Constructed/Existing hand washing stations]]-WWWW[[#This Row],['#_Non-Functional_hand_washing_stations]]</f>
        <v>7</v>
      </c>
      <c r="DW105" s="731">
        <f>IF(WWWW[[#This Row],['# Functional hand washing stations during reporting period]]*20&gt;WWWW[[#This Row],[Total HH]],WWWW[[#This Row],[Total HH]],WWWW[[#This Row],['# Functional hand washing stations during reporting period]]*20)</f>
        <v>63</v>
      </c>
      <c r="DX105" s="731">
        <f>IF(WWWW[[#This Row],[Is sufficient soap available for TLS? (Yes/No)]]="yes",WWWW[[#This Row],['#_Constructed/Existing hand washing stations at TLS/CFS/THF]],0)</f>
        <v>0</v>
      </c>
      <c r="DY105" s="428">
        <f>IF(WWWW[[#This Row],['# Functional hand washing stations during reporting period]]*100&gt;WWWW[[#This Row],[Total PoP ]],WWWW[[#This Row],[Total PoP ]],WWWW[[#This Row],['# Functional hand washing stations during reporting period]]*100)</f>
        <v>309</v>
      </c>
      <c r="DZ105" s="428" t="str">
        <f>IF(OR(WWWW[[#This Row],['#_students at TLS_CFS]]="",WWWW[[#This Row],['#_students at TLS_CFS]]=0),"No","Yes")</f>
        <v>No</v>
      </c>
      <c r="EA10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5" s="727" t="str">
        <f>VLOOKUP(WWWW[[#This Row],[Site Name]],SiteDB6[[Site Name]:[CCCM Management]],6,FALSE)</f>
        <v>Yes</v>
      </c>
      <c r="EF105" s="727" t="str">
        <f>VLOOKUP(WWWW[[#This Row],[Site Name]],SiteDB6[[Site Name]:[CCCM Focal Agency]],7,FALSE)</f>
        <v>KMSS-MYT</v>
      </c>
      <c r="EG105" s="727" t="str">
        <f>VLOOKUP(WWWW[[#This Row],[Site Name]],SiteDB6[[Site Name]:[Location Type 1]],9,FALSE)</f>
        <v>Camp</v>
      </c>
      <c r="EH105" s="727" t="str">
        <f>VLOOKUP(WWWW[[#This Row],[Site Name]],SiteDB6[[Site Name]:[Type of Accommodation]],10,FALSE)</f>
        <v>Camp</v>
      </c>
      <c r="EI105" s="727" t="str">
        <f>VLOOKUP(WWWW[[#This Row],[Site Name]],SiteDB6[[Site Name]:[Ethnic or GCA/NGCA]],11,FALSE)</f>
        <v>GCA</v>
      </c>
      <c r="EJ105" s="727">
        <f>VLOOKUP(WWWW[[#This Row],[Site Name]],SiteDB6[[Site Name]:[Lat]],12,FALSE)</f>
        <v>25.410569299999999</v>
      </c>
      <c r="EK105" s="727">
        <f>VLOOKUP(WWWW[[#This Row],[Site Name]],SiteDB6[[Site Name]:[Long]],13,FALSE)</f>
        <v>97.359320179999997</v>
      </c>
      <c r="EL105" s="727" t="str">
        <f>VLOOKUP(WWWW[[#This Row],[Site Name]],SiteDB6[[Site Name]:[Pcode]],3,FALSE)</f>
        <v>MMR001CMP024</v>
      </c>
      <c r="EM105" s="732" t="str">
        <f t="shared" si="1"/>
        <v>Covered</v>
      </c>
      <c r="EN105" s="732"/>
      <c r="EO105" s="727">
        <f>VLOOKUP(WWWW[[#This Row],[Site Name]],SiteDB6[[Site Name]:[Pop
(Kachin/Shan-CCCM as of July 2021)]],16,FALSE)</f>
        <v>61</v>
      </c>
      <c r="EP105" s="727">
        <f>VLOOKUP(WWWW[[#This Row],[Site Name]],SiteDB6[[Site Name]:[Pop
(Kachin/Shan-CCCM as of July 2021)]],17,FALSE)</f>
        <v>290</v>
      </c>
    </row>
    <row r="106" spans="1:146" hidden="1">
      <c r="A106" s="725" t="s">
        <v>2763</v>
      </c>
      <c r="B106" s="725" t="s">
        <v>36</v>
      </c>
      <c r="C106" s="726" t="s">
        <v>36</v>
      </c>
      <c r="D106" s="726" t="s">
        <v>241</v>
      </c>
      <c r="E106" s="726" t="s">
        <v>37</v>
      </c>
      <c r="F106" s="726" t="s">
        <v>148</v>
      </c>
      <c r="G106" s="591" t="str">
        <f>VLOOKUP(WWWW[[#This Row],[Site Name]],SiteDB6[[Site Name]:[Location Type]],8,FALSE)</f>
        <v>Camp</v>
      </c>
      <c r="H106" s="726" t="s">
        <v>231</v>
      </c>
      <c r="I106" s="788">
        <v>50</v>
      </c>
      <c r="J106" s="788">
        <v>218</v>
      </c>
      <c r="K106" s="798">
        <v>44414</v>
      </c>
      <c r="L106" s="799">
        <v>44778</v>
      </c>
      <c r="M106" s="728"/>
      <c r="N106" s="728">
        <v>1</v>
      </c>
      <c r="O106" s="728"/>
      <c r="P106" s="728"/>
      <c r="Q106" s="731" t="s">
        <v>41</v>
      </c>
      <c r="R106" s="728">
        <v>3</v>
      </c>
      <c r="S106" s="728">
        <v>3</v>
      </c>
      <c r="T106" s="448">
        <v>1</v>
      </c>
      <c r="U106" s="728"/>
      <c r="V106" s="728"/>
      <c r="W106" s="728"/>
      <c r="X106" s="728"/>
      <c r="Y106" s="728"/>
      <c r="Z106" s="728"/>
      <c r="AA106" s="728"/>
      <c r="AB106" s="728"/>
      <c r="AC106" s="728"/>
      <c r="AD106" s="728"/>
      <c r="AE106" s="728"/>
      <c r="AF106" s="728"/>
      <c r="AG106" s="728"/>
      <c r="AH106" s="728"/>
      <c r="AI106" s="728"/>
      <c r="AJ106" s="728"/>
      <c r="AK106" s="728"/>
      <c r="AL106" s="728"/>
      <c r="AM106" s="728">
        <v>4</v>
      </c>
      <c r="AN106" s="728"/>
      <c r="AO106" s="728"/>
      <c r="AP106" s="732"/>
      <c r="AQ106" s="728">
        <v>16</v>
      </c>
      <c r="AR106" s="728"/>
      <c r="AS106" s="733"/>
      <c r="AT106" s="728"/>
      <c r="AU106" s="728"/>
      <c r="AV106" s="728"/>
      <c r="AW106" s="728"/>
      <c r="AX106" s="728"/>
      <c r="AY106" s="727" t="s">
        <v>41</v>
      </c>
      <c r="AZ106" s="732" t="s">
        <v>137</v>
      </c>
      <c r="BA106" s="728"/>
      <c r="BB106" s="728"/>
      <c r="BC106" s="728"/>
      <c r="BD106" s="448"/>
      <c r="BE106" s="448"/>
      <c r="BF106" s="727"/>
      <c r="BG106" s="728">
        <v>7</v>
      </c>
      <c r="BH106" s="728"/>
      <c r="BI106" s="728"/>
      <c r="BJ106" s="728">
        <v>4</v>
      </c>
      <c r="BK106" s="728"/>
      <c r="BL106" s="728"/>
      <c r="BM106" s="728"/>
      <c r="BN106" s="728">
        <v>124</v>
      </c>
      <c r="BO106" s="728">
        <v>198</v>
      </c>
      <c r="BP106" s="727"/>
      <c r="BQ106" s="734"/>
      <c r="BR106" s="733"/>
      <c r="BS106" s="727"/>
      <c r="BT106" s="423"/>
      <c r="BU106" s="423"/>
      <c r="BV106" s="425"/>
      <c r="BW106" s="423"/>
      <c r="BX106" s="448"/>
      <c r="BY106" s="448"/>
      <c r="BZ106" s="448"/>
      <c r="CA106" s="448"/>
      <c r="CB106" s="448"/>
      <c r="CC106" s="777"/>
      <c r="CD106" s="448"/>
      <c r="CE106" s="735" t="str">
        <f>IFERROR(WWWW[[#This Row],['#_Water sources passed]]/WWWW[[#This Row],['#_Water sources tested for fecal coliform ]],"no test")</f>
        <v>no test</v>
      </c>
      <c r="CF106" s="733" t="str">
        <f>IFERROR(WWWW[[#This Row],['#_Household passed]]/WWWW[[#This Row],['#_Household water samples tested for fecal coliform]],"no test")</f>
        <v>no test</v>
      </c>
      <c r="CG106" s="734" t="str">
        <f>IF(AND(WWWW[[#This Row],[% of water sources passed]]="no test",WWWW[[#This Row],[% Household passed]]="no test"),"No Test","Tested")</f>
        <v>No Test</v>
      </c>
      <c r="CH106" s="734">
        <f>WWWW[[#This Row],['#_Constructed/existing protected hand dug well]]-WWWW[[#This Row],['#_Non-functional protected hand dug well]]</f>
        <v>1</v>
      </c>
      <c r="CI106" s="734">
        <f>(WWWW[[#This Row],['#_Constructed/Existing tube wells/boreholes/handpumps_WASH_agency]]+WWWW[[#This Row],['#_Non-Cluster partner water tube-wells/boreholes/handpumps]])-WWWW[[#This Row],['#_Non-functional tube wells/boreholes/handpumps]]</f>
        <v>0</v>
      </c>
      <c r="CJ106" s="734">
        <f>WWWW[[#This Row],['#_Constructed/Existingwater storage tank with gravity fed reticulation system]]-WWWW[[#This Row],['#_Non-functional storage tank gravity fed reticulation system]]</f>
        <v>0</v>
      </c>
      <c r="CK106" s="734">
        <f>(WWWW[[#This Row],['#_Water_Liters_supplied_by_Water boating or water trucking]]/90)/15</f>
        <v>0</v>
      </c>
      <c r="CL106" s="734">
        <f>WWWW[[#This Row],['#_Water_Liters_from_Constructed/Existing water distribution system from river or natural spring]]/90/15</f>
        <v>0</v>
      </c>
      <c r="CM106" s="424">
        <f>IF(WWWW[[#This Row],['#_of water points in TLS/CFS]]*500&gt;WWWW[[#This Row],[Total PoP ]],WWWW[[#This Row],[Total PoP ]],WWWW[[#This Row],['#_of water points in TLS/CFS]]*500)</f>
        <v>0</v>
      </c>
      <c r="CN106" s="424">
        <f>IF(WWWW[[#This Row],['#_of water points in THF]]*500&gt;WWWW[[#This Row],[Total PoP ]],WWWW[[#This Row],[Total PoP ]],WWWW[[#This Row],['#_of water points in THF]]*500)</f>
        <v>0</v>
      </c>
      <c r="CO10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6" s="733">
        <f>IF(WWWW[[#This Row],[Location Type 1]]="Village",WWWW[[#This Row],[Access to safe drinking water for Village]],WWWW[[#This Row],[Access to safe drinking water for Camp]])</f>
        <v>1</v>
      </c>
      <c r="CR106" s="731">
        <f>WWWW[[#This Row],[%Equitable and continuous access to sufficient quantity of safe drinking water]]*WWWW[[#This Row],[Total PoP ]]</f>
        <v>218</v>
      </c>
      <c r="CS106" s="733">
        <f>IF((WWWW[[#This Row],['#_Constructed/Existing protected/fenced ponds]]*250)/WWWW[[#This Row],[Total PoP ]]&gt;1,1,(WWWW[[#This Row],['#_Constructed/Existing protected/fenced ponds]]*250)/WWWW[[#This Row],[Total PoP ]])</f>
        <v>0</v>
      </c>
      <c r="CT106" s="731">
        <f>WWWW[[#This Row],[% Access to unimproved water points]]*WWWW[[#This Row],[Total PoP ]]</f>
        <v>0</v>
      </c>
      <c r="CU10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W106" s="731">
        <f>WWWW[[#This Row],[HRP1]]/500</f>
        <v>0.436</v>
      </c>
      <c r="CX106" s="736">
        <f>1-WWWW[[#This Row],[% Equitable and continuous access to sufficient quantity of domestic water]]</f>
        <v>0</v>
      </c>
      <c r="CY106" s="731">
        <f>WWWW[[#This Row],[%equitable and continuous access to sufficient quantity of safe drinking and domestic water''s GAP]]*WWWW[[#This Row],[Total PoP ]]</f>
        <v>0</v>
      </c>
      <c r="CZ106" s="734">
        <f>IF(WWWW[[#This Row],[Total required water points]]-WWWW[[#This Row],['#Water points coverage]]&lt;0,0,WWWW[[#This Row],[Total required water points]]-WWWW[[#This Row],['#Water points coverage]])</f>
        <v>0.56400000000000006</v>
      </c>
      <c r="DA106" s="734">
        <f>ROUND(IF(WWWW[[#This Row],[Total PoP ]]&lt;500,1,WWWW[[#This Row],[Total PoP ]]/500),0)</f>
        <v>1</v>
      </c>
      <c r="DB106" s="734">
        <f>(WWWW[[#This Row],['#_Constructed latrines_by_WASHAgencies]]+WWWW[[#This Row],['#_Non Cluster partner latrines]])-WWWW[[#This Row],['#_Non-functional latrines]]</f>
        <v>16</v>
      </c>
      <c r="DC106" s="631">
        <f>WWWW[[#This Row],[HRP2]]/WWWW[[#This Row],[Total PoP ]]</f>
        <v>1</v>
      </c>
      <c r="DD10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DE10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6" s="424">
        <f>IF(WWWW[[#This Row],['# of functional latrines in THF supported by WASH partners during the reporting period2]]="",0,WWWW[[#This Row],['# of functional latrines in THF supported by WASH partners during the reporting period2]]*50)</f>
        <v>0</v>
      </c>
      <c r="DH106" s="734">
        <f>ROUND(IF(WWWW[[#This Row],[Location Type 1]]="camp",WWWW[[#This Row],[Total PoP ]]/20,IF(WWWW[[#This Row],[Location Type 1]]="Temporary Location",WWWW[[#This Row],[Total PoP ]]/50,(WWWW[[#This Row],[Total PoP ]]/6))),0)</f>
        <v>11</v>
      </c>
      <c r="DI106" s="734">
        <f>IF(WWWW[[#This Row],[Total required Latrines]]-(WWWW[[#This Row],['#_Constructed latrines_by_WASHAgencies]]+WWWW[[#This Row],['#_Non Cluster partner latrines]])&lt;0,0,WWWW[[#This Row],[Total required Latrines]]-(WWWW[[#This Row],['#_Constructed latrines_by_WASHAgencies]]+WWWW[[#This Row],['#_Non Cluster partner latrines]]))</f>
        <v>0</v>
      </c>
      <c r="DJ106" s="736">
        <f>1-WWWW[[#This Row],[% people access to functioning Latrine]]</f>
        <v>0</v>
      </c>
      <c r="DK106" s="735">
        <f>IF(OR(WWWW[[#This Row],['#_Non-functional latrines]]="",WWWW[[#This Row],['#_Non-functional latrines]]=0),0,WWWW[[#This Row],['#_Non-functional latrines]]/(WWWW[[#This Row],['#_Constructed latrines_by_WASHAgencies]]+WWWW[[#This Row],['#_Non Cluster partner latrines]]))</f>
        <v>0</v>
      </c>
      <c r="DL106" s="731">
        <f>IF(500*(WWWW[[#This Row],['#_male hygiene promoters]]+WWWW[[#This Row],['#_female hygiene promoters]])&gt;WWWW[[#This Row],[Total PoP ]],WWWW[[#This Row],[Total PoP ]],500*(WWWW[[#This Row],['#_male hygiene promoters]]+WWWW[[#This Row],['#_female hygiene promoters]]))</f>
        <v>0</v>
      </c>
      <c r="DM10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218</v>
      </c>
      <c r="DN10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06" s="734">
        <f>IF(WWWW[[#This Row],['# People with access to soap]]&gt;WWWW[[#This Row],['# People with access to Sanity Pads]],WWWW[[#This Row],['# People with access to soap]],WWWW[[#This Row],['# People with access to Sanity Pads]])</f>
        <v>218</v>
      </c>
      <c r="DP106" s="734">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Q106" s="736">
        <f>IF(WWWW[[#This Row],[HRP3]]/WWWW[[#This Row],[Total PoP ]]&gt;1,1,WWWW[[#This Row],[HRP3]]/WWWW[[#This Row],[Total PoP ]])</f>
        <v>1</v>
      </c>
      <c r="DR106" s="735">
        <f>1-WWWW[[#This Row],[Hygiene Coverage%]]</f>
        <v>0</v>
      </c>
      <c r="DS106" s="733">
        <f>WWWW[[#This Row],['# people reached by regular dedicated hygiene promotion_5]]/WWWW[[#This Row],[Total PoP ]]</f>
        <v>0</v>
      </c>
      <c r="DT10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6" s="734">
        <f>WWWW[[#This Row],['#_Constructed/Existing hand washing stations]]-WWWW[[#This Row],['#_Non-Functional_hand_washing_stations]]</f>
        <v>7</v>
      </c>
      <c r="DW106" s="731">
        <f>IF(WWWW[[#This Row],['# Functional hand washing stations during reporting period]]*20&gt;WWWW[[#This Row],[Total HH]],WWWW[[#This Row],[Total HH]],WWWW[[#This Row],['# Functional hand washing stations during reporting period]]*20)</f>
        <v>50</v>
      </c>
      <c r="DX106" s="731">
        <f>IF(WWWW[[#This Row],[Is sufficient soap available for TLS? (Yes/No)]]="yes",WWWW[[#This Row],['#_Constructed/Existing hand washing stations at TLS/CFS/THF]],0)</f>
        <v>0</v>
      </c>
      <c r="DY106" s="428">
        <f>IF(WWWW[[#This Row],['# Functional hand washing stations during reporting period]]*100&gt;WWWW[[#This Row],[Total PoP ]],WWWW[[#This Row],[Total PoP ]],WWWW[[#This Row],['# Functional hand washing stations during reporting period]]*100)</f>
        <v>218</v>
      </c>
      <c r="DZ106" s="428" t="str">
        <f>IF(OR(WWWW[[#This Row],['#_students at TLS_CFS]]="",WWWW[[#This Row],['#_students at TLS_CFS]]=0),"No","Yes")</f>
        <v>No</v>
      </c>
      <c r="EA10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6" s="727" t="str">
        <f>VLOOKUP(WWWW[[#This Row],[Site Name]],SiteDB6[[Site Name]:[CCCM Management]],6,FALSE)</f>
        <v>Yes</v>
      </c>
      <c r="EF106" s="727" t="str">
        <f>VLOOKUP(WWWW[[#This Row],[Site Name]],SiteDB6[[Site Name]:[CCCM Focal Agency]],7,FALSE)</f>
        <v>KMSS-MYT</v>
      </c>
      <c r="EG106" s="727" t="str">
        <f>VLOOKUP(WWWW[[#This Row],[Site Name]],SiteDB6[[Site Name]:[Location Type 1]],9,FALSE)</f>
        <v>Camp</v>
      </c>
      <c r="EH106" s="727" t="str">
        <f>VLOOKUP(WWWW[[#This Row],[Site Name]],SiteDB6[[Site Name]:[Type of Accommodation]],10,FALSE)</f>
        <v>Camp</v>
      </c>
      <c r="EI106" s="727" t="str">
        <f>VLOOKUP(WWWW[[#This Row],[Site Name]],SiteDB6[[Site Name]:[Ethnic or GCA/NGCA]],11,FALSE)</f>
        <v>GCA</v>
      </c>
      <c r="EJ106" s="727">
        <f>VLOOKUP(WWWW[[#This Row],[Site Name]],SiteDB6[[Site Name]:[Lat]],12,FALSE)</f>
        <v>25.613894999999999</v>
      </c>
      <c r="EK106" s="727">
        <f>VLOOKUP(WWWW[[#This Row],[Site Name]],SiteDB6[[Site Name]:[Long]],13,FALSE)</f>
        <v>96.341352999999998</v>
      </c>
      <c r="EL106" s="727" t="str">
        <f>VLOOKUP(WWWW[[#This Row],[Site Name]],SiteDB6[[Site Name]:[Pcode]],3,FALSE)</f>
        <v>MMR001CMP103</v>
      </c>
      <c r="EM106" s="732" t="str">
        <f t="shared" si="1"/>
        <v>Covered</v>
      </c>
      <c r="EN106" s="732"/>
      <c r="EO106" s="727">
        <f>VLOOKUP(WWWW[[#This Row],[Site Name]],SiteDB6[[Site Name]:[Pop
(Kachin/Shan-CCCM as of July 2021)]],16,FALSE)</f>
        <v>47</v>
      </c>
      <c r="EP106" s="727">
        <f>VLOOKUP(WWWW[[#This Row],[Site Name]],SiteDB6[[Site Name]:[Pop
(Kachin/Shan-CCCM as of July 2021)]],17,FALSE)</f>
        <v>226</v>
      </c>
    </row>
    <row r="107" spans="1:146" hidden="1">
      <c r="A107" s="725" t="s">
        <v>2763</v>
      </c>
      <c r="B107" s="725" t="s">
        <v>141</v>
      </c>
      <c r="C107" s="726" t="s">
        <v>141</v>
      </c>
      <c r="D107" s="726" t="s">
        <v>241</v>
      </c>
      <c r="E107" s="726" t="s">
        <v>37</v>
      </c>
      <c r="F107" s="726" t="s">
        <v>152</v>
      </c>
      <c r="G107" s="591" t="str">
        <f>VLOOKUP(WWWW[[#This Row],[Site Name]],SiteDB6[[Site Name]:[Location Type]],8,FALSE)</f>
        <v>Camp</v>
      </c>
      <c r="H107" s="726" t="s">
        <v>155</v>
      </c>
      <c r="I107" s="728">
        <v>10</v>
      </c>
      <c r="J107" s="728">
        <v>41</v>
      </c>
      <c r="K107" s="729">
        <v>44105</v>
      </c>
      <c r="L107" s="730">
        <v>44681</v>
      </c>
      <c r="M107" s="728"/>
      <c r="N107" s="728">
        <v>1</v>
      </c>
      <c r="O107" s="728"/>
      <c r="P107" s="728"/>
      <c r="Q107" s="731" t="s">
        <v>41</v>
      </c>
      <c r="R107" s="728"/>
      <c r="S107" s="728">
        <v>5</v>
      </c>
      <c r="T107" s="448">
        <v>1</v>
      </c>
      <c r="U107" s="728"/>
      <c r="V107" s="728"/>
      <c r="W107" s="728"/>
      <c r="X107" s="728"/>
      <c r="Y107" s="728"/>
      <c r="Z107" s="728"/>
      <c r="AA107" s="728"/>
      <c r="AB107" s="728"/>
      <c r="AC107" s="728"/>
      <c r="AD107" s="728"/>
      <c r="AE107" s="728"/>
      <c r="AF107" s="728"/>
      <c r="AG107" s="728"/>
      <c r="AH107" s="728">
        <v>3</v>
      </c>
      <c r="AI107" s="728"/>
      <c r="AJ107" s="728"/>
      <c r="AK107" s="728"/>
      <c r="AL107" s="728"/>
      <c r="AM107" s="728"/>
      <c r="AN107" s="728"/>
      <c r="AO107" s="728"/>
      <c r="AP107" s="732"/>
      <c r="AQ107" s="728">
        <v>3</v>
      </c>
      <c r="AR107" s="728"/>
      <c r="AS107" s="733"/>
      <c r="AT107" s="728"/>
      <c r="AU107" s="728"/>
      <c r="AV107" s="728"/>
      <c r="AW107" s="728"/>
      <c r="AX107" s="728">
        <v>3</v>
      </c>
      <c r="AY107" s="727" t="s">
        <v>41</v>
      </c>
      <c r="AZ107" s="732" t="s">
        <v>137</v>
      </c>
      <c r="BA107" s="728"/>
      <c r="BB107" s="728"/>
      <c r="BC107" s="728"/>
      <c r="BD107" s="448"/>
      <c r="BE107" s="448"/>
      <c r="BF107" s="727"/>
      <c r="BG107" s="728">
        <v>7</v>
      </c>
      <c r="BH107" s="728"/>
      <c r="BI107" s="728"/>
      <c r="BJ107" s="728">
        <v>4</v>
      </c>
      <c r="BK107" s="728"/>
      <c r="BL107" s="728"/>
      <c r="BM107" s="728">
        <v>1</v>
      </c>
      <c r="BN107" s="728">
        <v>124</v>
      </c>
      <c r="BO107" s="728">
        <v>198</v>
      </c>
      <c r="BP107" s="727"/>
      <c r="BQ107" s="734"/>
      <c r="BR107" s="733"/>
      <c r="BS107" s="727"/>
      <c r="BT107" s="423"/>
      <c r="BU107" s="423"/>
      <c r="BV107" s="425"/>
      <c r="BW107" s="423"/>
      <c r="BX107" s="448"/>
      <c r="BY107" s="448"/>
      <c r="BZ107" s="448"/>
      <c r="CA107" s="448"/>
      <c r="CB107" s="448"/>
      <c r="CC107" s="777"/>
      <c r="CD107" s="448"/>
      <c r="CE107" s="735" t="str">
        <f>IFERROR(WWWW[[#This Row],['#_Water sources passed]]/WWWW[[#This Row],['#_Water sources tested for fecal coliform ]],"no test")</f>
        <v>no test</v>
      </c>
      <c r="CF107" s="733" t="str">
        <f>IFERROR(WWWW[[#This Row],['#_Household passed]]/WWWW[[#This Row],['#_Household water samples tested for fecal coliform]],"no test")</f>
        <v>no test</v>
      </c>
      <c r="CG107" s="734" t="str">
        <f>IF(AND(WWWW[[#This Row],[% of water sources passed]]="no test",WWWW[[#This Row],[% Household passed]]="no test"),"No Test","Tested")</f>
        <v>No Test</v>
      </c>
      <c r="CH107" s="734">
        <f>WWWW[[#This Row],['#_Constructed/existing protected hand dug well]]-WWWW[[#This Row],['#_Non-functional protected hand dug well]]</f>
        <v>1</v>
      </c>
      <c r="CI107" s="734">
        <f>(WWWW[[#This Row],['#_Constructed/Existing tube wells/boreholes/handpumps_WASH_agency]]+WWWW[[#This Row],['#_Non-Cluster partner water tube-wells/boreholes/handpumps]])-WWWW[[#This Row],['#_Non-functional tube wells/boreholes/handpumps]]</f>
        <v>0</v>
      </c>
      <c r="CJ107" s="734">
        <f>WWWW[[#This Row],['#_Constructed/Existingwater storage tank with gravity fed reticulation system]]-WWWW[[#This Row],['#_Non-functional storage tank gravity fed reticulation system]]</f>
        <v>0</v>
      </c>
      <c r="CK107" s="734">
        <f>(WWWW[[#This Row],['#_Water_Liters_supplied_by_Water boating or water trucking]]/90)/15</f>
        <v>0</v>
      </c>
      <c r="CL107" s="734">
        <f>WWWW[[#This Row],['#_Water_Liters_from_Constructed/Existing water distribution system from river or natural spring]]/90/15</f>
        <v>0</v>
      </c>
      <c r="CM107" s="424">
        <f>IF(WWWW[[#This Row],['#_of water points in TLS/CFS]]*500&gt;WWWW[[#This Row],[Total PoP ]],WWWW[[#This Row],[Total PoP ]],WWWW[[#This Row],['#_of water points in TLS/CFS]]*500)</f>
        <v>0</v>
      </c>
      <c r="CN107" s="424">
        <f>IF(WWWW[[#This Row],['#_of water points in THF]]*500&gt;WWWW[[#This Row],[Total PoP ]],WWWW[[#This Row],[Total PoP ]],WWWW[[#This Row],['#_of water points in THF]]*500)</f>
        <v>0</v>
      </c>
      <c r="CO10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7" s="733">
        <f>IF(WWWW[[#This Row],[Location Type 1]]="Village",WWWW[[#This Row],[Access to safe drinking water for Village]],WWWW[[#This Row],[Access to safe drinking water for Camp]])</f>
        <v>1</v>
      </c>
      <c r="CR107" s="731">
        <f>WWWW[[#This Row],[%Equitable and continuous access to sufficient quantity of safe drinking water]]*WWWW[[#This Row],[Total PoP ]]</f>
        <v>41</v>
      </c>
      <c r="CS107" s="733">
        <f>IF((WWWW[[#This Row],['#_Constructed/Existing protected/fenced ponds]]*250)/WWWW[[#This Row],[Total PoP ]]&gt;1,1,(WWWW[[#This Row],['#_Constructed/Existing protected/fenced ponds]]*250)/WWWW[[#This Row],[Total PoP ]])</f>
        <v>0</v>
      </c>
      <c r="CT107" s="731">
        <f>WWWW[[#This Row],[% Access to unimproved water points]]*WWWW[[#This Row],[Total PoP ]]</f>
        <v>0</v>
      </c>
      <c r="CU10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v>
      </c>
      <c r="CW107" s="731">
        <f>WWWW[[#This Row],[HRP1]]/500</f>
        <v>8.2000000000000003E-2</v>
      </c>
      <c r="CX107" s="736">
        <f>1-WWWW[[#This Row],[% Equitable and continuous access to sufficient quantity of domestic water]]</f>
        <v>0</v>
      </c>
      <c r="CY107" s="731">
        <f>WWWW[[#This Row],[%equitable and continuous access to sufficient quantity of safe drinking and domestic water''s GAP]]*WWWW[[#This Row],[Total PoP ]]</f>
        <v>0</v>
      </c>
      <c r="CZ107" s="734">
        <f>IF(WWWW[[#This Row],[Total required water points]]-WWWW[[#This Row],['#Water points coverage]]&lt;0,0,WWWW[[#This Row],[Total required water points]]-WWWW[[#This Row],['#Water points coverage]])</f>
        <v>0.91800000000000004</v>
      </c>
      <c r="DA107" s="734">
        <f>ROUND(IF(WWWW[[#This Row],[Total PoP ]]&lt;500,1,WWWW[[#This Row],[Total PoP ]]/500),0)</f>
        <v>1</v>
      </c>
      <c r="DB107" s="734">
        <f>(WWWW[[#This Row],['#_Constructed latrines_by_WASHAgencies]]+WWWW[[#This Row],['#_Non Cluster partner latrines]])-WWWW[[#This Row],['#_Non-functional latrines]]</f>
        <v>3</v>
      </c>
      <c r="DC107" s="631">
        <f>WWWW[[#This Row],[HRP2]]/WWWW[[#This Row],[Total PoP ]]</f>
        <v>1</v>
      </c>
      <c r="DD10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v>
      </c>
      <c r="DE10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7" s="424">
        <f>IF(WWWW[[#This Row],['# of functional latrines in THF supported by WASH partners during the reporting period2]]="",0,WWWW[[#This Row],['# of functional latrines in THF supported by WASH partners during the reporting period2]]*50)</f>
        <v>0</v>
      </c>
      <c r="DH107" s="734">
        <f>ROUND(IF(WWWW[[#This Row],[Location Type 1]]="camp",WWWW[[#This Row],[Total PoP ]]/20,IF(WWWW[[#This Row],[Location Type 1]]="Temporary Location",WWWW[[#This Row],[Total PoP ]]/50,(WWWW[[#This Row],[Total PoP ]]/6))),0)</f>
        <v>2</v>
      </c>
      <c r="DI107" s="734">
        <f>IF(WWWW[[#This Row],[Total required Latrines]]-(WWWW[[#This Row],['#_Constructed latrines_by_WASHAgencies]]+WWWW[[#This Row],['#_Non Cluster partner latrines]])&lt;0,0,WWWW[[#This Row],[Total required Latrines]]-(WWWW[[#This Row],['#_Constructed latrines_by_WASHAgencies]]+WWWW[[#This Row],['#_Non Cluster partner latrines]]))</f>
        <v>0</v>
      </c>
      <c r="DJ107" s="736">
        <f>1-WWWW[[#This Row],[% people access to functioning Latrine]]</f>
        <v>0</v>
      </c>
      <c r="DK107" s="735">
        <f>IF(OR(WWWW[[#This Row],['#_Non-functional latrines]]="",WWWW[[#This Row],['#_Non-functional latrines]]=0),0,WWWW[[#This Row],['#_Non-functional latrines]]/(WWWW[[#This Row],['#_Constructed latrines_by_WASHAgencies]]+WWWW[[#This Row],['#_Non Cluster partner latrines]]))</f>
        <v>0</v>
      </c>
      <c r="DL107" s="731">
        <f>IF(500*(WWWW[[#This Row],['#_male hygiene promoters]]+WWWW[[#This Row],['#_female hygiene promoters]])&gt;WWWW[[#This Row],[Total PoP ]],WWWW[[#This Row],[Total PoP ]],500*(WWWW[[#This Row],['#_male hygiene promoters]]+WWWW[[#This Row],['#_female hygiene promoters]]))</f>
        <v>41</v>
      </c>
      <c r="DM10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41</v>
      </c>
      <c r="DN10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41</v>
      </c>
      <c r="DO107" s="734">
        <f>IF(WWWW[[#This Row],['# People with access to soap]]&gt;WWWW[[#This Row],['# People with access to Sanity Pads]],WWWW[[#This Row],['# People with access to soap]],WWWW[[#This Row],['# People with access to Sanity Pads]])</f>
        <v>41</v>
      </c>
      <c r="DP107" s="734">
        <f>IF(WWWW[[#This Row],['# people reached by regular dedicated hygiene promotion_5]]&gt;WWWW[[#This Row],['# People received regular supply of hygiene items_6]],WWWW[[#This Row],['# people reached by regular dedicated hygiene promotion_5]],WWWW[[#This Row],['# People received regular supply of hygiene items_6]])</f>
        <v>41</v>
      </c>
      <c r="DQ107" s="736">
        <f>IF(WWWW[[#This Row],[HRP3]]/WWWW[[#This Row],[Total PoP ]]&gt;1,1,WWWW[[#This Row],[HRP3]]/WWWW[[#This Row],[Total PoP ]])</f>
        <v>1</v>
      </c>
      <c r="DR107" s="735">
        <f>1-WWWW[[#This Row],[Hygiene Coverage%]]</f>
        <v>0</v>
      </c>
      <c r="DS107" s="733">
        <f>WWWW[[#This Row],['# people reached by regular dedicated hygiene promotion_5]]/WWWW[[#This Row],[Total PoP ]]</f>
        <v>1</v>
      </c>
      <c r="DT10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7" s="734">
        <f>WWWW[[#This Row],['#_Constructed/Existing hand washing stations]]-WWWW[[#This Row],['#_Non-Functional_hand_washing_stations]]</f>
        <v>7</v>
      </c>
      <c r="DW107" s="731">
        <f>IF(WWWW[[#This Row],['# Functional hand washing stations during reporting period]]*20&gt;WWWW[[#This Row],[Total HH]],WWWW[[#This Row],[Total HH]],WWWW[[#This Row],['# Functional hand washing stations during reporting period]]*20)</f>
        <v>10</v>
      </c>
      <c r="DX107" s="731">
        <f>IF(WWWW[[#This Row],[Is sufficient soap available for TLS? (Yes/No)]]="yes",WWWW[[#This Row],['#_Constructed/Existing hand washing stations at TLS/CFS/THF]],0)</f>
        <v>0</v>
      </c>
      <c r="DY107" s="428">
        <f>IF(WWWW[[#This Row],['# Functional hand washing stations during reporting period]]*100&gt;WWWW[[#This Row],[Total PoP ]],WWWW[[#This Row],[Total PoP ]],WWWW[[#This Row],['# Functional hand washing stations during reporting period]]*100)</f>
        <v>41</v>
      </c>
      <c r="DZ107" s="428" t="str">
        <f>IF(OR(WWWW[[#This Row],['#_students at TLS_CFS]]="",WWWW[[#This Row],['#_students at TLS_CFS]]=0),"No","Yes")</f>
        <v>No</v>
      </c>
      <c r="EA10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7" s="727" t="str">
        <f>VLOOKUP(WWWW[[#This Row],[Site Name]],SiteDB6[[Site Name]:[CCCM Management]],6,FALSE)</f>
        <v>Yes</v>
      </c>
      <c r="EF107" s="727" t="str">
        <f>VLOOKUP(WWWW[[#This Row],[Site Name]],SiteDB6[[Site Name]:[CCCM Focal Agency]],7,FALSE)</f>
        <v>KBC-MYT</v>
      </c>
      <c r="EG107" s="727" t="str">
        <f>VLOOKUP(WWWW[[#This Row],[Site Name]],SiteDB6[[Site Name]:[Location Type 1]],9,FALSE)</f>
        <v>Camp</v>
      </c>
      <c r="EH107" s="727" t="str">
        <f>VLOOKUP(WWWW[[#This Row],[Site Name]],SiteDB6[[Site Name]:[Type of Accommodation]],10,FALSE)</f>
        <v>Camp</v>
      </c>
      <c r="EI107" s="727" t="str">
        <f>VLOOKUP(WWWW[[#This Row],[Site Name]],SiteDB6[[Site Name]:[Ethnic or GCA/NGCA]],11,FALSE)</f>
        <v>GCA</v>
      </c>
      <c r="EJ107" s="727">
        <f>VLOOKUP(WWWW[[#This Row],[Site Name]],SiteDB6[[Site Name]:[Lat]],12,FALSE)</f>
        <v>25.30442</v>
      </c>
      <c r="EK107" s="727">
        <f>VLOOKUP(WWWW[[#This Row],[Site Name]],SiteDB6[[Site Name]:[Long]],13,FALSE)</f>
        <v>96.948740000000001</v>
      </c>
      <c r="EL107" s="727" t="str">
        <f>VLOOKUP(WWWW[[#This Row],[Site Name]],SiteDB6[[Site Name]:[Pcode]],3,FALSE)</f>
        <v>MMR001CMP079</v>
      </c>
      <c r="EM107" s="732" t="str">
        <f t="shared" si="1"/>
        <v>Covered</v>
      </c>
      <c r="EN107" s="732"/>
      <c r="EO107" s="727">
        <f>VLOOKUP(WWWW[[#This Row],[Site Name]],SiteDB6[[Site Name]:[Pop
(Kachin/Shan-CCCM as of July 2021)]],16,FALSE)</f>
        <v>10</v>
      </c>
      <c r="EP107" s="727">
        <f>VLOOKUP(WWWW[[#This Row],[Site Name]],SiteDB6[[Site Name]:[Pop
(Kachin/Shan-CCCM as of July 2021)]],17,FALSE)</f>
        <v>48</v>
      </c>
    </row>
    <row r="108" spans="1:146" hidden="1">
      <c r="A108" s="725" t="s">
        <v>2763</v>
      </c>
      <c r="B108" s="725" t="s">
        <v>309</v>
      </c>
      <c r="C108" s="726" t="s">
        <v>309</v>
      </c>
      <c r="D108" s="786"/>
      <c r="E108" s="786" t="s">
        <v>37</v>
      </c>
      <c r="F108" s="786" t="s">
        <v>142</v>
      </c>
      <c r="G108" s="591" t="str">
        <f>VLOOKUP(WWWW[[#This Row],[Site Name]],SiteDB6[[Site Name]:[Location Type]],8,FALSE)</f>
        <v>Camp</v>
      </c>
      <c r="H108" s="786" t="s">
        <v>2783</v>
      </c>
      <c r="I108" s="788">
        <v>12</v>
      </c>
      <c r="J108" s="788">
        <v>59</v>
      </c>
      <c r="K108" s="789"/>
      <c r="L108" s="790"/>
      <c r="M108" s="788"/>
      <c r="N108" s="788"/>
      <c r="O108" s="788"/>
      <c r="P108" s="788"/>
      <c r="Q108" s="791"/>
      <c r="R108" s="788"/>
      <c r="S108" s="788"/>
      <c r="T108" s="448"/>
      <c r="U108" s="788"/>
      <c r="V108" s="788"/>
      <c r="W108" s="788"/>
      <c r="X108" s="788"/>
      <c r="Y108" s="788"/>
      <c r="Z108" s="788"/>
      <c r="AA108" s="788"/>
      <c r="AB108" s="788"/>
      <c r="AC108" s="788"/>
      <c r="AD108" s="788"/>
      <c r="AE108" s="788"/>
      <c r="AF108" s="788"/>
      <c r="AG108" s="788"/>
      <c r="AH108" s="788"/>
      <c r="AI108" s="788"/>
      <c r="AJ108" s="788"/>
      <c r="AK108" s="788"/>
      <c r="AL108" s="788"/>
      <c r="AM108" s="788"/>
      <c r="AN108" s="788"/>
      <c r="AO108" s="788"/>
      <c r="AP108" s="792"/>
      <c r="AQ108" s="788"/>
      <c r="AR108" s="788"/>
      <c r="AS108" s="793"/>
      <c r="AT108" s="788"/>
      <c r="AU108" s="788"/>
      <c r="AV108" s="788"/>
      <c r="AW108" s="788"/>
      <c r="AX108" s="788"/>
      <c r="AY108" s="425" t="s">
        <v>140</v>
      </c>
      <c r="AZ108" s="860" t="s">
        <v>140</v>
      </c>
      <c r="BA108" s="788"/>
      <c r="BB108" s="788"/>
      <c r="BC108" s="788"/>
      <c r="BD108" s="448"/>
      <c r="BE108" s="448"/>
      <c r="BF108" s="787"/>
      <c r="BG108" s="788">
        <v>7</v>
      </c>
      <c r="BH108" s="788"/>
      <c r="BI108" s="788"/>
      <c r="BJ108" s="788">
        <v>7</v>
      </c>
      <c r="BK108" s="788"/>
      <c r="BL108" s="788"/>
      <c r="BM108" s="788"/>
      <c r="BN108" s="788">
        <v>104</v>
      </c>
      <c r="BO108" s="788">
        <v>148</v>
      </c>
      <c r="BP108" s="787"/>
      <c r="BQ108" s="794"/>
      <c r="BR108" s="793"/>
      <c r="BS108" s="787"/>
      <c r="BT108" s="423"/>
      <c r="BU108" s="423"/>
      <c r="BV108" s="425"/>
      <c r="BW108" s="423"/>
      <c r="BX108" s="448"/>
      <c r="BY108" s="448"/>
      <c r="BZ108" s="448"/>
      <c r="CA108" s="448"/>
      <c r="CB108" s="448"/>
      <c r="CC108" s="777"/>
      <c r="CD108" s="448"/>
      <c r="CE108" s="795" t="str">
        <f>IFERROR(WWWW[[#This Row],['#_Water sources passed]]/WWWW[[#This Row],['#_Water sources tested for fecal coliform ]],"no test")</f>
        <v>no test</v>
      </c>
      <c r="CF108" s="793" t="str">
        <f>IFERROR(WWWW[[#This Row],['#_Household passed]]/WWWW[[#This Row],['#_Household water samples tested for fecal coliform]],"no test")</f>
        <v>no test</v>
      </c>
      <c r="CG108" s="794" t="str">
        <f>IF(AND(WWWW[[#This Row],[% of water sources passed]]="no test",WWWW[[#This Row],[% Household passed]]="no test"),"No Test","Tested")</f>
        <v>No Test</v>
      </c>
      <c r="CH108" s="794">
        <f>WWWW[[#This Row],['#_Constructed/existing protected hand dug well]]-WWWW[[#This Row],['#_Non-functional protected hand dug well]]</f>
        <v>0</v>
      </c>
      <c r="CI108" s="794">
        <f>(WWWW[[#This Row],['#_Constructed/Existing tube wells/boreholes/handpumps_WASH_agency]]+WWWW[[#This Row],['#_Non-Cluster partner water tube-wells/boreholes/handpumps]])-WWWW[[#This Row],['#_Non-functional tube wells/boreholes/handpumps]]</f>
        <v>0</v>
      </c>
      <c r="CJ108" s="794">
        <f>WWWW[[#This Row],['#_Constructed/Existingwater storage tank with gravity fed reticulation system]]-WWWW[[#This Row],['#_Non-functional storage tank gravity fed reticulation system]]</f>
        <v>0</v>
      </c>
      <c r="CK108" s="794">
        <f>(WWWW[[#This Row],['#_Water_Liters_supplied_by_Water boating or water trucking]]/90)/15</f>
        <v>0</v>
      </c>
      <c r="CL108" s="794">
        <f>WWWW[[#This Row],['#_Water_Liters_from_Constructed/Existing water distribution system from river or natural spring]]/90/15</f>
        <v>0</v>
      </c>
      <c r="CM108" s="424">
        <f>IF(WWWW[[#This Row],['#_of water points in TLS/CFS]]*500&gt;WWWW[[#This Row],[Total PoP ]],WWWW[[#This Row],[Total PoP ]],WWWW[[#This Row],['#_of water points in TLS/CFS]]*500)</f>
        <v>0</v>
      </c>
      <c r="CN108" s="424">
        <f>IF(WWWW[[#This Row],['#_of water points in THF]]*500&gt;WWWW[[#This Row],[Total PoP ]],WWWW[[#This Row],[Total PoP ]],WWWW[[#This Row],['#_of water points in THF]]*500)</f>
        <v>0</v>
      </c>
      <c r="CO108"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08"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08" s="793">
        <f>IF(WWWW[[#This Row],[Location Type 1]]="Village",WWWW[[#This Row],[Access to safe drinking water for Village]],WWWW[[#This Row],[Access to safe drinking water for Camp]])</f>
        <v>0</v>
      </c>
      <c r="CR108" s="791">
        <f>WWWW[[#This Row],[%Equitable and continuous access to sufficient quantity of safe drinking water]]*WWWW[[#This Row],[Total PoP ]]</f>
        <v>0</v>
      </c>
      <c r="CS108" s="793">
        <f>IF((WWWW[[#This Row],['#_Constructed/Existing protected/fenced ponds]]*250)/WWWW[[#This Row],[Total PoP ]]&gt;1,1,(WWWW[[#This Row],['#_Constructed/Existing protected/fenced ponds]]*250)/WWWW[[#This Row],[Total PoP ]])</f>
        <v>0</v>
      </c>
      <c r="CT108" s="791">
        <f>WWWW[[#This Row],[% Access to unimproved water points]]*WWWW[[#This Row],[Total PoP ]]</f>
        <v>0</v>
      </c>
      <c r="CU108"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08"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08" s="791">
        <f>WWWW[[#This Row],[HRP1]]/500</f>
        <v>0</v>
      </c>
      <c r="CX108" s="796">
        <f>1-WWWW[[#This Row],[% Equitable and continuous access to sufficient quantity of domestic water]]</f>
        <v>1</v>
      </c>
      <c r="CY108" s="791">
        <f>WWWW[[#This Row],[%equitable and continuous access to sufficient quantity of safe drinking and domestic water''s GAP]]*WWWW[[#This Row],[Total PoP ]]</f>
        <v>59</v>
      </c>
      <c r="CZ108" s="794">
        <f>IF(WWWW[[#This Row],[Total required water points]]-WWWW[[#This Row],['#Water points coverage]]&lt;0,0,WWWW[[#This Row],[Total required water points]]-WWWW[[#This Row],['#Water points coverage]])</f>
        <v>1</v>
      </c>
      <c r="DA108" s="794">
        <f>ROUND(IF(WWWW[[#This Row],[Total PoP ]]&lt;500,1,WWWW[[#This Row],[Total PoP ]]/500),0)</f>
        <v>1</v>
      </c>
      <c r="DB108" s="794">
        <f>(WWWW[[#This Row],['#_Constructed latrines_by_WASHAgencies]]+WWWW[[#This Row],['#_Non Cluster partner latrines]])-WWWW[[#This Row],['#_Non-functional latrines]]</f>
        <v>0</v>
      </c>
      <c r="DC108" s="631">
        <f>WWWW[[#This Row],[HRP2]]/WWWW[[#This Row],[Total PoP ]]</f>
        <v>0</v>
      </c>
      <c r="DD108"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08"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8"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8" s="424">
        <f>IF(WWWW[[#This Row],['# of functional latrines in THF supported by WASH partners during the reporting period2]]="",0,WWWW[[#This Row],['# of functional latrines in THF supported by WASH partners during the reporting period2]]*50)</f>
        <v>0</v>
      </c>
      <c r="DH108" s="794">
        <f>ROUND(IF(WWWW[[#This Row],[Location Type 1]]="camp",WWWW[[#This Row],[Total PoP ]]/20,IF(WWWW[[#This Row],[Location Type 1]]="Temporary Location",WWWW[[#This Row],[Total PoP ]]/50,(WWWW[[#This Row],[Total PoP ]]/6))),0)</f>
        <v>3</v>
      </c>
      <c r="DI108" s="794">
        <f>IF(WWWW[[#This Row],[Total required Latrines]]-(WWWW[[#This Row],['#_Constructed latrines_by_WASHAgencies]]+WWWW[[#This Row],['#_Non Cluster partner latrines]])&lt;0,0,WWWW[[#This Row],[Total required Latrines]]-(WWWW[[#This Row],['#_Constructed latrines_by_WASHAgencies]]+WWWW[[#This Row],['#_Non Cluster partner latrines]]))</f>
        <v>3</v>
      </c>
      <c r="DJ108" s="796">
        <f>1-WWWW[[#This Row],[% people access to functioning Latrine]]</f>
        <v>1</v>
      </c>
      <c r="DK108" s="795">
        <f>IF(OR(WWWW[[#This Row],['#_Non-functional latrines]]="",WWWW[[#This Row],['#_Non-functional latrines]]=0),0,WWWW[[#This Row],['#_Non-functional latrines]]/(WWWW[[#This Row],['#_Constructed latrines_by_WASHAgencies]]+WWWW[[#This Row],['#_Non Cluster partner latrines]]))</f>
        <v>0</v>
      </c>
      <c r="DL108" s="791">
        <f>IF(500*(WWWW[[#This Row],['#_male hygiene promoters]]+WWWW[[#This Row],['#_female hygiene promoters]])&gt;WWWW[[#This Row],[Total PoP ]],WWWW[[#This Row],[Total PoP ]],500*(WWWW[[#This Row],['#_male hygiene promoters]]+WWWW[[#This Row],['#_female hygiene promoters]]))</f>
        <v>0</v>
      </c>
      <c r="DM108"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59</v>
      </c>
      <c r="DN108"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59</v>
      </c>
      <c r="DO108" s="794">
        <f>IF(WWWW[[#This Row],['# People with access to soap]]&gt;WWWW[[#This Row],['# People with access to Sanity Pads]],WWWW[[#This Row],['# People with access to soap]],WWWW[[#This Row],['# People with access to Sanity Pads]])</f>
        <v>59</v>
      </c>
      <c r="DP108" s="794">
        <f>IF(WWWW[[#This Row],['# people reached by regular dedicated hygiene promotion_5]]&gt;WWWW[[#This Row],['# People received regular supply of hygiene items_6]],WWWW[[#This Row],['# people reached by regular dedicated hygiene promotion_5]],WWWW[[#This Row],['# People received regular supply of hygiene items_6]])</f>
        <v>59</v>
      </c>
      <c r="DQ108" s="796">
        <f>IF(WWWW[[#This Row],[HRP3]]/WWWW[[#This Row],[Total PoP ]]&gt;1,1,WWWW[[#This Row],[HRP3]]/WWWW[[#This Row],[Total PoP ]])</f>
        <v>1</v>
      </c>
      <c r="DR108" s="795">
        <f>1-WWWW[[#This Row],[Hygiene Coverage%]]</f>
        <v>0</v>
      </c>
      <c r="DS108" s="793">
        <f>WWWW[[#This Row],['# people reached by regular dedicated hygiene promotion_5]]/WWWW[[#This Row],[Total PoP ]]</f>
        <v>0</v>
      </c>
      <c r="DT108"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8"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8" s="794">
        <f>WWWW[[#This Row],['#_Constructed/Existing hand washing stations]]-WWWW[[#This Row],['#_Non-Functional_hand_washing_stations]]</f>
        <v>7</v>
      </c>
      <c r="DW108" s="791">
        <f>IF(WWWW[[#This Row],['# Functional hand washing stations during reporting period]]*20&gt;WWWW[[#This Row],[Total HH]],WWWW[[#This Row],[Total HH]],WWWW[[#This Row],['# Functional hand washing stations during reporting period]]*20)</f>
        <v>12</v>
      </c>
      <c r="DX108" s="791">
        <f>IF(WWWW[[#This Row],[Is sufficient soap available for TLS? (Yes/No)]]="yes",WWWW[[#This Row],['#_Constructed/Existing hand washing stations at TLS/CFS/THF]],0)</f>
        <v>0</v>
      </c>
      <c r="DY108" s="428">
        <f>IF(WWWW[[#This Row],['# Functional hand washing stations during reporting period]]*100&gt;WWWW[[#This Row],[Total PoP ]],WWWW[[#This Row],[Total PoP ]],WWWW[[#This Row],['# Functional hand washing stations during reporting period]]*100)</f>
        <v>59</v>
      </c>
      <c r="DZ108" s="428" t="str">
        <f>IF(OR(WWWW[[#This Row],['#_students at TLS_CFS]]="",WWWW[[#This Row],['#_students at TLS_CFS]]=0),"No","Yes")</f>
        <v>No</v>
      </c>
      <c r="EA10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8" s="787">
        <f>VLOOKUP(WWWW[[#This Row],[Site Name]],SiteDB6[[Site Name]:[CCCM Management]],6,FALSE)</f>
        <v>0</v>
      </c>
      <c r="EF108" s="787" t="str">
        <f>VLOOKUP(WWWW[[#This Row],[Site Name]],SiteDB6[[Site Name]:[CCCM Focal Agency]],7,FALSE)</f>
        <v xml:space="preserve">Uncovered  </v>
      </c>
      <c r="EG108" s="787" t="str">
        <f>VLOOKUP(WWWW[[#This Row],[Site Name]],SiteDB6[[Site Name]:[Location Type 1]],9,FALSE)</f>
        <v>Camp</v>
      </c>
      <c r="EH108" s="787" t="str">
        <f>VLOOKUP(WWWW[[#This Row],[Site Name]],SiteDB6[[Site Name]:[Type of Accommodation]],10,FALSE)</f>
        <v>Camp like setting</v>
      </c>
      <c r="EI108" s="787" t="str">
        <f>VLOOKUP(WWWW[[#This Row],[Site Name]],SiteDB6[[Site Name]:[Ethnic or GCA/NGCA]],11,FALSE)</f>
        <v>GCA</v>
      </c>
      <c r="EJ108" s="787">
        <f>VLOOKUP(WWWW[[#This Row],[Site Name]],SiteDB6[[Site Name]:[Lat]],12,FALSE)</f>
        <v>0</v>
      </c>
      <c r="EK108" s="787">
        <f>VLOOKUP(WWWW[[#This Row],[Site Name]],SiteDB6[[Site Name]:[Long]],13,FALSE)</f>
        <v>0</v>
      </c>
      <c r="EL108" s="787" t="str">
        <f>VLOOKUP(WWWW[[#This Row],[Site Name]],SiteDB6[[Site Name]:[Pcode]],3,FALSE)</f>
        <v>MMR001CMP295</v>
      </c>
      <c r="EM108" s="792" t="str">
        <f t="shared" si="1"/>
        <v>Notcovered</v>
      </c>
      <c r="EN108" s="792"/>
      <c r="EO108" s="787">
        <f>VLOOKUP(WWWW[[#This Row],[Site Name]],SiteDB6[[Site Name]:[Pop
(Kachin/Shan-CCCM as of July 2021)]],16,FALSE)</f>
        <v>12</v>
      </c>
      <c r="EP108" s="787">
        <f>VLOOKUP(WWWW[[#This Row],[Site Name]],SiteDB6[[Site Name]:[Pop
(Kachin/Shan-CCCM as of July 2021)]],17,FALSE)</f>
        <v>59</v>
      </c>
    </row>
    <row r="109" spans="1:146" hidden="1">
      <c r="A109" s="725" t="s">
        <v>2763</v>
      </c>
      <c r="B109" s="725" t="s">
        <v>309</v>
      </c>
      <c r="C109" s="726" t="s">
        <v>309</v>
      </c>
      <c r="D109" s="786"/>
      <c r="E109" s="786" t="s">
        <v>37</v>
      </c>
      <c r="F109" s="786" t="s">
        <v>142</v>
      </c>
      <c r="G109" s="591" t="str">
        <f>VLOOKUP(WWWW[[#This Row],[Site Name]],SiteDB6[[Site Name]:[Location Type]],8,FALSE)</f>
        <v>Camp</v>
      </c>
      <c r="H109" s="786" t="s">
        <v>2774</v>
      </c>
      <c r="I109" s="788">
        <v>12</v>
      </c>
      <c r="J109" s="788">
        <v>80</v>
      </c>
      <c r="K109" s="789"/>
      <c r="L109" s="790"/>
      <c r="M109" s="788"/>
      <c r="N109" s="788"/>
      <c r="O109" s="788"/>
      <c r="P109" s="788"/>
      <c r="Q109" s="791"/>
      <c r="R109" s="788"/>
      <c r="S109" s="788"/>
      <c r="T109" s="448"/>
      <c r="U109" s="788"/>
      <c r="V109" s="788"/>
      <c r="W109" s="788"/>
      <c r="X109" s="788"/>
      <c r="Y109" s="788"/>
      <c r="Z109" s="788"/>
      <c r="AA109" s="788"/>
      <c r="AB109" s="788"/>
      <c r="AC109" s="788"/>
      <c r="AD109" s="788"/>
      <c r="AE109" s="788"/>
      <c r="AF109" s="788"/>
      <c r="AG109" s="788"/>
      <c r="AH109" s="788"/>
      <c r="AI109" s="788"/>
      <c r="AJ109" s="788"/>
      <c r="AK109" s="788"/>
      <c r="AL109" s="788"/>
      <c r="AM109" s="788"/>
      <c r="AN109" s="788"/>
      <c r="AO109" s="788"/>
      <c r="AP109" s="792"/>
      <c r="AQ109" s="788"/>
      <c r="AR109" s="788"/>
      <c r="AS109" s="793"/>
      <c r="AT109" s="788"/>
      <c r="AU109" s="788"/>
      <c r="AV109" s="788"/>
      <c r="AW109" s="788"/>
      <c r="AX109" s="788"/>
      <c r="AY109" s="425" t="s">
        <v>140</v>
      </c>
      <c r="AZ109" s="860" t="s">
        <v>140</v>
      </c>
      <c r="BA109" s="788"/>
      <c r="BB109" s="788"/>
      <c r="BC109" s="788"/>
      <c r="BD109" s="448"/>
      <c r="BE109" s="448"/>
      <c r="BF109" s="787"/>
      <c r="BG109" s="788">
        <v>7</v>
      </c>
      <c r="BH109" s="788"/>
      <c r="BI109" s="788"/>
      <c r="BJ109" s="788">
        <v>4</v>
      </c>
      <c r="BK109" s="788"/>
      <c r="BL109" s="788"/>
      <c r="BM109" s="788"/>
      <c r="BN109" s="788">
        <v>124</v>
      </c>
      <c r="BO109" s="788">
        <v>198</v>
      </c>
      <c r="BP109" s="787"/>
      <c r="BQ109" s="794"/>
      <c r="BR109" s="793"/>
      <c r="BS109" s="787"/>
      <c r="BT109" s="423"/>
      <c r="BU109" s="423"/>
      <c r="BV109" s="425"/>
      <c r="BW109" s="423"/>
      <c r="BX109" s="448"/>
      <c r="BY109" s="448"/>
      <c r="BZ109" s="448"/>
      <c r="CA109" s="448"/>
      <c r="CB109" s="448"/>
      <c r="CC109" s="777"/>
      <c r="CD109" s="448"/>
      <c r="CE109" s="795" t="str">
        <f>IFERROR(WWWW[[#This Row],['#_Water sources passed]]/WWWW[[#This Row],['#_Water sources tested for fecal coliform ]],"no test")</f>
        <v>no test</v>
      </c>
      <c r="CF109" s="793" t="str">
        <f>IFERROR(WWWW[[#This Row],['#_Household passed]]/WWWW[[#This Row],['#_Household water samples tested for fecal coliform]],"no test")</f>
        <v>no test</v>
      </c>
      <c r="CG109" s="794" t="str">
        <f>IF(AND(WWWW[[#This Row],[% of water sources passed]]="no test",WWWW[[#This Row],[% Household passed]]="no test"),"No Test","Tested")</f>
        <v>No Test</v>
      </c>
      <c r="CH109" s="794">
        <f>WWWW[[#This Row],['#_Constructed/existing protected hand dug well]]-WWWW[[#This Row],['#_Non-functional protected hand dug well]]</f>
        <v>0</v>
      </c>
      <c r="CI109" s="794">
        <f>(WWWW[[#This Row],['#_Constructed/Existing tube wells/boreholes/handpumps_WASH_agency]]+WWWW[[#This Row],['#_Non-Cluster partner water tube-wells/boreholes/handpumps]])-WWWW[[#This Row],['#_Non-functional tube wells/boreholes/handpumps]]</f>
        <v>0</v>
      </c>
      <c r="CJ109" s="794">
        <f>WWWW[[#This Row],['#_Constructed/Existingwater storage tank with gravity fed reticulation system]]-WWWW[[#This Row],['#_Non-functional storage tank gravity fed reticulation system]]</f>
        <v>0</v>
      </c>
      <c r="CK109" s="794">
        <f>(WWWW[[#This Row],['#_Water_Liters_supplied_by_Water boating or water trucking]]/90)/15</f>
        <v>0</v>
      </c>
      <c r="CL109" s="794">
        <f>WWWW[[#This Row],['#_Water_Liters_from_Constructed/Existing water distribution system from river or natural spring]]/90/15</f>
        <v>0</v>
      </c>
      <c r="CM109" s="424">
        <f>IF(WWWW[[#This Row],['#_of water points in TLS/CFS]]*500&gt;WWWW[[#This Row],[Total PoP ]],WWWW[[#This Row],[Total PoP ]],WWWW[[#This Row],['#_of water points in TLS/CFS]]*500)</f>
        <v>0</v>
      </c>
      <c r="CN109" s="424">
        <f>IF(WWWW[[#This Row],['#_of water points in THF]]*500&gt;WWWW[[#This Row],[Total PoP ]],WWWW[[#This Row],[Total PoP ]],WWWW[[#This Row],['#_of water points in THF]]*500)</f>
        <v>0</v>
      </c>
      <c r="CO109"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09"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09" s="793">
        <f>IF(WWWW[[#This Row],[Location Type 1]]="Village",WWWW[[#This Row],[Access to safe drinking water for Village]],WWWW[[#This Row],[Access to safe drinking water for Camp]])</f>
        <v>0</v>
      </c>
      <c r="CR109" s="791">
        <f>WWWW[[#This Row],[%Equitable and continuous access to sufficient quantity of safe drinking water]]*WWWW[[#This Row],[Total PoP ]]</f>
        <v>0</v>
      </c>
      <c r="CS109" s="793">
        <f>IF((WWWW[[#This Row],['#_Constructed/Existing protected/fenced ponds]]*250)/WWWW[[#This Row],[Total PoP ]]&gt;1,1,(WWWW[[#This Row],['#_Constructed/Existing protected/fenced ponds]]*250)/WWWW[[#This Row],[Total PoP ]])</f>
        <v>0</v>
      </c>
      <c r="CT109" s="791">
        <f>WWWW[[#This Row],[% Access to unimproved water points]]*WWWW[[#This Row],[Total PoP ]]</f>
        <v>0</v>
      </c>
      <c r="CU109"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09"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09" s="791">
        <f>WWWW[[#This Row],[HRP1]]/500</f>
        <v>0</v>
      </c>
      <c r="CX109" s="796">
        <f>1-WWWW[[#This Row],[% Equitable and continuous access to sufficient quantity of domestic water]]</f>
        <v>1</v>
      </c>
      <c r="CY109" s="791">
        <f>WWWW[[#This Row],[%equitable and continuous access to sufficient quantity of safe drinking and domestic water''s GAP]]*WWWW[[#This Row],[Total PoP ]]</f>
        <v>80</v>
      </c>
      <c r="CZ109" s="794">
        <f>IF(WWWW[[#This Row],[Total required water points]]-WWWW[[#This Row],['#Water points coverage]]&lt;0,0,WWWW[[#This Row],[Total required water points]]-WWWW[[#This Row],['#Water points coverage]])</f>
        <v>1</v>
      </c>
      <c r="DA109" s="794">
        <f>ROUND(IF(WWWW[[#This Row],[Total PoP ]]&lt;500,1,WWWW[[#This Row],[Total PoP ]]/500),0)</f>
        <v>1</v>
      </c>
      <c r="DB109" s="794">
        <f>(WWWW[[#This Row],['#_Constructed latrines_by_WASHAgencies]]+WWWW[[#This Row],['#_Non Cluster partner latrines]])-WWWW[[#This Row],['#_Non-functional latrines]]</f>
        <v>0</v>
      </c>
      <c r="DC109" s="631">
        <f>WWWW[[#This Row],[HRP2]]/WWWW[[#This Row],[Total PoP ]]</f>
        <v>0</v>
      </c>
      <c r="DD109"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09"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9"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9" s="424">
        <f>IF(WWWW[[#This Row],['# of functional latrines in THF supported by WASH partners during the reporting period2]]="",0,WWWW[[#This Row],['# of functional latrines in THF supported by WASH partners during the reporting period2]]*50)</f>
        <v>0</v>
      </c>
      <c r="DH109" s="794">
        <f>ROUND(IF(WWWW[[#This Row],[Location Type 1]]="camp",WWWW[[#This Row],[Total PoP ]]/20,IF(WWWW[[#This Row],[Location Type 1]]="Temporary Location",WWWW[[#This Row],[Total PoP ]]/50,(WWWW[[#This Row],[Total PoP ]]/6))),0)</f>
        <v>4</v>
      </c>
      <c r="DI109" s="794">
        <f>IF(WWWW[[#This Row],[Total required Latrines]]-(WWWW[[#This Row],['#_Constructed latrines_by_WASHAgencies]]+WWWW[[#This Row],['#_Non Cluster partner latrines]])&lt;0,0,WWWW[[#This Row],[Total required Latrines]]-(WWWW[[#This Row],['#_Constructed latrines_by_WASHAgencies]]+WWWW[[#This Row],['#_Non Cluster partner latrines]]))</f>
        <v>4</v>
      </c>
      <c r="DJ109" s="796">
        <f>1-WWWW[[#This Row],[% people access to functioning Latrine]]</f>
        <v>1</v>
      </c>
      <c r="DK109" s="795">
        <f>IF(OR(WWWW[[#This Row],['#_Non-functional latrines]]="",WWWW[[#This Row],['#_Non-functional latrines]]=0),0,WWWW[[#This Row],['#_Non-functional latrines]]/(WWWW[[#This Row],['#_Constructed latrines_by_WASHAgencies]]+WWWW[[#This Row],['#_Non Cluster partner latrines]]))</f>
        <v>0</v>
      </c>
      <c r="DL109" s="791">
        <f>IF(500*(WWWW[[#This Row],['#_male hygiene promoters]]+WWWW[[#This Row],['#_female hygiene promoters]])&gt;WWWW[[#This Row],[Total PoP ]],WWWW[[#This Row],[Total PoP ]],500*(WWWW[[#This Row],['#_male hygiene promoters]]+WWWW[[#This Row],['#_female hygiene promoters]]))</f>
        <v>0</v>
      </c>
      <c r="DM109"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v>
      </c>
      <c r="DN109"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80</v>
      </c>
      <c r="DO109" s="794">
        <f>IF(WWWW[[#This Row],['# People with access to soap]]&gt;WWWW[[#This Row],['# People with access to Sanity Pads]],WWWW[[#This Row],['# People with access to soap]],WWWW[[#This Row],['# People with access to Sanity Pads]])</f>
        <v>80</v>
      </c>
      <c r="DP109" s="794">
        <f>IF(WWWW[[#This Row],['# people reached by regular dedicated hygiene promotion_5]]&gt;WWWW[[#This Row],['# People received regular supply of hygiene items_6]],WWWW[[#This Row],['# people reached by regular dedicated hygiene promotion_5]],WWWW[[#This Row],['# People received regular supply of hygiene items_6]])</f>
        <v>80</v>
      </c>
      <c r="DQ109" s="796">
        <f>IF(WWWW[[#This Row],[HRP3]]/WWWW[[#This Row],[Total PoP ]]&gt;1,1,WWWW[[#This Row],[HRP3]]/WWWW[[#This Row],[Total PoP ]])</f>
        <v>1</v>
      </c>
      <c r="DR109" s="795">
        <f>1-WWWW[[#This Row],[Hygiene Coverage%]]</f>
        <v>0</v>
      </c>
      <c r="DS109" s="793">
        <f>WWWW[[#This Row],['# people reached by regular dedicated hygiene promotion_5]]/WWWW[[#This Row],[Total PoP ]]</f>
        <v>0</v>
      </c>
      <c r="DT109"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9"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9" s="794">
        <f>WWWW[[#This Row],['#_Constructed/Existing hand washing stations]]-WWWW[[#This Row],['#_Non-Functional_hand_washing_stations]]</f>
        <v>7</v>
      </c>
      <c r="DW109" s="791">
        <f>IF(WWWW[[#This Row],['# Functional hand washing stations during reporting period]]*20&gt;WWWW[[#This Row],[Total HH]],WWWW[[#This Row],[Total HH]],WWWW[[#This Row],['# Functional hand washing stations during reporting period]]*20)</f>
        <v>12</v>
      </c>
      <c r="DX109" s="791">
        <f>IF(WWWW[[#This Row],[Is sufficient soap available for TLS? (Yes/No)]]="yes",WWWW[[#This Row],['#_Constructed/Existing hand washing stations at TLS/CFS/THF]],0)</f>
        <v>0</v>
      </c>
      <c r="DY109" s="428">
        <f>IF(WWWW[[#This Row],['# Functional hand washing stations during reporting period]]*100&gt;WWWW[[#This Row],[Total PoP ]],WWWW[[#This Row],[Total PoP ]],WWWW[[#This Row],['# Functional hand washing stations during reporting period]]*100)</f>
        <v>80</v>
      </c>
      <c r="DZ109" s="428" t="str">
        <f>IF(OR(WWWW[[#This Row],['#_students at TLS_CFS]]="",WWWW[[#This Row],['#_students at TLS_CFS]]=0),"No","Yes")</f>
        <v>No</v>
      </c>
      <c r="EA10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9" s="787" t="str">
        <f>VLOOKUP(WWWW[[#This Row],[Site Name]],SiteDB6[[Site Name]:[CCCM Management]],6,FALSE)</f>
        <v>Yes</v>
      </c>
      <c r="EF109" s="787" t="str">
        <f>VLOOKUP(WWWW[[#This Row],[Site Name]],SiteDB6[[Site Name]:[CCCM Focal Agency]],7,FALSE)</f>
        <v>Shalom</v>
      </c>
      <c r="EG109" s="787" t="str">
        <f>VLOOKUP(WWWW[[#This Row],[Site Name]],SiteDB6[[Site Name]:[Location Type 1]],9,FALSE)</f>
        <v>Camp</v>
      </c>
      <c r="EH109" s="787" t="str">
        <f>VLOOKUP(WWWW[[#This Row],[Site Name]],SiteDB6[[Site Name]:[Type of Accommodation]],10,FALSE)</f>
        <v>Camp like setting</v>
      </c>
      <c r="EI109" s="787" t="str">
        <f>VLOOKUP(WWWW[[#This Row],[Site Name]],SiteDB6[[Site Name]:[Ethnic or GCA/NGCA]],11,FALSE)</f>
        <v>GCA</v>
      </c>
      <c r="EJ109" s="787">
        <f>VLOOKUP(WWWW[[#This Row],[Site Name]],SiteDB6[[Site Name]:[Lat]],12,FALSE)</f>
        <v>25.221299999999999</v>
      </c>
      <c r="EK109" s="787">
        <f>VLOOKUP(WWWW[[#This Row],[Site Name]],SiteDB6[[Site Name]:[Long]],13,FALSE)</f>
        <v>97.255300000000005</v>
      </c>
      <c r="EL109" s="787" t="str">
        <f>VLOOKUP(WWWW[[#This Row],[Site Name]],SiteDB6[[Site Name]:[Pcode]],3,FALSE)</f>
        <v>MMR001CMP286</v>
      </c>
      <c r="EM109" s="792" t="str">
        <f t="shared" si="1"/>
        <v>Notcovered</v>
      </c>
      <c r="EN109" s="792"/>
      <c r="EO109" s="787">
        <f>VLOOKUP(WWWW[[#This Row],[Site Name]],SiteDB6[[Site Name]:[Pop
(Kachin/Shan-CCCM as of July 2021)]],16,FALSE)</f>
        <v>12</v>
      </c>
      <c r="EP109" s="787">
        <f>VLOOKUP(WWWW[[#This Row],[Site Name]],SiteDB6[[Site Name]:[Pop
(Kachin/Shan-CCCM as of July 2021)]],17,FALSE)</f>
        <v>80</v>
      </c>
    </row>
    <row r="110" spans="1:146" hidden="1">
      <c r="A110" s="725" t="s">
        <v>2763</v>
      </c>
      <c r="B110" s="725" t="s">
        <v>242</v>
      </c>
      <c r="C110" s="726" t="s">
        <v>242</v>
      </c>
      <c r="D110" s="726" t="s">
        <v>307</v>
      </c>
      <c r="E110" s="726" t="s">
        <v>37</v>
      </c>
      <c r="F110" s="726" t="s">
        <v>142</v>
      </c>
      <c r="G110" s="591" t="str">
        <f>VLOOKUP(WWWW[[#This Row],[Site Name]],SiteDB6[[Site Name]:[Location Type]],8,FALSE)</f>
        <v>Camp</v>
      </c>
      <c r="H110" s="726" t="s">
        <v>270</v>
      </c>
      <c r="I110" s="448">
        <v>19</v>
      </c>
      <c r="J110" s="448">
        <v>85</v>
      </c>
      <c r="K110" s="588">
        <v>44197</v>
      </c>
      <c r="L110" s="589">
        <v>44651</v>
      </c>
      <c r="M110" s="728">
        <v>13</v>
      </c>
      <c r="N110" s="728">
        <v>1</v>
      </c>
      <c r="O110" s="728"/>
      <c r="P110" s="728"/>
      <c r="Q110" s="731" t="s">
        <v>41</v>
      </c>
      <c r="R110" s="728"/>
      <c r="S110" s="728">
        <v>5</v>
      </c>
      <c r="T110" s="448">
        <v>1</v>
      </c>
      <c r="U110" s="728"/>
      <c r="V110" s="728"/>
      <c r="W110" s="728">
        <v>1</v>
      </c>
      <c r="X110" s="728"/>
      <c r="Y110" s="728"/>
      <c r="Z110" s="728"/>
      <c r="AA110" s="728"/>
      <c r="AB110" s="728"/>
      <c r="AC110" s="728"/>
      <c r="AD110" s="728"/>
      <c r="AE110" s="728"/>
      <c r="AF110" s="728"/>
      <c r="AG110" s="728"/>
      <c r="AH110" s="728"/>
      <c r="AI110" s="728"/>
      <c r="AJ110" s="728"/>
      <c r="AK110" s="728"/>
      <c r="AL110" s="728"/>
      <c r="AM110" s="728">
        <v>2</v>
      </c>
      <c r="AN110" s="728"/>
      <c r="AO110" s="728"/>
      <c r="AP110" s="732" t="s">
        <v>2885</v>
      </c>
      <c r="AQ110" s="728">
        <v>4</v>
      </c>
      <c r="AR110" s="728"/>
      <c r="AS110" s="733"/>
      <c r="AT110" s="728"/>
      <c r="AU110" s="728"/>
      <c r="AV110" s="728">
        <v>4</v>
      </c>
      <c r="AW110" s="728"/>
      <c r="AX110" s="728"/>
      <c r="AY110" s="727" t="s">
        <v>41</v>
      </c>
      <c r="AZ110" s="732" t="s">
        <v>137</v>
      </c>
      <c r="BA110" s="728"/>
      <c r="BB110" s="728"/>
      <c r="BC110" s="728"/>
      <c r="BD110" s="448"/>
      <c r="BE110" s="448"/>
      <c r="BF110" s="727"/>
      <c r="BG110" s="728">
        <v>8</v>
      </c>
      <c r="BH110" s="728"/>
      <c r="BI110" s="728"/>
      <c r="BJ110" s="728">
        <v>3</v>
      </c>
      <c r="BK110" s="728"/>
      <c r="BL110" s="448"/>
      <c r="BM110" s="448">
        <v>1</v>
      </c>
      <c r="BN110" s="448">
        <v>91</v>
      </c>
      <c r="BO110" s="448">
        <v>124</v>
      </c>
      <c r="BP110" s="727"/>
      <c r="BQ110" s="734"/>
      <c r="BR110" s="423">
        <v>0.7</v>
      </c>
      <c r="BS110" s="425"/>
      <c r="BT110" s="423"/>
      <c r="BU110" s="423">
        <v>0.7</v>
      </c>
      <c r="BV110" s="425">
        <v>4</v>
      </c>
      <c r="BW110" s="423">
        <v>0.9</v>
      </c>
      <c r="BX110" s="448"/>
      <c r="BY110" s="448"/>
      <c r="BZ110" s="448"/>
      <c r="CA110" s="448"/>
      <c r="CB110" s="448"/>
      <c r="CC110" s="777"/>
      <c r="CD110" s="448"/>
      <c r="CE110" s="735" t="str">
        <f>IFERROR(WWWW[[#This Row],['#_Water sources passed]]/WWWW[[#This Row],['#_Water sources tested for fecal coliform ]],"no test")</f>
        <v>no test</v>
      </c>
      <c r="CF110" s="733" t="str">
        <f>IFERROR(WWWW[[#This Row],['#_Household passed]]/WWWW[[#This Row],['#_Household water samples tested for fecal coliform]],"no test")</f>
        <v>no test</v>
      </c>
      <c r="CG110" s="734" t="str">
        <f>IF(AND(WWWW[[#This Row],[% of water sources passed]]="no test",WWWW[[#This Row],[% Household passed]]="no test"),"No Test","Tested")</f>
        <v>No Test</v>
      </c>
      <c r="CH110" s="734">
        <f>WWWW[[#This Row],['#_Constructed/existing protected hand dug well]]-WWWW[[#This Row],['#_Non-functional protected hand dug well]]</f>
        <v>1</v>
      </c>
      <c r="CI110" s="734">
        <f>(WWWW[[#This Row],['#_Constructed/Existing tube wells/boreholes/handpumps_WASH_agency]]+WWWW[[#This Row],['#_Non-Cluster partner water tube-wells/boreholes/handpumps]])-WWWW[[#This Row],['#_Non-functional tube wells/boreholes/handpumps]]</f>
        <v>1</v>
      </c>
      <c r="CJ110" s="734">
        <f>WWWW[[#This Row],['#_Constructed/Existingwater storage tank with gravity fed reticulation system]]-WWWW[[#This Row],['#_Non-functional storage tank gravity fed reticulation system]]</f>
        <v>0</v>
      </c>
      <c r="CK110" s="734">
        <f>(WWWW[[#This Row],['#_Water_Liters_supplied_by_Water boating or water trucking]]/90)/15</f>
        <v>0</v>
      </c>
      <c r="CL110" s="734">
        <f>WWWW[[#This Row],['#_Water_Liters_from_Constructed/Existing water distribution system from river or natural spring]]/90/15</f>
        <v>0</v>
      </c>
      <c r="CM110" s="424">
        <f>IF(WWWW[[#This Row],['#_of water points in TLS/CFS]]*500&gt;WWWW[[#This Row],[Total PoP ]],WWWW[[#This Row],[Total PoP ]],WWWW[[#This Row],['#_of water points in TLS/CFS]]*500)</f>
        <v>0</v>
      </c>
      <c r="CN110" s="424">
        <f>IF(WWWW[[#This Row],['#_of water points in THF]]*500&gt;WWWW[[#This Row],[Total PoP ]],WWWW[[#This Row],[Total PoP ]],WWWW[[#This Row],['#_of water points in THF]]*500)</f>
        <v>0</v>
      </c>
      <c r="CO11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0" s="733">
        <f>IF(WWWW[[#This Row],[Location Type 1]]="Village",WWWW[[#This Row],[Access to safe drinking water for Village]],WWWW[[#This Row],[Access to safe drinking water for Camp]])</f>
        <v>1</v>
      </c>
      <c r="CR110" s="731">
        <f>WWWW[[#This Row],[%Equitable and continuous access to sufficient quantity of safe drinking water]]*WWWW[[#This Row],[Total PoP ]]</f>
        <v>85</v>
      </c>
      <c r="CS110" s="733">
        <f>IF((WWWW[[#This Row],['#_Constructed/Existing protected/fenced ponds]]*250)/WWWW[[#This Row],[Total PoP ]]&gt;1,1,(WWWW[[#This Row],['#_Constructed/Existing protected/fenced ponds]]*250)/WWWW[[#This Row],[Total PoP ]])</f>
        <v>0</v>
      </c>
      <c r="CT110" s="731">
        <f>WWWW[[#This Row],[% Access to unimproved water points]]*WWWW[[#This Row],[Total PoP ]]</f>
        <v>0</v>
      </c>
      <c r="CU11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v>
      </c>
      <c r="CW110" s="731">
        <f>WWWW[[#This Row],[HRP1]]/500</f>
        <v>0.17</v>
      </c>
      <c r="CX110" s="736">
        <f>1-WWWW[[#This Row],[% Equitable and continuous access to sufficient quantity of domestic water]]</f>
        <v>0</v>
      </c>
      <c r="CY110" s="731">
        <f>WWWW[[#This Row],[%equitable and continuous access to sufficient quantity of safe drinking and domestic water''s GAP]]*WWWW[[#This Row],[Total PoP ]]</f>
        <v>0</v>
      </c>
      <c r="CZ110" s="734">
        <f>IF(WWWW[[#This Row],[Total required water points]]-WWWW[[#This Row],['#Water points coverage]]&lt;0,0,WWWW[[#This Row],[Total required water points]]-WWWW[[#This Row],['#Water points coverage]])</f>
        <v>0.83</v>
      </c>
      <c r="DA110" s="734">
        <f>ROUND(IF(WWWW[[#This Row],[Total PoP ]]&lt;500,1,WWWW[[#This Row],[Total PoP ]]/500),0)</f>
        <v>1</v>
      </c>
      <c r="DB110" s="734">
        <f>(WWWW[[#This Row],['#_Constructed latrines_by_WASHAgencies]]+WWWW[[#This Row],['#_Non Cluster partner latrines]])-WWWW[[#This Row],['#_Non-functional latrines]]</f>
        <v>4</v>
      </c>
      <c r="DC110" s="631">
        <f>WWWW[[#This Row],[HRP2]]/WWWW[[#This Row],[Total PoP ]]</f>
        <v>0.94117647058823528</v>
      </c>
      <c r="DD11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11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F11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0" s="424">
        <f>IF(WWWW[[#This Row],['# of functional latrines in THF supported by WASH partners during the reporting period2]]="",0,WWWW[[#This Row],['# of functional latrines in THF supported by WASH partners during the reporting period2]]*50)</f>
        <v>0</v>
      </c>
      <c r="DH110" s="734">
        <f>ROUND(IF(WWWW[[#This Row],[Location Type 1]]="camp",WWWW[[#This Row],[Total PoP ]]/20,IF(WWWW[[#This Row],[Location Type 1]]="Temporary Location",WWWW[[#This Row],[Total PoP ]]/50,(WWWW[[#This Row],[Total PoP ]]/6))),0)</f>
        <v>4</v>
      </c>
      <c r="DI110" s="734">
        <f>IF(WWWW[[#This Row],[Total required Latrines]]-(WWWW[[#This Row],['#_Constructed latrines_by_WASHAgencies]]+WWWW[[#This Row],['#_Non Cluster partner latrines]])&lt;0,0,WWWW[[#This Row],[Total required Latrines]]-(WWWW[[#This Row],['#_Constructed latrines_by_WASHAgencies]]+WWWW[[#This Row],['#_Non Cluster partner latrines]]))</f>
        <v>0</v>
      </c>
      <c r="DJ110" s="736">
        <f>1-WWWW[[#This Row],[% people access to functioning Latrine]]</f>
        <v>5.8823529411764719E-2</v>
      </c>
      <c r="DK110" s="735">
        <f>IF(OR(WWWW[[#This Row],['#_Non-functional latrines]]="",WWWW[[#This Row],['#_Non-functional latrines]]=0),0,WWWW[[#This Row],['#_Non-functional latrines]]/(WWWW[[#This Row],['#_Constructed latrines_by_WASHAgencies]]+WWWW[[#This Row],['#_Non Cluster partner latrines]]))</f>
        <v>0</v>
      </c>
      <c r="DL110" s="731">
        <f>IF(500*(WWWW[[#This Row],['#_male hygiene promoters]]+WWWW[[#This Row],['#_female hygiene promoters]])&gt;WWWW[[#This Row],[Total PoP ]],WWWW[[#This Row],[Total PoP ]],500*(WWWW[[#This Row],['#_male hygiene promoters]]+WWWW[[#This Row],['#_female hygiene promoters]]))</f>
        <v>85</v>
      </c>
      <c r="DM11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v>
      </c>
      <c r="DN11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10" s="734">
        <f>IF(WWWW[[#This Row],['# People with access to soap]]&gt;WWWW[[#This Row],['# People with access to Sanity Pads]],WWWW[[#This Row],['# People with access to soap]],WWWW[[#This Row],['# People with access to Sanity Pads]])</f>
        <v>85</v>
      </c>
      <c r="DP110" s="734">
        <f>IF(WWWW[[#This Row],['# people reached by regular dedicated hygiene promotion_5]]&gt;WWWW[[#This Row],['# People received regular supply of hygiene items_6]],WWWW[[#This Row],['# people reached by regular dedicated hygiene promotion_5]],WWWW[[#This Row],['# People received regular supply of hygiene items_6]])</f>
        <v>85</v>
      </c>
      <c r="DQ110" s="736">
        <f>IF(WWWW[[#This Row],[HRP3]]/WWWW[[#This Row],[Total PoP ]]&gt;1,1,WWWW[[#This Row],[HRP3]]/WWWW[[#This Row],[Total PoP ]])</f>
        <v>1</v>
      </c>
      <c r="DR110" s="735">
        <f>1-WWWW[[#This Row],[Hygiene Coverage%]]</f>
        <v>0</v>
      </c>
      <c r="DS110" s="733">
        <f>WWWW[[#This Row],['# people reached by regular dedicated hygiene promotion_5]]/WWWW[[#This Row],[Total PoP ]]</f>
        <v>1</v>
      </c>
      <c r="DT11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0" s="734">
        <f>WWWW[[#This Row],['#_Constructed/Existing hand washing stations]]-WWWW[[#This Row],['#_Non-Functional_hand_washing_stations]]</f>
        <v>8</v>
      </c>
      <c r="DW110" s="731">
        <f>IF(WWWW[[#This Row],['# Functional hand washing stations during reporting period]]*20&gt;WWWW[[#This Row],[Total HH]],WWWW[[#This Row],[Total HH]],WWWW[[#This Row],['# Functional hand washing stations during reporting period]]*20)</f>
        <v>19</v>
      </c>
      <c r="DX110" s="731">
        <f>IF(WWWW[[#This Row],[Is sufficient soap available for TLS? (Yes/No)]]="yes",WWWW[[#This Row],['#_Constructed/Existing hand washing stations at TLS/CFS/THF]],0)</f>
        <v>0</v>
      </c>
      <c r="DY110" s="428">
        <f>IF(WWWW[[#This Row],['# Functional hand washing stations during reporting period]]*100&gt;WWWW[[#This Row],[Total PoP ]],WWWW[[#This Row],[Total PoP ]],WWWW[[#This Row],['# Functional hand washing stations during reporting period]]*100)</f>
        <v>85</v>
      </c>
      <c r="DZ110" s="428" t="str">
        <f>IF(OR(WWWW[[#This Row],['#_students at TLS_CFS]]="",WWWW[[#This Row],['#_students at TLS_CFS]]=0),"No","Yes")</f>
        <v>Yes</v>
      </c>
      <c r="EA110" s="631">
        <f>IF(WWWW[[#This Row],['#_of_affected_people_surveyed_who_report_feeling_informed_about_the_different_WASH_services_available_to_them]]="","",WWWW[[#This Row],['#_of_affected_people_surveyed_who_report_feeling_informed_about_the_different_WASH_services_available_to_them]]/WWWW[[#This Row],[Total PoP ]])</f>
        <v>4.7058823529411764E-2</v>
      </c>
      <c r="EB11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0" s="727" t="str">
        <f>VLOOKUP(WWWW[[#This Row],[Site Name]],SiteDB6[[Site Name]:[CCCM Management]],6,FALSE)</f>
        <v>Yes</v>
      </c>
      <c r="EF110" s="727" t="str">
        <f>VLOOKUP(WWWW[[#This Row],[Site Name]],SiteDB6[[Site Name]:[CCCM Focal Agency]],7,FALSE)</f>
        <v>Shalom</v>
      </c>
      <c r="EG110" s="727" t="str">
        <f>VLOOKUP(WWWW[[#This Row],[Site Name]],SiteDB6[[Site Name]:[Location Type 1]],9,FALSE)</f>
        <v>Camp</v>
      </c>
      <c r="EH110" s="727" t="str">
        <f>VLOOKUP(WWWW[[#This Row],[Site Name]],SiteDB6[[Site Name]:[Type of Accommodation]],10,FALSE)</f>
        <v>Camp</v>
      </c>
      <c r="EI110" s="727" t="str">
        <f>VLOOKUP(WWWW[[#This Row],[Site Name]],SiteDB6[[Site Name]:[Ethnic or GCA/NGCA]],11,FALSE)</f>
        <v>GCA</v>
      </c>
      <c r="EJ110" s="727">
        <f>VLOOKUP(WWWW[[#This Row],[Site Name]],SiteDB6[[Site Name]:[Lat]],12,FALSE)</f>
        <v>25.351965</v>
      </c>
      <c r="EK110" s="727">
        <f>VLOOKUP(WWWW[[#This Row],[Site Name]],SiteDB6[[Site Name]:[Long]],13,FALSE)</f>
        <v>97.345039</v>
      </c>
      <c r="EL110" s="727" t="str">
        <f>VLOOKUP(WWWW[[#This Row],[Site Name]],SiteDB6[[Site Name]:[Pcode]],3,FALSE)</f>
        <v>MMR001CMP033</v>
      </c>
      <c r="EM110" s="732" t="str">
        <f t="shared" si="1"/>
        <v>Covered</v>
      </c>
      <c r="EN110" s="732"/>
      <c r="EO110" s="727">
        <f>VLOOKUP(WWWW[[#This Row],[Site Name]],SiteDB6[[Site Name]:[Pop
(Kachin/Shan-CCCM as of July 2021)]],16,FALSE)</f>
        <v>19</v>
      </c>
      <c r="EP110" s="727">
        <f>VLOOKUP(WWWW[[#This Row],[Site Name]],SiteDB6[[Site Name]:[Pop
(Kachin/Shan-CCCM as of July 2021)]],17,FALSE)</f>
        <v>85</v>
      </c>
    </row>
    <row r="111" spans="1:146" hidden="1">
      <c r="A111" s="725" t="s">
        <v>2763</v>
      </c>
      <c r="B111" s="725" t="s">
        <v>141</v>
      </c>
      <c r="C111" s="726" t="s">
        <v>141</v>
      </c>
      <c r="D111" s="726" t="s">
        <v>241</v>
      </c>
      <c r="E111" s="726" t="s">
        <v>37</v>
      </c>
      <c r="F111" s="726" t="s">
        <v>157</v>
      </c>
      <c r="G111" s="591" t="str">
        <f>VLOOKUP(WWWW[[#This Row],[Site Name]],SiteDB6[[Site Name]:[Location Type]],8,FALSE)</f>
        <v>Camp</v>
      </c>
      <c r="H111" s="726" t="s">
        <v>158</v>
      </c>
      <c r="I111" s="728">
        <v>22</v>
      </c>
      <c r="J111" s="728">
        <v>113</v>
      </c>
      <c r="K111" s="729">
        <v>44105</v>
      </c>
      <c r="L111" s="730">
        <v>44681</v>
      </c>
      <c r="M111" s="728"/>
      <c r="N111" s="728">
        <v>1</v>
      </c>
      <c r="O111" s="728"/>
      <c r="P111" s="728"/>
      <c r="Q111" s="731" t="s">
        <v>41</v>
      </c>
      <c r="R111" s="728"/>
      <c r="S111" s="728">
        <v>1</v>
      </c>
      <c r="T111" s="448">
        <v>0</v>
      </c>
      <c r="U111" s="728"/>
      <c r="V111" s="728"/>
      <c r="W111" s="728">
        <v>3</v>
      </c>
      <c r="X111" s="728"/>
      <c r="Y111" s="728"/>
      <c r="Z111" s="728"/>
      <c r="AA111" s="728"/>
      <c r="AB111" s="728"/>
      <c r="AC111" s="728"/>
      <c r="AD111" s="728"/>
      <c r="AE111" s="728"/>
      <c r="AF111" s="728"/>
      <c r="AG111" s="728"/>
      <c r="AH111" s="728"/>
      <c r="AI111" s="728"/>
      <c r="AJ111" s="728"/>
      <c r="AK111" s="728"/>
      <c r="AL111" s="728"/>
      <c r="AM111" s="728"/>
      <c r="AN111" s="728"/>
      <c r="AO111" s="728"/>
      <c r="AP111" s="732"/>
      <c r="AQ111" s="728">
        <v>5</v>
      </c>
      <c r="AR111" s="728"/>
      <c r="AS111" s="733"/>
      <c r="AT111" s="728"/>
      <c r="AU111" s="728"/>
      <c r="AV111" s="728"/>
      <c r="AW111" s="728"/>
      <c r="AX111" s="728"/>
      <c r="AY111" s="727" t="s">
        <v>41</v>
      </c>
      <c r="AZ111" s="732" t="s">
        <v>904</v>
      </c>
      <c r="BA111" s="728"/>
      <c r="BB111" s="728"/>
      <c r="BC111" s="728"/>
      <c r="BD111" s="448"/>
      <c r="BE111" s="448"/>
      <c r="BF111" s="727"/>
      <c r="BG111" s="728">
        <v>3</v>
      </c>
      <c r="BH111" s="728"/>
      <c r="BI111" s="728"/>
      <c r="BJ111" s="728">
        <v>2</v>
      </c>
      <c r="BK111" s="728"/>
      <c r="BL111" s="728">
        <v>1</v>
      </c>
      <c r="BM111" s="728"/>
      <c r="BN111" s="728">
        <v>88</v>
      </c>
      <c r="BO111" s="728">
        <v>100</v>
      </c>
      <c r="BP111" s="727"/>
      <c r="BQ111" s="734"/>
      <c r="BR111" s="733"/>
      <c r="BS111" s="727"/>
      <c r="BT111" s="423"/>
      <c r="BU111" s="423"/>
      <c r="BV111" s="425"/>
      <c r="BW111" s="423"/>
      <c r="BX111" s="448"/>
      <c r="BY111" s="448"/>
      <c r="BZ111" s="448"/>
      <c r="CA111" s="448"/>
      <c r="CB111" s="448"/>
      <c r="CC111" s="777"/>
      <c r="CD111" s="448"/>
      <c r="CE111" s="735" t="str">
        <f>IFERROR(WWWW[[#This Row],['#_Water sources passed]]/WWWW[[#This Row],['#_Water sources tested for fecal coliform ]],"no test")</f>
        <v>no test</v>
      </c>
      <c r="CF111" s="733" t="str">
        <f>IFERROR(WWWW[[#This Row],['#_Household passed]]/WWWW[[#This Row],['#_Household water samples tested for fecal coliform]],"no test")</f>
        <v>no test</v>
      </c>
      <c r="CG111" s="734" t="str">
        <f>IF(AND(WWWW[[#This Row],[% of water sources passed]]="no test",WWWW[[#This Row],[% Household passed]]="no test"),"No Test","Tested")</f>
        <v>No Test</v>
      </c>
      <c r="CH111" s="734">
        <f>WWWW[[#This Row],['#_Constructed/existing protected hand dug well]]-WWWW[[#This Row],['#_Non-functional protected hand dug well]]</f>
        <v>0</v>
      </c>
      <c r="CI111" s="734">
        <f>(WWWW[[#This Row],['#_Constructed/Existing tube wells/boreholes/handpumps_WASH_agency]]+WWWW[[#This Row],['#_Non-Cluster partner water tube-wells/boreholes/handpumps]])-WWWW[[#This Row],['#_Non-functional tube wells/boreholes/handpumps]]</f>
        <v>3</v>
      </c>
      <c r="CJ111" s="734">
        <f>WWWW[[#This Row],['#_Constructed/Existingwater storage tank with gravity fed reticulation system]]-WWWW[[#This Row],['#_Non-functional storage tank gravity fed reticulation system]]</f>
        <v>0</v>
      </c>
      <c r="CK111" s="734">
        <f>(WWWW[[#This Row],['#_Water_Liters_supplied_by_Water boating or water trucking]]/90)/15</f>
        <v>0</v>
      </c>
      <c r="CL111" s="734">
        <f>WWWW[[#This Row],['#_Water_Liters_from_Constructed/Existing water distribution system from river or natural spring]]/90/15</f>
        <v>0</v>
      </c>
      <c r="CM111" s="424">
        <f>IF(WWWW[[#This Row],['#_of water points in TLS/CFS]]*500&gt;WWWW[[#This Row],[Total PoP ]],WWWW[[#This Row],[Total PoP ]],WWWW[[#This Row],['#_of water points in TLS/CFS]]*500)</f>
        <v>0</v>
      </c>
      <c r="CN111" s="424">
        <f>IF(WWWW[[#This Row],['#_of water points in THF]]*500&gt;WWWW[[#This Row],[Total PoP ]],WWWW[[#This Row],[Total PoP ]],WWWW[[#This Row],['#_of water points in THF]]*500)</f>
        <v>0</v>
      </c>
      <c r="CO11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1" s="733">
        <f>IF(WWWW[[#This Row],[Location Type 1]]="Village",WWWW[[#This Row],[Access to safe drinking water for Village]],WWWW[[#This Row],[Access to safe drinking water for Camp]])</f>
        <v>1</v>
      </c>
      <c r="CR111" s="731">
        <f>WWWW[[#This Row],[%Equitable and continuous access to sufficient quantity of safe drinking water]]*WWWW[[#This Row],[Total PoP ]]</f>
        <v>113</v>
      </c>
      <c r="CS111" s="733">
        <f>IF((WWWW[[#This Row],['#_Constructed/Existing protected/fenced ponds]]*250)/WWWW[[#This Row],[Total PoP ]]&gt;1,1,(WWWW[[#This Row],['#_Constructed/Existing protected/fenced ponds]]*250)/WWWW[[#This Row],[Total PoP ]])</f>
        <v>0</v>
      </c>
      <c r="CT111" s="731">
        <f>WWWW[[#This Row],[% Access to unimproved water points]]*WWWW[[#This Row],[Total PoP ]]</f>
        <v>0</v>
      </c>
      <c r="CU11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v>
      </c>
      <c r="CW111" s="731">
        <f>WWWW[[#This Row],[HRP1]]/500</f>
        <v>0.22600000000000001</v>
      </c>
      <c r="CX111" s="736">
        <f>1-WWWW[[#This Row],[% Equitable and continuous access to sufficient quantity of domestic water]]</f>
        <v>0</v>
      </c>
      <c r="CY111" s="731">
        <f>WWWW[[#This Row],[%equitable and continuous access to sufficient quantity of safe drinking and domestic water''s GAP]]*WWWW[[#This Row],[Total PoP ]]</f>
        <v>0</v>
      </c>
      <c r="CZ111" s="734">
        <f>IF(WWWW[[#This Row],[Total required water points]]-WWWW[[#This Row],['#Water points coverage]]&lt;0,0,WWWW[[#This Row],[Total required water points]]-WWWW[[#This Row],['#Water points coverage]])</f>
        <v>0.77400000000000002</v>
      </c>
      <c r="DA111" s="734">
        <f>ROUND(IF(WWWW[[#This Row],[Total PoP ]]&lt;500,1,WWWW[[#This Row],[Total PoP ]]/500),0)</f>
        <v>1</v>
      </c>
      <c r="DB111" s="734">
        <f>(WWWW[[#This Row],['#_Constructed latrines_by_WASHAgencies]]+WWWW[[#This Row],['#_Non Cluster partner latrines]])-WWWW[[#This Row],['#_Non-functional latrines]]</f>
        <v>5</v>
      </c>
      <c r="DC111" s="631">
        <f>WWWW[[#This Row],[HRP2]]/WWWW[[#This Row],[Total PoP ]]</f>
        <v>0.88495575221238942</v>
      </c>
      <c r="DD11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11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1" s="424">
        <f>IF(WWWW[[#This Row],['# of functional latrines in THF supported by WASH partners during the reporting period2]]="",0,WWWW[[#This Row],['# of functional latrines in THF supported by WASH partners during the reporting period2]]*50)</f>
        <v>0</v>
      </c>
      <c r="DH111" s="734">
        <f>ROUND(IF(WWWW[[#This Row],[Location Type 1]]="camp",WWWW[[#This Row],[Total PoP ]]/20,IF(WWWW[[#This Row],[Location Type 1]]="Temporary Location",WWWW[[#This Row],[Total PoP ]]/50,(WWWW[[#This Row],[Total PoP ]]/6))),0)</f>
        <v>6</v>
      </c>
      <c r="DI111" s="734">
        <f>IF(WWWW[[#This Row],[Total required Latrines]]-(WWWW[[#This Row],['#_Constructed latrines_by_WASHAgencies]]+WWWW[[#This Row],['#_Non Cluster partner latrines]])&lt;0,0,WWWW[[#This Row],[Total required Latrines]]-(WWWW[[#This Row],['#_Constructed latrines_by_WASHAgencies]]+WWWW[[#This Row],['#_Non Cluster partner latrines]]))</f>
        <v>1</v>
      </c>
      <c r="DJ111" s="736">
        <f>1-WWWW[[#This Row],[% people access to functioning Latrine]]</f>
        <v>0.11504424778761058</v>
      </c>
      <c r="DK111" s="735">
        <f>IF(OR(WWWW[[#This Row],['#_Non-functional latrines]]="",WWWW[[#This Row],['#_Non-functional latrines]]=0),0,WWWW[[#This Row],['#_Non-functional latrines]]/(WWWW[[#This Row],['#_Constructed latrines_by_WASHAgencies]]+WWWW[[#This Row],['#_Non Cluster partner latrines]]))</f>
        <v>0</v>
      </c>
      <c r="DL111" s="731">
        <f>IF(500*(WWWW[[#This Row],['#_male hygiene promoters]]+WWWW[[#This Row],['#_female hygiene promoters]])&gt;WWWW[[#This Row],[Total PoP ]],WWWW[[#This Row],[Total PoP ]],500*(WWWW[[#This Row],['#_male hygiene promoters]]+WWWW[[#This Row],['#_female hygiene promoters]]))</f>
        <v>113</v>
      </c>
      <c r="DM11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113</v>
      </c>
      <c r="DN11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11" s="734">
        <f>IF(WWWW[[#This Row],['# People with access to soap]]&gt;WWWW[[#This Row],['# People with access to Sanity Pads]],WWWW[[#This Row],['# People with access to soap]],WWWW[[#This Row],['# People with access to Sanity Pads]])</f>
        <v>113</v>
      </c>
      <c r="DP111" s="734">
        <f>IF(WWWW[[#This Row],['# people reached by regular dedicated hygiene promotion_5]]&gt;WWWW[[#This Row],['# People received regular supply of hygiene items_6]],WWWW[[#This Row],['# people reached by regular dedicated hygiene promotion_5]],WWWW[[#This Row],['# People received regular supply of hygiene items_6]])</f>
        <v>113</v>
      </c>
      <c r="DQ111" s="736">
        <f>IF(WWWW[[#This Row],[HRP3]]/WWWW[[#This Row],[Total PoP ]]&gt;1,1,WWWW[[#This Row],[HRP3]]/WWWW[[#This Row],[Total PoP ]])</f>
        <v>1</v>
      </c>
      <c r="DR111" s="735">
        <f>1-WWWW[[#This Row],[Hygiene Coverage%]]</f>
        <v>0</v>
      </c>
      <c r="DS111" s="733">
        <f>WWWW[[#This Row],['# people reached by regular dedicated hygiene promotion_5]]/WWWW[[#This Row],[Total PoP ]]</f>
        <v>1</v>
      </c>
      <c r="DT11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1" s="734">
        <f>WWWW[[#This Row],['#_Constructed/Existing hand washing stations]]-WWWW[[#This Row],['#_Non-Functional_hand_washing_stations]]</f>
        <v>3</v>
      </c>
      <c r="DW111" s="731">
        <f>IF(WWWW[[#This Row],['# Functional hand washing stations during reporting period]]*20&gt;WWWW[[#This Row],[Total HH]],WWWW[[#This Row],[Total HH]],WWWW[[#This Row],['# Functional hand washing stations during reporting period]]*20)</f>
        <v>22</v>
      </c>
      <c r="DX111" s="731">
        <f>IF(WWWW[[#This Row],[Is sufficient soap available for TLS? (Yes/No)]]="yes",WWWW[[#This Row],['#_Constructed/Existing hand washing stations at TLS/CFS/THF]],0)</f>
        <v>0</v>
      </c>
      <c r="DY111" s="428">
        <f>IF(WWWW[[#This Row],['# Functional hand washing stations during reporting period]]*100&gt;WWWW[[#This Row],[Total PoP ]],WWWW[[#This Row],[Total PoP ]],WWWW[[#This Row],['# Functional hand washing stations during reporting period]]*100)</f>
        <v>113</v>
      </c>
      <c r="DZ111" s="428" t="str">
        <f>IF(OR(WWWW[[#This Row],['#_students at TLS_CFS]]="",WWWW[[#This Row],['#_students at TLS_CFS]]=0),"No","Yes")</f>
        <v>No</v>
      </c>
      <c r="EA11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1" s="727" t="str">
        <f>VLOOKUP(WWWW[[#This Row],[Site Name]],SiteDB6[[Site Name]:[CCCM Management]],6,FALSE)</f>
        <v>Yes</v>
      </c>
      <c r="EF111" s="727" t="str">
        <f>VLOOKUP(WWWW[[#This Row],[Site Name]],SiteDB6[[Site Name]:[CCCM Focal Agency]],7,FALSE)</f>
        <v>KBC-MYT</v>
      </c>
      <c r="EG111" s="727" t="str">
        <f>VLOOKUP(WWWW[[#This Row],[Site Name]],SiteDB6[[Site Name]:[Location Type 1]],9,FALSE)</f>
        <v>Camp</v>
      </c>
      <c r="EH111" s="727" t="str">
        <f>VLOOKUP(WWWW[[#This Row],[Site Name]],SiteDB6[[Site Name]:[Type of Accommodation]],10,FALSE)</f>
        <v>Camp</v>
      </c>
      <c r="EI111" s="727" t="str">
        <f>VLOOKUP(WWWW[[#This Row],[Site Name]],SiteDB6[[Site Name]:[Ethnic or GCA/NGCA]],11,FALSE)</f>
        <v>GCA</v>
      </c>
      <c r="EJ111" s="727">
        <f>VLOOKUP(WWWW[[#This Row],[Site Name]],SiteDB6[[Site Name]:[Lat]],12,FALSE)</f>
        <v>24.998349999999999</v>
      </c>
      <c r="EK111" s="727">
        <f>VLOOKUP(WWWW[[#This Row],[Site Name]],SiteDB6[[Site Name]:[Long]],13,FALSE)</f>
        <v>96.364949999999993</v>
      </c>
      <c r="EL111" s="727" t="str">
        <f>VLOOKUP(WWWW[[#This Row],[Site Name]],SiteDB6[[Site Name]:[Pcode]],3,FALSE)</f>
        <v>MMR001CMP152</v>
      </c>
      <c r="EM111" s="732" t="str">
        <f t="shared" si="1"/>
        <v>Covered</v>
      </c>
      <c r="EN111" s="732"/>
      <c r="EO111" s="727">
        <f>VLOOKUP(WWWW[[#This Row],[Site Name]],SiteDB6[[Site Name]:[Pop
(Kachin/Shan-CCCM as of July 2021)]],16,FALSE)</f>
        <v>26</v>
      </c>
      <c r="EP111" s="727">
        <f>VLOOKUP(WWWW[[#This Row],[Site Name]],SiteDB6[[Site Name]:[Pop
(Kachin/Shan-CCCM as of July 2021)]],17,FALSE)</f>
        <v>127</v>
      </c>
    </row>
    <row r="112" spans="1:146" hidden="1">
      <c r="A112" s="725" t="s">
        <v>2763</v>
      </c>
      <c r="B112" s="725" t="s">
        <v>141</v>
      </c>
      <c r="C112" s="726" t="s">
        <v>141</v>
      </c>
      <c r="D112" s="726" t="s">
        <v>241</v>
      </c>
      <c r="E112" s="726" t="s">
        <v>37</v>
      </c>
      <c r="F112" s="726" t="s">
        <v>184</v>
      </c>
      <c r="G112" s="591" t="str">
        <f>VLOOKUP(WWWW[[#This Row],[Site Name]],SiteDB6[[Site Name]:[Location Type]],8,FALSE)</f>
        <v>Camp</v>
      </c>
      <c r="H112" s="726" t="s">
        <v>185</v>
      </c>
      <c r="I112" s="728">
        <v>127</v>
      </c>
      <c r="J112" s="728">
        <v>547</v>
      </c>
      <c r="K112" s="588">
        <v>44105</v>
      </c>
      <c r="L112" s="589">
        <v>44681</v>
      </c>
      <c r="M112" s="728"/>
      <c r="N112" s="728">
        <v>2</v>
      </c>
      <c r="O112" s="728"/>
      <c r="P112" s="728"/>
      <c r="Q112" s="731" t="s">
        <v>41</v>
      </c>
      <c r="R112" s="728"/>
      <c r="S112" s="728"/>
      <c r="T112" s="448">
        <v>0</v>
      </c>
      <c r="U112" s="728"/>
      <c r="V112" s="728"/>
      <c r="W112" s="728">
        <v>0</v>
      </c>
      <c r="X112" s="728"/>
      <c r="Y112" s="728"/>
      <c r="Z112" s="728"/>
      <c r="AA112" s="728"/>
      <c r="AB112" s="728"/>
      <c r="AC112" s="728"/>
      <c r="AD112" s="728"/>
      <c r="AE112" s="728"/>
      <c r="AF112" s="728"/>
      <c r="AG112" s="728"/>
      <c r="AH112" s="728">
        <v>0</v>
      </c>
      <c r="AI112" s="728"/>
      <c r="AJ112" s="728"/>
      <c r="AK112" s="728"/>
      <c r="AL112" s="728"/>
      <c r="AM112" s="728"/>
      <c r="AN112" s="728"/>
      <c r="AO112" s="728"/>
      <c r="AP112" s="732"/>
      <c r="AQ112" s="728">
        <v>90</v>
      </c>
      <c r="AR112" s="728"/>
      <c r="AS112" s="733"/>
      <c r="AT112" s="728"/>
      <c r="AU112" s="728"/>
      <c r="AV112" s="728"/>
      <c r="AW112" s="728"/>
      <c r="AX112" s="728">
        <v>90</v>
      </c>
      <c r="AY112" s="727" t="s">
        <v>41</v>
      </c>
      <c r="AZ112" s="732" t="s">
        <v>137</v>
      </c>
      <c r="BA112" s="728"/>
      <c r="BB112" s="728"/>
      <c r="BC112" s="728"/>
      <c r="BD112" s="448"/>
      <c r="BE112" s="448"/>
      <c r="BF112" s="727"/>
      <c r="BG112" s="728">
        <v>3</v>
      </c>
      <c r="BH112" s="728"/>
      <c r="BI112" s="728"/>
      <c r="BJ112" s="728">
        <v>2</v>
      </c>
      <c r="BK112" s="728"/>
      <c r="BL112" s="728">
        <v>1</v>
      </c>
      <c r="BM112" s="728">
        <v>1</v>
      </c>
      <c r="BN112" s="728">
        <v>10</v>
      </c>
      <c r="BO112" s="728">
        <v>18</v>
      </c>
      <c r="BP112" s="727"/>
      <c r="BQ112" s="734"/>
      <c r="BR112" s="733"/>
      <c r="BS112" s="727"/>
      <c r="BT112" s="423"/>
      <c r="BU112" s="423"/>
      <c r="BV112" s="425"/>
      <c r="BW112" s="423"/>
      <c r="BX112" s="448"/>
      <c r="BY112" s="448"/>
      <c r="BZ112" s="448"/>
      <c r="CA112" s="448"/>
      <c r="CB112" s="448"/>
      <c r="CC112" s="777"/>
      <c r="CD112" s="448"/>
      <c r="CE112" s="735" t="str">
        <f>IFERROR(WWWW[[#This Row],['#_Water sources passed]]/WWWW[[#This Row],['#_Water sources tested for fecal coliform ]],"no test")</f>
        <v>no test</v>
      </c>
      <c r="CF112" s="733" t="str">
        <f>IFERROR(WWWW[[#This Row],['#_Household passed]]/WWWW[[#This Row],['#_Household water samples tested for fecal coliform]],"no test")</f>
        <v>no test</v>
      </c>
      <c r="CG112" s="734" t="str">
        <f>IF(AND(WWWW[[#This Row],[% of water sources passed]]="no test",WWWW[[#This Row],[% Household passed]]="no test"),"No Test","Tested")</f>
        <v>No Test</v>
      </c>
      <c r="CH112" s="734">
        <f>WWWW[[#This Row],['#_Constructed/existing protected hand dug well]]-WWWW[[#This Row],['#_Non-functional protected hand dug well]]</f>
        <v>0</v>
      </c>
      <c r="CI112" s="734">
        <f>(WWWW[[#This Row],['#_Constructed/Existing tube wells/boreholes/handpumps_WASH_agency]]+WWWW[[#This Row],['#_Non-Cluster partner water tube-wells/boreholes/handpumps]])-WWWW[[#This Row],['#_Non-functional tube wells/boreholes/handpumps]]</f>
        <v>0</v>
      </c>
      <c r="CJ112" s="734">
        <f>WWWW[[#This Row],['#_Constructed/Existingwater storage tank with gravity fed reticulation system]]-WWWW[[#This Row],['#_Non-functional storage tank gravity fed reticulation system]]</f>
        <v>0</v>
      </c>
      <c r="CK112" s="734">
        <f>(WWWW[[#This Row],['#_Water_Liters_supplied_by_Water boating or water trucking]]/90)/15</f>
        <v>0</v>
      </c>
      <c r="CL112" s="734">
        <f>WWWW[[#This Row],['#_Water_Liters_from_Constructed/Existing water distribution system from river or natural spring]]/90/15</f>
        <v>0</v>
      </c>
      <c r="CM112" s="424">
        <f>IF(WWWW[[#This Row],['#_of water points in TLS/CFS]]*500&gt;WWWW[[#This Row],[Total PoP ]],WWWW[[#This Row],[Total PoP ]],WWWW[[#This Row],['#_of water points in TLS/CFS]]*500)</f>
        <v>0</v>
      </c>
      <c r="CN112" s="424">
        <f>IF(WWWW[[#This Row],['#_of water points in THF]]*500&gt;WWWW[[#This Row],[Total PoP ]],WWWW[[#This Row],[Total PoP ]],WWWW[[#This Row],['#_of water points in THF]]*500)</f>
        <v>0</v>
      </c>
      <c r="CO11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1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12" s="733">
        <f>IF(WWWW[[#This Row],[Location Type 1]]="Village",WWWW[[#This Row],[Access to safe drinking water for Village]],WWWW[[#This Row],[Access to safe drinking water for Camp]])</f>
        <v>0</v>
      </c>
      <c r="CR112" s="731">
        <f>WWWW[[#This Row],[%Equitable and continuous access to sufficient quantity of safe drinking water]]*WWWW[[#This Row],[Total PoP ]]</f>
        <v>0</v>
      </c>
      <c r="CS112" s="733">
        <f>IF((WWWW[[#This Row],['#_Constructed/Existing protected/fenced ponds]]*250)/WWWW[[#This Row],[Total PoP ]]&gt;1,1,(WWWW[[#This Row],['#_Constructed/Existing protected/fenced ponds]]*250)/WWWW[[#This Row],[Total PoP ]])</f>
        <v>0</v>
      </c>
      <c r="CT112" s="731">
        <f>WWWW[[#This Row],[% Access to unimproved water points]]*WWWW[[#This Row],[Total PoP ]]</f>
        <v>0</v>
      </c>
      <c r="CU11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1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12" s="731">
        <f>WWWW[[#This Row],[HRP1]]/500</f>
        <v>0</v>
      </c>
      <c r="CX112" s="736">
        <f>1-WWWW[[#This Row],[% Equitable and continuous access to sufficient quantity of domestic water]]</f>
        <v>1</v>
      </c>
      <c r="CY112" s="731">
        <f>WWWW[[#This Row],[%equitable and continuous access to sufficient quantity of safe drinking and domestic water''s GAP]]*WWWW[[#This Row],[Total PoP ]]</f>
        <v>547</v>
      </c>
      <c r="CZ112" s="734">
        <f>IF(WWWW[[#This Row],[Total required water points]]-WWWW[[#This Row],['#Water points coverage]]&lt;0,0,WWWW[[#This Row],[Total required water points]]-WWWW[[#This Row],['#Water points coverage]])</f>
        <v>1</v>
      </c>
      <c r="DA112" s="734">
        <f>ROUND(IF(WWWW[[#This Row],[Total PoP ]]&lt;500,1,WWWW[[#This Row],[Total PoP ]]/500),0)</f>
        <v>1</v>
      </c>
      <c r="DB112" s="734">
        <f>(WWWW[[#This Row],['#_Constructed latrines_by_WASHAgencies]]+WWWW[[#This Row],['#_Non Cluster partner latrines]])-WWWW[[#This Row],['#_Non-functional latrines]]</f>
        <v>90</v>
      </c>
      <c r="DC112" s="631">
        <f>WWWW[[#This Row],[HRP2]]/WWWW[[#This Row],[Total PoP ]]</f>
        <v>1</v>
      </c>
      <c r="DD11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DE11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2" s="424">
        <f>IF(WWWW[[#This Row],['# of functional latrines in THF supported by WASH partners during the reporting period2]]="",0,WWWW[[#This Row],['# of functional latrines in THF supported by WASH partners during the reporting period2]]*50)</f>
        <v>0</v>
      </c>
      <c r="DH112" s="734">
        <f>ROUND(IF(WWWW[[#This Row],[Location Type 1]]="camp",WWWW[[#This Row],[Total PoP ]]/20,IF(WWWW[[#This Row],[Location Type 1]]="Temporary Location",WWWW[[#This Row],[Total PoP ]]/50,(WWWW[[#This Row],[Total PoP ]]/6))),0)</f>
        <v>27</v>
      </c>
      <c r="DI112" s="734">
        <f>IF(WWWW[[#This Row],[Total required Latrines]]-(WWWW[[#This Row],['#_Constructed latrines_by_WASHAgencies]]+WWWW[[#This Row],['#_Non Cluster partner latrines]])&lt;0,0,WWWW[[#This Row],[Total required Latrines]]-(WWWW[[#This Row],['#_Constructed latrines_by_WASHAgencies]]+WWWW[[#This Row],['#_Non Cluster partner latrines]]))</f>
        <v>0</v>
      </c>
      <c r="DJ112" s="736">
        <f>1-WWWW[[#This Row],[% people access to functioning Latrine]]</f>
        <v>0</v>
      </c>
      <c r="DK112" s="735">
        <f>IF(OR(WWWW[[#This Row],['#_Non-functional latrines]]="",WWWW[[#This Row],['#_Non-functional latrines]]=0),0,WWWW[[#This Row],['#_Non-functional latrines]]/(WWWW[[#This Row],['#_Constructed latrines_by_WASHAgencies]]+WWWW[[#This Row],['#_Non Cluster partner latrines]]))</f>
        <v>0</v>
      </c>
      <c r="DL112" s="731">
        <f>IF(500*(WWWW[[#This Row],['#_male hygiene promoters]]+WWWW[[#This Row],['#_female hygiene promoters]])&gt;WWWW[[#This Row],[Total PoP ]],WWWW[[#This Row],[Total PoP ]],500*(WWWW[[#This Row],['#_male hygiene promoters]]+WWWW[[#This Row],['#_female hygiene promoters]]))</f>
        <v>547</v>
      </c>
      <c r="DM11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1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12" s="734">
        <f>IF(WWWW[[#This Row],['# People with access to soap]]&gt;WWWW[[#This Row],['# People with access to Sanity Pads]],WWWW[[#This Row],['# People with access to soap]],WWWW[[#This Row],['# People with access to Sanity Pads]])</f>
        <v>50</v>
      </c>
      <c r="DP112" s="734">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Q112" s="736">
        <f>IF(WWWW[[#This Row],[HRP3]]/WWWW[[#This Row],[Total PoP ]]&gt;1,1,WWWW[[#This Row],[HRP3]]/WWWW[[#This Row],[Total PoP ]])</f>
        <v>1</v>
      </c>
      <c r="DR112" s="735">
        <f>1-WWWW[[#This Row],[Hygiene Coverage%]]</f>
        <v>0</v>
      </c>
      <c r="DS112" s="733">
        <f>WWWW[[#This Row],['# people reached by regular dedicated hygiene promotion_5]]/WWWW[[#This Row],[Total PoP ]]</f>
        <v>1</v>
      </c>
      <c r="DT11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7.874015748031496E-2</v>
      </c>
      <c r="DU11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0.14173228346456693</v>
      </c>
      <c r="DV112" s="734">
        <f>WWWW[[#This Row],['#_Constructed/Existing hand washing stations]]-WWWW[[#This Row],['#_Non-Functional_hand_washing_stations]]</f>
        <v>3</v>
      </c>
      <c r="DW112" s="731">
        <f>IF(WWWW[[#This Row],['# Functional hand washing stations during reporting period]]*20&gt;WWWW[[#This Row],[Total HH]],WWWW[[#This Row],[Total HH]],WWWW[[#This Row],['# Functional hand washing stations during reporting period]]*20)</f>
        <v>60</v>
      </c>
      <c r="DX112" s="731">
        <f>IF(WWWW[[#This Row],[Is sufficient soap available for TLS? (Yes/No)]]="yes",WWWW[[#This Row],['#_Constructed/Existing hand washing stations at TLS/CFS/THF]],0)</f>
        <v>0</v>
      </c>
      <c r="DY112" s="428">
        <f>IF(WWWW[[#This Row],['# Functional hand washing stations during reporting period]]*100&gt;WWWW[[#This Row],[Total PoP ]],WWWW[[#This Row],[Total PoP ]],WWWW[[#This Row],['# Functional hand washing stations during reporting period]]*100)</f>
        <v>300</v>
      </c>
      <c r="DZ112" s="428" t="str">
        <f>IF(OR(WWWW[[#This Row],['#_students at TLS_CFS]]="",WWWW[[#This Row],['#_students at TLS_CFS]]=0),"No","Yes")</f>
        <v>No</v>
      </c>
      <c r="EA11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2" s="727" t="str">
        <f>VLOOKUP(WWWW[[#This Row],[Site Name]],SiteDB6[[Site Name]:[CCCM Management]],6,FALSE)</f>
        <v>Yes</v>
      </c>
      <c r="EF112" s="727" t="str">
        <f>VLOOKUP(WWWW[[#This Row],[Site Name]],SiteDB6[[Site Name]:[CCCM Focal Agency]],7,FALSE)</f>
        <v>KBC-MYT</v>
      </c>
      <c r="EG112" s="727" t="str">
        <f>VLOOKUP(WWWW[[#This Row],[Site Name]],SiteDB6[[Site Name]:[Location Type 1]],9,FALSE)</f>
        <v>Camp</v>
      </c>
      <c r="EH112" s="727" t="str">
        <f>VLOOKUP(WWWW[[#This Row],[Site Name]],SiteDB6[[Site Name]:[Type of Accommodation]],10,FALSE)</f>
        <v>Camp</v>
      </c>
      <c r="EI112" s="727" t="str">
        <f>VLOOKUP(WWWW[[#This Row],[Site Name]],SiteDB6[[Site Name]:[Ethnic or GCA/NGCA]],11,FALSE)</f>
        <v>NGCA</v>
      </c>
      <c r="EJ112" s="727">
        <f>VLOOKUP(WWWW[[#This Row],[Site Name]],SiteDB6[[Site Name]:[Lat]],12,FALSE)</f>
        <v>26.569633</v>
      </c>
      <c r="EK112" s="727">
        <f>VLOOKUP(WWWW[[#This Row],[Site Name]],SiteDB6[[Site Name]:[Long]],13,FALSE)</f>
        <v>97.745480999999998</v>
      </c>
      <c r="EL112" s="727" t="str">
        <f>VLOOKUP(WWWW[[#This Row],[Site Name]],SiteDB6[[Site Name]:[Pcode]],3,FALSE)</f>
        <v>MMR001CMP238</v>
      </c>
      <c r="EM112" s="732" t="str">
        <f t="shared" si="1"/>
        <v>Covered</v>
      </c>
      <c r="EN112" s="732"/>
      <c r="EO112" s="727">
        <f>VLOOKUP(WWWW[[#This Row],[Site Name]],SiteDB6[[Site Name]:[Pop
(Kachin/Shan-CCCM as of July 2021)]],16,FALSE)</f>
        <v>123</v>
      </c>
      <c r="EP112" s="727">
        <f>VLOOKUP(WWWW[[#This Row],[Site Name]],SiteDB6[[Site Name]:[Pop
(Kachin/Shan-CCCM as of July 2021)]],17,FALSE)</f>
        <v>646</v>
      </c>
    </row>
    <row r="113" spans="1:146" hidden="1">
      <c r="A113" s="725" t="s">
        <v>2763</v>
      </c>
      <c r="B113" s="725" t="s">
        <v>291</v>
      </c>
      <c r="C113" s="726" t="s">
        <v>291</v>
      </c>
      <c r="D113" s="726" t="s">
        <v>2583</v>
      </c>
      <c r="E113" s="726" t="s">
        <v>37</v>
      </c>
      <c r="F113" s="726" t="s">
        <v>205</v>
      </c>
      <c r="G113" s="591" t="str">
        <f>VLOOKUP(WWWW[[#This Row],[Site Name]],SiteDB6[[Site Name]:[Location Type]],8,FALSE)</f>
        <v>Camp</v>
      </c>
      <c r="H113" s="726" t="s">
        <v>295</v>
      </c>
      <c r="I113" s="728">
        <v>332</v>
      </c>
      <c r="J113" s="728">
        <v>1675</v>
      </c>
      <c r="K113" s="729">
        <v>43874</v>
      </c>
      <c r="L113" s="730">
        <v>44239</v>
      </c>
      <c r="M113" s="728"/>
      <c r="N113" s="728"/>
      <c r="O113" s="728"/>
      <c r="P113" s="728"/>
      <c r="Q113" s="731" t="s">
        <v>41</v>
      </c>
      <c r="R113" s="728"/>
      <c r="S113" s="728"/>
      <c r="T113" s="448"/>
      <c r="U113" s="728"/>
      <c r="V113" s="728"/>
      <c r="W113" s="728"/>
      <c r="X113" s="728"/>
      <c r="Y113" s="728"/>
      <c r="Z113" s="728"/>
      <c r="AA113" s="728"/>
      <c r="AB113" s="728"/>
      <c r="AC113" s="728"/>
      <c r="AD113" s="728"/>
      <c r="AE113" s="728">
        <v>6</v>
      </c>
      <c r="AF113" s="728"/>
      <c r="AG113" s="728"/>
      <c r="AH113" s="728">
        <v>6</v>
      </c>
      <c r="AI113" s="728"/>
      <c r="AJ113" s="728"/>
      <c r="AK113" s="728"/>
      <c r="AL113" s="728"/>
      <c r="AM113" s="728">
        <v>4</v>
      </c>
      <c r="AN113" s="728">
        <v>2</v>
      </c>
      <c r="AO113" s="728"/>
      <c r="AP113" s="732"/>
      <c r="AQ113" s="728">
        <v>181</v>
      </c>
      <c r="AR113" s="728"/>
      <c r="AS113" s="733"/>
      <c r="AT113" s="728"/>
      <c r="AU113" s="728"/>
      <c r="AV113" s="728"/>
      <c r="AW113" s="728"/>
      <c r="AX113" s="728">
        <v>71</v>
      </c>
      <c r="AY113" s="727" t="s">
        <v>136</v>
      </c>
      <c r="AZ113" s="732" t="s">
        <v>137</v>
      </c>
      <c r="BA113" s="728">
        <v>2</v>
      </c>
      <c r="BB113" s="728"/>
      <c r="BC113" s="728">
        <v>16</v>
      </c>
      <c r="BD113" s="448">
        <v>2</v>
      </c>
      <c r="BE113" s="448"/>
      <c r="BF113" s="727"/>
      <c r="BG113" s="728">
        <v>8</v>
      </c>
      <c r="BH113" s="728"/>
      <c r="BI113" s="728">
        <v>30</v>
      </c>
      <c r="BJ113" s="728">
        <v>3</v>
      </c>
      <c r="BK113" s="728"/>
      <c r="BL113" s="728"/>
      <c r="BM113" s="728">
        <v>6</v>
      </c>
      <c r="BN113" s="728">
        <v>91</v>
      </c>
      <c r="BO113" s="728">
        <v>124</v>
      </c>
      <c r="BP113" s="727"/>
      <c r="BQ113" s="734"/>
      <c r="BR113" s="733"/>
      <c r="BS113" s="727"/>
      <c r="BT113" s="423"/>
      <c r="BU113" s="423"/>
      <c r="BV113" s="425"/>
      <c r="BW113" s="423"/>
      <c r="BX113" s="448"/>
      <c r="BY113" s="448"/>
      <c r="BZ113" s="448"/>
      <c r="CA113" s="448"/>
      <c r="CB113" s="448"/>
      <c r="CC113" s="777"/>
      <c r="CD113" s="448"/>
      <c r="CE113" s="735" t="str">
        <f>IFERROR(WWWW[[#This Row],['#_Water sources passed]]/WWWW[[#This Row],['#_Water sources tested for fecal coliform ]],"no test")</f>
        <v>no test</v>
      </c>
      <c r="CF113" s="733" t="str">
        <f>IFERROR(WWWW[[#This Row],['#_Household passed]]/WWWW[[#This Row],['#_Household water samples tested for fecal coliform]],"no test")</f>
        <v>no test</v>
      </c>
      <c r="CG113" s="734" t="str">
        <f>IF(AND(WWWW[[#This Row],[% of water sources passed]]="no test",WWWW[[#This Row],[% Household passed]]="no test"),"No Test","Tested")</f>
        <v>No Test</v>
      </c>
      <c r="CH113" s="734">
        <f>WWWW[[#This Row],['#_Constructed/existing protected hand dug well]]-WWWW[[#This Row],['#_Non-functional protected hand dug well]]</f>
        <v>0</v>
      </c>
      <c r="CI113" s="734">
        <f>(WWWW[[#This Row],['#_Constructed/Existing tube wells/boreholes/handpumps_WASH_agency]]+WWWW[[#This Row],['#_Non-Cluster partner water tube-wells/boreholes/handpumps]])-WWWW[[#This Row],['#_Non-functional tube wells/boreholes/handpumps]]</f>
        <v>0</v>
      </c>
      <c r="CJ113" s="734">
        <f>WWWW[[#This Row],['#_Constructed/Existingwater storage tank with gravity fed reticulation system]]-WWWW[[#This Row],['#_Non-functional storage tank gravity fed reticulation system]]</f>
        <v>0</v>
      </c>
      <c r="CK113" s="734">
        <f>(WWWW[[#This Row],['#_Water_Liters_supplied_by_Water boating or water trucking]]/90)/15</f>
        <v>0</v>
      </c>
      <c r="CL113" s="734">
        <f>WWWW[[#This Row],['#_Water_Liters_from_Constructed/Existing water distribution system from river or natural spring]]/90/15</f>
        <v>0</v>
      </c>
      <c r="CM113" s="424">
        <f>IF(WWWW[[#This Row],['#_of water points in TLS/CFS]]*500&gt;WWWW[[#This Row],[Total PoP ]],WWWW[[#This Row],[Total PoP ]],WWWW[[#This Row],['#_of water points in TLS/CFS]]*500)</f>
        <v>1000</v>
      </c>
      <c r="CN113" s="424">
        <f>IF(WWWW[[#This Row],['#_of water points in THF]]*500&gt;WWWW[[#This Row],[Total PoP ]],WWWW[[#This Row],[Total PoP ]],WWWW[[#This Row],['#_of water points in THF]]*500)</f>
        <v>0</v>
      </c>
      <c r="CO11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1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13" s="733">
        <f>IF(WWWW[[#This Row],[Location Type 1]]="Village",WWWW[[#This Row],[Access to safe drinking water for Village]],WWWW[[#This Row],[Access to safe drinking water for Camp]])</f>
        <v>0</v>
      </c>
      <c r="CR113" s="731">
        <f>WWWW[[#This Row],[%Equitable and continuous access to sufficient quantity of safe drinking water]]*WWWW[[#This Row],[Total PoP ]]</f>
        <v>0</v>
      </c>
      <c r="CS113" s="733">
        <f>IF((WWWW[[#This Row],['#_Constructed/Existing protected/fenced ponds]]*250)/WWWW[[#This Row],[Total PoP ]]&gt;1,1,(WWWW[[#This Row],['#_Constructed/Existing protected/fenced ponds]]*250)/WWWW[[#This Row],[Total PoP ]])</f>
        <v>0.89552238805970152</v>
      </c>
      <c r="CT113" s="731">
        <f>WWWW[[#This Row],[% Access to unimproved water points]]*WWWW[[#This Row],[Total PoP ]]</f>
        <v>1500</v>
      </c>
      <c r="CU11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0.89552238805970152</v>
      </c>
      <c r="CV11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W113" s="731">
        <f>WWWW[[#This Row],[HRP1]]/500</f>
        <v>3</v>
      </c>
      <c r="CX113" s="736">
        <f>1-WWWW[[#This Row],[% Equitable and continuous access to sufficient quantity of domestic water]]</f>
        <v>0.10447761194029848</v>
      </c>
      <c r="CY113" s="731">
        <f>WWWW[[#This Row],[%equitable and continuous access to sufficient quantity of safe drinking and domestic water''s GAP]]*WWWW[[#This Row],[Total PoP ]]</f>
        <v>174.99999999999994</v>
      </c>
      <c r="CZ113" s="734">
        <f>IF(WWWW[[#This Row],[Total required water points]]-WWWW[[#This Row],['#Water points coverage]]&lt;0,0,WWWW[[#This Row],[Total required water points]]-WWWW[[#This Row],['#Water points coverage]])</f>
        <v>0</v>
      </c>
      <c r="DA113" s="734">
        <f>ROUND(IF(WWWW[[#This Row],[Total PoP ]]&lt;500,1,WWWW[[#This Row],[Total PoP ]]/500),0)</f>
        <v>3</v>
      </c>
      <c r="DB113" s="734">
        <f>(WWWW[[#This Row],['#_Constructed latrines_by_WASHAgencies]]+WWWW[[#This Row],['#_Non Cluster partner latrines]])-WWWW[[#This Row],['#_Non-functional latrines]]</f>
        <v>181</v>
      </c>
      <c r="DC113" s="631">
        <f>WWWW[[#This Row],[HRP2]]/WWWW[[#This Row],[Total PoP ]]</f>
        <v>1</v>
      </c>
      <c r="DD11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1675</v>
      </c>
      <c r="DE11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3" s="424">
        <f>IF(WWWW[[#This Row],['# of functional latrines in THF supported by WASH partners during the reporting period2]]="",0,WWWW[[#This Row],['# of functional latrines in THF supported by WASH partners during the reporting period2]]*50)</f>
        <v>100</v>
      </c>
      <c r="DH113" s="734">
        <f>ROUND(IF(WWWW[[#This Row],[Location Type 1]]="camp",WWWW[[#This Row],[Total PoP ]]/20,IF(WWWW[[#This Row],[Location Type 1]]="Temporary Location",WWWW[[#This Row],[Total PoP ]]/50,(WWWW[[#This Row],[Total PoP ]]/6))),0)</f>
        <v>84</v>
      </c>
      <c r="DI113" s="734">
        <f>IF(WWWW[[#This Row],[Total required Latrines]]-(WWWW[[#This Row],['#_Constructed latrines_by_WASHAgencies]]+WWWW[[#This Row],['#_Non Cluster partner latrines]])&lt;0,0,WWWW[[#This Row],[Total required Latrines]]-(WWWW[[#This Row],['#_Constructed latrines_by_WASHAgencies]]+WWWW[[#This Row],['#_Non Cluster partner latrines]]))</f>
        <v>0</v>
      </c>
      <c r="DJ113" s="736">
        <f>1-WWWW[[#This Row],[% people access to functioning Latrine]]</f>
        <v>0</v>
      </c>
      <c r="DK113" s="735">
        <f>IF(OR(WWWW[[#This Row],['#_Non-functional latrines]]="",WWWW[[#This Row],['#_Non-functional latrines]]=0),0,WWWW[[#This Row],['#_Non-functional latrines]]/(WWWW[[#This Row],['#_Constructed latrines_by_WASHAgencies]]+WWWW[[#This Row],['#_Non Cluster partner latrines]]))</f>
        <v>0</v>
      </c>
      <c r="DL113" s="731">
        <f>IF(500*(WWWW[[#This Row],['#_male hygiene promoters]]+WWWW[[#This Row],['#_female hygiene promoters]])&gt;WWWW[[#This Row],[Total PoP ]],WWWW[[#This Row],[Total PoP ]],500*(WWWW[[#This Row],['#_male hygiene promoters]]+WWWW[[#This Row],['#_female hygiene promoters]]))</f>
        <v>1675</v>
      </c>
      <c r="DM11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1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13" s="734">
        <f>IF(WWWW[[#This Row],['# People with access to soap]]&gt;WWWW[[#This Row],['# People with access to Sanity Pads]],WWWW[[#This Row],['# People with access to soap]],WWWW[[#This Row],['# People with access to Sanity Pads]])</f>
        <v>455</v>
      </c>
      <c r="DP113" s="734">
        <f>IF(WWWW[[#This Row],['# people reached by regular dedicated hygiene promotion_5]]&gt;WWWW[[#This Row],['# People received regular supply of hygiene items_6]],WWWW[[#This Row],['# people reached by regular dedicated hygiene promotion_5]],WWWW[[#This Row],['# People received regular supply of hygiene items_6]])</f>
        <v>1675</v>
      </c>
      <c r="DQ113" s="736">
        <f>IF(WWWW[[#This Row],[HRP3]]/WWWW[[#This Row],[Total PoP ]]&gt;1,1,WWWW[[#This Row],[HRP3]]/WWWW[[#This Row],[Total PoP ]])</f>
        <v>1</v>
      </c>
      <c r="DR113" s="735">
        <f>1-WWWW[[#This Row],[Hygiene Coverage%]]</f>
        <v>0</v>
      </c>
      <c r="DS113" s="733">
        <f>WWWW[[#This Row],['# people reached by regular dedicated hygiene promotion_5]]/WWWW[[#This Row],[Total PoP ]]</f>
        <v>1</v>
      </c>
      <c r="DT11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0.2740963855421687</v>
      </c>
      <c r="DU11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0.37349397590361444</v>
      </c>
      <c r="DV113" s="734">
        <f>WWWW[[#This Row],['#_Constructed/Existing hand washing stations]]-WWWW[[#This Row],['#_Non-Functional_hand_washing_stations]]</f>
        <v>8</v>
      </c>
      <c r="DW113" s="731">
        <f>IF(WWWW[[#This Row],['# Functional hand washing stations during reporting period]]*20&gt;WWWW[[#This Row],[Total HH]],WWWW[[#This Row],[Total HH]],WWWW[[#This Row],['# Functional hand washing stations during reporting period]]*20)</f>
        <v>160</v>
      </c>
      <c r="DX113" s="731">
        <f>IF(WWWW[[#This Row],[Is sufficient soap available for TLS? (Yes/No)]]="yes",WWWW[[#This Row],['#_Constructed/Existing hand washing stations at TLS/CFS/THF]],0)</f>
        <v>0</v>
      </c>
      <c r="DY113" s="428">
        <f>IF(WWWW[[#This Row],['# Functional hand washing stations during reporting period]]*100&gt;WWWW[[#This Row],[Total PoP ]],WWWW[[#This Row],[Total PoP ]],WWWW[[#This Row],['# Functional hand washing stations during reporting period]]*100)</f>
        <v>800</v>
      </c>
      <c r="DZ113" s="428" t="str">
        <f>IF(OR(WWWW[[#This Row],['#_students at TLS_CFS]]="",WWWW[[#This Row],['#_students at TLS_CFS]]=0),"No","Yes")</f>
        <v>No</v>
      </c>
      <c r="EA11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11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113" s="727" t="str">
        <f>VLOOKUP(WWWW[[#This Row],[Site Name]],SiteDB6[[Site Name]:[CCCM Management]],6,FALSE)</f>
        <v>Yes</v>
      </c>
      <c r="EF113" s="727" t="str">
        <f>VLOOKUP(WWWW[[#This Row],[Site Name]],SiteDB6[[Site Name]:[CCCM Focal Agency]],7,FALSE)</f>
        <v>KMSS-BMO</v>
      </c>
      <c r="EG113" s="727" t="str">
        <f>VLOOKUP(WWWW[[#This Row],[Site Name]],SiteDB6[[Site Name]:[Location Type 1]],9,FALSE)</f>
        <v>Camp</v>
      </c>
      <c r="EH113" s="727" t="str">
        <f>VLOOKUP(WWWW[[#This Row],[Site Name]],SiteDB6[[Site Name]:[Type of Accommodation]],10,FALSE)</f>
        <v>Camp</v>
      </c>
      <c r="EI113" s="727" t="str">
        <f>VLOOKUP(WWWW[[#This Row],[Site Name]],SiteDB6[[Site Name]:[Ethnic or GCA/NGCA]],11,FALSE)</f>
        <v>NGCA</v>
      </c>
      <c r="EJ113" s="727">
        <f>VLOOKUP(WWWW[[#This Row],[Site Name]],SiteDB6[[Site Name]:[Lat]],12,FALSE)</f>
        <v>24.378167000000001</v>
      </c>
      <c r="EK113" s="727">
        <f>VLOOKUP(WWWW[[#This Row],[Site Name]],SiteDB6[[Site Name]:[Long]],13,FALSE)</f>
        <v>97.669366999999994</v>
      </c>
      <c r="EL113" s="727" t="str">
        <f>VLOOKUP(WWWW[[#This Row],[Site Name]],SiteDB6[[Site Name]:[Pcode]],3,FALSE)</f>
        <v>MMR001CMP131</v>
      </c>
      <c r="EM113" s="732" t="str">
        <f t="shared" si="1"/>
        <v>Covered</v>
      </c>
      <c r="EN113" s="732"/>
      <c r="EO113" s="727">
        <f>VLOOKUP(WWWW[[#This Row],[Site Name]],SiteDB6[[Site Name]:[Pop
(Kachin/Shan-CCCM as of July 2021)]],16,FALSE)</f>
        <v>349</v>
      </c>
      <c r="EP113" s="727">
        <f>VLOOKUP(WWWW[[#This Row],[Site Name]],SiteDB6[[Site Name]:[Pop
(Kachin/Shan-CCCM as of July 2021)]],17,FALSE)</f>
        <v>1570</v>
      </c>
    </row>
    <row r="114" spans="1:146" hidden="1">
      <c r="A114" s="725" t="s">
        <v>2763</v>
      </c>
      <c r="B114" s="707" t="s">
        <v>2806</v>
      </c>
      <c r="C114" s="786" t="s">
        <v>141</v>
      </c>
      <c r="D114" s="369" t="s">
        <v>2813</v>
      </c>
      <c r="E114" s="786" t="s">
        <v>37</v>
      </c>
      <c r="F114" s="786" t="s">
        <v>159</v>
      </c>
      <c r="G114" s="787" t="str">
        <f>VLOOKUP(WWWW[[#This Row],[Site Name]],SiteDB6[[Site Name]:[Location Type]],8,FALSE)</f>
        <v>Camp</v>
      </c>
      <c r="H114" s="875" t="s">
        <v>167</v>
      </c>
      <c r="I114" s="448">
        <v>68</v>
      </c>
      <c r="J114" s="448">
        <v>299</v>
      </c>
      <c r="K114" s="800" t="s">
        <v>2814</v>
      </c>
      <c r="L114" s="589" t="s">
        <v>2815</v>
      </c>
      <c r="M114" s="788"/>
      <c r="N114" s="788">
        <v>2</v>
      </c>
      <c r="O114" s="788"/>
      <c r="P114" s="788"/>
      <c r="Q114" s="791" t="s">
        <v>136</v>
      </c>
      <c r="R114" s="788"/>
      <c r="S114" s="788">
        <v>4</v>
      </c>
      <c r="T114" s="448">
        <v>1</v>
      </c>
      <c r="U114" s="788"/>
      <c r="V114" s="788"/>
      <c r="W114" s="788">
        <v>2</v>
      </c>
      <c r="X114" s="788"/>
      <c r="Y114" s="788"/>
      <c r="Z114" s="788"/>
      <c r="AA114" s="788"/>
      <c r="AB114" s="788"/>
      <c r="AC114" s="788"/>
      <c r="AD114" s="788"/>
      <c r="AE114" s="788"/>
      <c r="AF114" s="788"/>
      <c r="AG114" s="788"/>
      <c r="AH114" s="788">
        <v>3</v>
      </c>
      <c r="AI114" s="788"/>
      <c r="AJ114" s="788"/>
      <c r="AK114" s="788"/>
      <c r="AL114" s="788"/>
      <c r="AM114" s="788"/>
      <c r="AN114" s="788"/>
      <c r="AO114" s="788"/>
      <c r="AP114" s="792"/>
      <c r="AQ114" s="788">
        <v>15</v>
      </c>
      <c r="AR114" s="788"/>
      <c r="AS114" s="793"/>
      <c r="AT114" s="788"/>
      <c r="AU114" s="788"/>
      <c r="AV114" s="788"/>
      <c r="AW114" s="788"/>
      <c r="AX114" s="788">
        <v>15</v>
      </c>
      <c r="AY114" s="727" t="s">
        <v>41</v>
      </c>
      <c r="AZ114" s="732" t="s">
        <v>137</v>
      </c>
      <c r="BA114" s="788"/>
      <c r="BB114" s="788"/>
      <c r="BC114" s="788"/>
      <c r="BD114" s="448"/>
      <c r="BE114" s="448"/>
      <c r="BF114" s="787"/>
      <c r="BG114" s="788">
        <v>1</v>
      </c>
      <c r="BH114" s="788"/>
      <c r="BI114" s="788"/>
      <c r="BJ114" s="788">
        <v>1</v>
      </c>
      <c r="BK114" s="788"/>
      <c r="BL114" s="788"/>
      <c r="BM114" s="788">
        <v>2</v>
      </c>
      <c r="BN114" s="788">
        <v>6</v>
      </c>
      <c r="BO114" s="788">
        <v>5</v>
      </c>
      <c r="BP114" s="787"/>
      <c r="BQ114" s="794"/>
      <c r="BR114" s="793"/>
      <c r="BS114" s="787"/>
      <c r="BT114" s="423"/>
      <c r="BU114" s="423"/>
      <c r="BV114" s="448">
        <f>1*WWWW[[#This Row],[Total PoP ]]</f>
        <v>299</v>
      </c>
      <c r="BW114" s="423">
        <v>0.75</v>
      </c>
      <c r="BX114" s="448"/>
      <c r="BY114" s="448"/>
      <c r="BZ114" s="448"/>
      <c r="CA114" s="448">
        <v>0</v>
      </c>
      <c r="CB114" s="448">
        <v>0</v>
      </c>
      <c r="CC114" s="777"/>
      <c r="CD114" s="448"/>
      <c r="CE114" s="795" t="str">
        <f>IFERROR(WWWW[[#This Row],['#_Water sources passed]]/WWWW[[#This Row],['#_Water sources tested for fecal coliform ]],"no test")</f>
        <v>no test</v>
      </c>
      <c r="CF114" s="793" t="str">
        <f>IFERROR(WWWW[[#This Row],['#_Household passed]]/WWWW[[#This Row],['#_Household water samples tested for fecal coliform]],"no test")</f>
        <v>no test</v>
      </c>
      <c r="CG114" s="794" t="str">
        <f>IF(AND(WWWW[[#This Row],[% of water sources passed]]="no test",WWWW[[#This Row],[% Household passed]]="no test"),"No Test","Tested")</f>
        <v>No Test</v>
      </c>
      <c r="CH114" s="794">
        <f>WWWW[[#This Row],['#_Constructed/existing protected hand dug well]]-WWWW[[#This Row],['#_Non-functional protected hand dug well]]</f>
        <v>1</v>
      </c>
      <c r="CI114" s="794">
        <f>(WWWW[[#This Row],['#_Constructed/Existing tube wells/boreholes/handpumps_WASH_agency]]+WWWW[[#This Row],['#_Non-Cluster partner water tube-wells/boreholes/handpumps]])-WWWW[[#This Row],['#_Non-functional tube wells/boreholes/handpumps]]</f>
        <v>2</v>
      </c>
      <c r="CJ114" s="794">
        <f>WWWW[[#This Row],['#_Constructed/Existingwater storage tank with gravity fed reticulation system]]-WWWW[[#This Row],['#_Non-functional storage tank gravity fed reticulation system]]</f>
        <v>0</v>
      </c>
      <c r="CK114" s="794">
        <f>(WWWW[[#This Row],['#_Water_Liters_supplied_by_Water boating or water trucking]]/90)/15</f>
        <v>0</v>
      </c>
      <c r="CL114" s="794">
        <f>WWWW[[#This Row],['#_Water_Liters_from_Constructed/Existing water distribution system from river or natural spring]]/90/15</f>
        <v>0</v>
      </c>
      <c r="CM114" s="424">
        <f>IF(WWWW[[#This Row],['#_of water points in TLS/CFS]]*500&gt;WWWW[[#This Row],[Total PoP ]],WWWW[[#This Row],[Total PoP ]],WWWW[[#This Row],['#_of water points in TLS/CFS]]*500)</f>
        <v>0</v>
      </c>
      <c r="CN114" s="424">
        <f>IF(WWWW[[#This Row],['#_of water points in THF]]*500&gt;WWWW[[#This Row],[Total PoP ]],WWWW[[#This Row],[Total PoP ]],WWWW[[#This Row],['#_of water points in THF]]*500)</f>
        <v>0</v>
      </c>
      <c r="CO114"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4"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4" s="793">
        <f>IF(WWWW[[#This Row],[Location Type 1]]="Village",WWWW[[#This Row],[Access to safe drinking water for Village]],WWWW[[#This Row],[Access to safe drinking water for Camp]])</f>
        <v>1</v>
      </c>
      <c r="CR114" s="791">
        <f>WWWW[[#This Row],[%Equitable and continuous access to sufficient quantity of safe drinking water]]*WWWW[[#This Row],[Total PoP ]]</f>
        <v>299</v>
      </c>
      <c r="CS114" s="793">
        <f>IF((WWWW[[#This Row],['#_Constructed/Existing protected/fenced ponds]]*250)/WWWW[[#This Row],[Total PoP ]]&gt;1,1,(WWWW[[#This Row],['#_Constructed/Existing protected/fenced ponds]]*250)/WWWW[[#This Row],[Total PoP ]])</f>
        <v>0</v>
      </c>
      <c r="CT114" s="791">
        <f>WWWW[[#This Row],[% Access to unimproved water points]]*WWWW[[#This Row],[Total PoP ]]</f>
        <v>0</v>
      </c>
      <c r="CU114"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4"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299</v>
      </c>
      <c r="CW114" s="791">
        <f>WWWW[[#This Row],[HRP1]]/500</f>
        <v>0.59799999999999998</v>
      </c>
      <c r="CX114" s="796">
        <f>1-WWWW[[#This Row],[% Equitable and continuous access to sufficient quantity of domestic water]]</f>
        <v>0</v>
      </c>
      <c r="CY114" s="791">
        <f>WWWW[[#This Row],[%equitable and continuous access to sufficient quantity of safe drinking and domestic water''s GAP]]*WWWW[[#This Row],[Total PoP ]]</f>
        <v>0</v>
      </c>
      <c r="CZ114" s="794">
        <f>IF(WWWW[[#This Row],[Total required water points]]-WWWW[[#This Row],['#Water points coverage]]&lt;0,0,WWWW[[#This Row],[Total required water points]]-WWWW[[#This Row],['#Water points coverage]])</f>
        <v>0.40200000000000002</v>
      </c>
      <c r="DA114" s="794">
        <f>ROUND(IF(WWWW[[#This Row],[Total PoP ]]&lt;500,1,WWWW[[#This Row],[Total PoP ]]/500),0)</f>
        <v>1</v>
      </c>
      <c r="DB114" s="794">
        <f>(WWWW[[#This Row],['#_Constructed latrines_by_WASHAgencies]]+WWWW[[#This Row],['#_Non Cluster partner latrines]])-WWWW[[#This Row],['#_Non-functional latrines]]</f>
        <v>15</v>
      </c>
      <c r="DC114" s="631">
        <f>WWWW[[#This Row],[HRP2]]/WWWW[[#This Row],[Total PoP ]]</f>
        <v>1</v>
      </c>
      <c r="DD114"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299</v>
      </c>
      <c r="DE114"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4"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4" s="424">
        <f>IF(WWWW[[#This Row],['# of functional latrines in THF supported by WASH partners during the reporting period2]]="",0,WWWW[[#This Row],['# of functional latrines in THF supported by WASH partners during the reporting period2]]*50)</f>
        <v>0</v>
      </c>
      <c r="DH114" s="794">
        <f>ROUND(IF(WWWW[[#This Row],[Location Type 1]]="camp",WWWW[[#This Row],[Total PoP ]]/20,IF(WWWW[[#This Row],[Location Type 1]]="Temporary Location",WWWW[[#This Row],[Total PoP ]]/50,(WWWW[[#This Row],[Total PoP ]]/6))),0)</f>
        <v>15</v>
      </c>
      <c r="DI114" s="794">
        <f>IF(WWWW[[#This Row],[Total required Latrines]]-(WWWW[[#This Row],['#_Constructed latrines_by_WASHAgencies]]+WWWW[[#This Row],['#_Non Cluster partner latrines]])&lt;0,0,WWWW[[#This Row],[Total required Latrines]]-(WWWW[[#This Row],['#_Constructed latrines_by_WASHAgencies]]+WWWW[[#This Row],['#_Non Cluster partner latrines]]))</f>
        <v>0</v>
      </c>
      <c r="DJ114" s="796">
        <f>1-WWWW[[#This Row],[% people access to functioning Latrine]]</f>
        <v>0</v>
      </c>
      <c r="DK114" s="795">
        <f>IF(OR(WWWW[[#This Row],['#_Non-functional latrines]]="",WWWW[[#This Row],['#_Non-functional latrines]]=0),0,WWWW[[#This Row],['#_Non-functional latrines]]/(WWWW[[#This Row],['#_Constructed latrines_by_WASHAgencies]]+WWWW[[#This Row],['#_Non Cluster partner latrines]]))</f>
        <v>0</v>
      </c>
      <c r="DL114" s="791">
        <f>IF(500*(WWWW[[#This Row],['#_male hygiene promoters]]+WWWW[[#This Row],['#_female hygiene promoters]])&gt;WWWW[[#This Row],[Total PoP ]],WWWW[[#This Row],[Total PoP ]],500*(WWWW[[#This Row],['#_male hygiene promoters]]+WWWW[[#This Row],['#_female hygiene promoters]]))</f>
        <v>299</v>
      </c>
      <c r="DM114"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14"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14" s="794">
        <f>IF(WWWW[[#This Row],['# People with access to soap]]&gt;WWWW[[#This Row],['# People with access to Sanity Pads]],WWWW[[#This Row],['# People with access to soap]],WWWW[[#This Row],['# People with access to Sanity Pads]])</f>
        <v>30</v>
      </c>
      <c r="DP114" s="794">
        <f>IF(WWWW[[#This Row],['# people reached by regular dedicated hygiene promotion_5]]&gt;WWWW[[#This Row],['# People received regular supply of hygiene items_6]],WWWW[[#This Row],['# people reached by regular dedicated hygiene promotion_5]],WWWW[[#This Row],['# People received regular supply of hygiene items_6]])</f>
        <v>299</v>
      </c>
      <c r="DQ114" s="796">
        <f>IF(WWWW[[#This Row],[HRP3]]/WWWW[[#This Row],[Total PoP ]]&gt;1,1,WWWW[[#This Row],[HRP3]]/WWWW[[#This Row],[Total PoP ]])</f>
        <v>1</v>
      </c>
      <c r="DR114" s="795">
        <f>1-WWWW[[#This Row],[Hygiene Coverage%]]</f>
        <v>0</v>
      </c>
      <c r="DS114" s="793">
        <f>WWWW[[#This Row],['# people reached by regular dedicated hygiene promotion_5]]/WWWW[[#This Row],[Total PoP ]]</f>
        <v>1</v>
      </c>
      <c r="DT114"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0.35294117647058826</v>
      </c>
      <c r="DU114"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7.3529411764705885E-2</v>
      </c>
      <c r="DV114" s="794">
        <f>WWWW[[#This Row],['#_Constructed/Existing hand washing stations]]-WWWW[[#This Row],['#_Non-Functional_hand_washing_stations]]</f>
        <v>1</v>
      </c>
      <c r="DW114" s="791">
        <f>IF(WWWW[[#This Row],['# Functional hand washing stations during reporting period]]*20&gt;WWWW[[#This Row],[Total HH]],WWWW[[#This Row],[Total HH]],WWWW[[#This Row],['# Functional hand washing stations during reporting period]]*20)</f>
        <v>20</v>
      </c>
      <c r="DX114" s="791">
        <f>IF(WWWW[[#This Row],[Is sufficient soap available for TLS? (Yes/No)]]="yes",WWWW[[#This Row],['#_Constructed/Existing hand washing stations at TLS/CFS/THF]],0)</f>
        <v>0</v>
      </c>
      <c r="DY114" s="428">
        <f>IF(WWWW[[#This Row],['# Functional hand washing stations during reporting period]]*100&gt;WWWW[[#This Row],[Total PoP ]],WWWW[[#This Row],[Total PoP ]],WWWW[[#This Row],['# Functional hand washing stations during reporting period]]*100)</f>
        <v>100</v>
      </c>
      <c r="DZ114" s="428" t="str">
        <f>IF(OR(WWWW[[#This Row],['#_students at TLS_CFS]]="",WWWW[[#This Row],['#_students at TLS_CFS]]=0),"No","Yes")</f>
        <v>No</v>
      </c>
      <c r="EA114" s="631">
        <f>IF(WWWW[[#This Row],['#_of_affected_people_surveyed_who_report_feeling_informed_about_the_different_WASH_services_available_to_them]]="","",WWWW[[#This Row],['#_of_affected_people_surveyed_who_report_feeling_informed_about_the_different_WASH_services_available_to_them]]/WWWW[[#This Row],[Total PoP ]])</f>
        <v>1</v>
      </c>
      <c r="EB11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4" s="787" t="str">
        <f>VLOOKUP(WWWW[[#This Row],[Site Name]],SiteDB6[[Site Name]:[CCCM Management]],6,FALSE)</f>
        <v>Yes</v>
      </c>
      <c r="EF114" s="787" t="str">
        <f>VLOOKUP(WWWW[[#This Row],[Site Name]],SiteDB6[[Site Name]:[CCCM Focal Agency]],7,FALSE)</f>
        <v>KBC-MYT</v>
      </c>
      <c r="EG114" s="787" t="str">
        <f>VLOOKUP(WWWW[[#This Row],[Site Name]],SiteDB6[[Site Name]:[Location Type 1]],9,FALSE)</f>
        <v>Camp</v>
      </c>
      <c r="EH114" s="787" t="str">
        <f>VLOOKUP(WWWW[[#This Row],[Site Name]],SiteDB6[[Site Name]:[Type of Accommodation]],10,FALSE)</f>
        <v>Camp</v>
      </c>
      <c r="EI114" s="787" t="str">
        <f>VLOOKUP(WWWW[[#This Row],[Site Name]],SiteDB6[[Site Name]:[Ethnic or GCA/NGCA]],11,FALSE)</f>
        <v>GCA</v>
      </c>
      <c r="EJ114" s="787">
        <f>VLOOKUP(WWWW[[#This Row],[Site Name]],SiteDB6[[Site Name]:[Lat]],12,FALSE)</f>
        <v>25.422194000000001</v>
      </c>
      <c r="EK114" s="787">
        <f>VLOOKUP(WWWW[[#This Row],[Site Name]],SiteDB6[[Site Name]:[Long]],13,FALSE)</f>
        <v>97.394547000000003</v>
      </c>
      <c r="EL114" s="787" t="str">
        <f>VLOOKUP(WWWW[[#This Row],[Site Name]],SiteDB6[[Site Name]:[Pcode]],3,FALSE)</f>
        <v>MMR001CMP002</v>
      </c>
      <c r="EM114" s="792" t="str">
        <f t="shared" si="1"/>
        <v>Covered</v>
      </c>
      <c r="EN114" s="792"/>
      <c r="EO114" s="787">
        <f>VLOOKUP(WWWW[[#This Row],[Site Name]],SiteDB6[[Site Name]:[Pop
(Kachin/Shan-CCCM as of July 2021)]],16,FALSE)</f>
        <v>72</v>
      </c>
      <c r="EP114" s="787">
        <f>VLOOKUP(WWWW[[#This Row],[Site Name]],SiteDB6[[Site Name]:[Pop
(Kachin/Shan-CCCM as of July 2021)]],17,FALSE)</f>
        <v>323</v>
      </c>
    </row>
    <row r="115" spans="1:146" hidden="1">
      <c r="A115" s="725" t="s">
        <v>2763</v>
      </c>
      <c r="B115" s="725" t="s">
        <v>276</v>
      </c>
      <c r="C115" s="726" t="s">
        <v>276</v>
      </c>
      <c r="D115" s="369" t="s">
        <v>292</v>
      </c>
      <c r="E115" s="726" t="s">
        <v>37</v>
      </c>
      <c r="F115" s="726" t="s">
        <v>205</v>
      </c>
      <c r="G115" s="591" t="str">
        <f>VLOOKUP(WWWW[[#This Row],[Site Name]],SiteDB6[[Site Name]:[Location Type]],8,FALSE)</f>
        <v>Camp</v>
      </c>
      <c r="H115" s="726" t="s">
        <v>284</v>
      </c>
      <c r="I115" s="448">
        <v>47</v>
      </c>
      <c r="J115" s="448">
        <v>299</v>
      </c>
      <c r="K115" s="588">
        <v>44652</v>
      </c>
      <c r="L115" s="589">
        <v>44895</v>
      </c>
      <c r="M115" s="728"/>
      <c r="N115" s="728"/>
      <c r="O115" s="728"/>
      <c r="P115" s="728"/>
      <c r="Q115" s="731" t="s">
        <v>41</v>
      </c>
      <c r="R115" s="728">
        <v>3</v>
      </c>
      <c r="S115" s="728">
        <v>9</v>
      </c>
      <c r="T115" s="448">
        <v>3</v>
      </c>
      <c r="U115" s="728"/>
      <c r="V115" s="728"/>
      <c r="W115" s="728">
        <v>3</v>
      </c>
      <c r="X115" s="728"/>
      <c r="Y115" s="728"/>
      <c r="Z115" s="728"/>
      <c r="AA115" s="728"/>
      <c r="AB115" s="728"/>
      <c r="AC115" s="728"/>
      <c r="AD115" s="728"/>
      <c r="AE115" s="728"/>
      <c r="AF115" s="728"/>
      <c r="AG115" s="728"/>
      <c r="AH115" s="728"/>
      <c r="AI115" s="742"/>
      <c r="AJ115" s="742"/>
      <c r="AK115" s="742"/>
      <c r="AL115" s="742"/>
      <c r="AM115" s="728">
        <v>7</v>
      </c>
      <c r="AN115" s="728"/>
      <c r="AO115" s="728"/>
      <c r="AP115" s="732"/>
      <c r="AQ115" s="728">
        <v>13</v>
      </c>
      <c r="AR115" s="728"/>
      <c r="AS115" s="733"/>
      <c r="AT115" s="728"/>
      <c r="AU115" s="742"/>
      <c r="AV115" s="742"/>
      <c r="AW115" s="742"/>
      <c r="AX115" s="728"/>
      <c r="AY115" s="727" t="s">
        <v>41</v>
      </c>
      <c r="AZ115" s="732" t="s">
        <v>137</v>
      </c>
      <c r="BA115" s="728"/>
      <c r="BB115" s="728"/>
      <c r="BC115" s="728"/>
      <c r="BD115" s="448"/>
      <c r="BE115" s="448">
        <v>3</v>
      </c>
      <c r="BF115" s="727"/>
      <c r="BG115" s="728">
        <v>6</v>
      </c>
      <c r="BH115" s="728"/>
      <c r="BI115" s="728"/>
      <c r="BJ115" s="728">
        <v>3</v>
      </c>
      <c r="BK115" s="728"/>
      <c r="BL115" s="728"/>
      <c r="BM115" s="728">
        <v>1</v>
      </c>
      <c r="BN115" s="742"/>
      <c r="BO115" s="728"/>
      <c r="BP115" s="727"/>
      <c r="BQ115" s="744"/>
      <c r="BR115" s="733"/>
      <c r="BS115" s="727"/>
      <c r="BT115" s="423">
        <v>1</v>
      </c>
      <c r="BU115" s="423">
        <v>1</v>
      </c>
      <c r="BV115" s="425">
        <v>9</v>
      </c>
      <c r="BW115" s="423"/>
      <c r="BX115" s="448"/>
      <c r="BY115" s="448"/>
      <c r="BZ115" s="448"/>
      <c r="CA115" s="448"/>
      <c r="CB115" s="448"/>
      <c r="CC115" s="777"/>
      <c r="CD115" s="448"/>
      <c r="CE115" s="735" t="str">
        <f>IFERROR(WWWW[[#This Row],['#_Water sources passed]]/WWWW[[#This Row],['#_Water sources tested for fecal coliform ]],"no test")</f>
        <v>no test</v>
      </c>
      <c r="CF115" s="733" t="str">
        <f>IFERROR(WWWW[[#This Row],['#_Household passed]]/WWWW[[#This Row],['#_Household water samples tested for fecal coliform]],"no test")</f>
        <v>no test</v>
      </c>
      <c r="CG115" s="734" t="str">
        <f>IF(AND(WWWW[[#This Row],[% of water sources passed]]="no test",WWWW[[#This Row],[% Household passed]]="no test"),"No Test","Tested")</f>
        <v>No Test</v>
      </c>
      <c r="CH115" s="734">
        <f>WWWW[[#This Row],['#_Constructed/existing protected hand dug well]]-WWWW[[#This Row],['#_Non-functional protected hand dug well]]</f>
        <v>3</v>
      </c>
      <c r="CI115" s="734">
        <f>(WWWW[[#This Row],['#_Constructed/Existing tube wells/boreholes/handpumps_WASH_agency]]+WWWW[[#This Row],['#_Non-Cluster partner water tube-wells/boreholes/handpumps]])-WWWW[[#This Row],['#_Non-functional tube wells/boreholes/handpumps]]</f>
        <v>3</v>
      </c>
      <c r="CJ115" s="734">
        <f>WWWW[[#This Row],['#_Constructed/Existingwater storage tank with gravity fed reticulation system]]-WWWW[[#This Row],['#_Non-functional storage tank gravity fed reticulation system]]</f>
        <v>0</v>
      </c>
      <c r="CK115" s="734">
        <f>(WWWW[[#This Row],['#_Water_Liters_supplied_by_Water boating or water trucking]]/90)/15</f>
        <v>0</v>
      </c>
      <c r="CL115" s="734">
        <f>WWWW[[#This Row],['#_Water_Liters_from_Constructed/Existing water distribution system from river or natural spring]]/90/15</f>
        <v>0</v>
      </c>
      <c r="CM115" s="424">
        <f>IF(WWWW[[#This Row],['#_of water points in TLS/CFS]]*500&gt;WWWW[[#This Row],[Total PoP ]],WWWW[[#This Row],[Total PoP ]],WWWW[[#This Row],['#_of water points in TLS/CFS]]*500)</f>
        <v>0</v>
      </c>
      <c r="CN115" s="424">
        <f>IF(WWWW[[#This Row],['#_of water points in THF]]*500&gt;WWWW[[#This Row],[Total PoP ]],WWWW[[#This Row],[Total PoP ]],WWWW[[#This Row],['#_of water points in THF]]*500)</f>
        <v>0</v>
      </c>
      <c r="CO11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5" s="733">
        <f>IF(WWWW[[#This Row],[Location Type 1]]="Village",WWWW[[#This Row],[Access to safe drinking water for Village]],WWWW[[#This Row],[Access to safe drinking water for Camp]])</f>
        <v>1</v>
      </c>
      <c r="CR115" s="731">
        <f>WWWW[[#This Row],[%Equitable and continuous access to sufficient quantity of safe drinking water]]*WWWW[[#This Row],[Total PoP ]]</f>
        <v>299</v>
      </c>
      <c r="CS115" s="733">
        <f>IF((WWWW[[#This Row],['#_Constructed/Existing protected/fenced ponds]]*250)/WWWW[[#This Row],[Total PoP ]]&gt;1,1,(WWWW[[#This Row],['#_Constructed/Existing protected/fenced ponds]]*250)/WWWW[[#This Row],[Total PoP ]])</f>
        <v>0</v>
      </c>
      <c r="CT115" s="731">
        <f>WWWW[[#This Row],[% Access to unimproved water points]]*WWWW[[#This Row],[Total PoP ]]</f>
        <v>0</v>
      </c>
      <c r="CU11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299</v>
      </c>
      <c r="CW115" s="731">
        <f>WWWW[[#This Row],[HRP1]]/500</f>
        <v>0.59799999999999998</v>
      </c>
      <c r="CX115" s="736">
        <f>1-WWWW[[#This Row],[% Equitable and continuous access to sufficient quantity of domestic water]]</f>
        <v>0</v>
      </c>
      <c r="CY115" s="731">
        <f>WWWW[[#This Row],[%equitable and continuous access to sufficient quantity of safe drinking and domestic water''s GAP]]*WWWW[[#This Row],[Total PoP ]]</f>
        <v>0</v>
      </c>
      <c r="CZ115" s="734">
        <f>IF(WWWW[[#This Row],[Total required water points]]-WWWW[[#This Row],['#Water points coverage]]&lt;0,0,WWWW[[#This Row],[Total required water points]]-WWWW[[#This Row],['#Water points coverage]])</f>
        <v>0.40200000000000002</v>
      </c>
      <c r="DA115" s="734">
        <f>ROUND(IF(WWWW[[#This Row],[Total PoP ]]&lt;500,1,WWWW[[#This Row],[Total PoP ]]/500),0)</f>
        <v>1</v>
      </c>
      <c r="DB115" s="734">
        <f>(WWWW[[#This Row],['#_Constructed latrines_by_WASHAgencies]]+WWWW[[#This Row],['#_Non Cluster partner latrines]])-WWWW[[#This Row],['#_Non-functional latrines]]</f>
        <v>13</v>
      </c>
      <c r="DC115" s="631">
        <f>WWWW[[#This Row],[HRP2]]/WWWW[[#This Row],[Total PoP ]]</f>
        <v>0.87959866220735783</v>
      </c>
      <c r="DD11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263</v>
      </c>
      <c r="DE11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5" s="424">
        <f>IF(WWWW[[#This Row],['# of functional latrines in THF supported by WASH partners during the reporting period2]]="",0,WWWW[[#This Row],['# of functional latrines in THF supported by WASH partners during the reporting period2]]*50)</f>
        <v>0</v>
      </c>
      <c r="DH115" s="734">
        <f>ROUND(IF(WWWW[[#This Row],[Location Type 1]]="camp",WWWW[[#This Row],[Total PoP ]]/20,IF(WWWW[[#This Row],[Location Type 1]]="Temporary Location",WWWW[[#This Row],[Total PoP ]]/50,(WWWW[[#This Row],[Total PoP ]]/6))),0)</f>
        <v>15</v>
      </c>
      <c r="DI115" s="734">
        <f>IF(WWWW[[#This Row],[Total required Latrines]]-(WWWW[[#This Row],['#_Constructed latrines_by_WASHAgencies]]+WWWW[[#This Row],['#_Non Cluster partner latrines]])&lt;0,0,WWWW[[#This Row],[Total required Latrines]]-(WWWW[[#This Row],['#_Constructed latrines_by_WASHAgencies]]+WWWW[[#This Row],['#_Non Cluster partner latrines]]))</f>
        <v>2</v>
      </c>
      <c r="DJ115" s="736">
        <f>1-WWWW[[#This Row],[% people access to functioning Latrine]]</f>
        <v>0.12040133779264217</v>
      </c>
      <c r="DK115" s="735">
        <f>IF(OR(WWWW[[#This Row],['#_Non-functional latrines]]="",WWWW[[#This Row],['#_Non-functional latrines]]=0),0,WWWW[[#This Row],['#_Non-functional latrines]]/(WWWW[[#This Row],['#_Constructed latrines_by_WASHAgencies]]+WWWW[[#This Row],['#_Non Cluster partner latrines]]))</f>
        <v>0</v>
      </c>
      <c r="DL115" s="731">
        <f>IF(500*(WWWW[[#This Row],['#_male hygiene promoters]]+WWWW[[#This Row],['#_female hygiene promoters]])&gt;WWWW[[#This Row],[Total PoP ]],WWWW[[#This Row],[Total PoP ]],500*(WWWW[[#This Row],['#_male hygiene promoters]]+WWWW[[#This Row],['#_female hygiene promoters]]))</f>
        <v>299</v>
      </c>
      <c r="DM11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1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15" s="734">
        <f>IF(WWWW[[#This Row],['# People with access to soap]]&gt;WWWW[[#This Row],['# People with access to Sanity Pads]],WWWW[[#This Row],['# People with access to soap]],WWWW[[#This Row],['# People with access to Sanity Pads]])</f>
        <v>0</v>
      </c>
      <c r="DP115" s="734">
        <f>IF(WWWW[[#This Row],['# people reached by regular dedicated hygiene promotion_5]]&gt;WWWW[[#This Row],['# People received regular supply of hygiene items_6]],WWWW[[#This Row],['# people reached by regular dedicated hygiene promotion_5]],WWWW[[#This Row],['# People received regular supply of hygiene items_6]])</f>
        <v>299</v>
      </c>
      <c r="DQ115" s="736">
        <f>IF(WWWW[[#This Row],[HRP3]]/WWWW[[#This Row],[Total PoP ]]&gt;1,1,WWWW[[#This Row],[HRP3]]/WWWW[[#This Row],[Total PoP ]])</f>
        <v>1</v>
      </c>
      <c r="DR115" s="735">
        <f>1-WWWW[[#This Row],[Hygiene Coverage%]]</f>
        <v>0</v>
      </c>
      <c r="DS115" s="733">
        <f>WWWW[[#This Row],['# people reached by regular dedicated hygiene promotion_5]]/WWWW[[#This Row],[Total PoP ]]</f>
        <v>1</v>
      </c>
      <c r="DT11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1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15" s="734">
        <f>WWWW[[#This Row],['#_Constructed/Existing hand washing stations]]-WWWW[[#This Row],['#_Non-Functional_hand_washing_stations]]</f>
        <v>6</v>
      </c>
      <c r="DW115" s="731">
        <f>IF(WWWW[[#This Row],['# Functional hand washing stations during reporting period]]*20&gt;WWWW[[#This Row],[Total HH]],WWWW[[#This Row],[Total HH]],WWWW[[#This Row],['# Functional hand washing stations during reporting period]]*20)</f>
        <v>47</v>
      </c>
      <c r="DX115" s="731">
        <f>IF(WWWW[[#This Row],[Is sufficient soap available for TLS? (Yes/No)]]="yes",WWWW[[#This Row],['#_Constructed/Existing hand washing stations at TLS/CFS/THF]],0)</f>
        <v>0</v>
      </c>
      <c r="DY115" s="428">
        <f>IF(WWWW[[#This Row],['# Functional hand washing stations during reporting period]]*100&gt;WWWW[[#This Row],[Total PoP ]],WWWW[[#This Row],[Total PoP ]],WWWW[[#This Row],['# Functional hand washing stations during reporting period]]*100)</f>
        <v>299</v>
      </c>
      <c r="DZ115" s="428" t="str">
        <f>IF(OR(WWWW[[#This Row],['#_students at TLS_CFS]]="",WWWW[[#This Row],['#_students at TLS_CFS]]=0),"No","Yes")</f>
        <v>No</v>
      </c>
      <c r="EA115" s="631">
        <f>IF(WWWW[[#This Row],['#_of_affected_people_surveyed_who_report_feeling_informed_about_the_different_WASH_services_available_to_them]]="","",WWWW[[#This Row],['#_of_affected_people_surveyed_who_report_feeling_informed_about_the_different_WASH_services_available_to_them]]/WWWW[[#This Row],[Total PoP ]])</f>
        <v>3.0100334448160536E-2</v>
      </c>
      <c r="EB11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5" s="727" t="str">
        <f>VLOOKUP(WWWW[[#This Row],[Site Name]],SiteDB6[[Site Name]:[CCCM Management]],6,FALSE)</f>
        <v>Yes</v>
      </c>
      <c r="EF115" s="727" t="str">
        <f>VLOOKUP(WWWW[[#This Row],[Site Name]],SiteDB6[[Site Name]:[CCCM Focal Agency]],7,FALSE)</f>
        <v>KBC-BMO</v>
      </c>
      <c r="EG115" s="727" t="str">
        <f>VLOOKUP(WWWW[[#This Row],[Site Name]],SiteDB6[[Site Name]:[Location Type 1]],9,FALSE)</f>
        <v>Camp</v>
      </c>
      <c r="EH115" s="727" t="str">
        <f>VLOOKUP(WWWW[[#This Row],[Site Name]],SiteDB6[[Site Name]:[Type of Accommodation]],10,FALSE)</f>
        <v>Camp</v>
      </c>
      <c r="EI115" s="727" t="str">
        <f>VLOOKUP(WWWW[[#This Row],[Site Name]],SiteDB6[[Site Name]:[Ethnic or GCA/NGCA]],11,FALSE)</f>
        <v>GCA</v>
      </c>
      <c r="EJ115" s="727">
        <f>VLOOKUP(WWWW[[#This Row],[Site Name]],SiteDB6[[Site Name]:[Lat]],12,FALSE)</f>
        <v>24.205417000000001</v>
      </c>
      <c r="EK115" s="727">
        <f>VLOOKUP(WWWW[[#This Row],[Site Name]],SiteDB6[[Site Name]:[Long]],13,FALSE)</f>
        <v>97.724483000000006</v>
      </c>
      <c r="EL115" s="727" t="str">
        <f>VLOOKUP(WWWW[[#This Row],[Site Name]],SiteDB6[[Site Name]:[Pcode]],3,FALSE)</f>
        <v>MMR001CMP072</v>
      </c>
      <c r="EM115" s="732" t="str">
        <f t="shared" si="1"/>
        <v>Covered</v>
      </c>
      <c r="EN115" s="732"/>
      <c r="EO115" s="727">
        <f>VLOOKUP(WWWW[[#This Row],[Site Name]],SiteDB6[[Site Name]:[Pop
(Kachin/Shan-CCCM as of July 2021)]],16,FALSE)</f>
        <v>47</v>
      </c>
      <c r="EP115" s="727">
        <f>VLOOKUP(WWWW[[#This Row],[Site Name]],SiteDB6[[Site Name]:[Pop
(Kachin/Shan-CCCM as of July 2021)]],17,FALSE)</f>
        <v>291</v>
      </c>
    </row>
    <row r="116" spans="1:146" hidden="1">
      <c r="A116" s="725" t="s">
        <v>2763</v>
      </c>
      <c r="B116" s="725" t="s">
        <v>36</v>
      </c>
      <c r="C116" s="726" t="s">
        <v>36</v>
      </c>
      <c r="D116" s="726" t="s">
        <v>241</v>
      </c>
      <c r="E116" s="726" t="s">
        <v>37</v>
      </c>
      <c r="F116" s="726" t="s">
        <v>159</v>
      </c>
      <c r="G116" s="591" t="str">
        <f>VLOOKUP(WWWW[[#This Row],[Site Name]],SiteDB6[[Site Name]:[Location Type]],8,FALSE)</f>
        <v>Camp</v>
      </c>
      <c r="H116" s="726" t="s">
        <v>235</v>
      </c>
      <c r="I116" s="728">
        <v>141</v>
      </c>
      <c r="J116" s="728">
        <v>895</v>
      </c>
      <c r="K116" s="729">
        <v>44414</v>
      </c>
      <c r="L116" s="730">
        <v>44778</v>
      </c>
      <c r="M116" s="728"/>
      <c r="N116" s="728">
        <v>2</v>
      </c>
      <c r="O116" s="728"/>
      <c r="P116" s="728"/>
      <c r="Q116" s="731" t="s">
        <v>41</v>
      </c>
      <c r="R116" s="728">
        <v>1</v>
      </c>
      <c r="S116" s="728">
        <v>4</v>
      </c>
      <c r="T116" s="448">
        <v>4</v>
      </c>
      <c r="U116" s="728"/>
      <c r="V116" s="728"/>
      <c r="W116" s="728">
        <v>2</v>
      </c>
      <c r="X116" s="728"/>
      <c r="Y116" s="728"/>
      <c r="Z116" s="728"/>
      <c r="AA116" s="728"/>
      <c r="AB116" s="728"/>
      <c r="AC116" s="728"/>
      <c r="AD116" s="728"/>
      <c r="AE116" s="728"/>
      <c r="AF116" s="728"/>
      <c r="AG116" s="728"/>
      <c r="AH116" s="728"/>
      <c r="AI116" s="728"/>
      <c r="AJ116" s="728"/>
      <c r="AK116" s="728"/>
      <c r="AL116" s="728"/>
      <c r="AM116" s="728">
        <v>12</v>
      </c>
      <c r="AN116" s="728"/>
      <c r="AO116" s="728"/>
      <c r="AP116" s="732"/>
      <c r="AQ116" s="728">
        <v>33</v>
      </c>
      <c r="AR116" s="728"/>
      <c r="AS116" s="733"/>
      <c r="AT116" s="728"/>
      <c r="AU116" s="728"/>
      <c r="AV116" s="728"/>
      <c r="AW116" s="728"/>
      <c r="AX116" s="728">
        <v>8</v>
      </c>
      <c r="AY116" s="727" t="s">
        <v>41</v>
      </c>
      <c r="AZ116" s="732" t="s">
        <v>137</v>
      </c>
      <c r="BA116" s="728">
        <v>1</v>
      </c>
      <c r="BB116" s="728"/>
      <c r="BC116" s="728"/>
      <c r="BD116" s="448"/>
      <c r="BE116" s="448"/>
      <c r="BF116" s="727"/>
      <c r="BG116" s="728">
        <v>3</v>
      </c>
      <c r="BH116" s="728"/>
      <c r="BI116" s="728"/>
      <c r="BJ116" s="728">
        <v>2</v>
      </c>
      <c r="BK116" s="728"/>
      <c r="BL116" s="728">
        <v>1</v>
      </c>
      <c r="BM116" s="728">
        <v>2</v>
      </c>
      <c r="BN116" s="728">
        <v>88</v>
      </c>
      <c r="BO116" s="728">
        <v>100</v>
      </c>
      <c r="BP116" s="727"/>
      <c r="BQ116" s="734"/>
      <c r="BR116" s="733"/>
      <c r="BS116" s="727"/>
      <c r="BT116" s="423"/>
      <c r="BU116" s="423"/>
      <c r="BV116" s="425"/>
      <c r="BW116" s="423"/>
      <c r="BX116" s="448"/>
      <c r="BY116" s="448"/>
      <c r="BZ116" s="448"/>
      <c r="CA116" s="448"/>
      <c r="CB116" s="448"/>
      <c r="CC116" s="777"/>
      <c r="CD116" s="448"/>
      <c r="CE116" s="735" t="str">
        <f>IFERROR(WWWW[[#This Row],['#_Water sources passed]]/WWWW[[#This Row],['#_Water sources tested for fecal coliform ]],"no test")</f>
        <v>no test</v>
      </c>
      <c r="CF116" s="733" t="str">
        <f>IFERROR(WWWW[[#This Row],['#_Household passed]]/WWWW[[#This Row],['#_Household water samples tested for fecal coliform]],"no test")</f>
        <v>no test</v>
      </c>
      <c r="CG116" s="734" t="str">
        <f>IF(AND(WWWW[[#This Row],[% of water sources passed]]="no test",WWWW[[#This Row],[% Household passed]]="no test"),"No Test","Tested")</f>
        <v>No Test</v>
      </c>
      <c r="CH116" s="734">
        <f>WWWW[[#This Row],['#_Constructed/existing protected hand dug well]]-WWWW[[#This Row],['#_Non-functional protected hand dug well]]</f>
        <v>4</v>
      </c>
      <c r="CI116" s="734">
        <f>(WWWW[[#This Row],['#_Constructed/Existing tube wells/boreholes/handpumps_WASH_agency]]+WWWW[[#This Row],['#_Non-Cluster partner water tube-wells/boreholes/handpumps]])-WWWW[[#This Row],['#_Non-functional tube wells/boreholes/handpumps]]</f>
        <v>2</v>
      </c>
      <c r="CJ116" s="734">
        <f>WWWW[[#This Row],['#_Constructed/Existingwater storage tank with gravity fed reticulation system]]-WWWW[[#This Row],['#_Non-functional storage tank gravity fed reticulation system]]</f>
        <v>0</v>
      </c>
      <c r="CK116" s="734">
        <f>(WWWW[[#This Row],['#_Water_Liters_supplied_by_Water boating or water trucking]]/90)/15</f>
        <v>0</v>
      </c>
      <c r="CL116" s="734">
        <f>WWWW[[#This Row],['#_Water_Liters_from_Constructed/Existing water distribution system from river or natural spring]]/90/15</f>
        <v>0</v>
      </c>
      <c r="CM116" s="424">
        <f>IF(WWWW[[#This Row],['#_of water points in TLS/CFS]]*500&gt;WWWW[[#This Row],[Total PoP ]],WWWW[[#This Row],[Total PoP ]],WWWW[[#This Row],['#_of water points in TLS/CFS]]*500)</f>
        <v>0</v>
      </c>
      <c r="CN116" s="424">
        <f>IF(WWWW[[#This Row],['#_of water points in THF]]*500&gt;WWWW[[#This Row],[Total PoP ]],WWWW[[#This Row],[Total PoP ]],WWWW[[#This Row],['#_of water points in THF]]*500)</f>
        <v>0</v>
      </c>
      <c r="CO11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6" s="733">
        <f>IF(WWWW[[#This Row],[Location Type 1]]="Village",WWWW[[#This Row],[Access to safe drinking water for Village]],WWWW[[#This Row],[Access to safe drinking water for Camp]])</f>
        <v>1</v>
      </c>
      <c r="CR116" s="731">
        <f>WWWW[[#This Row],[%Equitable and continuous access to sufficient quantity of safe drinking water]]*WWWW[[#This Row],[Total PoP ]]</f>
        <v>895</v>
      </c>
      <c r="CS116" s="733">
        <f>IF((WWWW[[#This Row],['#_Constructed/Existing protected/fenced ponds]]*250)/WWWW[[#This Row],[Total PoP ]]&gt;1,1,(WWWW[[#This Row],['#_Constructed/Existing protected/fenced ponds]]*250)/WWWW[[#This Row],[Total PoP ]])</f>
        <v>0</v>
      </c>
      <c r="CT116" s="731">
        <f>WWWW[[#This Row],[% Access to unimproved water points]]*WWWW[[#This Row],[Total PoP ]]</f>
        <v>0</v>
      </c>
      <c r="CU11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895</v>
      </c>
      <c r="CW116" s="731">
        <f>WWWW[[#This Row],[HRP1]]/500</f>
        <v>1.79</v>
      </c>
      <c r="CX116" s="736">
        <f>1-WWWW[[#This Row],[% Equitable and continuous access to sufficient quantity of domestic water]]</f>
        <v>0</v>
      </c>
      <c r="CY116" s="731">
        <f>WWWW[[#This Row],[%equitable and continuous access to sufficient quantity of safe drinking and domestic water''s GAP]]*WWWW[[#This Row],[Total PoP ]]</f>
        <v>0</v>
      </c>
      <c r="CZ116" s="734">
        <f>IF(WWWW[[#This Row],[Total required water points]]-WWWW[[#This Row],['#Water points coverage]]&lt;0,0,WWWW[[#This Row],[Total required water points]]-WWWW[[#This Row],['#Water points coverage]])</f>
        <v>0.20999999999999996</v>
      </c>
      <c r="DA116" s="734">
        <f>ROUND(IF(WWWW[[#This Row],[Total PoP ]]&lt;500,1,WWWW[[#This Row],[Total PoP ]]/500),0)</f>
        <v>2</v>
      </c>
      <c r="DB116" s="734">
        <f>(WWWW[[#This Row],['#_Constructed latrines_by_WASHAgencies]]+WWWW[[#This Row],['#_Non Cluster partner latrines]])-WWWW[[#This Row],['#_Non-functional latrines]]</f>
        <v>33</v>
      </c>
      <c r="DC116" s="631">
        <f>WWWW[[#This Row],[HRP2]]/WWWW[[#This Row],[Total PoP ]]</f>
        <v>0.75977653631284914</v>
      </c>
      <c r="DD11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680</v>
      </c>
      <c r="DE11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6" s="424">
        <f>IF(WWWW[[#This Row],['# of functional latrines in THF supported by WASH partners during the reporting period2]]="",0,WWWW[[#This Row],['# of functional latrines in THF supported by WASH partners during the reporting period2]]*50)</f>
        <v>0</v>
      </c>
      <c r="DH116" s="734">
        <f>ROUND(IF(WWWW[[#This Row],[Location Type 1]]="camp",WWWW[[#This Row],[Total PoP ]]/20,IF(WWWW[[#This Row],[Location Type 1]]="Temporary Location",WWWW[[#This Row],[Total PoP ]]/50,(WWWW[[#This Row],[Total PoP ]]/6))),0)</f>
        <v>45</v>
      </c>
      <c r="DI116" s="734">
        <f>IF(WWWW[[#This Row],[Total required Latrines]]-(WWWW[[#This Row],['#_Constructed latrines_by_WASHAgencies]]+WWWW[[#This Row],['#_Non Cluster partner latrines]])&lt;0,0,WWWW[[#This Row],[Total required Latrines]]-(WWWW[[#This Row],['#_Constructed latrines_by_WASHAgencies]]+WWWW[[#This Row],['#_Non Cluster partner latrines]]))</f>
        <v>12</v>
      </c>
      <c r="DJ116" s="736">
        <f>1-WWWW[[#This Row],[% people access to functioning Latrine]]</f>
        <v>0.24022346368715086</v>
      </c>
      <c r="DK116" s="735">
        <f>IF(OR(WWWW[[#This Row],['#_Non-functional latrines]]="",WWWW[[#This Row],['#_Non-functional latrines]]=0),0,WWWW[[#This Row],['#_Non-functional latrines]]/(WWWW[[#This Row],['#_Constructed latrines_by_WASHAgencies]]+WWWW[[#This Row],['#_Non Cluster partner latrines]]))</f>
        <v>0</v>
      </c>
      <c r="DL116" s="731">
        <f>IF(500*(WWWW[[#This Row],['#_male hygiene promoters]]+WWWW[[#This Row],['#_female hygiene promoters]])&gt;WWWW[[#This Row],[Total PoP ]],WWWW[[#This Row],[Total PoP ]],500*(WWWW[[#This Row],['#_male hygiene promoters]]+WWWW[[#This Row],['#_female hygiene promoters]]))</f>
        <v>895</v>
      </c>
      <c r="DM11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11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16" s="734">
        <f>IF(WWWW[[#This Row],['# People with access to soap]]&gt;WWWW[[#This Row],['# People with access to Sanity Pads]],WWWW[[#This Row],['# People with access to soap]],WWWW[[#This Row],['# People with access to Sanity Pads]])</f>
        <v>440</v>
      </c>
      <c r="DP116" s="734">
        <f>IF(WWWW[[#This Row],['# people reached by regular dedicated hygiene promotion_5]]&gt;WWWW[[#This Row],['# People received regular supply of hygiene items_6]],WWWW[[#This Row],['# people reached by regular dedicated hygiene promotion_5]],WWWW[[#This Row],['# People received regular supply of hygiene items_6]])</f>
        <v>895</v>
      </c>
      <c r="DQ116" s="736">
        <f>IF(WWWW[[#This Row],[HRP3]]/WWWW[[#This Row],[Total PoP ]]&gt;1,1,WWWW[[#This Row],[HRP3]]/WWWW[[#This Row],[Total PoP ]])</f>
        <v>1</v>
      </c>
      <c r="DR116" s="735">
        <f>1-WWWW[[#This Row],[Hygiene Coverage%]]</f>
        <v>0</v>
      </c>
      <c r="DS116" s="733">
        <f>WWWW[[#This Row],['# people reached by regular dedicated hygiene promotion_5]]/WWWW[[#This Row],[Total PoP ]]</f>
        <v>1</v>
      </c>
      <c r="DT11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0.70921985815602839</v>
      </c>
      <c r="DV116" s="734">
        <f>WWWW[[#This Row],['#_Constructed/Existing hand washing stations]]-WWWW[[#This Row],['#_Non-Functional_hand_washing_stations]]</f>
        <v>3</v>
      </c>
      <c r="DW116" s="731">
        <f>IF(WWWW[[#This Row],['# Functional hand washing stations during reporting period]]*20&gt;WWWW[[#This Row],[Total HH]],WWWW[[#This Row],[Total HH]],WWWW[[#This Row],['# Functional hand washing stations during reporting period]]*20)</f>
        <v>60</v>
      </c>
      <c r="DX116" s="731">
        <f>IF(WWWW[[#This Row],[Is sufficient soap available for TLS? (Yes/No)]]="yes",WWWW[[#This Row],['#_Constructed/Existing hand washing stations at TLS/CFS/THF]],0)</f>
        <v>0</v>
      </c>
      <c r="DY116" s="428">
        <f>IF(WWWW[[#This Row],['# Functional hand washing stations during reporting period]]*100&gt;WWWW[[#This Row],[Total PoP ]],WWWW[[#This Row],[Total PoP ]],WWWW[[#This Row],['# Functional hand washing stations during reporting period]]*100)</f>
        <v>300</v>
      </c>
      <c r="DZ116" s="428" t="str">
        <f>IF(OR(WWWW[[#This Row],['#_students at TLS_CFS]]="",WWWW[[#This Row],['#_students at TLS_CFS]]=0),"No","Yes")</f>
        <v>No</v>
      </c>
      <c r="EA11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6" s="727" t="str">
        <f>VLOOKUP(WWWW[[#This Row],[Site Name]],SiteDB6[[Site Name]:[CCCM Management]],6,FALSE)</f>
        <v>Yes</v>
      </c>
      <c r="EF116" s="727" t="str">
        <f>VLOOKUP(WWWW[[#This Row],[Site Name]],SiteDB6[[Site Name]:[CCCM Focal Agency]],7,FALSE)</f>
        <v>KMSS-MYT</v>
      </c>
      <c r="EG116" s="727" t="str">
        <f>VLOOKUP(WWWW[[#This Row],[Site Name]],SiteDB6[[Site Name]:[Location Type 1]],9,FALSE)</f>
        <v>Camp</v>
      </c>
      <c r="EH116" s="727" t="str">
        <f>VLOOKUP(WWWW[[#This Row],[Site Name]],SiteDB6[[Site Name]:[Type of Accommodation]],10,FALSE)</f>
        <v>Camp</v>
      </c>
      <c r="EI116" s="727" t="str">
        <f>VLOOKUP(WWWW[[#This Row],[Site Name]],SiteDB6[[Site Name]:[Ethnic or GCA/NGCA]],11,FALSE)</f>
        <v>GCA</v>
      </c>
      <c r="EJ116" s="727">
        <f>VLOOKUP(WWWW[[#This Row],[Site Name]],SiteDB6[[Site Name]:[Lat]],12,FALSE)</f>
        <v>25.493819999999999</v>
      </c>
      <c r="EK116" s="727">
        <f>VLOOKUP(WWWW[[#This Row],[Site Name]],SiteDB6[[Site Name]:[Long]],13,FALSE)</f>
        <v>97.4345</v>
      </c>
      <c r="EL116" s="727" t="str">
        <f>VLOOKUP(WWWW[[#This Row],[Site Name]],SiteDB6[[Site Name]:[Pcode]],3,FALSE)</f>
        <v>MMR001CMP162</v>
      </c>
      <c r="EM116" s="732" t="str">
        <f t="shared" si="1"/>
        <v>Covered</v>
      </c>
      <c r="EN116" s="732"/>
      <c r="EO116" s="727">
        <f>VLOOKUP(WWWW[[#This Row],[Site Name]],SiteDB6[[Site Name]:[Pop
(Kachin/Shan-CCCM as of July 2021)]],16,FALSE)</f>
        <v>152</v>
      </c>
      <c r="EP116" s="727">
        <f>VLOOKUP(WWWW[[#This Row],[Site Name]],SiteDB6[[Site Name]:[Pop
(Kachin/Shan-CCCM as of July 2021)]],17,FALSE)</f>
        <v>941</v>
      </c>
    </row>
    <row r="117" spans="1:146" hidden="1">
      <c r="A117" s="725" t="s">
        <v>2763</v>
      </c>
      <c r="B117" s="725" t="s">
        <v>36</v>
      </c>
      <c r="C117" s="726" t="s">
        <v>36</v>
      </c>
      <c r="D117" s="726" t="s">
        <v>241</v>
      </c>
      <c r="E117" s="726" t="s">
        <v>37</v>
      </c>
      <c r="F117" s="726" t="s">
        <v>159</v>
      </c>
      <c r="G117" s="591" t="str">
        <f>VLOOKUP(WWWW[[#This Row],[Site Name]],SiteDB6[[Site Name]:[Location Type]],8,FALSE)</f>
        <v>Camp</v>
      </c>
      <c r="H117" s="726" t="s">
        <v>1605</v>
      </c>
      <c r="I117" s="728">
        <v>247</v>
      </c>
      <c r="J117" s="728">
        <v>1365</v>
      </c>
      <c r="K117" s="729">
        <v>44414</v>
      </c>
      <c r="L117" s="730">
        <v>44778</v>
      </c>
      <c r="M117" s="728"/>
      <c r="N117" s="728">
        <v>2</v>
      </c>
      <c r="O117" s="728"/>
      <c r="P117" s="728"/>
      <c r="Q117" s="731" t="s">
        <v>41</v>
      </c>
      <c r="R117" s="728">
        <v>2</v>
      </c>
      <c r="S117" s="728">
        <v>4</v>
      </c>
      <c r="T117" s="448">
        <v>4</v>
      </c>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32"/>
      <c r="AQ117" s="728">
        <v>66</v>
      </c>
      <c r="AR117" s="728"/>
      <c r="AS117" s="733"/>
      <c r="AT117" s="728"/>
      <c r="AU117" s="728"/>
      <c r="AV117" s="728"/>
      <c r="AW117" s="728"/>
      <c r="AX117" s="728"/>
      <c r="AY117" s="727" t="s">
        <v>41</v>
      </c>
      <c r="AZ117" s="732" t="s">
        <v>137</v>
      </c>
      <c r="BA117" s="728">
        <v>1</v>
      </c>
      <c r="BB117" s="728"/>
      <c r="BC117" s="728"/>
      <c r="BD117" s="448"/>
      <c r="BE117" s="448"/>
      <c r="BF117" s="727"/>
      <c r="BG117" s="728">
        <v>3</v>
      </c>
      <c r="BH117" s="728"/>
      <c r="BI117" s="728">
        <v>7</v>
      </c>
      <c r="BJ117" s="728">
        <v>2</v>
      </c>
      <c r="BK117" s="728"/>
      <c r="BL117" s="728"/>
      <c r="BM117" s="728"/>
      <c r="BN117" s="728">
        <v>10</v>
      </c>
      <c r="BO117" s="728">
        <v>18</v>
      </c>
      <c r="BP117" s="727"/>
      <c r="BQ117" s="734"/>
      <c r="BR117" s="733"/>
      <c r="BS117" s="727"/>
      <c r="BT117" s="423"/>
      <c r="BU117" s="423"/>
      <c r="BV117" s="425"/>
      <c r="BW117" s="423"/>
      <c r="BX117" s="448"/>
      <c r="BY117" s="448"/>
      <c r="BZ117" s="448"/>
      <c r="CA117" s="448"/>
      <c r="CB117" s="448"/>
      <c r="CC117" s="777"/>
      <c r="CD117" s="448"/>
      <c r="CE117" s="735" t="str">
        <f>IFERROR(WWWW[[#This Row],['#_Water sources passed]]/WWWW[[#This Row],['#_Water sources tested for fecal coliform ]],"no test")</f>
        <v>no test</v>
      </c>
      <c r="CF117" s="733" t="str">
        <f>IFERROR(WWWW[[#This Row],['#_Household passed]]/WWWW[[#This Row],['#_Household water samples tested for fecal coliform]],"no test")</f>
        <v>no test</v>
      </c>
      <c r="CG117" s="734" t="str">
        <f>IF(AND(WWWW[[#This Row],[% of water sources passed]]="no test",WWWW[[#This Row],[% Household passed]]="no test"),"No Test","Tested")</f>
        <v>No Test</v>
      </c>
      <c r="CH117" s="734">
        <f>WWWW[[#This Row],['#_Constructed/existing protected hand dug well]]-WWWW[[#This Row],['#_Non-functional protected hand dug well]]</f>
        <v>4</v>
      </c>
      <c r="CI117" s="734">
        <f>(WWWW[[#This Row],['#_Constructed/Existing tube wells/boreholes/handpumps_WASH_agency]]+WWWW[[#This Row],['#_Non-Cluster partner water tube-wells/boreholes/handpumps]])-WWWW[[#This Row],['#_Non-functional tube wells/boreholes/handpumps]]</f>
        <v>0</v>
      </c>
      <c r="CJ117" s="734">
        <f>WWWW[[#This Row],['#_Constructed/Existingwater storage tank with gravity fed reticulation system]]-WWWW[[#This Row],['#_Non-functional storage tank gravity fed reticulation system]]</f>
        <v>0</v>
      </c>
      <c r="CK117" s="734">
        <f>(WWWW[[#This Row],['#_Water_Liters_supplied_by_Water boating or water trucking]]/90)/15</f>
        <v>0</v>
      </c>
      <c r="CL117" s="734">
        <f>WWWW[[#This Row],['#_Water_Liters_from_Constructed/Existing water distribution system from river or natural spring]]/90/15</f>
        <v>0</v>
      </c>
      <c r="CM117" s="424">
        <f>IF(WWWW[[#This Row],['#_of water points in TLS/CFS]]*500&gt;WWWW[[#This Row],[Total PoP ]],WWWW[[#This Row],[Total PoP ]],WWWW[[#This Row],['#_of water points in TLS/CFS]]*500)</f>
        <v>0</v>
      </c>
      <c r="CN117" s="424">
        <f>IF(WWWW[[#This Row],['#_of water points in THF]]*500&gt;WWWW[[#This Row],[Total PoP ]],WWWW[[#This Row],[Total PoP ]],WWWW[[#This Row],['#_of water points in THF]]*500)</f>
        <v>0</v>
      </c>
      <c r="CO11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0.73260073260073255</v>
      </c>
      <c r="CQ117" s="733">
        <f>IF(WWWW[[#This Row],[Location Type 1]]="Village",WWWW[[#This Row],[Access to safe drinking water for Village]],WWWW[[#This Row],[Access to safe drinking water for Camp]])</f>
        <v>1</v>
      </c>
      <c r="CR117" s="731">
        <f>WWWW[[#This Row],[%Equitable and continuous access to sufficient quantity of safe drinking water]]*WWWW[[#This Row],[Total PoP ]]</f>
        <v>1365</v>
      </c>
      <c r="CS117" s="733">
        <f>IF((WWWW[[#This Row],['#_Constructed/Existing protected/fenced ponds]]*250)/WWWW[[#This Row],[Total PoP ]]&gt;1,1,(WWWW[[#This Row],['#_Constructed/Existing protected/fenced ponds]]*250)/WWWW[[#This Row],[Total PoP ]])</f>
        <v>0</v>
      </c>
      <c r="CT117" s="731">
        <f>WWWW[[#This Row],[% Access to unimproved water points]]*WWWW[[#This Row],[Total PoP ]]</f>
        <v>0</v>
      </c>
      <c r="CU11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1365</v>
      </c>
      <c r="CW117" s="731">
        <f>WWWW[[#This Row],[HRP1]]/500</f>
        <v>2.73</v>
      </c>
      <c r="CX117" s="736">
        <f>1-WWWW[[#This Row],[% Equitable and continuous access to sufficient quantity of domestic water]]</f>
        <v>0</v>
      </c>
      <c r="CY117" s="731">
        <f>WWWW[[#This Row],[%equitable and continuous access to sufficient quantity of safe drinking and domestic water''s GAP]]*WWWW[[#This Row],[Total PoP ]]</f>
        <v>0</v>
      </c>
      <c r="CZ117" s="734">
        <f>IF(WWWW[[#This Row],[Total required water points]]-WWWW[[#This Row],['#Water points coverage]]&lt;0,0,WWWW[[#This Row],[Total required water points]]-WWWW[[#This Row],['#Water points coverage]])</f>
        <v>0.27</v>
      </c>
      <c r="DA117" s="734">
        <f>ROUND(IF(WWWW[[#This Row],[Total PoP ]]&lt;500,1,WWWW[[#This Row],[Total PoP ]]/500),0)</f>
        <v>3</v>
      </c>
      <c r="DB117" s="734">
        <f>(WWWW[[#This Row],['#_Constructed latrines_by_WASHAgencies]]+WWWW[[#This Row],['#_Non Cluster partner latrines]])-WWWW[[#This Row],['#_Non-functional latrines]]</f>
        <v>66</v>
      </c>
      <c r="DC117" s="631">
        <f>WWWW[[#This Row],[HRP2]]/WWWW[[#This Row],[Total PoP ]]</f>
        <v>0.98168498168498164</v>
      </c>
      <c r="DD11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1340</v>
      </c>
      <c r="DE11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7" s="424">
        <f>IF(WWWW[[#This Row],['# of functional latrines in THF supported by WASH partners during the reporting period2]]="",0,WWWW[[#This Row],['# of functional latrines in THF supported by WASH partners during the reporting period2]]*50)</f>
        <v>0</v>
      </c>
      <c r="DH117" s="734">
        <f>ROUND(IF(WWWW[[#This Row],[Location Type 1]]="camp",WWWW[[#This Row],[Total PoP ]]/20,IF(WWWW[[#This Row],[Location Type 1]]="Temporary Location",WWWW[[#This Row],[Total PoP ]]/50,(WWWW[[#This Row],[Total PoP ]]/6))),0)</f>
        <v>68</v>
      </c>
      <c r="DI117" s="734">
        <f>IF(WWWW[[#This Row],[Total required Latrines]]-(WWWW[[#This Row],['#_Constructed latrines_by_WASHAgencies]]+WWWW[[#This Row],['#_Non Cluster partner latrines]])&lt;0,0,WWWW[[#This Row],[Total required Latrines]]-(WWWW[[#This Row],['#_Constructed latrines_by_WASHAgencies]]+WWWW[[#This Row],['#_Non Cluster partner latrines]]))</f>
        <v>2</v>
      </c>
      <c r="DJ117" s="736">
        <f>1-WWWW[[#This Row],[% people access to functioning Latrine]]</f>
        <v>1.8315018315018361E-2</v>
      </c>
      <c r="DK117" s="735">
        <f>IF(OR(WWWW[[#This Row],['#_Non-functional latrines]]="",WWWW[[#This Row],['#_Non-functional latrines]]=0),0,WWWW[[#This Row],['#_Non-functional latrines]]/(WWWW[[#This Row],['#_Constructed latrines_by_WASHAgencies]]+WWWW[[#This Row],['#_Non Cluster partner latrines]]))</f>
        <v>0</v>
      </c>
      <c r="DL117" s="731">
        <f>IF(500*(WWWW[[#This Row],['#_male hygiene promoters]]+WWWW[[#This Row],['#_female hygiene promoters]])&gt;WWWW[[#This Row],[Total PoP ]],WWWW[[#This Row],[Total PoP ]],500*(WWWW[[#This Row],['#_male hygiene promoters]]+WWWW[[#This Row],['#_female hygiene promoters]]))</f>
        <v>0</v>
      </c>
      <c r="DM11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1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17" s="734">
        <f>IF(WWWW[[#This Row],['# People with access to soap]]&gt;WWWW[[#This Row],['# People with access to Sanity Pads]],WWWW[[#This Row],['# People with access to soap]],WWWW[[#This Row],['# People with access to Sanity Pads]])</f>
        <v>50</v>
      </c>
      <c r="DP117" s="734">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117" s="736">
        <f>IF(WWWW[[#This Row],[HRP3]]/WWWW[[#This Row],[Total PoP ]]&gt;1,1,WWWW[[#This Row],[HRP3]]/WWWW[[#This Row],[Total PoP ]])</f>
        <v>3.6630036630036632E-2</v>
      </c>
      <c r="DR117" s="735">
        <f>1-WWWW[[#This Row],[Hygiene Coverage%]]</f>
        <v>0.96336996336996339</v>
      </c>
      <c r="DS117" s="733">
        <f>WWWW[[#This Row],['# people reached by regular dedicated hygiene promotion_5]]/WWWW[[#This Row],[Total PoP ]]</f>
        <v>0</v>
      </c>
      <c r="DT11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0.16194331983805668</v>
      </c>
      <c r="DU11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7.28744939271255E-2</v>
      </c>
      <c r="DV117" s="734">
        <f>WWWW[[#This Row],['#_Constructed/Existing hand washing stations]]-WWWW[[#This Row],['#_Non-Functional_hand_washing_stations]]</f>
        <v>3</v>
      </c>
      <c r="DW117" s="731">
        <f>IF(WWWW[[#This Row],['# Functional hand washing stations during reporting period]]*20&gt;WWWW[[#This Row],[Total HH]],WWWW[[#This Row],[Total HH]],WWWW[[#This Row],['# Functional hand washing stations during reporting period]]*20)</f>
        <v>60</v>
      </c>
      <c r="DX117" s="731">
        <f>IF(WWWW[[#This Row],[Is sufficient soap available for TLS? (Yes/No)]]="yes",WWWW[[#This Row],['#_Constructed/Existing hand washing stations at TLS/CFS/THF]],0)</f>
        <v>0</v>
      </c>
      <c r="DY117" s="428">
        <f>IF(WWWW[[#This Row],['# Functional hand washing stations during reporting period]]*100&gt;WWWW[[#This Row],[Total PoP ]],WWWW[[#This Row],[Total PoP ]],WWWW[[#This Row],['# Functional hand washing stations during reporting period]]*100)</f>
        <v>300</v>
      </c>
      <c r="DZ117" s="428" t="str">
        <f>IF(OR(WWWW[[#This Row],['#_students at TLS_CFS]]="",WWWW[[#This Row],['#_students at TLS_CFS]]=0),"No","Yes")</f>
        <v>No</v>
      </c>
      <c r="EA11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7" s="727" t="str">
        <f>VLOOKUP(WWWW[[#This Row],[Site Name]],SiteDB6[[Site Name]:[CCCM Management]],6,FALSE)</f>
        <v>Yes</v>
      </c>
      <c r="EF117" s="727" t="str">
        <f>VLOOKUP(WWWW[[#This Row],[Site Name]],SiteDB6[[Site Name]:[CCCM Focal Agency]],7,FALSE)</f>
        <v>KMSS-MYT</v>
      </c>
      <c r="EG117" s="727" t="str">
        <f>VLOOKUP(WWWW[[#This Row],[Site Name]],SiteDB6[[Site Name]:[Location Type 1]],9,FALSE)</f>
        <v>Camp</v>
      </c>
      <c r="EH117" s="727" t="str">
        <f>VLOOKUP(WWWW[[#This Row],[Site Name]],SiteDB6[[Site Name]:[Type of Accommodation]],10,FALSE)</f>
        <v>Camp</v>
      </c>
      <c r="EI117" s="727" t="str">
        <f>VLOOKUP(WWWW[[#This Row],[Site Name]],SiteDB6[[Site Name]:[Ethnic or GCA/NGCA]],11,FALSE)</f>
        <v>GCA</v>
      </c>
      <c r="EJ117" s="727">
        <f>VLOOKUP(WWWW[[#This Row],[Site Name]],SiteDB6[[Site Name]:[Lat]],12,FALSE)</f>
        <v>25.493819999999999</v>
      </c>
      <c r="EK117" s="727">
        <f>VLOOKUP(WWWW[[#This Row],[Site Name]],SiteDB6[[Site Name]:[Long]],13,FALSE)</f>
        <v>97.4345</v>
      </c>
      <c r="EL117" s="727" t="str">
        <f>VLOOKUP(WWWW[[#This Row],[Site Name]],SiteDB6[[Site Name]:[Pcode]],3,FALSE)</f>
        <v>MMR001CMP271</v>
      </c>
      <c r="EM117" s="732" t="str">
        <f t="shared" si="1"/>
        <v>Covered</v>
      </c>
      <c r="EN117" s="732"/>
      <c r="EO117" s="727">
        <f>VLOOKUP(WWWW[[#This Row],[Site Name]],SiteDB6[[Site Name]:[Pop
(Kachin/Shan-CCCM as of July 2021)]],16,FALSE)</f>
        <v>215</v>
      </c>
      <c r="EP117" s="727">
        <f>VLOOKUP(WWWW[[#This Row],[Site Name]],SiteDB6[[Site Name]:[Pop
(Kachin/Shan-CCCM as of July 2021)]],17,FALSE)</f>
        <v>1188</v>
      </c>
    </row>
    <row r="118" spans="1:146" hidden="1">
      <c r="A118" s="725" t="s">
        <v>2763</v>
      </c>
      <c r="B118" s="725" t="s">
        <v>291</v>
      </c>
      <c r="C118" s="726" t="s">
        <v>291</v>
      </c>
      <c r="D118" s="726" t="s">
        <v>2583</v>
      </c>
      <c r="E118" s="726" t="s">
        <v>37</v>
      </c>
      <c r="F118" s="726" t="s">
        <v>205</v>
      </c>
      <c r="G118" s="591" t="str">
        <f>VLOOKUP(WWWW[[#This Row],[Site Name]],SiteDB6[[Site Name]:[Location Type]],8,FALSE)</f>
        <v>Camp</v>
      </c>
      <c r="H118" s="726" t="s">
        <v>296</v>
      </c>
      <c r="I118" s="728">
        <v>593</v>
      </c>
      <c r="J118" s="728">
        <v>2975</v>
      </c>
      <c r="K118" s="729">
        <v>43874</v>
      </c>
      <c r="L118" s="730">
        <v>44239</v>
      </c>
      <c r="M118" s="728"/>
      <c r="N118" s="728"/>
      <c r="O118" s="728"/>
      <c r="P118" s="728"/>
      <c r="Q118" s="731" t="s">
        <v>41</v>
      </c>
      <c r="R118" s="728"/>
      <c r="S118" s="728"/>
      <c r="T118" s="448"/>
      <c r="U118" s="728"/>
      <c r="V118" s="728"/>
      <c r="W118" s="728"/>
      <c r="X118" s="728"/>
      <c r="Y118" s="728"/>
      <c r="Z118" s="728"/>
      <c r="AA118" s="728"/>
      <c r="AB118" s="728"/>
      <c r="AC118" s="728"/>
      <c r="AD118" s="728"/>
      <c r="AE118" s="728">
        <v>1</v>
      </c>
      <c r="AF118" s="728"/>
      <c r="AG118" s="728"/>
      <c r="AH118" s="728">
        <v>1</v>
      </c>
      <c r="AI118" s="728"/>
      <c r="AJ118" s="728"/>
      <c r="AK118" s="728"/>
      <c r="AL118" s="728"/>
      <c r="AM118" s="728">
        <v>21</v>
      </c>
      <c r="AN118" s="728">
        <v>6</v>
      </c>
      <c r="AO118" s="728"/>
      <c r="AP118" s="732"/>
      <c r="AQ118" s="728">
        <v>152</v>
      </c>
      <c r="AR118" s="728"/>
      <c r="AS118" s="733"/>
      <c r="AT118" s="728"/>
      <c r="AU118" s="728"/>
      <c r="AV118" s="728"/>
      <c r="AW118" s="728"/>
      <c r="AX118" s="728"/>
      <c r="AY118" s="727" t="s">
        <v>136</v>
      </c>
      <c r="AZ118" s="732" t="s">
        <v>137</v>
      </c>
      <c r="BA118" s="728">
        <v>4</v>
      </c>
      <c r="BB118" s="728"/>
      <c r="BC118" s="728">
        <v>16</v>
      </c>
      <c r="BD118" s="448">
        <v>2</v>
      </c>
      <c r="BE118" s="448"/>
      <c r="BF118" s="727"/>
      <c r="BG118" s="728">
        <v>7</v>
      </c>
      <c r="BH118" s="728"/>
      <c r="BI118" s="728"/>
      <c r="BJ118" s="728">
        <v>7</v>
      </c>
      <c r="BK118" s="728"/>
      <c r="BL118" s="728"/>
      <c r="BM118" s="728">
        <v>6</v>
      </c>
      <c r="BN118" s="728">
        <v>104</v>
      </c>
      <c r="BO118" s="728">
        <v>148</v>
      </c>
      <c r="BP118" s="727"/>
      <c r="BQ118" s="734"/>
      <c r="BR118" s="733"/>
      <c r="BS118" s="727"/>
      <c r="BT118" s="423"/>
      <c r="BU118" s="423"/>
      <c r="BV118" s="425"/>
      <c r="BW118" s="423"/>
      <c r="BX118" s="448"/>
      <c r="BY118" s="448"/>
      <c r="BZ118" s="448"/>
      <c r="CA118" s="448"/>
      <c r="CB118" s="448"/>
      <c r="CC118" s="777"/>
      <c r="CD118" s="448"/>
      <c r="CE118" s="735" t="str">
        <f>IFERROR(WWWW[[#This Row],['#_Water sources passed]]/WWWW[[#This Row],['#_Water sources tested for fecal coliform ]],"no test")</f>
        <v>no test</v>
      </c>
      <c r="CF118" s="733" t="str">
        <f>IFERROR(WWWW[[#This Row],['#_Household passed]]/WWWW[[#This Row],['#_Household water samples tested for fecal coliform]],"no test")</f>
        <v>no test</v>
      </c>
      <c r="CG118" s="734" t="str">
        <f>IF(AND(WWWW[[#This Row],[% of water sources passed]]="no test",WWWW[[#This Row],[% Household passed]]="no test"),"No Test","Tested")</f>
        <v>No Test</v>
      </c>
      <c r="CH118" s="734">
        <f>WWWW[[#This Row],['#_Constructed/existing protected hand dug well]]-WWWW[[#This Row],['#_Non-functional protected hand dug well]]</f>
        <v>0</v>
      </c>
      <c r="CI118" s="734">
        <f>(WWWW[[#This Row],['#_Constructed/Existing tube wells/boreholes/handpumps_WASH_agency]]+WWWW[[#This Row],['#_Non-Cluster partner water tube-wells/boreholes/handpumps]])-WWWW[[#This Row],['#_Non-functional tube wells/boreholes/handpumps]]</f>
        <v>0</v>
      </c>
      <c r="CJ118" s="734">
        <f>WWWW[[#This Row],['#_Constructed/Existingwater storage tank with gravity fed reticulation system]]-WWWW[[#This Row],['#_Non-functional storage tank gravity fed reticulation system]]</f>
        <v>0</v>
      </c>
      <c r="CK118" s="734">
        <f>(WWWW[[#This Row],['#_Water_Liters_supplied_by_Water boating or water trucking]]/90)/15</f>
        <v>0</v>
      </c>
      <c r="CL118" s="734">
        <f>WWWW[[#This Row],['#_Water_Liters_from_Constructed/Existing water distribution system from river or natural spring]]/90/15</f>
        <v>0</v>
      </c>
      <c r="CM118" s="424">
        <f>IF(WWWW[[#This Row],['#_of water points in TLS/CFS]]*500&gt;WWWW[[#This Row],[Total PoP ]],WWWW[[#This Row],[Total PoP ]],WWWW[[#This Row],['#_of water points in TLS/CFS]]*500)</f>
        <v>2975</v>
      </c>
      <c r="CN118" s="424">
        <f>IF(WWWW[[#This Row],['#_of water points in THF]]*500&gt;WWWW[[#This Row],[Total PoP ]],WWWW[[#This Row],[Total PoP ]],WWWW[[#This Row],['#_of water points in THF]]*500)</f>
        <v>0</v>
      </c>
      <c r="CO11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1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18" s="733">
        <f>IF(WWWW[[#This Row],[Location Type 1]]="Village",WWWW[[#This Row],[Access to safe drinking water for Village]],WWWW[[#This Row],[Access to safe drinking water for Camp]])</f>
        <v>0</v>
      </c>
      <c r="CR118" s="731">
        <f>WWWW[[#This Row],[%Equitable and continuous access to sufficient quantity of safe drinking water]]*WWWW[[#This Row],[Total PoP ]]</f>
        <v>0</v>
      </c>
      <c r="CS118" s="733">
        <f>IF((WWWW[[#This Row],['#_Constructed/Existing protected/fenced ponds]]*250)/WWWW[[#This Row],[Total PoP ]]&gt;1,1,(WWWW[[#This Row],['#_Constructed/Existing protected/fenced ponds]]*250)/WWWW[[#This Row],[Total PoP ]])</f>
        <v>8.4033613445378158E-2</v>
      </c>
      <c r="CT118" s="731">
        <f>WWWW[[#This Row],[% Access to unimproved water points]]*WWWW[[#This Row],[Total PoP ]]</f>
        <v>250.00000000000003</v>
      </c>
      <c r="CU11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8.4033613445378158E-2</v>
      </c>
      <c r="CV11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250.00000000000003</v>
      </c>
      <c r="CW118" s="731">
        <f>WWWW[[#This Row],[HRP1]]/500</f>
        <v>0.50000000000000011</v>
      </c>
      <c r="CX118" s="736">
        <f>1-WWWW[[#This Row],[% Equitable and continuous access to sufficient quantity of domestic water]]</f>
        <v>0.91596638655462181</v>
      </c>
      <c r="CY118" s="731">
        <f>WWWW[[#This Row],[%equitable and continuous access to sufficient quantity of safe drinking and domestic water''s GAP]]*WWWW[[#This Row],[Total PoP ]]</f>
        <v>2725</v>
      </c>
      <c r="CZ118" s="734">
        <f>IF(WWWW[[#This Row],[Total required water points]]-WWWW[[#This Row],['#Water points coverage]]&lt;0,0,WWWW[[#This Row],[Total required water points]]-WWWW[[#This Row],['#Water points coverage]])</f>
        <v>5.5</v>
      </c>
      <c r="DA118" s="734">
        <f>ROUND(IF(WWWW[[#This Row],[Total PoP ]]&lt;500,1,WWWW[[#This Row],[Total PoP ]]/500),0)</f>
        <v>6</v>
      </c>
      <c r="DB118" s="734">
        <f>(WWWW[[#This Row],['#_Constructed latrines_by_WASHAgencies]]+WWWW[[#This Row],['#_Non Cluster partner latrines]])-WWWW[[#This Row],['#_Non-functional latrines]]</f>
        <v>152</v>
      </c>
      <c r="DC118" s="631">
        <f>WWWW[[#This Row],[HRP2]]/WWWW[[#This Row],[Total PoP ]]</f>
        <v>1</v>
      </c>
      <c r="DD11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2975</v>
      </c>
      <c r="DE11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8" s="424">
        <f>IF(WWWW[[#This Row],['# of functional latrines in THF supported by WASH partners during the reporting period2]]="",0,WWWW[[#This Row],['# of functional latrines in THF supported by WASH partners during the reporting period2]]*50)</f>
        <v>100</v>
      </c>
      <c r="DH118" s="734">
        <f>ROUND(IF(WWWW[[#This Row],[Location Type 1]]="camp",WWWW[[#This Row],[Total PoP ]]/20,IF(WWWW[[#This Row],[Location Type 1]]="Temporary Location",WWWW[[#This Row],[Total PoP ]]/50,(WWWW[[#This Row],[Total PoP ]]/6))),0)</f>
        <v>149</v>
      </c>
      <c r="DI118" s="734">
        <f>IF(WWWW[[#This Row],[Total required Latrines]]-(WWWW[[#This Row],['#_Constructed latrines_by_WASHAgencies]]+WWWW[[#This Row],['#_Non Cluster partner latrines]])&lt;0,0,WWWW[[#This Row],[Total required Latrines]]-(WWWW[[#This Row],['#_Constructed latrines_by_WASHAgencies]]+WWWW[[#This Row],['#_Non Cluster partner latrines]]))</f>
        <v>0</v>
      </c>
      <c r="DJ118" s="736">
        <f>1-WWWW[[#This Row],[% people access to functioning Latrine]]</f>
        <v>0</v>
      </c>
      <c r="DK118" s="735">
        <f>IF(OR(WWWW[[#This Row],['#_Non-functional latrines]]="",WWWW[[#This Row],['#_Non-functional latrines]]=0),0,WWWW[[#This Row],['#_Non-functional latrines]]/(WWWW[[#This Row],['#_Constructed latrines_by_WASHAgencies]]+WWWW[[#This Row],['#_Non Cluster partner latrines]]))</f>
        <v>0</v>
      </c>
      <c r="DL118" s="731">
        <f>IF(500*(WWWW[[#This Row],['#_male hygiene promoters]]+WWWW[[#This Row],['#_female hygiene promoters]])&gt;WWWW[[#This Row],[Total PoP ]],WWWW[[#This Row],[Total PoP ]],500*(WWWW[[#This Row],['#_male hygiene promoters]]+WWWW[[#This Row],['#_female hygiene promoters]]))</f>
        <v>2975</v>
      </c>
      <c r="DM11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11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18" s="734">
        <f>IF(WWWW[[#This Row],['# People with access to soap]]&gt;WWWW[[#This Row],['# People with access to Sanity Pads]],WWWW[[#This Row],['# People with access to soap]],WWWW[[#This Row],['# People with access to Sanity Pads]])</f>
        <v>520</v>
      </c>
      <c r="DP118" s="734">
        <f>IF(WWWW[[#This Row],['# people reached by regular dedicated hygiene promotion_5]]&gt;WWWW[[#This Row],['# People received regular supply of hygiene items_6]],WWWW[[#This Row],['# people reached by regular dedicated hygiene promotion_5]],WWWW[[#This Row],['# People received regular supply of hygiene items_6]])</f>
        <v>2975</v>
      </c>
      <c r="DQ118" s="736">
        <f>IF(WWWW[[#This Row],[HRP3]]/WWWW[[#This Row],[Total PoP ]]&gt;1,1,WWWW[[#This Row],[HRP3]]/WWWW[[#This Row],[Total PoP ]])</f>
        <v>1</v>
      </c>
      <c r="DR118" s="735">
        <f>1-WWWW[[#This Row],[Hygiene Coverage%]]</f>
        <v>0</v>
      </c>
      <c r="DS118" s="733">
        <f>WWWW[[#This Row],['# people reached by regular dedicated hygiene promotion_5]]/WWWW[[#This Row],[Total PoP ]]</f>
        <v>1</v>
      </c>
      <c r="DT11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0.17537942664418213</v>
      </c>
      <c r="DU11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0.24957841483979765</v>
      </c>
      <c r="DV118" s="734">
        <f>WWWW[[#This Row],['#_Constructed/Existing hand washing stations]]-WWWW[[#This Row],['#_Non-Functional_hand_washing_stations]]</f>
        <v>7</v>
      </c>
      <c r="DW118" s="731">
        <f>IF(WWWW[[#This Row],['# Functional hand washing stations during reporting period]]*20&gt;WWWW[[#This Row],[Total HH]],WWWW[[#This Row],[Total HH]],WWWW[[#This Row],['# Functional hand washing stations during reporting period]]*20)</f>
        <v>140</v>
      </c>
      <c r="DX118" s="731">
        <f>IF(WWWW[[#This Row],[Is sufficient soap available for TLS? (Yes/No)]]="yes",WWWW[[#This Row],['#_Constructed/Existing hand washing stations at TLS/CFS/THF]],0)</f>
        <v>0</v>
      </c>
      <c r="DY118" s="428">
        <f>IF(WWWW[[#This Row],['# Functional hand washing stations during reporting period]]*100&gt;WWWW[[#This Row],[Total PoP ]],WWWW[[#This Row],[Total PoP ]],WWWW[[#This Row],['# Functional hand washing stations during reporting period]]*100)</f>
        <v>700</v>
      </c>
      <c r="DZ118" s="428" t="str">
        <f>IF(OR(WWWW[[#This Row],['#_students at TLS_CFS]]="",WWWW[[#This Row],['#_students at TLS_CFS]]=0),"No","Yes")</f>
        <v>No</v>
      </c>
      <c r="EA11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2975</v>
      </c>
      <c r="ED11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118" s="727" t="str">
        <f>VLOOKUP(WWWW[[#This Row],[Site Name]],SiteDB6[[Site Name]:[CCCM Management]],6,FALSE)</f>
        <v>Yes</v>
      </c>
      <c r="EF118" s="727" t="str">
        <f>VLOOKUP(WWWW[[#This Row],[Site Name]],SiteDB6[[Site Name]:[CCCM Focal Agency]],7,FALSE)</f>
        <v>KMSS-BMO</v>
      </c>
      <c r="EG118" s="727" t="str">
        <f>VLOOKUP(WWWW[[#This Row],[Site Name]],SiteDB6[[Site Name]:[Location Type 1]],9,FALSE)</f>
        <v>Camp</v>
      </c>
      <c r="EH118" s="727" t="str">
        <f>VLOOKUP(WWWW[[#This Row],[Site Name]],SiteDB6[[Site Name]:[Type of Accommodation]],10,FALSE)</f>
        <v>Camp</v>
      </c>
      <c r="EI118" s="727" t="str">
        <f>VLOOKUP(WWWW[[#This Row],[Site Name]],SiteDB6[[Site Name]:[Ethnic or GCA/NGCA]],11,FALSE)</f>
        <v>NGCA</v>
      </c>
      <c r="EJ118" s="727">
        <f>VLOOKUP(WWWW[[#This Row],[Site Name]],SiteDB6[[Site Name]:[Lat]],12,FALSE)</f>
        <v>24.2744</v>
      </c>
      <c r="EK118" s="727">
        <f>VLOOKUP(WWWW[[#This Row],[Site Name]],SiteDB6[[Site Name]:[Long]],13,FALSE)</f>
        <v>97.752667000000002</v>
      </c>
      <c r="EL118" s="727" t="str">
        <f>VLOOKUP(WWWW[[#This Row],[Site Name]],SiteDB6[[Site Name]:[Pcode]],3,FALSE)</f>
        <v>MMR001CMP126</v>
      </c>
      <c r="EM118" s="732" t="str">
        <f t="shared" si="1"/>
        <v>Covered</v>
      </c>
      <c r="EN118" s="732"/>
      <c r="EO118" s="727">
        <f>VLOOKUP(WWWW[[#This Row],[Site Name]],SiteDB6[[Site Name]:[Pop
(Kachin/Shan-CCCM as of July 2021)]],16,FALSE)</f>
        <v>616</v>
      </c>
      <c r="EP118" s="727">
        <f>VLOOKUP(WWWW[[#This Row],[Site Name]],SiteDB6[[Site Name]:[Pop
(Kachin/Shan-CCCM as of July 2021)]],17,FALSE)</f>
        <v>3682</v>
      </c>
    </row>
    <row r="119" spans="1:146" hidden="1">
      <c r="A119" s="725" t="s">
        <v>2763</v>
      </c>
      <c r="B119" s="707" t="s">
        <v>2806</v>
      </c>
      <c r="C119" s="726" t="s">
        <v>141</v>
      </c>
      <c r="D119" s="369" t="s">
        <v>2587</v>
      </c>
      <c r="E119" s="726" t="s">
        <v>37</v>
      </c>
      <c r="F119" s="726" t="s">
        <v>142</v>
      </c>
      <c r="G119" s="591" t="str">
        <f>VLOOKUP(WWWW[[#This Row],[Site Name]],SiteDB6[[Site Name]:[Location Type]],8,FALSE)</f>
        <v>Camp</v>
      </c>
      <c r="H119" s="726" t="s">
        <v>180</v>
      </c>
      <c r="I119" s="448">
        <v>177</v>
      </c>
      <c r="J119" s="448">
        <v>852</v>
      </c>
      <c r="K119" s="800" t="s">
        <v>2814</v>
      </c>
      <c r="L119" s="56" t="s">
        <v>2815</v>
      </c>
      <c r="M119" s="728"/>
      <c r="N119" s="728">
        <v>3</v>
      </c>
      <c r="O119" s="728"/>
      <c r="P119" s="728"/>
      <c r="Q119" s="731" t="s">
        <v>41</v>
      </c>
      <c r="R119" s="728"/>
      <c r="S119" s="728">
        <v>4</v>
      </c>
      <c r="T119" s="44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32"/>
      <c r="AQ119" s="728">
        <v>150</v>
      </c>
      <c r="AR119" s="728"/>
      <c r="AS119" s="733"/>
      <c r="AT119" s="728"/>
      <c r="AU119" s="728"/>
      <c r="AV119" s="728"/>
      <c r="AW119" s="728"/>
      <c r="AX119" s="728">
        <v>150</v>
      </c>
      <c r="AY119" s="727" t="s">
        <v>41</v>
      </c>
      <c r="AZ119" s="732" t="s">
        <v>137</v>
      </c>
      <c r="BA119" s="728"/>
      <c r="BB119" s="728"/>
      <c r="BC119" s="728"/>
      <c r="BD119" s="448"/>
      <c r="BE119" s="448"/>
      <c r="BF119" s="727"/>
      <c r="BG119" s="728">
        <v>8</v>
      </c>
      <c r="BH119" s="728"/>
      <c r="BI119" s="728"/>
      <c r="BJ119" s="728">
        <v>3</v>
      </c>
      <c r="BK119" s="728"/>
      <c r="BL119" s="728">
        <v>1</v>
      </c>
      <c r="BM119" s="728">
        <v>2</v>
      </c>
      <c r="BN119" s="728">
        <v>91</v>
      </c>
      <c r="BO119" s="728">
        <v>124</v>
      </c>
      <c r="BP119" s="727"/>
      <c r="BQ119" s="734"/>
      <c r="BR119" s="733"/>
      <c r="BS119" s="727"/>
      <c r="BT119" s="423"/>
      <c r="BU119" s="423"/>
      <c r="BV119" s="425"/>
      <c r="BW119" s="423"/>
      <c r="BX119" s="448"/>
      <c r="BY119" s="448"/>
      <c r="BZ119" s="448"/>
      <c r="CA119" s="448"/>
      <c r="CB119" s="448"/>
      <c r="CC119" s="777"/>
      <c r="CD119" s="448"/>
      <c r="CE119" s="735" t="str">
        <f>IFERROR(WWWW[[#This Row],['#_Water sources passed]]/WWWW[[#This Row],['#_Water sources tested for fecal coliform ]],"no test")</f>
        <v>no test</v>
      </c>
      <c r="CF119" s="733" t="str">
        <f>IFERROR(WWWW[[#This Row],['#_Household passed]]/WWWW[[#This Row],['#_Household water samples tested for fecal coliform]],"no test")</f>
        <v>no test</v>
      </c>
      <c r="CG119" s="734" t="str">
        <f>IF(AND(WWWW[[#This Row],[% of water sources passed]]="no test",WWWW[[#This Row],[% Household passed]]="no test"),"No Test","Tested")</f>
        <v>No Test</v>
      </c>
      <c r="CH119" s="734">
        <f>WWWW[[#This Row],['#_Constructed/existing protected hand dug well]]-WWWW[[#This Row],['#_Non-functional protected hand dug well]]</f>
        <v>0</v>
      </c>
      <c r="CI119" s="734">
        <f>(WWWW[[#This Row],['#_Constructed/Existing tube wells/boreholes/handpumps_WASH_agency]]+WWWW[[#This Row],['#_Non-Cluster partner water tube-wells/boreholes/handpumps]])-WWWW[[#This Row],['#_Non-functional tube wells/boreholes/handpumps]]</f>
        <v>0</v>
      </c>
      <c r="CJ119" s="734">
        <f>WWWW[[#This Row],['#_Constructed/Existingwater storage tank with gravity fed reticulation system]]-WWWW[[#This Row],['#_Non-functional storage tank gravity fed reticulation system]]</f>
        <v>0</v>
      </c>
      <c r="CK119" s="734">
        <f>(WWWW[[#This Row],['#_Water_Liters_supplied_by_Water boating or water trucking]]/90)/15</f>
        <v>0</v>
      </c>
      <c r="CL119" s="734">
        <f>WWWW[[#This Row],['#_Water_Liters_from_Constructed/Existing water distribution system from river or natural spring]]/90/15</f>
        <v>0</v>
      </c>
      <c r="CM119" s="424">
        <f>IF(WWWW[[#This Row],['#_of water points in TLS/CFS]]*500&gt;WWWW[[#This Row],[Total PoP ]],WWWW[[#This Row],[Total PoP ]],WWWW[[#This Row],['#_of water points in TLS/CFS]]*500)</f>
        <v>0</v>
      </c>
      <c r="CN119" s="424">
        <f>IF(WWWW[[#This Row],['#_of water points in THF]]*500&gt;WWWW[[#This Row],[Total PoP ]],WWWW[[#This Row],[Total PoP ]],WWWW[[#This Row],['#_of water points in THF]]*500)</f>
        <v>0</v>
      </c>
      <c r="CO11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1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19" s="733">
        <f>IF(WWWW[[#This Row],[Location Type 1]]="Village",WWWW[[#This Row],[Access to safe drinking water for Village]],WWWW[[#This Row],[Access to safe drinking water for Camp]])</f>
        <v>0</v>
      </c>
      <c r="CR119" s="731">
        <f>WWWW[[#This Row],[%Equitable and continuous access to sufficient quantity of safe drinking water]]*WWWW[[#This Row],[Total PoP ]]</f>
        <v>0</v>
      </c>
      <c r="CS119" s="733">
        <f>IF((WWWW[[#This Row],['#_Constructed/Existing protected/fenced ponds]]*250)/WWWW[[#This Row],[Total PoP ]]&gt;1,1,(WWWW[[#This Row],['#_Constructed/Existing protected/fenced ponds]]*250)/WWWW[[#This Row],[Total PoP ]])</f>
        <v>0</v>
      </c>
      <c r="CT119" s="731">
        <f>WWWW[[#This Row],[% Access to unimproved water points]]*WWWW[[#This Row],[Total PoP ]]</f>
        <v>0</v>
      </c>
      <c r="CU11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1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19" s="731">
        <f>WWWW[[#This Row],[HRP1]]/500</f>
        <v>0</v>
      </c>
      <c r="CX119" s="736">
        <f>1-WWWW[[#This Row],[% Equitable and continuous access to sufficient quantity of domestic water]]</f>
        <v>1</v>
      </c>
      <c r="CY119" s="731">
        <f>WWWW[[#This Row],[%equitable and continuous access to sufficient quantity of safe drinking and domestic water''s GAP]]*WWWW[[#This Row],[Total PoP ]]</f>
        <v>852</v>
      </c>
      <c r="CZ119" s="734">
        <f>IF(WWWW[[#This Row],[Total required water points]]-WWWW[[#This Row],['#Water points coverage]]&lt;0,0,WWWW[[#This Row],[Total required water points]]-WWWW[[#This Row],['#Water points coverage]])</f>
        <v>2</v>
      </c>
      <c r="DA119" s="734">
        <f>ROUND(IF(WWWW[[#This Row],[Total PoP ]]&lt;500,1,WWWW[[#This Row],[Total PoP ]]/500),0)</f>
        <v>2</v>
      </c>
      <c r="DB119" s="734">
        <f>(WWWW[[#This Row],['#_Constructed latrines_by_WASHAgencies]]+WWWW[[#This Row],['#_Non Cluster partner latrines]])-WWWW[[#This Row],['#_Non-functional latrines]]</f>
        <v>150</v>
      </c>
      <c r="DC119" s="631">
        <f>WWWW[[#This Row],[HRP2]]/WWWW[[#This Row],[Total PoP ]]</f>
        <v>0.88028169014084512</v>
      </c>
      <c r="DD11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750</v>
      </c>
      <c r="DE11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9" s="424">
        <f>IF(WWWW[[#This Row],['# of functional latrines in THF supported by WASH partners during the reporting period2]]="",0,WWWW[[#This Row],['# of functional latrines in THF supported by WASH partners during the reporting period2]]*50)</f>
        <v>0</v>
      </c>
      <c r="DH119" s="734">
        <f>ROUND(IF(WWWW[[#This Row],[Location Type 1]]="camp",WWWW[[#This Row],[Total PoP ]]/20,IF(WWWW[[#This Row],[Location Type 1]]="Temporary Location",WWWW[[#This Row],[Total PoP ]]/50,(WWWW[[#This Row],[Total PoP ]]/6))),0)</f>
        <v>142</v>
      </c>
      <c r="DI119" s="734">
        <f>IF(WWWW[[#This Row],[Total required Latrines]]-(WWWW[[#This Row],['#_Constructed latrines_by_WASHAgencies]]+WWWW[[#This Row],['#_Non Cluster partner latrines]])&lt;0,0,WWWW[[#This Row],[Total required Latrines]]-(WWWW[[#This Row],['#_Constructed latrines_by_WASHAgencies]]+WWWW[[#This Row],['#_Non Cluster partner latrines]]))</f>
        <v>0</v>
      </c>
      <c r="DJ119" s="736">
        <f>1-WWWW[[#This Row],[% people access to functioning Latrine]]</f>
        <v>0.11971830985915488</v>
      </c>
      <c r="DK119" s="735">
        <f>IF(OR(WWWW[[#This Row],['#_Non-functional latrines]]="",WWWW[[#This Row],['#_Non-functional latrines]]=0),0,WWWW[[#This Row],['#_Non-functional latrines]]/(WWWW[[#This Row],['#_Constructed latrines_by_WASHAgencies]]+WWWW[[#This Row],['#_Non Cluster partner latrines]]))</f>
        <v>0</v>
      </c>
      <c r="DL119" s="731">
        <f>IF(500*(WWWW[[#This Row],['#_male hygiene promoters]]+WWWW[[#This Row],['#_female hygiene promoters]])&gt;WWWW[[#This Row],[Total PoP ]],WWWW[[#This Row],[Total PoP ]],500*(WWWW[[#This Row],['#_male hygiene promoters]]+WWWW[[#This Row],['#_female hygiene promoters]]))</f>
        <v>852</v>
      </c>
      <c r="DM11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1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19" s="734">
        <f>IF(WWWW[[#This Row],['# People with access to soap]]&gt;WWWW[[#This Row],['# People with access to Sanity Pads]],WWWW[[#This Row],['# People with access to soap]],WWWW[[#This Row],['# People with access to Sanity Pads]])</f>
        <v>455</v>
      </c>
      <c r="DP119" s="734">
        <f>IF(WWWW[[#This Row],['# people reached by regular dedicated hygiene promotion_5]]&gt;WWWW[[#This Row],['# People received regular supply of hygiene items_6]],WWWW[[#This Row],['# people reached by regular dedicated hygiene promotion_5]],WWWW[[#This Row],['# People received regular supply of hygiene items_6]])</f>
        <v>852</v>
      </c>
      <c r="DQ119" s="736">
        <f>IF(WWWW[[#This Row],[HRP3]]/WWWW[[#This Row],[Total PoP ]]&gt;1,1,WWWW[[#This Row],[HRP3]]/WWWW[[#This Row],[Total PoP ]])</f>
        <v>1</v>
      </c>
      <c r="DR119" s="735">
        <f>1-WWWW[[#This Row],[Hygiene Coverage%]]</f>
        <v>0</v>
      </c>
      <c r="DS119" s="733">
        <f>WWWW[[#This Row],['# people reached by regular dedicated hygiene promotion_5]]/WWWW[[#This Row],[Total PoP ]]</f>
        <v>1</v>
      </c>
      <c r="DT11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0.51412429378531077</v>
      </c>
      <c r="DU11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0.70056497175141241</v>
      </c>
      <c r="DV119" s="734">
        <f>WWWW[[#This Row],['#_Constructed/Existing hand washing stations]]-WWWW[[#This Row],['#_Non-Functional_hand_washing_stations]]</f>
        <v>8</v>
      </c>
      <c r="DW119" s="731">
        <f>IF(WWWW[[#This Row],['# Functional hand washing stations during reporting period]]*20&gt;WWWW[[#This Row],[Total HH]],WWWW[[#This Row],[Total HH]],WWWW[[#This Row],['# Functional hand washing stations during reporting period]]*20)</f>
        <v>160</v>
      </c>
      <c r="DX119" s="731">
        <f>IF(WWWW[[#This Row],[Is sufficient soap available for TLS? (Yes/No)]]="yes",WWWW[[#This Row],['#_Constructed/Existing hand washing stations at TLS/CFS/THF]],0)</f>
        <v>0</v>
      </c>
      <c r="DY119" s="428">
        <f>IF(WWWW[[#This Row],['# Functional hand washing stations during reporting period]]*100&gt;WWWW[[#This Row],[Total PoP ]],WWWW[[#This Row],[Total PoP ]],WWWW[[#This Row],['# Functional hand washing stations during reporting period]]*100)</f>
        <v>800</v>
      </c>
      <c r="DZ119" s="428" t="str">
        <f>IF(OR(WWWW[[#This Row],['#_students at TLS_CFS]]="",WWWW[[#This Row],['#_students at TLS_CFS]]=0),"No","Yes")</f>
        <v>No</v>
      </c>
      <c r="EA11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9" s="727" t="str">
        <f>VLOOKUP(WWWW[[#This Row],[Site Name]],SiteDB6[[Site Name]:[CCCM Management]],6,FALSE)</f>
        <v>Yes</v>
      </c>
      <c r="EF119" s="727" t="str">
        <f>VLOOKUP(WWWW[[#This Row],[Site Name]],SiteDB6[[Site Name]:[CCCM Focal Agency]],7,FALSE)</f>
        <v>KBC-MYT</v>
      </c>
      <c r="EG119" s="727" t="str">
        <f>VLOOKUP(WWWW[[#This Row],[Site Name]],SiteDB6[[Site Name]:[Location Type 1]],9,FALSE)</f>
        <v>Village Type Camp</v>
      </c>
      <c r="EH119" s="727" t="str">
        <f>VLOOKUP(WWWW[[#This Row],[Site Name]],SiteDB6[[Site Name]:[Type of Accommodation]],10,FALSE)</f>
        <v>Camp</v>
      </c>
      <c r="EI119" s="727" t="str">
        <f>VLOOKUP(WWWW[[#This Row],[Site Name]],SiteDB6[[Site Name]:[Ethnic or GCA/NGCA]],11,FALSE)</f>
        <v>NGCA</v>
      </c>
      <c r="EJ119" s="727">
        <f>VLOOKUP(WWWW[[#This Row],[Site Name]],SiteDB6[[Site Name]:[Lat]],12,FALSE)</f>
        <v>24.831944</v>
      </c>
      <c r="EK119" s="727">
        <f>VLOOKUP(WWWW[[#This Row],[Site Name]],SiteDB6[[Site Name]:[Long]],13,FALSE)</f>
        <v>97.751389000000003</v>
      </c>
      <c r="EL119" s="727" t="str">
        <f>VLOOKUP(WWWW[[#This Row],[Site Name]],SiteDB6[[Site Name]:[Pcode]],3,FALSE)</f>
        <v>MMR001CMP120</v>
      </c>
      <c r="EM119" s="732" t="str">
        <f t="shared" si="1"/>
        <v>Covered</v>
      </c>
      <c r="EN119" s="732"/>
      <c r="EO119" s="727">
        <f>VLOOKUP(WWWW[[#This Row],[Site Name]],SiteDB6[[Site Name]:[Pop
(Kachin/Shan-CCCM as of July 2021)]],16,FALSE)</f>
        <v>166</v>
      </c>
      <c r="EP119" s="727">
        <f>VLOOKUP(WWWW[[#This Row],[Site Name]],SiteDB6[[Site Name]:[Pop
(Kachin/Shan-CCCM as of July 2021)]],17,FALSE)</f>
        <v>966</v>
      </c>
    </row>
    <row r="120" spans="1:146" hidden="1">
      <c r="A120" s="725" t="s">
        <v>2763</v>
      </c>
      <c r="B120" s="725" t="s">
        <v>36</v>
      </c>
      <c r="C120" s="726" t="s">
        <v>36</v>
      </c>
      <c r="D120" s="726" t="s">
        <v>241</v>
      </c>
      <c r="E120" s="726" t="s">
        <v>37</v>
      </c>
      <c r="F120" s="726" t="s">
        <v>159</v>
      </c>
      <c r="G120" s="591" t="str">
        <f>VLOOKUP(WWWW[[#This Row],[Site Name]],SiteDB6[[Site Name]:[Location Type]],8,FALSE)</f>
        <v>Camp_not registered</v>
      </c>
      <c r="H120" s="726" t="s">
        <v>2205</v>
      </c>
      <c r="I120" s="728">
        <v>26</v>
      </c>
      <c r="J120" s="728">
        <v>143</v>
      </c>
      <c r="K120" s="729">
        <v>44414</v>
      </c>
      <c r="L120" s="730">
        <v>44778</v>
      </c>
      <c r="M120" s="728"/>
      <c r="N120" s="728">
        <v>1</v>
      </c>
      <c r="O120" s="728"/>
      <c r="P120" s="728"/>
      <c r="Q120" s="731" t="s">
        <v>41</v>
      </c>
      <c r="R120" s="728">
        <v>2</v>
      </c>
      <c r="S120" s="728">
        <v>2</v>
      </c>
      <c r="T120" s="448"/>
      <c r="U120" s="728"/>
      <c r="V120" s="728"/>
      <c r="W120" s="728">
        <v>2</v>
      </c>
      <c r="X120" s="728"/>
      <c r="Y120" s="728"/>
      <c r="Z120" s="728"/>
      <c r="AA120" s="728"/>
      <c r="AB120" s="728"/>
      <c r="AC120" s="728"/>
      <c r="AD120" s="728"/>
      <c r="AE120" s="728"/>
      <c r="AF120" s="728"/>
      <c r="AG120" s="728"/>
      <c r="AH120" s="728">
        <v>26</v>
      </c>
      <c r="AI120" s="728"/>
      <c r="AJ120" s="728"/>
      <c r="AK120" s="728"/>
      <c r="AL120" s="728"/>
      <c r="AM120" s="728">
        <v>3</v>
      </c>
      <c r="AN120" s="728"/>
      <c r="AO120" s="728"/>
      <c r="AP120" s="732"/>
      <c r="AQ120" s="728">
        <v>6</v>
      </c>
      <c r="AR120" s="728"/>
      <c r="AS120" s="733"/>
      <c r="AT120" s="728"/>
      <c r="AU120" s="728"/>
      <c r="AV120" s="728"/>
      <c r="AW120" s="728"/>
      <c r="AX120" s="728"/>
      <c r="AY120" s="727" t="s">
        <v>41</v>
      </c>
      <c r="AZ120" s="732" t="s">
        <v>136</v>
      </c>
      <c r="BA120" s="728"/>
      <c r="BB120" s="728"/>
      <c r="BC120" s="728"/>
      <c r="BD120" s="448"/>
      <c r="BE120" s="448"/>
      <c r="BF120" s="727"/>
      <c r="BG120" s="728">
        <v>1</v>
      </c>
      <c r="BH120" s="728"/>
      <c r="BI120" s="728"/>
      <c r="BJ120" s="728">
        <v>3</v>
      </c>
      <c r="BK120" s="728"/>
      <c r="BL120" s="728"/>
      <c r="BM120" s="728">
        <v>1</v>
      </c>
      <c r="BN120" s="728">
        <v>41</v>
      </c>
      <c r="BO120" s="728">
        <v>85</v>
      </c>
      <c r="BP120" s="727"/>
      <c r="BQ120" s="734"/>
      <c r="BR120" s="733"/>
      <c r="BS120" s="727"/>
      <c r="BT120" s="423"/>
      <c r="BU120" s="423"/>
      <c r="BV120" s="425"/>
      <c r="BW120" s="423"/>
      <c r="BX120" s="448"/>
      <c r="BY120" s="448"/>
      <c r="BZ120" s="448"/>
      <c r="CA120" s="448"/>
      <c r="CB120" s="448"/>
      <c r="CC120" s="777"/>
      <c r="CD120" s="448"/>
      <c r="CE120" s="735" t="str">
        <f>IFERROR(WWWW[[#This Row],['#_Water sources passed]]/WWWW[[#This Row],['#_Water sources tested for fecal coliform ]],"no test")</f>
        <v>no test</v>
      </c>
      <c r="CF120" s="733" t="str">
        <f>IFERROR(WWWW[[#This Row],['#_Household passed]]/WWWW[[#This Row],['#_Household water samples tested for fecal coliform]],"no test")</f>
        <v>no test</v>
      </c>
      <c r="CG120" s="734" t="str">
        <f>IF(AND(WWWW[[#This Row],[% of water sources passed]]="no test",WWWW[[#This Row],[% Household passed]]="no test"),"No Test","Tested")</f>
        <v>No Test</v>
      </c>
      <c r="CH120" s="734">
        <f>WWWW[[#This Row],['#_Constructed/existing protected hand dug well]]-WWWW[[#This Row],['#_Non-functional protected hand dug well]]</f>
        <v>0</v>
      </c>
      <c r="CI120" s="734">
        <f>(WWWW[[#This Row],['#_Constructed/Existing tube wells/boreholes/handpumps_WASH_agency]]+WWWW[[#This Row],['#_Non-Cluster partner water tube-wells/boreholes/handpumps]])-WWWW[[#This Row],['#_Non-functional tube wells/boreholes/handpumps]]</f>
        <v>2</v>
      </c>
      <c r="CJ120" s="734">
        <f>WWWW[[#This Row],['#_Constructed/Existingwater storage tank with gravity fed reticulation system]]-WWWW[[#This Row],['#_Non-functional storage tank gravity fed reticulation system]]</f>
        <v>0</v>
      </c>
      <c r="CK120" s="734">
        <f>(WWWW[[#This Row],['#_Water_Liters_supplied_by_Water boating or water trucking]]/90)/15</f>
        <v>0</v>
      </c>
      <c r="CL120" s="734">
        <f>WWWW[[#This Row],['#_Water_Liters_from_Constructed/Existing water distribution system from river or natural spring]]/90/15</f>
        <v>0</v>
      </c>
      <c r="CM120" s="424">
        <f>IF(WWWW[[#This Row],['#_of water points in TLS/CFS]]*500&gt;WWWW[[#This Row],[Total PoP ]],WWWW[[#This Row],[Total PoP ]],WWWW[[#This Row],['#_of water points in TLS/CFS]]*500)</f>
        <v>0</v>
      </c>
      <c r="CN120" s="424">
        <f>IF(WWWW[[#This Row],['#_of water points in THF]]*500&gt;WWWW[[#This Row],[Total PoP ]],WWWW[[#This Row],[Total PoP ]],WWWW[[#This Row],['#_of water points in THF]]*500)</f>
        <v>0</v>
      </c>
      <c r="CO12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0" s="733">
        <f>IF(WWWW[[#This Row],[Location Type 1]]="Village",WWWW[[#This Row],[Access to safe drinking water for Village]],WWWW[[#This Row],[Access to safe drinking water for Camp]])</f>
        <v>1</v>
      </c>
      <c r="CR120" s="731">
        <f>WWWW[[#This Row],[%Equitable and continuous access to sufficient quantity of safe drinking water]]*WWWW[[#This Row],[Total PoP ]]</f>
        <v>143</v>
      </c>
      <c r="CS120" s="733">
        <f>IF((WWWW[[#This Row],['#_Constructed/Existing protected/fenced ponds]]*250)/WWWW[[#This Row],[Total PoP ]]&gt;1,1,(WWWW[[#This Row],['#_Constructed/Existing protected/fenced ponds]]*250)/WWWW[[#This Row],[Total PoP ]])</f>
        <v>0</v>
      </c>
      <c r="CT120" s="731">
        <f>WWWW[[#This Row],[% Access to unimproved water points]]*WWWW[[#This Row],[Total PoP ]]</f>
        <v>0</v>
      </c>
      <c r="CU12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v>
      </c>
      <c r="CW120" s="731">
        <f>WWWW[[#This Row],[HRP1]]/500</f>
        <v>0.28599999999999998</v>
      </c>
      <c r="CX120" s="736">
        <f>1-WWWW[[#This Row],[% Equitable and continuous access to sufficient quantity of domestic water]]</f>
        <v>0</v>
      </c>
      <c r="CY120" s="731">
        <f>WWWW[[#This Row],[%equitable and continuous access to sufficient quantity of safe drinking and domestic water''s GAP]]*WWWW[[#This Row],[Total PoP ]]</f>
        <v>0</v>
      </c>
      <c r="CZ120" s="734">
        <f>IF(WWWW[[#This Row],[Total required water points]]-WWWW[[#This Row],['#Water points coverage]]&lt;0,0,WWWW[[#This Row],[Total required water points]]-WWWW[[#This Row],['#Water points coverage]])</f>
        <v>0.71399999999999997</v>
      </c>
      <c r="DA120" s="734">
        <f>ROUND(IF(WWWW[[#This Row],[Total PoP ]]&lt;500,1,WWWW[[#This Row],[Total PoP ]]/500),0)</f>
        <v>1</v>
      </c>
      <c r="DB120" s="734">
        <f>(WWWW[[#This Row],['#_Constructed latrines_by_WASHAgencies]]+WWWW[[#This Row],['#_Non Cluster partner latrines]])-WWWW[[#This Row],['#_Non-functional latrines]]</f>
        <v>6</v>
      </c>
      <c r="DC120" s="631">
        <f>WWWW[[#This Row],[HRP2]]/WWWW[[#This Row],[Total PoP ]]</f>
        <v>0.83916083916083917</v>
      </c>
      <c r="DD12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12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0" s="424">
        <f>IF(WWWW[[#This Row],['# of functional latrines in THF supported by WASH partners during the reporting period2]]="",0,WWWW[[#This Row],['# of functional latrines in THF supported by WASH partners during the reporting period2]]*50)</f>
        <v>0</v>
      </c>
      <c r="DH120" s="734">
        <f>ROUND(IF(WWWW[[#This Row],[Location Type 1]]="camp",WWWW[[#This Row],[Total PoP ]]/20,IF(WWWW[[#This Row],[Location Type 1]]="Temporary Location",WWWW[[#This Row],[Total PoP ]]/50,(WWWW[[#This Row],[Total PoP ]]/6))),0)</f>
        <v>7</v>
      </c>
      <c r="DI120" s="734">
        <f>IF(WWWW[[#This Row],[Total required Latrines]]-(WWWW[[#This Row],['#_Constructed latrines_by_WASHAgencies]]+WWWW[[#This Row],['#_Non Cluster partner latrines]])&lt;0,0,WWWW[[#This Row],[Total required Latrines]]-(WWWW[[#This Row],['#_Constructed latrines_by_WASHAgencies]]+WWWW[[#This Row],['#_Non Cluster partner latrines]]))</f>
        <v>1</v>
      </c>
      <c r="DJ120" s="736">
        <f>1-WWWW[[#This Row],[% people access to functioning Latrine]]</f>
        <v>0.16083916083916083</v>
      </c>
      <c r="DK120" s="735">
        <f>IF(OR(WWWW[[#This Row],['#_Non-functional latrines]]="",WWWW[[#This Row],['#_Non-functional latrines]]=0),0,WWWW[[#This Row],['#_Non-functional latrines]]/(WWWW[[#This Row],['#_Constructed latrines_by_WASHAgencies]]+WWWW[[#This Row],['#_Non Cluster partner latrines]]))</f>
        <v>0</v>
      </c>
      <c r="DL120" s="731">
        <f>IF(500*(WWWW[[#This Row],['#_male hygiene promoters]]+WWWW[[#This Row],['#_female hygiene promoters]])&gt;WWWW[[#This Row],[Total PoP ]],WWWW[[#This Row],[Total PoP ]],500*(WWWW[[#This Row],['#_male hygiene promoters]]+WWWW[[#This Row],['#_female hygiene promoters]]))</f>
        <v>143</v>
      </c>
      <c r="DM12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143</v>
      </c>
      <c r="DN12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20" s="734">
        <f>IF(WWWW[[#This Row],['# People with access to soap]]&gt;WWWW[[#This Row],['# People with access to Sanity Pads]],WWWW[[#This Row],['# People with access to soap]],WWWW[[#This Row],['# People with access to Sanity Pads]])</f>
        <v>143</v>
      </c>
      <c r="DP120" s="734">
        <f>IF(WWWW[[#This Row],['# people reached by regular dedicated hygiene promotion_5]]&gt;WWWW[[#This Row],['# People received regular supply of hygiene items_6]],WWWW[[#This Row],['# people reached by regular dedicated hygiene promotion_5]],WWWW[[#This Row],['# People received regular supply of hygiene items_6]])</f>
        <v>143</v>
      </c>
      <c r="DQ120" s="736">
        <f>IF(WWWW[[#This Row],[HRP3]]/WWWW[[#This Row],[Total PoP ]]&gt;1,1,WWWW[[#This Row],[HRP3]]/WWWW[[#This Row],[Total PoP ]])</f>
        <v>1</v>
      </c>
      <c r="DR120" s="735">
        <f>1-WWWW[[#This Row],[Hygiene Coverage%]]</f>
        <v>0</v>
      </c>
      <c r="DS120" s="733">
        <f>WWWW[[#This Row],['# people reached by regular dedicated hygiene promotion_5]]/WWWW[[#This Row],[Total PoP ]]</f>
        <v>1</v>
      </c>
      <c r="DT12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0" s="734">
        <f>WWWW[[#This Row],['#_Constructed/Existing hand washing stations]]-WWWW[[#This Row],['#_Non-Functional_hand_washing_stations]]</f>
        <v>1</v>
      </c>
      <c r="DW120" s="731">
        <f>IF(WWWW[[#This Row],['# Functional hand washing stations during reporting period]]*20&gt;WWWW[[#This Row],[Total HH]],WWWW[[#This Row],[Total HH]],WWWW[[#This Row],['# Functional hand washing stations during reporting period]]*20)</f>
        <v>20</v>
      </c>
      <c r="DX120" s="731">
        <f>IF(WWWW[[#This Row],[Is sufficient soap available for TLS? (Yes/No)]]="yes",WWWW[[#This Row],['#_Constructed/Existing hand washing stations at TLS/CFS/THF]],0)</f>
        <v>0</v>
      </c>
      <c r="DY120" s="428">
        <f>IF(WWWW[[#This Row],['# Functional hand washing stations during reporting period]]*100&gt;WWWW[[#This Row],[Total PoP ]],WWWW[[#This Row],[Total PoP ]],WWWW[[#This Row],['# Functional hand washing stations during reporting period]]*100)</f>
        <v>100</v>
      </c>
      <c r="DZ120" s="428" t="str">
        <f>IF(OR(WWWW[[#This Row],['#_students at TLS_CFS]]="",WWWW[[#This Row],['#_students at TLS_CFS]]=0),"No","Yes")</f>
        <v>No</v>
      </c>
      <c r="EA12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0" s="727">
        <f>VLOOKUP(WWWW[[#This Row],[Site Name]],SiteDB6[[Site Name]:[CCCM Management]],6,FALSE)</f>
        <v>0</v>
      </c>
      <c r="EF120" s="727">
        <f>VLOOKUP(WWWW[[#This Row],[Site Name]],SiteDB6[[Site Name]:[CCCM Focal Agency]],7,FALSE)</f>
        <v>0</v>
      </c>
      <c r="EG120" s="727" t="str">
        <f>VLOOKUP(WWWW[[#This Row],[Site Name]],SiteDB6[[Site Name]:[Location Type 1]],9,FALSE)</f>
        <v>Camp</v>
      </c>
      <c r="EH120" s="727" t="str">
        <f>VLOOKUP(WWWW[[#This Row],[Site Name]],SiteDB6[[Site Name]:[Type of Accommodation]],10,FALSE)</f>
        <v>Camp</v>
      </c>
      <c r="EI120" s="727" t="str">
        <f>VLOOKUP(WWWW[[#This Row],[Site Name]],SiteDB6[[Site Name]:[Ethnic or GCA/NGCA]],11,FALSE)</f>
        <v>GCA</v>
      </c>
      <c r="EJ120" s="727">
        <f>VLOOKUP(WWWW[[#This Row],[Site Name]],SiteDB6[[Site Name]:[Lat]],12,FALSE)</f>
        <v>0</v>
      </c>
      <c r="EK120" s="727">
        <f>VLOOKUP(WWWW[[#This Row],[Site Name]],SiteDB6[[Site Name]:[Long]],13,FALSE)</f>
        <v>0</v>
      </c>
      <c r="EL120" s="727">
        <f>VLOOKUP(WWWW[[#This Row],[Site Name]],SiteDB6[[Site Name]:[Pcode]],3,FALSE)</f>
        <v>0</v>
      </c>
      <c r="EM120" s="732" t="str">
        <f t="shared" si="1"/>
        <v>Covered</v>
      </c>
      <c r="EN120" s="732"/>
      <c r="EO120" s="727">
        <f>VLOOKUP(WWWW[[#This Row],[Site Name]],SiteDB6[[Site Name]:[Pop
(Kachin/Shan-CCCM as of July 2021)]],16,FALSE)</f>
        <v>0</v>
      </c>
      <c r="EP120" s="727">
        <f>VLOOKUP(WWWW[[#This Row],[Site Name]],SiteDB6[[Site Name]:[Pop
(Kachin/Shan-CCCM as of July 2021)]],17,FALSE)</f>
        <v>0</v>
      </c>
    </row>
    <row r="121" spans="1:146" hidden="1">
      <c r="A121" s="725" t="s">
        <v>2763</v>
      </c>
      <c r="B121" s="707" t="s">
        <v>2809</v>
      </c>
      <c r="C121" s="726" t="s">
        <v>141</v>
      </c>
      <c r="D121" s="369" t="s">
        <v>2810</v>
      </c>
      <c r="E121" s="726" t="s">
        <v>37</v>
      </c>
      <c r="F121" s="726" t="s">
        <v>214</v>
      </c>
      <c r="G121" s="591" t="str">
        <f>VLOOKUP(WWWW[[#This Row],[Site Name]],SiteDB6[[Site Name]:[Location Type]],8,FALSE)</f>
        <v>Camp</v>
      </c>
      <c r="H121" s="726" t="s">
        <v>1590</v>
      </c>
      <c r="I121" s="448">
        <v>386</v>
      </c>
      <c r="J121" s="448">
        <v>1397</v>
      </c>
      <c r="K121" s="588" t="s">
        <v>2812</v>
      </c>
      <c r="L121" s="589" t="s">
        <v>2811</v>
      </c>
      <c r="M121" s="728"/>
      <c r="N121" s="728"/>
      <c r="O121" s="728"/>
      <c r="P121" s="728"/>
      <c r="Q121" s="731"/>
      <c r="R121" s="728">
        <v>19</v>
      </c>
      <c r="S121" s="728">
        <v>55</v>
      </c>
      <c r="T121" s="448">
        <v>13</v>
      </c>
      <c r="U121" s="728"/>
      <c r="V121" s="728"/>
      <c r="W121" s="728">
        <v>1</v>
      </c>
      <c r="X121" s="728"/>
      <c r="Y121" s="728"/>
      <c r="Z121" s="728"/>
      <c r="AA121" s="728"/>
      <c r="AB121" s="728"/>
      <c r="AC121" s="728"/>
      <c r="AD121" s="728"/>
      <c r="AE121" s="728"/>
      <c r="AF121" s="728"/>
      <c r="AG121" s="728">
        <v>7</v>
      </c>
      <c r="AH121" s="728"/>
      <c r="AI121" s="728"/>
      <c r="AJ121" s="728"/>
      <c r="AK121" s="728"/>
      <c r="AL121" s="728"/>
      <c r="AM121" s="728"/>
      <c r="AN121" s="728"/>
      <c r="AO121" s="728"/>
      <c r="AP121" s="732"/>
      <c r="AQ121" s="728">
        <v>5</v>
      </c>
      <c r="AR121" s="728"/>
      <c r="AS121" s="733"/>
      <c r="AT121" s="728"/>
      <c r="AU121" s="728"/>
      <c r="AV121" s="728"/>
      <c r="AW121" s="728"/>
      <c r="AX121" s="728"/>
      <c r="AY121" s="727" t="s">
        <v>41</v>
      </c>
      <c r="AZ121" s="732" t="s">
        <v>140</v>
      </c>
      <c r="BA121" s="728"/>
      <c r="BB121" s="728"/>
      <c r="BC121" s="728">
        <v>50</v>
      </c>
      <c r="BD121" s="448"/>
      <c r="BE121" s="448"/>
      <c r="BF121" s="727"/>
      <c r="BG121" s="728">
        <v>1</v>
      </c>
      <c r="BH121" s="728"/>
      <c r="BI121" s="728"/>
      <c r="BJ121" s="728">
        <v>3</v>
      </c>
      <c r="BK121" s="728"/>
      <c r="BL121" s="728"/>
      <c r="BM121" s="728"/>
      <c r="BN121" s="728">
        <v>41</v>
      </c>
      <c r="BO121" s="728">
        <v>85</v>
      </c>
      <c r="BP121" s="727"/>
      <c r="BQ121" s="734"/>
      <c r="BR121" s="733"/>
      <c r="BS121" s="727"/>
      <c r="BT121" s="423"/>
      <c r="BU121" s="423"/>
      <c r="BV121" s="425"/>
      <c r="BW121" s="423"/>
      <c r="BX121" s="448"/>
      <c r="BY121" s="448"/>
      <c r="BZ121" s="448"/>
      <c r="CA121" s="448"/>
      <c r="CB121" s="448"/>
      <c r="CC121" s="777"/>
      <c r="CD121" s="448"/>
      <c r="CE121" s="735" t="str">
        <f>IFERROR(WWWW[[#This Row],['#_Water sources passed]]/WWWW[[#This Row],['#_Water sources tested for fecal coliform ]],"no test")</f>
        <v>no test</v>
      </c>
      <c r="CF121" s="733" t="str">
        <f>IFERROR(WWWW[[#This Row],['#_Household passed]]/WWWW[[#This Row],['#_Household water samples tested for fecal coliform]],"no test")</f>
        <v>no test</v>
      </c>
      <c r="CG121" s="734" t="str">
        <f>IF(AND(WWWW[[#This Row],[% of water sources passed]]="no test",WWWW[[#This Row],[% Household passed]]="no test"),"No Test","Tested")</f>
        <v>No Test</v>
      </c>
      <c r="CH121" s="734">
        <f>WWWW[[#This Row],['#_Constructed/existing protected hand dug well]]-WWWW[[#This Row],['#_Non-functional protected hand dug well]]</f>
        <v>13</v>
      </c>
      <c r="CI121" s="734">
        <f>(WWWW[[#This Row],['#_Constructed/Existing tube wells/boreholes/handpumps_WASH_agency]]+WWWW[[#This Row],['#_Non-Cluster partner water tube-wells/boreholes/handpumps]])-WWWW[[#This Row],['#_Non-functional tube wells/boreholes/handpumps]]</f>
        <v>1</v>
      </c>
      <c r="CJ121" s="734">
        <f>WWWW[[#This Row],['#_Constructed/Existingwater storage tank with gravity fed reticulation system]]-WWWW[[#This Row],['#_Non-functional storage tank gravity fed reticulation system]]</f>
        <v>0</v>
      </c>
      <c r="CK121" s="734">
        <f>(WWWW[[#This Row],['#_Water_Liters_supplied_by_Water boating or water trucking]]/90)/15</f>
        <v>0</v>
      </c>
      <c r="CL121" s="734">
        <f>WWWW[[#This Row],['#_Water_Liters_from_Constructed/Existing water distribution system from river or natural spring]]/90/15</f>
        <v>0</v>
      </c>
      <c r="CM121" s="424">
        <f>IF(WWWW[[#This Row],['#_of water points in TLS/CFS]]*500&gt;WWWW[[#This Row],[Total PoP ]],WWWW[[#This Row],[Total PoP ]],WWWW[[#This Row],['#_of water points in TLS/CFS]]*500)</f>
        <v>0</v>
      </c>
      <c r="CN121" s="424">
        <f>IF(WWWW[[#This Row],['#_of water points in THF]]*500&gt;WWWW[[#This Row],[Total PoP ]],WWWW[[#This Row],[Total PoP ]],WWWW[[#This Row],['#_of water points in THF]]*500)</f>
        <v>0</v>
      </c>
      <c r="CO12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1" s="733">
        <f>IF(WWWW[[#This Row],[Location Type 1]]="Village",WWWW[[#This Row],[Access to safe drinking water for Village]],WWWW[[#This Row],[Access to safe drinking water for Camp]])</f>
        <v>1</v>
      </c>
      <c r="CR121" s="731">
        <f>WWWW[[#This Row],[%Equitable and continuous access to sufficient quantity of safe drinking water]]*WWWW[[#This Row],[Total PoP ]]</f>
        <v>1397</v>
      </c>
      <c r="CS121" s="733">
        <f>IF((WWWW[[#This Row],['#_Constructed/Existing protected/fenced ponds]]*250)/WWWW[[#This Row],[Total PoP ]]&gt;1,1,(WWWW[[#This Row],['#_Constructed/Existing protected/fenced ponds]]*250)/WWWW[[#This Row],[Total PoP ]])</f>
        <v>0</v>
      </c>
      <c r="CT121" s="731">
        <f>WWWW[[#This Row],[% Access to unimproved water points]]*WWWW[[#This Row],[Total PoP ]]</f>
        <v>0</v>
      </c>
      <c r="CU12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W121" s="731">
        <f>WWWW[[#This Row],[HRP1]]/500</f>
        <v>2.794</v>
      </c>
      <c r="CX121" s="736">
        <f>1-WWWW[[#This Row],[% Equitable and continuous access to sufficient quantity of domestic water]]</f>
        <v>0</v>
      </c>
      <c r="CY121" s="731">
        <f>WWWW[[#This Row],[%equitable and continuous access to sufficient quantity of safe drinking and domestic water''s GAP]]*WWWW[[#This Row],[Total PoP ]]</f>
        <v>0</v>
      </c>
      <c r="CZ121" s="734">
        <f>IF(WWWW[[#This Row],[Total required water points]]-WWWW[[#This Row],['#Water points coverage]]&lt;0,0,WWWW[[#This Row],[Total required water points]]-WWWW[[#This Row],['#Water points coverage]])</f>
        <v>0.20599999999999996</v>
      </c>
      <c r="DA121" s="734">
        <f>ROUND(IF(WWWW[[#This Row],[Total PoP ]]&lt;500,1,WWWW[[#This Row],[Total PoP ]]/500),0)</f>
        <v>3</v>
      </c>
      <c r="DB121" s="734">
        <f>(WWWW[[#This Row],['#_Constructed latrines_by_WASHAgencies]]+WWWW[[#This Row],['#_Non Cluster partner latrines]])-WWWW[[#This Row],['#_Non-functional latrines]]</f>
        <v>5</v>
      </c>
      <c r="DC121" s="631">
        <f>WWWW[[#This Row],[HRP2]]/WWWW[[#This Row],[Total PoP ]]</f>
        <v>7.158196134574088E-2</v>
      </c>
      <c r="DD12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12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1" s="424">
        <f>IF(WWWW[[#This Row],['# of functional latrines in THF supported by WASH partners during the reporting period2]]="",0,WWWW[[#This Row],['# of functional latrines in THF supported by WASH partners during the reporting period2]]*50)</f>
        <v>0</v>
      </c>
      <c r="DH121" s="734">
        <f>ROUND(IF(WWWW[[#This Row],[Location Type 1]]="camp",WWWW[[#This Row],[Total PoP ]]/20,IF(WWWW[[#This Row],[Location Type 1]]="Temporary Location",WWWW[[#This Row],[Total PoP ]]/50,(WWWW[[#This Row],[Total PoP ]]/6))),0)</f>
        <v>70</v>
      </c>
      <c r="DI121" s="734">
        <f>IF(WWWW[[#This Row],[Total required Latrines]]-(WWWW[[#This Row],['#_Constructed latrines_by_WASHAgencies]]+WWWW[[#This Row],['#_Non Cluster partner latrines]])&lt;0,0,WWWW[[#This Row],[Total required Latrines]]-(WWWW[[#This Row],['#_Constructed latrines_by_WASHAgencies]]+WWWW[[#This Row],['#_Non Cluster partner latrines]]))</f>
        <v>65</v>
      </c>
      <c r="DJ121" s="736">
        <f>1-WWWW[[#This Row],[% people access to functioning Latrine]]</f>
        <v>0.92841803865425909</v>
      </c>
      <c r="DK121" s="735">
        <f>IF(OR(WWWW[[#This Row],['#_Non-functional latrines]]="",WWWW[[#This Row],['#_Non-functional latrines]]=0),0,WWWW[[#This Row],['#_Non-functional latrines]]/(WWWW[[#This Row],['#_Constructed latrines_by_WASHAgencies]]+WWWW[[#This Row],['#_Non Cluster partner latrines]]))</f>
        <v>0</v>
      </c>
      <c r="DL121" s="731">
        <f>IF(500*(WWWW[[#This Row],['#_male hygiene promoters]]+WWWW[[#This Row],['#_female hygiene promoters]])&gt;WWWW[[#This Row],[Total PoP ]],WWWW[[#This Row],[Total PoP ]],500*(WWWW[[#This Row],['#_male hygiene promoters]]+WWWW[[#This Row],['#_female hygiene promoters]]))</f>
        <v>0</v>
      </c>
      <c r="DM12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2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21" s="734">
        <f>IF(WWWW[[#This Row],['# People with access to soap]]&gt;WWWW[[#This Row],['# People with access to Sanity Pads]],WWWW[[#This Row],['# People with access to soap]],WWWW[[#This Row],['# People with access to Sanity Pads]])</f>
        <v>205</v>
      </c>
      <c r="DP121" s="734">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121" s="736">
        <f>IF(WWWW[[#This Row],[HRP3]]/WWWW[[#This Row],[Total PoP ]]&gt;1,1,WWWW[[#This Row],[HRP3]]/WWWW[[#This Row],[Total PoP ]])</f>
        <v>0.1467430207587688</v>
      </c>
      <c r="DR121" s="735">
        <f>1-WWWW[[#This Row],[Hygiene Coverage%]]</f>
        <v>0.85325697924123123</v>
      </c>
      <c r="DS121" s="733">
        <f>WWWW[[#This Row],['# people reached by regular dedicated hygiene promotion_5]]/WWWW[[#This Row],[Total PoP ]]</f>
        <v>0</v>
      </c>
      <c r="DT12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0.10621761658031088</v>
      </c>
      <c r="DU12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0.22020725388601037</v>
      </c>
      <c r="DV121" s="734">
        <f>WWWW[[#This Row],['#_Constructed/Existing hand washing stations]]-WWWW[[#This Row],['#_Non-Functional_hand_washing_stations]]</f>
        <v>1</v>
      </c>
      <c r="DW121" s="731">
        <f>IF(WWWW[[#This Row],['# Functional hand washing stations during reporting period]]*20&gt;WWWW[[#This Row],[Total HH]],WWWW[[#This Row],[Total HH]],WWWW[[#This Row],['# Functional hand washing stations during reporting period]]*20)</f>
        <v>20</v>
      </c>
      <c r="DX121" s="731">
        <f>IF(WWWW[[#This Row],[Is sufficient soap available for TLS? (Yes/No)]]="yes",WWWW[[#This Row],['#_Constructed/Existing hand washing stations at TLS/CFS/THF]],0)</f>
        <v>0</v>
      </c>
      <c r="DY121" s="428">
        <f>IF(WWWW[[#This Row],['# Functional hand washing stations during reporting period]]*100&gt;WWWW[[#This Row],[Total PoP ]],WWWW[[#This Row],[Total PoP ]],WWWW[[#This Row],['# Functional hand washing stations during reporting period]]*100)</f>
        <v>100</v>
      </c>
      <c r="DZ121" s="428" t="str">
        <f>IF(OR(WWWW[[#This Row],['#_students at TLS_CFS]]="",WWWW[[#This Row],['#_students at TLS_CFS]]=0),"No","Yes")</f>
        <v>No</v>
      </c>
      <c r="EA12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1" s="727">
        <f>VLOOKUP(WWWW[[#This Row],[Site Name]],SiteDB6[[Site Name]:[CCCM Management]],6,FALSE)</f>
        <v>0</v>
      </c>
      <c r="EF121" s="727" t="str">
        <f>VLOOKUP(WWWW[[#This Row],[Site Name]],SiteDB6[[Site Name]:[CCCM Focal Agency]],7,FALSE)</f>
        <v>uncovered</v>
      </c>
      <c r="EG121" s="727" t="str">
        <f>VLOOKUP(WWWW[[#This Row],[Site Name]],SiteDB6[[Site Name]:[Location Type 1]],9,FALSE)</f>
        <v>Camp</v>
      </c>
      <c r="EH121" s="727" t="str">
        <f>VLOOKUP(WWWW[[#This Row],[Site Name]],SiteDB6[[Site Name]:[Type of Accommodation]],10,FALSE)</f>
        <v>Camp like setting</v>
      </c>
      <c r="EI121" s="727" t="str">
        <f>VLOOKUP(WWWW[[#This Row],[Site Name]],SiteDB6[[Site Name]:[Ethnic or GCA/NGCA]],11,FALSE)</f>
        <v>NGCA</v>
      </c>
      <c r="EJ121" s="727">
        <f>VLOOKUP(WWWW[[#This Row],[Site Name]],SiteDB6[[Site Name]:[Lat]],12,FALSE)</f>
        <v>24.590350000000001</v>
      </c>
      <c r="EK121" s="727">
        <f>VLOOKUP(WWWW[[#This Row],[Site Name]],SiteDB6[[Site Name]:[Long]],13,FALSE)</f>
        <v>96.95626</v>
      </c>
      <c r="EL121" s="727" t="str">
        <f>VLOOKUP(WWWW[[#This Row],[Site Name]],SiteDB6[[Site Name]:[Pcode]],3,FALSE)</f>
        <v>MMR001CMP273</v>
      </c>
      <c r="EM121" s="732" t="str">
        <f t="shared" si="1"/>
        <v>Covered</v>
      </c>
      <c r="EN121" s="732"/>
      <c r="EO121" s="727">
        <f>VLOOKUP(WWWW[[#This Row],[Site Name]],SiteDB6[[Site Name]:[Pop
(Kachin/Shan-CCCM as of July 2021)]],16,FALSE)</f>
        <v>318</v>
      </c>
      <c r="EP121" s="727">
        <f>VLOOKUP(WWWW[[#This Row],[Site Name]],SiteDB6[[Site Name]:[Pop
(Kachin/Shan-CCCM as of July 2021)]],17,FALSE)</f>
        <v>1329</v>
      </c>
    </row>
    <row r="122" spans="1:146" hidden="1">
      <c r="A122" s="725" t="s">
        <v>2763</v>
      </c>
      <c r="B122" s="725" t="s">
        <v>192</v>
      </c>
      <c r="C122" s="726" t="s">
        <v>192</v>
      </c>
      <c r="D122" s="726" t="s">
        <v>2679</v>
      </c>
      <c r="E122" s="726" t="s">
        <v>37</v>
      </c>
      <c r="F122" s="726" t="s">
        <v>195</v>
      </c>
      <c r="G122" s="591" t="str">
        <f>VLOOKUP(WWWW[[#This Row],[Site Name]],SiteDB6[[Site Name]:[Location Type]],8,FALSE)</f>
        <v>Camp</v>
      </c>
      <c r="H122" s="726" t="s">
        <v>279</v>
      </c>
      <c r="I122" s="728">
        <v>65</v>
      </c>
      <c r="J122" s="728">
        <v>334</v>
      </c>
      <c r="K122" s="729" t="s">
        <v>2670</v>
      </c>
      <c r="L122" s="730" t="s">
        <v>2680</v>
      </c>
      <c r="M122" s="728"/>
      <c r="N122" s="728"/>
      <c r="O122" s="728"/>
      <c r="P122" s="728"/>
      <c r="Q122" s="731" t="s">
        <v>41</v>
      </c>
      <c r="R122" s="728">
        <v>8</v>
      </c>
      <c r="S122" s="728">
        <v>15</v>
      </c>
      <c r="T122" s="448">
        <v>1</v>
      </c>
      <c r="U122" s="728"/>
      <c r="V122" s="728"/>
      <c r="W122" s="728">
        <v>3</v>
      </c>
      <c r="X122" s="728"/>
      <c r="Y122" s="728"/>
      <c r="Z122" s="728"/>
      <c r="AA122" s="728"/>
      <c r="AB122" s="728"/>
      <c r="AC122" s="728"/>
      <c r="AD122" s="728"/>
      <c r="AE122" s="728"/>
      <c r="AF122" s="728"/>
      <c r="AG122" s="728">
        <v>3</v>
      </c>
      <c r="AH122" s="728"/>
      <c r="AI122" s="728"/>
      <c r="AJ122" s="728"/>
      <c r="AK122" s="728"/>
      <c r="AL122" s="728"/>
      <c r="AM122" s="728">
        <v>14</v>
      </c>
      <c r="AN122" s="728"/>
      <c r="AO122" s="728"/>
      <c r="AP122" s="732"/>
      <c r="AQ122" s="728">
        <v>48</v>
      </c>
      <c r="AR122" s="728"/>
      <c r="AS122" s="733"/>
      <c r="AT122" s="728"/>
      <c r="AU122" s="728"/>
      <c r="AV122" s="728"/>
      <c r="AW122" s="728"/>
      <c r="AX122" s="728"/>
      <c r="AY122" s="727" t="s">
        <v>41</v>
      </c>
      <c r="AZ122" s="732" t="s">
        <v>137</v>
      </c>
      <c r="BA122" s="728"/>
      <c r="BB122" s="728"/>
      <c r="BC122" s="728">
        <v>2</v>
      </c>
      <c r="BD122" s="448"/>
      <c r="BE122" s="448"/>
      <c r="BF122" s="727"/>
      <c r="BG122" s="728">
        <v>3</v>
      </c>
      <c r="BH122" s="728"/>
      <c r="BI122" s="728"/>
      <c r="BJ122" s="728">
        <v>2</v>
      </c>
      <c r="BK122" s="728"/>
      <c r="BL122" s="728"/>
      <c r="BM122" s="728">
        <v>1</v>
      </c>
      <c r="BN122" s="728">
        <v>88</v>
      </c>
      <c r="BO122" s="728">
        <v>100</v>
      </c>
      <c r="BP122" s="727"/>
      <c r="BQ122" s="734"/>
      <c r="BR122" s="733"/>
      <c r="BS122" s="727"/>
      <c r="BT122" s="423"/>
      <c r="BU122" s="423"/>
      <c r="BV122" s="425"/>
      <c r="BW122" s="423"/>
      <c r="BX122" s="448"/>
      <c r="BY122" s="448"/>
      <c r="BZ122" s="448"/>
      <c r="CA122" s="448"/>
      <c r="CB122" s="448"/>
      <c r="CC122" s="777"/>
      <c r="CD122" s="448"/>
      <c r="CE122" s="735" t="str">
        <f>IFERROR(WWWW[[#This Row],['#_Water sources passed]]/WWWW[[#This Row],['#_Water sources tested for fecal coliform ]],"no test")</f>
        <v>no test</v>
      </c>
      <c r="CF122" s="733" t="str">
        <f>IFERROR(WWWW[[#This Row],['#_Household passed]]/WWWW[[#This Row],['#_Household water samples tested for fecal coliform]],"no test")</f>
        <v>no test</v>
      </c>
      <c r="CG122" s="734" t="str">
        <f>IF(AND(WWWW[[#This Row],[% of water sources passed]]="no test",WWWW[[#This Row],[% Household passed]]="no test"),"No Test","Tested")</f>
        <v>No Test</v>
      </c>
      <c r="CH122" s="734">
        <f>WWWW[[#This Row],['#_Constructed/existing protected hand dug well]]-WWWW[[#This Row],['#_Non-functional protected hand dug well]]</f>
        <v>1</v>
      </c>
      <c r="CI122" s="734">
        <f>(WWWW[[#This Row],['#_Constructed/Existing tube wells/boreholes/handpumps_WASH_agency]]+WWWW[[#This Row],['#_Non-Cluster partner water tube-wells/boreholes/handpumps]])-WWWW[[#This Row],['#_Non-functional tube wells/boreholes/handpumps]]</f>
        <v>3</v>
      </c>
      <c r="CJ122" s="734">
        <f>WWWW[[#This Row],['#_Constructed/Existingwater storage tank with gravity fed reticulation system]]-WWWW[[#This Row],['#_Non-functional storage tank gravity fed reticulation system]]</f>
        <v>0</v>
      </c>
      <c r="CK122" s="734">
        <f>(WWWW[[#This Row],['#_Water_Liters_supplied_by_Water boating or water trucking]]/90)/15</f>
        <v>0</v>
      </c>
      <c r="CL122" s="734">
        <f>WWWW[[#This Row],['#_Water_Liters_from_Constructed/Existing water distribution system from river or natural spring]]/90/15</f>
        <v>0</v>
      </c>
      <c r="CM122" s="424">
        <f>IF(WWWW[[#This Row],['#_of water points in TLS/CFS]]*500&gt;WWWW[[#This Row],[Total PoP ]],WWWW[[#This Row],[Total PoP ]],WWWW[[#This Row],['#_of water points in TLS/CFS]]*500)</f>
        <v>0</v>
      </c>
      <c r="CN122" s="424">
        <f>IF(WWWW[[#This Row],['#_of water points in THF]]*500&gt;WWWW[[#This Row],[Total PoP ]],WWWW[[#This Row],[Total PoP ]],WWWW[[#This Row],['#_of water points in THF]]*500)</f>
        <v>0</v>
      </c>
      <c r="CO12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2" s="733">
        <f>IF(WWWW[[#This Row],[Location Type 1]]="Village",WWWW[[#This Row],[Access to safe drinking water for Village]],WWWW[[#This Row],[Access to safe drinking water for Camp]])</f>
        <v>1</v>
      </c>
      <c r="CR122" s="731">
        <f>WWWW[[#This Row],[%Equitable and continuous access to sufficient quantity of safe drinking water]]*WWWW[[#This Row],[Total PoP ]]</f>
        <v>334</v>
      </c>
      <c r="CS122" s="733">
        <f>IF((WWWW[[#This Row],['#_Constructed/Existing protected/fenced ponds]]*250)/WWWW[[#This Row],[Total PoP ]]&gt;1,1,(WWWW[[#This Row],['#_Constructed/Existing protected/fenced ponds]]*250)/WWWW[[#This Row],[Total PoP ]])</f>
        <v>0</v>
      </c>
      <c r="CT122" s="731">
        <f>WWWW[[#This Row],[% Access to unimproved water points]]*WWWW[[#This Row],[Total PoP ]]</f>
        <v>0</v>
      </c>
      <c r="CU12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W122" s="731">
        <f>WWWW[[#This Row],[HRP1]]/500</f>
        <v>0.66800000000000004</v>
      </c>
      <c r="CX122" s="736">
        <f>1-WWWW[[#This Row],[% Equitable and continuous access to sufficient quantity of domestic water]]</f>
        <v>0</v>
      </c>
      <c r="CY122" s="731">
        <f>WWWW[[#This Row],[%equitable and continuous access to sufficient quantity of safe drinking and domestic water''s GAP]]*WWWW[[#This Row],[Total PoP ]]</f>
        <v>0</v>
      </c>
      <c r="CZ122" s="734">
        <f>IF(WWWW[[#This Row],[Total required water points]]-WWWW[[#This Row],['#Water points coverage]]&lt;0,0,WWWW[[#This Row],[Total required water points]]-WWWW[[#This Row],['#Water points coverage]])</f>
        <v>0.33199999999999996</v>
      </c>
      <c r="DA122" s="734">
        <f>ROUND(IF(WWWW[[#This Row],[Total PoP ]]&lt;500,1,WWWW[[#This Row],[Total PoP ]]/500),0)</f>
        <v>1</v>
      </c>
      <c r="DB122" s="734">
        <f>(WWWW[[#This Row],['#_Constructed latrines_by_WASHAgencies]]+WWWW[[#This Row],['#_Non Cluster partner latrines]])-WWWW[[#This Row],['#_Non-functional latrines]]</f>
        <v>48</v>
      </c>
      <c r="DC122" s="631">
        <f>WWWW[[#This Row],[HRP2]]/WWWW[[#This Row],[Total PoP ]]</f>
        <v>1</v>
      </c>
      <c r="DD12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334</v>
      </c>
      <c r="DE12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2" s="424">
        <f>IF(WWWW[[#This Row],['# of functional latrines in THF supported by WASH partners during the reporting period2]]="",0,WWWW[[#This Row],['# of functional latrines in THF supported by WASH partners during the reporting period2]]*50)</f>
        <v>0</v>
      </c>
      <c r="DH122" s="734">
        <f>ROUND(IF(WWWW[[#This Row],[Location Type 1]]="camp",WWWW[[#This Row],[Total PoP ]]/20,IF(WWWW[[#This Row],[Location Type 1]]="Temporary Location",WWWW[[#This Row],[Total PoP ]]/50,(WWWW[[#This Row],[Total PoP ]]/6))),0)</f>
        <v>17</v>
      </c>
      <c r="DI122" s="734">
        <f>IF(WWWW[[#This Row],[Total required Latrines]]-(WWWW[[#This Row],['#_Constructed latrines_by_WASHAgencies]]+WWWW[[#This Row],['#_Non Cluster partner latrines]])&lt;0,0,WWWW[[#This Row],[Total required Latrines]]-(WWWW[[#This Row],['#_Constructed latrines_by_WASHAgencies]]+WWWW[[#This Row],['#_Non Cluster partner latrines]]))</f>
        <v>0</v>
      </c>
      <c r="DJ122" s="736">
        <f>1-WWWW[[#This Row],[% people access to functioning Latrine]]</f>
        <v>0</v>
      </c>
      <c r="DK122" s="735">
        <f>IF(OR(WWWW[[#This Row],['#_Non-functional latrines]]="",WWWW[[#This Row],['#_Non-functional latrines]]=0),0,WWWW[[#This Row],['#_Non-functional latrines]]/(WWWW[[#This Row],['#_Constructed latrines_by_WASHAgencies]]+WWWW[[#This Row],['#_Non Cluster partner latrines]]))</f>
        <v>0</v>
      </c>
      <c r="DL122" s="731">
        <f>IF(500*(WWWW[[#This Row],['#_male hygiene promoters]]+WWWW[[#This Row],['#_female hygiene promoters]])&gt;WWWW[[#This Row],[Total PoP ]],WWWW[[#This Row],[Total PoP ]],500*(WWWW[[#This Row],['#_male hygiene promoters]]+WWWW[[#This Row],['#_female hygiene promoters]]))</f>
        <v>334</v>
      </c>
      <c r="DM12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334</v>
      </c>
      <c r="DN12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22" s="734">
        <f>IF(WWWW[[#This Row],['# People with access to soap]]&gt;WWWW[[#This Row],['# People with access to Sanity Pads]],WWWW[[#This Row],['# People with access to soap]],WWWW[[#This Row],['# People with access to Sanity Pads]])</f>
        <v>334</v>
      </c>
      <c r="DP122" s="734">
        <f>IF(WWWW[[#This Row],['# people reached by regular dedicated hygiene promotion_5]]&gt;WWWW[[#This Row],['# People received regular supply of hygiene items_6]],WWWW[[#This Row],['# people reached by regular dedicated hygiene promotion_5]],WWWW[[#This Row],['# People received regular supply of hygiene items_6]])</f>
        <v>334</v>
      </c>
      <c r="DQ122" s="736">
        <f>IF(WWWW[[#This Row],[HRP3]]/WWWW[[#This Row],[Total PoP ]]&gt;1,1,WWWW[[#This Row],[HRP3]]/WWWW[[#This Row],[Total PoP ]])</f>
        <v>1</v>
      </c>
      <c r="DR122" s="735">
        <f>1-WWWW[[#This Row],[Hygiene Coverage%]]</f>
        <v>0</v>
      </c>
      <c r="DS122" s="733">
        <f>WWWW[[#This Row],['# people reached by regular dedicated hygiene promotion_5]]/WWWW[[#This Row],[Total PoP ]]</f>
        <v>1</v>
      </c>
      <c r="DT12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2" s="734">
        <f>WWWW[[#This Row],['#_Constructed/Existing hand washing stations]]-WWWW[[#This Row],['#_Non-Functional_hand_washing_stations]]</f>
        <v>3</v>
      </c>
      <c r="DW122" s="731">
        <f>IF(WWWW[[#This Row],['# Functional hand washing stations during reporting period]]*20&gt;WWWW[[#This Row],[Total HH]],WWWW[[#This Row],[Total HH]],WWWW[[#This Row],['# Functional hand washing stations during reporting period]]*20)</f>
        <v>60</v>
      </c>
      <c r="DX122" s="731">
        <f>IF(WWWW[[#This Row],[Is sufficient soap available for TLS? (Yes/No)]]="yes",WWWW[[#This Row],['#_Constructed/Existing hand washing stations at TLS/CFS/THF]],0)</f>
        <v>0</v>
      </c>
      <c r="DY122" s="428">
        <f>IF(WWWW[[#This Row],['# Functional hand washing stations during reporting period]]*100&gt;WWWW[[#This Row],[Total PoP ]],WWWW[[#This Row],[Total PoP ]],WWWW[[#This Row],['# Functional hand washing stations during reporting period]]*100)</f>
        <v>300</v>
      </c>
      <c r="DZ122" s="428" t="str">
        <f>IF(OR(WWWW[[#This Row],['#_students at TLS_CFS]]="",WWWW[[#This Row],['#_students at TLS_CFS]]=0),"No","Yes")</f>
        <v>No</v>
      </c>
      <c r="EA12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2" s="727" t="str">
        <f>VLOOKUP(WWWW[[#This Row],[Site Name]],SiteDB6[[Site Name]:[CCCM Management]],6,FALSE)</f>
        <v>Yes</v>
      </c>
      <c r="EF122" s="727" t="str">
        <f>VLOOKUP(WWWW[[#This Row],[Site Name]],SiteDB6[[Site Name]:[CCCM Focal Agency]],7,FALSE)</f>
        <v>KBC-BMO</v>
      </c>
      <c r="EG122" s="727" t="str">
        <f>VLOOKUP(WWWW[[#This Row],[Site Name]],SiteDB6[[Site Name]:[Location Type 1]],9,FALSE)</f>
        <v>Camp</v>
      </c>
      <c r="EH122" s="727" t="str">
        <f>VLOOKUP(WWWW[[#This Row],[Site Name]],SiteDB6[[Site Name]:[Type of Accommodation]],10,FALSE)</f>
        <v>Camp</v>
      </c>
      <c r="EI122" s="727" t="str">
        <f>VLOOKUP(WWWW[[#This Row],[Site Name]],SiteDB6[[Site Name]:[Ethnic or GCA/NGCA]],11,FALSE)</f>
        <v>GCA</v>
      </c>
      <c r="EJ122" s="727">
        <f>VLOOKUP(WWWW[[#This Row],[Site Name]],SiteDB6[[Site Name]:[Lat]],12,FALSE)</f>
        <v>24.222349999999999</v>
      </c>
      <c r="EK122" s="727">
        <f>VLOOKUP(WWWW[[#This Row],[Site Name]],SiteDB6[[Site Name]:[Long]],13,FALSE)</f>
        <v>97.252650000000003</v>
      </c>
      <c r="EL122" s="727" t="str">
        <f>VLOOKUP(WWWW[[#This Row],[Site Name]],SiteDB6[[Site Name]:[Pcode]],3,FALSE)</f>
        <v>MMR001CMP193</v>
      </c>
      <c r="EM122" s="732" t="str">
        <f t="shared" si="1"/>
        <v>Covered</v>
      </c>
      <c r="EN122" s="732"/>
      <c r="EO122" s="727">
        <f>VLOOKUP(WWWW[[#This Row],[Site Name]],SiteDB6[[Site Name]:[Pop
(Kachin/Shan-CCCM as of July 2021)]],16,FALSE)</f>
        <v>64</v>
      </c>
      <c r="EP122" s="727">
        <f>VLOOKUP(WWWW[[#This Row],[Site Name]],SiteDB6[[Site Name]:[Pop
(Kachin/Shan-CCCM as of July 2021)]],17,FALSE)</f>
        <v>339</v>
      </c>
    </row>
    <row r="123" spans="1:146" hidden="1">
      <c r="A123" s="725" t="s">
        <v>2763</v>
      </c>
      <c r="B123" s="725" t="s">
        <v>309</v>
      </c>
      <c r="C123" s="726" t="s">
        <v>309</v>
      </c>
      <c r="D123" s="786"/>
      <c r="E123" s="786" t="s">
        <v>37</v>
      </c>
      <c r="F123" s="786" t="s">
        <v>142</v>
      </c>
      <c r="G123" s="591" t="str">
        <f>VLOOKUP(WWWW[[#This Row],[Site Name]],SiteDB6[[Site Name]:[Location Type]],8,FALSE)</f>
        <v>Camp</v>
      </c>
      <c r="H123" s="786" t="s">
        <v>2778</v>
      </c>
      <c r="I123" s="788">
        <v>39</v>
      </c>
      <c r="J123" s="788">
        <v>183</v>
      </c>
      <c r="K123" s="789"/>
      <c r="L123" s="790"/>
      <c r="M123" s="788"/>
      <c r="N123" s="788"/>
      <c r="O123" s="788"/>
      <c r="P123" s="788"/>
      <c r="Q123" s="791"/>
      <c r="R123" s="788"/>
      <c r="S123" s="788"/>
      <c r="T123" s="448"/>
      <c r="U123" s="788"/>
      <c r="V123" s="788"/>
      <c r="W123" s="788"/>
      <c r="X123" s="788"/>
      <c r="Y123" s="788"/>
      <c r="Z123" s="788"/>
      <c r="AA123" s="788"/>
      <c r="AB123" s="788"/>
      <c r="AC123" s="788"/>
      <c r="AD123" s="788"/>
      <c r="AE123" s="788"/>
      <c r="AF123" s="788"/>
      <c r="AG123" s="788"/>
      <c r="AH123" s="788"/>
      <c r="AI123" s="788"/>
      <c r="AJ123" s="788"/>
      <c r="AK123" s="788"/>
      <c r="AL123" s="788"/>
      <c r="AM123" s="788"/>
      <c r="AN123" s="788"/>
      <c r="AO123" s="788"/>
      <c r="AP123" s="792"/>
      <c r="AQ123" s="788"/>
      <c r="AR123" s="788"/>
      <c r="AS123" s="793"/>
      <c r="AT123" s="788"/>
      <c r="AU123" s="788"/>
      <c r="AV123" s="788"/>
      <c r="AW123" s="788"/>
      <c r="AX123" s="788"/>
      <c r="AY123" s="425" t="s">
        <v>140</v>
      </c>
      <c r="AZ123" s="860" t="s">
        <v>140</v>
      </c>
      <c r="BA123" s="788"/>
      <c r="BB123" s="788"/>
      <c r="BC123" s="788"/>
      <c r="BD123" s="448"/>
      <c r="BE123" s="448"/>
      <c r="BF123" s="787"/>
      <c r="BG123" s="788">
        <v>3</v>
      </c>
      <c r="BH123" s="788"/>
      <c r="BI123" s="788"/>
      <c r="BJ123" s="788">
        <v>2</v>
      </c>
      <c r="BK123" s="788"/>
      <c r="BL123" s="788"/>
      <c r="BM123" s="788"/>
      <c r="BN123" s="788">
        <v>10</v>
      </c>
      <c r="BO123" s="788">
        <v>18</v>
      </c>
      <c r="BP123" s="787"/>
      <c r="BQ123" s="794"/>
      <c r="BR123" s="793"/>
      <c r="BS123" s="787"/>
      <c r="BT123" s="423"/>
      <c r="BU123" s="423"/>
      <c r="BV123" s="425"/>
      <c r="BW123" s="423"/>
      <c r="BX123" s="448"/>
      <c r="BY123" s="448"/>
      <c r="BZ123" s="448"/>
      <c r="CA123" s="448"/>
      <c r="CB123" s="448"/>
      <c r="CC123" s="777"/>
      <c r="CD123" s="448"/>
      <c r="CE123" s="795" t="str">
        <f>IFERROR(WWWW[[#This Row],['#_Water sources passed]]/WWWW[[#This Row],['#_Water sources tested for fecal coliform ]],"no test")</f>
        <v>no test</v>
      </c>
      <c r="CF123" s="793" t="str">
        <f>IFERROR(WWWW[[#This Row],['#_Household passed]]/WWWW[[#This Row],['#_Household water samples tested for fecal coliform]],"no test")</f>
        <v>no test</v>
      </c>
      <c r="CG123" s="794" t="str">
        <f>IF(AND(WWWW[[#This Row],[% of water sources passed]]="no test",WWWW[[#This Row],[% Household passed]]="no test"),"No Test","Tested")</f>
        <v>No Test</v>
      </c>
      <c r="CH123" s="794">
        <f>WWWW[[#This Row],['#_Constructed/existing protected hand dug well]]-WWWW[[#This Row],['#_Non-functional protected hand dug well]]</f>
        <v>0</v>
      </c>
      <c r="CI123" s="794">
        <f>(WWWW[[#This Row],['#_Constructed/Existing tube wells/boreholes/handpumps_WASH_agency]]+WWWW[[#This Row],['#_Non-Cluster partner water tube-wells/boreholes/handpumps]])-WWWW[[#This Row],['#_Non-functional tube wells/boreholes/handpumps]]</f>
        <v>0</v>
      </c>
      <c r="CJ123" s="794">
        <f>WWWW[[#This Row],['#_Constructed/Existingwater storage tank with gravity fed reticulation system]]-WWWW[[#This Row],['#_Non-functional storage tank gravity fed reticulation system]]</f>
        <v>0</v>
      </c>
      <c r="CK123" s="794">
        <f>(WWWW[[#This Row],['#_Water_Liters_supplied_by_Water boating or water trucking]]/90)/15</f>
        <v>0</v>
      </c>
      <c r="CL123" s="794">
        <f>WWWW[[#This Row],['#_Water_Liters_from_Constructed/Existing water distribution system from river or natural spring]]/90/15</f>
        <v>0</v>
      </c>
      <c r="CM123" s="424">
        <f>IF(WWWW[[#This Row],['#_of water points in TLS/CFS]]*500&gt;WWWW[[#This Row],[Total PoP ]],WWWW[[#This Row],[Total PoP ]],WWWW[[#This Row],['#_of water points in TLS/CFS]]*500)</f>
        <v>0</v>
      </c>
      <c r="CN123" s="424">
        <f>IF(WWWW[[#This Row],['#_of water points in THF]]*500&gt;WWWW[[#This Row],[Total PoP ]],WWWW[[#This Row],[Total PoP ]],WWWW[[#This Row],['#_of water points in THF]]*500)</f>
        <v>0</v>
      </c>
      <c r="CO123"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3"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3" s="793">
        <f>IF(WWWW[[#This Row],[Location Type 1]]="Village",WWWW[[#This Row],[Access to safe drinking water for Village]],WWWW[[#This Row],[Access to safe drinking water for Camp]])</f>
        <v>0</v>
      </c>
      <c r="CR123" s="791">
        <f>WWWW[[#This Row],[%Equitable and continuous access to sufficient quantity of safe drinking water]]*WWWW[[#This Row],[Total PoP ]]</f>
        <v>0</v>
      </c>
      <c r="CS123" s="793">
        <f>IF((WWWW[[#This Row],['#_Constructed/Existing protected/fenced ponds]]*250)/WWWW[[#This Row],[Total PoP ]]&gt;1,1,(WWWW[[#This Row],['#_Constructed/Existing protected/fenced ponds]]*250)/WWWW[[#This Row],[Total PoP ]])</f>
        <v>0</v>
      </c>
      <c r="CT123" s="791">
        <f>WWWW[[#This Row],[% Access to unimproved water points]]*WWWW[[#This Row],[Total PoP ]]</f>
        <v>0</v>
      </c>
      <c r="CU123"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3"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3" s="791">
        <f>WWWW[[#This Row],[HRP1]]/500</f>
        <v>0</v>
      </c>
      <c r="CX123" s="796">
        <f>1-WWWW[[#This Row],[% Equitable and continuous access to sufficient quantity of domestic water]]</f>
        <v>1</v>
      </c>
      <c r="CY123" s="791">
        <f>WWWW[[#This Row],[%equitable and continuous access to sufficient quantity of safe drinking and domestic water''s GAP]]*WWWW[[#This Row],[Total PoP ]]</f>
        <v>183</v>
      </c>
      <c r="CZ123" s="794">
        <f>IF(WWWW[[#This Row],[Total required water points]]-WWWW[[#This Row],['#Water points coverage]]&lt;0,0,WWWW[[#This Row],[Total required water points]]-WWWW[[#This Row],['#Water points coverage]])</f>
        <v>1</v>
      </c>
      <c r="DA123" s="794">
        <f>ROUND(IF(WWWW[[#This Row],[Total PoP ]]&lt;500,1,WWWW[[#This Row],[Total PoP ]]/500),0)</f>
        <v>1</v>
      </c>
      <c r="DB123" s="794">
        <f>(WWWW[[#This Row],['#_Constructed latrines_by_WASHAgencies]]+WWWW[[#This Row],['#_Non Cluster partner latrines]])-WWWW[[#This Row],['#_Non-functional latrines]]</f>
        <v>0</v>
      </c>
      <c r="DC123" s="631">
        <f>WWWW[[#This Row],[HRP2]]/WWWW[[#This Row],[Total PoP ]]</f>
        <v>0</v>
      </c>
      <c r="DD123"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3"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3"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3" s="424">
        <f>IF(WWWW[[#This Row],['# of functional latrines in THF supported by WASH partners during the reporting period2]]="",0,WWWW[[#This Row],['# of functional latrines in THF supported by WASH partners during the reporting period2]]*50)</f>
        <v>0</v>
      </c>
      <c r="DH123" s="794">
        <f>ROUND(IF(WWWW[[#This Row],[Location Type 1]]="camp",WWWW[[#This Row],[Total PoP ]]/20,IF(WWWW[[#This Row],[Location Type 1]]="Temporary Location",WWWW[[#This Row],[Total PoP ]]/50,(WWWW[[#This Row],[Total PoP ]]/6))),0)</f>
        <v>9</v>
      </c>
      <c r="DI123" s="794">
        <f>IF(WWWW[[#This Row],[Total required Latrines]]-(WWWW[[#This Row],['#_Constructed latrines_by_WASHAgencies]]+WWWW[[#This Row],['#_Non Cluster partner latrines]])&lt;0,0,WWWW[[#This Row],[Total required Latrines]]-(WWWW[[#This Row],['#_Constructed latrines_by_WASHAgencies]]+WWWW[[#This Row],['#_Non Cluster partner latrines]]))</f>
        <v>9</v>
      </c>
      <c r="DJ123" s="796">
        <f>1-WWWW[[#This Row],[% people access to functioning Latrine]]</f>
        <v>1</v>
      </c>
      <c r="DK123" s="795">
        <f>IF(OR(WWWW[[#This Row],['#_Non-functional latrines]]="",WWWW[[#This Row],['#_Non-functional latrines]]=0),0,WWWW[[#This Row],['#_Non-functional latrines]]/(WWWW[[#This Row],['#_Constructed latrines_by_WASHAgencies]]+WWWW[[#This Row],['#_Non Cluster partner latrines]]))</f>
        <v>0</v>
      </c>
      <c r="DL123" s="791">
        <f>IF(500*(WWWW[[#This Row],['#_male hygiene promoters]]+WWWW[[#This Row],['#_female hygiene promoters]])&gt;WWWW[[#This Row],[Total PoP ]],WWWW[[#This Row],[Total PoP ]],500*(WWWW[[#This Row],['#_male hygiene promoters]]+WWWW[[#This Row],['#_female hygiene promoters]]))</f>
        <v>0</v>
      </c>
      <c r="DM123"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23"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23" s="794">
        <f>IF(WWWW[[#This Row],['# People with access to soap]]&gt;WWWW[[#This Row],['# People with access to Sanity Pads]],WWWW[[#This Row],['# People with access to soap]],WWWW[[#This Row],['# People with access to Sanity Pads]])</f>
        <v>50</v>
      </c>
      <c r="DP123" s="794">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123" s="796">
        <f>IF(WWWW[[#This Row],[HRP3]]/WWWW[[#This Row],[Total PoP ]]&gt;1,1,WWWW[[#This Row],[HRP3]]/WWWW[[#This Row],[Total PoP ]])</f>
        <v>0.27322404371584702</v>
      </c>
      <c r="DR123" s="795">
        <f>1-WWWW[[#This Row],[Hygiene Coverage%]]</f>
        <v>0.72677595628415292</v>
      </c>
      <c r="DS123" s="793">
        <f>WWWW[[#This Row],['# people reached by regular dedicated hygiene promotion_5]]/WWWW[[#This Row],[Total PoP ]]</f>
        <v>0</v>
      </c>
      <c r="DT123"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3"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0.46153846153846156</v>
      </c>
      <c r="DV123" s="794">
        <f>WWWW[[#This Row],['#_Constructed/Existing hand washing stations]]-WWWW[[#This Row],['#_Non-Functional_hand_washing_stations]]</f>
        <v>3</v>
      </c>
      <c r="DW123" s="791">
        <f>IF(WWWW[[#This Row],['# Functional hand washing stations during reporting period]]*20&gt;WWWW[[#This Row],[Total HH]],WWWW[[#This Row],[Total HH]],WWWW[[#This Row],['# Functional hand washing stations during reporting period]]*20)</f>
        <v>39</v>
      </c>
      <c r="DX123" s="791">
        <f>IF(WWWW[[#This Row],[Is sufficient soap available for TLS? (Yes/No)]]="yes",WWWW[[#This Row],['#_Constructed/Existing hand washing stations at TLS/CFS/THF]],0)</f>
        <v>0</v>
      </c>
      <c r="DY123" s="428">
        <f>IF(WWWW[[#This Row],['# Functional hand washing stations during reporting period]]*100&gt;WWWW[[#This Row],[Total PoP ]],WWWW[[#This Row],[Total PoP ]],WWWW[[#This Row],['# Functional hand washing stations during reporting period]]*100)</f>
        <v>183</v>
      </c>
      <c r="DZ123" s="428" t="str">
        <f>IF(OR(WWWW[[#This Row],['#_students at TLS_CFS]]="",WWWW[[#This Row],['#_students at TLS_CFS]]=0),"No","Yes")</f>
        <v>No</v>
      </c>
      <c r="EA12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3" s="787">
        <f>VLOOKUP(WWWW[[#This Row],[Site Name]],SiteDB6[[Site Name]:[CCCM Management]],6,FALSE)</f>
        <v>0</v>
      </c>
      <c r="EF123" s="787" t="str">
        <f>VLOOKUP(WWWW[[#This Row],[Site Name]],SiteDB6[[Site Name]:[CCCM Focal Agency]],7,FALSE)</f>
        <v xml:space="preserve">Uncovered  </v>
      </c>
      <c r="EG123" s="787" t="str">
        <f>VLOOKUP(WWWW[[#This Row],[Site Name]],SiteDB6[[Site Name]:[Location Type 1]],9,FALSE)</f>
        <v>Camp</v>
      </c>
      <c r="EH123" s="787" t="str">
        <f>VLOOKUP(WWWW[[#This Row],[Site Name]],SiteDB6[[Site Name]:[Type of Accommodation]],10,FALSE)</f>
        <v>Temporarily removed</v>
      </c>
      <c r="EI123" s="787" t="str">
        <f>VLOOKUP(WWWW[[#This Row],[Site Name]],SiteDB6[[Site Name]:[Ethnic or GCA/NGCA]],11,FALSE)</f>
        <v>GCA</v>
      </c>
      <c r="EJ123" s="787">
        <f>VLOOKUP(WWWW[[#This Row],[Site Name]],SiteDB6[[Site Name]:[Lat]],12,FALSE)</f>
        <v>25.2057</v>
      </c>
      <c r="EK123" s="787">
        <f>VLOOKUP(WWWW[[#This Row],[Site Name]],SiteDB6[[Site Name]:[Long]],13,FALSE)</f>
        <v>97.262200000000007</v>
      </c>
      <c r="EL123" s="787" t="str">
        <f>VLOOKUP(WWWW[[#This Row],[Site Name]],SiteDB6[[Site Name]:[Pcode]],3,FALSE)</f>
        <v>MMR001CMP290</v>
      </c>
      <c r="EM123" s="792" t="str">
        <f t="shared" si="1"/>
        <v>Notcovered</v>
      </c>
      <c r="EN123" s="792"/>
      <c r="EO123" s="787">
        <f>VLOOKUP(WWWW[[#This Row],[Site Name]],SiteDB6[[Site Name]:[Pop
(Kachin/Shan-CCCM as of July 2021)]],16,FALSE)</f>
        <v>39</v>
      </c>
      <c r="EP123" s="787">
        <f>VLOOKUP(WWWW[[#This Row],[Site Name]],SiteDB6[[Site Name]:[Pop
(Kachin/Shan-CCCM as of July 2021)]],17,FALSE)</f>
        <v>183</v>
      </c>
    </row>
    <row r="124" spans="1:146" hidden="1">
      <c r="A124" s="725" t="s">
        <v>2763</v>
      </c>
      <c r="B124" s="725" t="s">
        <v>242</v>
      </c>
      <c r="C124" s="726" t="s">
        <v>242</v>
      </c>
      <c r="D124" s="726" t="s">
        <v>307</v>
      </c>
      <c r="E124" s="726" t="s">
        <v>37</v>
      </c>
      <c r="F124" s="726" t="s">
        <v>142</v>
      </c>
      <c r="G124" s="591" t="str">
        <f>VLOOKUP(WWWW[[#This Row],[Site Name]],SiteDB6[[Site Name]:[Location Type]],8,FALSE)</f>
        <v>Camp</v>
      </c>
      <c r="H124" s="726" t="s">
        <v>271</v>
      </c>
      <c r="I124" s="448">
        <v>111</v>
      </c>
      <c r="J124" s="448">
        <v>506</v>
      </c>
      <c r="K124" s="588">
        <v>44197</v>
      </c>
      <c r="L124" s="589">
        <v>44651</v>
      </c>
      <c r="M124" s="728">
        <v>70</v>
      </c>
      <c r="N124" s="728">
        <v>2</v>
      </c>
      <c r="O124" s="728"/>
      <c r="P124" s="728"/>
      <c r="Q124" s="731" t="s">
        <v>41</v>
      </c>
      <c r="R124" s="728">
        <v>3</v>
      </c>
      <c r="S124" s="728">
        <v>11</v>
      </c>
      <c r="T124" s="448">
        <v>4</v>
      </c>
      <c r="U124" s="728">
        <v>1</v>
      </c>
      <c r="V124" s="448">
        <v>1</v>
      </c>
      <c r="W124" s="728">
        <v>2</v>
      </c>
      <c r="X124" s="728"/>
      <c r="Y124" s="728">
        <v>2</v>
      </c>
      <c r="Z124" s="728">
        <v>1</v>
      </c>
      <c r="AA124" s="728"/>
      <c r="AB124" s="728"/>
      <c r="AC124" s="728"/>
      <c r="AD124" s="728"/>
      <c r="AE124" s="728"/>
      <c r="AF124" s="728"/>
      <c r="AG124" s="728"/>
      <c r="AH124" s="728"/>
      <c r="AI124" s="728"/>
      <c r="AJ124" s="728"/>
      <c r="AK124" s="728"/>
      <c r="AL124" s="728"/>
      <c r="AM124" s="728">
        <v>7</v>
      </c>
      <c r="AN124" s="728"/>
      <c r="AO124" s="728"/>
      <c r="AP124" s="590" t="s">
        <v>2886</v>
      </c>
      <c r="AQ124" s="728">
        <v>15</v>
      </c>
      <c r="AR124" s="728">
        <v>10</v>
      </c>
      <c r="AS124" s="733" t="s">
        <v>2244</v>
      </c>
      <c r="AT124" s="728">
        <v>4</v>
      </c>
      <c r="AU124" s="728">
        <v>2</v>
      </c>
      <c r="AV124" s="728"/>
      <c r="AW124" s="728"/>
      <c r="AX124" s="728"/>
      <c r="AY124" s="727" t="s">
        <v>41</v>
      </c>
      <c r="AZ124" s="732" t="s">
        <v>137</v>
      </c>
      <c r="BA124" s="728"/>
      <c r="BB124" s="728">
        <v>1</v>
      </c>
      <c r="BC124" s="728">
        <v>6</v>
      </c>
      <c r="BD124" s="448">
        <v>6</v>
      </c>
      <c r="BE124" s="448"/>
      <c r="BF124" s="727"/>
      <c r="BG124" s="728">
        <v>10</v>
      </c>
      <c r="BH124" s="448"/>
      <c r="BI124" s="728"/>
      <c r="BJ124" s="728">
        <v>7</v>
      </c>
      <c r="BK124" s="728"/>
      <c r="BL124" s="728"/>
      <c r="BM124" s="728">
        <v>2</v>
      </c>
      <c r="BN124" s="728">
        <v>104</v>
      </c>
      <c r="BO124" s="728">
        <v>148</v>
      </c>
      <c r="BP124" s="727"/>
      <c r="BQ124" s="734"/>
      <c r="BR124" s="423"/>
      <c r="BS124" s="425"/>
      <c r="BT124" s="423"/>
      <c r="BU124" s="423"/>
      <c r="BV124" s="425">
        <v>5</v>
      </c>
      <c r="BW124" s="423"/>
      <c r="BX124" s="448"/>
      <c r="BY124" s="448">
        <v>111</v>
      </c>
      <c r="BZ124" s="448"/>
      <c r="CA124" s="448"/>
      <c r="CB124" s="448"/>
      <c r="CC124" s="777"/>
      <c r="CD124" s="448"/>
      <c r="CE124" s="735" t="str">
        <f>IFERROR(WWWW[[#This Row],['#_Water sources passed]]/WWWW[[#This Row],['#_Water sources tested for fecal coliform ]],"no test")</f>
        <v>no test</v>
      </c>
      <c r="CF124" s="733" t="str">
        <f>IFERROR(WWWW[[#This Row],['#_Household passed]]/WWWW[[#This Row],['#_Household water samples tested for fecal coliform]],"no test")</f>
        <v>no test</v>
      </c>
      <c r="CG124" s="734" t="str">
        <f>IF(AND(WWWW[[#This Row],[% of water sources passed]]="no test",WWWW[[#This Row],[% Household passed]]="no test"),"No Test","Tested")</f>
        <v>No Test</v>
      </c>
      <c r="CH124" s="734">
        <f>WWWW[[#This Row],['#_Constructed/existing protected hand dug well]]-WWWW[[#This Row],['#_Non-functional protected hand dug well]]</f>
        <v>3</v>
      </c>
      <c r="CI124" s="734">
        <f>(WWWW[[#This Row],['#_Constructed/Existing tube wells/boreholes/handpumps_WASH_agency]]+WWWW[[#This Row],['#_Non-Cluster partner water tube-wells/boreholes/handpumps]])-WWWW[[#This Row],['#_Non-functional tube wells/boreholes/handpumps]]</f>
        <v>0</v>
      </c>
      <c r="CJ124" s="734">
        <f>WWWW[[#This Row],['#_Constructed/Existingwater storage tank with gravity fed reticulation system]]-WWWW[[#This Row],['#_Non-functional storage tank gravity fed reticulation system]]</f>
        <v>0</v>
      </c>
      <c r="CK124" s="734">
        <f>(WWWW[[#This Row],['#_Water_Liters_supplied_by_Water boating or water trucking]]/90)/15</f>
        <v>0</v>
      </c>
      <c r="CL124" s="734">
        <f>WWWW[[#This Row],['#_Water_Liters_from_Constructed/Existing water distribution system from river or natural spring]]/90/15</f>
        <v>0</v>
      </c>
      <c r="CM124" s="424">
        <f>IF(WWWW[[#This Row],['#_of water points in TLS/CFS]]*500&gt;WWWW[[#This Row],[Total PoP ]],WWWW[[#This Row],[Total PoP ]],WWWW[[#This Row],['#_of water points in TLS/CFS]]*500)</f>
        <v>0</v>
      </c>
      <c r="CN124" s="424">
        <f>IF(WWWW[[#This Row],['#_of water points in THF]]*500&gt;WWWW[[#This Row],[Total PoP ]],WWWW[[#This Row],[Total PoP ]],WWWW[[#This Row],['#_of water points in THF]]*500)</f>
        <v>0</v>
      </c>
      <c r="CO12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4" s="733">
        <f>IF(WWWW[[#This Row],[Location Type 1]]="Village",WWWW[[#This Row],[Access to safe drinking water for Village]],WWWW[[#This Row],[Access to safe drinking water for Camp]])</f>
        <v>1</v>
      </c>
      <c r="CR124" s="731">
        <f>WWWW[[#This Row],[%Equitable and continuous access to sufficient quantity of safe drinking water]]*WWWW[[#This Row],[Total PoP ]]</f>
        <v>506</v>
      </c>
      <c r="CS124" s="733">
        <f>IF((WWWW[[#This Row],['#_Constructed/Existing protected/fenced ponds]]*250)/WWWW[[#This Row],[Total PoP ]]&gt;1,1,(WWWW[[#This Row],['#_Constructed/Existing protected/fenced ponds]]*250)/WWWW[[#This Row],[Total PoP ]])</f>
        <v>0</v>
      </c>
      <c r="CT124" s="731">
        <f>WWWW[[#This Row],[% Access to unimproved water points]]*WWWW[[#This Row],[Total PoP ]]</f>
        <v>0</v>
      </c>
      <c r="CU12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506</v>
      </c>
      <c r="CW124" s="731">
        <f>WWWW[[#This Row],[HRP1]]/500</f>
        <v>1.012</v>
      </c>
      <c r="CX124" s="736">
        <f>1-WWWW[[#This Row],[% Equitable and continuous access to sufficient quantity of domestic water]]</f>
        <v>0</v>
      </c>
      <c r="CY124" s="731">
        <f>WWWW[[#This Row],[%equitable and continuous access to sufficient quantity of safe drinking and domestic water''s GAP]]*WWWW[[#This Row],[Total PoP ]]</f>
        <v>0</v>
      </c>
      <c r="CZ124" s="734">
        <f>IF(WWWW[[#This Row],[Total required water points]]-WWWW[[#This Row],['#Water points coverage]]&lt;0,0,WWWW[[#This Row],[Total required water points]]-WWWW[[#This Row],['#Water points coverage]])</f>
        <v>0</v>
      </c>
      <c r="DA124" s="734">
        <f>ROUND(IF(WWWW[[#This Row],[Total PoP ]]&lt;500,1,WWWW[[#This Row],[Total PoP ]]/500),0)</f>
        <v>1</v>
      </c>
      <c r="DB124" s="734">
        <f>(WWWW[[#This Row],['#_Constructed latrines_by_WASHAgencies]]+WWWW[[#This Row],['#_Non Cluster partner latrines]])-WWWW[[#This Row],['#_Non-functional latrines]]</f>
        <v>21</v>
      </c>
      <c r="DC124" s="631">
        <f>WWWW[[#This Row],[HRP2]]/WWWW[[#This Row],[Total PoP ]]</f>
        <v>0.83003952569169959</v>
      </c>
      <c r="DD12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DE12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70</v>
      </c>
      <c r="DG124" s="424">
        <f>IF(WWWW[[#This Row],['# of functional latrines in THF supported by WASH partners during the reporting period2]]="",0,WWWW[[#This Row],['# of functional latrines in THF supported by WASH partners during the reporting period2]]*50)</f>
        <v>300</v>
      </c>
      <c r="DH124" s="734">
        <f>ROUND(IF(WWWW[[#This Row],[Location Type 1]]="camp",WWWW[[#This Row],[Total PoP ]]/20,IF(WWWW[[#This Row],[Location Type 1]]="Temporary Location",WWWW[[#This Row],[Total PoP ]]/50,(WWWW[[#This Row],[Total PoP ]]/6))),0)</f>
        <v>25</v>
      </c>
      <c r="DI124" s="734">
        <f>IF(WWWW[[#This Row],[Total required Latrines]]-(WWWW[[#This Row],['#_Constructed latrines_by_WASHAgencies]]+WWWW[[#This Row],['#_Non Cluster partner latrines]])&lt;0,0,WWWW[[#This Row],[Total required Latrines]]-(WWWW[[#This Row],['#_Constructed latrines_by_WASHAgencies]]+WWWW[[#This Row],['#_Non Cluster partner latrines]]))</f>
        <v>0</v>
      </c>
      <c r="DJ124" s="736">
        <f>1-WWWW[[#This Row],[% people access to functioning Latrine]]</f>
        <v>0.16996047430830041</v>
      </c>
      <c r="DK124" s="735">
        <f>IF(OR(WWWW[[#This Row],['#_Non-functional latrines]]="",WWWW[[#This Row],['#_Non-functional latrines]]=0),0,WWWW[[#This Row],['#_Non-functional latrines]]/(WWWW[[#This Row],['#_Constructed latrines_by_WASHAgencies]]+WWWW[[#This Row],['#_Non Cluster partner latrines]]))</f>
        <v>0.16</v>
      </c>
      <c r="DL124" s="731">
        <f>IF(500*(WWWW[[#This Row],['#_male hygiene promoters]]+WWWW[[#This Row],['#_female hygiene promoters]])&gt;WWWW[[#This Row],[Total PoP ]],WWWW[[#This Row],[Total PoP ]],500*(WWWW[[#This Row],['#_male hygiene promoters]]+WWWW[[#This Row],['#_female hygiene promoters]]))</f>
        <v>506</v>
      </c>
      <c r="DM12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506</v>
      </c>
      <c r="DN12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24" s="734">
        <f>IF(WWWW[[#This Row],['# People with access to soap]]&gt;WWWW[[#This Row],['# People with access to Sanity Pads]],WWWW[[#This Row],['# People with access to soap]],WWWW[[#This Row],['# People with access to Sanity Pads]])</f>
        <v>506</v>
      </c>
      <c r="DP124" s="734">
        <f>IF(WWWW[[#This Row],['# people reached by regular dedicated hygiene promotion_5]]&gt;WWWW[[#This Row],['# People received regular supply of hygiene items_6]],WWWW[[#This Row],['# people reached by regular dedicated hygiene promotion_5]],WWWW[[#This Row],['# People received regular supply of hygiene items_6]])</f>
        <v>506</v>
      </c>
      <c r="DQ124" s="736">
        <f>IF(WWWW[[#This Row],[HRP3]]/WWWW[[#This Row],[Total PoP ]]&gt;1,1,WWWW[[#This Row],[HRP3]]/WWWW[[#This Row],[Total PoP ]])</f>
        <v>1</v>
      </c>
      <c r="DR124" s="735">
        <f>1-WWWW[[#This Row],[Hygiene Coverage%]]</f>
        <v>0</v>
      </c>
      <c r="DS124" s="733">
        <f>WWWW[[#This Row],['# people reached by regular dedicated hygiene promotion_5]]/WWWW[[#This Row],[Total PoP ]]</f>
        <v>1</v>
      </c>
      <c r="DT12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4" s="734">
        <f>WWWW[[#This Row],['#_Constructed/Existing hand washing stations]]-WWWW[[#This Row],['#_Non-Functional_hand_washing_stations]]</f>
        <v>10</v>
      </c>
      <c r="DW124" s="731">
        <f>IF(WWWW[[#This Row],['# Functional hand washing stations during reporting period]]*20&gt;WWWW[[#This Row],[Total HH]],WWWW[[#This Row],[Total HH]],WWWW[[#This Row],['# Functional hand washing stations during reporting period]]*20)</f>
        <v>111</v>
      </c>
      <c r="DX124" s="731">
        <f>IF(WWWW[[#This Row],[Is sufficient soap available for TLS? (Yes/No)]]="yes",WWWW[[#This Row],['#_Constructed/Existing hand washing stations at TLS/CFS/THF]],0)</f>
        <v>0</v>
      </c>
      <c r="DY124" s="428">
        <f>IF(WWWW[[#This Row],['# Functional hand washing stations during reporting period]]*100&gt;WWWW[[#This Row],[Total PoP ]],WWWW[[#This Row],[Total PoP ]],WWWW[[#This Row],['# Functional hand washing stations during reporting period]]*100)</f>
        <v>506</v>
      </c>
      <c r="DZ124" s="428" t="str">
        <f>IF(OR(WWWW[[#This Row],['#_students at TLS_CFS]]="",WWWW[[#This Row],['#_students at TLS_CFS]]=0),"No","Yes")</f>
        <v>Yes</v>
      </c>
      <c r="EA124" s="631">
        <f>IF(WWWW[[#This Row],['#_of_affected_people_surveyed_who_report_feeling_informed_about_the_different_WASH_services_available_to_them]]="","",WWWW[[#This Row],['#_of_affected_people_surveyed_who_report_feeling_informed_about_the_different_WASH_services_available_to_them]]/WWWW[[#This Row],[Total PoP ]])</f>
        <v>9.881422924901186E-3</v>
      </c>
      <c r="EB12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111</v>
      </c>
      <c r="EC12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70</v>
      </c>
      <c r="ED12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300</v>
      </c>
      <c r="EE124" s="727" t="str">
        <f>VLOOKUP(WWWW[[#This Row],[Site Name]],SiteDB6[[Site Name]:[CCCM Management]],6,FALSE)</f>
        <v>Yes</v>
      </c>
      <c r="EF124" s="727" t="str">
        <f>VLOOKUP(WWWW[[#This Row],[Site Name]],SiteDB6[[Site Name]:[CCCM Focal Agency]],7,FALSE)</f>
        <v>Shalom</v>
      </c>
      <c r="EG124" s="727" t="str">
        <f>VLOOKUP(WWWW[[#This Row],[Site Name]],SiteDB6[[Site Name]:[Location Type 1]],9,FALSE)</f>
        <v>Camp</v>
      </c>
      <c r="EH124" s="727" t="str">
        <f>VLOOKUP(WWWW[[#This Row],[Site Name]],SiteDB6[[Site Name]:[Type of Accommodation]],10,FALSE)</f>
        <v>Camp</v>
      </c>
      <c r="EI124" s="727" t="str">
        <f>VLOOKUP(WWWW[[#This Row],[Site Name]],SiteDB6[[Site Name]:[Ethnic or GCA/NGCA]],11,FALSE)</f>
        <v>GCA</v>
      </c>
      <c r="EJ124" s="727">
        <f>VLOOKUP(WWWW[[#This Row],[Site Name]],SiteDB6[[Site Name]:[Lat]],12,FALSE)</f>
        <v>25.3540362037037</v>
      </c>
      <c r="EK124" s="727">
        <f>VLOOKUP(WWWW[[#This Row],[Site Name]],SiteDB6[[Site Name]:[Long]],13,FALSE)</f>
        <v>97.441166388888902</v>
      </c>
      <c r="EL124" s="727" t="str">
        <f>VLOOKUP(WWWW[[#This Row],[Site Name]],SiteDB6[[Site Name]:[Pcode]],3,FALSE)</f>
        <v>MMR001CMP032</v>
      </c>
      <c r="EM124" s="732" t="str">
        <f t="shared" si="1"/>
        <v>Covered</v>
      </c>
      <c r="EN124" s="732"/>
      <c r="EO124" s="727">
        <f>VLOOKUP(WWWW[[#This Row],[Site Name]],SiteDB6[[Site Name]:[Pop
(Kachin/Shan-CCCM as of July 2021)]],16,FALSE)</f>
        <v>111</v>
      </c>
      <c r="EP124" s="727">
        <f>VLOOKUP(WWWW[[#This Row],[Site Name]],SiteDB6[[Site Name]:[Pop
(Kachin/Shan-CCCM as of July 2021)]],17,FALSE)</f>
        <v>505</v>
      </c>
    </row>
    <row r="125" spans="1:146" hidden="1">
      <c r="A125" s="725" t="s">
        <v>2763</v>
      </c>
      <c r="B125" s="725" t="s">
        <v>141</v>
      </c>
      <c r="C125" s="726" t="s">
        <v>141</v>
      </c>
      <c r="D125" s="726" t="s">
        <v>241</v>
      </c>
      <c r="E125" s="726" t="s">
        <v>37</v>
      </c>
      <c r="F125" s="726" t="s">
        <v>142</v>
      </c>
      <c r="G125" s="591" t="str">
        <f>VLOOKUP(WWWW[[#This Row],[Site Name]],SiteDB6[[Site Name]:[Location Type]],8,FALSE)</f>
        <v>Camp</v>
      </c>
      <c r="H125" s="726" t="s">
        <v>181</v>
      </c>
      <c r="I125" s="728">
        <v>60</v>
      </c>
      <c r="J125" s="728">
        <v>307</v>
      </c>
      <c r="K125" s="729">
        <v>44105</v>
      </c>
      <c r="L125" s="730">
        <v>44681</v>
      </c>
      <c r="M125" s="728"/>
      <c r="N125" s="728">
        <v>2</v>
      </c>
      <c r="O125" s="728"/>
      <c r="P125" s="728"/>
      <c r="Q125" s="731" t="s">
        <v>41</v>
      </c>
      <c r="R125" s="728"/>
      <c r="S125" s="728">
        <v>3</v>
      </c>
      <c r="T125" s="448">
        <v>2</v>
      </c>
      <c r="U125" s="728"/>
      <c r="V125" s="728"/>
      <c r="W125" s="728"/>
      <c r="X125" s="728"/>
      <c r="Y125" s="728"/>
      <c r="Z125" s="728"/>
      <c r="AA125" s="728"/>
      <c r="AB125" s="728"/>
      <c r="AC125" s="728"/>
      <c r="AD125" s="728"/>
      <c r="AE125" s="728"/>
      <c r="AF125" s="728"/>
      <c r="AG125" s="728"/>
      <c r="AH125" s="728">
        <v>1</v>
      </c>
      <c r="AI125" s="728"/>
      <c r="AJ125" s="728"/>
      <c r="AK125" s="728"/>
      <c r="AL125" s="728"/>
      <c r="AM125" s="728"/>
      <c r="AN125" s="728"/>
      <c r="AO125" s="728"/>
      <c r="AP125" s="732"/>
      <c r="AQ125" s="728">
        <v>14</v>
      </c>
      <c r="AR125" s="728"/>
      <c r="AS125" s="733"/>
      <c r="AT125" s="728"/>
      <c r="AU125" s="728">
        <v>10</v>
      </c>
      <c r="AV125" s="728"/>
      <c r="AW125" s="728"/>
      <c r="AX125" s="728">
        <v>10</v>
      </c>
      <c r="AY125" s="727" t="s">
        <v>41</v>
      </c>
      <c r="AZ125" s="732" t="s">
        <v>137</v>
      </c>
      <c r="BA125" s="728"/>
      <c r="BB125" s="728"/>
      <c r="BC125" s="728"/>
      <c r="BD125" s="448"/>
      <c r="BE125" s="448"/>
      <c r="BF125" s="727"/>
      <c r="BG125" s="728">
        <v>1</v>
      </c>
      <c r="BH125" s="728"/>
      <c r="BI125" s="728"/>
      <c r="BJ125" s="728">
        <v>3</v>
      </c>
      <c r="BK125" s="728"/>
      <c r="BL125" s="728">
        <v>1</v>
      </c>
      <c r="BM125" s="728">
        <v>1</v>
      </c>
      <c r="BN125" s="728">
        <v>41</v>
      </c>
      <c r="BO125" s="728">
        <v>85</v>
      </c>
      <c r="BP125" s="727"/>
      <c r="BQ125" s="734"/>
      <c r="BR125" s="733"/>
      <c r="BS125" s="727"/>
      <c r="BT125" s="423"/>
      <c r="BU125" s="423"/>
      <c r="BV125" s="425"/>
      <c r="BW125" s="423"/>
      <c r="BX125" s="448"/>
      <c r="BY125" s="448"/>
      <c r="BZ125" s="448"/>
      <c r="CA125" s="448"/>
      <c r="CB125" s="448"/>
      <c r="CC125" s="777"/>
      <c r="CD125" s="448"/>
      <c r="CE125" s="735" t="str">
        <f>IFERROR(WWWW[[#This Row],['#_Water sources passed]]/WWWW[[#This Row],['#_Water sources tested for fecal coliform ]],"no test")</f>
        <v>no test</v>
      </c>
      <c r="CF125" s="733" t="str">
        <f>IFERROR(WWWW[[#This Row],['#_Household passed]]/WWWW[[#This Row],['#_Household water samples tested for fecal coliform]],"no test")</f>
        <v>no test</v>
      </c>
      <c r="CG125" s="734" t="str">
        <f>IF(AND(WWWW[[#This Row],[% of water sources passed]]="no test",WWWW[[#This Row],[% Household passed]]="no test"),"No Test","Tested")</f>
        <v>No Test</v>
      </c>
      <c r="CH125" s="734">
        <f>WWWW[[#This Row],['#_Constructed/existing protected hand dug well]]-WWWW[[#This Row],['#_Non-functional protected hand dug well]]</f>
        <v>2</v>
      </c>
      <c r="CI125" s="734">
        <f>(WWWW[[#This Row],['#_Constructed/Existing tube wells/boreholes/handpumps_WASH_agency]]+WWWW[[#This Row],['#_Non-Cluster partner water tube-wells/boreholes/handpumps]])-WWWW[[#This Row],['#_Non-functional tube wells/boreholes/handpumps]]</f>
        <v>0</v>
      </c>
      <c r="CJ125" s="734">
        <f>WWWW[[#This Row],['#_Constructed/Existingwater storage tank with gravity fed reticulation system]]-WWWW[[#This Row],['#_Non-functional storage tank gravity fed reticulation system]]</f>
        <v>0</v>
      </c>
      <c r="CK125" s="734">
        <f>(WWWW[[#This Row],['#_Water_Liters_supplied_by_Water boating or water trucking]]/90)/15</f>
        <v>0</v>
      </c>
      <c r="CL125" s="734">
        <f>WWWW[[#This Row],['#_Water_Liters_from_Constructed/Existing water distribution system from river or natural spring]]/90/15</f>
        <v>0</v>
      </c>
      <c r="CM125" s="424">
        <f>IF(WWWW[[#This Row],['#_of water points in TLS/CFS]]*500&gt;WWWW[[#This Row],[Total PoP ]],WWWW[[#This Row],[Total PoP ]],WWWW[[#This Row],['#_of water points in TLS/CFS]]*500)</f>
        <v>0</v>
      </c>
      <c r="CN125" s="424">
        <f>IF(WWWW[[#This Row],['#_of water points in THF]]*500&gt;WWWW[[#This Row],[Total PoP ]],WWWW[[#This Row],[Total PoP ]],WWWW[[#This Row],['#_of water points in THF]]*500)</f>
        <v>0</v>
      </c>
      <c r="CO12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5" s="733">
        <f>IF(WWWW[[#This Row],[Location Type 1]]="Village",WWWW[[#This Row],[Access to safe drinking water for Village]],WWWW[[#This Row],[Access to safe drinking water for Camp]])</f>
        <v>1</v>
      </c>
      <c r="CR125" s="731">
        <f>WWWW[[#This Row],[%Equitable and continuous access to sufficient quantity of safe drinking water]]*WWWW[[#This Row],[Total PoP ]]</f>
        <v>307</v>
      </c>
      <c r="CS125" s="733">
        <f>IF((WWWW[[#This Row],['#_Constructed/Existing protected/fenced ponds]]*250)/WWWW[[#This Row],[Total PoP ]]&gt;1,1,(WWWW[[#This Row],['#_Constructed/Existing protected/fenced ponds]]*250)/WWWW[[#This Row],[Total PoP ]])</f>
        <v>0</v>
      </c>
      <c r="CT125" s="731">
        <f>WWWW[[#This Row],[% Access to unimproved water points]]*WWWW[[#This Row],[Total PoP ]]</f>
        <v>0</v>
      </c>
      <c r="CU12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307</v>
      </c>
      <c r="CW125" s="731">
        <f>WWWW[[#This Row],[HRP1]]/500</f>
        <v>0.61399999999999999</v>
      </c>
      <c r="CX125" s="736">
        <f>1-WWWW[[#This Row],[% Equitable and continuous access to sufficient quantity of domestic water]]</f>
        <v>0</v>
      </c>
      <c r="CY125" s="731">
        <f>WWWW[[#This Row],[%equitable and continuous access to sufficient quantity of safe drinking and domestic water''s GAP]]*WWWW[[#This Row],[Total PoP ]]</f>
        <v>0</v>
      </c>
      <c r="CZ125" s="734">
        <f>IF(WWWW[[#This Row],[Total required water points]]-WWWW[[#This Row],['#Water points coverage]]&lt;0,0,WWWW[[#This Row],[Total required water points]]-WWWW[[#This Row],['#Water points coverage]])</f>
        <v>0.38600000000000001</v>
      </c>
      <c r="DA125" s="734">
        <f>ROUND(IF(WWWW[[#This Row],[Total PoP ]]&lt;500,1,WWWW[[#This Row],[Total PoP ]]/500),0)</f>
        <v>1</v>
      </c>
      <c r="DB125" s="734">
        <f>(WWWW[[#This Row],['#_Constructed latrines_by_WASHAgencies]]+WWWW[[#This Row],['#_Non Cluster partner latrines]])-WWWW[[#This Row],['#_Non-functional latrines]]</f>
        <v>14</v>
      </c>
      <c r="DC125" s="631">
        <f>WWWW[[#This Row],[HRP2]]/WWWW[[#This Row],[Total PoP ]]</f>
        <v>0.91205211726384361</v>
      </c>
      <c r="DD12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12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5" s="424">
        <f>IF(WWWW[[#This Row],['# of functional latrines in THF supported by WASH partners during the reporting period2]]="",0,WWWW[[#This Row],['# of functional latrines in THF supported by WASH partners during the reporting period2]]*50)</f>
        <v>0</v>
      </c>
      <c r="DH125" s="734">
        <f>ROUND(IF(WWWW[[#This Row],[Location Type 1]]="camp",WWWW[[#This Row],[Total PoP ]]/20,IF(WWWW[[#This Row],[Location Type 1]]="Temporary Location",WWWW[[#This Row],[Total PoP ]]/50,(WWWW[[#This Row],[Total PoP ]]/6))),0)</f>
        <v>15</v>
      </c>
      <c r="DI125" s="734">
        <f>IF(WWWW[[#This Row],[Total required Latrines]]-(WWWW[[#This Row],['#_Constructed latrines_by_WASHAgencies]]+WWWW[[#This Row],['#_Non Cluster partner latrines]])&lt;0,0,WWWW[[#This Row],[Total required Latrines]]-(WWWW[[#This Row],['#_Constructed latrines_by_WASHAgencies]]+WWWW[[#This Row],['#_Non Cluster partner latrines]]))</f>
        <v>1</v>
      </c>
      <c r="DJ125" s="736">
        <f>1-WWWW[[#This Row],[% people access to functioning Latrine]]</f>
        <v>8.7947882736156391E-2</v>
      </c>
      <c r="DK125" s="735">
        <f>IF(OR(WWWW[[#This Row],['#_Non-functional latrines]]="",WWWW[[#This Row],['#_Non-functional latrines]]=0),0,WWWW[[#This Row],['#_Non-functional latrines]]/(WWWW[[#This Row],['#_Constructed latrines_by_WASHAgencies]]+WWWW[[#This Row],['#_Non Cluster partner latrines]]))</f>
        <v>0</v>
      </c>
      <c r="DL125" s="731">
        <f>IF(500*(WWWW[[#This Row],['#_male hygiene promoters]]+WWWW[[#This Row],['#_female hygiene promoters]])&gt;WWWW[[#This Row],[Total PoP ]],WWWW[[#This Row],[Total PoP ]],500*(WWWW[[#This Row],['#_male hygiene promoters]]+WWWW[[#This Row],['#_female hygiene promoters]]))</f>
        <v>307</v>
      </c>
      <c r="DM12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2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25" s="734">
        <f>IF(WWWW[[#This Row],['# People with access to soap]]&gt;WWWW[[#This Row],['# People with access to Sanity Pads]],WWWW[[#This Row],['# People with access to soap]],WWWW[[#This Row],['# People with access to Sanity Pads]])</f>
        <v>205</v>
      </c>
      <c r="DP125" s="734">
        <f>IF(WWWW[[#This Row],['# people reached by regular dedicated hygiene promotion_5]]&gt;WWWW[[#This Row],['# People received regular supply of hygiene items_6]],WWWW[[#This Row],['# people reached by regular dedicated hygiene promotion_5]],WWWW[[#This Row],['# People received regular supply of hygiene items_6]])</f>
        <v>307</v>
      </c>
      <c r="DQ125" s="736">
        <f>IF(WWWW[[#This Row],[HRP3]]/WWWW[[#This Row],[Total PoP ]]&gt;1,1,WWWW[[#This Row],[HRP3]]/WWWW[[#This Row],[Total PoP ]])</f>
        <v>1</v>
      </c>
      <c r="DR125" s="735">
        <f>1-WWWW[[#This Row],[Hygiene Coverage%]]</f>
        <v>0</v>
      </c>
      <c r="DS125" s="733">
        <f>WWWW[[#This Row],['# people reached by regular dedicated hygiene promotion_5]]/WWWW[[#This Row],[Total PoP ]]</f>
        <v>1</v>
      </c>
      <c r="DT12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5" s="734">
        <f>WWWW[[#This Row],['#_Constructed/Existing hand washing stations]]-WWWW[[#This Row],['#_Non-Functional_hand_washing_stations]]</f>
        <v>1</v>
      </c>
      <c r="DW125" s="731">
        <f>IF(WWWW[[#This Row],['# Functional hand washing stations during reporting period]]*20&gt;WWWW[[#This Row],[Total HH]],WWWW[[#This Row],[Total HH]],WWWW[[#This Row],['# Functional hand washing stations during reporting period]]*20)</f>
        <v>20</v>
      </c>
      <c r="DX125" s="731">
        <f>IF(WWWW[[#This Row],[Is sufficient soap available for TLS? (Yes/No)]]="yes",WWWW[[#This Row],['#_Constructed/Existing hand washing stations at TLS/CFS/THF]],0)</f>
        <v>0</v>
      </c>
      <c r="DY125" s="428">
        <f>IF(WWWW[[#This Row],['# Functional hand washing stations during reporting period]]*100&gt;WWWW[[#This Row],[Total PoP ]],WWWW[[#This Row],[Total PoP ]],WWWW[[#This Row],['# Functional hand washing stations during reporting period]]*100)</f>
        <v>100</v>
      </c>
      <c r="DZ125" s="428" t="str">
        <f>IF(OR(WWWW[[#This Row],['#_students at TLS_CFS]]="",WWWW[[#This Row],['#_students at TLS_CFS]]=0),"No","Yes")</f>
        <v>No</v>
      </c>
      <c r="EA12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5" s="727" t="str">
        <f>VLOOKUP(WWWW[[#This Row],[Site Name]],SiteDB6[[Site Name]:[CCCM Management]],6,FALSE)</f>
        <v>Yes</v>
      </c>
      <c r="EF125" s="727" t="str">
        <f>VLOOKUP(WWWW[[#This Row],[Site Name]],SiteDB6[[Site Name]:[CCCM Focal Agency]],7,FALSE)</f>
        <v>KBC-MYT</v>
      </c>
      <c r="EG125" s="727" t="str">
        <f>VLOOKUP(WWWW[[#This Row],[Site Name]],SiteDB6[[Site Name]:[Location Type 1]],9,FALSE)</f>
        <v>Camp</v>
      </c>
      <c r="EH125" s="727" t="str">
        <f>VLOOKUP(WWWW[[#This Row],[Site Name]],SiteDB6[[Site Name]:[Type of Accommodation]],10,FALSE)</f>
        <v>Camp</v>
      </c>
      <c r="EI125" s="727" t="str">
        <f>VLOOKUP(WWWW[[#This Row],[Site Name]],SiteDB6[[Site Name]:[Ethnic or GCA/NGCA]],11,FALSE)</f>
        <v>GCA</v>
      </c>
      <c r="EJ125" s="727">
        <f>VLOOKUP(WWWW[[#This Row],[Site Name]],SiteDB6[[Site Name]:[Lat]],12,FALSE)</f>
        <v>25.351724999999998</v>
      </c>
      <c r="EK125" s="727">
        <f>VLOOKUP(WWWW[[#This Row],[Site Name]],SiteDB6[[Site Name]:[Long]],13,FALSE)</f>
        <v>97.438432380952406</v>
      </c>
      <c r="EL125" s="727" t="str">
        <f>VLOOKUP(WWWW[[#This Row],[Site Name]],SiteDB6[[Site Name]:[Pcode]],3,FALSE)</f>
        <v>MMR001CMP025</v>
      </c>
      <c r="EM125" s="732" t="str">
        <f t="shared" si="1"/>
        <v>Covered</v>
      </c>
      <c r="EN125" s="732"/>
      <c r="EO125" s="727">
        <f>VLOOKUP(WWWW[[#This Row],[Site Name]],SiteDB6[[Site Name]:[Pop
(Kachin/Shan-CCCM as of July 2021)]],16,FALSE)</f>
        <v>72</v>
      </c>
      <c r="EP125" s="727">
        <f>VLOOKUP(WWWW[[#This Row],[Site Name]],SiteDB6[[Site Name]:[Pop
(Kachin/Shan-CCCM as of July 2021)]],17,FALSE)</f>
        <v>360</v>
      </c>
    </row>
    <row r="126" spans="1:146" hidden="1">
      <c r="A126" s="725" t="s">
        <v>2763</v>
      </c>
      <c r="B126" s="725" t="s">
        <v>242</v>
      </c>
      <c r="C126" s="726" t="s">
        <v>242</v>
      </c>
      <c r="D126" s="726" t="s">
        <v>307</v>
      </c>
      <c r="E126" s="726" t="s">
        <v>37</v>
      </c>
      <c r="F126" s="726" t="s">
        <v>148</v>
      </c>
      <c r="G126" s="591" t="str">
        <f>VLOOKUP(WWWW[[#This Row],[Site Name]],SiteDB6[[Site Name]:[Location Type]],8,FALSE)</f>
        <v>Camp</v>
      </c>
      <c r="H126" s="726" t="s">
        <v>259</v>
      </c>
      <c r="I126" s="448">
        <v>16</v>
      </c>
      <c r="J126" s="448">
        <v>70</v>
      </c>
      <c r="K126" s="588">
        <v>44197</v>
      </c>
      <c r="L126" s="589">
        <v>44651</v>
      </c>
      <c r="M126" s="448"/>
      <c r="N126" s="448">
        <v>1</v>
      </c>
      <c r="O126" s="448"/>
      <c r="P126" s="448"/>
      <c r="Q126" s="717" t="s">
        <v>41</v>
      </c>
      <c r="R126" s="448">
        <v>1</v>
      </c>
      <c r="S126" s="448">
        <v>3</v>
      </c>
      <c r="T126" s="448">
        <v>1</v>
      </c>
      <c r="U126" s="728"/>
      <c r="V126" s="728"/>
      <c r="W126" s="728"/>
      <c r="X126" s="728">
        <v>1</v>
      </c>
      <c r="Y126" s="728"/>
      <c r="Z126" s="728"/>
      <c r="AA126" s="728">
        <v>1</v>
      </c>
      <c r="AB126" s="728"/>
      <c r="AC126" s="728"/>
      <c r="AD126" s="728"/>
      <c r="AE126" s="728"/>
      <c r="AF126" s="448">
        <v>4500</v>
      </c>
      <c r="AG126" s="728">
        <v>1</v>
      </c>
      <c r="AH126" s="728">
        <v>1</v>
      </c>
      <c r="AI126" s="728"/>
      <c r="AJ126" s="728"/>
      <c r="AK126" s="728"/>
      <c r="AL126" s="728"/>
      <c r="AM126" s="728">
        <v>4</v>
      </c>
      <c r="AN126" s="448"/>
      <c r="AO126" s="448"/>
      <c r="AP126" s="590" t="s">
        <v>2910</v>
      </c>
      <c r="AQ126" s="728">
        <v>2</v>
      </c>
      <c r="AR126" s="728"/>
      <c r="AS126" s="733"/>
      <c r="AT126" s="728"/>
      <c r="AU126" s="728"/>
      <c r="AV126" s="728"/>
      <c r="AW126" s="728"/>
      <c r="AX126" s="728"/>
      <c r="AY126" s="727" t="s">
        <v>41</v>
      </c>
      <c r="AZ126" s="732" t="s">
        <v>137</v>
      </c>
      <c r="BA126" s="728"/>
      <c r="BB126" s="728"/>
      <c r="BC126" s="728"/>
      <c r="BD126" s="448"/>
      <c r="BE126" s="448"/>
      <c r="BF126" s="727"/>
      <c r="BG126" s="728">
        <v>4</v>
      </c>
      <c r="BH126" s="728"/>
      <c r="BI126" s="728"/>
      <c r="BJ126" s="728">
        <v>2</v>
      </c>
      <c r="BK126" s="728"/>
      <c r="BL126" s="448">
        <v>1</v>
      </c>
      <c r="BM126" s="448"/>
      <c r="BN126" s="448">
        <v>16</v>
      </c>
      <c r="BO126" s="448">
        <v>25</v>
      </c>
      <c r="BP126" s="727" t="s">
        <v>41</v>
      </c>
      <c r="BQ126" s="424">
        <v>3</v>
      </c>
      <c r="BR126" s="423">
        <v>0.75</v>
      </c>
      <c r="BS126" s="425"/>
      <c r="BT126" s="423">
        <v>1</v>
      </c>
      <c r="BU126" s="423">
        <v>0.5</v>
      </c>
      <c r="BV126" s="425">
        <v>2</v>
      </c>
      <c r="BW126" s="423">
        <v>0.7</v>
      </c>
      <c r="BX126" s="448"/>
      <c r="BY126" s="448"/>
      <c r="BZ126" s="448"/>
      <c r="CA126" s="448"/>
      <c r="CB126" s="448"/>
      <c r="CC126" s="777"/>
      <c r="CD126" s="448"/>
      <c r="CE126" s="735" t="str">
        <f>IFERROR(WWWW[[#This Row],['#_Water sources passed]]/WWWW[[#This Row],['#_Water sources tested for fecal coliform ]],"no test")</f>
        <v>no test</v>
      </c>
      <c r="CF126" s="733" t="str">
        <f>IFERROR(WWWW[[#This Row],['#_Household passed]]/WWWW[[#This Row],['#_Household water samples tested for fecal coliform]],"no test")</f>
        <v>no test</v>
      </c>
      <c r="CG126" s="734" t="str">
        <f>IF(AND(WWWW[[#This Row],[% of water sources passed]]="no test",WWWW[[#This Row],[% Household passed]]="no test"),"No Test","Tested")</f>
        <v>No Test</v>
      </c>
      <c r="CH126" s="734">
        <f>WWWW[[#This Row],['#_Constructed/existing protected hand dug well]]-WWWW[[#This Row],['#_Non-functional protected hand dug well]]</f>
        <v>1</v>
      </c>
      <c r="CI126" s="734">
        <f>(WWWW[[#This Row],['#_Constructed/Existing tube wells/boreholes/handpumps_WASH_agency]]+WWWW[[#This Row],['#_Non-Cluster partner water tube-wells/boreholes/handpumps]])-WWWW[[#This Row],['#_Non-functional tube wells/boreholes/handpumps]]</f>
        <v>1</v>
      </c>
      <c r="CJ126" s="734">
        <f>WWWW[[#This Row],['#_Constructed/Existingwater storage tank with gravity fed reticulation system]]-WWWW[[#This Row],['#_Non-functional storage tank gravity fed reticulation system]]</f>
        <v>1</v>
      </c>
      <c r="CK126" s="734">
        <f>(WWWW[[#This Row],['#_Water_Liters_supplied_by_Water boating or water trucking]]/90)/15</f>
        <v>0</v>
      </c>
      <c r="CL126" s="734">
        <f>WWWW[[#This Row],['#_Water_Liters_from_Constructed/Existing water distribution system from river or natural spring]]/90/15</f>
        <v>3.3333333333333335</v>
      </c>
      <c r="CM126" s="424">
        <f>IF(WWWW[[#This Row],['#_of water points in TLS/CFS]]*500&gt;WWWW[[#This Row],[Total PoP ]],WWWW[[#This Row],[Total PoP ]],WWWW[[#This Row],['#_of water points in TLS/CFS]]*500)</f>
        <v>0</v>
      </c>
      <c r="CN126" s="424">
        <f>IF(WWWW[[#This Row],['#_of water points in THF]]*500&gt;WWWW[[#This Row],[Total PoP ]],WWWW[[#This Row],[Total PoP ]],WWWW[[#This Row],['#_of water points in THF]]*500)</f>
        <v>0</v>
      </c>
      <c r="CO12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6" s="733">
        <f>IF(WWWW[[#This Row],[Location Type 1]]="Village",WWWW[[#This Row],[Access to safe drinking water for Village]],WWWW[[#This Row],[Access to safe drinking water for Camp]])</f>
        <v>1</v>
      </c>
      <c r="CR126" s="731">
        <f>WWWW[[#This Row],[%Equitable and continuous access to sufficient quantity of safe drinking water]]*WWWW[[#This Row],[Total PoP ]]</f>
        <v>70</v>
      </c>
      <c r="CS126" s="733">
        <f>IF((WWWW[[#This Row],['#_Constructed/Existing protected/fenced ponds]]*250)/WWWW[[#This Row],[Total PoP ]]&gt;1,1,(WWWW[[#This Row],['#_Constructed/Existing protected/fenced ponds]]*250)/WWWW[[#This Row],[Total PoP ]])</f>
        <v>0</v>
      </c>
      <c r="CT126" s="731">
        <f>WWWW[[#This Row],[% Access to unimproved water points]]*WWWW[[#This Row],[Total PoP ]]</f>
        <v>0</v>
      </c>
      <c r="CU12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W126" s="731">
        <f>WWWW[[#This Row],[HRP1]]/500</f>
        <v>0.14000000000000001</v>
      </c>
      <c r="CX126" s="736">
        <f>1-WWWW[[#This Row],[% Equitable and continuous access to sufficient quantity of domestic water]]</f>
        <v>0</v>
      </c>
      <c r="CY126" s="731">
        <f>WWWW[[#This Row],[%equitable and continuous access to sufficient quantity of safe drinking and domestic water''s GAP]]*WWWW[[#This Row],[Total PoP ]]</f>
        <v>0</v>
      </c>
      <c r="CZ126" s="734">
        <f>IF(WWWW[[#This Row],[Total required water points]]-WWWW[[#This Row],['#Water points coverage]]&lt;0,0,WWWW[[#This Row],[Total required water points]]-WWWW[[#This Row],['#Water points coverage]])</f>
        <v>0.86</v>
      </c>
      <c r="DA126" s="734">
        <f>ROUND(IF(WWWW[[#This Row],[Total PoP ]]&lt;500,1,WWWW[[#This Row],[Total PoP ]]/500),0)</f>
        <v>1</v>
      </c>
      <c r="DB126" s="734">
        <f>(WWWW[[#This Row],['#_Constructed latrines_by_WASHAgencies]]+WWWW[[#This Row],['#_Non Cluster partner latrines]])-WWWW[[#This Row],['#_Non-functional latrines]]</f>
        <v>2</v>
      </c>
      <c r="DC126" s="631">
        <f>WWWW[[#This Row],[HRP2]]/WWWW[[#This Row],[Total PoP ]]</f>
        <v>0.5714285714285714</v>
      </c>
      <c r="DD12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12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6" s="424">
        <f>IF(WWWW[[#This Row],['# of functional latrines in THF supported by WASH partners during the reporting period2]]="",0,WWWW[[#This Row],['# of functional latrines in THF supported by WASH partners during the reporting period2]]*50)</f>
        <v>0</v>
      </c>
      <c r="DH126" s="734">
        <f>ROUND(IF(WWWW[[#This Row],[Location Type 1]]="camp",WWWW[[#This Row],[Total PoP ]]/20,IF(WWWW[[#This Row],[Location Type 1]]="Temporary Location",WWWW[[#This Row],[Total PoP ]]/50,(WWWW[[#This Row],[Total PoP ]]/6))),0)</f>
        <v>4</v>
      </c>
      <c r="DI126" s="734">
        <f>IF(WWWW[[#This Row],[Total required Latrines]]-(WWWW[[#This Row],['#_Constructed latrines_by_WASHAgencies]]+WWWW[[#This Row],['#_Non Cluster partner latrines]])&lt;0,0,WWWW[[#This Row],[Total required Latrines]]-(WWWW[[#This Row],['#_Constructed latrines_by_WASHAgencies]]+WWWW[[#This Row],['#_Non Cluster partner latrines]]))</f>
        <v>2</v>
      </c>
      <c r="DJ126" s="736">
        <f>1-WWWW[[#This Row],[% people access to functioning Latrine]]</f>
        <v>0.4285714285714286</v>
      </c>
      <c r="DK126" s="735">
        <f>IF(OR(WWWW[[#This Row],['#_Non-functional latrines]]="",WWWW[[#This Row],['#_Non-functional latrines]]=0),0,WWWW[[#This Row],['#_Non-functional latrines]]/(WWWW[[#This Row],['#_Constructed latrines_by_WASHAgencies]]+WWWW[[#This Row],['#_Non Cluster partner latrines]]))</f>
        <v>0</v>
      </c>
      <c r="DL126" s="731">
        <f>IF(500*(WWWW[[#This Row],['#_male hygiene promoters]]+WWWW[[#This Row],['#_female hygiene promoters]])&gt;WWWW[[#This Row],[Total PoP ]],WWWW[[#This Row],[Total PoP ]],500*(WWWW[[#This Row],['#_male hygiene promoters]]+WWWW[[#This Row],['#_female hygiene promoters]]))</f>
        <v>70</v>
      </c>
      <c r="DM12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N12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25</v>
      </c>
      <c r="DO126" s="734">
        <f>IF(WWWW[[#This Row],['# People with access to soap]]&gt;WWWW[[#This Row],['# People with access to Sanity Pads]],WWWW[[#This Row],['# People with access to soap]],WWWW[[#This Row],['# People with access to Sanity Pads]])</f>
        <v>70</v>
      </c>
      <c r="DP126" s="734">
        <f>IF(WWWW[[#This Row],['# people reached by regular dedicated hygiene promotion_5]]&gt;WWWW[[#This Row],['# People received regular supply of hygiene items_6]],WWWW[[#This Row],['# people reached by regular dedicated hygiene promotion_5]],WWWW[[#This Row],['# People received regular supply of hygiene items_6]])</f>
        <v>70</v>
      </c>
      <c r="DQ126" s="736">
        <f>IF(WWWW[[#This Row],[HRP3]]/WWWW[[#This Row],[Total PoP ]]&gt;1,1,WWWW[[#This Row],[HRP3]]/WWWW[[#This Row],[Total PoP ]])</f>
        <v>1</v>
      </c>
      <c r="DR126" s="735">
        <f>1-WWWW[[#This Row],[Hygiene Coverage%]]</f>
        <v>0</v>
      </c>
      <c r="DS126" s="733">
        <f>WWWW[[#This Row],['# people reached by regular dedicated hygiene promotion_5]]/WWWW[[#This Row],[Total PoP ]]</f>
        <v>1</v>
      </c>
      <c r="DT12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6" s="734">
        <f>WWWW[[#This Row],['#_Constructed/Existing hand washing stations]]-WWWW[[#This Row],['#_Non-Functional_hand_washing_stations]]</f>
        <v>4</v>
      </c>
      <c r="DW126" s="731">
        <f>IF(WWWW[[#This Row],['# Functional hand washing stations during reporting period]]*20&gt;WWWW[[#This Row],[Total HH]],WWWW[[#This Row],[Total HH]],WWWW[[#This Row],['# Functional hand washing stations during reporting period]]*20)</f>
        <v>16</v>
      </c>
      <c r="DX126" s="731">
        <f>IF(WWWW[[#This Row],[Is sufficient soap available for TLS? (Yes/No)]]="yes",WWWW[[#This Row],['#_Constructed/Existing hand washing stations at TLS/CFS/THF]],0)</f>
        <v>4</v>
      </c>
      <c r="DY126" s="428">
        <f>IF(WWWW[[#This Row],['# Functional hand washing stations during reporting period]]*100&gt;WWWW[[#This Row],[Total PoP ]],WWWW[[#This Row],[Total PoP ]],WWWW[[#This Row],['# Functional hand washing stations during reporting period]]*100)</f>
        <v>70</v>
      </c>
      <c r="DZ126" s="428" t="str">
        <f>IF(OR(WWWW[[#This Row],['#_students at TLS_CFS]]="",WWWW[[#This Row],['#_students at TLS_CFS]]=0),"No","Yes")</f>
        <v>No</v>
      </c>
      <c r="EA126" s="631">
        <f>IF(WWWW[[#This Row],['#_of_affected_people_surveyed_who_report_feeling_informed_about_the_different_WASH_services_available_to_them]]="","",WWWW[[#This Row],['#_of_affected_people_surveyed_who_report_feeling_informed_about_the_different_WASH_services_available_to_them]]/WWWW[[#This Row],[Total PoP ]])</f>
        <v>2.8571428571428571E-2</v>
      </c>
      <c r="EB12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6" s="727" t="str">
        <f>VLOOKUP(WWWW[[#This Row],[Site Name]],SiteDB6[[Site Name]:[CCCM Management]],6,FALSE)</f>
        <v>Yes</v>
      </c>
      <c r="EF126" s="727" t="str">
        <f>VLOOKUP(WWWW[[#This Row],[Site Name]],SiteDB6[[Site Name]:[CCCM Focal Agency]],7,FALSE)</f>
        <v>Shalom</v>
      </c>
      <c r="EG126" s="727" t="str">
        <f>VLOOKUP(WWWW[[#This Row],[Site Name]],SiteDB6[[Site Name]:[Location Type 1]],9,FALSE)</f>
        <v>Camp</v>
      </c>
      <c r="EH126" s="727" t="str">
        <f>VLOOKUP(WWWW[[#This Row],[Site Name]],SiteDB6[[Site Name]:[Type of Accommodation]],10,FALSE)</f>
        <v>Camp like setting</v>
      </c>
      <c r="EI126" s="727" t="str">
        <f>VLOOKUP(WWWW[[#This Row],[Site Name]],SiteDB6[[Site Name]:[Ethnic or GCA/NGCA]],11,FALSE)</f>
        <v>GCA</v>
      </c>
      <c r="EJ126" s="727">
        <f>VLOOKUP(WWWW[[#This Row],[Site Name]],SiteDB6[[Site Name]:[Lat]],12,FALSE)</f>
        <v>25.56551</v>
      </c>
      <c r="EK126" s="727">
        <f>VLOOKUP(WWWW[[#This Row],[Site Name]],SiteDB6[[Site Name]:[Long]],13,FALSE)</f>
        <v>96.279200000000003</v>
      </c>
      <c r="EL126" s="727" t="str">
        <f>VLOOKUP(WWWW[[#This Row],[Site Name]],SiteDB6[[Site Name]:[Pcode]],3,FALSE)</f>
        <v>MMR001CMP182</v>
      </c>
      <c r="EM126" s="732" t="str">
        <f t="shared" si="1"/>
        <v>Covered</v>
      </c>
      <c r="EN126" s="732"/>
      <c r="EO126" s="727">
        <f>VLOOKUP(WWWW[[#This Row],[Site Name]],SiteDB6[[Site Name]:[Pop
(Kachin/Shan-CCCM as of July 2021)]],16,FALSE)</f>
        <v>16</v>
      </c>
      <c r="EP126" s="727">
        <f>VLOOKUP(WWWW[[#This Row],[Site Name]],SiteDB6[[Site Name]:[Pop
(Kachin/Shan-CCCM as of July 2021)]],17,FALSE)</f>
        <v>70</v>
      </c>
    </row>
    <row r="127" spans="1:146" hidden="1">
      <c r="A127" s="725" t="s">
        <v>2763</v>
      </c>
      <c r="B127" s="725" t="s">
        <v>276</v>
      </c>
      <c r="C127" s="726" t="s">
        <v>276</v>
      </c>
      <c r="D127" s="369" t="s">
        <v>292</v>
      </c>
      <c r="E127" s="726" t="s">
        <v>37</v>
      </c>
      <c r="F127" s="726" t="s">
        <v>195</v>
      </c>
      <c r="G127" s="591" t="str">
        <f>VLOOKUP(WWWW[[#This Row],[Site Name]],SiteDB6[[Site Name]:[Location Type]],8,FALSE)</f>
        <v>Camp</v>
      </c>
      <c r="H127" s="726" t="s">
        <v>280</v>
      </c>
      <c r="I127" s="448">
        <v>610</v>
      </c>
      <c r="J127" s="448">
        <v>3860</v>
      </c>
      <c r="K127" s="588">
        <v>44652</v>
      </c>
      <c r="L127" s="589">
        <v>44895</v>
      </c>
      <c r="M127" s="728"/>
      <c r="N127" s="728"/>
      <c r="O127" s="728"/>
      <c r="P127" s="728"/>
      <c r="Q127" s="731" t="s">
        <v>41</v>
      </c>
      <c r="R127" s="728">
        <v>20</v>
      </c>
      <c r="S127" s="728">
        <v>14</v>
      </c>
      <c r="T127" s="448">
        <v>1</v>
      </c>
      <c r="U127" s="728"/>
      <c r="V127" s="728"/>
      <c r="W127" s="728">
        <v>23</v>
      </c>
      <c r="X127" s="728"/>
      <c r="Y127" s="728"/>
      <c r="Z127" s="448">
        <v>9</v>
      </c>
      <c r="AA127" s="728"/>
      <c r="AB127" s="728"/>
      <c r="AC127" s="728"/>
      <c r="AD127" s="728"/>
      <c r="AE127" s="728"/>
      <c r="AF127" s="728"/>
      <c r="AG127" s="728"/>
      <c r="AH127" s="728"/>
      <c r="AI127" s="902">
        <v>15</v>
      </c>
      <c r="AJ127" s="902">
        <v>15</v>
      </c>
      <c r="AK127" s="902">
        <v>27</v>
      </c>
      <c r="AL127" s="902">
        <v>27</v>
      </c>
      <c r="AM127" s="728">
        <v>19</v>
      </c>
      <c r="AN127" s="728"/>
      <c r="AO127" s="728"/>
      <c r="AP127" s="743"/>
      <c r="AQ127" s="728">
        <v>149</v>
      </c>
      <c r="AR127" s="728"/>
      <c r="AS127" s="733"/>
      <c r="AT127" s="728"/>
      <c r="AU127" s="742"/>
      <c r="AV127" s="742"/>
      <c r="AW127" s="742"/>
      <c r="AX127" s="728"/>
      <c r="AY127" s="727" t="s">
        <v>41</v>
      </c>
      <c r="AZ127" s="732" t="s">
        <v>137</v>
      </c>
      <c r="BA127" s="728"/>
      <c r="BB127" s="728"/>
      <c r="BC127" s="728"/>
      <c r="BD127" s="448"/>
      <c r="BE127" s="448">
        <v>23</v>
      </c>
      <c r="BF127" s="727"/>
      <c r="BG127" s="728">
        <v>11</v>
      </c>
      <c r="BH127" s="728"/>
      <c r="BI127" s="728"/>
      <c r="BJ127" s="728">
        <v>15</v>
      </c>
      <c r="BK127" s="728"/>
      <c r="BL127" s="728">
        <v>1</v>
      </c>
      <c r="BM127" s="728">
        <v>5</v>
      </c>
      <c r="BN127" s="742"/>
      <c r="BO127" s="728"/>
      <c r="BP127" s="727"/>
      <c r="BQ127" s="744"/>
      <c r="BR127" s="733"/>
      <c r="BS127" s="727"/>
      <c r="BT127" s="903">
        <v>0.9838709677419355</v>
      </c>
      <c r="BU127" s="903">
        <v>0.967741935483871</v>
      </c>
      <c r="BV127" s="590">
        <v>58</v>
      </c>
      <c r="BW127" s="903">
        <v>0.5</v>
      </c>
      <c r="BX127" s="448"/>
      <c r="BY127" s="448"/>
      <c r="BZ127" s="448"/>
      <c r="CA127" s="448"/>
      <c r="CB127" s="448"/>
      <c r="CC127" s="777"/>
      <c r="CD127" s="448"/>
      <c r="CE127" s="735">
        <f>IFERROR(WWWW[[#This Row],['#_Water sources passed]]/WWWW[[#This Row],['#_Water sources tested for fecal coliform ]],"no test")</f>
        <v>1</v>
      </c>
      <c r="CF127" s="733">
        <f>IFERROR(WWWW[[#This Row],['#_Household passed]]/WWWW[[#This Row],['#_Household water samples tested for fecal coliform]],"no test")</f>
        <v>1</v>
      </c>
      <c r="CG127" s="734" t="str">
        <f>IF(AND(WWWW[[#This Row],[% of water sources passed]]="no test",WWWW[[#This Row],[% Household passed]]="no test"),"No Test","Tested")</f>
        <v>Tested</v>
      </c>
      <c r="CH127" s="734">
        <f>WWWW[[#This Row],['#_Constructed/existing protected hand dug well]]-WWWW[[#This Row],['#_Non-functional protected hand dug well]]</f>
        <v>1</v>
      </c>
      <c r="CI127" s="734">
        <f>(WWWW[[#This Row],['#_Constructed/Existing tube wells/boreholes/handpumps_WASH_agency]]+WWWW[[#This Row],['#_Non-Cluster partner water tube-wells/boreholes/handpumps]])-WWWW[[#This Row],['#_Non-functional tube wells/boreholes/handpumps]]</f>
        <v>23</v>
      </c>
      <c r="CJ127" s="734">
        <f>WWWW[[#This Row],['#_Constructed/Existingwater storage tank with gravity fed reticulation system]]-WWWW[[#This Row],['#_Non-functional storage tank gravity fed reticulation system]]</f>
        <v>0</v>
      </c>
      <c r="CK127" s="734">
        <f>(WWWW[[#This Row],['#_Water_Liters_supplied_by_Water boating or water trucking]]/90)/15</f>
        <v>0</v>
      </c>
      <c r="CL127" s="734">
        <f>WWWW[[#This Row],['#_Water_Liters_from_Constructed/Existing water distribution system from river or natural spring]]/90/15</f>
        <v>0</v>
      </c>
      <c r="CM127" s="424">
        <f>IF(WWWW[[#This Row],['#_of water points in TLS/CFS]]*500&gt;WWWW[[#This Row],[Total PoP ]],WWWW[[#This Row],[Total PoP ]],WWWW[[#This Row],['#_of water points in TLS/CFS]]*500)</f>
        <v>0</v>
      </c>
      <c r="CN127" s="424">
        <f>IF(WWWW[[#This Row],['#_of water points in THF]]*500&gt;WWWW[[#This Row],[Total PoP ]],WWWW[[#This Row],[Total PoP ]],WWWW[[#This Row],['#_of water points in THF]]*500)</f>
        <v>0</v>
      </c>
      <c r="CO12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7" s="733">
        <f>IF(WWWW[[#This Row],[Location Type 1]]="Village",WWWW[[#This Row],[Access to safe drinking water for Village]],WWWW[[#This Row],[Access to safe drinking water for Camp]])</f>
        <v>1</v>
      </c>
      <c r="CR127" s="731">
        <f>WWWW[[#This Row],[%Equitable and continuous access to sufficient quantity of safe drinking water]]*WWWW[[#This Row],[Total PoP ]]</f>
        <v>3860</v>
      </c>
      <c r="CS127" s="733">
        <f>IF((WWWW[[#This Row],['#_Constructed/Existing protected/fenced ponds]]*250)/WWWW[[#This Row],[Total PoP ]]&gt;1,1,(WWWW[[#This Row],['#_Constructed/Existing protected/fenced ponds]]*250)/WWWW[[#This Row],[Total PoP ]])</f>
        <v>0</v>
      </c>
      <c r="CT127" s="731">
        <f>WWWW[[#This Row],[% Access to unimproved water points]]*WWWW[[#This Row],[Total PoP ]]</f>
        <v>0</v>
      </c>
      <c r="CU12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3860</v>
      </c>
      <c r="CW127" s="731">
        <f>WWWW[[#This Row],[HRP1]]/500</f>
        <v>7.72</v>
      </c>
      <c r="CX127" s="736">
        <f>1-WWWW[[#This Row],[% Equitable and continuous access to sufficient quantity of domestic water]]</f>
        <v>0</v>
      </c>
      <c r="CY127" s="731">
        <f>WWWW[[#This Row],[%equitable and continuous access to sufficient quantity of safe drinking and domestic water''s GAP]]*WWWW[[#This Row],[Total PoP ]]</f>
        <v>0</v>
      </c>
      <c r="CZ127" s="734">
        <f>IF(WWWW[[#This Row],[Total required water points]]-WWWW[[#This Row],['#Water points coverage]]&lt;0,0,WWWW[[#This Row],[Total required water points]]-WWWW[[#This Row],['#Water points coverage]])</f>
        <v>0.28000000000000025</v>
      </c>
      <c r="DA127" s="734">
        <f>ROUND(IF(WWWW[[#This Row],[Total PoP ]]&lt;500,1,WWWW[[#This Row],[Total PoP ]]/500),0)</f>
        <v>8</v>
      </c>
      <c r="DB127" s="734">
        <f>(WWWW[[#This Row],['#_Constructed latrines_by_WASHAgencies]]+WWWW[[#This Row],['#_Non Cluster partner latrines]])-WWWW[[#This Row],['#_Non-functional latrines]]</f>
        <v>149</v>
      </c>
      <c r="DC127" s="631">
        <f>WWWW[[#This Row],[HRP2]]/WWWW[[#This Row],[Total PoP ]]</f>
        <v>0.77797927461139893</v>
      </c>
      <c r="DD12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3003</v>
      </c>
      <c r="DE12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7" s="424">
        <f>IF(WWWW[[#This Row],['# of functional latrines in THF supported by WASH partners during the reporting period2]]="",0,WWWW[[#This Row],['# of functional latrines in THF supported by WASH partners during the reporting period2]]*50)</f>
        <v>0</v>
      </c>
      <c r="DH127" s="734">
        <f>ROUND(IF(WWWW[[#This Row],[Location Type 1]]="camp",WWWW[[#This Row],[Total PoP ]]/20,IF(WWWW[[#This Row],[Location Type 1]]="Temporary Location",WWWW[[#This Row],[Total PoP ]]/50,(WWWW[[#This Row],[Total PoP ]]/6))),0)</f>
        <v>193</v>
      </c>
      <c r="DI127" s="734">
        <f>IF(WWWW[[#This Row],[Total required Latrines]]-(WWWW[[#This Row],['#_Constructed latrines_by_WASHAgencies]]+WWWW[[#This Row],['#_Non Cluster partner latrines]])&lt;0,0,WWWW[[#This Row],[Total required Latrines]]-(WWWW[[#This Row],['#_Constructed latrines_by_WASHAgencies]]+WWWW[[#This Row],['#_Non Cluster partner latrines]]))</f>
        <v>44</v>
      </c>
      <c r="DJ127" s="736">
        <f>1-WWWW[[#This Row],[% people access to functioning Latrine]]</f>
        <v>0.22202072538860107</v>
      </c>
      <c r="DK127" s="735">
        <f>IF(OR(WWWW[[#This Row],['#_Non-functional latrines]]="",WWWW[[#This Row],['#_Non-functional latrines]]=0),0,WWWW[[#This Row],['#_Non-functional latrines]]/(WWWW[[#This Row],['#_Constructed latrines_by_WASHAgencies]]+WWWW[[#This Row],['#_Non Cluster partner latrines]]))</f>
        <v>0</v>
      </c>
      <c r="DL127" s="731">
        <f>IF(500*(WWWW[[#This Row],['#_male hygiene promoters]]+WWWW[[#This Row],['#_female hygiene promoters]])&gt;WWWW[[#This Row],[Total PoP ]],WWWW[[#This Row],[Total PoP ]],500*(WWWW[[#This Row],['#_male hygiene promoters]]+WWWW[[#This Row],['#_female hygiene promoters]]))</f>
        <v>3000</v>
      </c>
      <c r="DM12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2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27" s="734">
        <f>IF(WWWW[[#This Row],['# People with access to soap]]&gt;WWWW[[#This Row],['# People with access to Sanity Pads]],WWWW[[#This Row],['# People with access to soap]],WWWW[[#This Row],['# People with access to Sanity Pads]])</f>
        <v>0</v>
      </c>
      <c r="DP127" s="734">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Q127" s="736">
        <f>IF(WWWW[[#This Row],[HRP3]]/WWWW[[#This Row],[Total PoP ]]&gt;1,1,WWWW[[#This Row],[HRP3]]/WWWW[[#This Row],[Total PoP ]])</f>
        <v>0.77720207253886009</v>
      </c>
      <c r="DR127" s="735">
        <f>1-WWWW[[#This Row],[Hygiene Coverage%]]</f>
        <v>0.22279792746113991</v>
      </c>
      <c r="DS127" s="733">
        <f>WWWW[[#This Row],['# people reached by regular dedicated hygiene promotion_5]]/WWWW[[#This Row],[Total PoP ]]</f>
        <v>0.77720207253886009</v>
      </c>
      <c r="DT12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2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27" s="734">
        <f>WWWW[[#This Row],['#_Constructed/Existing hand washing stations]]-WWWW[[#This Row],['#_Non-Functional_hand_washing_stations]]</f>
        <v>11</v>
      </c>
      <c r="DW127" s="731">
        <f>IF(WWWW[[#This Row],['# Functional hand washing stations during reporting period]]*20&gt;WWWW[[#This Row],[Total HH]],WWWW[[#This Row],[Total HH]],WWWW[[#This Row],['# Functional hand washing stations during reporting period]]*20)</f>
        <v>220</v>
      </c>
      <c r="DX127" s="731">
        <f>IF(WWWW[[#This Row],[Is sufficient soap available for TLS? (Yes/No)]]="yes",WWWW[[#This Row],['#_Constructed/Existing hand washing stations at TLS/CFS/THF]],0)</f>
        <v>0</v>
      </c>
      <c r="DY127" s="428">
        <f>IF(WWWW[[#This Row],['# Functional hand washing stations during reporting period]]*100&gt;WWWW[[#This Row],[Total PoP ]],WWWW[[#This Row],[Total PoP ]],WWWW[[#This Row],['# Functional hand washing stations during reporting period]]*100)</f>
        <v>1100</v>
      </c>
      <c r="DZ127" s="428" t="str">
        <f>IF(OR(WWWW[[#This Row],['#_students at TLS_CFS]]="",WWWW[[#This Row],['#_students at TLS_CFS]]=0),"No","Yes")</f>
        <v>No</v>
      </c>
      <c r="EA127" s="631">
        <f>IF(WWWW[[#This Row],['#_of_affected_people_surveyed_who_report_feeling_informed_about_the_different_WASH_services_available_to_them]]="","",WWWW[[#This Row],['#_of_affected_people_surveyed_who_report_feeling_informed_about_the_different_WASH_services_available_to_them]]/WWWW[[#This Row],[Total PoP ]])</f>
        <v>1.5025906735751295E-2</v>
      </c>
      <c r="EB12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7" s="727" t="str">
        <f>VLOOKUP(WWWW[[#This Row],[Site Name]],SiteDB6[[Site Name]:[CCCM Management]],6,FALSE)</f>
        <v>Yes</v>
      </c>
      <c r="EF127" s="727" t="str">
        <f>VLOOKUP(WWWW[[#This Row],[Site Name]],SiteDB6[[Site Name]:[CCCM Focal Agency]],7,FALSE)</f>
        <v>KBC-BMO</v>
      </c>
      <c r="EG127" s="727" t="str">
        <f>VLOOKUP(WWWW[[#This Row],[Site Name]],SiteDB6[[Site Name]:[Location Type 1]],9,FALSE)</f>
        <v>Camp</v>
      </c>
      <c r="EH127" s="727" t="str">
        <f>VLOOKUP(WWWW[[#This Row],[Site Name]],SiteDB6[[Site Name]:[Type of Accommodation]],10,FALSE)</f>
        <v>Camp</v>
      </c>
      <c r="EI127" s="727" t="str">
        <f>VLOOKUP(WWWW[[#This Row],[Site Name]],SiteDB6[[Site Name]:[Ethnic or GCA/NGCA]],11,FALSE)</f>
        <v>GCA</v>
      </c>
      <c r="EJ127" s="727">
        <f>VLOOKUP(WWWW[[#This Row],[Site Name]],SiteDB6[[Site Name]:[Lat]],12,FALSE)</f>
        <v>24.268292826086999</v>
      </c>
      <c r="EK127" s="727">
        <f>VLOOKUP(WWWW[[#This Row],[Site Name]],SiteDB6[[Site Name]:[Long]],13,FALSE)</f>
        <v>97.229116811594196</v>
      </c>
      <c r="EL127" s="727" t="str">
        <f>VLOOKUP(WWWW[[#This Row],[Site Name]],SiteDB6[[Site Name]:[Pcode]],3,FALSE)</f>
        <v>MMR001CMP047</v>
      </c>
      <c r="EM127" s="732" t="str">
        <f t="shared" si="1"/>
        <v>Covered</v>
      </c>
      <c r="EN127" s="732"/>
      <c r="EO127" s="727">
        <f>VLOOKUP(WWWW[[#This Row],[Site Name]],SiteDB6[[Site Name]:[Pop
(Kachin/Shan-CCCM as of July 2021)]],16,FALSE)</f>
        <v>597</v>
      </c>
      <c r="EP127" s="727">
        <f>VLOOKUP(WWWW[[#This Row],[Site Name]],SiteDB6[[Site Name]:[Pop
(Kachin/Shan-CCCM as of July 2021)]],17,FALSE)</f>
        <v>3765</v>
      </c>
    </row>
    <row r="128" spans="1:146" hidden="1">
      <c r="A128" s="725" t="s">
        <v>2763</v>
      </c>
      <c r="B128" s="369" t="s">
        <v>309</v>
      </c>
      <c r="C128" s="369" t="s">
        <v>309</v>
      </c>
      <c r="D128" s="726"/>
      <c r="E128" s="726" t="s">
        <v>37</v>
      </c>
      <c r="F128" s="726" t="s">
        <v>195</v>
      </c>
      <c r="G128" s="591" t="str">
        <f>VLOOKUP(WWWW[[#This Row],[Site Name]],SiteDB6[[Site Name]:[Location Type]],8,FALSE)</f>
        <v>Camp_not registered</v>
      </c>
      <c r="H128" s="726" t="s">
        <v>2202</v>
      </c>
      <c r="I128" s="728"/>
      <c r="J128" s="728"/>
      <c r="K128" s="729">
        <v>43833</v>
      </c>
      <c r="L128" s="730">
        <v>44620</v>
      </c>
      <c r="M128" s="728"/>
      <c r="N128" s="728"/>
      <c r="O128" s="728"/>
      <c r="P128" s="728"/>
      <c r="Q128" s="731" t="s">
        <v>41</v>
      </c>
      <c r="R128" s="728"/>
      <c r="S128" s="728"/>
      <c r="T128" s="448"/>
      <c r="U128" s="728"/>
      <c r="V128" s="728"/>
      <c r="W128" s="728">
        <v>5</v>
      </c>
      <c r="X128" s="728"/>
      <c r="Y128" s="728"/>
      <c r="Z128" s="728"/>
      <c r="AA128" s="728"/>
      <c r="AB128" s="728"/>
      <c r="AC128" s="728"/>
      <c r="AD128" s="728"/>
      <c r="AE128" s="728"/>
      <c r="AF128" s="728"/>
      <c r="AG128" s="728"/>
      <c r="AH128" s="728"/>
      <c r="AI128" s="728"/>
      <c r="AJ128" s="728"/>
      <c r="AK128" s="728"/>
      <c r="AL128" s="728"/>
      <c r="AM128" s="728"/>
      <c r="AN128" s="728"/>
      <c r="AO128" s="728"/>
      <c r="AP128" s="732"/>
      <c r="AQ128" s="728">
        <v>18</v>
      </c>
      <c r="AR128" s="728"/>
      <c r="AS128" s="733"/>
      <c r="AT128" s="728"/>
      <c r="AU128" s="728"/>
      <c r="AV128" s="728"/>
      <c r="AW128" s="728"/>
      <c r="AX128" s="728"/>
      <c r="AY128" s="727" t="s">
        <v>41</v>
      </c>
      <c r="AZ128" s="732" t="s">
        <v>140</v>
      </c>
      <c r="BA128" s="728"/>
      <c r="BB128" s="728"/>
      <c r="BC128" s="728"/>
      <c r="BD128" s="448"/>
      <c r="BE128" s="448"/>
      <c r="BF128" s="727"/>
      <c r="BG128" s="728">
        <v>7</v>
      </c>
      <c r="BH128" s="728"/>
      <c r="BI128" s="728"/>
      <c r="BJ128" s="728">
        <v>4</v>
      </c>
      <c r="BK128" s="728"/>
      <c r="BL128" s="728"/>
      <c r="BM128" s="728"/>
      <c r="BN128" s="728">
        <v>124</v>
      </c>
      <c r="BO128" s="728">
        <v>198</v>
      </c>
      <c r="BP128" s="727"/>
      <c r="BQ128" s="734"/>
      <c r="BR128" s="733"/>
      <c r="BS128" s="727"/>
      <c r="BT128" s="423"/>
      <c r="BU128" s="423"/>
      <c r="BV128" s="425"/>
      <c r="BW128" s="423"/>
      <c r="BX128" s="448"/>
      <c r="BY128" s="448"/>
      <c r="BZ128" s="448"/>
      <c r="CA128" s="448"/>
      <c r="CB128" s="448"/>
      <c r="CC128" s="777"/>
      <c r="CD128" s="448"/>
      <c r="CE128" s="735" t="str">
        <f>IFERROR(WWWW[[#This Row],['#_Water sources passed]]/WWWW[[#This Row],['#_Water sources tested for fecal coliform ]],"no test")</f>
        <v>no test</v>
      </c>
      <c r="CF128" s="733" t="str">
        <f>IFERROR(WWWW[[#This Row],['#_Household passed]]/WWWW[[#This Row],['#_Household water samples tested for fecal coliform]],"no test")</f>
        <v>no test</v>
      </c>
      <c r="CG128" s="734" t="str">
        <f>IF(AND(WWWW[[#This Row],[% of water sources passed]]="no test",WWWW[[#This Row],[% Household passed]]="no test"),"No Test","Tested")</f>
        <v>No Test</v>
      </c>
      <c r="CH128" s="734">
        <f>WWWW[[#This Row],['#_Constructed/existing protected hand dug well]]-WWWW[[#This Row],['#_Non-functional protected hand dug well]]</f>
        <v>0</v>
      </c>
      <c r="CI128" s="734">
        <f>(WWWW[[#This Row],['#_Constructed/Existing tube wells/boreholes/handpumps_WASH_agency]]+WWWW[[#This Row],['#_Non-Cluster partner water tube-wells/boreholes/handpumps]])-WWWW[[#This Row],['#_Non-functional tube wells/boreholes/handpumps]]</f>
        <v>5</v>
      </c>
      <c r="CJ128" s="734">
        <f>WWWW[[#This Row],['#_Constructed/Existingwater storage tank with gravity fed reticulation system]]-WWWW[[#This Row],['#_Non-functional storage tank gravity fed reticulation system]]</f>
        <v>0</v>
      </c>
      <c r="CK128" s="734">
        <f>(WWWW[[#This Row],['#_Water_Liters_supplied_by_Water boating or water trucking]]/90)/15</f>
        <v>0</v>
      </c>
      <c r="CL128" s="734">
        <f>WWWW[[#This Row],['#_Water_Liters_from_Constructed/Existing water distribution system from river or natural spring]]/90/15</f>
        <v>0</v>
      </c>
      <c r="CM128" s="424">
        <f>IF(WWWW[[#This Row],['#_of water points in TLS/CFS]]*500&gt;WWWW[[#This Row],[Total PoP ]],WWWW[[#This Row],[Total PoP ]],WWWW[[#This Row],['#_of water points in TLS/CFS]]*500)</f>
        <v>0</v>
      </c>
      <c r="CN128" s="424">
        <f>IF(WWWW[[#This Row],['#_of water points in THF]]*500&gt;WWWW[[#This Row],[Total PoP ]],WWWW[[#This Row],[Total PoP ]],WWWW[[#This Row],['#_of water points in THF]]*500)</f>
        <v>0</v>
      </c>
      <c r="CO128" s="735"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128" s="735"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128" s="733" t="str">
        <f>IF(WWWW[[#This Row],[Location Type 1]]="Village",WWWW[[#This Row],[Access to safe drinking water for Village]],WWWW[[#This Row],[Access to safe drinking water for Camp]])</f>
        <v/>
      </c>
      <c r="CR128" s="731"/>
      <c r="CS128" s="733"/>
      <c r="CT128" s="731">
        <f>WWWW[[#This Row],[% Access to unimproved water points]]*WWWW[[#This Row],[Total PoP ]]</f>
        <v>0</v>
      </c>
      <c r="CU128" s="733"/>
      <c r="CV128" s="731"/>
      <c r="CW128" s="731">
        <f>WWWW[[#This Row],[HRP1]]/500</f>
        <v>0</v>
      </c>
      <c r="CX128" s="736"/>
      <c r="CY128" s="731"/>
      <c r="CZ128" s="734">
        <f>IF(WWWW[[#This Row],[Total required water points]]-WWWW[[#This Row],['#Water points coverage]]&lt;0,0,WWWW[[#This Row],[Total required water points]]-WWWW[[#This Row],['#Water points coverage]])</f>
        <v>1</v>
      </c>
      <c r="DA128" s="734">
        <f>ROUND(IF(WWWW[[#This Row],[Total PoP ]]&lt;500,1,WWWW[[#This Row],[Total PoP ]]/500),0)</f>
        <v>1</v>
      </c>
      <c r="DB128" s="734">
        <f>(WWWW[[#This Row],['#_Constructed latrines_by_WASHAgencies]]+WWWW[[#This Row],['#_Non Cluster partner latrines]])-WWWW[[#This Row],['#_Non-functional latrines]]</f>
        <v>18</v>
      </c>
      <c r="DC128" s="631"/>
      <c r="DD12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8" s="424">
        <f>IF(WWWW[[#This Row],['# of functional latrines in THF supported by WASH partners during the reporting period2]]="",0,WWWW[[#This Row],['# of functional latrines in THF supported by WASH partners during the reporting period2]]*50)</f>
        <v>0</v>
      </c>
      <c r="DH128" s="734">
        <f>ROUND(IF(WWWW[[#This Row],[Location Type 1]]="camp",WWWW[[#This Row],[Total PoP ]]/20,IF(WWWW[[#This Row],[Location Type 1]]="Temporary Location",WWWW[[#This Row],[Total PoP ]]/50,(WWWW[[#This Row],[Total PoP ]]/6))),0)</f>
        <v>0</v>
      </c>
      <c r="DI128" s="734">
        <f>IF(WWWW[[#This Row],[Total required Latrines]]-(WWWW[[#This Row],['#_Constructed latrines_by_WASHAgencies]]+WWWW[[#This Row],['#_Non Cluster partner latrines]])&lt;0,0,WWWW[[#This Row],[Total required Latrines]]-(WWWW[[#This Row],['#_Constructed latrines_by_WASHAgencies]]+WWWW[[#This Row],['#_Non Cluster partner latrines]]))</f>
        <v>0</v>
      </c>
      <c r="DJ128" s="736"/>
      <c r="DK128" s="735"/>
      <c r="DL128" s="731">
        <f>IF(500*(WWWW[[#This Row],['#_male hygiene promoters]]+WWWW[[#This Row],['#_female hygiene promoters]])&gt;WWWW[[#This Row],[Total PoP ]],WWWW[[#This Row],[Total PoP ]],500*(WWWW[[#This Row],['#_male hygiene promoters]]+WWWW[[#This Row],['#_female hygiene promoters]]))</f>
        <v>0</v>
      </c>
      <c r="DM12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2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28" s="734">
        <f>IF(WWWW[[#This Row],['# People with access to soap]]&gt;WWWW[[#This Row],['# People with access to Sanity Pads]],WWWW[[#This Row],['# People with access to soap]],WWWW[[#This Row],['# People with access to Sanity Pads]])</f>
        <v>0</v>
      </c>
      <c r="DP128" s="73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128" s="736"/>
      <c r="DR128" s="735"/>
      <c r="DS128" s="733"/>
      <c r="DT128" s="735"/>
      <c r="DU128" s="733"/>
      <c r="DV128" s="734">
        <f>WWWW[[#This Row],['#_Constructed/Existing hand washing stations]]-WWWW[[#This Row],['#_Non-Functional_hand_washing_stations]]</f>
        <v>7</v>
      </c>
      <c r="DW128" s="731">
        <f>IF(WWWW[[#This Row],['# Functional hand washing stations during reporting period]]*20&gt;WWWW[[#This Row],[Total HH]],WWWW[[#This Row],[Total HH]],WWWW[[#This Row],['# Functional hand washing stations during reporting period]]*20)</f>
        <v>0</v>
      </c>
      <c r="DX128" s="731">
        <f>IF(WWWW[[#This Row],[Is sufficient soap available for TLS? (Yes/No)]]="yes",WWWW[[#This Row],['#_Constructed/Existing hand washing stations at TLS/CFS/THF]],0)</f>
        <v>0</v>
      </c>
      <c r="DY128" s="428">
        <f>IF(WWWW[[#This Row],['# Functional hand washing stations during reporting period]]*100&gt;WWWW[[#This Row],[Total PoP ]],WWWW[[#This Row],[Total PoP ]],WWWW[[#This Row],['# Functional hand washing stations during reporting period]]*100)</f>
        <v>0</v>
      </c>
      <c r="DZ128" s="428" t="str">
        <f>IF(OR(WWWW[[#This Row],['#_students at TLS_CFS]]="",WWWW[[#This Row],['#_students at TLS_CFS]]=0),"No","Yes")</f>
        <v>No</v>
      </c>
      <c r="EA12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8" s="727" t="str">
        <f>VLOOKUP(WWWW[[#This Row],[Site Name]],SiteDB6[[Site Name]:[CCCM Management]],6,FALSE)</f>
        <v>No</v>
      </c>
      <c r="EF128" s="727">
        <f>VLOOKUP(WWWW[[#This Row],[Site Name]],SiteDB6[[Site Name]:[CCCM Focal Agency]],7,FALSE)</f>
        <v>0</v>
      </c>
      <c r="EG128" s="727" t="str">
        <f>VLOOKUP(WWWW[[#This Row],[Site Name]],SiteDB6[[Site Name]:[Location Type 1]],9,FALSE)</f>
        <v>Camp</v>
      </c>
      <c r="EH128" s="727" t="str">
        <f>VLOOKUP(WWWW[[#This Row],[Site Name]],SiteDB6[[Site Name]:[Type of Accommodation]],10,FALSE)</f>
        <v>Camp</v>
      </c>
      <c r="EI128" s="727" t="str">
        <f>VLOOKUP(WWWW[[#This Row],[Site Name]],SiteDB6[[Site Name]:[Ethnic or GCA/NGCA]],11,FALSE)</f>
        <v>GCA</v>
      </c>
      <c r="EJ128" s="727">
        <f>VLOOKUP(WWWW[[#This Row],[Site Name]],SiteDB6[[Site Name]:[Lat]],12,FALSE)</f>
        <v>0</v>
      </c>
      <c r="EK128" s="727">
        <f>VLOOKUP(WWWW[[#This Row],[Site Name]],SiteDB6[[Site Name]:[Long]],13,FALSE)</f>
        <v>0</v>
      </c>
      <c r="EL128" s="727">
        <f>VLOOKUP(WWWW[[#This Row],[Site Name]],SiteDB6[[Site Name]:[Pcode]],3,FALSE)</f>
        <v>0</v>
      </c>
      <c r="EM128" s="732" t="str">
        <f t="shared" si="1"/>
        <v>Notcovered</v>
      </c>
      <c r="EN128" s="732"/>
      <c r="EO128" s="727">
        <f>VLOOKUP(WWWW[[#This Row],[Site Name]],SiteDB6[[Site Name]:[Pop
(Kachin/Shan-CCCM as of July 2021)]],16,FALSE)</f>
        <v>0</v>
      </c>
      <c r="EP128" s="727">
        <f>VLOOKUP(WWWW[[#This Row],[Site Name]],SiteDB6[[Site Name]:[Pop
(Kachin/Shan-CCCM as of July 2021)]],17,FALSE)</f>
        <v>0</v>
      </c>
    </row>
    <row r="129" spans="1:146" hidden="1">
      <c r="A129" s="725" t="s">
        <v>2763</v>
      </c>
      <c r="B129" s="725" t="s">
        <v>309</v>
      </c>
      <c r="C129" s="726" t="s">
        <v>309</v>
      </c>
      <c r="D129" s="726"/>
      <c r="E129" s="726" t="s">
        <v>37</v>
      </c>
      <c r="F129" s="726" t="s">
        <v>142</v>
      </c>
      <c r="G129" s="591" t="str">
        <f>VLOOKUP(WWWW[[#This Row],[Site Name]],SiteDB6[[Site Name]:[Location Type]],8,FALSE)</f>
        <v>Camp</v>
      </c>
      <c r="H129" s="726" t="s">
        <v>778</v>
      </c>
      <c r="I129" s="728">
        <v>45</v>
      </c>
      <c r="J129" s="728">
        <v>247</v>
      </c>
      <c r="K129" s="729" t="s">
        <v>2650</v>
      </c>
      <c r="L129" s="730" t="s">
        <v>2651</v>
      </c>
      <c r="M129" s="728"/>
      <c r="N129" s="728"/>
      <c r="O129" s="728"/>
      <c r="P129" s="728"/>
      <c r="Q129" s="731"/>
      <c r="R129" s="728"/>
      <c r="S129" s="728">
        <v>2</v>
      </c>
      <c r="T129" s="448"/>
      <c r="U129" s="728"/>
      <c r="V129" s="728"/>
      <c r="W129" s="728"/>
      <c r="X129" s="728"/>
      <c r="Y129" s="728"/>
      <c r="Z129" s="728"/>
      <c r="AA129" s="728"/>
      <c r="AB129" s="728"/>
      <c r="AC129" s="728"/>
      <c r="AD129" s="728"/>
      <c r="AE129" s="728"/>
      <c r="AF129" s="728"/>
      <c r="AG129" s="728"/>
      <c r="AH129" s="728"/>
      <c r="AI129" s="728"/>
      <c r="AJ129" s="728"/>
      <c r="AK129" s="728"/>
      <c r="AL129" s="728"/>
      <c r="AM129" s="728"/>
      <c r="AN129" s="728"/>
      <c r="AO129" s="728"/>
      <c r="AP129" s="732"/>
      <c r="AQ129" s="728"/>
      <c r="AR129" s="728"/>
      <c r="AS129" s="733"/>
      <c r="AT129" s="728"/>
      <c r="AU129" s="728"/>
      <c r="AV129" s="728"/>
      <c r="AW129" s="728"/>
      <c r="AX129" s="728"/>
      <c r="AY129" s="425" t="s">
        <v>140</v>
      </c>
      <c r="AZ129" s="860" t="s">
        <v>140</v>
      </c>
      <c r="BA129" s="728"/>
      <c r="BB129" s="728"/>
      <c r="BC129" s="728"/>
      <c r="BD129" s="448"/>
      <c r="BE129" s="448"/>
      <c r="BF129" s="727"/>
      <c r="BG129" s="728">
        <v>1</v>
      </c>
      <c r="BH129" s="728"/>
      <c r="BI129" s="728"/>
      <c r="BJ129" s="728">
        <v>3</v>
      </c>
      <c r="BK129" s="728"/>
      <c r="BL129" s="728"/>
      <c r="BM129" s="728"/>
      <c r="BN129" s="728">
        <v>41</v>
      </c>
      <c r="BO129" s="728">
        <v>85</v>
      </c>
      <c r="BP129" s="727"/>
      <c r="BQ129" s="734"/>
      <c r="BR129" s="733"/>
      <c r="BS129" s="727"/>
      <c r="BT129" s="423"/>
      <c r="BU129" s="423"/>
      <c r="BV129" s="425"/>
      <c r="BW129" s="423"/>
      <c r="BX129" s="448"/>
      <c r="BY129" s="448"/>
      <c r="BZ129" s="448"/>
      <c r="CA129" s="448"/>
      <c r="CB129" s="448"/>
      <c r="CC129" s="777"/>
      <c r="CD129" s="448"/>
      <c r="CE129" s="735" t="str">
        <f>IFERROR(WWWW[[#This Row],['#_Water sources passed]]/WWWW[[#This Row],['#_Water sources tested for fecal coliform ]],"no test")</f>
        <v>no test</v>
      </c>
      <c r="CF129" s="733" t="str">
        <f>IFERROR(WWWW[[#This Row],['#_Household passed]]/WWWW[[#This Row],['#_Household water samples tested for fecal coliform]],"no test")</f>
        <v>no test</v>
      </c>
      <c r="CG129" s="734" t="str">
        <f>IF(AND(WWWW[[#This Row],[% of water sources passed]]="no test",WWWW[[#This Row],[% Household passed]]="no test"),"No Test","Tested")</f>
        <v>No Test</v>
      </c>
      <c r="CH129" s="734">
        <f>WWWW[[#This Row],['#_Constructed/existing protected hand dug well]]-WWWW[[#This Row],['#_Non-functional protected hand dug well]]</f>
        <v>0</v>
      </c>
      <c r="CI129" s="734">
        <f>(WWWW[[#This Row],['#_Constructed/Existing tube wells/boreholes/handpumps_WASH_agency]]+WWWW[[#This Row],['#_Non-Cluster partner water tube-wells/boreholes/handpumps]])-WWWW[[#This Row],['#_Non-functional tube wells/boreholes/handpumps]]</f>
        <v>0</v>
      </c>
      <c r="CJ129" s="734">
        <f>WWWW[[#This Row],['#_Constructed/Existingwater storage tank with gravity fed reticulation system]]-WWWW[[#This Row],['#_Non-functional storage tank gravity fed reticulation system]]</f>
        <v>0</v>
      </c>
      <c r="CK129" s="734">
        <f>(WWWW[[#This Row],['#_Water_Liters_supplied_by_Water boating or water trucking]]/90)/15</f>
        <v>0</v>
      </c>
      <c r="CL129" s="734">
        <f>WWWW[[#This Row],['#_Water_Liters_from_Constructed/Existing water distribution system from river or natural spring]]/90/15</f>
        <v>0</v>
      </c>
      <c r="CM129" s="424">
        <f>IF(WWWW[[#This Row],['#_of water points in TLS/CFS]]*500&gt;WWWW[[#This Row],[Total PoP ]],WWWW[[#This Row],[Total PoP ]],WWWW[[#This Row],['#_of water points in TLS/CFS]]*500)</f>
        <v>0</v>
      </c>
      <c r="CN129" s="424">
        <f>IF(WWWW[[#This Row],['#_of water points in THF]]*500&gt;WWWW[[#This Row],[Total PoP ]],WWWW[[#This Row],[Total PoP ]],WWWW[[#This Row],['#_of water points in THF]]*500)</f>
        <v>0</v>
      </c>
      <c r="CO12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9" s="733">
        <f>IF(WWWW[[#This Row],[Location Type 1]]="Village",WWWW[[#This Row],[Access to safe drinking water for Village]],WWWW[[#This Row],[Access to safe drinking water for Camp]])</f>
        <v>0</v>
      </c>
      <c r="CR129" s="731">
        <f>WWWW[[#This Row],[%Equitable and continuous access to sufficient quantity of safe drinking water]]*WWWW[[#This Row],[Total PoP ]]</f>
        <v>0</v>
      </c>
      <c r="CS129" s="733">
        <f>IF((WWWW[[#This Row],['#_Constructed/Existing protected/fenced ponds]]*250)/WWWW[[#This Row],[Total PoP ]]&gt;1,1,(WWWW[[#This Row],['#_Constructed/Existing protected/fenced ponds]]*250)/WWWW[[#This Row],[Total PoP ]])</f>
        <v>0</v>
      </c>
      <c r="CT129" s="731">
        <f>WWWW[[#This Row],[% Access to unimproved water points]]*WWWW[[#This Row],[Total PoP ]]</f>
        <v>0</v>
      </c>
      <c r="CU12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9" s="731">
        <f>WWWW[[#This Row],[HRP1]]/500</f>
        <v>0</v>
      </c>
      <c r="CX129" s="736">
        <f>1-WWWW[[#This Row],[% Equitable and continuous access to sufficient quantity of domestic water]]</f>
        <v>1</v>
      </c>
      <c r="CY129" s="731">
        <f>WWWW[[#This Row],[%equitable and continuous access to sufficient quantity of safe drinking and domestic water''s GAP]]*WWWW[[#This Row],[Total PoP ]]</f>
        <v>247</v>
      </c>
      <c r="CZ129" s="734">
        <f>IF(WWWW[[#This Row],[Total required water points]]-WWWW[[#This Row],['#Water points coverage]]&lt;0,0,WWWW[[#This Row],[Total required water points]]-WWWW[[#This Row],['#Water points coverage]])</f>
        <v>1</v>
      </c>
      <c r="DA129" s="734">
        <f>ROUND(IF(WWWW[[#This Row],[Total PoP ]]&lt;500,1,WWWW[[#This Row],[Total PoP ]]/500),0)</f>
        <v>1</v>
      </c>
      <c r="DB129" s="734">
        <f>(WWWW[[#This Row],['#_Constructed latrines_by_WASHAgencies]]+WWWW[[#This Row],['#_Non Cluster partner latrines]])-WWWW[[#This Row],['#_Non-functional latrines]]</f>
        <v>0</v>
      </c>
      <c r="DC129" s="631">
        <f>WWWW[[#This Row],[HRP2]]/WWWW[[#This Row],[Total PoP ]]</f>
        <v>0</v>
      </c>
      <c r="DD12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9" s="424">
        <f>IF(WWWW[[#This Row],['# of functional latrines in THF supported by WASH partners during the reporting period2]]="",0,WWWW[[#This Row],['# of functional latrines in THF supported by WASH partners during the reporting period2]]*50)</f>
        <v>0</v>
      </c>
      <c r="DH129" s="734">
        <f>ROUND(IF(WWWW[[#This Row],[Location Type 1]]="camp",WWWW[[#This Row],[Total PoP ]]/20,IF(WWWW[[#This Row],[Location Type 1]]="Temporary Location",WWWW[[#This Row],[Total PoP ]]/50,(WWWW[[#This Row],[Total PoP ]]/6))),0)</f>
        <v>12</v>
      </c>
      <c r="DI129" s="734">
        <f>IF(WWWW[[#This Row],[Total required Latrines]]-(WWWW[[#This Row],['#_Constructed latrines_by_WASHAgencies]]+WWWW[[#This Row],['#_Non Cluster partner latrines]])&lt;0,0,WWWW[[#This Row],[Total required Latrines]]-(WWWW[[#This Row],['#_Constructed latrines_by_WASHAgencies]]+WWWW[[#This Row],['#_Non Cluster partner latrines]]))</f>
        <v>12</v>
      </c>
      <c r="DJ129" s="736">
        <f>1-WWWW[[#This Row],[% people access to functioning Latrine]]</f>
        <v>1</v>
      </c>
      <c r="DK129" s="735">
        <f>IF(OR(WWWW[[#This Row],['#_Non-functional latrines]]="",WWWW[[#This Row],['#_Non-functional latrines]]=0),0,WWWW[[#This Row],['#_Non-functional latrines]]/(WWWW[[#This Row],['#_Constructed latrines_by_WASHAgencies]]+WWWW[[#This Row],['#_Non Cluster partner latrines]]))</f>
        <v>0</v>
      </c>
      <c r="DL129" s="731">
        <f>IF(500*(WWWW[[#This Row],['#_male hygiene promoters]]+WWWW[[#This Row],['#_female hygiene promoters]])&gt;WWWW[[#This Row],[Total PoP ]],WWWW[[#This Row],[Total PoP ]],500*(WWWW[[#This Row],['#_male hygiene promoters]]+WWWW[[#This Row],['#_female hygiene promoters]]))</f>
        <v>0</v>
      </c>
      <c r="DM12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2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29" s="734">
        <f>IF(WWWW[[#This Row],['# People with access to soap]]&gt;WWWW[[#This Row],['# People with access to Sanity Pads]],WWWW[[#This Row],['# People with access to soap]],WWWW[[#This Row],['# People with access to Sanity Pads]])</f>
        <v>205</v>
      </c>
      <c r="DP129" s="734">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129" s="736">
        <f>IF(WWWW[[#This Row],[HRP3]]/WWWW[[#This Row],[Total PoP ]]&gt;1,1,WWWW[[#This Row],[HRP3]]/WWWW[[#This Row],[Total PoP ]])</f>
        <v>0.82995951417004044</v>
      </c>
      <c r="DR129" s="735">
        <f>1-WWWW[[#This Row],[Hygiene Coverage%]]</f>
        <v>0.17004048582995956</v>
      </c>
      <c r="DS129" s="733">
        <f>WWWW[[#This Row],['# people reached by regular dedicated hygiene promotion_5]]/WWWW[[#This Row],[Total PoP ]]</f>
        <v>0</v>
      </c>
      <c r="DT12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9" s="734">
        <f>WWWW[[#This Row],['#_Constructed/Existing hand washing stations]]-WWWW[[#This Row],['#_Non-Functional_hand_washing_stations]]</f>
        <v>1</v>
      </c>
      <c r="DW129" s="731">
        <f>IF(WWWW[[#This Row],['# Functional hand washing stations during reporting period]]*20&gt;WWWW[[#This Row],[Total HH]],WWWW[[#This Row],[Total HH]],WWWW[[#This Row],['# Functional hand washing stations during reporting period]]*20)</f>
        <v>20</v>
      </c>
      <c r="DX129" s="731">
        <f>IF(WWWW[[#This Row],[Is sufficient soap available for TLS? (Yes/No)]]="yes",WWWW[[#This Row],['#_Constructed/Existing hand washing stations at TLS/CFS/THF]],0)</f>
        <v>0</v>
      </c>
      <c r="DY129" s="428">
        <f>IF(WWWW[[#This Row],['# Functional hand washing stations during reporting period]]*100&gt;WWWW[[#This Row],[Total PoP ]],WWWW[[#This Row],[Total PoP ]],WWWW[[#This Row],['# Functional hand washing stations during reporting period]]*100)</f>
        <v>100</v>
      </c>
      <c r="DZ129" s="428" t="str">
        <f>IF(OR(WWWW[[#This Row],['#_students at TLS_CFS]]="",WWWW[[#This Row],['#_students at TLS_CFS]]=0),"No","Yes")</f>
        <v>No</v>
      </c>
      <c r="EA12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9" s="727">
        <f>VLOOKUP(WWWW[[#This Row],[Site Name]],SiteDB6[[Site Name]:[CCCM Management]],6,FALSE)</f>
        <v>0</v>
      </c>
      <c r="EF129" s="727" t="str">
        <f>VLOOKUP(WWWW[[#This Row],[Site Name]],SiteDB6[[Site Name]:[CCCM Focal Agency]],7,FALSE)</f>
        <v>uncovered</v>
      </c>
      <c r="EG129" s="727" t="str">
        <f>VLOOKUP(WWWW[[#This Row],[Site Name]],SiteDB6[[Site Name]:[Location Type 1]],9,FALSE)</f>
        <v>Camp</v>
      </c>
      <c r="EH129" s="727" t="str">
        <f>VLOOKUP(WWWW[[#This Row],[Site Name]],SiteDB6[[Site Name]:[Type of Accommodation]],10,FALSE)</f>
        <v>Camp like setting</v>
      </c>
      <c r="EI129" s="727" t="str">
        <f>VLOOKUP(WWWW[[#This Row],[Site Name]],SiteDB6[[Site Name]:[Ethnic or GCA/NGCA]],11,FALSE)</f>
        <v>GCA</v>
      </c>
      <c r="EJ129" s="727">
        <f>VLOOKUP(WWWW[[#This Row],[Site Name]],SiteDB6[[Site Name]:[Lat]],12,FALSE)</f>
        <v>25.391428000000001</v>
      </c>
      <c r="EK129" s="727">
        <f>VLOOKUP(WWWW[[#This Row],[Site Name]],SiteDB6[[Site Name]:[Long]],13,FALSE)</f>
        <v>97.898184999999998</v>
      </c>
      <c r="EL129" s="727" t="str">
        <f>VLOOKUP(WWWW[[#This Row],[Site Name]],SiteDB6[[Site Name]:[Pcode]],3,FALSE)</f>
        <v>MMR001CMP258</v>
      </c>
      <c r="EM129" s="732" t="str">
        <f t="shared" si="1"/>
        <v>Notcovered</v>
      </c>
      <c r="EN129" s="732"/>
      <c r="EO129" s="727">
        <f>VLOOKUP(WWWW[[#This Row],[Site Name]],SiteDB6[[Site Name]:[Pop
(Kachin/Shan-CCCM as of July 2021)]],16,FALSE)</f>
        <v>45</v>
      </c>
      <c r="EP129" s="727">
        <f>VLOOKUP(WWWW[[#This Row],[Site Name]],SiteDB6[[Site Name]:[Pop
(Kachin/Shan-CCCM as of July 2021)]],17,FALSE)</f>
        <v>247</v>
      </c>
    </row>
    <row r="130" spans="1:146" hidden="1">
      <c r="A130" s="725" t="s">
        <v>2763</v>
      </c>
      <c r="B130" s="725" t="s">
        <v>242</v>
      </c>
      <c r="C130" s="726" t="s">
        <v>242</v>
      </c>
      <c r="D130" s="726" t="s">
        <v>307</v>
      </c>
      <c r="E130" s="726" t="s">
        <v>37</v>
      </c>
      <c r="F130" s="726" t="s">
        <v>159</v>
      </c>
      <c r="G130" s="591" t="str">
        <f>VLOOKUP(WWWW[[#This Row],[Site Name]],SiteDB6[[Site Name]:[Location Type]],8,FALSE)</f>
        <v>Camp</v>
      </c>
      <c r="H130" s="726" t="s">
        <v>3018</v>
      </c>
      <c r="I130" s="448">
        <v>16</v>
      </c>
      <c r="J130" s="448">
        <v>83</v>
      </c>
      <c r="K130" s="588">
        <v>44197</v>
      </c>
      <c r="L130" s="589">
        <v>44651</v>
      </c>
      <c r="M130" s="448">
        <v>14</v>
      </c>
      <c r="N130" s="728">
        <v>1</v>
      </c>
      <c r="O130" s="728"/>
      <c r="P130" s="728"/>
      <c r="Q130" s="731" t="s">
        <v>41</v>
      </c>
      <c r="R130" s="728">
        <v>2</v>
      </c>
      <c r="S130" s="728">
        <v>3</v>
      </c>
      <c r="T130" s="448">
        <v>1</v>
      </c>
      <c r="U130" s="448">
        <v>1</v>
      </c>
      <c r="V130" s="728"/>
      <c r="W130" s="448">
        <v>3</v>
      </c>
      <c r="X130" s="448">
        <v>2</v>
      </c>
      <c r="Y130" s="448">
        <v>1</v>
      </c>
      <c r="Z130" s="728">
        <v>3</v>
      </c>
      <c r="AA130" s="728"/>
      <c r="AB130" s="728"/>
      <c r="AC130" s="728"/>
      <c r="AD130" s="728"/>
      <c r="AE130" s="448">
        <v>2</v>
      </c>
      <c r="AF130" s="728"/>
      <c r="AG130" s="728"/>
      <c r="AH130" s="728"/>
      <c r="AI130" s="728"/>
      <c r="AJ130" s="728"/>
      <c r="AK130" s="728"/>
      <c r="AL130" s="728"/>
      <c r="AM130" s="728">
        <v>4</v>
      </c>
      <c r="AN130" s="728">
        <v>5</v>
      </c>
      <c r="AO130" s="728"/>
      <c r="AP130" s="590"/>
      <c r="AQ130" s="728">
        <v>2</v>
      </c>
      <c r="AR130" s="728">
        <v>3</v>
      </c>
      <c r="AS130" s="733" t="s">
        <v>2135</v>
      </c>
      <c r="AT130" s="728"/>
      <c r="AU130" s="728"/>
      <c r="AV130" s="728"/>
      <c r="AW130" s="728"/>
      <c r="AX130" s="728"/>
      <c r="AY130" s="727" t="s">
        <v>41</v>
      </c>
      <c r="AZ130" s="732" t="s">
        <v>137</v>
      </c>
      <c r="BA130" s="728">
        <v>3</v>
      </c>
      <c r="BB130" s="728"/>
      <c r="BC130" s="728">
        <v>2</v>
      </c>
      <c r="BD130" s="448"/>
      <c r="BE130" s="448"/>
      <c r="BF130" s="727"/>
      <c r="BG130" s="728">
        <v>3</v>
      </c>
      <c r="BH130" s="728"/>
      <c r="BI130" s="728"/>
      <c r="BJ130" s="728">
        <v>2</v>
      </c>
      <c r="BK130" s="728"/>
      <c r="BL130" s="728"/>
      <c r="BM130" s="728">
        <v>1</v>
      </c>
      <c r="BN130" s="448">
        <v>10</v>
      </c>
      <c r="BO130" s="448">
        <v>18</v>
      </c>
      <c r="BP130" s="425" t="s">
        <v>41</v>
      </c>
      <c r="BQ130" s="734"/>
      <c r="BR130" s="733">
        <v>0.7</v>
      </c>
      <c r="BS130" s="727"/>
      <c r="BT130" s="423">
        <v>1</v>
      </c>
      <c r="BU130" s="423">
        <v>1</v>
      </c>
      <c r="BV130" s="425"/>
      <c r="BW130" s="423">
        <v>0.8</v>
      </c>
      <c r="BX130" s="448"/>
      <c r="BY130" s="448"/>
      <c r="BZ130" s="448"/>
      <c r="CA130" s="448"/>
      <c r="CB130" s="448"/>
      <c r="CC130" s="777"/>
      <c r="CD130" s="448"/>
      <c r="CE130" s="735" t="str">
        <f>IFERROR(WWWW[[#This Row],['#_Water sources passed]]/WWWW[[#This Row],['#_Water sources tested for fecal coliform ]],"no test")</f>
        <v>no test</v>
      </c>
      <c r="CF130" s="733" t="str">
        <f>IFERROR(WWWW[[#This Row],['#_Household passed]]/WWWW[[#This Row],['#_Household water samples tested for fecal coliform]],"no test")</f>
        <v>no test</v>
      </c>
      <c r="CG130" s="734" t="str">
        <f>IF(AND(WWWW[[#This Row],[% of water sources passed]]="no test",WWWW[[#This Row],[% Household passed]]="no test"),"No Test","Tested")</f>
        <v>No Test</v>
      </c>
      <c r="CH130" s="734">
        <f>WWWW[[#This Row],['#_Constructed/existing protected hand dug well]]-WWWW[[#This Row],['#_Non-functional protected hand dug well]]</f>
        <v>0</v>
      </c>
      <c r="CI130" s="734">
        <f>(WWWW[[#This Row],['#_Constructed/Existing tube wells/boreholes/handpumps_WASH_agency]]+WWWW[[#This Row],['#_Non-Cluster partner water tube-wells/boreholes/handpumps]])-WWWW[[#This Row],['#_Non-functional tube wells/boreholes/handpumps]]</f>
        <v>4</v>
      </c>
      <c r="CJ130" s="734">
        <f>WWWW[[#This Row],['#_Constructed/Existingwater storage tank with gravity fed reticulation system]]-WWWW[[#This Row],['#_Non-functional storage tank gravity fed reticulation system]]</f>
        <v>0</v>
      </c>
      <c r="CK130" s="734">
        <f>(WWWW[[#This Row],['#_Water_Liters_supplied_by_Water boating or water trucking]]/90)/15</f>
        <v>0</v>
      </c>
      <c r="CL130" s="734">
        <f>WWWW[[#This Row],['#_Water_Liters_from_Constructed/Existing water distribution system from river or natural spring]]/90/15</f>
        <v>0</v>
      </c>
      <c r="CM130" s="424">
        <f>IF(WWWW[[#This Row],['#_of water points in TLS/CFS]]*500&gt;WWWW[[#This Row],[Total PoP ]],WWWW[[#This Row],[Total PoP ]],WWWW[[#This Row],['#_of water points in TLS/CFS]]*500)</f>
        <v>83</v>
      </c>
      <c r="CN130" s="424">
        <f>IF(WWWW[[#This Row],['#_of water points in THF]]*500&gt;WWWW[[#This Row],[Total PoP ]],WWWW[[#This Row],[Total PoP ]],WWWW[[#This Row],['#_of water points in THF]]*500)</f>
        <v>0</v>
      </c>
      <c r="CO13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0" s="733">
        <f>IF(WWWW[[#This Row],[Location Type 1]]="Village",WWWW[[#This Row],[Access to safe drinking water for Village]],WWWW[[#This Row],[Access to safe drinking water for Camp]])</f>
        <v>1</v>
      </c>
      <c r="CR130" s="731">
        <f>WWWW[[#This Row],[%Equitable and continuous access to sufficient quantity of safe drinking water]]*WWWW[[#This Row],[Total PoP ]]</f>
        <v>83</v>
      </c>
      <c r="CS130" s="733">
        <f>IF((WWWW[[#This Row],['#_Constructed/Existing protected/fenced ponds]]*250)/WWWW[[#This Row],[Total PoP ]]&gt;1,1,(WWWW[[#This Row],['#_Constructed/Existing protected/fenced ponds]]*250)/WWWW[[#This Row],[Total PoP ]])</f>
        <v>1</v>
      </c>
      <c r="CT130" s="731">
        <f>WWWW[[#This Row],[% Access to unimproved water points]]*WWWW[[#This Row],[Total PoP ]]</f>
        <v>83</v>
      </c>
      <c r="CU13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CW130" s="731">
        <f>WWWW[[#This Row],[HRP1]]/500</f>
        <v>0.16600000000000001</v>
      </c>
      <c r="CX130" s="736">
        <f>1-WWWW[[#This Row],[% Equitable and continuous access to sufficient quantity of domestic water]]</f>
        <v>0</v>
      </c>
      <c r="CY130" s="731">
        <f>WWWW[[#This Row],[%equitable and continuous access to sufficient quantity of safe drinking and domestic water''s GAP]]*WWWW[[#This Row],[Total PoP ]]</f>
        <v>0</v>
      </c>
      <c r="CZ130" s="734">
        <f>IF(WWWW[[#This Row],[Total required water points]]-WWWW[[#This Row],['#Water points coverage]]&lt;0,0,WWWW[[#This Row],[Total required water points]]-WWWW[[#This Row],['#Water points coverage]])</f>
        <v>0.83399999999999996</v>
      </c>
      <c r="DA130" s="734">
        <f>ROUND(IF(WWWW[[#This Row],[Total PoP ]]&lt;500,1,WWWW[[#This Row],[Total PoP ]]/500),0)</f>
        <v>1</v>
      </c>
      <c r="DB130" s="734">
        <f>(WWWW[[#This Row],['#_Constructed latrines_by_WASHAgencies]]+WWWW[[#This Row],['#_Non Cluster partner latrines]])-WWWW[[#This Row],['#_Non-functional latrines]]</f>
        <v>5</v>
      </c>
      <c r="DC130" s="631">
        <f>WWWW[[#This Row],[HRP2]]/WWWW[[#This Row],[Total PoP ]]</f>
        <v>1</v>
      </c>
      <c r="DD13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v>
      </c>
      <c r="DE13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14</v>
      </c>
      <c r="DG130" s="424">
        <f>IF(WWWW[[#This Row],['# of functional latrines in THF supported by WASH partners during the reporting period2]]="",0,WWWW[[#This Row],['# of functional latrines in THF supported by WASH partners during the reporting period2]]*50)</f>
        <v>0</v>
      </c>
      <c r="DH130" s="734">
        <f>ROUND(IF(WWWW[[#This Row],[Location Type 1]]="camp",WWWW[[#This Row],[Total PoP ]]/20,IF(WWWW[[#This Row],[Location Type 1]]="Temporary Location",WWWW[[#This Row],[Total PoP ]]/50,(WWWW[[#This Row],[Total PoP ]]/6))),0)</f>
        <v>4</v>
      </c>
      <c r="DI130" s="734">
        <f>IF(WWWW[[#This Row],[Total required Latrines]]-(WWWW[[#This Row],['#_Constructed latrines_by_WASHAgencies]]+WWWW[[#This Row],['#_Non Cluster partner latrines]])&lt;0,0,WWWW[[#This Row],[Total required Latrines]]-(WWWW[[#This Row],['#_Constructed latrines_by_WASHAgencies]]+WWWW[[#This Row],['#_Non Cluster partner latrines]]))</f>
        <v>0</v>
      </c>
      <c r="DJ130" s="736">
        <f>1-WWWW[[#This Row],[% people access to functioning Latrine]]</f>
        <v>0</v>
      </c>
      <c r="DK130" s="735">
        <f>IF(OR(WWWW[[#This Row],['#_Non-functional latrines]]="",WWWW[[#This Row],['#_Non-functional latrines]]=0),0,WWWW[[#This Row],['#_Non-functional latrines]]/(WWWW[[#This Row],['#_Constructed latrines_by_WASHAgencies]]+WWWW[[#This Row],['#_Non Cluster partner latrines]]))</f>
        <v>0</v>
      </c>
      <c r="DL130" s="731">
        <f>IF(500*(WWWW[[#This Row],['#_male hygiene promoters]]+WWWW[[#This Row],['#_female hygiene promoters]])&gt;WWWW[[#This Row],[Total PoP ]],WWWW[[#This Row],[Total PoP ]],500*(WWWW[[#This Row],['#_male hygiene promoters]]+WWWW[[#This Row],['#_female hygiene promoters]]))</f>
        <v>83</v>
      </c>
      <c r="DM13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3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30" s="734">
        <f>IF(WWWW[[#This Row],['# People with access to soap]]&gt;WWWW[[#This Row],['# People with access to Sanity Pads]],WWWW[[#This Row],['# People with access to soap]],WWWW[[#This Row],['# People with access to Sanity Pads]])</f>
        <v>50</v>
      </c>
      <c r="DP130" s="734">
        <f>IF(WWWW[[#This Row],['# people reached by regular dedicated hygiene promotion_5]]&gt;WWWW[[#This Row],['# People received regular supply of hygiene items_6]],WWWW[[#This Row],['# people reached by regular dedicated hygiene promotion_5]],WWWW[[#This Row],['# People received regular supply of hygiene items_6]])</f>
        <v>83</v>
      </c>
      <c r="DQ130" s="736">
        <f>IF(WWWW[[#This Row],[HRP3]]/WWWW[[#This Row],[Total PoP ]]&gt;1,1,WWWW[[#This Row],[HRP3]]/WWWW[[#This Row],[Total PoP ]])</f>
        <v>1</v>
      </c>
      <c r="DR130" s="735">
        <f>1-WWWW[[#This Row],[Hygiene Coverage%]]</f>
        <v>0</v>
      </c>
      <c r="DS130" s="733">
        <f>WWWW[[#This Row],['# people reached by regular dedicated hygiene promotion_5]]/WWWW[[#This Row],[Total PoP ]]</f>
        <v>1</v>
      </c>
      <c r="DT13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0" s="734">
        <f>WWWW[[#This Row],['#_Constructed/Existing hand washing stations]]-WWWW[[#This Row],['#_Non-Functional_hand_washing_stations]]</f>
        <v>3</v>
      </c>
      <c r="DW130" s="731">
        <f>IF(WWWW[[#This Row],['# Functional hand washing stations during reporting period]]*20&gt;WWWW[[#This Row],[Total HH]],WWWW[[#This Row],[Total HH]],WWWW[[#This Row],['# Functional hand washing stations during reporting period]]*20)</f>
        <v>16</v>
      </c>
      <c r="DX130" s="731">
        <f>IF(WWWW[[#This Row],[Is sufficient soap available for TLS? (Yes/No)]]="yes",WWWW[[#This Row],['#_Constructed/Existing hand washing stations at TLS/CFS/THF]],0)</f>
        <v>4</v>
      </c>
      <c r="DY130" s="428">
        <f>IF(WWWW[[#This Row],['# Functional hand washing stations during reporting period]]*100&gt;WWWW[[#This Row],[Total PoP ]],WWWW[[#This Row],[Total PoP ]],WWWW[[#This Row],['# Functional hand washing stations during reporting period]]*100)</f>
        <v>83</v>
      </c>
      <c r="DZ130" s="428" t="str">
        <f>IF(OR(WWWW[[#This Row],['#_students at TLS_CFS]]="",WWWW[[#This Row],['#_students at TLS_CFS]]=0),"No","Yes")</f>
        <v>Yes</v>
      </c>
      <c r="EA13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83</v>
      </c>
      <c r="ED13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0" s="727" t="str">
        <f>VLOOKUP(WWWW[[#This Row],[Site Name]],SiteDB6[[Site Name]:[CCCM Management]],6,FALSE)</f>
        <v>Yes</v>
      </c>
      <c r="EF130" s="727" t="str">
        <f>VLOOKUP(WWWW[[#This Row],[Site Name]],SiteDB6[[Site Name]:[CCCM Focal Agency]],7,FALSE)</f>
        <v>Shalom</v>
      </c>
      <c r="EG130" s="727" t="str">
        <f>VLOOKUP(WWWW[[#This Row],[Site Name]],SiteDB6[[Site Name]:[Location Type 1]],9,FALSE)</f>
        <v>Camp</v>
      </c>
      <c r="EH130" s="727" t="str">
        <f>VLOOKUP(WWWW[[#This Row],[Site Name]],SiteDB6[[Site Name]:[Type of Accommodation]],10,FALSE)</f>
        <v>Camp</v>
      </c>
      <c r="EI130" s="727" t="str">
        <f>VLOOKUP(WWWW[[#This Row],[Site Name]],SiteDB6[[Site Name]:[Ethnic or GCA/NGCA]],11,FALSE)</f>
        <v>GCA</v>
      </c>
      <c r="EJ130" s="727">
        <f>VLOOKUP(WWWW[[#This Row],[Site Name]],SiteDB6[[Site Name]:[Lat]],12,FALSE)</f>
        <v>25.417733999999999</v>
      </c>
      <c r="EK130" s="727">
        <f>VLOOKUP(WWWW[[#This Row],[Site Name]],SiteDB6[[Site Name]:[Long]],13,FALSE)</f>
        <v>97.389778000000007</v>
      </c>
      <c r="EL130" s="727" t="str">
        <f>VLOOKUP(WWWW[[#This Row],[Site Name]],SiteDB6[[Site Name]:[Pcode]],3,FALSE)</f>
        <v>MMR001CMP004</v>
      </c>
      <c r="EM130" s="732" t="str">
        <f t="shared" si="1"/>
        <v>Covered</v>
      </c>
      <c r="EN130" s="732"/>
      <c r="EO130" s="727">
        <f>VLOOKUP(WWWW[[#This Row],[Site Name]],SiteDB6[[Site Name]:[Pop
(Kachin/Shan-CCCM as of July 2021)]],16,FALSE)</f>
        <v>16</v>
      </c>
      <c r="EP130" s="727">
        <f>VLOOKUP(WWWW[[#This Row],[Site Name]],SiteDB6[[Site Name]:[Pop
(Kachin/Shan-CCCM as of July 2021)]],17,FALSE)</f>
        <v>83</v>
      </c>
    </row>
    <row r="131" spans="1:146" hidden="1">
      <c r="A131" s="725" t="s">
        <v>2763</v>
      </c>
      <c r="B131" s="725" t="s">
        <v>141</v>
      </c>
      <c r="C131" s="726" t="s">
        <v>141</v>
      </c>
      <c r="D131" s="726" t="s">
        <v>241</v>
      </c>
      <c r="E131" s="726" t="s">
        <v>37</v>
      </c>
      <c r="F131" s="726" t="s">
        <v>184</v>
      </c>
      <c r="G131" s="591" t="str">
        <f>VLOOKUP(WWWW[[#This Row],[Site Name]],SiteDB6[[Site Name]:[Location Type]],8,FALSE)</f>
        <v>Camp</v>
      </c>
      <c r="H131" s="726" t="s">
        <v>187</v>
      </c>
      <c r="I131" s="728">
        <v>63</v>
      </c>
      <c r="J131" s="728">
        <v>325</v>
      </c>
      <c r="K131" s="588">
        <v>44105</v>
      </c>
      <c r="L131" s="589">
        <v>44681</v>
      </c>
      <c r="M131" s="728"/>
      <c r="N131" s="728">
        <v>2</v>
      </c>
      <c r="O131" s="728"/>
      <c r="P131" s="728"/>
      <c r="Q131" s="731" t="s">
        <v>41</v>
      </c>
      <c r="R131" s="728"/>
      <c r="S131" s="728"/>
      <c r="T131" s="448">
        <v>0</v>
      </c>
      <c r="U131" s="728"/>
      <c r="V131" s="728"/>
      <c r="W131" s="728">
        <v>0</v>
      </c>
      <c r="X131" s="728"/>
      <c r="Y131" s="728"/>
      <c r="Z131" s="728"/>
      <c r="AA131" s="728"/>
      <c r="AB131" s="728"/>
      <c r="AC131" s="728"/>
      <c r="AD131" s="728"/>
      <c r="AE131" s="728"/>
      <c r="AF131" s="728"/>
      <c r="AG131" s="728"/>
      <c r="AH131" s="728">
        <v>0</v>
      </c>
      <c r="AI131" s="728"/>
      <c r="AJ131" s="728"/>
      <c r="AK131" s="728"/>
      <c r="AL131" s="728"/>
      <c r="AM131" s="728"/>
      <c r="AN131" s="728"/>
      <c r="AO131" s="728"/>
      <c r="AP131" s="732"/>
      <c r="AQ131" s="728">
        <v>65</v>
      </c>
      <c r="AR131" s="728"/>
      <c r="AS131" s="733"/>
      <c r="AT131" s="728"/>
      <c r="AU131" s="728"/>
      <c r="AV131" s="728"/>
      <c r="AW131" s="728"/>
      <c r="AX131" s="728">
        <v>65</v>
      </c>
      <c r="AY131" s="727" t="s">
        <v>41</v>
      </c>
      <c r="AZ131" s="732" t="s">
        <v>137</v>
      </c>
      <c r="BA131" s="728"/>
      <c r="BB131" s="728"/>
      <c r="BC131" s="728"/>
      <c r="BD131" s="448"/>
      <c r="BE131" s="448"/>
      <c r="BF131" s="727"/>
      <c r="BG131" s="728">
        <v>1</v>
      </c>
      <c r="BH131" s="728"/>
      <c r="BI131" s="728"/>
      <c r="BJ131" s="728">
        <v>1</v>
      </c>
      <c r="BK131" s="728"/>
      <c r="BL131" s="728">
        <v>1</v>
      </c>
      <c r="BM131" s="728">
        <v>1</v>
      </c>
      <c r="BN131" s="728">
        <v>6</v>
      </c>
      <c r="BO131" s="728">
        <v>5</v>
      </c>
      <c r="BP131" s="727"/>
      <c r="BQ131" s="734"/>
      <c r="BR131" s="733"/>
      <c r="BS131" s="727"/>
      <c r="BT131" s="423"/>
      <c r="BU131" s="423"/>
      <c r="BV131" s="425"/>
      <c r="BW131" s="423"/>
      <c r="BX131" s="448"/>
      <c r="BY131" s="448"/>
      <c r="BZ131" s="448"/>
      <c r="CA131" s="448"/>
      <c r="CB131" s="448"/>
      <c r="CC131" s="777"/>
      <c r="CD131" s="448"/>
      <c r="CE131" s="735" t="str">
        <f>IFERROR(WWWW[[#This Row],['#_Water sources passed]]/WWWW[[#This Row],['#_Water sources tested for fecal coliform ]],"no test")</f>
        <v>no test</v>
      </c>
      <c r="CF131" s="733" t="str">
        <f>IFERROR(WWWW[[#This Row],['#_Household passed]]/WWWW[[#This Row],['#_Household water samples tested for fecal coliform]],"no test")</f>
        <v>no test</v>
      </c>
      <c r="CG131" s="734" t="str">
        <f>IF(AND(WWWW[[#This Row],[% of water sources passed]]="no test",WWWW[[#This Row],[% Household passed]]="no test"),"No Test","Tested")</f>
        <v>No Test</v>
      </c>
      <c r="CH131" s="734">
        <f>WWWW[[#This Row],['#_Constructed/existing protected hand dug well]]-WWWW[[#This Row],['#_Non-functional protected hand dug well]]</f>
        <v>0</v>
      </c>
      <c r="CI131" s="734">
        <f>(WWWW[[#This Row],['#_Constructed/Existing tube wells/boreholes/handpumps_WASH_agency]]+WWWW[[#This Row],['#_Non-Cluster partner water tube-wells/boreholes/handpumps]])-WWWW[[#This Row],['#_Non-functional tube wells/boreholes/handpumps]]</f>
        <v>0</v>
      </c>
      <c r="CJ131" s="734">
        <f>WWWW[[#This Row],['#_Constructed/Existingwater storage tank with gravity fed reticulation system]]-WWWW[[#This Row],['#_Non-functional storage tank gravity fed reticulation system]]</f>
        <v>0</v>
      </c>
      <c r="CK131" s="734">
        <f>(WWWW[[#This Row],['#_Water_Liters_supplied_by_Water boating or water trucking]]/90)/15</f>
        <v>0</v>
      </c>
      <c r="CL131" s="734">
        <f>WWWW[[#This Row],['#_Water_Liters_from_Constructed/Existing water distribution system from river or natural spring]]/90/15</f>
        <v>0</v>
      </c>
      <c r="CM131" s="424">
        <f>IF(WWWW[[#This Row],['#_of water points in TLS/CFS]]*500&gt;WWWW[[#This Row],[Total PoP ]],WWWW[[#This Row],[Total PoP ]],WWWW[[#This Row],['#_of water points in TLS/CFS]]*500)</f>
        <v>0</v>
      </c>
      <c r="CN131" s="424">
        <f>IF(WWWW[[#This Row],['#_of water points in THF]]*500&gt;WWWW[[#This Row],[Total PoP ]],WWWW[[#This Row],[Total PoP ]],WWWW[[#This Row],['#_of water points in THF]]*500)</f>
        <v>0</v>
      </c>
      <c r="CO13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1" s="733">
        <f>IF(WWWW[[#This Row],[Location Type 1]]="Village",WWWW[[#This Row],[Access to safe drinking water for Village]],WWWW[[#This Row],[Access to safe drinking water for Camp]])</f>
        <v>0</v>
      </c>
      <c r="CR131" s="731">
        <f>WWWW[[#This Row],[%Equitable and continuous access to sufficient quantity of safe drinking water]]*WWWW[[#This Row],[Total PoP ]]</f>
        <v>0</v>
      </c>
      <c r="CS131" s="733">
        <f>IF((WWWW[[#This Row],['#_Constructed/Existing protected/fenced ponds]]*250)/WWWW[[#This Row],[Total PoP ]]&gt;1,1,(WWWW[[#This Row],['#_Constructed/Existing protected/fenced ponds]]*250)/WWWW[[#This Row],[Total PoP ]])</f>
        <v>0</v>
      </c>
      <c r="CT131" s="731">
        <f>WWWW[[#This Row],[% Access to unimproved water points]]*WWWW[[#This Row],[Total PoP ]]</f>
        <v>0</v>
      </c>
      <c r="CU13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1" s="731">
        <f>WWWW[[#This Row],[HRP1]]/500</f>
        <v>0</v>
      </c>
      <c r="CX131" s="736">
        <f>1-WWWW[[#This Row],[% Equitable and continuous access to sufficient quantity of domestic water]]</f>
        <v>1</v>
      </c>
      <c r="CY131" s="731">
        <f>WWWW[[#This Row],[%equitable and continuous access to sufficient quantity of safe drinking and domestic water''s GAP]]*WWWW[[#This Row],[Total PoP ]]</f>
        <v>325</v>
      </c>
      <c r="CZ131" s="734">
        <f>IF(WWWW[[#This Row],[Total required water points]]-WWWW[[#This Row],['#Water points coverage]]&lt;0,0,WWWW[[#This Row],[Total required water points]]-WWWW[[#This Row],['#Water points coverage]])</f>
        <v>1</v>
      </c>
      <c r="DA131" s="734">
        <f>ROUND(IF(WWWW[[#This Row],[Total PoP ]]&lt;500,1,WWWW[[#This Row],[Total PoP ]]/500),0)</f>
        <v>1</v>
      </c>
      <c r="DB131" s="734">
        <f>(WWWW[[#This Row],['#_Constructed latrines_by_WASHAgencies]]+WWWW[[#This Row],['#_Non Cluster partner latrines]])-WWWW[[#This Row],['#_Non-functional latrines]]</f>
        <v>65</v>
      </c>
      <c r="DC131" s="631">
        <f>WWWW[[#This Row],[HRP2]]/WWWW[[#This Row],[Total PoP ]]</f>
        <v>1</v>
      </c>
      <c r="DD13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325</v>
      </c>
      <c r="DE13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1" s="424">
        <f>IF(WWWW[[#This Row],['# of functional latrines in THF supported by WASH partners during the reporting period2]]="",0,WWWW[[#This Row],['# of functional latrines in THF supported by WASH partners during the reporting period2]]*50)</f>
        <v>0</v>
      </c>
      <c r="DH131" s="734">
        <f>ROUND(IF(WWWW[[#This Row],[Location Type 1]]="camp",WWWW[[#This Row],[Total PoP ]]/20,IF(WWWW[[#This Row],[Location Type 1]]="Temporary Location",WWWW[[#This Row],[Total PoP ]]/50,(WWWW[[#This Row],[Total PoP ]]/6))),0)</f>
        <v>16</v>
      </c>
      <c r="DI131" s="734">
        <f>IF(WWWW[[#This Row],[Total required Latrines]]-(WWWW[[#This Row],['#_Constructed latrines_by_WASHAgencies]]+WWWW[[#This Row],['#_Non Cluster partner latrines]])&lt;0,0,WWWW[[#This Row],[Total required Latrines]]-(WWWW[[#This Row],['#_Constructed latrines_by_WASHAgencies]]+WWWW[[#This Row],['#_Non Cluster partner latrines]]))</f>
        <v>0</v>
      </c>
      <c r="DJ131" s="736">
        <f>1-WWWW[[#This Row],[% people access to functioning Latrine]]</f>
        <v>0</v>
      </c>
      <c r="DK131" s="735">
        <f>IF(OR(WWWW[[#This Row],['#_Non-functional latrines]]="",WWWW[[#This Row],['#_Non-functional latrines]]=0),0,WWWW[[#This Row],['#_Non-functional latrines]]/(WWWW[[#This Row],['#_Constructed latrines_by_WASHAgencies]]+WWWW[[#This Row],['#_Non Cluster partner latrines]]))</f>
        <v>0</v>
      </c>
      <c r="DL131" s="731">
        <f>IF(500*(WWWW[[#This Row],['#_male hygiene promoters]]+WWWW[[#This Row],['#_female hygiene promoters]])&gt;WWWW[[#This Row],[Total PoP ]],WWWW[[#This Row],[Total PoP ]],500*(WWWW[[#This Row],['#_male hygiene promoters]]+WWWW[[#This Row],['#_female hygiene promoters]]))</f>
        <v>325</v>
      </c>
      <c r="DM13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3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31" s="734">
        <f>IF(WWWW[[#This Row],['# People with access to soap]]&gt;WWWW[[#This Row],['# People with access to Sanity Pads]],WWWW[[#This Row],['# People with access to soap]],WWWW[[#This Row],['# People with access to Sanity Pads]])</f>
        <v>30</v>
      </c>
      <c r="DP131" s="734">
        <f>IF(WWWW[[#This Row],['# people reached by regular dedicated hygiene promotion_5]]&gt;WWWW[[#This Row],['# People received regular supply of hygiene items_6]],WWWW[[#This Row],['# people reached by regular dedicated hygiene promotion_5]],WWWW[[#This Row],['# People received regular supply of hygiene items_6]])</f>
        <v>325</v>
      </c>
      <c r="DQ131" s="736">
        <f>IF(WWWW[[#This Row],[HRP3]]/WWWW[[#This Row],[Total PoP ]]&gt;1,1,WWWW[[#This Row],[HRP3]]/WWWW[[#This Row],[Total PoP ]])</f>
        <v>1</v>
      </c>
      <c r="DR131" s="735">
        <f>1-WWWW[[#This Row],[Hygiene Coverage%]]</f>
        <v>0</v>
      </c>
      <c r="DS131" s="733">
        <f>WWWW[[#This Row],['# people reached by regular dedicated hygiene promotion_5]]/WWWW[[#This Row],[Total PoP ]]</f>
        <v>1</v>
      </c>
      <c r="DT13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9.5238095238095233E-2</v>
      </c>
      <c r="DU13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7.9365079365079361E-2</v>
      </c>
      <c r="DV131" s="734">
        <f>WWWW[[#This Row],['#_Constructed/Existing hand washing stations]]-WWWW[[#This Row],['#_Non-Functional_hand_washing_stations]]</f>
        <v>1</v>
      </c>
      <c r="DW131" s="731">
        <f>IF(WWWW[[#This Row],['# Functional hand washing stations during reporting period]]*20&gt;WWWW[[#This Row],[Total HH]],WWWW[[#This Row],[Total HH]],WWWW[[#This Row],['# Functional hand washing stations during reporting period]]*20)</f>
        <v>20</v>
      </c>
      <c r="DX131" s="731">
        <f>IF(WWWW[[#This Row],[Is sufficient soap available for TLS? (Yes/No)]]="yes",WWWW[[#This Row],['#_Constructed/Existing hand washing stations at TLS/CFS/THF]],0)</f>
        <v>0</v>
      </c>
      <c r="DY131" s="428">
        <f>IF(WWWW[[#This Row],['# Functional hand washing stations during reporting period]]*100&gt;WWWW[[#This Row],[Total PoP ]],WWWW[[#This Row],[Total PoP ]],WWWW[[#This Row],['# Functional hand washing stations during reporting period]]*100)</f>
        <v>100</v>
      </c>
      <c r="DZ131" s="428" t="str">
        <f>IF(OR(WWWW[[#This Row],['#_students at TLS_CFS]]="",WWWW[[#This Row],['#_students at TLS_CFS]]=0),"No","Yes")</f>
        <v>No</v>
      </c>
      <c r="EA13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1" s="727" t="str">
        <f>VLOOKUP(WWWW[[#This Row],[Site Name]],SiteDB6[[Site Name]:[CCCM Management]],6,FALSE)</f>
        <v>Yes</v>
      </c>
      <c r="EF131" s="727" t="str">
        <f>VLOOKUP(WWWW[[#This Row],[Site Name]],SiteDB6[[Site Name]:[CCCM Focal Agency]],7,FALSE)</f>
        <v>KBC-MYT</v>
      </c>
      <c r="EG131" s="727" t="str">
        <f>VLOOKUP(WWWW[[#This Row],[Site Name]],SiteDB6[[Site Name]:[Location Type 1]],9,FALSE)</f>
        <v>Camp</v>
      </c>
      <c r="EH131" s="727" t="str">
        <f>VLOOKUP(WWWW[[#This Row],[Site Name]],SiteDB6[[Site Name]:[Type of Accommodation]],10,FALSE)</f>
        <v>Camp</v>
      </c>
      <c r="EI131" s="727" t="str">
        <f>VLOOKUP(WWWW[[#This Row],[Site Name]],SiteDB6[[Site Name]:[Ethnic or GCA/NGCA]],11,FALSE)</f>
        <v>NGCA</v>
      </c>
      <c r="EJ131" s="727">
        <f>VLOOKUP(WWWW[[#This Row],[Site Name]],SiteDB6[[Site Name]:[Lat]],12,FALSE)</f>
        <v>26.548506</v>
      </c>
      <c r="EK131" s="727">
        <f>VLOOKUP(WWWW[[#This Row],[Site Name]],SiteDB6[[Site Name]:[Long]],13,FALSE)</f>
        <v>97.75609</v>
      </c>
      <c r="EL131" s="727" t="str">
        <f>VLOOKUP(WWWW[[#This Row],[Site Name]],SiteDB6[[Site Name]:[Pcode]],3,FALSE)</f>
        <v>MMR001CMP239</v>
      </c>
      <c r="EM131" s="732" t="str">
        <f t="shared" si="1"/>
        <v>Covered</v>
      </c>
      <c r="EN131" s="732"/>
      <c r="EO131" s="727">
        <f>VLOOKUP(WWWW[[#This Row],[Site Name]],SiteDB6[[Site Name]:[Pop
(Kachin/Shan-CCCM as of July 2021)]],16,FALSE)</f>
        <v>68</v>
      </c>
      <c r="EP131" s="727">
        <f>VLOOKUP(WWWW[[#This Row],[Site Name]],SiteDB6[[Site Name]:[Pop
(Kachin/Shan-CCCM as of July 2021)]],17,FALSE)</f>
        <v>353</v>
      </c>
    </row>
    <row r="132" spans="1:146" hidden="1">
      <c r="A132" s="725" t="s">
        <v>2763</v>
      </c>
      <c r="B132" s="725" t="s">
        <v>141</v>
      </c>
      <c r="C132" s="726" t="s">
        <v>141</v>
      </c>
      <c r="D132" s="726" t="s">
        <v>241</v>
      </c>
      <c r="E132" s="726" t="s">
        <v>37</v>
      </c>
      <c r="F132" s="726" t="s">
        <v>152</v>
      </c>
      <c r="G132" s="591" t="str">
        <f>VLOOKUP(WWWW[[#This Row],[Site Name]],SiteDB6[[Site Name]:[Location Type]],8,FALSE)</f>
        <v>Camp</v>
      </c>
      <c r="H132" s="726" t="s">
        <v>156</v>
      </c>
      <c r="I132" s="728">
        <v>28</v>
      </c>
      <c r="J132" s="728">
        <v>136</v>
      </c>
      <c r="K132" s="729">
        <v>44105</v>
      </c>
      <c r="L132" s="730">
        <v>44681</v>
      </c>
      <c r="M132" s="728"/>
      <c r="N132" s="728">
        <v>1</v>
      </c>
      <c r="O132" s="728"/>
      <c r="P132" s="728"/>
      <c r="Q132" s="731" t="s">
        <v>41</v>
      </c>
      <c r="R132" s="728"/>
      <c r="S132" s="728">
        <v>4</v>
      </c>
      <c r="T132" s="448">
        <v>1</v>
      </c>
      <c r="U132" s="728"/>
      <c r="V132" s="728"/>
      <c r="W132" s="728">
        <v>1</v>
      </c>
      <c r="X132" s="728"/>
      <c r="Y132" s="728"/>
      <c r="Z132" s="728"/>
      <c r="AA132" s="728"/>
      <c r="AB132" s="728"/>
      <c r="AC132" s="728"/>
      <c r="AD132" s="728"/>
      <c r="AE132" s="728"/>
      <c r="AF132" s="728"/>
      <c r="AG132" s="728"/>
      <c r="AH132" s="728">
        <v>3</v>
      </c>
      <c r="AI132" s="728"/>
      <c r="AJ132" s="728"/>
      <c r="AK132" s="728"/>
      <c r="AL132" s="728"/>
      <c r="AM132" s="728"/>
      <c r="AN132" s="728"/>
      <c r="AO132" s="728"/>
      <c r="AP132" s="732"/>
      <c r="AQ132" s="728">
        <v>12</v>
      </c>
      <c r="AR132" s="728"/>
      <c r="AS132" s="733"/>
      <c r="AT132" s="728"/>
      <c r="AU132" s="728"/>
      <c r="AV132" s="728"/>
      <c r="AW132" s="728"/>
      <c r="AX132" s="728">
        <v>12</v>
      </c>
      <c r="AY132" s="727" t="s">
        <v>41</v>
      </c>
      <c r="AZ132" s="732" t="s">
        <v>904</v>
      </c>
      <c r="BA132" s="728"/>
      <c r="BB132" s="728"/>
      <c r="BC132" s="728"/>
      <c r="BD132" s="448"/>
      <c r="BE132" s="448"/>
      <c r="BF132" s="727"/>
      <c r="BG132" s="728">
        <v>8</v>
      </c>
      <c r="BH132" s="728"/>
      <c r="BI132" s="728"/>
      <c r="BJ132" s="728">
        <v>3</v>
      </c>
      <c r="BK132" s="728"/>
      <c r="BL132" s="728"/>
      <c r="BM132" s="728">
        <v>1</v>
      </c>
      <c r="BN132" s="728">
        <v>91</v>
      </c>
      <c r="BO132" s="728">
        <v>124</v>
      </c>
      <c r="BP132" s="727"/>
      <c r="BQ132" s="734"/>
      <c r="BR132" s="733"/>
      <c r="BS132" s="727"/>
      <c r="BT132" s="423"/>
      <c r="BU132" s="423"/>
      <c r="BV132" s="425"/>
      <c r="BW132" s="423"/>
      <c r="BX132" s="448"/>
      <c r="BY132" s="448"/>
      <c r="BZ132" s="448"/>
      <c r="CA132" s="448"/>
      <c r="CB132" s="448"/>
      <c r="CC132" s="777"/>
      <c r="CD132" s="448"/>
      <c r="CE132" s="735" t="str">
        <f>IFERROR(WWWW[[#This Row],['#_Water sources passed]]/WWWW[[#This Row],['#_Water sources tested for fecal coliform ]],"no test")</f>
        <v>no test</v>
      </c>
      <c r="CF132" s="733" t="str">
        <f>IFERROR(WWWW[[#This Row],['#_Household passed]]/WWWW[[#This Row],['#_Household water samples tested for fecal coliform]],"no test")</f>
        <v>no test</v>
      </c>
      <c r="CG132" s="734" t="str">
        <f>IF(AND(WWWW[[#This Row],[% of water sources passed]]="no test",WWWW[[#This Row],[% Household passed]]="no test"),"No Test","Tested")</f>
        <v>No Test</v>
      </c>
      <c r="CH132" s="734">
        <f>WWWW[[#This Row],['#_Constructed/existing protected hand dug well]]-WWWW[[#This Row],['#_Non-functional protected hand dug well]]</f>
        <v>1</v>
      </c>
      <c r="CI132" s="734">
        <f>(WWWW[[#This Row],['#_Constructed/Existing tube wells/boreholes/handpumps_WASH_agency]]+WWWW[[#This Row],['#_Non-Cluster partner water tube-wells/boreholes/handpumps]])-WWWW[[#This Row],['#_Non-functional tube wells/boreholes/handpumps]]</f>
        <v>1</v>
      </c>
      <c r="CJ132" s="734">
        <f>WWWW[[#This Row],['#_Constructed/Existingwater storage tank with gravity fed reticulation system]]-WWWW[[#This Row],['#_Non-functional storage tank gravity fed reticulation system]]</f>
        <v>0</v>
      </c>
      <c r="CK132" s="734">
        <f>(WWWW[[#This Row],['#_Water_Liters_supplied_by_Water boating or water trucking]]/90)/15</f>
        <v>0</v>
      </c>
      <c r="CL132" s="734">
        <f>WWWW[[#This Row],['#_Water_Liters_from_Constructed/Existing water distribution system from river or natural spring]]/90/15</f>
        <v>0</v>
      </c>
      <c r="CM132" s="424">
        <f>IF(WWWW[[#This Row],['#_of water points in TLS/CFS]]*500&gt;WWWW[[#This Row],[Total PoP ]],WWWW[[#This Row],[Total PoP ]],WWWW[[#This Row],['#_of water points in TLS/CFS]]*500)</f>
        <v>0</v>
      </c>
      <c r="CN132" s="424">
        <f>IF(WWWW[[#This Row],['#_of water points in THF]]*500&gt;WWWW[[#This Row],[Total PoP ]],WWWW[[#This Row],[Total PoP ]],WWWW[[#This Row],['#_of water points in THF]]*500)</f>
        <v>0</v>
      </c>
      <c r="CO13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2" s="733">
        <f>IF(WWWW[[#This Row],[Location Type 1]]="Village",WWWW[[#This Row],[Access to safe drinking water for Village]],WWWW[[#This Row],[Access to safe drinking water for Camp]])</f>
        <v>1</v>
      </c>
      <c r="CR132" s="731">
        <f>WWWW[[#This Row],[%Equitable and continuous access to sufficient quantity of safe drinking water]]*WWWW[[#This Row],[Total PoP ]]</f>
        <v>136</v>
      </c>
      <c r="CS132" s="733">
        <f>IF((WWWW[[#This Row],['#_Constructed/Existing protected/fenced ponds]]*250)/WWWW[[#This Row],[Total PoP ]]&gt;1,1,(WWWW[[#This Row],['#_Constructed/Existing protected/fenced ponds]]*250)/WWWW[[#This Row],[Total PoP ]])</f>
        <v>0</v>
      </c>
      <c r="CT132" s="731">
        <f>WWWW[[#This Row],[% Access to unimproved water points]]*WWWW[[#This Row],[Total PoP ]]</f>
        <v>0</v>
      </c>
      <c r="CU13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W132" s="731">
        <f>WWWW[[#This Row],[HRP1]]/500</f>
        <v>0.27200000000000002</v>
      </c>
      <c r="CX132" s="736">
        <f>1-WWWW[[#This Row],[% Equitable and continuous access to sufficient quantity of domestic water]]</f>
        <v>0</v>
      </c>
      <c r="CY132" s="731">
        <f>WWWW[[#This Row],[%equitable and continuous access to sufficient quantity of safe drinking and domestic water''s GAP]]*WWWW[[#This Row],[Total PoP ]]</f>
        <v>0</v>
      </c>
      <c r="CZ132" s="734">
        <f>IF(WWWW[[#This Row],[Total required water points]]-WWWW[[#This Row],['#Water points coverage]]&lt;0,0,WWWW[[#This Row],[Total required water points]]-WWWW[[#This Row],['#Water points coverage]])</f>
        <v>0.72799999999999998</v>
      </c>
      <c r="DA132" s="734">
        <f>ROUND(IF(WWWW[[#This Row],[Total PoP ]]&lt;500,1,WWWW[[#This Row],[Total PoP ]]/500),0)</f>
        <v>1</v>
      </c>
      <c r="DB132" s="734">
        <f>(WWWW[[#This Row],['#_Constructed latrines_by_WASHAgencies]]+WWWW[[#This Row],['#_Non Cluster partner latrines]])-WWWW[[#This Row],['#_Non-functional latrines]]</f>
        <v>12</v>
      </c>
      <c r="DC132" s="631">
        <f>WWWW[[#This Row],[HRP2]]/WWWW[[#This Row],[Total PoP ]]</f>
        <v>1</v>
      </c>
      <c r="DD13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136</v>
      </c>
      <c r="DE13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2" s="424">
        <f>IF(WWWW[[#This Row],['# of functional latrines in THF supported by WASH partners during the reporting period2]]="",0,WWWW[[#This Row],['# of functional latrines in THF supported by WASH partners during the reporting period2]]*50)</f>
        <v>0</v>
      </c>
      <c r="DH132" s="734">
        <f>ROUND(IF(WWWW[[#This Row],[Location Type 1]]="camp",WWWW[[#This Row],[Total PoP ]]/20,IF(WWWW[[#This Row],[Location Type 1]]="Temporary Location",WWWW[[#This Row],[Total PoP ]]/50,(WWWW[[#This Row],[Total PoP ]]/6))),0)</f>
        <v>7</v>
      </c>
      <c r="DI132" s="734">
        <f>IF(WWWW[[#This Row],[Total required Latrines]]-(WWWW[[#This Row],['#_Constructed latrines_by_WASHAgencies]]+WWWW[[#This Row],['#_Non Cluster partner latrines]])&lt;0,0,WWWW[[#This Row],[Total required Latrines]]-(WWWW[[#This Row],['#_Constructed latrines_by_WASHAgencies]]+WWWW[[#This Row],['#_Non Cluster partner latrines]]))</f>
        <v>0</v>
      </c>
      <c r="DJ132" s="736">
        <f>1-WWWW[[#This Row],[% people access to functioning Latrine]]</f>
        <v>0</v>
      </c>
      <c r="DK132" s="735">
        <f>IF(OR(WWWW[[#This Row],['#_Non-functional latrines]]="",WWWW[[#This Row],['#_Non-functional latrines]]=0),0,WWWW[[#This Row],['#_Non-functional latrines]]/(WWWW[[#This Row],['#_Constructed latrines_by_WASHAgencies]]+WWWW[[#This Row],['#_Non Cluster partner latrines]]))</f>
        <v>0</v>
      </c>
      <c r="DL132" s="731">
        <f>IF(500*(WWWW[[#This Row],['#_male hygiene promoters]]+WWWW[[#This Row],['#_female hygiene promoters]])&gt;WWWW[[#This Row],[Total PoP ]],WWWW[[#This Row],[Total PoP ]],500*(WWWW[[#This Row],['#_male hygiene promoters]]+WWWW[[#This Row],['#_female hygiene promoters]]))</f>
        <v>136</v>
      </c>
      <c r="DM13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136</v>
      </c>
      <c r="DN13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32" s="734">
        <f>IF(WWWW[[#This Row],['# People with access to soap]]&gt;WWWW[[#This Row],['# People with access to Sanity Pads]],WWWW[[#This Row],['# People with access to soap]],WWWW[[#This Row],['# People with access to Sanity Pads]])</f>
        <v>136</v>
      </c>
      <c r="DP132" s="734">
        <f>IF(WWWW[[#This Row],['# people reached by regular dedicated hygiene promotion_5]]&gt;WWWW[[#This Row],['# People received regular supply of hygiene items_6]],WWWW[[#This Row],['# people reached by regular dedicated hygiene promotion_5]],WWWW[[#This Row],['# People received regular supply of hygiene items_6]])</f>
        <v>136</v>
      </c>
      <c r="DQ132" s="736">
        <f>IF(WWWW[[#This Row],[HRP3]]/WWWW[[#This Row],[Total PoP ]]&gt;1,1,WWWW[[#This Row],[HRP3]]/WWWW[[#This Row],[Total PoP ]])</f>
        <v>1</v>
      </c>
      <c r="DR132" s="735">
        <f>1-WWWW[[#This Row],[Hygiene Coverage%]]</f>
        <v>0</v>
      </c>
      <c r="DS132" s="733">
        <f>WWWW[[#This Row],['# people reached by regular dedicated hygiene promotion_5]]/WWWW[[#This Row],[Total PoP ]]</f>
        <v>1</v>
      </c>
      <c r="DT13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2" s="734">
        <f>WWWW[[#This Row],['#_Constructed/Existing hand washing stations]]-WWWW[[#This Row],['#_Non-Functional_hand_washing_stations]]</f>
        <v>8</v>
      </c>
      <c r="DW132" s="731">
        <f>IF(WWWW[[#This Row],['# Functional hand washing stations during reporting period]]*20&gt;WWWW[[#This Row],[Total HH]],WWWW[[#This Row],[Total HH]],WWWW[[#This Row],['# Functional hand washing stations during reporting period]]*20)</f>
        <v>28</v>
      </c>
      <c r="DX132" s="731">
        <f>IF(WWWW[[#This Row],[Is sufficient soap available for TLS? (Yes/No)]]="yes",WWWW[[#This Row],['#_Constructed/Existing hand washing stations at TLS/CFS/THF]],0)</f>
        <v>0</v>
      </c>
      <c r="DY132" s="428">
        <f>IF(WWWW[[#This Row],['# Functional hand washing stations during reporting period]]*100&gt;WWWW[[#This Row],[Total PoP ]],WWWW[[#This Row],[Total PoP ]],WWWW[[#This Row],['# Functional hand washing stations during reporting period]]*100)</f>
        <v>136</v>
      </c>
      <c r="DZ132" s="428" t="str">
        <f>IF(OR(WWWW[[#This Row],['#_students at TLS_CFS]]="",WWWW[[#This Row],['#_students at TLS_CFS]]=0),"No","Yes")</f>
        <v>No</v>
      </c>
      <c r="EA13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2" s="727" t="str">
        <f>VLOOKUP(WWWW[[#This Row],[Site Name]],SiteDB6[[Site Name]:[CCCM Management]],6,FALSE)</f>
        <v>Yes</v>
      </c>
      <c r="EF132" s="727" t="str">
        <f>VLOOKUP(WWWW[[#This Row],[Site Name]],SiteDB6[[Site Name]:[CCCM Focal Agency]],7,FALSE)</f>
        <v>KBC-MYT</v>
      </c>
      <c r="EG132" s="727" t="str">
        <f>VLOOKUP(WWWW[[#This Row],[Site Name]],SiteDB6[[Site Name]:[Location Type 1]],9,FALSE)</f>
        <v>Camp</v>
      </c>
      <c r="EH132" s="727" t="str">
        <f>VLOOKUP(WWWW[[#This Row],[Site Name]],SiteDB6[[Site Name]:[Type of Accommodation]],10,FALSE)</f>
        <v>Camp</v>
      </c>
      <c r="EI132" s="727" t="str">
        <f>VLOOKUP(WWWW[[#This Row],[Site Name]],SiteDB6[[Site Name]:[Ethnic or GCA/NGCA]],11,FALSE)</f>
        <v>GCA</v>
      </c>
      <c r="EJ132" s="727">
        <f>VLOOKUP(WWWW[[#This Row],[Site Name]],SiteDB6[[Site Name]:[Lat]],12,FALSE)</f>
        <v>25.225000000000001</v>
      </c>
      <c r="EK132" s="727">
        <f>VLOOKUP(WWWW[[#This Row],[Site Name]],SiteDB6[[Site Name]:[Long]],13,FALSE)</f>
        <v>96.793999999999997</v>
      </c>
      <c r="EL132" s="727" t="str">
        <f>VLOOKUP(WWWW[[#This Row],[Site Name]],SiteDB6[[Site Name]:[Pcode]],3,FALSE)</f>
        <v>MMR001CMP236</v>
      </c>
      <c r="EM132" s="732" t="str">
        <f t="shared" si="1"/>
        <v>Covered</v>
      </c>
      <c r="EN132" s="732"/>
      <c r="EO132" s="727">
        <f>VLOOKUP(WWWW[[#This Row],[Site Name]],SiteDB6[[Site Name]:[Pop
(Kachin/Shan-CCCM as of July 2021)]],16,FALSE)</f>
        <v>27</v>
      </c>
      <c r="EP132" s="727">
        <f>VLOOKUP(WWWW[[#This Row],[Site Name]],SiteDB6[[Site Name]:[Pop
(Kachin/Shan-CCCM as of July 2021)]],17,FALSE)</f>
        <v>137</v>
      </c>
    </row>
    <row r="133" spans="1:146" hidden="1">
      <c r="A133" s="725" t="s">
        <v>2763</v>
      </c>
      <c r="B133" s="725" t="s">
        <v>309</v>
      </c>
      <c r="C133" s="726" t="s">
        <v>309</v>
      </c>
      <c r="D133" s="726"/>
      <c r="E133" s="726" t="s">
        <v>37</v>
      </c>
      <c r="F133" s="726" t="s">
        <v>159</v>
      </c>
      <c r="G133" s="591" t="str">
        <f>VLOOKUP(WWWW[[#This Row],[Site Name]],SiteDB6[[Site Name]:[Location Type]],8,FALSE)</f>
        <v>Camp</v>
      </c>
      <c r="H133" s="726" t="s">
        <v>2235</v>
      </c>
      <c r="I133" s="728">
        <v>26</v>
      </c>
      <c r="J133" s="728">
        <v>147</v>
      </c>
      <c r="K133" s="729" t="s">
        <v>2650</v>
      </c>
      <c r="L133" s="730" t="s">
        <v>2651</v>
      </c>
      <c r="M133" s="728"/>
      <c r="N133" s="728"/>
      <c r="O133" s="728"/>
      <c r="P133" s="728"/>
      <c r="Q133" s="731"/>
      <c r="R133" s="728"/>
      <c r="S133" s="728">
        <v>4</v>
      </c>
      <c r="T133" s="448"/>
      <c r="U133" s="728"/>
      <c r="V133" s="728"/>
      <c r="W133" s="728"/>
      <c r="X133" s="728"/>
      <c r="Y133" s="728"/>
      <c r="Z133" s="728"/>
      <c r="AA133" s="728"/>
      <c r="AB133" s="728"/>
      <c r="AC133" s="728"/>
      <c r="AD133" s="728"/>
      <c r="AE133" s="728"/>
      <c r="AF133" s="728"/>
      <c r="AG133" s="728"/>
      <c r="AH133" s="728"/>
      <c r="AI133" s="728"/>
      <c r="AJ133" s="728"/>
      <c r="AK133" s="728"/>
      <c r="AL133" s="728"/>
      <c r="AM133" s="728"/>
      <c r="AN133" s="728"/>
      <c r="AO133" s="728"/>
      <c r="AP133" s="732"/>
      <c r="AQ133" s="728"/>
      <c r="AR133" s="728"/>
      <c r="AS133" s="733"/>
      <c r="AT133" s="728"/>
      <c r="AU133" s="728"/>
      <c r="AV133" s="728"/>
      <c r="AW133" s="728"/>
      <c r="AX133" s="728"/>
      <c r="AY133" s="425" t="s">
        <v>140</v>
      </c>
      <c r="AZ133" s="860" t="s">
        <v>140</v>
      </c>
      <c r="BA133" s="728"/>
      <c r="BB133" s="728"/>
      <c r="BC133" s="728"/>
      <c r="BD133" s="448"/>
      <c r="BE133" s="448"/>
      <c r="BF133" s="727"/>
      <c r="BG133" s="728">
        <v>1</v>
      </c>
      <c r="BH133" s="728"/>
      <c r="BI133" s="728"/>
      <c r="BJ133" s="728">
        <v>1</v>
      </c>
      <c r="BK133" s="728"/>
      <c r="BL133" s="728"/>
      <c r="BM133" s="728"/>
      <c r="BN133" s="728">
        <v>6</v>
      </c>
      <c r="BO133" s="728">
        <v>5</v>
      </c>
      <c r="BP133" s="727"/>
      <c r="BQ133" s="734"/>
      <c r="BR133" s="733"/>
      <c r="BS133" s="727"/>
      <c r="BT133" s="423"/>
      <c r="BU133" s="423"/>
      <c r="BV133" s="425"/>
      <c r="BW133" s="423"/>
      <c r="BX133" s="448"/>
      <c r="BY133" s="448"/>
      <c r="BZ133" s="448"/>
      <c r="CA133" s="448"/>
      <c r="CB133" s="448"/>
      <c r="CC133" s="777"/>
      <c r="CD133" s="448"/>
      <c r="CE133" s="735" t="str">
        <f>IFERROR(WWWW[[#This Row],['#_Water sources passed]]/WWWW[[#This Row],['#_Water sources tested for fecal coliform ]],"no test")</f>
        <v>no test</v>
      </c>
      <c r="CF133" s="733" t="str">
        <f>IFERROR(WWWW[[#This Row],['#_Household passed]]/WWWW[[#This Row],['#_Household water samples tested for fecal coliform]],"no test")</f>
        <v>no test</v>
      </c>
      <c r="CG133" s="734" t="str">
        <f>IF(AND(WWWW[[#This Row],[% of water sources passed]]="no test",WWWW[[#This Row],[% Household passed]]="no test"),"No Test","Tested")</f>
        <v>No Test</v>
      </c>
      <c r="CH133" s="734">
        <f>WWWW[[#This Row],['#_Constructed/existing protected hand dug well]]-WWWW[[#This Row],['#_Non-functional protected hand dug well]]</f>
        <v>0</v>
      </c>
      <c r="CI133" s="734">
        <f>(WWWW[[#This Row],['#_Constructed/Existing tube wells/boreholes/handpumps_WASH_agency]]+WWWW[[#This Row],['#_Non-Cluster partner water tube-wells/boreholes/handpumps]])-WWWW[[#This Row],['#_Non-functional tube wells/boreholes/handpumps]]</f>
        <v>0</v>
      </c>
      <c r="CJ133" s="734">
        <f>WWWW[[#This Row],['#_Constructed/Existingwater storage tank with gravity fed reticulation system]]-WWWW[[#This Row],['#_Non-functional storage tank gravity fed reticulation system]]</f>
        <v>0</v>
      </c>
      <c r="CK133" s="734">
        <f>(WWWW[[#This Row],['#_Water_Liters_supplied_by_Water boating or water trucking]]/90)/15</f>
        <v>0</v>
      </c>
      <c r="CL133" s="734">
        <f>WWWW[[#This Row],['#_Water_Liters_from_Constructed/Existing water distribution system from river or natural spring]]/90/15</f>
        <v>0</v>
      </c>
      <c r="CM133" s="424">
        <f>IF(WWWW[[#This Row],['#_of water points in TLS/CFS]]*500&gt;WWWW[[#This Row],[Total PoP ]],WWWW[[#This Row],[Total PoP ]],WWWW[[#This Row],['#_of water points in TLS/CFS]]*500)</f>
        <v>0</v>
      </c>
      <c r="CN133" s="424">
        <f>IF(WWWW[[#This Row],['#_of water points in THF]]*500&gt;WWWW[[#This Row],[Total PoP ]],WWWW[[#This Row],[Total PoP ]],WWWW[[#This Row],['#_of water points in THF]]*500)</f>
        <v>0</v>
      </c>
      <c r="CO13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3" s="733">
        <f>IF(WWWW[[#This Row],[Location Type 1]]="Village",WWWW[[#This Row],[Access to safe drinking water for Village]],WWWW[[#This Row],[Access to safe drinking water for Camp]])</f>
        <v>0</v>
      </c>
      <c r="CR133" s="731">
        <f>WWWW[[#This Row],[%Equitable and continuous access to sufficient quantity of safe drinking water]]*WWWW[[#This Row],[Total PoP ]]</f>
        <v>0</v>
      </c>
      <c r="CS133" s="733">
        <f>IF((WWWW[[#This Row],['#_Constructed/Existing protected/fenced ponds]]*250)/WWWW[[#This Row],[Total PoP ]]&gt;1,1,(WWWW[[#This Row],['#_Constructed/Existing protected/fenced ponds]]*250)/WWWW[[#This Row],[Total PoP ]])</f>
        <v>0</v>
      </c>
      <c r="CT133" s="731">
        <f>WWWW[[#This Row],[% Access to unimproved water points]]*WWWW[[#This Row],[Total PoP ]]</f>
        <v>0</v>
      </c>
      <c r="CU13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3" s="731">
        <f>WWWW[[#This Row],[HRP1]]/500</f>
        <v>0</v>
      </c>
      <c r="CX133" s="736">
        <f>1-WWWW[[#This Row],[% Equitable and continuous access to sufficient quantity of domestic water]]</f>
        <v>1</v>
      </c>
      <c r="CY133" s="731">
        <f>WWWW[[#This Row],[%equitable and continuous access to sufficient quantity of safe drinking and domestic water''s GAP]]*WWWW[[#This Row],[Total PoP ]]</f>
        <v>147</v>
      </c>
      <c r="CZ133" s="734">
        <f>IF(WWWW[[#This Row],[Total required water points]]-WWWW[[#This Row],['#Water points coverage]]&lt;0,0,WWWW[[#This Row],[Total required water points]]-WWWW[[#This Row],['#Water points coverage]])</f>
        <v>1</v>
      </c>
      <c r="DA133" s="734">
        <f>ROUND(IF(WWWW[[#This Row],[Total PoP ]]&lt;500,1,WWWW[[#This Row],[Total PoP ]]/500),0)</f>
        <v>1</v>
      </c>
      <c r="DB133" s="734">
        <f>(WWWW[[#This Row],['#_Constructed latrines_by_WASHAgencies]]+WWWW[[#This Row],['#_Non Cluster partner latrines]])-WWWW[[#This Row],['#_Non-functional latrines]]</f>
        <v>0</v>
      </c>
      <c r="DC133" s="631">
        <f>WWWW[[#This Row],[HRP2]]/WWWW[[#This Row],[Total PoP ]]</f>
        <v>0</v>
      </c>
      <c r="DD13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3" s="424">
        <f>IF(WWWW[[#This Row],['# of functional latrines in THF supported by WASH partners during the reporting period2]]="",0,WWWW[[#This Row],['# of functional latrines in THF supported by WASH partners during the reporting period2]]*50)</f>
        <v>0</v>
      </c>
      <c r="DH133" s="734">
        <f>ROUND(IF(WWWW[[#This Row],[Location Type 1]]="camp",WWWW[[#This Row],[Total PoP ]]/20,IF(WWWW[[#This Row],[Location Type 1]]="Temporary Location",WWWW[[#This Row],[Total PoP ]]/50,(WWWW[[#This Row],[Total PoP ]]/6))),0)</f>
        <v>7</v>
      </c>
      <c r="DI133" s="734">
        <f>IF(WWWW[[#This Row],[Total required Latrines]]-(WWWW[[#This Row],['#_Constructed latrines_by_WASHAgencies]]+WWWW[[#This Row],['#_Non Cluster partner latrines]])&lt;0,0,WWWW[[#This Row],[Total required Latrines]]-(WWWW[[#This Row],['#_Constructed latrines_by_WASHAgencies]]+WWWW[[#This Row],['#_Non Cluster partner latrines]]))</f>
        <v>7</v>
      </c>
      <c r="DJ133" s="736">
        <f>1-WWWW[[#This Row],[% people access to functioning Latrine]]</f>
        <v>1</v>
      </c>
      <c r="DK133" s="735">
        <f>IF(OR(WWWW[[#This Row],['#_Non-functional latrines]]="",WWWW[[#This Row],['#_Non-functional latrines]]=0),0,WWWW[[#This Row],['#_Non-functional latrines]]/(WWWW[[#This Row],['#_Constructed latrines_by_WASHAgencies]]+WWWW[[#This Row],['#_Non Cluster partner latrines]]))</f>
        <v>0</v>
      </c>
      <c r="DL133" s="731">
        <f>IF(500*(WWWW[[#This Row],['#_male hygiene promoters]]+WWWW[[#This Row],['#_female hygiene promoters]])&gt;WWWW[[#This Row],[Total PoP ]],WWWW[[#This Row],[Total PoP ]],500*(WWWW[[#This Row],['#_male hygiene promoters]]+WWWW[[#This Row],['#_female hygiene promoters]]))</f>
        <v>0</v>
      </c>
      <c r="DM13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3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33" s="734">
        <f>IF(WWWW[[#This Row],['# People with access to soap]]&gt;WWWW[[#This Row],['# People with access to Sanity Pads]],WWWW[[#This Row],['# People with access to soap]],WWWW[[#This Row],['# People with access to Sanity Pads]])</f>
        <v>30</v>
      </c>
      <c r="DP133" s="734">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33" s="736">
        <f>IF(WWWW[[#This Row],[HRP3]]/WWWW[[#This Row],[Total PoP ]]&gt;1,1,WWWW[[#This Row],[HRP3]]/WWWW[[#This Row],[Total PoP ]])</f>
        <v>0.20408163265306123</v>
      </c>
      <c r="DR133" s="735">
        <f>1-WWWW[[#This Row],[Hygiene Coverage%]]</f>
        <v>0.79591836734693877</v>
      </c>
      <c r="DS133" s="733">
        <f>WWWW[[#This Row],['# people reached by regular dedicated hygiene promotion_5]]/WWWW[[#This Row],[Total PoP ]]</f>
        <v>0</v>
      </c>
      <c r="DT13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0.92307692307692313</v>
      </c>
      <c r="DU13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0.19230769230769232</v>
      </c>
      <c r="DV133" s="734">
        <f>WWWW[[#This Row],['#_Constructed/Existing hand washing stations]]-WWWW[[#This Row],['#_Non-Functional_hand_washing_stations]]</f>
        <v>1</v>
      </c>
      <c r="DW133" s="731">
        <f>IF(WWWW[[#This Row],['# Functional hand washing stations during reporting period]]*20&gt;WWWW[[#This Row],[Total HH]],WWWW[[#This Row],[Total HH]],WWWW[[#This Row],['# Functional hand washing stations during reporting period]]*20)</f>
        <v>20</v>
      </c>
      <c r="DX133" s="731">
        <f>IF(WWWW[[#This Row],[Is sufficient soap available for TLS? (Yes/No)]]="yes",WWWW[[#This Row],['#_Constructed/Existing hand washing stations at TLS/CFS/THF]],0)</f>
        <v>0</v>
      </c>
      <c r="DY133" s="428">
        <f>IF(WWWW[[#This Row],['# Functional hand washing stations during reporting period]]*100&gt;WWWW[[#This Row],[Total PoP ]],WWWW[[#This Row],[Total PoP ]],WWWW[[#This Row],['# Functional hand washing stations during reporting period]]*100)</f>
        <v>100</v>
      </c>
      <c r="DZ133" s="428" t="str">
        <f>IF(OR(WWWW[[#This Row],['#_students at TLS_CFS]]="",WWWW[[#This Row],['#_students at TLS_CFS]]=0),"No","Yes")</f>
        <v>No</v>
      </c>
      <c r="EA13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3" s="727">
        <f>VLOOKUP(WWWW[[#This Row],[Site Name]],SiteDB6[[Site Name]:[CCCM Management]],6,FALSE)</f>
        <v>0</v>
      </c>
      <c r="EF133" s="727" t="str">
        <f>VLOOKUP(WWWW[[#This Row],[Site Name]],SiteDB6[[Site Name]:[CCCM Focal Agency]],7,FALSE)</f>
        <v>uncovered</v>
      </c>
      <c r="EG133" s="727" t="str">
        <f>VLOOKUP(WWWW[[#This Row],[Site Name]],SiteDB6[[Site Name]:[Location Type 1]],9,FALSE)</f>
        <v>Camp</v>
      </c>
      <c r="EH133" s="727" t="str">
        <f>VLOOKUP(WWWW[[#This Row],[Site Name]],SiteDB6[[Site Name]:[Type of Accommodation]],10,FALSE)</f>
        <v>Camp</v>
      </c>
      <c r="EI133" s="727" t="str">
        <f>VLOOKUP(WWWW[[#This Row],[Site Name]],SiteDB6[[Site Name]:[Ethnic or GCA/NGCA]],11,FALSE)</f>
        <v>GCA</v>
      </c>
      <c r="EJ133" s="727">
        <f>VLOOKUP(WWWW[[#This Row],[Site Name]],SiteDB6[[Site Name]:[Lat]],12,FALSE)</f>
        <v>25.387892000000001</v>
      </c>
      <c r="EK133" s="727">
        <f>VLOOKUP(WWWW[[#This Row],[Site Name]],SiteDB6[[Site Name]:[Long]],13,FALSE)</f>
        <v>97.325181999999998</v>
      </c>
      <c r="EL133" s="727" t="str">
        <f>VLOOKUP(WWWW[[#This Row],[Site Name]],SiteDB6[[Site Name]:[Pcode]],3,FALSE)</f>
        <v>MMR001CMP276</v>
      </c>
      <c r="EM133" s="732" t="str">
        <f t="shared" si="1"/>
        <v>Notcovered</v>
      </c>
      <c r="EN133" s="732"/>
      <c r="EO133" s="727">
        <f>VLOOKUP(WWWW[[#This Row],[Site Name]],SiteDB6[[Site Name]:[Pop
(Kachin/Shan-CCCM as of July 2021)]],16,FALSE)</f>
        <v>26</v>
      </c>
      <c r="EP133" s="727">
        <f>VLOOKUP(WWWW[[#This Row],[Site Name]],SiteDB6[[Site Name]:[Pop
(Kachin/Shan-CCCM as of July 2021)]],17,FALSE)</f>
        <v>138</v>
      </c>
    </row>
    <row r="134" spans="1:146" hidden="1">
      <c r="A134" s="725" t="s">
        <v>2763</v>
      </c>
      <c r="B134" s="725" t="s">
        <v>276</v>
      </c>
      <c r="C134" s="726" t="s">
        <v>276</v>
      </c>
      <c r="D134" s="369" t="s">
        <v>292</v>
      </c>
      <c r="E134" s="726" t="s">
        <v>37</v>
      </c>
      <c r="F134" s="726" t="s">
        <v>205</v>
      </c>
      <c r="G134" s="591" t="str">
        <f>VLOOKUP(WWWW[[#This Row],[Site Name]],SiteDB6[[Site Name]:[Location Type]],8,FALSE)</f>
        <v>Camp</v>
      </c>
      <c r="H134" s="726" t="s">
        <v>286</v>
      </c>
      <c r="I134" s="448">
        <v>40</v>
      </c>
      <c r="J134" s="448">
        <v>255</v>
      </c>
      <c r="K134" s="588">
        <v>44652</v>
      </c>
      <c r="L134" s="589">
        <v>44895</v>
      </c>
      <c r="M134" s="728"/>
      <c r="N134" s="728"/>
      <c r="O134" s="728"/>
      <c r="P134" s="728"/>
      <c r="Q134" s="731" t="s">
        <v>41</v>
      </c>
      <c r="R134" s="728">
        <v>3</v>
      </c>
      <c r="S134" s="728">
        <v>10</v>
      </c>
      <c r="T134" s="448">
        <v>2</v>
      </c>
      <c r="U134" s="728"/>
      <c r="V134" s="728"/>
      <c r="W134" s="728">
        <v>2</v>
      </c>
      <c r="X134" s="728"/>
      <c r="Y134" s="728"/>
      <c r="Z134" s="728"/>
      <c r="AA134" s="728">
        <v>1</v>
      </c>
      <c r="AB134" s="728"/>
      <c r="AC134" s="728"/>
      <c r="AD134" s="728"/>
      <c r="AE134" s="728"/>
      <c r="AF134" s="728"/>
      <c r="AG134" s="728"/>
      <c r="AH134" s="728"/>
      <c r="AI134" s="742"/>
      <c r="AJ134" s="742"/>
      <c r="AK134" s="742"/>
      <c r="AL134" s="742"/>
      <c r="AM134" s="728">
        <v>10</v>
      </c>
      <c r="AN134" s="728"/>
      <c r="AO134" s="728"/>
      <c r="AP134" s="732"/>
      <c r="AQ134" s="728">
        <v>16</v>
      </c>
      <c r="AR134" s="728"/>
      <c r="AS134" s="733"/>
      <c r="AT134" s="728"/>
      <c r="AU134" s="742"/>
      <c r="AV134" s="742"/>
      <c r="AW134" s="742"/>
      <c r="AX134" s="728"/>
      <c r="AY134" s="727" t="s">
        <v>41</v>
      </c>
      <c r="AZ134" s="732" t="s">
        <v>137</v>
      </c>
      <c r="BA134" s="728"/>
      <c r="BB134" s="728"/>
      <c r="BC134" s="728"/>
      <c r="BD134" s="448"/>
      <c r="BE134" s="448"/>
      <c r="BF134" s="727"/>
      <c r="BG134" s="728">
        <v>8</v>
      </c>
      <c r="BH134" s="728"/>
      <c r="BI134" s="728"/>
      <c r="BJ134" s="728">
        <v>1</v>
      </c>
      <c r="BK134" s="728"/>
      <c r="BL134" s="728">
        <v>1</v>
      </c>
      <c r="BM134" s="728">
        <v>1</v>
      </c>
      <c r="BN134" s="742"/>
      <c r="BO134" s="728"/>
      <c r="BP134" s="727"/>
      <c r="BQ134" s="744"/>
      <c r="BR134" s="733"/>
      <c r="BS134" s="727"/>
      <c r="BT134" s="903">
        <v>0.77777777777777779</v>
      </c>
      <c r="BU134" s="903">
        <v>1</v>
      </c>
      <c r="BV134" s="590">
        <v>9</v>
      </c>
      <c r="BW134" s="903"/>
      <c r="BX134" s="448"/>
      <c r="BY134" s="448"/>
      <c r="BZ134" s="448"/>
      <c r="CA134" s="448"/>
      <c r="CB134" s="448"/>
      <c r="CC134" s="777"/>
      <c r="CD134" s="448"/>
      <c r="CE134" s="735" t="str">
        <f>IFERROR(WWWW[[#This Row],['#_Water sources passed]]/WWWW[[#This Row],['#_Water sources tested for fecal coliform ]],"no test")</f>
        <v>no test</v>
      </c>
      <c r="CF134" s="733" t="str">
        <f>IFERROR(WWWW[[#This Row],['#_Household passed]]/WWWW[[#This Row],['#_Household water samples tested for fecal coliform]],"no test")</f>
        <v>no test</v>
      </c>
      <c r="CG134" s="734" t="str">
        <f>IF(AND(WWWW[[#This Row],[% of water sources passed]]="no test",WWWW[[#This Row],[% Household passed]]="no test"),"No Test","Tested")</f>
        <v>No Test</v>
      </c>
      <c r="CH134" s="734">
        <f>WWWW[[#This Row],['#_Constructed/existing protected hand dug well]]-WWWW[[#This Row],['#_Non-functional protected hand dug well]]</f>
        <v>2</v>
      </c>
      <c r="CI134" s="734">
        <f>(WWWW[[#This Row],['#_Constructed/Existing tube wells/boreholes/handpumps_WASH_agency]]+WWWW[[#This Row],['#_Non-Cluster partner water tube-wells/boreholes/handpumps]])-WWWW[[#This Row],['#_Non-functional tube wells/boreholes/handpumps]]</f>
        <v>2</v>
      </c>
      <c r="CJ134" s="734">
        <f>WWWW[[#This Row],['#_Constructed/Existingwater storage tank with gravity fed reticulation system]]-WWWW[[#This Row],['#_Non-functional storage tank gravity fed reticulation system]]</f>
        <v>1</v>
      </c>
      <c r="CK134" s="734">
        <f>(WWWW[[#This Row],['#_Water_Liters_supplied_by_Water boating or water trucking]]/90)/15</f>
        <v>0</v>
      </c>
      <c r="CL134" s="734">
        <f>WWWW[[#This Row],['#_Water_Liters_from_Constructed/Existing water distribution system from river or natural spring]]/90/15</f>
        <v>0</v>
      </c>
      <c r="CM134" s="424">
        <f>IF(WWWW[[#This Row],['#_of water points in TLS/CFS]]*500&gt;WWWW[[#This Row],[Total PoP ]],WWWW[[#This Row],[Total PoP ]],WWWW[[#This Row],['#_of water points in TLS/CFS]]*500)</f>
        <v>0</v>
      </c>
      <c r="CN134" s="424">
        <f>IF(WWWW[[#This Row],['#_of water points in THF]]*500&gt;WWWW[[#This Row],[Total PoP ]],WWWW[[#This Row],[Total PoP ]],WWWW[[#This Row],['#_of water points in THF]]*500)</f>
        <v>0</v>
      </c>
      <c r="CO13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4" s="733">
        <f>IF(WWWW[[#This Row],[Location Type 1]]="Village",WWWW[[#This Row],[Access to safe drinking water for Village]],WWWW[[#This Row],[Access to safe drinking water for Camp]])</f>
        <v>1</v>
      </c>
      <c r="CR134" s="731">
        <f>WWWW[[#This Row],[%Equitable and continuous access to sufficient quantity of safe drinking water]]*WWWW[[#This Row],[Total PoP ]]</f>
        <v>255</v>
      </c>
      <c r="CS134" s="733">
        <f>IF((WWWW[[#This Row],['#_Constructed/Existing protected/fenced ponds]]*250)/WWWW[[#This Row],[Total PoP ]]&gt;1,1,(WWWW[[#This Row],['#_Constructed/Existing protected/fenced ponds]]*250)/WWWW[[#This Row],[Total PoP ]])</f>
        <v>0</v>
      </c>
      <c r="CT134" s="731">
        <f>WWWW[[#This Row],[% Access to unimproved water points]]*WWWW[[#This Row],[Total PoP ]]</f>
        <v>0</v>
      </c>
      <c r="CU13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W134" s="731">
        <f>WWWW[[#This Row],[HRP1]]/500</f>
        <v>0.51</v>
      </c>
      <c r="CX134" s="736">
        <f>1-WWWW[[#This Row],[% Equitable and continuous access to sufficient quantity of domestic water]]</f>
        <v>0</v>
      </c>
      <c r="CY134" s="731">
        <f>WWWW[[#This Row],[%equitable and continuous access to sufficient quantity of safe drinking and domestic water''s GAP]]*WWWW[[#This Row],[Total PoP ]]</f>
        <v>0</v>
      </c>
      <c r="CZ134" s="734">
        <f>IF(WWWW[[#This Row],[Total required water points]]-WWWW[[#This Row],['#Water points coverage]]&lt;0,0,WWWW[[#This Row],[Total required water points]]-WWWW[[#This Row],['#Water points coverage]])</f>
        <v>0.49</v>
      </c>
      <c r="DA134" s="734">
        <f>ROUND(IF(WWWW[[#This Row],[Total PoP ]]&lt;500,1,WWWW[[#This Row],[Total PoP ]]/500),0)</f>
        <v>1</v>
      </c>
      <c r="DB134" s="734">
        <f>(WWWW[[#This Row],['#_Constructed latrines_by_WASHAgencies]]+WWWW[[#This Row],['#_Non Cluster partner latrines]])-WWWW[[#This Row],['#_Non-functional latrines]]</f>
        <v>16</v>
      </c>
      <c r="DC134" s="631">
        <f>WWWW[[#This Row],[HRP2]]/WWWW[[#This Row],[Total PoP ]]</f>
        <v>1</v>
      </c>
      <c r="DD13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255</v>
      </c>
      <c r="DE13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4" s="424">
        <f>IF(WWWW[[#This Row],['# of functional latrines in THF supported by WASH partners during the reporting period2]]="",0,WWWW[[#This Row],['# of functional latrines in THF supported by WASH partners during the reporting period2]]*50)</f>
        <v>0</v>
      </c>
      <c r="DH134" s="734">
        <f>ROUND(IF(WWWW[[#This Row],[Location Type 1]]="camp",WWWW[[#This Row],[Total PoP ]]/20,IF(WWWW[[#This Row],[Location Type 1]]="Temporary Location",WWWW[[#This Row],[Total PoP ]]/50,(WWWW[[#This Row],[Total PoP ]]/6))),0)</f>
        <v>13</v>
      </c>
      <c r="DI134" s="734">
        <f>IF(WWWW[[#This Row],[Total required Latrines]]-(WWWW[[#This Row],['#_Constructed latrines_by_WASHAgencies]]+WWWW[[#This Row],['#_Non Cluster partner latrines]])&lt;0,0,WWWW[[#This Row],[Total required Latrines]]-(WWWW[[#This Row],['#_Constructed latrines_by_WASHAgencies]]+WWWW[[#This Row],['#_Non Cluster partner latrines]]))</f>
        <v>0</v>
      </c>
      <c r="DJ134" s="736">
        <f>1-WWWW[[#This Row],[% people access to functioning Latrine]]</f>
        <v>0</v>
      </c>
      <c r="DK134" s="735">
        <f>IF(OR(WWWW[[#This Row],['#_Non-functional latrines]]="",WWWW[[#This Row],['#_Non-functional latrines]]=0),0,WWWW[[#This Row],['#_Non-functional latrines]]/(WWWW[[#This Row],['#_Constructed latrines_by_WASHAgencies]]+WWWW[[#This Row],['#_Non Cluster partner latrines]]))</f>
        <v>0</v>
      </c>
      <c r="DL134" s="731">
        <f>IF(500*(WWWW[[#This Row],['#_male hygiene promoters]]+WWWW[[#This Row],['#_female hygiene promoters]])&gt;WWWW[[#This Row],[Total PoP ]],WWWW[[#This Row],[Total PoP ]],500*(WWWW[[#This Row],['#_male hygiene promoters]]+WWWW[[#This Row],['#_female hygiene promoters]]))</f>
        <v>255</v>
      </c>
      <c r="DM13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3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34" s="734">
        <f>IF(WWWW[[#This Row],['# People with access to soap]]&gt;WWWW[[#This Row],['# People with access to Sanity Pads]],WWWW[[#This Row],['# People with access to soap]],WWWW[[#This Row],['# People with access to Sanity Pads]])</f>
        <v>0</v>
      </c>
      <c r="DP134" s="734">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Q134" s="736">
        <f>IF(WWWW[[#This Row],[HRP3]]/WWWW[[#This Row],[Total PoP ]]&gt;1,1,WWWW[[#This Row],[HRP3]]/WWWW[[#This Row],[Total PoP ]])</f>
        <v>1</v>
      </c>
      <c r="DR134" s="735">
        <f>1-WWWW[[#This Row],[Hygiene Coverage%]]</f>
        <v>0</v>
      </c>
      <c r="DS134" s="733">
        <f>WWWW[[#This Row],['# people reached by regular dedicated hygiene promotion_5]]/WWWW[[#This Row],[Total PoP ]]</f>
        <v>1</v>
      </c>
      <c r="DT13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3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34" s="734">
        <f>WWWW[[#This Row],['#_Constructed/Existing hand washing stations]]-WWWW[[#This Row],['#_Non-Functional_hand_washing_stations]]</f>
        <v>8</v>
      </c>
      <c r="DW134" s="731">
        <f>IF(WWWW[[#This Row],['# Functional hand washing stations during reporting period]]*20&gt;WWWW[[#This Row],[Total HH]],WWWW[[#This Row],[Total HH]],WWWW[[#This Row],['# Functional hand washing stations during reporting period]]*20)</f>
        <v>40</v>
      </c>
      <c r="DX134" s="731">
        <f>IF(WWWW[[#This Row],[Is sufficient soap available for TLS? (Yes/No)]]="yes",WWWW[[#This Row],['#_Constructed/Existing hand washing stations at TLS/CFS/THF]],0)</f>
        <v>0</v>
      </c>
      <c r="DY134" s="428">
        <f>IF(WWWW[[#This Row],['# Functional hand washing stations during reporting period]]*100&gt;WWWW[[#This Row],[Total PoP ]],WWWW[[#This Row],[Total PoP ]],WWWW[[#This Row],['# Functional hand washing stations during reporting period]]*100)</f>
        <v>255</v>
      </c>
      <c r="DZ134" s="428" t="str">
        <f>IF(OR(WWWW[[#This Row],['#_students at TLS_CFS]]="",WWWW[[#This Row],['#_students at TLS_CFS]]=0),"No","Yes")</f>
        <v>No</v>
      </c>
      <c r="EA134" s="631">
        <f>IF(WWWW[[#This Row],['#_of_affected_people_surveyed_who_report_feeling_informed_about_the_different_WASH_services_available_to_them]]="","",WWWW[[#This Row],['#_of_affected_people_surveyed_who_report_feeling_informed_about_the_different_WASH_services_available_to_them]]/WWWW[[#This Row],[Total PoP ]])</f>
        <v>3.5294117647058823E-2</v>
      </c>
      <c r="EB13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4" s="727" t="str">
        <f>VLOOKUP(WWWW[[#This Row],[Site Name]],SiteDB6[[Site Name]:[CCCM Management]],6,FALSE)</f>
        <v>Yes</v>
      </c>
      <c r="EF134" s="727" t="str">
        <f>VLOOKUP(WWWW[[#This Row],[Site Name]],SiteDB6[[Site Name]:[CCCM Focal Agency]],7,FALSE)</f>
        <v>KBC-BMO</v>
      </c>
      <c r="EG134" s="727" t="str">
        <f>VLOOKUP(WWWW[[#This Row],[Site Name]],SiteDB6[[Site Name]:[Location Type 1]],9,FALSE)</f>
        <v>Camp</v>
      </c>
      <c r="EH134" s="727" t="str">
        <f>VLOOKUP(WWWW[[#This Row],[Site Name]],SiteDB6[[Site Name]:[Type of Accommodation]],10,FALSE)</f>
        <v>Camp</v>
      </c>
      <c r="EI134" s="727" t="str">
        <f>VLOOKUP(WWWW[[#This Row],[Site Name]],SiteDB6[[Site Name]:[Ethnic or GCA/NGCA]],11,FALSE)</f>
        <v>GCA</v>
      </c>
      <c r="EJ134" s="727">
        <f>VLOOKUP(WWWW[[#This Row],[Site Name]],SiteDB6[[Site Name]:[Lat]],12,FALSE)</f>
        <v>24.207332999999998</v>
      </c>
      <c r="EK134" s="727">
        <f>VLOOKUP(WWWW[[#This Row],[Site Name]],SiteDB6[[Site Name]:[Long]],13,FALSE)</f>
        <v>97.710864000000001</v>
      </c>
      <c r="EL134" s="727" t="str">
        <f>VLOOKUP(WWWW[[#This Row],[Site Name]],SiteDB6[[Site Name]:[Pcode]],3,FALSE)</f>
        <v>MMR001CMP073</v>
      </c>
      <c r="EM134" s="732" t="str">
        <f t="shared" si="1"/>
        <v>Covered</v>
      </c>
      <c r="EN134" s="732"/>
      <c r="EO134" s="727">
        <f>VLOOKUP(WWWW[[#This Row],[Site Name]],SiteDB6[[Site Name]:[Pop
(Kachin/Shan-CCCM as of July 2021)]],16,FALSE)</f>
        <v>47</v>
      </c>
      <c r="EP134" s="727">
        <f>VLOOKUP(WWWW[[#This Row],[Site Name]],SiteDB6[[Site Name]:[Pop
(Kachin/Shan-CCCM as of July 2021)]],17,FALSE)</f>
        <v>279</v>
      </c>
    </row>
    <row r="135" spans="1:146" hidden="1">
      <c r="A135" s="725" t="s">
        <v>2763</v>
      </c>
      <c r="B135" s="707" t="s">
        <v>2806</v>
      </c>
      <c r="C135" s="726" t="s">
        <v>141</v>
      </c>
      <c r="D135" s="369" t="s">
        <v>2587</v>
      </c>
      <c r="E135" s="726" t="s">
        <v>37</v>
      </c>
      <c r="F135" s="726" t="s">
        <v>142</v>
      </c>
      <c r="G135" s="591" t="str">
        <f>VLOOKUP(WWWW[[#This Row],[Site Name]],SiteDB6[[Site Name]:[Location Type]],8,FALSE)</f>
        <v>Camp</v>
      </c>
      <c r="H135" s="875" t="s">
        <v>143</v>
      </c>
      <c r="I135" s="448">
        <v>382</v>
      </c>
      <c r="J135" s="448">
        <v>1532</v>
      </c>
      <c r="K135" s="800" t="s">
        <v>2814</v>
      </c>
      <c r="L135" s="56" t="s">
        <v>2815</v>
      </c>
      <c r="M135" s="728"/>
      <c r="N135" s="728">
        <v>6</v>
      </c>
      <c r="O135" s="728"/>
      <c r="P135" s="728"/>
      <c r="Q135" s="731" t="s">
        <v>41</v>
      </c>
      <c r="R135" s="728"/>
      <c r="S135" s="728">
        <v>2</v>
      </c>
      <c r="T135" s="448"/>
      <c r="U135" s="728"/>
      <c r="V135" s="728"/>
      <c r="W135" s="728"/>
      <c r="X135" s="728"/>
      <c r="Y135" s="728"/>
      <c r="Z135" s="728"/>
      <c r="AA135" s="728"/>
      <c r="AB135" s="728"/>
      <c r="AC135" s="728"/>
      <c r="AD135" s="728"/>
      <c r="AE135" s="728"/>
      <c r="AF135" s="728"/>
      <c r="AG135" s="728"/>
      <c r="AH135" s="728"/>
      <c r="AI135" s="728"/>
      <c r="AJ135" s="728"/>
      <c r="AK135" s="728"/>
      <c r="AL135" s="728"/>
      <c r="AM135" s="728"/>
      <c r="AN135" s="728"/>
      <c r="AO135" s="728"/>
      <c r="AP135" s="732"/>
      <c r="AQ135" s="728">
        <v>391</v>
      </c>
      <c r="AR135" s="728"/>
      <c r="AS135" s="733"/>
      <c r="AT135" s="728"/>
      <c r="AU135" s="728"/>
      <c r="AV135" s="728"/>
      <c r="AW135" s="728"/>
      <c r="AX135" s="728">
        <v>413</v>
      </c>
      <c r="AY135" s="727" t="s">
        <v>41</v>
      </c>
      <c r="AZ135" s="732" t="s">
        <v>137</v>
      </c>
      <c r="BA135" s="728"/>
      <c r="BB135" s="728"/>
      <c r="BC135" s="728"/>
      <c r="BD135" s="448"/>
      <c r="BE135" s="448"/>
      <c r="BF135" s="727"/>
      <c r="BG135" s="728">
        <v>7</v>
      </c>
      <c r="BH135" s="728"/>
      <c r="BI135" s="728"/>
      <c r="BJ135" s="728">
        <v>7</v>
      </c>
      <c r="BK135" s="728"/>
      <c r="BL135" s="728">
        <v>3</v>
      </c>
      <c r="BM135" s="728">
        <v>3</v>
      </c>
      <c r="BN135" s="728">
        <v>104</v>
      </c>
      <c r="BO135" s="728">
        <v>148</v>
      </c>
      <c r="BP135" s="727"/>
      <c r="BQ135" s="734"/>
      <c r="BR135" s="733"/>
      <c r="BS135" s="727"/>
      <c r="BT135" s="423"/>
      <c r="BU135" s="423"/>
      <c r="BV135" s="425"/>
      <c r="BW135" s="423"/>
      <c r="BX135" s="448"/>
      <c r="BY135" s="448"/>
      <c r="BZ135" s="448"/>
      <c r="CA135" s="448"/>
      <c r="CB135" s="448"/>
      <c r="CC135" s="777"/>
      <c r="CD135" s="448"/>
      <c r="CE135" s="735" t="str">
        <f>IFERROR(WWWW[[#This Row],['#_Water sources passed]]/WWWW[[#This Row],['#_Water sources tested for fecal coliform ]],"no test")</f>
        <v>no test</v>
      </c>
      <c r="CF135" s="733" t="str">
        <f>IFERROR(WWWW[[#This Row],['#_Household passed]]/WWWW[[#This Row],['#_Household water samples tested for fecal coliform]],"no test")</f>
        <v>no test</v>
      </c>
      <c r="CG135" s="734" t="str">
        <f>IF(AND(WWWW[[#This Row],[% of water sources passed]]="no test",WWWW[[#This Row],[% Household passed]]="no test"),"No Test","Tested")</f>
        <v>No Test</v>
      </c>
      <c r="CH135" s="734">
        <f>WWWW[[#This Row],['#_Constructed/existing protected hand dug well]]-WWWW[[#This Row],['#_Non-functional protected hand dug well]]</f>
        <v>0</v>
      </c>
      <c r="CI135" s="734">
        <f>(WWWW[[#This Row],['#_Constructed/Existing tube wells/boreholes/handpumps_WASH_agency]]+WWWW[[#This Row],['#_Non-Cluster partner water tube-wells/boreholes/handpumps]])-WWWW[[#This Row],['#_Non-functional tube wells/boreholes/handpumps]]</f>
        <v>0</v>
      </c>
      <c r="CJ135" s="734">
        <f>WWWW[[#This Row],['#_Constructed/Existingwater storage tank with gravity fed reticulation system]]-WWWW[[#This Row],['#_Non-functional storage tank gravity fed reticulation system]]</f>
        <v>0</v>
      </c>
      <c r="CK135" s="734">
        <f>(WWWW[[#This Row],['#_Water_Liters_supplied_by_Water boating or water trucking]]/90)/15</f>
        <v>0</v>
      </c>
      <c r="CL135" s="734">
        <f>WWWW[[#This Row],['#_Water_Liters_from_Constructed/Existing water distribution system from river or natural spring]]/90/15</f>
        <v>0</v>
      </c>
      <c r="CM135" s="424">
        <f>IF(WWWW[[#This Row],['#_of water points in TLS/CFS]]*500&gt;WWWW[[#This Row],[Total PoP ]],WWWW[[#This Row],[Total PoP ]],WWWW[[#This Row],['#_of water points in TLS/CFS]]*500)</f>
        <v>0</v>
      </c>
      <c r="CN135" s="424">
        <f>IF(WWWW[[#This Row],['#_of water points in THF]]*500&gt;WWWW[[#This Row],[Total PoP ]],WWWW[[#This Row],[Total PoP ]],WWWW[[#This Row],['#_of water points in THF]]*500)</f>
        <v>0</v>
      </c>
      <c r="CO13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5" s="733">
        <f>IF(WWWW[[#This Row],[Location Type 1]]="Village",WWWW[[#This Row],[Access to safe drinking water for Village]],WWWW[[#This Row],[Access to safe drinking water for Camp]])</f>
        <v>0</v>
      </c>
      <c r="CR135" s="731">
        <f>WWWW[[#This Row],[%Equitable and continuous access to sufficient quantity of safe drinking water]]*WWWW[[#This Row],[Total PoP ]]</f>
        <v>0</v>
      </c>
      <c r="CS135" s="733">
        <f>IF((WWWW[[#This Row],['#_Constructed/Existing protected/fenced ponds]]*250)/WWWW[[#This Row],[Total PoP ]]&gt;1,1,(WWWW[[#This Row],['#_Constructed/Existing protected/fenced ponds]]*250)/WWWW[[#This Row],[Total PoP ]])</f>
        <v>0</v>
      </c>
      <c r="CT135" s="731">
        <f>WWWW[[#This Row],[% Access to unimproved water points]]*WWWW[[#This Row],[Total PoP ]]</f>
        <v>0</v>
      </c>
      <c r="CU13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5" s="731">
        <f>WWWW[[#This Row],[HRP1]]/500</f>
        <v>0</v>
      </c>
      <c r="CX135" s="736">
        <f>1-WWWW[[#This Row],[% Equitable and continuous access to sufficient quantity of domestic water]]</f>
        <v>1</v>
      </c>
      <c r="CY135" s="731">
        <f>WWWW[[#This Row],[%equitable and continuous access to sufficient quantity of safe drinking and domestic water''s GAP]]*WWWW[[#This Row],[Total PoP ]]</f>
        <v>1532</v>
      </c>
      <c r="CZ135" s="734">
        <f>IF(WWWW[[#This Row],[Total required water points]]-WWWW[[#This Row],['#Water points coverage]]&lt;0,0,WWWW[[#This Row],[Total required water points]]-WWWW[[#This Row],['#Water points coverage]])</f>
        <v>3</v>
      </c>
      <c r="DA135" s="734">
        <f>ROUND(IF(WWWW[[#This Row],[Total PoP ]]&lt;500,1,WWWW[[#This Row],[Total PoP ]]/500),0)</f>
        <v>3</v>
      </c>
      <c r="DB135" s="734">
        <f>(WWWW[[#This Row],['#_Constructed latrines_by_WASHAgencies]]+WWWW[[#This Row],['#_Non Cluster partner latrines]])-WWWW[[#This Row],['#_Non-functional latrines]]</f>
        <v>391</v>
      </c>
      <c r="DC135" s="631">
        <f>WWWW[[#This Row],[HRP2]]/WWWW[[#This Row],[Total PoP ]]</f>
        <v>1</v>
      </c>
      <c r="DD13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1532</v>
      </c>
      <c r="DE13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5" s="424">
        <f>IF(WWWW[[#This Row],['# of functional latrines in THF supported by WASH partners during the reporting period2]]="",0,WWWW[[#This Row],['# of functional latrines in THF supported by WASH partners during the reporting period2]]*50)</f>
        <v>0</v>
      </c>
      <c r="DH135" s="734">
        <f>ROUND(IF(WWWW[[#This Row],[Location Type 1]]="camp",WWWW[[#This Row],[Total PoP ]]/20,IF(WWWW[[#This Row],[Location Type 1]]="Temporary Location",WWWW[[#This Row],[Total PoP ]]/50,(WWWW[[#This Row],[Total PoP ]]/6))),0)</f>
        <v>77</v>
      </c>
      <c r="DI135" s="734">
        <f>IF(WWWW[[#This Row],[Total required Latrines]]-(WWWW[[#This Row],['#_Constructed latrines_by_WASHAgencies]]+WWWW[[#This Row],['#_Non Cluster partner latrines]])&lt;0,0,WWWW[[#This Row],[Total required Latrines]]-(WWWW[[#This Row],['#_Constructed latrines_by_WASHAgencies]]+WWWW[[#This Row],['#_Non Cluster partner latrines]]))</f>
        <v>0</v>
      </c>
      <c r="DJ135" s="736">
        <f>1-WWWW[[#This Row],[% people access to functioning Latrine]]</f>
        <v>0</v>
      </c>
      <c r="DK135" s="735">
        <f>IF(OR(WWWW[[#This Row],['#_Non-functional latrines]]="",WWWW[[#This Row],['#_Non-functional latrines]]=0),0,WWWW[[#This Row],['#_Non-functional latrines]]/(WWWW[[#This Row],['#_Constructed latrines_by_WASHAgencies]]+WWWW[[#This Row],['#_Non Cluster partner latrines]]))</f>
        <v>0</v>
      </c>
      <c r="DL135" s="731">
        <f>IF(500*(WWWW[[#This Row],['#_male hygiene promoters]]+WWWW[[#This Row],['#_female hygiene promoters]])&gt;WWWW[[#This Row],[Total PoP ]],WWWW[[#This Row],[Total PoP ]],500*(WWWW[[#This Row],['#_male hygiene promoters]]+WWWW[[#This Row],['#_female hygiene promoters]]))</f>
        <v>1532</v>
      </c>
      <c r="DM13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13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35" s="734">
        <f>IF(WWWW[[#This Row],['# People with access to soap]]&gt;WWWW[[#This Row],['# People with access to Sanity Pads]],WWWW[[#This Row],['# People with access to soap]],WWWW[[#This Row],['# People with access to Sanity Pads]])</f>
        <v>520</v>
      </c>
      <c r="DP135" s="734">
        <f>IF(WWWW[[#This Row],['# people reached by regular dedicated hygiene promotion_5]]&gt;WWWW[[#This Row],['# People received regular supply of hygiene items_6]],WWWW[[#This Row],['# people reached by regular dedicated hygiene promotion_5]],WWWW[[#This Row],['# People received regular supply of hygiene items_6]])</f>
        <v>1532</v>
      </c>
      <c r="DQ135" s="736">
        <f>IF(WWWW[[#This Row],[HRP3]]/WWWW[[#This Row],[Total PoP ]]&gt;1,1,WWWW[[#This Row],[HRP3]]/WWWW[[#This Row],[Total PoP ]])</f>
        <v>1</v>
      </c>
      <c r="DR135" s="735">
        <f>1-WWWW[[#This Row],[Hygiene Coverage%]]</f>
        <v>0</v>
      </c>
      <c r="DS135" s="733">
        <f>WWWW[[#This Row],['# people reached by regular dedicated hygiene promotion_5]]/WWWW[[#This Row],[Total PoP ]]</f>
        <v>1</v>
      </c>
      <c r="DT13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0.27225130890052357</v>
      </c>
      <c r="DU13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0.38743455497382201</v>
      </c>
      <c r="DV135" s="734">
        <f>WWWW[[#This Row],['#_Constructed/Existing hand washing stations]]-WWWW[[#This Row],['#_Non-Functional_hand_washing_stations]]</f>
        <v>7</v>
      </c>
      <c r="DW135" s="731">
        <f>IF(WWWW[[#This Row],['# Functional hand washing stations during reporting period]]*20&gt;WWWW[[#This Row],[Total HH]],WWWW[[#This Row],[Total HH]],WWWW[[#This Row],['# Functional hand washing stations during reporting period]]*20)</f>
        <v>140</v>
      </c>
      <c r="DX135" s="731">
        <f>IF(WWWW[[#This Row],[Is sufficient soap available for TLS? (Yes/No)]]="yes",WWWW[[#This Row],['#_Constructed/Existing hand washing stations at TLS/CFS/THF]],0)</f>
        <v>0</v>
      </c>
      <c r="DY135" s="428">
        <f>IF(WWWW[[#This Row],['# Functional hand washing stations during reporting period]]*100&gt;WWWW[[#This Row],[Total PoP ]],WWWW[[#This Row],[Total PoP ]],WWWW[[#This Row],['# Functional hand washing stations during reporting period]]*100)</f>
        <v>700</v>
      </c>
      <c r="DZ135" s="428" t="str">
        <f>IF(OR(WWWW[[#This Row],['#_students at TLS_CFS]]="",WWWW[[#This Row],['#_students at TLS_CFS]]=0),"No","Yes")</f>
        <v>No</v>
      </c>
      <c r="EA13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5" s="727" t="str">
        <f>VLOOKUP(WWWW[[#This Row],[Site Name]],SiteDB6[[Site Name]:[CCCM Management]],6,FALSE)</f>
        <v>Yes</v>
      </c>
      <c r="EF135" s="727" t="str">
        <f>VLOOKUP(WWWW[[#This Row],[Site Name]],SiteDB6[[Site Name]:[CCCM Focal Agency]],7,FALSE)</f>
        <v>KBC-MYT</v>
      </c>
      <c r="EG135" s="727" t="str">
        <f>VLOOKUP(WWWW[[#This Row],[Site Name]],SiteDB6[[Site Name]:[Location Type 1]],9,FALSE)</f>
        <v>Camp</v>
      </c>
      <c r="EH135" s="727" t="str">
        <f>VLOOKUP(WWWW[[#This Row],[Site Name]],SiteDB6[[Site Name]:[Type of Accommodation]],10,FALSE)</f>
        <v>Camp</v>
      </c>
      <c r="EI135" s="727" t="str">
        <f>VLOOKUP(WWWW[[#This Row],[Site Name]],SiteDB6[[Site Name]:[Ethnic or GCA/NGCA]],11,FALSE)</f>
        <v>NGCA</v>
      </c>
      <c r="EJ135" s="727">
        <f>VLOOKUP(WWWW[[#This Row],[Site Name]],SiteDB6[[Site Name]:[Lat]],12,FALSE)</f>
        <v>25.418084</v>
      </c>
      <c r="EK135" s="727">
        <f>VLOOKUP(WWWW[[#This Row],[Site Name]],SiteDB6[[Site Name]:[Long]],13,FALSE)</f>
        <v>98.025662999999994</v>
      </c>
      <c r="EL135" s="727" t="str">
        <f>VLOOKUP(WWWW[[#This Row],[Site Name]],SiteDB6[[Site Name]:[Pcode]],3,FALSE)</f>
        <v>MMR001CMP249</v>
      </c>
      <c r="EM135" s="732" t="str">
        <f t="shared" ref="EM135:EM198" si="2">IF(C135="none","Notcovered","Covered")</f>
        <v>Covered</v>
      </c>
      <c r="EN135" s="732"/>
      <c r="EO135" s="727">
        <f>VLOOKUP(WWWW[[#This Row],[Site Name]],SiteDB6[[Site Name]:[Pop
(Kachin/Shan-CCCM as of July 2021)]],16,FALSE)</f>
        <v>380</v>
      </c>
      <c r="EP135" s="727">
        <f>VLOOKUP(WWWW[[#This Row],[Site Name]],SiteDB6[[Site Name]:[Pop
(Kachin/Shan-CCCM as of July 2021)]],17,FALSE)</f>
        <v>1877</v>
      </c>
    </row>
    <row r="136" spans="1:146" hidden="1">
      <c r="A136" s="725" t="s">
        <v>2763</v>
      </c>
      <c r="B136" s="725" t="s">
        <v>141</v>
      </c>
      <c r="C136" s="726" t="s">
        <v>141</v>
      </c>
      <c r="D136" s="726" t="s">
        <v>241</v>
      </c>
      <c r="E136" s="726" t="s">
        <v>37</v>
      </c>
      <c r="F136" s="726" t="s">
        <v>148</v>
      </c>
      <c r="G136" s="591" t="str">
        <f>VLOOKUP(WWWW[[#This Row],[Site Name]],SiteDB6[[Site Name]:[Location Type]],8,FALSE)</f>
        <v>Camp</v>
      </c>
      <c r="H136" s="726" t="s">
        <v>188</v>
      </c>
      <c r="I136" s="728">
        <v>28</v>
      </c>
      <c r="J136" s="728">
        <v>103</v>
      </c>
      <c r="K136" s="729">
        <v>44105</v>
      </c>
      <c r="L136" s="730">
        <v>44681</v>
      </c>
      <c r="M136" s="728"/>
      <c r="N136" s="728">
        <v>1</v>
      </c>
      <c r="O136" s="728"/>
      <c r="P136" s="728"/>
      <c r="Q136" s="731" t="s">
        <v>41</v>
      </c>
      <c r="R136" s="728"/>
      <c r="S136" s="728">
        <v>4</v>
      </c>
      <c r="T136" s="448">
        <v>1</v>
      </c>
      <c r="U136" s="728"/>
      <c r="V136" s="728"/>
      <c r="W136" s="728">
        <v>1</v>
      </c>
      <c r="X136" s="728"/>
      <c r="Y136" s="728"/>
      <c r="Z136" s="728"/>
      <c r="AA136" s="728"/>
      <c r="AB136" s="728"/>
      <c r="AC136" s="728"/>
      <c r="AD136" s="728"/>
      <c r="AE136" s="728"/>
      <c r="AF136" s="728"/>
      <c r="AG136" s="728"/>
      <c r="AH136" s="728"/>
      <c r="AI136" s="728"/>
      <c r="AJ136" s="728"/>
      <c r="AK136" s="728"/>
      <c r="AL136" s="728"/>
      <c r="AM136" s="728"/>
      <c r="AN136" s="728"/>
      <c r="AO136" s="728"/>
      <c r="AP136" s="732"/>
      <c r="AQ136" s="728">
        <v>8</v>
      </c>
      <c r="AR136" s="728"/>
      <c r="AS136" s="733"/>
      <c r="AT136" s="728"/>
      <c r="AU136" s="728"/>
      <c r="AV136" s="728"/>
      <c r="AW136" s="728"/>
      <c r="AX136" s="728">
        <v>8</v>
      </c>
      <c r="AY136" s="727" t="s">
        <v>41</v>
      </c>
      <c r="AZ136" s="732" t="s">
        <v>904</v>
      </c>
      <c r="BA136" s="728"/>
      <c r="BB136" s="728"/>
      <c r="BC136" s="728"/>
      <c r="BD136" s="448"/>
      <c r="BE136" s="448"/>
      <c r="BF136" s="727"/>
      <c r="BG136" s="728">
        <v>7</v>
      </c>
      <c r="BH136" s="728"/>
      <c r="BI136" s="728"/>
      <c r="BJ136" s="728">
        <v>7</v>
      </c>
      <c r="BK136" s="728"/>
      <c r="BL136" s="728"/>
      <c r="BM136" s="728">
        <v>1</v>
      </c>
      <c r="BN136" s="728">
        <v>104</v>
      </c>
      <c r="BO136" s="728">
        <v>148</v>
      </c>
      <c r="BP136" s="727"/>
      <c r="BQ136" s="734"/>
      <c r="BR136" s="733"/>
      <c r="BS136" s="727"/>
      <c r="BT136" s="423"/>
      <c r="BU136" s="423"/>
      <c r="BV136" s="425"/>
      <c r="BW136" s="423"/>
      <c r="BX136" s="448"/>
      <c r="BY136" s="448"/>
      <c r="BZ136" s="448"/>
      <c r="CA136" s="448"/>
      <c r="CB136" s="448"/>
      <c r="CC136" s="777"/>
      <c r="CD136" s="448"/>
      <c r="CE136" s="735" t="str">
        <f>IFERROR(WWWW[[#This Row],['#_Water sources passed]]/WWWW[[#This Row],['#_Water sources tested for fecal coliform ]],"no test")</f>
        <v>no test</v>
      </c>
      <c r="CF136" s="733" t="str">
        <f>IFERROR(WWWW[[#This Row],['#_Household passed]]/WWWW[[#This Row],['#_Household water samples tested for fecal coliform]],"no test")</f>
        <v>no test</v>
      </c>
      <c r="CG136" s="734" t="str">
        <f>IF(AND(WWWW[[#This Row],[% of water sources passed]]="no test",WWWW[[#This Row],[% Household passed]]="no test"),"No Test","Tested")</f>
        <v>No Test</v>
      </c>
      <c r="CH136" s="734">
        <f>WWWW[[#This Row],['#_Constructed/existing protected hand dug well]]-WWWW[[#This Row],['#_Non-functional protected hand dug well]]</f>
        <v>1</v>
      </c>
      <c r="CI136" s="734">
        <f>(WWWW[[#This Row],['#_Constructed/Existing tube wells/boreholes/handpumps_WASH_agency]]+WWWW[[#This Row],['#_Non-Cluster partner water tube-wells/boreholes/handpumps]])-WWWW[[#This Row],['#_Non-functional tube wells/boreholes/handpumps]]</f>
        <v>1</v>
      </c>
      <c r="CJ136" s="734">
        <f>WWWW[[#This Row],['#_Constructed/Existingwater storage tank with gravity fed reticulation system]]-WWWW[[#This Row],['#_Non-functional storage tank gravity fed reticulation system]]</f>
        <v>0</v>
      </c>
      <c r="CK136" s="734">
        <f>(WWWW[[#This Row],['#_Water_Liters_supplied_by_Water boating or water trucking]]/90)/15</f>
        <v>0</v>
      </c>
      <c r="CL136" s="734">
        <f>WWWW[[#This Row],['#_Water_Liters_from_Constructed/Existing water distribution system from river or natural spring]]/90/15</f>
        <v>0</v>
      </c>
      <c r="CM136" s="424">
        <f>IF(WWWW[[#This Row],['#_of water points in TLS/CFS]]*500&gt;WWWW[[#This Row],[Total PoP ]],WWWW[[#This Row],[Total PoP ]],WWWW[[#This Row],['#_of water points in TLS/CFS]]*500)</f>
        <v>0</v>
      </c>
      <c r="CN136" s="424">
        <f>IF(WWWW[[#This Row],['#_of water points in THF]]*500&gt;WWWW[[#This Row],[Total PoP ]],WWWW[[#This Row],[Total PoP ]],WWWW[[#This Row],['#_of water points in THF]]*500)</f>
        <v>0</v>
      </c>
      <c r="CO13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6" s="733">
        <f>IF(WWWW[[#This Row],[Location Type 1]]="Village",WWWW[[#This Row],[Access to safe drinking water for Village]],WWWW[[#This Row],[Access to safe drinking water for Camp]])</f>
        <v>1</v>
      </c>
      <c r="CR136" s="731">
        <f>WWWW[[#This Row],[%Equitable and continuous access to sufficient quantity of safe drinking water]]*WWWW[[#This Row],[Total PoP ]]</f>
        <v>103</v>
      </c>
      <c r="CS136" s="733">
        <f>IF((WWWW[[#This Row],['#_Constructed/Existing protected/fenced ponds]]*250)/WWWW[[#This Row],[Total PoP ]]&gt;1,1,(WWWW[[#This Row],['#_Constructed/Existing protected/fenced ponds]]*250)/WWWW[[#This Row],[Total PoP ]])</f>
        <v>0</v>
      </c>
      <c r="CT136" s="731">
        <f>WWWW[[#This Row],[% Access to unimproved water points]]*WWWW[[#This Row],[Total PoP ]]</f>
        <v>0</v>
      </c>
      <c r="CU13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136" s="731">
        <f>WWWW[[#This Row],[HRP1]]/500</f>
        <v>0.20599999999999999</v>
      </c>
      <c r="CX136" s="736">
        <f>1-WWWW[[#This Row],[% Equitable and continuous access to sufficient quantity of domestic water]]</f>
        <v>0</v>
      </c>
      <c r="CY136" s="731">
        <f>WWWW[[#This Row],[%equitable and continuous access to sufficient quantity of safe drinking and domestic water''s GAP]]*WWWW[[#This Row],[Total PoP ]]</f>
        <v>0</v>
      </c>
      <c r="CZ136" s="734">
        <f>IF(WWWW[[#This Row],[Total required water points]]-WWWW[[#This Row],['#Water points coverage]]&lt;0,0,WWWW[[#This Row],[Total required water points]]-WWWW[[#This Row],['#Water points coverage]])</f>
        <v>0.79400000000000004</v>
      </c>
      <c r="DA136" s="734">
        <f>ROUND(IF(WWWW[[#This Row],[Total PoP ]]&lt;500,1,WWWW[[#This Row],[Total PoP ]]/500),0)</f>
        <v>1</v>
      </c>
      <c r="DB136" s="734">
        <f>(WWWW[[#This Row],['#_Constructed latrines_by_WASHAgencies]]+WWWW[[#This Row],['#_Non Cluster partner latrines]])-WWWW[[#This Row],['#_Non-functional latrines]]</f>
        <v>8</v>
      </c>
      <c r="DC136" s="631">
        <f>WWWW[[#This Row],[HRP2]]/WWWW[[#This Row],[Total PoP ]]</f>
        <v>1</v>
      </c>
      <c r="DD13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13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6" s="424">
        <f>IF(WWWW[[#This Row],['# of functional latrines in THF supported by WASH partners during the reporting period2]]="",0,WWWW[[#This Row],['# of functional latrines in THF supported by WASH partners during the reporting period2]]*50)</f>
        <v>0</v>
      </c>
      <c r="DH136" s="734">
        <f>ROUND(IF(WWWW[[#This Row],[Location Type 1]]="camp",WWWW[[#This Row],[Total PoP ]]/20,IF(WWWW[[#This Row],[Location Type 1]]="Temporary Location",WWWW[[#This Row],[Total PoP ]]/50,(WWWW[[#This Row],[Total PoP ]]/6))),0)</f>
        <v>5</v>
      </c>
      <c r="DI136" s="734">
        <f>IF(WWWW[[#This Row],[Total required Latrines]]-(WWWW[[#This Row],['#_Constructed latrines_by_WASHAgencies]]+WWWW[[#This Row],['#_Non Cluster partner latrines]])&lt;0,0,WWWW[[#This Row],[Total required Latrines]]-(WWWW[[#This Row],['#_Constructed latrines_by_WASHAgencies]]+WWWW[[#This Row],['#_Non Cluster partner latrines]]))</f>
        <v>0</v>
      </c>
      <c r="DJ136" s="736">
        <f>1-WWWW[[#This Row],[% people access to functioning Latrine]]</f>
        <v>0</v>
      </c>
      <c r="DK136" s="735">
        <f>IF(OR(WWWW[[#This Row],['#_Non-functional latrines]]="",WWWW[[#This Row],['#_Non-functional latrines]]=0),0,WWWW[[#This Row],['#_Non-functional latrines]]/(WWWW[[#This Row],['#_Constructed latrines_by_WASHAgencies]]+WWWW[[#This Row],['#_Non Cluster partner latrines]]))</f>
        <v>0</v>
      </c>
      <c r="DL136" s="731">
        <f>IF(500*(WWWW[[#This Row],['#_male hygiene promoters]]+WWWW[[#This Row],['#_female hygiene promoters]])&gt;WWWW[[#This Row],[Total PoP ]],WWWW[[#This Row],[Total PoP ]],500*(WWWW[[#This Row],['#_male hygiene promoters]]+WWWW[[#This Row],['#_female hygiene promoters]]))</f>
        <v>103</v>
      </c>
      <c r="DM13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103</v>
      </c>
      <c r="DN13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103</v>
      </c>
      <c r="DO136" s="734">
        <f>IF(WWWW[[#This Row],['# People with access to soap]]&gt;WWWW[[#This Row],['# People with access to Sanity Pads]],WWWW[[#This Row],['# People with access to soap]],WWWW[[#This Row],['# People with access to Sanity Pads]])</f>
        <v>103</v>
      </c>
      <c r="DP136" s="734">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Q136" s="736">
        <f>IF(WWWW[[#This Row],[HRP3]]/WWWW[[#This Row],[Total PoP ]]&gt;1,1,WWWW[[#This Row],[HRP3]]/WWWW[[#This Row],[Total PoP ]])</f>
        <v>1</v>
      </c>
      <c r="DR136" s="735">
        <f>1-WWWW[[#This Row],[Hygiene Coverage%]]</f>
        <v>0</v>
      </c>
      <c r="DS136" s="733">
        <f>WWWW[[#This Row],['# people reached by regular dedicated hygiene promotion_5]]/WWWW[[#This Row],[Total PoP ]]</f>
        <v>1</v>
      </c>
      <c r="DT13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6" s="734">
        <f>WWWW[[#This Row],['#_Constructed/Existing hand washing stations]]-WWWW[[#This Row],['#_Non-Functional_hand_washing_stations]]</f>
        <v>7</v>
      </c>
      <c r="DW136" s="731">
        <f>IF(WWWW[[#This Row],['# Functional hand washing stations during reporting period]]*20&gt;WWWW[[#This Row],[Total HH]],WWWW[[#This Row],[Total HH]],WWWW[[#This Row],['# Functional hand washing stations during reporting period]]*20)</f>
        <v>28</v>
      </c>
      <c r="DX136" s="731">
        <f>IF(WWWW[[#This Row],[Is sufficient soap available for TLS? (Yes/No)]]="yes",WWWW[[#This Row],['#_Constructed/Existing hand washing stations at TLS/CFS/THF]],0)</f>
        <v>0</v>
      </c>
      <c r="DY136" s="428">
        <f>IF(WWWW[[#This Row],['# Functional hand washing stations during reporting period]]*100&gt;WWWW[[#This Row],[Total PoP ]],WWWW[[#This Row],[Total PoP ]],WWWW[[#This Row],['# Functional hand washing stations during reporting period]]*100)</f>
        <v>103</v>
      </c>
      <c r="DZ136" s="428" t="str">
        <f>IF(OR(WWWW[[#This Row],['#_students at TLS_CFS]]="",WWWW[[#This Row],['#_students at TLS_CFS]]=0),"No","Yes")</f>
        <v>No</v>
      </c>
      <c r="EA13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6" s="727" t="str">
        <f>VLOOKUP(WWWW[[#This Row],[Site Name]],SiteDB6[[Site Name]:[CCCM Management]],6,FALSE)</f>
        <v>Yes</v>
      </c>
      <c r="EF136" s="727" t="str">
        <f>VLOOKUP(WWWW[[#This Row],[Site Name]],SiteDB6[[Site Name]:[CCCM Focal Agency]],7,FALSE)</f>
        <v>KBC-MYT</v>
      </c>
      <c r="EG136" s="727" t="str">
        <f>VLOOKUP(WWWW[[#This Row],[Site Name]],SiteDB6[[Site Name]:[Location Type 1]],9,FALSE)</f>
        <v>Camp</v>
      </c>
      <c r="EH136" s="727" t="str">
        <f>VLOOKUP(WWWW[[#This Row],[Site Name]],SiteDB6[[Site Name]:[Type of Accommodation]],10,FALSE)</f>
        <v>Camp</v>
      </c>
      <c r="EI136" s="727" t="str">
        <f>VLOOKUP(WWWW[[#This Row],[Site Name]],SiteDB6[[Site Name]:[Ethnic or GCA/NGCA]],11,FALSE)</f>
        <v>GCA</v>
      </c>
      <c r="EJ136" s="727">
        <f>VLOOKUP(WWWW[[#This Row],[Site Name]],SiteDB6[[Site Name]:[Lat]],12,FALSE)</f>
        <v>25.920006000000001</v>
      </c>
      <c r="EK136" s="727">
        <f>VLOOKUP(WWWW[[#This Row],[Site Name]],SiteDB6[[Site Name]:[Long]],13,FALSE)</f>
        <v>96.662092000000001</v>
      </c>
      <c r="EL136" s="727" t="str">
        <f>VLOOKUP(WWWW[[#This Row],[Site Name]],SiteDB6[[Site Name]:[Pcode]],3,FALSE)</f>
        <v>MMR001CMP244</v>
      </c>
      <c r="EM136" s="732" t="str">
        <f t="shared" si="2"/>
        <v>Covered</v>
      </c>
      <c r="EN136" s="732"/>
      <c r="EO136" s="727">
        <f>VLOOKUP(WWWW[[#This Row],[Site Name]],SiteDB6[[Site Name]:[Pop
(Kachin/Shan-CCCM as of July 2021)]],16,FALSE)</f>
        <v>24</v>
      </c>
      <c r="EP136" s="727">
        <f>VLOOKUP(WWWW[[#This Row],[Site Name]],SiteDB6[[Site Name]:[Pop
(Kachin/Shan-CCCM as of July 2021)]],17,FALSE)</f>
        <v>110</v>
      </c>
    </row>
    <row r="137" spans="1:146" hidden="1">
      <c r="A137" s="725" t="s">
        <v>2763</v>
      </c>
      <c r="B137" s="707" t="s">
        <v>2806</v>
      </c>
      <c r="C137" s="786" t="s">
        <v>141</v>
      </c>
      <c r="D137" s="369" t="s">
        <v>2813</v>
      </c>
      <c r="E137" s="786" t="s">
        <v>37</v>
      </c>
      <c r="F137" s="786" t="s">
        <v>159</v>
      </c>
      <c r="G137" s="787" t="str">
        <f>VLOOKUP(WWWW[[#This Row],[Site Name]],SiteDB6[[Site Name]:[Location Type]],8,FALSE)</f>
        <v>Camp</v>
      </c>
      <c r="H137" s="875" t="s">
        <v>168</v>
      </c>
      <c r="I137" s="448">
        <v>117</v>
      </c>
      <c r="J137" s="448">
        <v>583</v>
      </c>
      <c r="K137" s="800" t="s">
        <v>2814</v>
      </c>
      <c r="L137" s="589" t="s">
        <v>2815</v>
      </c>
      <c r="M137" s="788"/>
      <c r="N137" s="788">
        <v>2</v>
      </c>
      <c r="O137" s="788"/>
      <c r="P137" s="788"/>
      <c r="Q137" s="791" t="s">
        <v>136</v>
      </c>
      <c r="R137" s="788"/>
      <c r="S137" s="788">
        <v>4</v>
      </c>
      <c r="T137" s="448">
        <v>1</v>
      </c>
      <c r="U137" s="788"/>
      <c r="V137" s="788"/>
      <c r="W137" s="788">
        <v>1</v>
      </c>
      <c r="X137" s="788"/>
      <c r="Y137" s="788"/>
      <c r="Z137" s="788"/>
      <c r="AA137" s="788"/>
      <c r="AB137" s="788"/>
      <c r="AC137" s="788"/>
      <c r="AD137" s="788"/>
      <c r="AE137" s="788"/>
      <c r="AF137" s="788"/>
      <c r="AG137" s="788"/>
      <c r="AH137" s="788">
        <v>2</v>
      </c>
      <c r="AI137" s="788"/>
      <c r="AJ137" s="788"/>
      <c r="AK137" s="788"/>
      <c r="AL137" s="788"/>
      <c r="AM137" s="788"/>
      <c r="AN137" s="788"/>
      <c r="AO137" s="788"/>
      <c r="AP137" s="792"/>
      <c r="AQ137" s="788">
        <v>13</v>
      </c>
      <c r="AR137" s="788"/>
      <c r="AS137" s="793"/>
      <c r="AT137" s="788"/>
      <c r="AU137" s="788"/>
      <c r="AV137" s="788"/>
      <c r="AW137" s="788"/>
      <c r="AX137" s="788">
        <v>13</v>
      </c>
      <c r="AY137" s="727" t="s">
        <v>41</v>
      </c>
      <c r="AZ137" s="732" t="s">
        <v>137</v>
      </c>
      <c r="BA137" s="788"/>
      <c r="BB137" s="788"/>
      <c r="BC137" s="788"/>
      <c r="BD137" s="448"/>
      <c r="BE137" s="448"/>
      <c r="BF137" s="787"/>
      <c r="BG137" s="788">
        <v>7</v>
      </c>
      <c r="BH137" s="788"/>
      <c r="BI137" s="788"/>
      <c r="BJ137" s="788">
        <v>4</v>
      </c>
      <c r="BK137" s="788"/>
      <c r="BL137" s="788">
        <v>1</v>
      </c>
      <c r="BM137" s="788">
        <v>2</v>
      </c>
      <c r="BN137" s="788">
        <v>124</v>
      </c>
      <c r="BO137" s="788">
        <v>198</v>
      </c>
      <c r="BP137" s="787"/>
      <c r="BQ137" s="794"/>
      <c r="BR137" s="793"/>
      <c r="BS137" s="787"/>
      <c r="BT137" s="423"/>
      <c r="BU137" s="423"/>
      <c r="BV137" s="448">
        <f>0.98*WWWW[[#This Row],[Total PoP ]]</f>
        <v>571.34</v>
      </c>
      <c r="BW137" s="423">
        <v>0.48</v>
      </c>
      <c r="BX137" s="448"/>
      <c r="BY137" s="448"/>
      <c r="BZ137" s="448"/>
      <c r="CA137" s="448">
        <v>0</v>
      </c>
      <c r="CB137" s="448">
        <v>0</v>
      </c>
      <c r="CC137" s="777"/>
      <c r="CD137" s="448"/>
      <c r="CE137" s="795" t="str">
        <f>IFERROR(WWWW[[#This Row],['#_Water sources passed]]/WWWW[[#This Row],['#_Water sources tested for fecal coliform ]],"no test")</f>
        <v>no test</v>
      </c>
      <c r="CF137" s="793" t="str">
        <f>IFERROR(WWWW[[#This Row],['#_Household passed]]/WWWW[[#This Row],['#_Household water samples tested for fecal coliform]],"no test")</f>
        <v>no test</v>
      </c>
      <c r="CG137" s="794" t="str">
        <f>IF(AND(WWWW[[#This Row],[% of water sources passed]]="no test",WWWW[[#This Row],[% Household passed]]="no test"),"No Test","Tested")</f>
        <v>No Test</v>
      </c>
      <c r="CH137" s="794">
        <f>WWWW[[#This Row],['#_Constructed/existing protected hand dug well]]-WWWW[[#This Row],['#_Non-functional protected hand dug well]]</f>
        <v>1</v>
      </c>
      <c r="CI137" s="794">
        <f>(WWWW[[#This Row],['#_Constructed/Existing tube wells/boreholes/handpumps_WASH_agency]]+WWWW[[#This Row],['#_Non-Cluster partner water tube-wells/boreholes/handpumps]])-WWWW[[#This Row],['#_Non-functional tube wells/boreholes/handpumps]]</f>
        <v>1</v>
      </c>
      <c r="CJ137" s="794">
        <f>WWWW[[#This Row],['#_Constructed/Existingwater storage tank with gravity fed reticulation system]]-WWWW[[#This Row],['#_Non-functional storage tank gravity fed reticulation system]]</f>
        <v>0</v>
      </c>
      <c r="CK137" s="794">
        <f>(WWWW[[#This Row],['#_Water_Liters_supplied_by_Water boating or water trucking]]/90)/15</f>
        <v>0</v>
      </c>
      <c r="CL137" s="794">
        <f>WWWW[[#This Row],['#_Water_Liters_from_Constructed/Existing water distribution system from river or natural spring]]/90/15</f>
        <v>0</v>
      </c>
      <c r="CM137" s="424">
        <f>IF(WWWW[[#This Row],['#_of water points in TLS/CFS]]*500&gt;WWWW[[#This Row],[Total PoP ]],WWWW[[#This Row],[Total PoP ]],WWWW[[#This Row],['#_of water points in TLS/CFS]]*500)</f>
        <v>0</v>
      </c>
      <c r="CN137" s="424">
        <f>IF(WWWW[[#This Row],['#_of water points in THF]]*500&gt;WWWW[[#This Row],[Total PoP ]],WWWW[[#This Row],[Total PoP ]],WWWW[[#This Row],['#_of water points in THF]]*500)</f>
        <v>0</v>
      </c>
      <c r="CO137"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7"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0.85763293310463118</v>
      </c>
      <c r="CQ137" s="793">
        <f>IF(WWWW[[#This Row],[Location Type 1]]="Village",WWWW[[#This Row],[Access to safe drinking water for Village]],WWWW[[#This Row],[Access to safe drinking water for Camp]])</f>
        <v>1</v>
      </c>
      <c r="CR137" s="791">
        <f>WWWW[[#This Row],[%Equitable and continuous access to sufficient quantity of safe drinking water]]*WWWW[[#This Row],[Total PoP ]]</f>
        <v>583</v>
      </c>
      <c r="CS137" s="793">
        <f>IF((WWWW[[#This Row],['#_Constructed/Existing protected/fenced ponds]]*250)/WWWW[[#This Row],[Total PoP ]]&gt;1,1,(WWWW[[#This Row],['#_Constructed/Existing protected/fenced ponds]]*250)/WWWW[[#This Row],[Total PoP ]])</f>
        <v>0</v>
      </c>
      <c r="CT137" s="791">
        <f>WWWW[[#This Row],[% Access to unimproved water points]]*WWWW[[#This Row],[Total PoP ]]</f>
        <v>0</v>
      </c>
      <c r="CU137"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7"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583</v>
      </c>
      <c r="CW137" s="791">
        <f>WWWW[[#This Row],[HRP1]]/500</f>
        <v>1.1659999999999999</v>
      </c>
      <c r="CX137" s="796">
        <f>1-WWWW[[#This Row],[% Equitable and continuous access to sufficient quantity of domestic water]]</f>
        <v>0</v>
      </c>
      <c r="CY137" s="791">
        <f>WWWW[[#This Row],[%equitable and continuous access to sufficient quantity of safe drinking and domestic water''s GAP]]*WWWW[[#This Row],[Total PoP ]]</f>
        <v>0</v>
      </c>
      <c r="CZ137" s="794">
        <f>IF(WWWW[[#This Row],[Total required water points]]-WWWW[[#This Row],['#Water points coverage]]&lt;0,0,WWWW[[#This Row],[Total required water points]]-WWWW[[#This Row],['#Water points coverage]])</f>
        <v>0</v>
      </c>
      <c r="DA137" s="794">
        <f>ROUND(IF(WWWW[[#This Row],[Total PoP ]]&lt;500,1,WWWW[[#This Row],[Total PoP ]]/500),0)</f>
        <v>1</v>
      </c>
      <c r="DB137" s="794">
        <f>(WWWW[[#This Row],['#_Constructed latrines_by_WASHAgencies]]+WWWW[[#This Row],['#_Non Cluster partner latrines]])-WWWW[[#This Row],['#_Non-functional latrines]]</f>
        <v>13</v>
      </c>
      <c r="DC137" s="631">
        <f>WWWW[[#This Row],[HRP2]]/WWWW[[#This Row],[Total PoP ]]</f>
        <v>0.44596912521440824</v>
      </c>
      <c r="DD137"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DE137"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7"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7" s="424">
        <f>IF(WWWW[[#This Row],['# of functional latrines in THF supported by WASH partners during the reporting period2]]="",0,WWWW[[#This Row],['# of functional latrines in THF supported by WASH partners during the reporting period2]]*50)</f>
        <v>0</v>
      </c>
      <c r="DH137" s="794">
        <f>ROUND(IF(WWWW[[#This Row],[Location Type 1]]="camp",WWWW[[#This Row],[Total PoP ]]/20,IF(WWWW[[#This Row],[Location Type 1]]="Temporary Location",WWWW[[#This Row],[Total PoP ]]/50,(WWWW[[#This Row],[Total PoP ]]/6))),0)</f>
        <v>29</v>
      </c>
      <c r="DI137" s="794">
        <f>IF(WWWW[[#This Row],[Total required Latrines]]-(WWWW[[#This Row],['#_Constructed latrines_by_WASHAgencies]]+WWWW[[#This Row],['#_Non Cluster partner latrines]])&lt;0,0,WWWW[[#This Row],[Total required Latrines]]-(WWWW[[#This Row],['#_Constructed latrines_by_WASHAgencies]]+WWWW[[#This Row],['#_Non Cluster partner latrines]]))</f>
        <v>16</v>
      </c>
      <c r="DJ137" s="796">
        <f>1-WWWW[[#This Row],[% people access to functioning Latrine]]</f>
        <v>0.55403087478559176</v>
      </c>
      <c r="DK137" s="795">
        <f>IF(OR(WWWW[[#This Row],['#_Non-functional latrines]]="",WWWW[[#This Row],['#_Non-functional latrines]]=0),0,WWWW[[#This Row],['#_Non-functional latrines]]/(WWWW[[#This Row],['#_Constructed latrines_by_WASHAgencies]]+WWWW[[#This Row],['#_Non Cluster partner latrines]]))</f>
        <v>0</v>
      </c>
      <c r="DL137" s="791">
        <f>IF(500*(WWWW[[#This Row],['#_male hygiene promoters]]+WWWW[[#This Row],['#_female hygiene promoters]])&gt;WWWW[[#This Row],[Total PoP ]],WWWW[[#This Row],[Total PoP ]],500*(WWWW[[#This Row],['#_male hygiene promoters]]+WWWW[[#This Row],['#_female hygiene promoters]]))</f>
        <v>583</v>
      </c>
      <c r="DM137"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583</v>
      </c>
      <c r="DN137"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37" s="794">
        <f>IF(WWWW[[#This Row],['# People with access to soap]]&gt;WWWW[[#This Row],['# People with access to Sanity Pads]],WWWW[[#This Row],['# People with access to soap]],WWWW[[#This Row],['# People with access to Sanity Pads]])</f>
        <v>583</v>
      </c>
      <c r="DP137" s="794">
        <f>IF(WWWW[[#This Row],['# people reached by regular dedicated hygiene promotion_5]]&gt;WWWW[[#This Row],['# People received regular supply of hygiene items_6]],WWWW[[#This Row],['# people reached by regular dedicated hygiene promotion_5]],WWWW[[#This Row],['# People received regular supply of hygiene items_6]])</f>
        <v>583</v>
      </c>
      <c r="DQ137" s="796">
        <f>IF(WWWW[[#This Row],[HRP3]]/WWWW[[#This Row],[Total PoP ]]&gt;1,1,WWWW[[#This Row],[HRP3]]/WWWW[[#This Row],[Total PoP ]])</f>
        <v>1</v>
      </c>
      <c r="DR137" s="795">
        <f>1-WWWW[[#This Row],[Hygiene Coverage%]]</f>
        <v>0</v>
      </c>
      <c r="DS137" s="793">
        <f>WWWW[[#This Row],['# people reached by regular dedicated hygiene promotion_5]]/WWWW[[#This Row],[Total PoP ]]</f>
        <v>1</v>
      </c>
      <c r="DT137"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7"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7" s="794">
        <f>WWWW[[#This Row],['#_Constructed/Existing hand washing stations]]-WWWW[[#This Row],['#_Non-Functional_hand_washing_stations]]</f>
        <v>7</v>
      </c>
      <c r="DW137" s="791">
        <f>IF(WWWW[[#This Row],['# Functional hand washing stations during reporting period]]*20&gt;WWWW[[#This Row],[Total HH]],WWWW[[#This Row],[Total HH]],WWWW[[#This Row],['# Functional hand washing stations during reporting period]]*20)</f>
        <v>117</v>
      </c>
      <c r="DX137" s="791">
        <f>IF(WWWW[[#This Row],[Is sufficient soap available for TLS? (Yes/No)]]="yes",WWWW[[#This Row],['#_Constructed/Existing hand washing stations at TLS/CFS/THF]],0)</f>
        <v>0</v>
      </c>
      <c r="DY137" s="428">
        <f>IF(WWWW[[#This Row],['# Functional hand washing stations during reporting period]]*100&gt;WWWW[[#This Row],[Total PoP ]],WWWW[[#This Row],[Total PoP ]],WWWW[[#This Row],['# Functional hand washing stations during reporting period]]*100)</f>
        <v>583</v>
      </c>
      <c r="DZ137" s="428" t="str">
        <f>IF(OR(WWWW[[#This Row],['#_students at TLS_CFS]]="",WWWW[[#This Row],['#_students at TLS_CFS]]=0),"No","Yes")</f>
        <v>No</v>
      </c>
      <c r="EA137" s="631">
        <f>IF(WWWW[[#This Row],['#_of_affected_people_surveyed_who_report_feeling_informed_about_the_different_WASH_services_available_to_them]]="","",WWWW[[#This Row],['#_of_affected_people_surveyed_who_report_feeling_informed_about_the_different_WASH_services_available_to_them]]/WWWW[[#This Row],[Total PoP ]])</f>
        <v>0.98000000000000009</v>
      </c>
      <c r="EB13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7" s="787" t="str">
        <f>VLOOKUP(WWWW[[#This Row],[Site Name]],SiteDB6[[Site Name]:[CCCM Management]],6,FALSE)</f>
        <v>Yes</v>
      </c>
      <c r="EF137" s="787" t="str">
        <f>VLOOKUP(WWWW[[#This Row],[Site Name]],SiteDB6[[Site Name]:[CCCM Focal Agency]],7,FALSE)</f>
        <v>KBC-MYT</v>
      </c>
      <c r="EG137" s="787" t="str">
        <f>VLOOKUP(WWWW[[#This Row],[Site Name]],SiteDB6[[Site Name]:[Location Type 1]],9,FALSE)</f>
        <v>Camp</v>
      </c>
      <c r="EH137" s="787" t="str">
        <f>VLOOKUP(WWWW[[#This Row],[Site Name]],SiteDB6[[Site Name]:[Type of Accommodation]],10,FALSE)</f>
        <v>Camp</v>
      </c>
      <c r="EI137" s="787" t="str">
        <f>VLOOKUP(WWWW[[#This Row],[Site Name]],SiteDB6[[Site Name]:[Ethnic or GCA/NGCA]],11,FALSE)</f>
        <v>GCA</v>
      </c>
      <c r="EJ137" s="787">
        <f>VLOOKUP(WWWW[[#This Row],[Site Name]],SiteDB6[[Site Name]:[Lat]],12,FALSE)</f>
        <v>25.412313000000001</v>
      </c>
      <c r="EK137" s="787">
        <f>VLOOKUP(WWWW[[#This Row],[Site Name]],SiteDB6[[Site Name]:[Long]],13,FALSE)</f>
        <v>97.399628000000007</v>
      </c>
      <c r="EL137" s="787" t="str">
        <f>VLOOKUP(WWWW[[#This Row],[Site Name]],SiteDB6[[Site Name]:[Pcode]],3,FALSE)</f>
        <v>MMR001CMP006</v>
      </c>
      <c r="EM137" s="792" t="str">
        <f t="shared" si="2"/>
        <v>Covered</v>
      </c>
      <c r="EN137" s="792"/>
      <c r="EO137" s="787">
        <f>VLOOKUP(WWWW[[#This Row],[Site Name]],SiteDB6[[Site Name]:[Pop
(Kachin/Shan-CCCM as of July 2021)]],16,FALSE)</f>
        <v>110</v>
      </c>
      <c r="EP137" s="787">
        <f>VLOOKUP(WWWW[[#This Row],[Site Name]],SiteDB6[[Site Name]:[Pop
(Kachin/Shan-CCCM as of July 2021)]],17,FALSE)</f>
        <v>562</v>
      </c>
    </row>
    <row r="138" spans="1:146" hidden="1">
      <c r="A138" s="725" t="s">
        <v>2763</v>
      </c>
      <c r="B138" s="725" t="s">
        <v>242</v>
      </c>
      <c r="C138" s="726" t="s">
        <v>242</v>
      </c>
      <c r="D138" s="726" t="s">
        <v>307</v>
      </c>
      <c r="E138" s="726" t="s">
        <v>37</v>
      </c>
      <c r="F138" s="726" t="s">
        <v>159</v>
      </c>
      <c r="G138" s="591" t="str">
        <f>VLOOKUP(WWWW[[#This Row],[Site Name]],SiteDB6[[Site Name]:[Location Type]],8,FALSE)</f>
        <v>Camp</v>
      </c>
      <c r="H138" s="726" t="s">
        <v>265</v>
      </c>
      <c r="I138" s="448">
        <v>26</v>
      </c>
      <c r="J138" s="448">
        <v>119</v>
      </c>
      <c r="K138" s="588">
        <v>44197</v>
      </c>
      <c r="L138" s="589">
        <v>44651</v>
      </c>
      <c r="M138" s="728"/>
      <c r="N138" s="728">
        <v>1</v>
      </c>
      <c r="O138" s="728"/>
      <c r="P138" s="728"/>
      <c r="Q138" s="731" t="s">
        <v>41</v>
      </c>
      <c r="R138" s="728">
        <v>1</v>
      </c>
      <c r="S138" s="728">
        <v>4</v>
      </c>
      <c r="T138" s="448">
        <v>1</v>
      </c>
      <c r="U138" s="728"/>
      <c r="V138" s="728"/>
      <c r="W138" s="728"/>
      <c r="X138" s="728"/>
      <c r="Y138" s="728"/>
      <c r="Z138" s="728"/>
      <c r="AA138" s="728"/>
      <c r="AB138" s="728"/>
      <c r="AC138" s="728"/>
      <c r="AD138" s="728"/>
      <c r="AE138" s="728"/>
      <c r="AF138" s="728"/>
      <c r="AG138" s="728"/>
      <c r="AH138" s="728"/>
      <c r="AI138" s="728"/>
      <c r="AJ138" s="728"/>
      <c r="AK138" s="728"/>
      <c r="AL138" s="728"/>
      <c r="AM138" s="728">
        <v>2</v>
      </c>
      <c r="AN138" s="728"/>
      <c r="AO138" s="728"/>
      <c r="AP138" s="732"/>
      <c r="AQ138" s="728">
        <v>2</v>
      </c>
      <c r="AR138" s="728">
        <v>5</v>
      </c>
      <c r="AS138" s="733" t="s">
        <v>2135</v>
      </c>
      <c r="AT138" s="728"/>
      <c r="AU138" s="728"/>
      <c r="AV138" s="728"/>
      <c r="AW138" s="728"/>
      <c r="AX138" s="728"/>
      <c r="AY138" s="727" t="s">
        <v>41</v>
      </c>
      <c r="AZ138" s="732" t="s">
        <v>137</v>
      </c>
      <c r="BA138" s="728"/>
      <c r="BB138" s="728"/>
      <c r="BC138" s="728"/>
      <c r="BD138" s="448"/>
      <c r="BE138" s="448"/>
      <c r="BF138" s="727"/>
      <c r="BG138" s="728">
        <v>7</v>
      </c>
      <c r="BH138" s="728"/>
      <c r="BI138" s="728"/>
      <c r="BJ138" s="728">
        <v>4</v>
      </c>
      <c r="BK138" s="728"/>
      <c r="BL138" s="728"/>
      <c r="BM138" s="728">
        <v>1</v>
      </c>
      <c r="BN138" s="448">
        <v>124</v>
      </c>
      <c r="BO138" s="728">
        <v>198</v>
      </c>
      <c r="BP138" s="727"/>
      <c r="BQ138" s="734"/>
      <c r="BR138" s="733"/>
      <c r="BS138" s="727"/>
      <c r="BT138" s="423"/>
      <c r="BU138" s="423"/>
      <c r="BV138" s="425">
        <v>60</v>
      </c>
      <c r="BW138" s="423">
        <v>0.5</v>
      </c>
      <c r="BX138" s="448"/>
      <c r="BY138" s="448"/>
      <c r="BZ138" s="448"/>
      <c r="CA138" s="448"/>
      <c r="CB138" s="448"/>
      <c r="CC138" s="777"/>
      <c r="CD138" s="448"/>
      <c r="CE138" s="735" t="str">
        <f>IFERROR(WWWW[[#This Row],['#_Water sources passed]]/WWWW[[#This Row],['#_Water sources tested for fecal coliform ]],"no test")</f>
        <v>no test</v>
      </c>
      <c r="CF138" s="733" t="str">
        <f>IFERROR(WWWW[[#This Row],['#_Household passed]]/WWWW[[#This Row],['#_Household water samples tested for fecal coliform]],"no test")</f>
        <v>no test</v>
      </c>
      <c r="CG138" s="734" t="str">
        <f>IF(AND(WWWW[[#This Row],[% of water sources passed]]="no test",WWWW[[#This Row],[% Household passed]]="no test"),"No Test","Tested")</f>
        <v>No Test</v>
      </c>
      <c r="CH138" s="734">
        <f>WWWW[[#This Row],['#_Constructed/existing protected hand dug well]]-WWWW[[#This Row],['#_Non-functional protected hand dug well]]</f>
        <v>1</v>
      </c>
      <c r="CI138" s="734">
        <f>(WWWW[[#This Row],['#_Constructed/Existing tube wells/boreholes/handpumps_WASH_agency]]+WWWW[[#This Row],['#_Non-Cluster partner water tube-wells/boreholes/handpumps]])-WWWW[[#This Row],['#_Non-functional tube wells/boreholes/handpumps]]</f>
        <v>0</v>
      </c>
      <c r="CJ138" s="734">
        <f>WWWW[[#This Row],['#_Constructed/Existingwater storage tank with gravity fed reticulation system]]-WWWW[[#This Row],['#_Non-functional storage tank gravity fed reticulation system]]</f>
        <v>0</v>
      </c>
      <c r="CK138" s="734">
        <f>(WWWW[[#This Row],['#_Water_Liters_supplied_by_Water boating or water trucking]]/90)/15</f>
        <v>0</v>
      </c>
      <c r="CL138" s="734">
        <f>WWWW[[#This Row],['#_Water_Liters_from_Constructed/Existing water distribution system from river or natural spring]]/90/15</f>
        <v>0</v>
      </c>
      <c r="CM138" s="424">
        <f>IF(WWWW[[#This Row],['#_of water points in TLS/CFS]]*500&gt;WWWW[[#This Row],[Total PoP ]],WWWW[[#This Row],[Total PoP ]],WWWW[[#This Row],['#_of water points in TLS/CFS]]*500)</f>
        <v>0</v>
      </c>
      <c r="CN138" s="424">
        <f>IF(WWWW[[#This Row],['#_of water points in THF]]*500&gt;WWWW[[#This Row],[Total PoP ]],WWWW[[#This Row],[Total PoP ]],WWWW[[#This Row],['#_of water points in THF]]*500)</f>
        <v>0</v>
      </c>
      <c r="CO13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8" s="733">
        <f>IF(WWWW[[#This Row],[Location Type 1]]="Village",WWWW[[#This Row],[Access to safe drinking water for Village]],WWWW[[#This Row],[Access to safe drinking water for Camp]])</f>
        <v>1</v>
      </c>
      <c r="CR138" s="731">
        <f>WWWW[[#This Row],[%Equitable and continuous access to sufficient quantity of safe drinking water]]*WWWW[[#This Row],[Total PoP ]]</f>
        <v>119</v>
      </c>
      <c r="CS138" s="733">
        <f>IF((WWWW[[#This Row],['#_Constructed/Existing protected/fenced ponds]]*250)/WWWW[[#This Row],[Total PoP ]]&gt;1,1,(WWWW[[#This Row],['#_Constructed/Existing protected/fenced ponds]]*250)/WWWW[[#This Row],[Total PoP ]])</f>
        <v>0</v>
      </c>
      <c r="CT138" s="731">
        <f>WWWW[[#This Row],[% Access to unimproved water points]]*WWWW[[#This Row],[Total PoP ]]</f>
        <v>0</v>
      </c>
      <c r="CU13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119</v>
      </c>
      <c r="CW138" s="731">
        <f>WWWW[[#This Row],[HRP1]]/500</f>
        <v>0.23799999999999999</v>
      </c>
      <c r="CX138" s="736">
        <f>1-WWWW[[#This Row],[% Equitable and continuous access to sufficient quantity of domestic water]]</f>
        <v>0</v>
      </c>
      <c r="CY138" s="731">
        <f>WWWW[[#This Row],[%equitable and continuous access to sufficient quantity of safe drinking and domestic water''s GAP]]*WWWW[[#This Row],[Total PoP ]]</f>
        <v>0</v>
      </c>
      <c r="CZ138" s="734">
        <f>IF(WWWW[[#This Row],[Total required water points]]-WWWW[[#This Row],['#Water points coverage]]&lt;0,0,WWWW[[#This Row],[Total required water points]]-WWWW[[#This Row],['#Water points coverage]])</f>
        <v>0.76200000000000001</v>
      </c>
      <c r="DA138" s="734">
        <f>ROUND(IF(WWWW[[#This Row],[Total PoP ]]&lt;500,1,WWWW[[#This Row],[Total PoP ]]/500),0)</f>
        <v>1</v>
      </c>
      <c r="DB138" s="734">
        <f>(WWWW[[#This Row],['#_Constructed latrines_by_WASHAgencies]]+WWWW[[#This Row],['#_Non Cluster partner latrines]])-WWWW[[#This Row],['#_Non-functional latrines]]</f>
        <v>7</v>
      </c>
      <c r="DC138" s="631">
        <f>WWWW[[#This Row],[HRP2]]/WWWW[[#This Row],[Total PoP ]]</f>
        <v>1</v>
      </c>
      <c r="DD13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119</v>
      </c>
      <c r="DE13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8" s="424">
        <f>IF(WWWW[[#This Row],['# of functional latrines in THF supported by WASH partners during the reporting period2]]="",0,WWWW[[#This Row],['# of functional latrines in THF supported by WASH partners during the reporting period2]]*50)</f>
        <v>0</v>
      </c>
      <c r="DH138" s="734">
        <f>ROUND(IF(WWWW[[#This Row],[Location Type 1]]="camp",WWWW[[#This Row],[Total PoP ]]/20,IF(WWWW[[#This Row],[Location Type 1]]="Temporary Location",WWWW[[#This Row],[Total PoP ]]/50,(WWWW[[#This Row],[Total PoP ]]/6))),0)</f>
        <v>6</v>
      </c>
      <c r="DI138" s="734">
        <f>IF(WWWW[[#This Row],[Total required Latrines]]-(WWWW[[#This Row],['#_Constructed latrines_by_WASHAgencies]]+WWWW[[#This Row],['#_Non Cluster partner latrines]])&lt;0,0,WWWW[[#This Row],[Total required Latrines]]-(WWWW[[#This Row],['#_Constructed latrines_by_WASHAgencies]]+WWWW[[#This Row],['#_Non Cluster partner latrines]]))</f>
        <v>0</v>
      </c>
      <c r="DJ138" s="736">
        <f>1-WWWW[[#This Row],[% people access to functioning Latrine]]</f>
        <v>0</v>
      </c>
      <c r="DK138" s="735">
        <f>IF(OR(WWWW[[#This Row],['#_Non-functional latrines]]="",WWWW[[#This Row],['#_Non-functional latrines]]=0),0,WWWW[[#This Row],['#_Non-functional latrines]]/(WWWW[[#This Row],['#_Constructed latrines_by_WASHAgencies]]+WWWW[[#This Row],['#_Non Cluster partner latrines]]))</f>
        <v>0</v>
      </c>
      <c r="DL138" s="731">
        <f>IF(500*(WWWW[[#This Row],['#_male hygiene promoters]]+WWWW[[#This Row],['#_female hygiene promoters]])&gt;WWWW[[#This Row],[Total PoP ]],WWWW[[#This Row],[Total PoP ]],500*(WWWW[[#This Row],['#_male hygiene promoters]]+WWWW[[#This Row],['#_female hygiene promoters]]))</f>
        <v>119</v>
      </c>
      <c r="DM13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119</v>
      </c>
      <c r="DN13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119</v>
      </c>
      <c r="DO138" s="734">
        <f>IF(WWWW[[#This Row],['# People with access to soap]]&gt;WWWW[[#This Row],['# People with access to Sanity Pads]],WWWW[[#This Row],['# People with access to soap]],WWWW[[#This Row],['# People with access to Sanity Pads]])</f>
        <v>119</v>
      </c>
      <c r="DP138" s="734">
        <f>IF(WWWW[[#This Row],['# people reached by regular dedicated hygiene promotion_5]]&gt;WWWW[[#This Row],['# People received regular supply of hygiene items_6]],WWWW[[#This Row],['# people reached by regular dedicated hygiene promotion_5]],WWWW[[#This Row],['# People received regular supply of hygiene items_6]])</f>
        <v>119</v>
      </c>
      <c r="DQ138" s="736">
        <f>IF(WWWW[[#This Row],[HRP3]]/WWWW[[#This Row],[Total PoP ]]&gt;1,1,WWWW[[#This Row],[HRP3]]/WWWW[[#This Row],[Total PoP ]])</f>
        <v>1</v>
      </c>
      <c r="DR138" s="735">
        <f>1-WWWW[[#This Row],[Hygiene Coverage%]]</f>
        <v>0</v>
      </c>
      <c r="DS138" s="733">
        <f>WWWW[[#This Row],['# people reached by regular dedicated hygiene promotion_5]]/WWWW[[#This Row],[Total PoP ]]</f>
        <v>1</v>
      </c>
      <c r="DT13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8" s="734">
        <f>WWWW[[#This Row],['#_Constructed/Existing hand washing stations]]-WWWW[[#This Row],['#_Non-Functional_hand_washing_stations]]</f>
        <v>7</v>
      </c>
      <c r="DW138" s="731">
        <f>IF(WWWW[[#This Row],['# Functional hand washing stations during reporting period]]*20&gt;WWWW[[#This Row],[Total HH]],WWWW[[#This Row],[Total HH]],WWWW[[#This Row],['# Functional hand washing stations during reporting period]]*20)</f>
        <v>26</v>
      </c>
      <c r="DX138" s="731">
        <f>IF(WWWW[[#This Row],[Is sufficient soap available for TLS? (Yes/No)]]="yes",WWWW[[#This Row],['#_Constructed/Existing hand washing stations at TLS/CFS/THF]],0)</f>
        <v>0</v>
      </c>
      <c r="DY138" s="428">
        <f>IF(WWWW[[#This Row],['# Functional hand washing stations during reporting period]]*100&gt;WWWW[[#This Row],[Total PoP ]],WWWW[[#This Row],[Total PoP ]],WWWW[[#This Row],['# Functional hand washing stations during reporting period]]*100)</f>
        <v>119</v>
      </c>
      <c r="DZ138" s="428" t="str">
        <f>IF(OR(WWWW[[#This Row],['#_students at TLS_CFS]]="",WWWW[[#This Row],['#_students at TLS_CFS]]=0),"No","Yes")</f>
        <v>No</v>
      </c>
      <c r="EA138" s="631">
        <f>IF(WWWW[[#This Row],['#_of_affected_people_surveyed_who_report_feeling_informed_about_the_different_WASH_services_available_to_them]]="","",WWWW[[#This Row],['#_of_affected_people_surveyed_who_report_feeling_informed_about_the_different_WASH_services_available_to_them]]/WWWW[[#This Row],[Total PoP ]])</f>
        <v>0.50420168067226889</v>
      </c>
      <c r="EB13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8" s="727" t="str">
        <f>VLOOKUP(WWWW[[#This Row],[Site Name]],SiteDB6[[Site Name]:[CCCM Management]],6,FALSE)</f>
        <v>Yes</v>
      </c>
      <c r="EF138" s="727" t="str">
        <f>VLOOKUP(WWWW[[#This Row],[Site Name]],SiteDB6[[Site Name]:[CCCM Focal Agency]],7,FALSE)</f>
        <v>Shalom</v>
      </c>
      <c r="EG138" s="727" t="str">
        <f>VLOOKUP(WWWW[[#This Row],[Site Name]],SiteDB6[[Site Name]:[Location Type 1]],9,FALSE)</f>
        <v>Camp</v>
      </c>
      <c r="EH138" s="727" t="str">
        <f>VLOOKUP(WWWW[[#This Row],[Site Name]],SiteDB6[[Site Name]:[Type of Accommodation]],10,FALSE)</f>
        <v>Camp</v>
      </c>
      <c r="EI138" s="727" t="str">
        <f>VLOOKUP(WWWW[[#This Row],[Site Name]],SiteDB6[[Site Name]:[Ethnic or GCA/NGCA]],11,FALSE)</f>
        <v>GCA</v>
      </c>
      <c r="EJ138" s="727">
        <f>VLOOKUP(WWWW[[#This Row],[Site Name]],SiteDB6[[Site Name]:[Lat]],12,FALSE)</f>
        <v>25.423817</v>
      </c>
      <c r="EK138" s="727">
        <f>VLOOKUP(WWWW[[#This Row],[Site Name]],SiteDB6[[Site Name]:[Long]],13,FALSE)</f>
        <v>97.418004999999994</v>
      </c>
      <c r="EL138" s="727" t="str">
        <f>VLOOKUP(WWWW[[#This Row],[Site Name]],SiteDB6[[Site Name]:[Pcode]],3,FALSE)</f>
        <v>MMR001CMP007</v>
      </c>
      <c r="EM138" s="732" t="str">
        <f t="shared" si="2"/>
        <v>Covered</v>
      </c>
      <c r="EN138" s="732"/>
      <c r="EO138" s="727">
        <f>VLOOKUP(WWWW[[#This Row],[Site Name]],SiteDB6[[Site Name]:[Pop
(Kachin/Shan-CCCM as of July 2021)]],16,FALSE)</f>
        <v>26</v>
      </c>
      <c r="EP138" s="727">
        <f>VLOOKUP(WWWW[[#This Row],[Site Name]],SiteDB6[[Site Name]:[Pop
(Kachin/Shan-CCCM as of July 2021)]],17,FALSE)</f>
        <v>119</v>
      </c>
    </row>
    <row r="139" spans="1:146" hidden="1">
      <c r="A139" s="725" t="s">
        <v>2763</v>
      </c>
      <c r="B139" s="725" t="s">
        <v>141</v>
      </c>
      <c r="C139" s="726" t="s">
        <v>141</v>
      </c>
      <c r="D139" s="726" t="s">
        <v>241</v>
      </c>
      <c r="E139" s="726" t="s">
        <v>37</v>
      </c>
      <c r="F139" s="726" t="s">
        <v>142</v>
      </c>
      <c r="G139" s="591" t="str">
        <f>VLOOKUP(WWWW[[#This Row],[Site Name]],SiteDB6[[Site Name]:[Location Type]],8,FALSE)</f>
        <v>Camp</v>
      </c>
      <c r="H139" s="726" t="s">
        <v>182</v>
      </c>
      <c r="I139" s="728">
        <v>179</v>
      </c>
      <c r="J139" s="728">
        <v>958</v>
      </c>
      <c r="K139" s="729">
        <v>44105</v>
      </c>
      <c r="L139" s="730">
        <v>44681</v>
      </c>
      <c r="M139" s="728"/>
      <c r="N139" s="728">
        <v>3</v>
      </c>
      <c r="O139" s="728"/>
      <c r="P139" s="728"/>
      <c r="Q139" s="731" t="s">
        <v>41</v>
      </c>
      <c r="R139" s="728"/>
      <c r="S139" s="728"/>
      <c r="T139" s="448"/>
      <c r="U139" s="728"/>
      <c r="V139" s="728"/>
      <c r="W139" s="728"/>
      <c r="X139" s="728"/>
      <c r="Y139" s="728"/>
      <c r="Z139" s="728"/>
      <c r="AA139" s="728"/>
      <c r="AB139" s="728"/>
      <c r="AC139" s="728"/>
      <c r="AD139" s="728"/>
      <c r="AE139" s="728"/>
      <c r="AF139" s="728"/>
      <c r="AG139" s="728"/>
      <c r="AH139" s="728"/>
      <c r="AI139" s="728"/>
      <c r="AJ139" s="728"/>
      <c r="AK139" s="728"/>
      <c r="AL139" s="728"/>
      <c r="AM139" s="728"/>
      <c r="AN139" s="728"/>
      <c r="AO139" s="728"/>
      <c r="AP139" s="732"/>
      <c r="AQ139" s="728">
        <v>158</v>
      </c>
      <c r="AR139" s="728"/>
      <c r="AS139" s="733"/>
      <c r="AT139" s="728"/>
      <c r="AU139" s="728"/>
      <c r="AV139" s="728"/>
      <c r="AW139" s="728"/>
      <c r="AX139" s="728">
        <v>158</v>
      </c>
      <c r="AY139" s="727" t="s">
        <v>41</v>
      </c>
      <c r="AZ139" s="732" t="s">
        <v>137</v>
      </c>
      <c r="BA139" s="728"/>
      <c r="BB139" s="728"/>
      <c r="BC139" s="728"/>
      <c r="BD139" s="448"/>
      <c r="BE139" s="448"/>
      <c r="BF139" s="727"/>
      <c r="BG139" s="728">
        <v>7</v>
      </c>
      <c r="BH139" s="728"/>
      <c r="BI139" s="728"/>
      <c r="BJ139" s="728">
        <v>4</v>
      </c>
      <c r="BK139" s="728"/>
      <c r="BL139" s="728">
        <v>2</v>
      </c>
      <c r="BM139" s="728">
        <v>1</v>
      </c>
      <c r="BN139" s="728">
        <v>124</v>
      </c>
      <c r="BO139" s="728">
        <v>198</v>
      </c>
      <c r="BP139" s="727"/>
      <c r="BQ139" s="734"/>
      <c r="BR139" s="733"/>
      <c r="BS139" s="727"/>
      <c r="BT139" s="423"/>
      <c r="BU139" s="423"/>
      <c r="BV139" s="425"/>
      <c r="BW139" s="423"/>
      <c r="BX139" s="448"/>
      <c r="BY139" s="448"/>
      <c r="BZ139" s="448"/>
      <c r="CA139" s="448"/>
      <c r="CB139" s="448"/>
      <c r="CC139" s="777"/>
      <c r="CD139" s="448"/>
      <c r="CE139" s="735" t="str">
        <f>IFERROR(WWWW[[#This Row],['#_Water sources passed]]/WWWW[[#This Row],['#_Water sources tested for fecal coliform ]],"no test")</f>
        <v>no test</v>
      </c>
      <c r="CF139" s="733" t="str">
        <f>IFERROR(WWWW[[#This Row],['#_Household passed]]/WWWW[[#This Row],['#_Household water samples tested for fecal coliform]],"no test")</f>
        <v>no test</v>
      </c>
      <c r="CG139" s="734" t="str">
        <f>IF(AND(WWWW[[#This Row],[% of water sources passed]]="no test",WWWW[[#This Row],[% Household passed]]="no test"),"No Test","Tested")</f>
        <v>No Test</v>
      </c>
      <c r="CH139" s="734">
        <f>WWWW[[#This Row],['#_Constructed/existing protected hand dug well]]-WWWW[[#This Row],['#_Non-functional protected hand dug well]]</f>
        <v>0</v>
      </c>
      <c r="CI139" s="734">
        <f>(WWWW[[#This Row],['#_Constructed/Existing tube wells/boreholes/handpumps_WASH_agency]]+WWWW[[#This Row],['#_Non-Cluster partner water tube-wells/boreholes/handpumps]])-WWWW[[#This Row],['#_Non-functional tube wells/boreholes/handpumps]]</f>
        <v>0</v>
      </c>
      <c r="CJ139" s="734">
        <f>WWWW[[#This Row],['#_Constructed/Existingwater storage tank with gravity fed reticulation system]]-WWWW[[#This Row],['#_Non-functional storage tank gravity fed reticulation system]]</f>
        <v>0</v>
      </c>
      <c r="CK139" s="734">
        <f>(WWWW[[#This Row],['#_Water_Liters_supplied_by_Water boating or water trucking]]/90)/15</f>
        <v>0</v>
      </c>
      <c r="CL139" s="734">
        <f>WWWW[[#This Row],['#_Water_Liters_from_Constructed/Existing water distribution system from river or natural spring]]/90/15</f>
        <v>0</v>
      </c>
      <c r="CM139" s="424">
        <f>IF(WWWW[[#This Row],['#_of water points in TLS/CFS]]*500&gt;WWWW[[#This Row],[Total PoP ]],WWWW[[#This Row],[Total PoP ]],WWWW[[#This Row],['#_of water points in TLS/CFS]]*500)</f>
        <v>0</v>
      </c>
      <c r="CN139" s="424">
        <f>IF(WWWW[[#This Row],['#_of water points in THF]]*500&gt;WWWW[[#This Row],[Total PoP ]],WWWW[[#This Row],[Total PoP ]],WWWW[[#This Row],['#_of water points in THF]]*500)</f>
        <v>0</v>
      </c>
      <c r="CO13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9" s="733">
        <f>IF(WWWW[[#This Row],[Location Type 1]]="Village",WWWW[[#This Row],[Access to safe drinking water for Village]],WWWW[[#This Row],[Access to safe drinking water for Camp]])</f>
        <v>0</v>
      </c>
      <c r="CR139" s="731">
        <f>WWWW[[#This Row],[%Equitable and continuous access to sufficient quantity of safe drinking water]]*WWWW[[#This Row],[Total PoP ]]</f>
        <v>0</v>
      </c>
      <c r="CS139" s="733">
        <f>IF((WWWW[[#This Row],['#_Constructed/Existing protected/fenced ponds]]*250)/WWWW[[#This Row],[Total PoP ]]&gt;1,1,(WWWW[[#This Row],['#_Constructed/Existing protected/fenced ponds]]*250)/WWWW[[#This Row],[Total PoP ]])</f>
        <v>0</v>
      </c>
      <c r="CT139" s="731">
        <f>WWWW[[#This Row],[% Access to unimproved water points]]*WWWW[[#This Row],[Total PoP ]]</f>
        <v>0</v>
      </c>
      <c r="CU13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9" s="731">
        <f>WWWW[[#This Row],[HRP1]]/500</f>
        <v>0</v>
      </c>
      <c r="CX139" s="736">
        <f>1-WWWW[[#This Row],[% Equitable and continuous access to sufficient quantity of domestic water]]</f>
        <v>1</v>
      </c>
      <c r="CY139" s="731">
        <f>WWWW[[#This Row],[%equitable and continuous access to sufficient quantity of safe drinking and domestic water''s GAP]]*WWWW[[#This Row],[Total PoP ]]</f>
        <v>958</v>
      </c>
      <c r="CZ139" s="734">
        <f>IF(WWWW[[#This Row],[Total required water points]]-WWWW[[#This Row],['#Water points coverage]]&lt;0,0,WWWW[[#This Row],[Total required water points]]-WWWW[[#This Row],['#Water points coverage]])</f>
        <v>2</v>
      </c>
      <c r="DA139" s="734">
        <f>ROUND(IF(WWWW[[#This Row],[Total PoP ]]&lt;500,1,WWWW[[#This Row],[Total PoP ]]/500),0)</f>
        <v>2</v>
      </c>
      <c r="DB139" s="734">
        <f>(WWWW[[#This Row],['#_Constructed latrines_by_WASHAgencies]]+WWWW[[#This Row],['#_Non Cluster partner latrines]])-WWWW[[#This Row],['#_Non-functional latrines]]</f>
        <v>158</v>
      </c>
      <c r="DC139" s="631">
        <f>WWWW[[#This Row],[HRP2]]/WWWW[[#This Row],[Total PoP ]]</f>
        <v>1</v>
      </c>
      <c r="DD13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958</v>
      </c>
      <c r="DE13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9" s="424">
        <f>IF(WWWW[[#This Row],['# of functional latrines in THF supported by WASH partners during the reporting period2]]="",0,WWWW[[#This Row],['# of functional latrines in THF supported by WASH partners during the reporting period2]]*50)</f>
        <v>0</v>
      </c>
      <c r="DH139" s="734">
        <f>ROUND(IF(WWWW[[#This Row],[Location Type 1]]="camp",WWWW[[#This Row],[Total PoP ]]/20,IF(WWWW[[#This Row],[Location Type 1]]="Temporary Location",WWWW[[#This Row],[Total PoP ]]/50,(WWWW[[#This Row],[Total PoP ]]/6))),0)</f>
        <v>48</v>
      </c>
      <c r="DI139" s="734">
        <f>IF(WWWW[[#This Row],[Total required Latrines]]-(WWWW[[#This Row],['#_Constructed latrines_by_WASHAgencies]]+WWWW[[#This Row],['#_Non Cluster partner latrines]])&lt;0,0,WWWW[[#This Row],[Total required Latrines]]-(WWWW[[#This Row],['#_Constructed latrines_by_WASHAgencies]]+WWWW[[#This Row],['#_Non Cluster partner latrines]]))</f>
        <v>0</v>
      </c>
      <c r="DJ139" s="736">
        <f>1-WWWW[[#This Row],[% people access to functioning Latrine]]</f>
        <v>0</v>
      </c>
      <c r="DK139" s="735">
        <f>IF(OR(WWWW[[#This Row],['#_Non-functional latrines]]="",WWWW[[#This Row],['#_Non-functional latrines]]=0),0,WWWW[[#This Row],['#_Non-functional latrines]]/(WWWW[[#This Row],['#_Constructed latrines_by_WASHAgencies]]+WWWW[[#This Row],['#_Non Cluster partner latrines]]))</f>
        <v>0</v>
      </c>
      <c r="DL139" s="731">
        <f>IF(500*(WWWW[[#This Row],['#_male hygiene promoters]]+WWWW[[#This Row],['#_female hygiene promoters]])&gt;WWWW[[#This Row],[Total PoP ]],WWWW[[#This Row],[Total PoP ]],500*(WWWW[[#This Row],['#_male hygiene promoters]]+WWWW[[#This Row],['#_female hygiene promoters]]))</f>
        <v>958</v>
      </c>
      <c r="DM13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620</v>
      </c>
      <c r="DN13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39" s="734">
        <f>IF(WWWW[[#This Row],['# People with access to soap]]&gt;WWWW[[#This Row],['# People with access to Sanity Pads]],WWWW[[#This Row],['# People with access to soap]],WWWW[[#This Row],['# People with access to Sanity Pads]])</f>
        <v>620</v>
      </c>
      <c r="DP139" s="734">
        <f>IF(WWWW[[#This Row],['# people reached by regular dedicated hygiene promotion_5]]&gt;WWWW[[#This Row],['# People received regular supply of hygiene items_6]],WWWW[[#This Row],['# people reached by regular dedicated hygiene promotion_5]],WWWW[[#This Row],['# People received regular supply of hygiene items_6]])</f>
        <v>958</v>
      </c>
      <c r="DQ139" s="736">
        <f>IF(WWWW[[#This Row],[HRP3]]/WWWW[[#This Row],[Total PoP ]]&gt;1,1,WWWW[[#This Row],[HRP3]]/WWWW[[#This Row],[Total PoP ]])</f>
        <v>1</v>
      </c>
      <c r="DR139" s="735">
        <f>1-WWWW[[#This Row],[Hygiene Coverage%]]</f>
        <v>0</v>
      </c>
      <c r="DS139" s="733">
        <f>WWWW[[#This Row],['# people reached by regular dedicated hygiene promotion_5]]/WWWW[[#This Row],[Total PoP ]]</f>
        <v>1</v>
      </c>
      <c r="DT13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9" s="734">
        <f>WWWW[[#This Row],['#_Constructed/Existing hand washing stations]]-WWWW[[#This Row],['#_Non-Functional_hand_washing_stations]]</f>
        <v>7</v>
      </c>
      <c r="DW139" s="731">
        <f>IF(WWWW[[#This Row],['# Functional hand washing stations during reporting period]]*20&gt;WWWW[[#This Row],[Total HH]],WWWW[[#This Row],[Total HH]],WWWW[[#This Row],['# Functional hand washing stations during reporting period]]*20)</f>
        <v>140</v>
      </c>
      <c r="DX139" s="731">
        <f>IF(WWWW[[#This Row],[Is sufficient soap available for TLS? (Yes/No)]]="yes",WWWW[[#This Row],['#_Constructed/Existing hand washing stations at TLS/CFS/THF]],0)</f>
        <v>0</v>
      </c>
      <c r="DY139" s="428">
        <f>IF(WWWW[[#This Row],['# Functional hand washing stations during reporting period]]*100&gt;WWWW[[#This Row],[Total PoP ]],WWWW[[#This Row],[Total PoP ]],WWWW[[#This Row],['# Functional hand washing stations during reporting period]]*100)</f>
        <v>700</v>
      </c>
      <c r="DZ139" s="428" t="str">
        <f>IF(OR(WWWW[[#This Row],['#_students at TLS_CFS]]="",WWWW[[#This Row],['#_students at TLS_CFS]]=0),"No","Yes")</f>
        <v>No</v>
      </c>
      <c r="EA13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9" s="727" t="str">
        <f>VLOOKUP(WWWW[[#This Row],[Site Name]],SiteDB6[[Site Name]:[CCCM Management]],6,FALSE)</f>
        <v>Yes</v>
      </c>
      <c r="EF139" s="727" t="str">
        <f>VLOOKUP(WWWW[[#This Row],[Site Name]],SiteDB6[[Site Name]:[CCCM Focal Agency]],7,FALSE)</f>
        <v>KBC-MYT</v>
      </c>
      <c r="EG139" s="727" t="str">
        <f>VLOOKUP(WWWW[[#This Row],[Site Name]],SiteDB6[[Site Name]:[Location Type 1]],9,FALSE)</f>
        <v>Camp</v>
      </c>
      <c r="EH139" s="727" t="str">
        <f>VLOOKUP(WWWW[[#This Row],[Site Name]],SiteDB6[[Site Name]:[Type of Accommodation]],10,FALSE)</f>
        <v>Camp</v>
      </c>
      <c r="EI139" s="727" t="str">
        <f>VLOOKUP(WWWW[[#This Row],[Site Name]],SiteDB6[[Site Name]:[Ethnic or GCA/NGCA]],11,FALSE)</f>
        <v>GCA</v>
      </c>
      <c r="EJ139" s="727">
        <f>VLOOKUP(WWWW[[#This Row],[Site Name]],SiteDB6[[Site Name]:[Lat]],12,FALSE)</f>
        <v>25.418084</v>
      </c>
      <c r="EK139" s="727">
        <f>VLOOKUP(WWWW[[#This Row],[Site Name]],SiteDB6[[Site Name]:[Long]],13,FALSE)</f>
        <v>98.025662999999994</v>
      </c>
      <c r="EL139" s="727" t="str">
        <f>VLOOKUP(WWWW[[#This Row],[Site Name]],SiteDB6[[Site Name]:[Pcode]],3,FALSE)</f>
        <v>MMR001CMP041</v>
      </c>
      <c r="EM139" s="732" t="str">
        <f t="shared" si="2"/>
        <v>Covered</v>
      </c>
      <c r="EN139" s="732"/>
      <c r="EO139" s="727">
        <f>VLOOKUP(WWWW[[#This Row],[Site Name]],SiteDB6[[Site Name]:[Pop
(Kachin/Shan-CCCM as of July 2021)]],16,FALSE)</f>
        <v>213</v>
      </c>
      <c r="EP139" s="727">
        <f>VLOOKUP(WWWW[[#This Row],[Site Name]],SiteDB6[[Site Name]:[Pop
(Kachin/Shan-CCCM as of July 2021)]],17,FALSE)</f>
        <v>1172</v>
      </c>
    </row>
    <row r="140" spans="1:146" hidden="1">
      <c r="A140" s="725" t="s">
        <v>2763</v>
      </c>
      <c r="B140" s="725" t="s">
        <v>2081</v>
      </c>
      <c r="C140" s="726" t="s">
        <v>141</v>
      </c>
      <c r="D140" s="726" t="s">
        <v>299</v>
      </c>
      <c r="E140" s="726" t="s">
        <v>37</v>
      </c>
      <c r="F140" s="726" t="s">
        <v>214</v>
      </c>
      <c r="G140" s="591" t="str">
        <f>VLOOKUP(WWWW[[#This Row],[Site Name]],SiteDB6[[Site Name]:[Location Type]],8,FALSE)</f>
        <v>Camp</v>
      </c>
      <c r="H140" s="726" t="s">
        <v>215</v>
      </c>
      <c r="I140" s="728">
        <v>49</v>
      </c>
      <c r="J140" s="728">
        <v>300</v>
      </c>
      <c r="K140" s="729">
        <v>44412</v>
      </c>
      <c r="L140" s="730">
        <v>44776</v>
      </c>
      <c r="M140" s="728"/>
      <c r="N140" s="788">
        <v>4</v>
      </c>
      <c r="O140" s="788"/>
      <c r="P140" s="728"/>
      <c r="Q140" s="731" t="s">
        <v>41</v>
      </c>
      <c r="R140" s="728">
        <v>2</v>
      </c>
      <c r="S140" s="728">
        <v>4</v>
      </c>
      <c r="T140" s="448"/>
      <c r="U140" s="728"/>
      <c r="V140" s="728"/>
      <c r="W140" s="728"/>
      <c r="X140" s="728">
        <v>2</v>
      </c>
      <c r="Y140" s="728"/>
      <c r="Z140" s="728"/>
      <c r="AA140" s="728"/>
      <c r="AB140" s="728"/>
      <c r="AC140" s="728"/>
      <c r="AD140" s="728"/>
      <c r="AE140" s="728"/>
      <c r="AF140" s="728"/>
      <c r="AG140" s="728"/>
      <c r="AH140" s="728"/>
      <c r="AI140" s="788">
        <v>1</v>
      </c>
      <c r="AJ140" s="788">
        <v>1</v>
      </c>
      <c r="AK140" s="788">
        <v>10</v>
      </c>
      <c r="AL140" s="788">
        <v>8</v>
      </c>
      <c r="AM140" s="728">
        <v>5</v>
      </c>
      <c r="AN140" s="728"/>
      <c r="AO140" s="728"/>
      <c r="AP140" s="732"/>
      <c r="AQ140" s="728">
        <v>13</v>
      </c>
      <c r="AR140" s="728"/>
      <c r="AS140" s="733"/>
      <c r="AT140" s="728"/>
      <c r="AU140" s="728"/>
      <c r="AV140" s="728"/>
      <c r="AW140" s="728"/>
      <c r="AX140" s="728"/>
      <c r="AY140" s="727" t="s">
        <v>41</v>
      </c>
      <c r="AZ140" s="732" t="s">
        <v>137</v>
      </c>
      <c r="BA140" s="728"/>
      <c r="BB140" s="728"/>
      <c r="BC140" s="728">
        <v>4</v>
      </c>
      <c r="BD140" s="448"/>
      <c r="BE140" s="448">
        <v>4</v>
      </c>
      <c r="BF140" s="727"/>
      <c r="BG140" s="728">
        <v>3</v>
      </c>
      <c r="BH140" s="728"/>
      <c r="BI140" s="728"/>
      <c r="BJ140" s="728">
        <v>2</v>
      </c>
      <c r="BK140" s="728"/>
      <c r="BL140" s="728"/>
      <c r="BM140" s="788">
        <v>2</v>
      </c>
      <c r="BN140" s="448">
        <v>10</v>
      </c>
      <c r="BO140" s="448">
        <v>18</v>
      </c>
      <c r="BP140" s="727"/>
      <c r="BQ140" s="734"/>
      <c r="BR140" s="733"/>
      <c r="BS140" s="727"/>
      <c r="BT140" s="423"/>
      <c r="BU140" s="423"/>
      <c r="BV140" s="425"/>
      <c r="BW140" s="423"/>
      <c r="BX140" s="448"/>
      <c r="BY140" s="448"/>
      <c r="BZ140" s="448"/>
      <c r="CA140" s="448"/>
      <c r="CB140" s="448"/>
      <c r="CC140" s="777"/>
      <c r="CD140" s="448"/>
      <c r="CE140" s="735">
        <f>IFERROR(WWWW[[#This Row],['#_Water sources passed]]/WWWW[[#This Row],['#_Water sources tested for fecal coliform ]],"no test")</f>
        <v>1</v>
      </c>
      <c r="CF140" s="733">
        <f>IFERROR(WWWW[[#This Row],['#_Household passed]]/WWWW[[#This Row],['#_Household water samples tested for fecal coliform]],"no test")</f>
        <v>0.8</v>
      </c>
      <c r="CG140" s="734" t="str">
        <f>IF(AND(WWWW[[#This Row],[% of water sources passed]]="no test",WWWW[[#This Row],[% Household passed]]="no test"),"No Test","Tested")</f>
        <v>Tested</v>
      </c>
      <c r="CH140" s="734">
        <f>WWWW[[#This Row],['#_Constructed/existing protected hand dug well]]-WWWW[[#This Row],['#_Non-functional protected hand dug well]]</f>
        <v>0</v>
      </c>
      <c r="CI140" s="734">
        <f>(WWWW[[#This Row],['#_Constructed/Existing tube wells/boreholes/handpumps_WASH_agency]]+WWWW[[#This Row],['#_Non-Cluster partner water tube-wells/boreholes/handpumps]])-WWWW[[#This Row],['#_Non-functional tube wells/boreholes/handpumps]]</f>
        <v>2</v>
      </c>
      <c r="CJ140" s="734">
        <f>WWWW[[#This Row],['#_Constructed/Existingwater storage tank with gravity fed reticulation system]]-WWWW[[#This Row],['#_Non-functional storage tank gravity fed reticulation system]]</f>
        <v>0</v>
      </c>
      <c r="CK140" s="734">
        <f>(WWWW[[#This Row],['#_Water_Liters_supplied_by_Water boating or water trucking]]/90)/15</f>
        <v>0</v>
      </c>
      <c r="CL140" s="734">
        <f>WWWW[[#This Row],['#_Water_Liters_from_Constructed/Existing water distribution system from river or natural spring]]/90/15</f>
        <v>0</v>
      </c>
      <c r="CM140" s="424">
        <f>IF(WWWW[[#This Row],['#_of water points in TLS/CFS]]*500&gt;WWWW[[#This Row],[Total PoP ]],WWWW[[#This Row],[Total PoP ]],WWWW[[#This Row],['#_of water points in TLS/CFS]]*500)</f>
        <v>0</v>
      </c>
      <c r="CN140" s="424">
        <f>IF(WWWW[[#This Row],['#_of water points in THF]]*500&gt;WWWW[[#This Row],[Total PoP ]],WWWW[[#This Row],[Total PoP ]],WWWW[[#This Row],['#_of water points in THF]]*500)</f>
        <v>0</v>
      </c>
      <c r="CO14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4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40" s="733">
        <f>IF(WWWW[[#This Row],[Location Type 1]]="Village",WWWW[[#This Row],[Access to safe drinking water for Village]],WWWW[[#This Row],[Access to safe drinking water for Camp]])</f>
        <v>1</v>
      </c>
      <c r="CR140" s="731">
        <f>WWWW[[#This Row],[%Equitable and continuous access to sufficient quantity of safe drinking water]]*WWWW[[#This Row],[Total PoP ]]</f>
        <v>300</v>
      </c>
      <c r="CS140" s="733">
        <f>IF((WWWW[[#This Row],['#_Constructed/Existing protected/fenced ponds]]*250)/WWWW[[#This Row],[Total PoP ]]&gt;1,1,(WWWW[[#This Row],['#_Constructed/Existing protected/fenced ponds]]*250)/WWWW[[#This Row],[Total PoP ]])</f>
        <v>0</v>
      </c>
      <c r="CT140" s="731">
        <f>WWWW[[#This Row],[% Access to unimproved water points]]*WWWW[[#This Row],[Total PoP ]]</f>
        <v>0</v>
      </c>
      <c r="CU14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4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W140" s="731">
        <f>WWWW[[#This Row],[HRP1]]/500</f>
        <v>0.6</v>
      </c>
      <c r="CX140" s="736">
        <f>1-WWWW[[#This Row],[% Equitable and continuous access to sufficient quantity of domestic water]]</f>
        <v>0</v>
      </c>
      <c r="CY140" s="731">
        <f>WWWW[[#This Row],[%equitable and continuous access to sufficient quantity of safe drinking and domestic water''s GAP]]*WWWW[[#This Row],[Total PoP ]]</f>
        <v>0</v>
      </c>
      <c r="CZ140" s="734">
        <f>IF(WWWW[[#This Row],[Total required water points]]-WWWW[[#This Row],['#Water points coverage]]&lt;0,0,WWWW[[#This Row],[Total required water points]]-WWWW[[#This Row],['#Water points coverage]])</f>
        <v>0.4</v>
      </c>
      <c r="DA140" s="734">
        <f>ROUND(IF(WWWW[[#This Row],[Total PoP ]]&lt;500,1,WWWW[[#This Row],[Total PoP ]]/500),0)</f>
        <v>1</v>
      </c>
      <c r="DB140" s="734">
        <f>(WWWW[[#This Row],['#_Constructed latrines_by_WASHAgencies]]+WWWW[[#This Row],['#_Non Cluster partner latrines]])-WWWW[[#This Row],['#_Non-functional latrines]]</f>
        <v>13</v>
      </c>
      <c r="DC140" s="631">
        <f>WWWW[[#This Row],[HRP2]]/WWWW[[#This Row],[Total PoP ]]</f>
        <v>0.88</v>
      </c>
      <c r="DD14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DE14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0" s="424">
        <f>IF(WWWW[[#This Row],['# of functional latrines in THF supported by WASH partners during the reporting period2]]="",0,WWWW[[#This Row],['# of functional latrines in THF supported by WASH partners during the reporting period2]]*50)</f>
        <v>0</v>
      </c>
      <c r="DH140" s="734">
        <f>ROUND(IF(WWWW[[#This Row],[Location Type 1]]="camp",WWWW[[#This Row],[Total PoP ]]/20,IF(WWWW[[#This Row],[Location Type 1]]="Temporary Location",WWWW[[#This Row],[Total PoP ]]/50,(WWWW[[#This Row],[Total PoP ]]/6))),0)</f>
        <v>15</v>
      </c>
      <c r="DI140" s="734">
        <f>IF(WWWW[[#This Row],[Total required Latrines]]-(WWWW[[#This Row],['#_Constructed latrines_by_WASHAgencies]]+WWWW[[#This Row],['#_Non Cluster partner latrines]])&lt;0,0,WWWW[[#This Row],[Total required Latrines]]-(WWWW[[#This Row],['#_Constructed latrines_by_WASHAgencies]]+WWWW[[#This Row],['#_Non Cluster partner latrines]]))</f>
        <v>2</v>
      </c>
      <c r="DJ140" s="736">
        <f>1-WWWW[[#This Row],[% people access to functioning Latrine]]</f>
        <v>0.12</v>
      </c>
      <c r="DK140" s="735">
        <f>IF(OR(WWWW[[#This Row],['#_Non-functional latrines]]="",WWWW[[#This Row],['#_Non-functional latrines]]=0),0,WWWW[[#This Row],['#_Non-functional latrines]]/(WWWW[[#This Row],['#_Constructed latrines_by_WASHAgencies]]+WWWW[[#This Row],['#_Non Cluster partner latrines]]))</f>
        <v>0</v>
      </c>
      <c r="DL140" s="731">
        <f>IF(500*(WWWW[[#This Row],['#_male hygiene promoters]]+WWWW[[#This Row],['#_female hygiene promoters]])&gt;WWWW[[#This Row],[Total PoP ]],WWWW[[#This Row],[Total PoP ]],500*(WWWW[[#This Row],['#_male hygiene promoters]]+WWWW[[#This Row],['#_female hygiene promoters]]))</f>
        <v>300</v>
      </c>
      <c r="DM14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4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40" s="734">
        <f>IF(WWWW[[#This Row],['# People with access to soap]]&gt;WWWW[[#This Row],['# People with access to Sanity Pads]],WWWW[[#This Row],['# People with access to soap]],WWWW[[#This Row],['# People with access to Sanity Pads]])</f>
        <v>50</v>
      </c>
      <c r="DP140" s="734">
        <f>IF(WWWW[[#This Row],['# people reached by regular dedicated hygiene promotion_5]]&gt;WWWW[[#This Row],['# People received regular supply of hygiene items_6]],WWWW[[#This Row],['# people reached by regular dedicated hygiene promotion_5]],WWWW[[#This Row],['# People received regular supply of hygiene items_6]])</f>
        <v>300</v>
      </c>
      <c r="DQ140" s="736">
        <f>IF(WWWW[[#This Row],[HRP3]]/WWWW[[#This Row],[Total PoP ]]&gt;1,1,WWWW[[#This Row],[HRP3]]/WWWW[[#This Row],[Total PoP ]])</f>
        <v>1</v>
      </c>
      <c r="DR140" s="735">
        <f>1-WWWW[[#This Row],[Hygiene Coverage%]]</f>
        <v>0</v>
      </c>
      <c r="DS140" s="733">
        <f>WWWW[[#This Row],['# people reached by regular dedicated hygiene promotion_5]]/WWWW[[#This Row],[Total PoP ]]</f>
        <v>1</v>
      </c>
      <c r="DT14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0.81632653061224492</v>
      </c>
      <c r="DU14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0.36734693877551022</v>
      </c>
      <c r="DV140" s="734">
        <f>WWWW[[#This Row],['#_Constructed/Existing hand washing stations]]-WWWW[[#This Row],['#_Non-Functional_hand_washing_stations]]</f>
        <v>3</v>
      </c>
      <c r="DW140" s="731">
        <f>IF(WWWW[[#This Row],['# Functional hand washing stations during reporting period]]*20&gt;WWWW[[#This Row],[Total HH]],WWWW[[#This Row],[Total HH]],WWWW[[#This Row],['# Functional hand washing stations during reporting period]]*20)</f>
        <v>49</v>
      </c>
      <c r="DX140" s="731">
        <f>IF(WWWW[[#This Row],[Is sufficient soap available for TLS? (Yes/No)]]="yes",WWWW[[#This Row],['#_Constructed/Existing hand washing stations at TLS/CFS/THF]],0)</f>
        <v>0</v>
      </c>
      <c r="DY140" s="428">
        <f>IF(WWWW[[#This Row],['# Functional hand washing stations during reporting period]]*100&gt;WWWW[[#This Row],[Total PoP ]],WWWW[[#This Row],[Total PoP ]],WWWW[[#This Row],['# Functional hand washing stations during reporting period]]*100)</f>
        <v>300</v>
      </c>
      <c r="DZ140" s="428" t="str">
        <f>IF(OR(WWWW[[#This Row],['#_students at TLS_CFS]]="",WWWW[[#This Row],['#_students at TLS_CFS]]=0),"No","Yes")</f>
        <v>No</v>
      </c>
      <c r="EA14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0" s="727" t="str">
        <f>VLOOKUP(WWWW[[#This Row],[Site Name]],SiteDB6[[Site Name]:[CCCM Management]],6,FALSE)</f>
        <v>Yes</v>
      </c>
      <c r="EF140" s="727" t="str">
        <f>VLOOKUP(WWWW[[#This Row],[Site Name]],SiteDB6[[Site Name]:[CCCM Focal Agency]],7,FALSE)</f>
        <v>KBC-BMO</v>
      </c>
      <c r="EG140" s="727" t="str">
        <f>VLOOKUP(WWWW[[#This Row],[Site Name]],SiteDB6[[Site Name]:[Location Type 1]],9,FALSE)</f>
        <v>Camp</v>
      </c>
      <c r="EH140" s="727" t="str">
        <f>VLOOKUP(WWWW[[#This Row],[Site Name]],SiteDB6[[Site Name]:[Type of Accommodation]],10,FALSE)</f>
        <v>Camp</v>
      </c>
      <c r="EI140" s="727" t="str">
        <f>VLOOKUP(WWWW[[#This Row],[Site Name]],SiteDB6[[Site Name]:[Ethnic or GCA/NGCA]],11,FALSE)</f>
        <v>GCA</v>
      </c>
      <c r="EJ140" s="727">
        <f>VLOOKUP(WWWW[[#This Row],[Site Name]],SiteDB6[[Site Name]:[Lat]],12,FALSE)</f>
        <v>24.200361000000001</v>
      </c>
      <c r="EK140" s="727">
        <f>VLOOKUP(WWWW[[#This Row],[Site Name]],SiteDB6[[Site Name]:[Long]],13,FALSE)</f>
        <v>96.807353000000006</v>
      </c>
      <c r="EL140" s="727" t="str">
        <f>VLOOKUP(WWWW[[#This Row],[Site Name]],SiteDB6[[Site Name]:[Pcode]],3,FALSE)</f>
        <v>MMR001CMP067</v>
      </c>
      <c r="EM140" s="732" t="str">
        <f t="shared" si="2"/>
        <v>Covered</v>
      </c>
      <c r="EN140" s="732"/>
      <c r="EO140" s="727">
        <f>VLOOKUP(WWWW[[#This Row],[Site Name]],SiteDB6[[Site Name]:[Pop
(Kachin/Shan-CCCM as of July 2021)]],16,FALSE)</f>
        <v>46</v>
      </c>
      <c r="EP140" s="727">
        <f>VLOOKUP(WWWW[[#This Row],[Site Name]],SiteDB6[[Site Name]:[Pop
(Kachin/Shan-CCCM as of July 2021)]],17,FALSE)</f>
        <v>263</v>
      </c>
    </row>
    <row r="141" spans="1:146" hidden="1">
      <c r="A141" s="725" t="s">
        <v>2763</v>
      </c>
      <c r="B141" s="725" t="s">
        <v>192</v>
      </c>
      <c r="C141" s="726" t="s">
        <v>192</v>
      </c>
      <c r="D141" s="726" t="s">
        <v>2679</v>
      </c>
      <c r="E141" s="726" t="s">
        <v>37</v>
      </c>
      <c r="F141" s="726" t="s">
        <v>214</v>
      </c>
      <c r="G141" s="591" t="str">
        <f>VLOOKUP(WWWW[[#This Row],[Site Name]],SiteDB6[[Site Name]:[Location Type]],8,FALSE)</f>
        <v>Camp</v>
      </c>
      <c r="H141" s="726" t="s">
        <v>216</v>
      </c>
      <c r="I141" s="728">
        <v>43</v>
      </c>
      <c r="J141" s="728">
        <v>182</v>
      </c>
      <c r="K141" s="729" t="s">
        <v>2670</v>
      </c>
      <c r="L141" s="730" t="s">
        <v>2680</v>
      </c>
      <c r="M141" s="728"/>
      <c r="N141" s="728"/>
      <c r="O141" s="728"/>
      <c r="P141" s="728"/>
      <c r="Q141" s="731" t="s">
        <v>41</v>
      </c>
      <c r="R141" s="728">
        <v>1</v>
      </c>
      <c r="S141" s="728">
        <v>1</v>
      </c>
      <c r="T141" s="448"/>
      <c r="U141" s="728"/>
      <c r="V141" s="728"/>
      <c r="W141" s="728"/>
      <c r="X141" s="728">
        <v>1</v>
      </c>
      <c r="Y141" s="728"/>
      <c r="Z141" s="728"/>
      <c r="AA141" s="728"/>
      <c r="AB141" s="728"/>
      <c r="AC141" s="728"/>
      <c r="AD141" s="728"/>
      <c r="AE141" s="728"/>
      <c r="AF141" s="728"/>
      <c r="AG141" s="728"/>
      <c r="AH141" s="728"/>
      <c r="AI141" s="728"/>
      <c r="AJ141" s="728"/>
      <c r="AK141" s="728"/>
      <c r="AL141" s="728"/>
      <c r="AM141" s="728"/>
      <c r="AN141" s="728"/>
      <c r="AO141" s="728"/>
      <c r="AP141" s="732"/>
      <c r="AQ141" s="728">
        <v>9</v>
      </c>
      <c r="AR141" s="728"/>
      <c r="AS141" s="733"/>
      <c r="AT141" s="728"/>
      <c r="AU141" s="728"/>
      <c r="AV141" s="728"/>
      <c r="AW141" s="728"/>
      <c r="AX141" s="728"/>
      <c r="AY141" s="727" t="s">
        <v>41</v>
      </c>
      <c r="AZ141" s="732" t="s">
        <v>137</v>
      </c>
      <c r="BA141" s="728"/>
      <c r="BB141" s="728"/>
      <c r="BC141" s="728"/>
      <c r="BD141" s="448"/>
      <c r="BE141" s="448"/>
      <c r="BF141" s="727"/>
      <c r="BG141" s="728">
        <v>3</v>
      </c>
      <c r="BH141" s="728"/>
      <c r="BI141" s="728"/>
      <c r="BJ141" s="728">
        <v>2</v>
      </c>
      <c r="BK141" s="728"/>
      <c r="BL141" s="728"/>
      <c r="BM141" s="728">
        <v>1</v>
      </c>
      <c r="BN141" s="728">
        <v>10</v>
      </c>
      <c r="BO141" s="728">
        <v>18</v>
      </c>
      <c r="BP141" s="727"/>
      <c r="BQ141" s="734"/>
      <c r="BR141" s="733"/>
      <c r="BS141" s="727"/>
      <c r="BT141" s="423"/>
      <c r="BU141" s="423"/>
      <c r="BV141" s="425"/>
      <c r="BW141" s="423"/>
      <c r="BX141" s="448"/>
      <c r="BY141" s="448"/>
      <c r="BZ141" s="448"/>
      <c r="CA141" s="448"/>
      <c r="CB141" s="448"/>
      <c r="CC141" s="777"/>
      <c r="CD141" s="448"/>
      <c r="CE141" s="735" t="str">
        <f>IFERROR(WWWW[[#This Row],['#_Water sources passed]]/WWWW[[#This Row],['#_Water sources tested for fecal coliform ]],"no test")</f>
        <v>no test</v>
      </c>
      <c r="CF141" s="733" t="str">
        <f>IFERROR(WWWW[[#This Row],['#_Household passed]]/WWWW[[#This Row],['#_Household water samples tested for fecal coliform]],"no test")</f>
        <v>no test</v>
      </c>
      <c r="CG141" s="734" t="str">
        <f>IF(AND(WWWW[[#This Row],[% of water sources passed]]="no test",WWWW[[#This Row],[% Household passed]]="no test"),"No Test","Tested")</f>
        <v>No Test</v>
      </c>
      <c r="CH141" s="734">
        <f>WWWW[[#This Row],['#_Constructed/existing protected hand dug well]]-WWWW[[#This Row],['#_Non-functional protected hand dug well]]</f>
        <v>0</v>
      </c>
      <c r="CI141" s="734">
        <f>(WWWW[[#This Row],['#_Constructed/Existing tube wells/boreholes/handpumps_WASH_agency]]+WWWW[[#This Row],['#_Non-Cluster partner water tube-wells/boreholes/handpumps]])-WWWW[[#This Row],['#_Non-functional tube wells/boreholes/handpumps]]</f>
        <v>1</v>
      </c>
      <c r="CJ141" s="734">
        <f>WWWW[[#This Row],['#_Constructed/Existingwater storage tank with gravity fed reticulation system]]-WWWW[[#This Row],['#_Non-functional storage tank gravity fed reticulation system]]</f>
        <v>0</v>
      </c>
      <c r="CK141" s="734">
        <f>(WWWW[[#This Row],['#_Water_Liters_supplied_by_Water boating or water trucking]]/90)/15</f>
        <v>0</v>
      </c>
      <c r="CL141" s="734">
        <f>WWWW[[#This Row],['#_Water_Liters_from_Constructed/Existing water distribution system from river or natural spring]]/90/15</f>
        <v>0</v>
      </c>
      <c r="CM141" s="424">
        <f>IF(WWWW[[#This Row],['#_of water points in TLS/CFS]]*500&gt;WWWW[[#This Row],[Total PoP ]],WWWW[[#This Row],[Total PoP ]],WWWW[[#This Row],['#_of water points in TLS/CFS]]*500)</f>
        <v>0</v>
      </c>
      <c r="CN141" s="424">
        <f>IF(WWWW[[#This Row],['#_of water points in THF]]*500&gt;WWWW[[#This Row],[Total PoP ]],WWWW[[#This Row],[Total PoP ]],WWWW[[#This Row],['#_of water points in THF]]*500)</f>
        <v>0</v>
      </c>
      <c r="CO14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4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41" s="733">
        <f>IF(WWWW[[#This Row],[Location Type 1]]="Village",WWWW[[#This Row],[Access to safe drinking water for Village]],WWWW[[#This Row],[Access to safe drinking water for Camp]])</f>
        <v>1</v>
      </c>
      <c r="CR141" s="731">
        <f>WWWW[[#This Row],[%Equitable and continuous access to sufficient quantity of safe drinking water]]*WWWW[[#This Row],[Total PoP ]]</f>
        <v>182</v>
      </c>
      <c r="CS141" s="733">
        <f>IF((WWWW[[#This Row],['#_Constructed/Existing protected/fenced ponds]]*250)/WWWW[[#This Row],[Total PoP ]]&gt;1,1,(WWWW[[#This Row],['#_Constructed/Existing protected/fenced ponds]]*250)/WWWW[[#This Row],[Total PoP ]])</f>
        <v>0</v>
      </c>
      <c r="CT141" s="731">
        <f>WWWW[[#This Row],[% Access to unimproved water points]]*WWWW[[#This Row],[Total PoP ]]</f>
        <v>0</v>
      </c>
      <c r="CU14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4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W141" s="731">
        <f>WWWW[[#This Row],[HRP1]]/500</f>
        <v>0.36399999999999999</v>
      </c>
      <c r="CX141" s="736">
        <f>1-WWWW[[#This Row],[% Equitable and continuous access to sufficient quantity of domestic water]]</f>
        <v>0</v>
      </c>
      <c r="CY141" s="731">
        <f>WWWW[[#This Row],[%equitable and continuous access to sufficient quantity of safe drinking and domestic water''s GAP]]*WWWW[[#This Row],[Total PoP ]]</f>
        <v>0</v>
      </c>
      <c r="CZ141" s="734">
        <f>IF(WWWW[[#This Row],[Total required water points]]-WWWW[[#This Row],['#Water points coverage]]&lt;0,0,WWWW[[#This Row],[Total required water points]]-WWWW[[#This Row],['#Water points coverage]])</f>
        <v>0.63600000000000001</v>
      </c>
      <c r="DA141" s="734">
        <f>ROUND(IF(WWWW[[#This Row],[Total PoP ]]&lt;500,1,WWWW[[#This Row],[Total PoP ]]/500),0)</f>
        <v>1</v>
      </c>
      <c r="DB141" s="734">
        <f>(WWWW[[#This Row],['#_Constructed latrines_by_WASHAgencies]]+WWWW[[#This Row],['#_Non Cluster partner latrines]])-WWWW[[#This Row],['#_Non-functional latrines]]</f>
        <v>9</v>
      </c>
      <c r="DC141" s="631">
        <f>WWWW[[#This Row],[HRP2]]/WWWW[[#This Row],[Total PoP ]]</f>
        <v>0.98901098901098905</v>
      </c>
      <c r="DD14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14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1" s="424">
        <f>IF(WWWW[[#This Row],['# of functional latrines in THF supported by WASH partners during the reporting period2]]="",0,WWWW[[#This Row],['# of functional latrines in THF supported by WASH partners during the reporting period2]]*50)</f>
        <v>0</v>
      </c>
      <c r="DH141" s="734">
        <f>ROUND(IF(WWWW[[#This Row],[Location Type 1]]="camp",WWWW[[#This Row],[Total PoP ]]/20,IF(WWWW[[#This Row],[Location Type 1]]="Temporary Location",WWWW[[#This Row],[Total PoP ]]/50,(WWWW[[#This Row],[Total PoP ]]/6))),0)</f>
        <v>9</v>
      </c>
      <c r="DI141" s="734">
        <f>IF(WWWW[[#This Row],[Total required Latrines]]-(WWWW[[#This Row],['#_Constructed latrines_by_WASHAgencies]]+WWWW[[#This Row],['#_Non Cluster partner latrines]])&lt;0,0,WWWW[[#This Row],[Total required Latrines]]-(WWWW[[#This Row],['#_Constructed latrines_by_WASHAgencies]]+WWWW[[#This Row],['#_Non Cluster partner latrines]]))</f>
        <v>0</v>
      </c>
      <c r="DJ141" s="736">
        <f>1-WWWW[[#This Row],[% people access to functioning Latrine]]</f>
        <v>1.098901098901095E-2</v>
      </c>
      <c r="DK141" s="735">
        <f>IF(OR(WWWW[[#This Row],['#_Non-functional latrines]]="",WWWW[[#This Row],['#_Non-functional latrines]]=0),0,WWWW[[#This Row],['#_Non-functional latrines]]/(WWWW[[#This Row],['#_Constructed latrines_by_WASHAgencies]]+WWWW[[#This Row],['#_Non Cluster partner latrines]]))</f>
        <v>0</v>
      </c>
      <c r="DL141" s="731">
        <f>IF(500*(WWWW[[#This Row],['#_male hygiene promoters]]+WWWW[[#This Row],['#_female hygiene promoters]])&gt;WWWW[[#This Row],[Total PoP ]],WWWW[[#This Row],[Total PoP ]],500*(WWWW[[#This Row],['#_male hygiene promoters]]+WWWW[[#This Row],['#_female hygiene promoters]]))</f>
        <v>182</v>
      </c>
      <c r="DM14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4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41" s="734">
        <f>IF(WWWW[[#This Row],['# People with access to soap]]&gt;WWWW[[#This Row],['# People with access to Sanity Pads]],WWWW[[#This Row],['# People with access to soap]],WWWW[[#This Row],['# People with access to Sanity Pads]])</f>
        <v>50</v>
      </c>
      <c r="DP141" s="734">
        <f>IF(WWWW[[#This Row],['# people reached by regular dedicated hygiene promotion_5]]&gt;WWWW[[#This Row],['# People received regular supply of hygiene items_6]],WWWW[[#This Row],['# people reached by regular dedicated hygiene promotion_5]],WWWW[[#This Row],['# People received regular supply of hygiene items_6]])</f>
        <v>182</v>
      </c>
      <c r="DQ141" s="736">
        <f>IF(WWWW[[#This Row],[HRP3]]/WWWW[[#This Row],[Total PoP ]]&gt;1,1,WWWW[[#This Row],[HRP3]]/WWWW[[#This Row],[Total PoP ]])</f>
        <v>1</v>
      </c>
      <c r="DR141" s="735">
        <f>1-WWWW[[#This Row],[Hygiene Coverage%]]</f>
        <v>0</v>
      </c>
      <c r="DS141" s="733">
        <f>WWWW[[#This Row],['# people reached by regular dedicated hygiene promotion_5]]/WWWW[[#This Row],[Total PoP ]]</f>
        <v>1</v>
      </c>
      <c r="DT14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0.93023255813953487</v>
      </c>
      <c r="DU14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0.41860465116279072</v>
      </c>
      <c r="DV141" s="734">
        <f>WWWW[[#This Row],['#_Constructed/Existing hand washing stations]]-WWWW[[#This Row],['#_Non-Functional_hand_washing_stations]]</f>
        <v>3</v>
      </c>
      <c r="DW141" s="731">
        <f>IF(WWWW[[#This Row],['# Functional hand washing stations during reporting period]]*20&gt;WWWW[[#This Row],[Total HH]],WWWW[[#This Row],[Total HH]],WWWW[[#This Row],['# Functional hand washing stations during reporting period]]*20)</f>
        <v>43</v>
      </c>
      <c r="DX141" s="731">
        <f>IF(WWWW[[#This Row],[Is sufficient soap available for TLS? (Yes/No)]]="yes",WWWW[[#This Row],['#_Constructed/Existing hand washing stations at TLS/CFS/THF]],0)</f>
        <v>0</v>
      </c>
      <c r="DY141" s="428">
        <f>IF(WWWW[[#This Row],['# Functional hand washing stations during reporting period]]*100&gt;WWWW[[#This Row],[Total PoP ]],WWWW[[#This Row],[Total PoP ]],WWWW[[#This Row],['# Functional hand washing stations during reporting period]]*100)</f>
        <v>182</v>
      </c>
      <c r="DZ141" s="428" t="str">
        <f>IF(OR(WWWW[[#This Row],['#_students at TLS_CFS]]="",WWWW[[#This Row],['#_students at TLS_CFS]]=0),"No","Yes")</f>
        <v>No</v>
      </c>
      <c r="EA14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1" s="727" t="str">
        <f>VLOOKUP(WWWW[[#This Row],[Site Name]],SiteDB6[[Site Name]:[CCCM Management]],6,FALSE)</f>
        <v>Yes</v>
      </c>
      <c r="EF141" s="727" t="str">
        <f>VLOOKUP(WWWW[[#This Row],[Site Name]],SiteDB6[[Site Name]:[CCCM Focal Agency]],7,FALSE)</f>
        <v>KMSS-BMO</v>
      </c>
      <c r="EG141" s="727" t="str">
        <f>VLOOKUP(WWWW[[#This Row],[Site Name]],SiteDB6[[Site Name]:[Location Type 1]],9,FALSE)</f>
        <v>Camp</v>
      </c>
      <c r="EH141" s="727" t="str">
        <f>VLOOKUP(WWWW[[#This Row],[Site Name]],SiteDB6[[Site Name]:[Type of Accommodation]],10,FALSE)</f>
        <v>Camp</v>
      </c>
      <c r="EI141" s="727" t="str">
        <f>VLOOKUP(WWWW[[#This Row],[Site Name]],SiteDB6[[Site Name]:[Ethnic or GCA/NGCA]],11,FALSE)</f>
        <v>GCA</v>
      </c>
      <c r="EJ141" s="727">
        <f>VLOOKUP(WWWW[[#This Row],[Site Name]],SiteDB6[[Site Name]:[Lat]],12,FALSE)</f>
        <v>24.200367</v>
      </c>
      <c r="EK141" s="727">
        <f>VLOOKUP(WWWW[[#This Row],[Site Name]],SiteDB6[[Site Name]:[Long]],13,FALSE)</f>
        <v>96.807353000000006</v>
      </c>
      <c r="EL141" s="727" t="str">
        <f>VLOOKUP(WWWW[[#This Row],[Site Name]],SiteDB6[[Site Name]:[Pcode]],3,FALSE)</f>
        <v>MMR001CMP068</v>
      </c>
      <c r="EM141" s="732" t="str">
        <f t="shared" si="2"/>
        <v>Covered</v>
      </c>
      <c r="EN141" s="732"/>
      <c r="EO141" s="727">
        <f>VLOOKUP(WWWW[[#This Row],[Site Name]],SiteDB6[[Site Name]:[Pop
(Kachin/Shan-CCCM as of July 2021)]],16,FALSE)</f>
        <v>35</v>
      </c>
      <c r="EP141" s="727">
        <f>VLOOKUP(WWWW[[#This Row],[Site Name]],SiteDB6[[Site Name]:[Pop
(Kachin/Shan-CCCM as of July 2021)]],17,FALSE)</f>
        <v>170</v>
      </c>
    </row>
    <row r="142" spans="1:146" hidden="1">
      <c r="A142" s="725" t="s">
        <v>2763</v>
      </c>
      <c r="B142" s="725" t="s">
        <v>141</v>
      </c>
      <c r="C142" s="726" t="s">
        <v>141</v>
      </c>
      <c r="D142" s="726" t="s">
        <v>241</v>
      </c>
      <c r="E142" s="726" t="s">
        <v>37</v>
      </c>
      <c r="F142" s="726" t="s">
        <v>159</v>
      </c>
      <c r="G142" s="591" t="str">
        <f>VLOOKUP(WWWW[[#This Row],[Site Name]],SiteDB6[[Site Name]:[Location Type]],8,FALSE)</f>
        <v>Camp</v>
      </c>
      <c r="H142" s="726" t="s">
        <v>169</v>
      </c>
      <c r="I142" s="448">
        <v>93</v>
      </c>
      <c r="J142" s="448">
        <v>499</v>
      </c>
      <c r="K142" s="588">
        <v>44105</v>
      </c>
      <c r="L142" s="589">
        <v>44681</v>
      </c>
      <c r="M142" s="728"/>
      <c r="N142" s="728">
        <v>2</v>
      </c>
      <c r="O142" s="728"/>
      <c r="P142" s="728"/>
      <c r="Q142" s="731" t="s">
        <v>41</v>
      </c>
      <c r="R142" s="728"/>
      <c r="S142" s="728">
        <v>5</v>
      </c>
      <c r="T142" s="448">
        <v>2</v>
      </c>
      <c r="U142" s="728"/>
      <c r="V142" s="728"/>
      <c r="W142" s="728">
        <v>2</v>
      </c>
      <c r="X142" s="728"/>
      <c r="Y142" s="728"/>
      <c r="Z142" s="728"/>
      <c r="AA142" s="728"/>
      <c r="AB142" s="728"/>
      <c r="AC142" s="728"/>
      <c r="AD142" s="728"/>
      <c r="AE142" s="728"/>
      <c r="AF142" s="728"/>
      <c r="AG142" s="728"/>
      <c r="AH142" s="728">
        <v>2</v>
      </c>
      <c r="AI142" s="728"/>
      <c r="AJ142" s="728"/>
      <c r="AK142" s="728"/>
      <c r="AL142" s="728"/>
      <c r="AM142" s="728"/>
      <c r="AN142" s="728"/>
      <c r="AO142" s="728"/>
      <c r="AP142" s="732"/>
      <c r="AQ142" s="728">
        <v>17</v>
      </c>
      <c r="AR142" s="728"/>
      <c r="AS142" s="733"/>
      <c r="AT142" s="728"/>
      <c r="AU142" s="728"/>
      <c r="AV142" s="728"/>
      <c r="AW142" s="728"/>
      <c r="AX142" s="728">
        <v>17</v>
      </c>
      <c r="AY142" s="727" t="s">
        <v>41</v>
      </c>
      <c r="AZ142" s="732" t="s">
        <v>137</v>
      </c>
      <c r="BA142" s="728"/>
      <c r="BB142" s="728"/>
      <c r="BC142" s="728"/>
      <c r="BD142" s="448"/>
      <c r="BE142" s="448"/>
      <c r="BF142" s="727"/>
      <c r="BG142" s="728">
        <v>3</v>
      </c>
      <c r="BH142" s="728"/>
      <c r="BI142" s="728"/>
      <c r="BJ142" s="728">
        <v>2</v>
      </c>
      <c r="BK142" s="728"/>
      <c r="BL142" s="728"/>
      <c r="BM142" s="728">
        <v>2</v>
      </c>
      <c r="BN142" s="728">
        <v>88</v>
      </c>
      <c r="BO142" s="728">
        <v>100</v>
      </c>
      <c r="BP142" s="727"/>
      <c r="BQ142" s="734"/>
      <c r="BR142" s="733"/>
      <c r="BS142" s="727"/>
      <c r="BT142" s="423"/>
      <c r="BU142" s="423"/>
      <c r="BV142" s="425"/>
      <c r="BW142" s="423"/>
      <c r="BX142" s="448"/>
      <c r="BY142" s="448"/>
      <c r="BZ142" s="448"/>
      <c r="CA142" s="448"/>
      <c r="CB142" s="448"/>
      <c r="CC142" s="777"/>
      <c r="CD142" s="448"/>
      <c r="CE142" s="735" t="str">
        <f>IFERROR(WWWW[[#This Row],['#_Water sources passed]]/WWWW[[#This Row],['#_Water sources tested for fecal coliform ]],"no test")</f>
        <v>no test</v>
      </c>
      <c r="CF142" s="733" t="str">
        <f>IFERROR(WWWW[[#This Row],['#_Household passed]]/WWWW[[#This Row],['#_Household water samples tested for fecal coliform]],"no test")</f>
        <v>no test</v>
      </c>
      <c r="CG142" s="734" t="str">
        <f>IF(AND(WWWW[[#This Row],[% of water sources passed]]="no test",WWWW[[#This Row],[% Household passed]]="no test"),"No Test","Tested")</f>
        <v>No Test</v>
      </c>
      <c r="CH142" s="734">
        <f>WWWW[[#This Row],['#_Constructed/existing protected hand dug well]]-WWWW[[#This Row],['#_Non-functional protected hand dug well]]</f>
        <v>2</v>
      </c>
      <c r="CI142" s="734">
        <f>(WWWW[[#This Row],['#_Constructed/Existing tube wells/boreholes/handpumps_WASH_agency]]+WWWW[[#This Row],['#_Non-Cluster partner water tube-wells/boreholes/handpumps]])-WWWW[[#This Row],['#_Non-functional tube wells/boreholes/handpumps]]</f>
        <v>2</v>
      </c>
      <c r="CJ142" s="734">
        <f>WWWW[[#This Row],['#_Constructed/Existingwater storage tank with gravity fed reticulation system]]-WWWW[[#This Row],['#_Non-functional storage tank gravity fed reticulation system]]</f>
        <v>0</v>
      </c>
      <c r="CK142" s="734">
        <f>(WWWW[[#This Row],['#_Water_Liters_supplied_by_Water boating or water trucking]]/90)/15</f>
        <v>0</v>
      </c>
      <c r="CL142" s="734">
        <f>WWWW[[#This Row],['#_Water_Liters_from_Constructed/Existing water distribution system from river or natural spring]]/90/15</f>
        <v>0</v>
      </c>
      <c r="CM142" s="424">
        <f>IF(WWWW[[#This Row],['#_of water points in TLS/CFS]]*500&gt;WWWW[[#This Row],[Total PoP ]],WWWW[[#This Row],[Total PoP ]],WWWW[[#This Row],['#_of water points in TLS/CFS]]*500)</f>
        <v>0</v>
      </c>
      <c r="CN142" s="424">
        <f>IF(WWWW[[#This Row],['#_of water points in THF]]*500&gt;WWWW[[#This Row],[Total PoP ]],WWWW[[#This Row],[Total PoP ]],WWWW[[#This Row],['#_of water points in THF]]*500)</f>
        <v>0</v>
      </c>
      <c r="CO14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4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42" s="733">
        <f>IF(WWWW[[#This Row],[Location Type 1]]="Village",WWWW[[#This Row],[Access to safe drinking water for Village]],WWWW[[#This Row],[Access to safe drinking water for Camp]])</f>
        <v>1</v>
      </c>
      <c r="CR142" s="731">
        <f>WWWW[[#This Row],[%Equitable and continuous access to sufficient quantity of safe drinking water]]*WWWW[[#This Row],[Total PoP ]]</f>
        <v>499</v>
      </c>
      <c r="CS142" s="733">
        <f>IF((WWWW[[#This Row],['#_Constructed/Existing protected/fenced ponds]]*250)/WWWW[[#This Row],[Total PoP ]]&gt;1,1,(WWWW[[#This Row],['#_Constructed/Existing protected/fenced ponds]]*250)/WWWW[[#This Row],[Total PoP ]])</f>
        <v>0</v>
      </c>
      <c r="CT142" s="731">
        <f>WWWW[[#This Row],[% Access to unimproved water points]]*WWWW[[#This Row],[Total PoP ]]</f>
        <v>0</v>
      </c>
      <c r="CU14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4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499</v>
      </c>
      <c r="CW142" s="731">
        <f>WWWW[[#This Row],[HRP1]]/500</f>
        <v>0.998</v>
      </c>
      <c r="CX142" s="736">
        <f>1-WWWW[[#This Row],[% Equitable and continuous access to sufficient quantity of domestic water]]</f>
        <v>0</v>
      </c>
      <c r="CY142" s="731">
        <f>WWWW[[#This Row],[%equitable and continuous access to sufficient quantity of safe drinking and domestic water''s GAP]]*WWWW[[#This Row],[Total PoP ]]</f>
        <v>0</v>
      </c>
      <c r="CZ142" s="734">
        <f>IF(WWWW[[#This Row],[Total required water points]]-WWWW[[#This Row],['#Water points coverage]]&lt;0,0,WWWW[[#This Row],[Total required water points]]-WWWW[[#This Row],['#Water points coverage]])</f>
        <v>2.0000000000000018E-3</v>
      </c>
      <c r="DA142" s="734">
        <f>ROUND(IF(WWWW[[#This Row],[Total PoP ]]&lt;500,1,WWWW[[#This Row],[Total PoP ]]/500),0)</f>
        <v>1</v>
      </c>
      <c r="DB142" s="734">
        <f>(WWWW[[#This Row],['#_Constructed latrines_by_WASHAgencies]]+WWWW[[#This Row],['#_Non Cluster partner latrines]])-WWWW[[#This Row],['#_Non-functional latrines]]</f>
        <v>17</v>
      </c>
      <c r="DC142" s="631">
        <f>WWWW[[#This Row],[HRP2]]/WWWW[[#This Row],[Total PoP ]]</f>
        <v>0.68136272545090182</v>
      </c>
      <c r="DD14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340</v>
      </c>
      <c r="DE14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2" s="424">
        <f>IF(WWWW[[#This Row],['# of functional latrines in THF supported by WASH partners during the reporting period2]]="",0,WWWW[[#This Row],['# of functional latrines in THF supported by WASH partners during the reporting period2]]*50)</f>
        <v>0</v>
      </c>
      <c r="DH142" s="734">
        <f>ROUND(IF(WWWW[[#This Row],[Location Type 1]]="camp",WWWW[[#This Row],[Total PoP ]]/20,IF(WWWW[[#This Row],[Location Type 1]]="Temporary Location",WWWW[[#This Row],[Total PoP ]]/50,(WWWW[[#This Row],[Total PoP ]]/6))),0)</f>
        <v>25</v>
      </c>
      <c r="DI142" s="734">
        <f>IF(WWWW[[#This Row],[Total required Latrines]]-(WWWW[[#This Row],['#_Constructed latrines_by_WASHAgencies]]+WWWW[[#This Row],['#_Non Cluster partner latrines]])&lt;0,0,WWWW[[#This Row],[Total required Latrines]]-(WWWW[[#This Row],['#_Constructed latrines_by_WASHAgencies]]+WWWW[[#This Row],['#_Non Cluster partner latrines]]))</f>
        <v>8</v>
      </c>
      <c r="DJ142" s="736">
        <f>1-WWWW[[#This Row],[% people access to functioning Latrine]]</f>
        <v>0.31863727454909818</v>
      </c>
      <c r="DK142" s="735">
        <f>IF(OR(WWWW[[#This Row],['#_Non-functional latrines]]="",WWWW[[#This Row],['#_Non-functional latrines]]=0),0,WWWW[[#This Row],['#_Non-functional latrines]]/(WWWW[[#This Row],['#_Constructed latrines_by_WASHAgencies]]+WWWW[[#This Row],['#_Non Cluster partner latrines]]))</f>
        <v>0</v>
      </c>
      <c r="DL142" s="731">
        <f>IF(500*(WWWW[[#This Row],['#_male hygiene promoters]]+WWWW[[#This Row],['#_female hygiene promoters]])&gt;WWWW[[#This Row],[Total PoP ]],WWWW[[#This Row],[Total PoP ]],500*(WWWW[[#This Row],['#_male hygiene promoters]]+WWWW[[#This Row],['#_female hygiene promoters]]))</f>
        <v>499</v>
      </c>
      <c r="DM14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14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42" s="734">
        <f>IF(WWWW[[#This Row],['# People with access to soap]]&gt;WWWW[[#This Row],['# People with access to Sanity Pads]],WWWW[[#This Row],['# People with access to soap]],WWWW[[#This Row],['# People with access to Sanity Pads]])</f>
        <v>440</v>
      </c>
      <c r="DP142" s="734">
        <f>IF(WWWW[[#This Row],['# people reached by regular dedicated hygiene promotion_5]]&gt;WWWW[[#This Row],['# People received regular supply of hygiene items_6]],WWWW[[#This Row],['# people reached by regular dedicated hygiene promotion_5]],WWWW[[#This Row],['# People received regular supply of hygiene items_6]])</f>
        <v>499</v>
      </c>
      <c r="DQ142" s="736">
        <f>IF(WWWW[[#This Row],[HRP3]]/WWWW[[#This Row],[Total PoP ]]&gt;1,1,WWWW[[#This Row],[HRP3]]/WWWW[[#This Row],[Total PoP ]])</f>
        <v>1</v>
      </c>
      <c r="DR142" s="735">
        <f>1-WWWW[[#This Row],[Hygiene Coverage%]]</f>
        <v>0</v>
      </c>
      <c r="DS142" s="733">
        <f>WWWW[[#This Row],['# people reached by regular dedicated hygiene promotion_5]]/WWWW[[#This Row],[Total PoP ]]</f>
        <v>1</v>
      </c>
      <c r="DT14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2" s="734">
        <f>WWWW[[#This Row],['#_Constructed/Existing hand washing stations]]-WWWW[[#This Row],['#_Non-Functional_hand_washing_stations]]</f>
        <v>3</v>
      </c>
      <c r="DW142" s="731">
        <f>IF(WWWW[[#This Row],['# Functional hand washing stations during reporting period]]*20&gt;WWWW[[#This Row],[Total HH]],WWWW[[#This Row],[Total HH]],WWWW[[#This Row],['# Functional hand washing stations during reporting period]]*20)</f>
        <v>60</v>
      </c>
      <c r="DX142" s="731">
        <f>IF(WWWW[[#This Row],[Is sufficient soap available for TLS? (Yes/No)]]="yes",WWWW[[#This Row],['#_Constructed/Existing hand washing stations at TLS/CFS/THF]],0)</f>
        <v>0</v>
      </c>
      <c r="DY142" s="428">
        <f>IF(WWWW[[#This Row],['# Functional hand washing stations during reporting period]]*100&gt;WWWW[[#This Row],[Total PoP ]],WWWW[[#This Row],[Total PoP ]],WWWW[[#This Row],['# Functional hand washing stations during reporting period]]*100)</f>
        <v>300</v>
      </c>
      <c r="DZ142" s="428" t="str">
        <f>IF(OR(WWWW[[#This Row],['#_students at TLS_CFS]]="",WWWW[[#This Row],['#_students at TLS_CFS]]=0),"No","Yes")</f>
        <v>No</v>
      </c>
      <c r="EA14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2" s="727" t="str">
        <f>VLOOKUP(WWWW[[#This Row],[Site Name]],SiteDB6[[Site Name]:[CCCM Management]],6,FALSE)</f>
        <v>Yes</v>
      </c>
      <c r="EF142" s="727" t="str">
        <f>VLOOKUP(WWWW[[#This Row],[Site Name]],SiteDB6[[Site Name]:[CCCM Focal Agency]],7,FALSE)</f>
        <v>KBC-MYT</v>
      </c>
      <c r="EG142" s="727" t="str">
        <f>VLOOKUP(WWWW[[#This Row],[Site Name]],SiteDB6[[Site Name]:[Location Type 1]],9,FALSE)</f>
        <v>Camp</v>
      </c>
      <c r="EH142" s="727" t="str">
        <f>VLOOKUP(WWWW[[#This Row],[Site Name]],SiteDB6[[Site Name]:[Type of Accommodation]],10,FALSE)</f>
        <v>Camp</v>
      </c>
      <c r="EI142" s="727" t="str">
        <f>VLOOKUP(WWWW[[#This Row],[Site Name]],SiteDB6[[Site Name]:[Ethnic or GCA/NGCA]],11,FALSE)</f>
        <v>GCA</v>
      </c>
      <c r="EJ142" s="727">
        <f>VLOOKUP(WWWW[[#This Row],[Site Name]],SiteDB6[[Site Name]:[Lat]],12,FALSE)</f>
        <v>25.440928</v>
      </c>
      <c r="EK142" s="727">
        <f>VLOOKUP(WWWW[[#This Row],[Site Name]],SiteDB6[[Site Name]:[Long]],13,FALSE)</f>
        <v>97.419403000000003</v>
      </c>
      <c r="EL142" s="727" t="str">
        <f>VLOOKUP(WWWW[[#This Row],[Site Name]],SiteDB6[[Site Name]:[Pcode]],3,FALSE)</f>
        <v>MMR001CMP009</v>
      </c>
      <c r="EM142" s="732" t="str">
        <f t="shared" si="2"/>
        <v>Covered</v>
      </c>
      <c r="EN142" s="732"/>
      <c r="EO142" s="727">
        <f>VLOOKUP(WWWW[[#This Row],[Site Name]],SiteDB6[[Site Name]:[Pop
(Kachin/Shan-CCCM as of July 2021)]],16,FALSE)</f>
        <v>104</v>
      </c>
      <c r="EP142" s="727">
        <f>VLOOKUP(WWWW[[#This Row],[Site Name]],SiteDB6[[Site Name]:[Pop
(Kachin/Shan-CCCM as of July 2021)]],17,FALSE)</f>
        <v>633</v>
      </c>
    </row>
    <row r="143" spans="1:146" hidden="1">
      <c r="A143" s="725" t="s">
        <v>2763</v>
      </c>
      <c r="B143" s="725" t="s">
        <v>36</v>
      </c>
      <c r="C143" s="726" t="s">
        <v>36</v>
      </c>
      <c r="D143" s="726" t="s">
        <v>241</v>
      </c>
      <c r="E143" s="726" t="s">
        <v>37</v>
      </c>
      <c r="F143" s="726" t="s">
        <v>863</v>
      </c>
      <c r="G143" s="591" t="str">
        <f>VLOOKUP(WWWW[[#This Row],[Site Name]],SiteDB6[[Site Name]:[Location Type]],8,FALSE)</f>
        <v>Camp</v>
      </c>
      <c r="H143" s="726" t="s">
        <v>1717</v>
      </c>
      <c r="I143" s="728">
        <v>133</v>
      </c>
      <c r="J143" s="728">
        <v>622</v>
      </c>
      <c r="K143" s="729">
        <v>44414</v>
      </c>
      <c r="L143" s="730">
        <v>44778</v>
      </c>
      <c r="M143" s="728"/>
      <c r="N143" s="728">
        <v>1</v>
      </c>
      <c r="O143" s="728"/>
      <c r="P143" s="728"/>
      <c r="Q143" s="731" t="s">
        <v>41</v>
      </c>
      <c r="R143" s="728">
        <v>4</v>
      </c>
      <c r="S143" s="728">
        <v>2</v>
      </c>
      <c r="T143" s="448">
        <v>1</v>
      </c>
      <c r="U143" s="728"/>
      <c r="V143" s="728"/>
      <c r="W143" s="728">
        <v>1</v>
      </c>
      <c r="X143" s="728"/>
      <c r="Y143" s="728"/>
      <c r="Z143" s="728"/>
      <c r="AA143" s="728"/>
      <c r="AB143" s="728"/>
      <c r="AC143" s="728"/>
      <c r="AD143" s="728"/>
      <c r="AE143" s="728"/>
      <c r="AF143" s="728"/>
      <c r="AG143" s="728"/>
      <c r="AH143" s="728"/>
      <c r="AI143" s="728"/>
      <c r="AJ143" s="728"/>
      <c r="AK143" s="728"/>
      <c r="AL143" s="728"/>
      <c r="AM143" s="728">
        <v>5</v>
      </c>
      <c r="AN143" s="728"/>
      <c r="AO143" s="728"/>
      <c r="AP143" s="732"/>
      <c r="AQ143" s="728"/>
      <c r="AR143" s="728"/>
      <c r="AS143" s="733"/>
      <c r="AT143" s="728"/>
      <c r="AU143" s="728"/>
      <c r="AV143" s="728"/>
      <c r="AW143" s="728"/>
      <c r="AX143" s="728"/>
      <c r="AY143" s="727" t="s">
        <v>41</v>
      </c>
      <c r="AZ143" s="732" t="s">
        <v>137</v>
      </c>
      <c r="BA143" s="728"/>
      <c r="BB143" s="728"/>
      <c r="BC143" s="728"/>
      <c r="BD143" s="448"/>
      <c r="BE143" s="448"/>
      <c r="BF143" s="727"/>
      <c r="BG143" s="728">
        <v>8</v>
      </c>
      <c r="BH143" s="728"/>
      <c r="BI143" s="728"/>
      <c r="BJ143" s="728">
        <v>3</v>
      </c>
      <c r="BK143" s="728"/>
      <c r="BL143" s="728"/>
      <c r="BM143" s="728"/>
      <c r="BN143" s="728">
        <v>91</v>
      </c>
      <c r="BO143" s="728">
        <v>124</v>
      </c>
      <c r="BP143" s="727"/>
      <c r="BQ143" s="734">
        <v>100</v>
      </c>
      <c r="BR143" s="733">
        <v>0.25</v>
      </c>
      <c r="BS143" s="727"/>
      <c r="BT143" s="423"/>
      <c r="BU143" s="423"/>
      <c r="BV143" s="425"/>
      <c r="BW143" s="423"/>
      <c r="BX143" s="448"/>
      <c r="BY143" s="448"/>
      <c r="BZ143" s="448"/>
      <c r="CA143" s="448"/>
      <c r="CB143" s="448"/>
      <c r="CC143" s="777"/>
      <c r="CD143" s="448"/>
      <c r="CE143" s="735" t="str">
        <f>IFERROR(WWWW[[#This Row],['#_Water sources passed]]/WWWW[[#This Row],['#_Water sources tested for fecal coliform ]],"no test")</f>
        <v>no test</v>
      </c>
      <c r="CF143" s="733" t="str">
        <f>IFERROR(WWWW[[#This Row],['#_Household passed]]/WWWW[[#This Row],['#_Household water samples tested for fecal coliform]],"no test")</f>
        <v>no test</v>
      </c>
      <c r="CG143" s="734" t="str">
        <f>IF(AND(WWWW[[#This Row],[% of water sources passed]]="no test",WWWW[[#This Row],[% Household passed]]="no test"),"No Test","Tested")</f>
        <v>No Test</v>
      </c>
      <c r="CH143" s="734">
        <f>WWWW[[#This Row],['#_Constructed/existing protected hand dug well]]-WWWW[[#This Row],['#_Non-functional protected hand dug well]]</f>
        <v>1</v>
      </c>
      <c r="CI143" s="734">
        <f>(WWWW[[#This Row],['#_Constructed/Existing tube wells/boreholes/handpumps_WASH_agency]]+WWWW[[#This Row],['#_Non-Cluster partner water tube-wells/boreholes/handpumps]])-WWWW[[#This Row],['#_Non-functional tube wells/boreholes/handpumps]]</f>
        <v>1</v>
      </c>
      <c r="CJ143" s="734">
        <f>WWWW[[#This Row],['#_Constructed/Existingwater storage tank with gravity fed reticulation system]]-WWWW[[#This Row],['#_Non-functional storage tank gravity fed reticulation system]]</f>
        <v>0</v>
      </c>
      <c r="CK143" s="734">
        <f>(WWWW[[#This Row],['#_Water_Liters_supplied_by_Water boating or water trucking]]/90)/15</f>
        <v>0</v>
      </c>
      <c r="CL143" s="734">
        <f>WWWW[[#This Row],['#_Water_Liters_from_Constructed/Existing water distribution system from river or natural spring]]/90/15</f>
        <v>0</v>
      </c>
      <c r="CM143" s="424">
        <f>IF(WWWW[[#This Row],['#_of water points in TLS/CFS]]*500&gt;WWWW[[#This Row],[Total PoP ]],WWWW[[#This Row],[Total PoP ]],WWWW[[#This Row],['#_of water points in TLS/CFS]]*500)</f>
        <v>0</v>
      </c>
      <c r="CN143" s="424">
        <f>IF(WWWW[[#This Row],['#_of water points in THF]]*500&gt;WWWW[[#This Row],[Total PoP ]],WWWW[[#This Row],[Total PoP ]],WWWW[[#This Row],['#_of water points in THF]]*500)</f>
        <v>0</v>
      </c>
      <c r="CO14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4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0.8038585209003215</v>
      </c>
      <c r="CQ143" s="733">
        <f>IF(WWWW[[#This Row],[Location Type 1]]="Village",WWWW[[#This Row],[Access to safe drinking water for Village]],WWWW[[#This Row],[Access to safe drinking water for Camp]])</f>
        <v>1</v>
      </c>
      <c r="CR143" s="731">
        <f>WWWW[[#This Row],[%Equitable and continuous access to sufficient quantity of safe drinking water]]*WWWW[[#This Row],[Total PoP ]]</f>
        <v>622</v>
      </c>
      <c r="CS143" s="733">
        <f>IF((WWWW[[#This Row],['#_Constructed/Existing protected/fenced ponds]]*250)/WWWW[[#This Row],[Total PoP ]]&gt;1,1,(WWWW[[#This Row],['#_Constructed/Existing protected/fenced ponds]]*250)/WWWW[[#This Row],[Total PoP ]])</f>
        <v>0</v>
      </c>
      <c r="CT143" s="731">
        <f>WWWW[[#This Row],[% Access to unimproved water points]]*WWWW[[#This Row],[Total PoP ]]</f>
        <v>0</v>
      </c>
      <c r="CU14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4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622</v>
      </c>
      <c r="CW143" s="731">
        <f>WWWW[[#This Row],[HRP1]]/500</f>
        <v>1.244</v>
      </c>
      <c r="CX143" s="736">
        <f>1-WWWW[[#This Row],[% Equitable and continuous access to sufficient quantity of domestic water]]</f>
        <v>0</v>
      </c>
      <c r="CY143" s="731">
        <f>WWWW[[#This Row],[%equitable and continuous access to sufficient quantity of safe drinking and domestic water''s GAP]]*WWWW[[#This Row],[Total PoP ]]</f>
        <v>0</v>
      </c>
      <c r="CZ143" s="734">
        <f>IF(WWWW[[#This Row],[Total required water points]]-WWWW[[#This Row],['#Water points coverage]]&lt;0,0,WWWW[[#This Row],[Total required water points]]-WWWW[[#This Row],['#Water points coverage]])</f>
        <v>0</v>
      </c>
      <c r="DA143" s="734">
        <f>ROUND(IF(WWWW[[#This Row],[Total PoP ]]&lt;500,1,WWWW[[#This Row],[Total PoP ]]/500),0)</f>
        <v>1</v>
      </c>
      <c r="DB143" s="734">
        <f>(WWWW[[#This Row],['#_Constructed latrines_by_WASHAgencies]]+WWWW[[#This Row],['#_Non Cluster partner latrines]])-WWWW[[#This Row],['#_Non-functional latrines]]</f>
        <v>0</v>
      </c>
      <c r="DC143" s="631">
        <f>WWWW[[#This Row],[HRP2]]/WWWW[[#This Row],[Total PoP ]]</f>
        <v>0</v>
      </c>
      <c r="DD14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3" s="424">
        <f>IF(WWWW[[#This Row],['# of functional latrines in THF supported by WASH partners during the reporting period2]]="",0,WWWW[[#This Row],['# of functional latrines in THF supported by WASH partners during the reporting period2]]*50)</f>
        <v>0</v>
      </c>
      <c r="DH143" s="734">
        <f>ROUND(IF(WWWW[[#This Row],[Location Type 1]]="camp",WWWW[[#This Row],[Total PoP ]]/20,IF(WWWW[[#This Row],[Location Type 1]]="Temporary Location",WWWW[[#This Row],[Total PoP ]]/50,(WWWW[[#This Row],[Total PoP ]]/6))),0)</f>
        <v>31</v>
      </c>
      <c r="DI143" s="734">
        <f>IF(WWWW[[#This Row],[Total required Latrines]]-(WWWW[[#This Row],['#_Constructed latrines_by_WASHAgencies]]+WWWW[[#This Row],['#_Non Cluster partner latrines]])&lt;0,0,WWWW[[#This Row],[Total required Latrines]]-(WWWW[[#This Row],['#_Constructed latrines_by_WASHAgencies]]+WWWW[[#This Row],['#_Non Cluster partner latrines]]))</f>
        <v>31</v>
      </c>
      <c r="DJ143" s="736">
        <f>1-WWWW[[#This Row],[% people access to functioning Latrine]]</f>
        <v>1</v>
      </c>
      <c r="DK143" s="735">
        <f>IF(OR(WWWW[[#This Row],['#_Non-functional latrines]]="",WWWW[[#This Row],['#_Non-functional latrines]]=0),0,WWWW[[#This Row],['#_Non-functional latrines]]/(WWWW[[#This Row],['#_Constructed latrines_by_WASHAgencies]]+WWWW[[#This Row],['#_Non Cluster partner latrines]]))</f>
        <v>0</v>
      </c>
      <c r="DL143" s="731">
        <f>IF(500*(WWWW[[#This Row],['#_male hygiene promoters]]+WWWW[[#This Row],['#_female hygiene promoters]])&gt;WWWW[[#This Row],[Total PoP ]],WWWW[[#This Row],[Total PoP ]],500*(WWWW[[#This Row],['#_male hygiene promoters]]+WWWW[[#This Row],['#_female hygiene promoters]]))</f>
        <v>0</v>
      </c>
      <c r="DM14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4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43" s="734">
        <f>IF(WWWW[[#This Row],['# People with access to soap]]&gt;WWWW[[#This Row],['# People with access to Sanity Pads]],WWWW[[#This Row],['# People with access to soap]],WWWW[[#This Row],['# People with access to Sanity Pads]])</f>
        <v>455</v>
      </c>
      <c r="DP143" s="734">
        <f>IF(WWWW[[#This Row],['# people reached by regular dedicated hygiene promotion_5]]&gt;WWWW[[#This Row],['# People received regular supply of hygiene items_6]],WWWW[[#This Row],['# people reached by regular dedicated hygiene promotion_5]],WWWW[[#This Row],['# People received regular supply of hygiene items_6]])</f>
        <v>455</v>
      </c>
      <c r="DQ143" s="736">
        <f>IF(WWWW[[#This Row],[HRP3]]/WWWW[[#This Row],[Total PoP ]]&gt;1,1,WWWW[[#This Row],[HRP3]]/WWWW[[#This Row],[Total PoP ]])</f>
        <v>0.73151125401929262</v>
      </c>
      <c r="DR143" s="735">
        <f>1-WWWW[[#This Row],[Hygiene Coverage%]]</f>
        <v>0.26848874598070738</v>
      </c>
      <c r="DS143" s="733">
        <f>WWWW[[#This Row],['# people reached by regular dedicated hygiene promotion_5]]/WWWW[[#This Row],[Total PoP ]]</f>
        <v>0</v>
      </c>
      <c r="DT14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0.93233082706766912</v>
      </c>
      <c r="DV143" s="734">
        <f>WWWW[[#This Row],['#_Constructed/Existing hand washing stations]]-WWWW[[#This Row],['#_Non-Functional_hand_washing_stations]]</f>
        <v>8</v>
      </c>
      <c r="DW143" s="731">
        <f>IF(WWWW[[#This Row],['# Functional hand washing stations during reporting period]]*20&gt;WWWW[[#This Row],[Total HH]],WWWW[[#This Row],[Total HH]],WWWW[[#This Row],['# Functional hand washing stations during reporting period]]*20)</f>
        <v>133</v>
      </c>
      <c r="DX143" s="731">
        <f>IF(WWWW[[#This Row],[Is sufficient soap available for TLS? (Yes/No)]]="yes",WWWW[[#This Row],['#_Constructed/Existing hand washing stations at TLS/CFS/THF]],0)</f>
        <v>0</v>
      </c>
      <c r="DY143" s="428">
        <f>IF(WWWW[[#This Row],['# Functional hand washing stations during reporting period]]*100&gt;WWWW[[#This Row],[Total PoP ]],WWWW[[#This Row],[Total PoP ]],WWWW[[#This Row],['# Functional hand washing stations during reporting period]]*100)</f>
        <v>622</v>
      </c>
      <c r="DZ143" s="428" t="str">
        <f>IF(OR(WWWW[[#This Row],['#_students at TLS_CFS]]="",WWWW[[#This Row],['#_students at TLS_CFS]]=0),"No","Yes")</f>
        <v>No</v>
      </c>
      <c r="EA14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3" s="727" t="str">
        <f>VLOOKUP(WWWW[[#This Row],[Site Name]],SiteDB6[[Site Name]:[CCCM Management]],6,FALSE)</f>
        <v>Yes</v>
      </c>
      <c r="EF143" s="727" t="str">
        <f>VLOOKUP(WWWW[[#This Row],[Site Name]],SiteDB6[[Site Name]:[CCCM Focal Agency]],7,FALSE)</f>
        <v>KMSS-MYT</v>
      </c>
      <c r="EG143" s="727" t="str">
        <f>VLOOKUP(WWWW[[#This Row],[Site Name]],SiteDB6[[Site Name]:[Location Type 1]],9,FALSE)</f>
        <v>Camp</v>
      </c>
      <c r="EH143" s="727" t="str">
        <f>VLOOKUP(WWWW[[#This Row],[Site Name]],SiteDB6[[Site Name]:[Type of Accommodation]],10,FALSE)</f>
        <v>Camp</v>
      </c>
      <c r="EI143" s="727" t="str">
        <f>VLOOKUP(WWWW[[#This Row],[Site Name]],SiteDB6[[Site Name]:[Ethnic or GCA/NGCA]],11,FALSE)</f>
        <v>GCA</v>
      </c>
      <c r="EJ143" s="727">
        <f>VLOOKUP(WWWW[[#This Row],[Site Name]],SiteDB6[[Site Name]:[Lat]],12,FALSE)</f>
        <v>26.350176000000001</v>
      </c>
      <c r="EK143" s="727">
        <f>VLOOKUP(WWWW[[#This Row],[Site Name]],SiteDB6[[Site Name]:[Long]],13,FALSE)</f>
        <v>96.711387999999999</v>
      </c>
      <c r="EL143" s="727" t="str">
        <f>VLOOKUP(WWWW[[#This Row],[Site Name]],SiteDB6[[Site Name]:[Pcode]],3,FALSE)</f>
        <v>MMR001CMP251</v>
      </c>
      <c r="EM143" s="732" t="str">
        <f t="shared" si="2"/>
        <v>Covered</v>
      </c>
      <c r="EN143" s="732"/>
      <c r="EO143" s="727">
        <f>VLOOKUP(WWWW[[#This Row],[Site Name]],SiteDB6[[Site Name]:[Pop
(Kachin/Shan-CCCM as of July 2021)]],16,FALSE)</f>
        <v>133</v>
      </c>
      <c r="EP143" s="727">
        <f>VLOOKUP(WWWW[[#This Row],[Site Name]],SiteDB6[[Site Name]:[Pop
(Kachin/Shan-CCCM as of July 2021)]],17,FALSE)</f>
        <v>622</v>
      </c>
    </row>
    <row r="144" spans="1:146" hidden="1">
      <c r="A144" s="725" t="s">
        <v>2763</v>
      </c>
      <c r="B144" s="725" t="s">
        <v>36</v>
      </c>
      <c r="C144" s="726" t="s">
        <v>36</v>
      </c>
      <c r="D144" s="726" t="s">
        <v>241</v>
      </c>
      <c r="E144" s="726" t="s">
        <v>37</v>
      </c>
      <c r="F144" s="726" t="s">
        <v>157</v>
      </c>
      <c r="G144" s="591" t="str">
        <f>VLOOKUP(WWWW[[#This Row],[Site Name]],SiteDB6[[Site Name]:[Location Type]],8,FALSE)</f>
        <v>Camp</v>
      </c>
      <c r="H144" s="726" t="s">
        <v>239</v>
      </c>
      <c r="I144" s="728">
        <v>11</v>
      </c>
      <c r="J144" s="728">
        <v>68</v>
      </c>
      <c r="K144" s="798">
        <v>44414</v>
      </c>
      <c r="L144" s="799">
        <v>44778</v>
      </c>
      <c r="M144" s="728"/>
      <c r="N144" s="728"/>
      <c r="O144" s="728"/>
      <c r="P144" s="728"/>
      <c r="Q144" s="731" t="s">
        <v>41</v>
      </c>
      <c r="R144" s="728"/>
      <c r="S144" s="728">
        <v>8</v>
      </c>
      <c r="T144" s="448">
        <v>1</v>
      </c>
      <c r="U144" s="728"/>
      <c r="V144" s="728"/>
      <c r="W144" s="728"/>
      <c r="X144" s="728"/>
      <c r="Y144" s="728"/>
      <c r="Z144" s="728"/>
      <c r="AA144" s="728"/>
      <c r="AB144" s="728"/>
      <c r="AC144" s="728"/>
      <c r="AD144" s="728"/>
      <c r="AE144" s="728"/>
      <c r="AF144" s="728"/>
      <c r="AG144" s="728"/>
      <c r="AH144" s="728"/>
      <c r="AI144" s="728"/>
      <c r="AJ144" s="728"/>
      <c r="AK144" s="728"/>
      <c r="AL144" s="728"/>
      <c r="AM144" s="728">
        <v>4</v>
      </c>
      <c r="AN144" s="728"/>
      <c r="AO144" s="728"/>
      <c r="AP144" s="732"/>
      <c r="AQ144" s="728">
        <v>7</v>
      </c>
      <c r="AR144" s="728"/>
      <c r="AS144" s="733"/>
      <c r="AT144" s="728"/>
      <c r="AU144" s="728"/>
      <c r="AV144" s="728"/>
      <c r="AW144" s="728"/>
      <c r="AX144" s="728"/>
      <c r="AY144" s="727" t="s">
        <v>41</v>
      </c>
      <c r="AZ144" s="732" t="s">
        <v>137</v>
      </c>
      <c r="BA144" s="728">
        <v>1</v>
      </c>
      <c r="BB144" s="728"/>
      <c r="BC144" s="728"/>
      <c r="BD144" s="448"/>
      <c r="BE144" s="448"/>
      <c r="BF144" s="727"/>
      <c r="BG144" s="728">
        <v>7</v>
      </c>
      <c r="BH144" s="728"/>
      <c r="BI144" s="728"/>
      <c r="BJ144" s="728">
        <v>7</v>
      </c>
      <c r="BK144" s="728"/>
      <c r="BL144" s="728"/>
      <c r="BM144" s="728">
        <v>1</v>
      </c>
      <c r="BN144" s="728">
        <v>104</v>
      </c>
      <c r="BO144" s="728">
        <v>148</v>
      </c>
      <c r="BP144" s="727"/>
      <c r="BQ144" s="734"/>
      <c r="BR144" s="733"/>
      <c r="BS144" s="727"/>
      <c r="BT144" s="423"/>
      <c r="BU144" s="423"/>
      <c r="BV144" s="425"/>
      <c r="BW144" s="423"/>
      <c r="BX144" s="448"/>
      <c r="BY144" s="448"/>
      <c r="BZ144" s="448"/>
      <c r="CA144" s="448"/>
      <c r="CB144" s="448"/>
      <c r="CC144" s="777"/>
      <c r="CD144" s="448"/>
      <c r="CE144" s="735" t="str">
        <f>IFERROR(WWWW[[#This Row],['#_Water sources passed]]/WWWW[[#This Row],['#_Water sources tested for fecal coliform ]],"no test")</f>
        <v>no test</v>
      </c>
      <c r="CF144" s="733" t="str">
        <f>IFERROR(WWWW[[#This Row],['#_Household passed]]/WWWW[[#This Row],['#_Household water samples tested for fecal coliform]],"no test")</f>
        <v>no test</v>
      </c>
      <c r="CG144" s="734" t="str">
        <f>IF(AND(WWWW[[#This Row],[% of water sources passed]]="no test",WWWW[[#This Row],[% Household passed]]="no test"),"No Test","Tested")</f>
        <v>No Test</v>
      </c>
      <c r="CH144" s="734">
        <f>WWWW[[#This Row],['#_Constructed/existing protected hand dug well]]-WWWW[[#This Row],['#_Non-functional protected hand dug well]]</f>
        <v>1</v>
      </c>
      <c r="CI144" s="734">
        <f>(WWWW[[#This Row],['#_Constructed/Existing tube wells/boreholes/handpumps_WASH_agency]]+WWWW[[#This Row],['#_Non-Cluster partner water tube-wells/boreholes/handpumps]])-WWWW[[#This Row],['#_Non-functional tube wells/boreholes/handpumps]]</f>
        <v>0</v>
      </c>
      <c r="CJ144" s="734">
        <f>WWWW[[#This Row],['#_Constructed/Existingwater storage tank with gravity fed reticulation system]]-WWWW[[#This Row],['#_Non-functional storage tank gravity fed reticulation system]]</f>
        <v>0</v>
      </c>
      <c r="CK144" s="734">
        <f>(WWWW[[#This Row],['#_Water_Liters_supplied_by_Water boating or water trucking]]/90)/15</f>
        <v>0</v>
      </c>
      <c r="CL144" s="734">
        <f>WWWW[[#This Row],['#_Water_Liters_from_Constructed/Existing water distribution system from river or natural spring]]/90/15</f>
        <v>0</v>
      </c>
      <c r="CM144" s="424">
        <f>IF(WWWW[[#This Row],['#_of water points in TLS/CFS]]*500&gt;WWWW[[#This Row],[Total PoP ]],WWWW[[#This Row],[Total PoP ]],WWWW[[#This Row],['#_of water points in TLS/CFS]]*500)</f>
        <v>0</v>
      </c>
      <c r="CN144" s="424">
        <f>IF(WWWW[[#This Row],['#_of water points in THF]]*500&gt;WWWW[[#This Row],[Total PoP ]],WWWW[[#This Row],[Total PoP ]],WWWW[[#This Row],['#_of water points in THF]]*500)</f>
        <v>0</v>
      </c>
      <c r="CO14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4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44" s="733">
        <f>IF(WWWW[[#This Row],[Location Type 1]]="Village",WWWW[[#This Row],[Access to safe drinking water for Village]],WWWW[[#This Row],[Access to safe drinking water for Camp]])</f>
        <v>1</v>
      </c>
      <c r="CR144" s="731">
        <f>WWWW[[#This Row],[%Equitable and continuous access to sufficient quantity of safe drinking water]]*WWWW[[#This Row],[Total PoP ]]</f>
        <v>68</v>
      </c>
      <c r="CS144" s="733">
        <f>IF((WWWW[[#This Row],['#_Constructed/Existing protected/fenced ponds]]*250)/WWWW[[#This Row],[Total PoP ]]&gt;1,1,(WWWW[[#This Row],['#_Constructed/Existing protected/fenced ponds]]*250)/WWWW[[#This Row],[Total PoP ]])</f>
        <v>0</v>
      </c>
      <c r="CT144" s="731">
        <f>WWWW[[#This Row],[% Access to unimproved water points]]*WWWW[[#This Row],[Total PoP ]]</f>
        <v>0</v>
      </c>
      <c r="CU14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4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v>
      </c>
      <c r="CW144" s="731">
        <f>WWWW[[#This Row],[HRP1]]/500</f>
        <v>0.13600000000000001</v>
      </c>
      <c r="CX144" s="736">
        <f>1-WWWW[[#This Row],[% Equitable and continuous access to sufficient quantity of domestic water]]</f>
        <v>0</v>
      </c>
      <c r="CY144" s="731">
        <f>WWWW[[#This Row],[%equitable and continuous access to sufficient quantity of safe drinking and domestic water''s GAP]]*WWWW[[#This Row],[Total PoP ]]</f>
        <v>0</v>
      </c>
      <c r="CZ144" s="734">
        <f>IF(WWWW[[#This Row],[Total required water points]]-WWWW[[#This Row],['#Water points coverage]]&lt;0,0,WWWW[[#This Row],[Total required water points]]-WWWW[[#This Row],['#Water points coverage]])</f>
        <v>0.86399999999999999</v>
      </c>
      <c r="DA144" s="734">
        <f>ROUND(IF(WWWW[[#This Row],[Total PoP ]]&lt;500,1,WWWW[[#This Row],[Total PoP ]]/500),0)</f>
        <v>1</v>
      </c>
      <c r="DB144" s="734">
        <f>(WWWW[[#This Row],['#_Constructed latrines_by_WASHAgencies]]+WWWW[[#This Row],['#_Non Cluster partner latrines]])-WWWW[[#This Row],['#_Non-functional latrines]]</f>
        <v>7</v>
      </c>
      <c r="DC144" s="631">
        <f>WWWW[[#This Row],[HRP2]]/WWWW[[#This Row],[Total PoP ]]</f>
        <v>1</v>
      </c>
      <c r="DD14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v>
      </c>
      <c r="DE14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4" s="424">
        <f>IF(WWWW[[#This Row],['# of functional latrines in THF supported by WASH partners during the reporting period2]]="",0,WWWW[[#This Row],['# of functional latrines in THF supported by WASH partners during the reporting period2]]*50)</f>
        <v>0</v>
      </c>
      <c r="DH144" s="734">
        <f>ROUND(IF(WWWW[[#This Row],[Location Type 1]]="camp",WWWW[[#This Row],[Total PoP ]]/20,IF(WWWW[[#This Row],[Location Type 1]]="Temporary Location",WWWW[[#This Row],[Total PoP ]]/50,(WWWW[[#This Row],[Total PoP ]]/6))),0)</f>
        <v>3</v>
      </c>
      <c r="DI144" s="734">
        <f>IF(WWWW[[#This Row],[Total required Latrines]]-(WWWW[[#This Row],['#_Constructed latrines_by_WASHAgencies]]+WWWW[[#This Row],['#_Non Cluster partner latrines]])&lt;0,0,WWWW[[#This Row],[Total required Latrines]]-(WWWW[[#This Row],['#_Constructed latrines_by_WASHAgencies]]+WWWW[[#This Row],['#_Non Cluster partner latrines]]))</f>
        <v>0</v>
      </c>
      <c r="DJ144" s="736">
        <f>1-WWWW[[#This Row],[% people access to functioning Latrine]]</f>
        <v>0</v>
      </c>
      <c r="DK144" s="735">
        <f>IF(OR(WWWW[[#This Row],['#_Non-functional latrines]]="",WWWW[[#This Row],['#_Non-functional latrines]]=0),0,WWWW[[#This Row],['#_Non-functional latrines]]/(WWWW[[#This Row],['#_Constructed latrines_by_WASHAgencies]]+WWWW[[#This Row],['#_Non Cluster partner latrines]]))</f>
        <v>0</v>
      </c>
      <c r="DL144" s="731">
        <f>IF(500*(WWWW[[#This Row],['#_male hygiene promoters]]+WWWW[[#This Row],['#_female hygiene promoters]])&gt;WWWW[[#This Row],[Total PoP ]],WWWW[[#This Row],[Total PoP ]],500*(WWWW[[#This Row],['#_male hygiene promoters]]+WWWW[[#This Row],['#_female hygiene promoters]]))</f>
        <v>68</v>
      </c>
      <c r="DM14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68</v>
      </c>
      <c r="DN14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68</v>
      </c>
      <c r="DO144" s="734">
        <f>IF(WWWW[[#This Row],['# People with access to soap]]&gt;WWWW[[#This Row],['# People with access to Sanity Pads]],WWWW[[#This Row],['# People with access to soap]],WWWW[[#This Row],['# People with access to Sanity Pads]])</f>
        <v>68</v>
      </c>
      <c r="DP144" s="734">
        <f>IF(WWWW[[#This Row],['# people reached by regular dedicated hygiene promotion_5]]&gt;WWWW[[#This Row],['# People received regular supply of hygiene items_6]],WWWW[[#This Row],['# people reached by regular dedicated hygiene promotion_5]],WWWW[[#This Row],['# People received regular supply of hygiene items_6]])</f>
        <v>68</v>
      </c>
      <c r="DQ144" s="736">
        <f>IF(WWWW[[#This Row],[HRP3]]/WWWW[[#This Row],[Total PoP ]]&gt;1,1,WWWW[[#This Row],[HRP3]]/WWWW[[#This Row],[Total PoP ]])</f>
        <v>1</v>
      </c>
      <c r="DR144" s="735">
        <f>1-WWWW[[#This Row],[Hygiene Coverage%]]</f>
        <v>0</v>
      </c>
      <c r="DS144" s="733">
        <f>WWWW[[#This Row],['# people reached by regular dedicated hygiene promotion_5]]/WWWW[[#This Row],[Total PoP ]]</f>
        <v>1</v>
      </c>
      <c r="DT14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4" s="734">
        <f>WWWW[[#This Row],['#_Constructed/Existing hand washing stations]]-WWWW[[#This Row],['#_Non-Functional_hand_washing_stations]]</f>
        <v>7</v>
      </c>
      <c r="DW144" s="731">
        <f>IF(WWWW[[#This Row],['# Functional hand washing stations during reporting period]]*20&gt;WWWW[[#This Row],[Total HH]],WWWW[[#This Row],[Total HH]],WWWW[[#This Row],['# Functional hand washing stations during reporting period]]*20)</f>
        <v>11</v>
      </c>
      <c r="DX144" s="731">
        <f>IF(WWWW[[#This Row],[Is sufficient soap available for TLS? (Yes/No)]]="yes",WWWW[[#This Row],['#_Constructed/Existing hand washing stations at TLS/CFS/THF]],0)</f>
        <v>0</v>
      </c>
      <c r="DY144" s="428">
        <f>IF(WWWW[[#This Row],['# Functional hand washing stations during reporting period]]*100&gt;WWWW[[#This Row],[Total PoP ]],WWWW[[#This Row],[Total PoP ]],WWWW[[#This Row],['# Functional hand washing stations during reporting period]]*100)</f>
        <v>68</v>
      </c>
      <c r="DZ144" s="428" t="str">
        <f>IF(OR(WWWW[[#This Row],['#_students at TLS_CFS]]="",WWWW[[#This Row],['#_students at TLS_CFS]]=0),"No","Yes")</f>
        <v>No</v>
      </c>
      <c r="EA14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4" s="727" t="str">
        <f>VLOOKUP(WWWW[[#This Row],[Site Name]],SiteDB6[[Site Name]:[CCCM Management]],6,FALSE)</f>
        <v>Yes</v>
      </c>
      <c r="EF144" s="727" t="str">
        <f>VLOOKUP(WWWW[[#This Row],[Site Name]],SiteDB6[[Site Name]:[CCCM Focal Agency]],7,FALSE)</f>
        <v>KMSS-MYT</v>
      </c>
      <c r="EG144" s="727" t="str">
        <f>VLOOKUP(WWWW[[#This Row],[Site Name]],SiteDB6[[Site Name]:[Location Type 1]],9,FALSE)</f>
        <v>Camp</v>
      </c>
      <c r="EH144" s="727" t="str">
        <f>VLOOKUP(WWWW[[#This Row],[Site Name]],SiteDB6[[Site Name]:[Type of Accommodation]],10,FALSE)</f>
        <v>Closed Camp</v>
      </c>
      <c r="EI144" s="727" t="str">
        <f>VLOOKUP(WWWW[[#This Row],[Site Name]],SiteDB6[[Site Name]:[Ethnic or GCA/NGCA]],11,FALSE)</f>
        <v>GCA</v>
      </c>
      <c r="EJ144" s="727">
        <f>VLOOKUP(WWWW[[#This Row],[Site Name]],SiteDB6[[Site Name]:[Lat]],12,FALSE)</f>
        <v>24.764800000000001</v>
      </c>
      <c r="EK144" s="727">
        <f>VLOOKUP(WWWW[[#This Row],[Site Name]],SiteDB6[[Site Name]:[Long]],13,FALSE)</f>
        <v>96.367059999999995</v>
      </c>
      <c r="EL144" s="727" t="str">
        <f>VLOOKUP(WWWW[[#This Row],[Site Name]],SiteDB6[[Site Name]:[Pcode]],3,FALSE)</f>
        <v>MMR001CMP080</v>
      </c>
      <c r="EM144" s="732" t="str">
        <f t="shared" si="2"/>
        <v>Covered</v>
      </c>
      <c r="EN144" s="732"/>
      <c r="EO144" s="727">
        <f>VLOOKUP(WWWW[[#This Row],[Site Name]],SiteDB6[[Site Name]:[Pop
(Kachin/Shan-CCCM as of July 2021)]],16,FALSE)</f>
        <v>11</v>
      </c>
      <c r="EP144" s="727">
        <f>VLOOKUP(WWWW[[#This Row],[Site Name]],SiteDB6[[Site Name]:[Pop
(Kachin/Shan-CCCM as of July 2021)]],17,FALSE)</f>
        <v>68</v>
      </c>
    </row>
    <row r="145" spans="1:146" hidden="1">
      <c r="A145" s="725" t="s">
        <v>2763</v>
      </c>
      <c r="B145" s="725" t="s">
        <v>309</v>
      </c>
      <c r="C145" s="726" t="s">
        <v>309</v>
      </c>
      <c r="D145" s="726"/>
      <c r="E145" s="726" t="s">
        <v>37</v>
      </c>
      <c r="F145" s="726" t="s">
        <v>148</v>
      </c>
      <c r="G145" s="591" t="str">
        <f>VLOOKUP(WWWW[[#This Row],[Site Name]],SiteDB6[[Site Name]:[Location Type]],8,FALSE)</f>
        <v>Camp</v>
      </c>
      <c r="H145" s="726" t="s">
        <v>3021</v>
      </c>
      <c r="I145" s="728">
        <v>95</v>
      </c>
      <c r="J145" s="728">
        <v>472</v>
      </c>
      <c r="K145" s="729"/>
      <c r="L145" s="730"/>
      <c r="M145" s="728"/>
      <c r="N145" s="728"/>
      <c r="O145" s="728"/>
      <c r="P145" s="728"/>
      <c r="Q145" s="731"/>
      <c r="R145" s="728"/>
      <c r="S145" s="728"/>
      <c r="T145" s="448"/>
      <c r="U145" s="728"/>
      <c r="V145" s="728"/>
      <c r="W145" s="728"/>
      <c r="X145" s="728"/>
      <c r="Y145" s="728"/>
      <c r="Z145" s="728"/>
      <c r="AA145" s="728"/>
      <c r="AB145" s="728"/>
      <c r="AC145" s="728"/>
      <c r="AD145" s="728"/>
      <c r="AE145" s="728"/>
      <c r="AF145" s="728"/>
      <c r="AG145" s="728"/>
      <c r="AH145" s="728"/>
      <c r="AI145" s="728"/>
      <c r="AJ145" s="728"/>
      <c r="AK145" s="728"/>
      <c r="AL145" s="728"/>
      <c r="AM145" s="728"/>
      <c r="AN145" s="728"/>
      <c r="AO145" s="728"/>
      <c r="AP145" s="732"/>
      <c r="AQ145" s="728"/>
      <c r="AR145" s="728"/>
      <c r="AS145" s="733"/>
      <c r="AT145" s="728"/>
      <c r="AU145" s="728"/>
      <c r="AV145" s="728"/>
      <c r="AW145" s="728"/>
      <c r="AX145" s="728"/>
      <c r="AY145" s="425" t="s">
        <v>140</v>
      </c>
      <c r="AZ145" s="860" t="s">
        <v>140</v>
      </c>
      <c r="BA145" s="728"/>
      <c r="BB145" s="728"/>
      <c r="BC145" s="728"/>
      <c r="BD145" s="448"/>
      <c r="BE145" s="448"/>
      <c r="BF145" s="727"/>
      <c r="BG145" s="728">
        <v>8</v>
      </c>
      <c r="BH145" s="728"/>
      <c r="BI145" s="728"/>
      <c r="BJ145" s="728">
        <v>3</v>
      </c>
      <c r="BK145" s="728"/>
      <c r="BL145" s="728"/>
      <c r="BM145" s="728"/>
      <c r="BN145" s="728">
        <v>91</v>
      </c>
      <c r="BO145" s="728">
        <v>124</v>
      </c>
      <c r="BP145" s="727"/>
      <c r="BQ145" s="734"/>
      <c r="BR145" s="733"/>
      <c r="BS145" s="727"/>
      <c r="BT145" s="423"/>
      <c r="BU145" s="423"/>
      <c r="BV145" s="425"/>
      <c r="BW145" s="423"/>
      <c r="BX145" s="448"/>
      <c r="BY145" s="448"/>
      <c r="BZ145" s="448"/>
      <c r="CA145" s="448"/>
      <c r="CB145" s="448"/>
      <c r="CC145" s="777"/>
      <c r="CD145" s="448"/>
      <c r="CE145" s="735" t="str">
        <f>IFERROR(WWWW[[#This Row],['#_Water sources passed]]/WWWW[[#This Row],['#_Water sources tested for fecal coliform ]],"no test")</f>
        <v>no test</v>
      </c>
      <c r="CF145" s="733" t="str">
        <f>IFERROR(WWWW[[#This Row],['#_Household passed]]/WWWW[[#This Row],['#_Household water samples tested for fecal coliform]],"no test")</f>
        <v>no test</v>
      </c>
      <c r="CG145" s="734" t="str">
        <f>IF(AND(WWWW[[#This Row],[% of water sources passed]]="no test",WWWW[[#This Row],[% Household passed]]="no test"),"No Test","Tested")</f>
        <v>No Test</v>
      </c>
      <c r="CH145" s="734">
        <f>WWWW[[#This Row],['#_Constructed/existing protected hand dug well]]-WWWW[[#This Row],['#_Non-functional protected hand dug well]]</f>
        <v>0</v>
      </c>
      <c r="CI145" s="734">
        <f>(WWWW[[#This Row],['#_Constructed/Existing tube wells/boreholes/handpumps_WASH_agency]]+WWWW[[#This Row],['#_Non-Cluster partner water tube-wells/boreholes/handpumps]])-WWWW[[#This Row],['#_Non-functional tube wells/boreholes/handpumps]]</f>
        <v>0</v>
      </c>
      <c r="CJ145" s="734">
        <f>WWWW[[#This Row],['#_Constructed/Existingwater storage tank with gravity fed reticulation system]]-WWWW[[#This Row],['#_Non-functional storage tank gravity fed reticulation system]]</f>
        <v>0</v>
      </c>
      <c r="CK145" s="734">
        <f>(WWWW[[#This Row],['#_Water_Liters_supplied_by_Water boating or water trucking]]/90)/15</f>
        <v>0</v>
      </c>
      <c r="CL145" s="734">
        <f>WWWW[[#This Row],['#_Water_Liters_from_Constructed/Existing water distribution system from river or natural spring]]/90/15</f>
        <v>0</v>
      </c>
      <c r="CM145" s="424">
        <f>IF(WWWW[[#This Row],['#_of water points in TLS/CFS]]*500&gt;WWWW[[#This Row],[Total PoP ]],WWWW[[#This Row],[Total PoP ]],WWWW[[#This Row],['#_of water points in TLS/CFS]]*500)</f>
        <v>0</v>
      </c>
      <c r="CN145" s="424">
        <f>IF(WWWW[[#This Row],['#_of water points in THF]]*500&gt;WWWW[[#This Row],[Total PoP ]],WWWW[[#This Row],[Total PoP ]],WWWW[[#This Row],['#_of water points in THF]]*500)</f>
        <v>0</v>
      </c>
      <c r="CO14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5" s="733">
        <f>IF(WWWW[[#This Row],[Location Type 1]]="Village",WWWW[[#This Row],[Access to safe drinking water for Village]],WWWW[[#This Row],[Access to safe drinking water for Camp]])</f>
        <v>0</v>
      </c>
      <c r="CR145" s="731">
        <f>WWWW[[#This Row],[%Equitable and continuous access to sufficient quantity of safe drinking water]]*WWWW[[#This Row],[Total PoP ]]</f>
        <v>0</v>
      </c>
      <c r="CS145" s="733">
        <f>IF((WWWW[[#This Row],['#_Constructed/Existing protected/fenced ponds]]*250)/WWWW[[#This Row],[Total PoP ]]&gt;1,1,(WWWW[[#This Row],['#_Constructed/Existing protected/fenced ponds]]*250)/WWWW[[#This Row],[Total PoP ]])</f>
        <v>0</v>
      </c>
      <c r="CT145" s="731">
        <f>WWWW[[#This Row],[% Access to unimproved water points]]*WWWW[[#This Row],[Total PoP ]]</f>
        <v>0</v>
      </c>
      <c r="CU14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5" s="731">
        <f>WWWW[[#This Row],[HRP1]]/500</f>
        <v>0</v>
      </c>
      <c r="CX145" s="736">
        <f>1-WWWW[[#This Row],[% Equitable and continuous access to sufficient quantity of domestic water]]</f>
        <v>1</v>
      </c>
      <c r="CY145" s="731">
        <f>WWWW[[#This Row],[%equitable and continuous access to sufficient quantity of safe drinking and domestic water''s GAP]]*WWWW[[#This Row],[Total PoP ]]</f>
        <v>472</v>
      </c>
      <c r="CZ145" s="734">
        <f>IF(WWWW[[#This Row],[Total required water points]]-WWWW[[#This Row],['#Water points coverage]]&lt;0,0,WWWW[[#This Row],[Total required water points]]-WWWW[[#This Row],['#Water points coverage]])</f>
        <v>1</v>
      </c>
      <c r="DA145" s="734">
        <f>ROUND(IF(WWWW[[#This Row],[Total PoP ]]&lt;500,1,WWWW[[#This Row],[Total PoP ]]/500),0)</f>
        <v>1</v>
      </c>
      <c r="DB145" s="734">
        <f>(WWWW[[#This Row],['#_Constructed latrines_by_WASHAgencies]]+WWWW[[#This Row],['#_Non Cluster partner latrines]])-WWWW[[#This Row],['#_Non-functional latrines]]</f>
        <v>0</v>
      </c>
      <c r="DC145" s="631">
        <f>WWWW[[#This Row],[HRP2]]/WWWW[[#This Row],[Total PoP ]]</f>
        <v>0</v>
      </c>
      <c r="DD14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5" s="424">
        <f>IF(WWWW[[#This Row],['# of functional latrines in THF supported by WASH partners during the reporting period2]]="",0,WWWW[[#This Row],['# of functional latrines in THF supported by WASH partners during the reporting period2]]*50)</f>
        <v>0</v>
      </c>
      <c r="DH145" s="734">
        <f>ROUND(IF(WWWW[[#This Row],[Location Type 1]]="camp",WWWW[[#This Row],[Total PoP ]]/20,IF(WWWW[[#This Row],[Location Type 1]]="Temporary Location",WWWW[[#This Row],[Total PoP ]]/50,(WWWW[[#This Row],[Total PoP ]]/6))),0)</f>
        <v>24</v>
      </c>
      <c r="DI145" s="734">
        <f>IF(WWWW[[#This Row],[Total required Latrines]]-(WWWW[[#This Row],['#_Constructed latrines_by_WASHAgencies]]+WWWW[[#This Row],['#_Non Cluster partner latrines]])&lt;0,0,WWWW[[#This Row],[Total required Latrines]]-(WWWW[[#This Row],['#_Constructed latrines_by_WASHAgencies]]+WWWW[[#This Row],['#_Non Cluster partner latrines]]))</f>
        <v>24</v>
      </c>
      <c r="DJ145" s="736">
        <f>1-WWWW[[#This Row],[% people access to functioning Latrine]]</f>
        <v>1</v>
      </c>
      <c r="DK145" s="735">
        <f>IF(OR(WWWW[[#This Row],['#_Non-functional latrines]]="",WWWW[[#This Row],['#_Non-functional latrines]]=0),0,WWWW[[#This Row],['#_Non-functional latrines]]/(WWWW[[#This Row],['#_Constructed latrines_by_WASHAgencies]]+WWWW[[#This Row],['#_Non Cluster partner latrines]]))</f>
        <v>0</v>
      </c>
      <c r="DL145" s="731">
        <f>IF(500*(WWWW[[#This Row],['#_male hygiene promoters]]+WWWW[[#This Row],['#_female hygiene promoters]])&gt;WWWW[[#This Row],[Total PoP ]],WWWW[[#This Row],[Total PoP ]],500*(WWWW[[#This Row],['#_male hygiene promoters]]+WWWW[[#This Row],['#_female hygiene promoters]]))</f>
        <v>0</v>
      </c>
      <c r="DM14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4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45" s="734">
        <f>IF(WWWW[[#This Row],['# People with access to soap]]&gt;WWWW[[#This Row],['# People with access to Sanity Pads]],WWWW[[#This Row],['# People with access to soap]],WWWW[[#This Row],['# People with access to Sanity Pads]])</f>
        <v>455</v>
      </c>
      <c r="DP145" s="734">
        <f>IF(WWWW[[#This Row],['# people reached by regular dedicated hygiene promotion_5]]&gt;WWWW[[#This Row],['# People received regular supply of hygiene items_6]],WWWW[[#This Row],['# people reached by regular dedicated hygiene promotion_5]],WWWW[[#This Row],['# People received regular supply of hygiene items_6]])</f>
        <v>455</v>
      </c>
      <c r="DQ145" s="736">
        <f>IF(WWWW[[#This Row],[HRP3]]/WWWW[[#This Row],[Total PoP ]]&gt;1,1,WWWW[[#This Row],[HRP3]]/WWWW[[#This Row],[Total PoP ]])</f>
        <v>0.96398305084745761</v>
      </c>
      <c r="DR145" s="735">
        <f>1-WWWW[[#This Row],[Hygiene Coverage%]]</f>
        <v>3.6016949152542388E-2</v>
      </c>
      <c r="DS145" s="733">
        <f>WWWW[[#This Row],['# people reached by regular dedicated hygiene promotion_5]]/WWWW[[#This Row],[Total PoP ]]</f>
        <v>0</v>
      </c>
      <c r="DT14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5" s="734">
        <f>WWWW[[#This Row],['#_Constructed/Existing hand washing stations]]-WWWW[[#This Row],['#_Non-Functional_hand_washing_stations]]</f>
        <v>8</v>
      </c>
      <c r="DW145" s="731">
        <f>IF(WWWW[[#This Row],['# Functional hand washing stations during reporting period]]*20&gt;WWWW[[#This Row],[Total HH]],WWWW[[#This Row],[Total HH]],WWWW[[#This Row],['# Functional hand washing stations during reporting period]]*20)</f>
        <v>95</v>
      </c>
      <c r="DX145" s="731">
        <f>IF(WWWW[[#This Row],[Is sufficient soap available for TLS? (Yes/No)]]="yes",WWWW[[#This Row],['#_Constructed/Existing hand washing stations at TLS/CFS/THF]],0)</f>
        <v>0</v>
      </c>
      <c r="DY145" s="428">
        <f>IF(WWWW[[#This Row],['# Functional hand washing stations during reporting period]]*100&gt;WWWW[[#This Row],[Total PoP ]],WWWW[[#This Row],[Total PoP ]],WWWW[[#This Row],['# Functional hand washing stations during reporting period]]*100)</f>
        <v>472</v>
      </c>
      <c r="DZ145" s="428" t="str">
        <f>IF(OR(WWWW[[#This Row],['#_students at TLS_CFS]]="",WWWW[[#This Row],['#_students at TLS_CFS]]=0),"No","Yes")</f>
        <v>No</v>
      </c>
      <c r="EA14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5" s="727" t="str">
        <f>VLOOKUP(WWWW[[#This Row],[Site Name]],SiteDB6[[Site Name]:[CCCM Management]],6,FALSE)</f>
        <v>Yes</v>
      </c>
      <c r="EF145" s="727" t="str">
        <f>VLOOKUP(WWWW[[#This Row],[Site Name]],SiteDB6[[Site Name]:[CCCM Focal Agency]],7,FALSE)</f>
        <v>KMSS-MYT</v>
      </c>
      <c r="EG145" s="727" t="str">
        <f>VLOOKUP(WWWW[[#This Row],[Site Name]],SiteDB6[[Site Name]:[Location Type 1]],9,FALSE)</f>
        <v>Camp</v>
      </c>
      <c r="EH145" s="727" t="str">
        <f>VLOOKUP(WWWW[[#This Row],[Site Name]],SiteDB6[[Site Name]:[Type of Accommodation]],10,FALSE)</f>
        <v>Camp</v>
      </c>
      <c r="EI145" s="727" t="str">
        <f>VLOOKUP(WWWW[[#This Row],[Site Name]],SiteDB6[[Site Name]:[Ethnic or GCA/NGCA]],11,FALSE)</f>
        <v>GCA</v>
      </c>
      <c r="EJ145" s="727">
        <f>VLOOKUP(WWWW[[#This Row],[Site Name]],SiteDB6[[Site Name]:[Lat]],12,FALSE)</f>
        <v>25.656009999999998</v>
      </c>
      <c r="EK145" s="727">
        <f>VLOOKUP(WWWW[[#This Row],[Site Name]],SiteDB6[[Site Name]:[Long]],13,FALSE)</f>
        <v>96.361609999999999</v>
      </c>
      <c r="EL145" s="727" t="str">
        <f>VLOOKUP(WWWW[[#This Row],[Site Name]],SiteDB6[[Site Name]:[Pcode]],3,FALSE)</f>
        <v>MMR001CMP168</v>
      </c>
      <c r="EM145" s="732" t="str">
        <f t="shared" si="2"/>
        <v>Notcovered</v>
      </c>
      <c r="EN145" s="732"/>
      <c r="EO145" s="727">
        <f>VLOOKUP(WWWW[[#This Row],[Site Name]],SiteDB6[[Site Name]:[Pop
(Kachin/Shan-CCCM as of July 2021)]],16,FALSE)</f>
        <v>90</v>
      </c>
      <c r="EP145" s="727">
        <f>VLOOKUP(WWWW[[#This Row],[Site Name]],SiteDB6[[Site Name]:[Pop
(Kachin/Shan-CCCM as of July 2021)]],17,FALSE)</f>
        <v>456</v>
      </c>
    </row>
    <row r="146" spans="1:146" hidden="1">
      <c r="A146" s="725" t="s">
        <v>2763</v>
      </c>
      <c r="B146" s="725" t="s">
        <v>36</v>
      </c>
      <c r="C146" s="726" t="s">
        <v>36</v>
      </c>
      <c r="D146" s="726" t="s">
        <v>241</v>
      </c>
      <c r="E146" s="726" t="s">
        <v>37</v>
      </c>
      <c r="F146" s="726" t="s">
        <v>152</v>
      </c>
      <c r="G146" s="591" t="str">
        <f>VLOOKUP(WWWW[[#This Row],[Site Name]],SiteDB6[[Site Name]:[Location Type]],8,FALSE)</f>
        <v>Camp</v>
      </c>
      <c r="H146" s="726" t="s">
        <v>3028</v>
      </c>
      <c r="I146" s="728">
        <v>48</v>
      </c>
      <c r="J146" s="728">
        <v>267</v>
      </c>
      <c r="K146" s="729">
        <v>44414</v>
      </c>
      <c r="L146" s="730">
        <v>44778</v>
      </c>
      <c r="M146" s="728"/>
      <c r="N146" s="728">
        <v>1</v>
      </c>
      <c r="O146" s="728"/>
      <c r="P146" s="728"/>
      <c r="Q146" s="731" t="s">
        <v>41</v>
      </c>
      <c r="R146" s="728">
        <v>2</v>
      </c>
      <c r="S146" s="728">
        <v>3</v>
      </c>
      <c r="T146" s="448">
        <v>3</v>
      </c>
      <c r="U146" s="728"/>
      <c r="V146" s="728">
        <v>1</v>
      </c>
      <c r="W146" s="728"/>
      <c r="X146" s="728"/>
      <c r="Y146" s="728"/>
      <c r="Z146" s="728"/>
      <c r="AA146" s="728"/>
      <c r="AB146" s="728"/>
      <c r="AC146" s="728"/>
      <c r="AD146" s="728"/>
      <c r="AE146" s="728"/>
      <c r="AF146" s="728"/>
      <c r="AG146" s="728"/>
      <c r="AH146" s="728"/>
      <c r="AI146" s="728">
        <v>3</v>
      </c>
      <c r="AJ146" s="728"/>
      <c r="AK146" s="728"/>
      <c r="AL146" s="728"/>
      <c r="AM146" s="728">
        <v>10</v>
      </c>
      <c r="AN146" s="728"/>
      <c r="AO146" s="728"/>
      <c r="AP146" s="732"/>
      <c r="AQ146" s="728">
        <v>14</v>
      </c>
      <c r="AR146" s="728"/>
      <c r="AS146" s="733"/>
      <c r="AT146" s="728"/>
      <c r="AU146" s="728"/>
      <c r="AV146" s="728"/>
      <c r="AW146" s="728"/>
      <c r="AX146" s="728"/>
      <c r="AY146" s="727" t="s">
        <v>41</v>
      </c>
      <c r="AZ146" s="732" t="s">
        <v>136</v>
      </c>
      <c r="BA146" s="728">
        <v>1</v>
      </c>
      <c r="BB146" s="728"/>
      <c r="BC146" s="728"/>
      <c r="BD146" s="448"/>
      <c r="BE146" s="448"/>
      <c r="BF146" s="727"/>
      <c r="BG146" s="728">
        <v>8</v>
      </c>
      <c r="BH146" s="728"/>
      <c r="BI146" s="728">
        <v>2</v>
      </c>
      <c r="BJ146" s="728">
        <v>3</v>
      </c>
      <c r="BK146" s="728"/>
      <c r="BL146" s="728"/>
      <c r="BM146" s="728">
        <v>1</v>
      </c>
      <c r="BN146" s="728">
        <v>91</v>
      </c>
      <c r="BO146" s="728">
        <v>124</v>
      </c>
      <c r="BP146" s="727"/>
      <c r="BQ146" s="734">
        <v>100</v>
      </c>
      <c r="BR146" s="733">
        <v>0.5</v>
      </c>
      <c r="BS146" s="727" t="s">
        <v>2729</v>
      </c>
      <c r="BT146" s="423"/>
      <c r="BU146" s="423"/>
      <c r="BV146" s="425"/>
      <c r="BW146" s="423"/>
      <c r="BX146" s="448"/>
      <c r="BY146" s="448"/>
      <c r="BZ146" s="448"/>
      <c r="CA146" s="448"/>
      <c r="CB146" s="448"/>
      <c r="CC146" s="777"/>
      <c r="CD146" s="448"/>
      <c r="CE146" s="735">
        <f>IFERROR(WWWW[[#This Row],['#_Water sources passed]]/WWWW[[#This Row],['#_Water sources tested for fecal coliform ]],"no test")</f>
        <v>0</v>
      </c>
      <c r="CF146" s="733" t="str">
        <f>IFERROR(WWWW[[#This Row],['#_Household passed]]/WWWW[[#This Row],['#_Household water samples tested for fecal coliform]],"no test")</f>
        <v>no test</v>
      </c>
      <c r="CG146" s="734" t="str">
        <f>IF(AND(WWWW[[#This Row],[% of water sources passed]]="no test",WWWW[[#This Row],[% Household passed]]="no test"),"No Test","Tested")</f>
        <v>Tested</v>
      </c>
      <c r="CH146" s="734">
        <f>WWWW[[#This Row],['#_Constructed/existing protected hand dug well]]-WWWW[[#This Row],['#_Non-functional protected hand dug well]]</f>
        <v>3</v>
      </c>
      <c r="CI146" s="734">
        <f>(WWWW[[#This Row],['#_Constructed/Existing tube wells/boreholes/handpumps_WASH_agency]]+WWWW[[#This Row],['#_Non-Cluster partner water tube-wells/boreholes/handpumps]])-WWWW[[#This Row],['#_Non-functional tube wells/boreholes/handpumps]]</f>
        <v>0</v>
      </c>
      <c r="CJ146" s="734">
        <f>WWWW[[#This Row],['#_Constructed/Existingwater storage tank with gravity fed reticulation system]]-WWWW[[#This Row],['#_Non-functional storage tank gravity fed reticulation system]]</f>
        <v>0</v>
      </c>
      <c r="CK146" s="734">
        <f>(WWWW[[#This Row],['#_Water_Liters_supplied_by_Water boating or water trucking]]/90)/15</f>
        <v>0</v>
      </c>
      <c r="CL146" s="734">
        <f>WWWW[[#This Row],['#_Water_Liters_from_Constructed/Existing water distribution system from river or natural spring]]/90/15</f>
        <v>0</v>
      </c>
      <c r="CM146" s="424">
        <f>IF(WWWW[[#This Row],['#_of water points in TLS/CFS]]*500&gt;WWWW[[#This Row],[Total PoP ]],WWWW[[#This Row],[Total PoP ]],WWWW[[#This Row],['#_of water points in TLS/CFS]]*500)</f>
        <v>0</v>
      </c>
      <c r="CN146" s="424">
        <f>IF(WWWW[[#This Row],['#_of water points in THF]]*500&gt;WWWW[[#This Row],[Total PoP ]],WWWW[[#This Row],[Total PoP ]],WWWW[[#This Row],['#_of water points in THF]]*500)</f>
        <v>0</v>
      </c>
      <c r="CO14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4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46" s="733">
        <f>IF(WWWW[[#This Row],[Location Type 1]]="Village",WWWW[[#This Row],[Access to safe drinking water for Village]],WWWW[[#This Row],[Access to safe drinking water for Camp]])</f>
        <v>1</v>
      </c>
      <c r="CR146" s="731">
        <f>WWWW[[#This Row],[%Equitable and continuous access to sufficient quantity of safe drinking water]]*WWWW[[#This Row],[Total PoP ]]</f>
        <v>267</v>
      </c>
      <c r="CS146" s="733">
        <f>IF((WWWW[[#This Row],['#_Constructed/Existing protected/fenced ponds]]*250)/WWWW[[#This Row],[Total PoP ]]&gt;1,1,(WWWW[[#This Row],['#_Constructed/Existing protected/fenced ponds]]*250)/WWWW[[#This Row],[Total PoP ]])</f>
        <v>0</v>
      </c>
      <c r="CT146" s="731">
        <f>WWWW[[#This Row],[% Access to unimproved water points]]*WWWW[[#This Row],[Total PoP ]]</f>
        <v>0</v>
      </c>
      <c r="CU14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4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W146" s="731">
        <f>WWWW[[#This Row],[HRP1]]/500</f>
        <v>0.53400000000000003</v>
      </c>
      <c r="CX146" s="736">
        <f>1-WWWW[[#This Row],[% Equitable and continuous access to sufficient quantity of domestic water]]</f>
        <v>0</v>
      </c>
      <c r="CY146" s="731">
        <f>WWWW[[#This Row],[%equitable and continuous access to sufficient quantity of safe drinking and domestic water''s GAP]]*WWWW[[#This Row],[Total PoP ]]</f>
        <v>0</v>
      </c>
      <c r="CZ146" s="734">
        <f>IF(WWWW[[#This Row],[Total required water points]]-WWWW[[#This Row],['#Water points coverage]]&lt;0,0,WWWW[[#This Row],[Total required water points]]-WWWW[[#This Row],['#Water points coverage]])</f>
        <v>0.46599999999999997</v>
      </c>
      <c r="DA146" s="734">
        <f>ROUND(IF(WWWW[[#This Row],[Total PoP ]]&lt;500,1,WWWW[[#This Row],[Total PoP ]]/500),0)</f>
        <v>1</v>
      </c>
      <c r="DB146" s="734">
        <f>(WWWW[[#This Row],['#_Constructed latrines_by_WASHAgencies]]+WWWW[[#This Row],['#_Non Cluster partner latrines]])-WWWW[[#This Row],['#_Non-functional latrines]]</f>
        <v>14</v>
      </c>
      <c r="DC146" s="631">
        <f>WWWW[[#This Row],[HRP2]]/WWWW[[#This Row],[Total PoP ]]</f>
        <v>1</v>
      </c>
      <c r="DD14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267</v>
      </c>
      <c r="DE14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6" s="424">
        <f>IF(WWWW[[#This Row],['# of functional latrines in THF supported by WASH partners during the reporting period2]]="",0,WWWW[[#This Row],['# of functional latrines in THF supported by WASH partners during the reporting period2]]*50)</f>
        <v>0</v>
      </c>
      <c r="DH146" s="734">
        <f>ROUND(IF(WWWW[[#This Row],[Location Type 1]]="camp",WWWW[[#This Row],[Total PoP ]]/20,IF(WWWW[[#This Row],[Location Type 1]]="Temporary Location",WWWW[[#This Row],[Total PoP ]]/50,(WWWW[[#This Row],[Total PoP ]]/6))),0)</f>
        <v>13</v>
      </c>
      <c r="DI146" s="734">
        <f>IF(WWWW[[#This Row],[Total required Latrines]]-(WWWW[[#This Row],['#_Constructed latrines_by_WASHAgencies]]+WWWW[[#This Row],['#_Non Cluster partner latrines]])&lt;0,0,WWWW[[#This Row],[Total required Latrines]]-(WWWW[[#This Row],['#_Constructed latrines_by_WASHAgencies]]+WWWW[[#This Row],['#_Non Cluster partner latrines]]))</f>
        <v>0</v>
      </c>
      <c r="DJ146" s="736">
        <f>1-WWWW[[#This Row],[% people access to functioning Latrine]]</f>
        <v>0</v>
      </c>
      <c r="DK146" s="735">
        <f>IF(OR(WWWW[[#This Row],['#_Non-functional latrines]]="",WWWW[[#This Row],['#_Non-functional latrines]]=0),0,WWWW[[#This Row],['#_Non-functional latrines]]/(WWWW[[#This Row],['#_Constructed latrines_by_WASHAgencies]]+WWWW[[#This Row],['#_Non Cluster partner latrines]]))</f>
        <v>0</v>
      </c>
      <c r="DL146" s="731">
        <f>IF(500*(WWWW[[#This Row],['#_male hygiene promoters]]+WWWW[[#This Row],['#_female hygiene promoters]])&gt;WWWW[[#This Row],[Total PoP ]],WWWW[[#This Row],[Total PoP ]],500*(WWWW[[#This Row],['#_male hygiene promoters]]+WWWW[[#This Row],['#_female hygiene promoters]]))</f>
        <v>267</v>
      </c>
      <c r="DM14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267</v>
      </c>
      <c r="DN14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46" s="734">
        <f>IF(WWWW[[#This Row],['# People with access to soap]]&gt;WWWW[[#This Row],['# People with access to Sanity Pads]],WWWW[[#This Row],['# People with access to soap]],WWWW[[#This Row],['# People with access to Sanity Pads]])</f>
        <v>267</v>
      </c>
      <c r="DP146" s="734">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Q146" s="736">
        <f>IF(WWWW[[#This Row],[HRP3]]/WWWW[[#This Row],[Total PoP ]]&gt;1,1,WWWW[[#This Row],[HRP3]]/WWWW[[#This Row],[Total PoP ]])</f>
        <v>1</v>
      </c>
      <c r="DR146" s="735">
        <f>1-WWWW[[#This Row],[Hygiene Coverage%]]</f>
        <v>0</v>
      </c>
      <c r="DS146" s="733">
        <f>WWWW[[#This Row],['# people reached by regular dedicated hygiene promotion_5]]/WWWW[[#This Row],[Total PoP ]]</f>
        <v>1</v>
      </c>
      <c r="DT14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6" s="734">
        <f>WWWW[[#This Row],['#_Constructed/Existing hand washing stations]]-WWWW[[#This Row],['#_Non-Functional_hand_washing_stations]]</f>
        <v>8</v>
      </c>
      <c r="DW146" s="731">
        <f>IF(WWWW[[#This Row],['# Functional hand washing stations during reporting period]]*20&gt;WWWW[[#This Row],[Total HH]],WWWW[[#This Row],[Total HH]],WWWW[[#This Row],['# Functional hand washing stations during reporting period]]*20)</f>
        <v>48</v>
      </c>
      <c r="DX146" s="731">
        <f>IF(WWWW[[#This Row],[Is sufficient soap available for TLS? (Yes/No)]]="yes",WWWW[[#This Row],['#_Constructed/Existing hand washing stations at TLS/CFS/THF]],0)</f>
        <v>0</v>
      </c>
      <c r="DY146" s="428">
        <f>IF(WWWW[[#This Row],['# Functional hand washing stations during reporting period]]*100&gt;WWWW[[#This Row],[Total PoP ]],WWWW[[#This Row],[Total PoP ]],WWWW[[#This Row],['# Functional hand washing stations during reporting period]]*100)</f>
        <v>267</v>
      </c>
      <c r="DZ146" s="428" t="str">
        <f>IF(OR(WWWW[[#This Row],['#_students at TLS_CFS]]="",WWWW[[#This Row],['#_students at TLS_CFS]]=0),"No","Yes")</f>
        <v>No</v>
      </c>
      <c r="EA14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6" s="727">
        <f>VLOOKUP(WWWW[[#This Row],[Site Name]],SiteDB6[[Site Name]:[CCCM Management]],6,FALSE)</f>
        <v>0</v>
      </c>
      <c r="EF146" s="727" t="str">
        <f>VLOOKUP(WWWW[[#This Row],[Site Name]],SiteDB6[[Site Name]:[CCCM Focal Agency]],7,FALSE)</f>
        <v>KMSS-MYT</v>
      </c>
      <c r="EG146" s="727" t="str">
        <f>VLOOKUP(WWWW[[#This Row],[Site Name]],SiteDB6[[Site Name]:[Location Type 1]],9,FALSE)</f>
        <v>Camp</v>
      </c>
      <c r="EH146" s="727" t="str">
        <f>VLOOKUP(WWWW[[#This Row],[Site Name]],SiteDB6[[Site Name]:[Type of Accommodation]],10,FALSE)</f>
        <v>Camp</v>
      </c>
      <c r="EI146" s="727" t="str">
        <f>VLOOKUP(WWWW[[#This Row],[Site Name]],SiteDB6[[Site Name]:[Ethnic or GCA/NGCA]],11,FALSE)</f>
        <v>GCA</v>
      </c>
      <c r="EJ146" s="727">
        <f>VLOOKUP(WWWW[[#This Row],[Site Name]],SiteDB6[[Site Name]:[Lat]],12,FALSE)</f>
        <v>25.383058999999999</v>
      </c>
      <c r="EK146" s="727">
        <f>VLOOKUP(WWWW[[#This Row],[Site Name]],SiteDB6[[Site Name]:[Long]],13,FALSE)</f>
        <v>97.014313000000001</v>
      </c>
      <c r="EL146" s="727" t="str">
        <f>VLOOKUP(WWWW[[#This Row],[Site Name]],SiteDB6[[Site Name]:[Pcode]],3,FALSE)</f>
        <v>MMR001CMP259</v>
      </c>
      <c r="EM146" s="732" t="str">
        <f t="shared" si="2"/>
        <v>Covered</v>
      </c>
      <c r="EN146" s="732"/>
      <c r="EO146" s="727">
        <f>VLOOKUP(WWWW[[#This Row],[Site Name]],SiteDB6[[Site Name]:[Pop
(Kachin/Shan-CCCM as of July 2021)]],16,FALSE)</f>
        <v>48</v>
      </c>
      <c r="EP146" s="727">
        <f>VLOOKUP(WWWW[[#This Row],[Site Name]],SiteDB6[[Site Name]:[Pop
(Kachin/Shan-CCCM as of July 2021)]],17,FALSE)</f>
        <v>268</v>
      </c>
    </row>
    <row r="147" spans="1:146" hidden="1">
      <c r="A147" s="725" t="s">
        <v>2763</v>
      </c>
      <c r="B147" s="725" t="s">
        <v>36</v>
      </c>
      <c r="C147" s="726" t="s">
        <v>36</v>
      </c>
      <c r="D147" s="726" t="s">
        <v>241</v>
      </c>
      <c r="E147" s="726" t="s">
        <v>37</v>
      </c>
      <c r="F147" s="726" t="s">
        <v>152</v>
      </c>
      <c r="G147" s="591" t="str">
        <f>VLOOKUP(WWWW[[#This Row],[Site Name]],SiteDB6[[Site Name]:[Location Type]],8,FALSE)</f>
        <v>Camp</v>
      </c>
      <c r="H147" s="726" t="s">
        <v>3029</v>
      </c>
      <c r="I147" s="728">
        <v>83</v>
      </c>
      <c r="J147" s="728">
        <v>412</v>
      </c>
      <c r="K147" s="729">
        <v>44414</v>
      </c>
      <c r="L147" s="730">
        <v>44778</v>
      </c>
      <c r="M147" s="728"/>
      <c r="N147" s="728"/>
      <c r="O147" s="728"/>
      <c r="P147" s="728"/>
      <c r="Q147" s="731" t="s">
        <v>41</v>
      </c>
      <c r="R147" s="728"/>
      <c r="S147" s="728">
        <v>1</v>
      </c>
      <c r="T147" s="448">
        <v>2</v>
      </c>
      <c r="U147" s="728"/>
      <c r="V147" s="728"/>
      <c r="W147" s="728"/>
      <c r="X147" s="728"/>
      <c r="Y147" s="728"/>
      <c r="Z147" s="728"/>
      <c r="AA147" s="728"/>
      <c r="AB147" s="728"/>
      <c r="AC147" s="728"/>
      <c r="AD147" s="728"/>
      <c r="AE147" s="728"/>
      <c r="AF147" s="728"/>
      <c r="AG147" s="728"/>
      <c r="AH147" s="728"/>
      <c r="AI147" s="728"/>
      <c r="AJ147" s="728"/>
      <c r="AK147" s="728"/>
      <c r="AL147" s="728"/>
      <c r="AM147" s="728">
        <v>5</v>
      </c>
      <c r="AN147" s="728"/>
      <c r="AO147" s="728"/>
      <c r="AP147" s="732"/>
      <c r="AQ147" s="728">
        <v>18</v>
      </c>
      <c r="AR147" s="728"/>
      <c r="AS147" s="733"/>
      <c r="AT147" s="728"/>
      <c r="AU147" s="728"/>
      <c r="AV147" s="728"/>
      <c r="AW147" s="728"/>
      <c r="AX147" s="728"/>
      <c r="AY147" s="727" t="s">
        <v>41</v>
      </c>
      <c r="AZ147" s="732" t="s">
        <v>904</v>
      </c>
      <c r="BA147" s="728"/>
      <c r="BB147" s="728"/>
      <c r="BC147" s="728"/>
      <c r="BD147" s="448"/>
      <c r="BE147" s="448"/>
      <c r="BF147" s="727"/>
      <c r="BG147" s="728">
        <v>3</v>
      </c>
      <c r="BH147" s="728"/>
      <c r="BI147" s="728">
        <v>2</v>
      </c>
      <c r="BJ147" s="728">
        <v>2</v>
      </c>
      <c r="BK147" s="728"/>
      <c r="BL147" s="728"/>
      <c r="BM147" s="728"/>
      <c r="BN147" s="728">
        <v>10</v>
      </c>
      <c r="BO147" s="728">
        <v>18</v>
      </c>
      <c r="BP147" s="727"/>
      <c r="BQ147" s="734"/>
      <c r="BR147" s="733"/>
      <c r="BS147" s="727"/>
      <c r="BT147" s="423"/>
      <c r="BU147" s="423"/>
      <c r="BV147" s="425"/>
      <c r="BW147" s="423"/>
      <c r="BX147" s="448"/>
      <c r="BY147" s="448"/>
      <c r="BZ147" s="448"/>
      <c r="CA147" s="448"/>
      <c r="CB147" s="448"/>
      <c r="CC147" s="777"/>
      <c r="CD147" s="448"/>
      <c r="CE147" s="735" t="str">
        <f>IFERROR(WWWW[[#This Row],['#_Water sources passed]]/WWWW[[#This Row],['#_Water sources tested for fecal coliform ]],"no test")</f>
        <v>no test</v>
      </c>
      <c r="CF147" s="733" t="str">
        <f>IFERROR(WWWW[[#This Row],['#_Household passed]]/WWWW[[#This Row],['#_Household water samples tested for fecal coliform]],"no test")</f>
        <v>no test</v>
      </c>
      <c r="CG147" s="734" t="str">
        <f>IF(AND(WWWW[[#This Row],[% of water sources passed]]="no test",WWWW[[#This Row],[% Household passed]]="no test"),"No Test","Tested")</f>
        <v>No Test</v>
      </c>
      <c r="CH147" s="734">
        <f>WWWW[[#This Row],['#_Constructed/existing protected hand dug well]]-WWWW[[#This Row],['#_Non-functional protected hand dug well]]</f>
        <v>2</v>
      </c>
      <c r="CI147" s="734">
        <f>(WWWW[[#This Row],['#_Constructed/Existing tube wells/boreholes/handpumps_WASH_agency]]+WWWW[[#This Row],['#_Non-Cluster partner water tube-wells/boreholes/handpumps]])-WWWW[[#This Row],['#_Non-functional tube wells/boreholes/handpumps]]</f>
        <v>0</v>
      </c>
      <c r="CJ147" s="734">
        <f>WWWW[[#This Row],['#_Constructed/Existingwater storage tank with gravity fed reticulation system]]-WWWW[[#This Row],['#_Non-functional storage tank gravity fed reticulation system]]</f>
        <v>0</v>
      </c>
      <c r="CK147" s="734">
        <f>(WWWW[[#This Row],['#_Water_Liters_supplied_by_Water boating or water trucking]]/90)/15</f>
        <v>0</v>
      </c>
      <c r="CL147" s="734">
        <f>WWWW[[#This Row],['#_Water_Liters_from_Constructed/Existing water distribution system from river or natural spring]]/90/15</f>
        <v>0</v>
      </c>
      <c r="CM147" s="424">
        <f>IF(WWWW[[#This Row],['#_of water points in TLS/CFS]]*500&gt;WWWW[[#This Row],[Total PoP ]],WWWW[[#This Row],[Total PoP ]],WWWW[[#This Row],['#_of water points in TLS/CFS]]*500)</f>
        <v>0</v>
      </c>
      <c r="CN147" s="424">
        <f>IF(WWWW[[#This Row],['#_of water points in THF]]*500&gt;WWWW[[#This Row],[Total PoP ]],WWWW[[#This Row],[Total PoP ]],WWWW[[#This Row],['#_of water points in THF]]*500)</f>
        <v>0</v>
      </c>
      <c r="CO14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4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47" s="733">
        <f>IF(WWWW[[#This Row],[Location Type 1]]="Village",WWWW[[#This Row],[Access to safe drinking water for Village]],WWWW[[#This Row],[Access to safe drinking water for Camp]])</f>
        <v>1</v>
      </c>
      <c r="CR147" s="731">
        <f>WWWW[[#This Row],[%Equitable and continuous access to sufficient quantity of safe drinking water]]*WWWW[[#This Row],[Total PoP ]]</f>
        <v>412</v>
      </c>
      <c r="CS147" s="733">
        <f>IF((WWWW[[#This Row],['#_Constructed/Existing protected/fenced ponds]]*250)/WWWW[[#This Row],[Total PoP ]]&gt;1,1,(WWWW[[#This Row],['#_Constructed/Existing protected/fenced ponds]]*250)/WWWW[[#This Row],[Total PoP ]])</f>
        <v>0</v>
      </c>
      <c r="CT147" s="731">
        <f>WWWW[[#This Row],[% Access to unimproved water points]]*WWWW[[#This Row],[Total PoP ]]</f>
        <v>0</v>
      </c>
      <c r="CU14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4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412</v>
      </c>
      <c r="CW147" s="731">
        <f>WWWW[[#This Row],[HRP1]]/500</f>
        <v>0.82399999999999995</v>
      </c>
      <c r="CX147" s="736">
        <f>1-WWWW[[#This Row],[% Equitable and continuous access to sufficient quantity of domestic water]]</f>
        <v>0</v>
      </c>
      <c r="CY147" s="731">
        <f>WWWW[[#This Row],[%equitable and continuous access to sufficient quantity of safe drinking and domestic water''s GAP]]*WWWW[[#This Row],[Total PoP ]]</f>
        <v>0</v>
      </c>
      <c r="CZ147" s="734">
        <f>IF(WWWW[[#This Row],[Total required water points]]-WWWW[[#This Row],['#Water points coverage]]&lt;0,0,WWWW[[#This Row],[Total required water points]]-WWWW[[#This Row],['#Water points coverage]])</f>
        <v>0.17600000000000005</v>
      </c>
      <c r="DA147" s="734">
        <f>ROUND(IF(WWWW[[#This Row],[Total PoP ]]&lt;500,1,WWWW[[#This Row],[Total PoP ]]/500),0)</f>
        <v>1</v>
      </c>
      <c r="DB147" s="734">
        <f>(WWWW[[#This Row],['#_Constructed latrines_by_WASHAgencies]]+WWWW[[#This Row],['#_Non Cluster partner latrines]])-WWWW[[#This Row],['#_Non-functional latrines]]</f>
        <v>18</v>
      </c>
      <c r="DC147" s="631">
        <f>WWWW[[#This Row],[HRP2]]/WWWW[[#This Row],[Total PoP ]]</f>
        <v>0.87378640776699024</v>
      </c>
      <c r="DD14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14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7" s="424">
        <f>IF(WWWW[[#This Row],['# of functional latrines in THF supported by WASH partners during the reporting period2]]="",0,WWWW[[#This Row],['# of functional latrines in THF supported by WASH partners during the reporting period2]]*50)</f>
        <v>0</v>
      </c>
      <c r="DH147" s="734">
        <f>ROUND(IF(WWWW[[#This Row],[Location Type 1]]="camp",WWWW[[#This Row],[Total PoP ]]/20,IF(WWWW[[#This Row],[Location Type 1]]="Temporary Location",WWWW[[#This Row],[Total PoP ]]/50,(WWWW[[#This Row],[Total PoP ]]/6))),0)</f>
        <v>21</v>
      </c>
      <c r="DI147" s="734">
        <f>IF(WWWW[[#This Row],[Total required Latrines]]-(WWWW[[#This Row],['#_Constructed latrines_by_WASHAgencies]]+WWWW[[#This Row],['#_Non Cluster partner latrines]])&lt;0,0,WWWW[[#This Row],[Total required Latrines]]-(WWWW[[#This Row],['#_Constructed latrines_by_WASHAgencies]]+WWWW[[#This Row],['#_Non Cluster partner latrines]]))</f>
        <v>3</v>
      </c>
      <c r="DJ147" s="736">
        <f>1-WWWW[[#This Row],[% people access to functioning Latrine]]</f>
        <v>0.12621359223300976</v>
      </c>
      <c r="DK147" s="735">
        <f>IF(OR(WWWW[[#This Row],['#_Non-functional latrines]]="",WWWW[[#This Row],['#_Non-functional latrines]]=0),0,WWWW[[#This Row],['#_Non-functional latrines]]/(WWWW[[#This Row],['#_Constructed latrines_by_WASHAgencies]]+WWWW[[#This Row],['#_Non Cluster partner latrines]]))</f>
        <v>0</v>
      </c>
      <c r="DL147" s="731">
        <f>IF(500*(WWWW[[#This Row],['#_male hygiene promoters]]+WWWW[[#This Row],['#_female hygiene promoters]])&gt;WWWW[[#This Row],[Total PoP ]],WWWW[[#This Row],[Total PoP ]],500*(WWWW[[#This Row],['#_male hygiene promoters]]+WWWW[[#This Row],['#_female hygiene promoters]]))</f>
        <v>0</v>
      </c>
      <c r="DM14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4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47" s="734">
        <f>IF(WWWW[[#This Row],['# People with access to soap]]&gt;WWWW[[#This Row],['# People with access to Sanity Pads]],WWWW[[#This Row],['# People with access to soap]],WWWW[[#This Row],['# People with access to Sanity Pads]])</f>
        <v>50</v>
      </c>
      <c r="DP147" s="734">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147" s="736">
        <f>IF(WWWW[[#This Row],[HRP3]]/WWWW[[#This Row],[Total PoP ]]&gt;1,1,WWWW[[#This Row],[HRP3]]/WWWW[[#This Row],[Total PoP ]])</f>
        <v>0.12135922330097088</v>
      </c>
      <c r="DR147" s="735">
        <f>1-WWWW[[#This Row],[Hygiene Coverage%]]</f>
        <v>0.87864077669902918</v>
      </c>
      <c r="DS147" s="733">
        <f>WWWW[[#This Row],['# people reached by regular dedicated hygiene promotion_5]]/WWWW[[#This Row],[Total PoP ]]</f>
        <v>0</v>
      </c>
      <c r="DT14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0.48192771084337349</v>
      </c>
      <c r="DU14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0.21686746987951808</v>
      </c>
      <c r="DV147" s="734">
        <f>WWWW[[#This Row],['#_Constructed/Existing hand washing stations]]-WWWW[[#This Row],['#_Non-Functional_hand_washing_stations]]</f>
        <v>3</v>
      </c>
      <c r="DW147" s="731">
        <f>IF(WWWW[[#This Row],['# Functional hand washing stations during reporting period]]*20&gt;WWWW[[#This Row],[Total HH]],WWWW[[#This Row],[Total HH]],WWWW[[#This Row],['# Functional hand washing stations during reporting period]]*20)</f>
        <v>60</v>
      </c>
      <c r="DX147" s="731">
        <f>IF(WWWW[[#This Row],[Is sufficient soap available for TLS? (Yes/No)]]="yes",WWWW[[#This Row],['#_Constructed/Existing hand washing stations at TLS/CFS/THF]],0)</f>
        <v>0</v>
      </c>
      <c r="DY147" s="428">
        <f>IF(WWWW[[#This Row],['# Functional hand washing stations during reporting period]]*100&gt;WWWW[[#This Row],[Total PoP ]],WWWW[[#This Row],[Total PoP ]],WWWW[[#This Row],['# Functional hand washing stations during reporting period]]*100)</f>
        <v>300</v>
      </c>
      <c r="DZ147" s="428" t="str">
        <f>IF(OR(WWWW[[#This Row],['#_students at TLS_CFS]]="",WWWW[[#This Row],['#_students at TLS_CFS]]=0),"No","Yes")</f>
        <v>No</v>
      </c>
      <c r="EA14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7" s="727">
        <f>VLOOKUP(WWWW[[#This Row],[Site Name]],SiteDB6[[Site Name]:[CCCM Management]],6,FALSE)</f>
        <v>0</v>
      </c>
      <c r="EF147" s="727" t="str">
        <f>VLOOKUP(WWWW[[#This Row],[Site Name]],SiteDB6[[Site Name]:[CCCM Focal Agency]],7,FALSE)</f>
        <v>KMSS-MYT</v>
      </c>
      <c r="EG147" s="727" t="str">
        <f>VLOOKUP(WWWW[[#This Row],[Site Name]],SiteDB6[[Site Name]:[Location Type 1]],9,FALSE)</f>
        <v>Camp</v>
      </c>
      <c r="EH147" s="727" t="str">
        <f>VLOOKUP(WWWW[[#This Row],[Site Name]],SiteDB6[[Site Name]:[Type of Accommodation]],10,FALSE)</f>
        <v>Camp</v>
      </c>
      <c r="EI147" s="727" t="str">
        <f>VLOOKUP(WWWW[[#This Row],[Site Name]],SiteDB6[[Site Name]:[Ethnic or GCA/NGCA]],11,FALSE)</f>
        <v>GCA</v>
      </c>
      <c r="EJ147" s="727">
        <f>VLOOKUP(WWWW[[#This Row],[Site Name]],SiteDB6[[Site Name]:[Lat]],12,FALSE)</f>
        <v>25.383058999999999</v>
      </c>
      <c r="EK147" s="727">
        <f>VLOOKUP(WWWW[[#This Row],[Site Name]],SiteDB6[[Site Name]:[Long]],13,FALSE)</f>
        <v>97.014313000000001</v>
      </c>
      <c r="EL147" s="727" t="str">
        <f>VLOOKUP(WWWW[[#This Row],[Site Name]],SiteDB6[[Site Name]:[Pcode]],3,FALSE)</f>
        <v>MMR001CMP260</v>
      </c>
      <c r="EM147" s="732" t="str">
        <f t="shared" si="2"/>
        <v>Covered</v>
      </c>
      <c r="EN147" s="732"/>
      <c r="EO147" s="727">
        <f>VLOOKUP(WWWW[[#This Row],[Site Name]],SiteDB6[[Site Name]:[Pop
(Kachin/Shan-CCCM as of July 2021)]],16,FALSE)</f>
        <v>83</v>
      </c>
      <c r="EP147" s="727">
        <f>VLOOKUP(WWWW[[#This Row],[Site Name]],SiteDB6[[Site Name]:[Pop
(Kachin/Shan-CCCM as of July 2021)]],17,FALSE)</f>
        <v>422</v>
      </c>
    </row>
    <row r="148" spans="1:146" hidden="1">
      <c r="A148" s="725" t="s">
        <v>2763</v>
      </c>
      <c r="B148" s="725" t="s">
        <v>36</v>
      </c>
      <c r="C148" s="726" t="s">
        <v>36</v>
      </c>
      <c r="D148" s="726" t="s">
        <v>241</v>
      </c>
      <c r="E148" s="726" t="s">
        <v>37</v>
      </c>
      <c r="F148" s="726" t="s">
        <v>863</v>
      </c>
      <c r="G148" s="591" t="str">
        <f>VLOOKUP(WWWW[[#This Row],[Site Name]],SiteDB6[[Site Name]:[Location Type]],8,FALSE)</f>
        <v>Camp</v>
      </c>
      <c r="H148" s="726" t="s">
        <v>865</v>
      </c>
      <c r="I148" s="728">
        <v>34</v>
      </c>
      <c r="J148" s="728">
        <v>153</v>
      </c>
      <c r="K148" s="729">
        <v>44414</v>
      </c>
      <c r="L148" s="730">
        <v>44778</v>
      </c>
      <c r="M148" s="728"/>
      <c r="N148" s="728">
        <v>1</v>
      </c>
      <c r="O148" s="728"/>
      <c r="P148" s="728"/>
      <c r="Q148" s="731" t="s">
        <v>41</v>
      </c>
      <c r="R148" s="728">
        <v>4</v>
      </c>
      <c r="S148" s="728">
        <v>1</v>
      </c>
      <c r="T148" s="448"/>
      <c r="U148" s="728"/>
      <c r="V148" s="728"/>
      <c r="W148" s="728">
        <v>2</v>
      </c>
      <c r="X148" s="728"/>
      <c r="Y148" s="728"/>
      <c r="Z148" s="728"/>
      <c r="AA148" s="728"/>
      <c r="AB148" s="728"/>
      <c r="AC148" s="728"/>
      <c r="AD148" s="728"/>
      <c r="AE148" s="728"/>
      <c r="AF148" s="728"/>
      <c r="AG148" s="728"/>
      <c r="AH148" s="728"/>
      <c r="AI148" s="728"/>
      <c r="AJ148" s="728"/>
      <c r="AK148" s="728"/>
      <c r="AL148" s="728"/>
      <c r="AM148" s="728">
        <v>5</v>
      </c>
      <c r="AN148" s="728"/>
      <c r="AO148" s="728"/>
      <c r="AP148" s="732"/>
      <c r="AQ148" s="728"/>
      <c r="AR148" s="728"/>
      <c r="AS148" s="733"/>
      <c r="AT148" s="728"/>
      <c r="AU148" s="728"/>
      <c r="AV148" s="728"/>
      <c r="AW148" s="728"/>
      <c r="AX148" s="728"/>
      <c r="AY148" s="727" t="s">
        <v>41</v>
      </c>
      <c r="AZ148" s="732" t="s">
        <v>136</v>
      </c>
      <c r="BA148" s="728"/>
      <c r="BB148" s="728"/>
      <c r="BC148" s="728"/>
      <c r="BD148" s="448"/>
      <c r="BE148" s="448"/>
      <c r="BF148" s="727"/>
      <c r="BG148" s="728">
        <v>7</v>
      </c>
      <c r="BH148" s="728"/>
      <c r="BI148" s="728">
        <v>2</v>
      </c>
      <c r="BJ148" s="728">
        <v>4</v>
      </c>
      <c r="BK148" s="728"/>
      <c r="BL148" s="728"/>
      <c r="BM148" s="728"/>
      <c r="BN148" s="728">
        <v>124</v>
      </c>
      <c r="BO148" s="728">
        <v>198</v>
      </c>
      <c r="BP148" s="727"/>
      <c r="BQ148" s="734">
        <v>50</v>
      </c>
      <c r="BR148" s="733">
        <v>0.25</v>
      </c>
      <c r="BS148" s="727"/>
      <c r="BT148" s="423"/>
      <c r="BU148" s="423"/>
      <c r="BV148" s="425"/>
      <c r="BW148" s="423"/>
      <c r="BX148" s="448"/>
      <c r="BY148" s="448"/>
      <c r="BZ148" s="448"/>
      <c r="CA148" s="448"/>
      <c r="CB148" s="448"/>
      <c r="CC148" s="777"/>
      <c r="CD148" s="448"/>
      <c r="CE148" s="735" t="str">
        <f>IFERROR(WWWW[[#This Row],['#_Water sources passed]]/WWWW[[#This Row],['#_Water sources tested for fecal coliform ]],"no test")</f>
        <v>no test</v>
      </c>
      <c r="CF148" s="733" t="str">
        <f>IFERROR(WWWW[[#This Row],['#_Household passed]]/WWWW[[#This Row],['#_Household water samples tested for fecal coliform]],"no test")</f>
        <v>no test</v>
      </c>
      <c r="CG148" s="734" t="str">
        <f>IF(AND(WWWW[[#This Row],[% of water sources passed]]="no test",WWWW[[#This Row],[% Household passed]]="no test"),"No Test","Tested")</f>
        <v>No Test</v>
      </c>
      <c r="CH148" s="734">
        <f>WWWW[[#This Row],['#_Constructed/existing protected hand dug well]]-WWWW[[#This Row],['#_Non-functional protected hand dug well]]</f>
        <v>0</v>
      </c>
      <c r="CI148" s="734">
        <f>(WWWW[[#This Row],['#_Constructed/Existing tube wells/boreholes/handpumps_WASH_agency]]+WWWW[[#This Row],['#_Non-Cluster partner water tube-wells/boreholes/handpumps]])-WWWW[[#This Row],['#_Non-functional tube wells/boreholes/handpumps]]</f>
        <v>2</v>
      </c>
      <c r="CJ148" s="734">
        <f>WWWW[[#This Row],['#_Constructed/Existingwater storage tank with gravity fed reticulation system]]-WWWW[[#This Row],['#_Non-functional storage tank gravity fed reticulation system]]</f>
        <v>0</v>
      </c>
      <c r="CK148" s="734">
        <f>(WWWW[[#This Row],['#_Water_Liters_supplied_by_Water boating or water trucking]]/90)/15</f>
        <v>0</v>
      </c>
      <c r="CL148" s="734">
        <f>WWWW[[#This Row],['#_Water_Liters_from_Constructed/Existing water distribution system from river or natural spring]]/90/15</f>
        <v>0</v>
      </c>
      <c r="CM148" s="424">
        <f>IF(WWWW[[#This Row],['#_of water points in TLS/CFS]]*500&gt;WWWW[[#This Row],[Total PoP ]],WWWW[[#This Row],[Total PoP ]],WWWW[[#This Row],['#_of water points in TLS/CFS]]*500)</f>
        <v>0</v>
      </c>
      <c r="CN148" s="424">
        <f>IF(WWWW[[#This Row],['#_of water points in THF]]*500&gt;WWWW[[#This Row],[Total PoP ]],WWWW[[#This Row],[Total PoP ]],WWWW[[#This Row],['#_of water points in THF]]*500)</f>
        <v>0</v>
      </c>
      <c r="CO14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4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48" s="733">
        <f>IF(WWWW[[#This Row],[Location Type 1]]="Village",WWWW[[#This Row],[Access to safe drinking water for Village]],WWWW[[#This Row],[Access to safe drinking water for Camp]])</f>
        <v>1</v>
      </c>
      <c r="CR148" s="731">
        <f>WWWW[[#This Row],[%Equitable and continuous access to sufficient quantity of safe drinking water]]*WWWW[[#This Row],[Total PoP ]]</f>
        <v>153</v>
      </c>
      <c r="CS148" s="733">
        <f>IF((WWWW[[#This Row],['#_Constructed/Existing protected/fenced ponds]]*250)/WWWW[[#This Row],[Total PoP ]]&gt;1,1,(WWWW[[#This Row],['#_Constructed/Existing protected/fenced ponds]]*250)/WWWW[[#This Row],[Total PoP ]])</f>
        <v>0</v>
      </c>
      <c r="CT148" s="731">
        <f>WWWW[[#This Row],[% Access to unimproved water points]]*WWWW[[#This Row],[Total PoP ]]</f>
        <v>0</v>
      </c>
      <c r="CU14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4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153</v>
      </c>
      <c r="CW148" s="731">
        <f>WWWW[[#This Row],[HRP1]]/500</f>
        <v>0.30599999999999999</v>
      </c>
      <c r="CX148" s="736">
        <f>1-WWWW[[#This Row],[% Equitable and continuous access to sufficient quantity of domestic water]]</f>
        <v>0</v>
      </c>
      <c r="CY148" s="731">
        <f>WWWW[[#This Row],[%equitable and continuous access to sufficient quantity of safe drinking and domestic water''s GAP]]*WWWW[[#This Row],[Total PoP ]]</f>
        <v>0</v>
      </c>
      <c r="CZ148" s="734">
        <f>IF(WWWW[[#This Row],[Total required water points]]-WWWW[[#This Row],['#Water points coverage]]&lt;0,0,WWWW[[#This Row],[Total required water points]]-WWWW[[#This Row],['#Water points coverage]])</f>
        <v>0.69399999999999995</v>
      </c>
      <c r="DA148" s="734">
        <f>ROUND(IF(WWWW[[#This Row],[Total PoP ]]&lt;500,1,WWWW[[#This Row],[Total PoP ]]/500),0)</f>
        <v>1</v>
      </c>
      <c r="DB148" s="734">
        <f>(WWWW[[#This Row],['#_Constructed latrines_by_WASHAgencies]]+WWWW[[#This Row],['#_Non Cluster partner latrines]])-WWWW[[#This Row],['#_Non-functional latrines]]</f>
        <v>0</v>
      </c>
      <c r="DC148" s="631">
        <f>WWWW[[#This Row],[HRP2]]/WWWW[[#This Row],[Total PoP ]]</f>
        <v>0</v>
      </c>
      <c r="DD14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8" s="424">
        <f>IF(WWWW[[#This Row],['# of functional latrines in THF supported by WASH partners during the reporting period2]]="",0,WWWW[[#This Row],['# of functional latrines in THF supported by WASH partners during the reporting period2]]*50)</f>
        <v>0</v>
      </c>
      <c r="DH148" s="734">
        <f>ROUND(IF(WWWW[[#This Row],[Location Type 1]]="camp",WWWW[[#This Row],[Total PoP ]]/20,IF(WWWW[[#This Row],[Location Type 1]]="Temporary Location",WWWW[[#This Row],[Total PoP ]]/50,(WWWW[[#This Row],[Total PoP ]]/6))),0)</f>
        <v>8</v>
      </c>
      <c r="DI148" s="734">
        <f>IF(WWWW[[#This Row],[Total required Latrines]]-(WWWW[[#This Row],['#_Constructed latrines_by_WASHAgencies]]+WWWW[[#This Row],['#_Non Cluster partner latrines]])&lt;0,0,WWWW[[#This Row],[Total required Latrines]]-(WWWW[[#This Row],['#_Constructed latrines_by_WASHAgencies]]+WWWW[[#This Row],['#_Non Cluster partner latrines]]))</f>
        <v>8</v>
      </c>
      <c r="DJ148" s="736">
        <f>1-WWWW[[#This Row],[% people access to functioning Latrine]]</f>
        <v>1</v>
      </c>
      <c r="DK148" s="735">
        <f>IF(OR(WWWW[[#This Row],['#_Non-functional latrines]]="",WWWW[[#This Row],['#_Non-functional latrines]]=0),0,WWWW[[#This Row],['#_Non-functional latrines]]/(WWWW[[#This Row],['#_Constructed latrines_by_WASHAgencies]]+WWWW[[#This Row],['#_Non Cluster partner latrines]]))</f>
        <v>0</v>
      </c>
      <c r="DL148" s="731">
        <f>IF(500*(WWWW[[#This Row],['#_male hygiene promoters]]+WWWW[[#This Row],['#_female hygiene promoters]])&gt;WWWW[[#This Row],[Total PoP ]],WWWW[[#This Row],[Total PoP ]],500*(WWWW[[#This Row],['#_male hygiene promoters]]+WWWW[[#This Row],['#_female hygiene promoters]]))</f>
        <v>0</v>
      </c>
      <c r="DM14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153</v>
      </c>
      <c r="DN14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153</v>
      </c>
      <c r="DO148" s="734">
        <f>IF(WWWW[[#This Row],['# People with access to soap]]&gt;WWWW[[#This Row],['# People with access to Sanity Pads]],WWWW[[#This Row],['# People with access to soap]],WWWW[[#This Row],['# People with access to Sanity Pads]])</f>
        <v>153</v>
      </c>
      <c r="DP148" s="734">
        <f>IF(WWWW[[#This Row],['# people reached by regular dedicated hygiene promotion_5]]&gt;WWWW[[#This Row],['# People received regular supply of hygiene items_6]],WWWW[[#This Row],['# people reached by regular dedicated hygiene promotion_5]],WWWW[[#This Row],['# People received regular supply of hygiene items_6]])</f>
        <v>153</v>
      </c>
      <c r="DQ148" s="736">
        <f>IF(WWWW[[#This Row],[HRP3]]/WWWW[[#This Row],[Total PoP ]]&gt;1,1,WWWW[[#This Row],[HRP3]]/WWWW[[#This Row],[Total PoP ]])</f>
        <v>1</v>
      </c>
      <c r="DR148" s="735">
        <f>1-WWWW[[#This Row],[Hygiene Coverage%]]</f>
        <v>0</v>
      </c>
      <c r="DS148" s="733">
        <f>WWWW[[#This Row],['# people reached by regular dedicated hygiene promotion_5]]/WWWW[[#This Row],[Total PoP ]]</f>
        <v>0</v>
      </c>
      <c r="DT14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8" s="734">
        <f>WWWW[[#This Row],['#_Constructed/Existing hand washing stations]]-WWWW[[#This Row],['#_Non-Functional_hand_washing_stations]]</f>
        <v>7</v>
      </c>
      <c r="DW148" s="731">
        <f>IF(WWWW[[#This Row],['# Functional hand washing stations during reporting period]]*20&gt;WWWW[[#This Row],[Total HH]],WWWW[[#This Row],[Total HH]],WWWW[[#This Row],['# Functional hand washing stations during reporting period]]*20)</f>
        <v>34</v>
      </c>
      <c r="DX148" s="731">
        <f>IF(WWWW[[#This Row],[Is sufficient soap available for TLS? (Yes/No)]]="yes",WWWW[[#This Row],['#_Constructed/Existing hand washing stations at TLS/CFS/THF]],0)</f>
        <v>0</v>
      </c>
      <c r="DY148" s="428">
        <f>IF(WWWW[[#This Row],['# Functional hand washing stations during reporting period]]*100&gt;WWWW[[#This Row],[Total PoP ]],WWWW[[#This Row],[Total PoP ]],WWWW[[#This Row],['# Functional hand washing stations during reporting period]]*100)</f>
        <v>153</v>
      </c>
      <c r="DZ148" s="428" t="str">
        <f>IF(OR(WWWW[[#This Row],['#_students at TLS_CFS]]="",WWWW[[#This Row],['#_students at TLS_CFS]]=0),"No","Yes")</f>
        <v>No</v>
      </c>
      <c r="EA14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8" s="727" t="str">
        <f>VLOOKUP(WWWW[[#This Row],[Site Name]],SiteDB6[[Site Name]:[CCCM Management]],6,FALSE)</f>
        <v>Yes</v>
      </c>
      <c r="EF148" s="727" t="str">
        <f>VLOOKUP(WWWW[[#This Row],[Site Name]],SiteDB6[[Site Name]:[CCCM Focal Agency]],7,FALSE)</f>
        <v>KMSS-MYT</v>
      </c>
      <c r="EG148" s="727" t="str">
        <f>VLOOKUP(WWWW[[#This Row],[Site Name]],SiteDB6[[Site Name]:[Location Type 1]],9,FALSE)</f>
        <v>Camp</v>
      </c>
      <c r="EH148" s="727" t="str">
        <f>VLOOKUP(WWWW[[#This Row],[Site Name]],SiteDB6[[Site Name]:[Type of Accommodation]],10,FALSE)</f>
        <v>Camp</v>
      </c>
      <c r="EI148" s="727" t="str">
        <f>VLOOKUP(WWWW[[#This Row],[Site Name]],SiteDB6[[Site Name]:[Ethnic or GCA/NGCA]],11,FALSE)</f>
        <v>GCA</v>
      </c>
      <c r="EJ148" s="727">
        <f>VLOOKUP(WWWW[[#This Row],[Site Name]],SiteDB6[[Site Name]:[Lat]],12,FALSE)</f>
        <v>26.351690999999999</v>
      </c>
      <c r="EK148" s="727">
        <f>VLOOKUP(WWWW[[#This Row],[Site Name]],SiteDB6[[Site Name]:[Long]],13,FALSE)</f>
        <v>96.690871999999999</v>
      </c>
      <c r="EL148" s="727" t="str">
        <f>VLOOKUP(WWWW[[#This Row],[Site Name]],SiteDB6[[Site Name]:[Pcode]],3,FALSE)</f>
        <v>MMR001CMP254</v>
      </c>
      <c r="EM148" s="732" t="str">
        <f t="shared" si="2"/>
        <v>Covered</v>
      </c>
      <c r="EN148" s="732"/>
      <c r="EO148" s="727">
        <f>VLOOKUP(WWWW[[#This Row],[Site Name]],SiteDB6[[Site Name]:[Pop
(Kachin/Shan-CCCM as of July 2021)]],16,FALSE)</f>
        <v>35</v>
      </c>
      <c r="EP148" s="727">
        <f>VLOOKUP(WWWW[[#This Row],[Site Name]],SiteDB6[[Site Name]:[Pop
(Kachin/Shan-CCCM as of July 2021)]],17,FALSE)</f>
        <v>161</v>
      </c>
    </row>
    <row r="149" spans="1:146" hidden="1">
      <c r="A149" s="725" t="s">
        <v>2763</v>
      </c>
      <c r="B149" s="725" t="s">
        <v>2081</v>
      </c>
      <c r="C149" s="726" t="s">
        <v>141</v>
      </c>
      <c r="D149" s="726" t="s">
        <v>299</v>
      </c>
      <c r="E149" s="726" t="s">
        <v>37</v>
      </c>
      <c r="F149" s="726" t="s">
        <v>863</v>
      </c>
      <c r="G149" s="591" t="str">
        <f>VLOOKUP(WWWW[[#This Row],[Site Name]],SiteDB6[[Site Name]:[Location Type]],8,FALSE)</f>
        <v>Camp</v>
      </c>
      <c r="H149" s="726" t="s">
        <v>1615</v>
      </c>
      <c r="I149" s="728">
        <v>108</v>
      </c>
      <c r="J149" s="728">
        <v>468</v>
      </c>
      <c r="K149" s="729">
        <v>44412</v>
      </c>
      <c r="L149" s="730">
        <v>44776</v>
      </c>
      <c r="M149" s="728"/>
      <c r="N149" s="728"/>
      <c r="O149" s="728"/>
      <c r="P149" s="728"/>
      <c r="Q149" s="717" t="s">
        <v>136</v>
      </c>
      <c r="R149" s="448">
        <v>1</v>
      </c>
      <c r="S149" s="448">
        <v>1</v>
      </c>
      <c r="T149" s="448"/>
      <c r="U149" s="728"/>
      <c r="V149" s="728"/>
      <c r="W149" s="728"/>
      <c r="X149" s="728"/>
      <c r="Y149" s="728"/>
      <c r="Z149" s="728"/>
      <c r="AA149" s="728"/>
      <c r="AB149" s="728"/>
      <c r="AC149" s="728"/>
      <c r="AD149" s="728"/>
      <c r="AE149" s="728"/>
      <c r="AF149" s="728"/>
      <c r="AG149" s="728"/>
      <c r="AH149" s="728"/>
      <c r="AI149" s="728"/>
      <c r="AJ149" s="728"/>
      <c r="AK149" s="728"/>
      <c r="AL149" s="728"/>
      <c r="AM149" s="728"/>
      <c r="AN149" s="728"/>
      <c r="AO149" s="728"/>
      <c r="AP149" s="732"/>
      <c r="AQ149" s="728"/>
      <c r="AR149" s="728"/>
      <c r="AS149" s="733"/>
      <c r="AT149" s="728"/>
      <c r="AU149" s="728"/>
      <c r="AV149" s="728"/>
      <c r="AW149" s="728"/>
      <c r="AX149" s="728"/>
      <c r="AY149" s="425" t="s">
        <v>140</v>
      </c>
      <c r="AZ149" s="860" t="s">
        <v>140</v>
      </c>
      <c r="BA149" s="728"/>
      <c r="BB149" s="728"/>
      <c r="BC149" s="728"/>
      <c r="BD149" s="448"/>
      <c r="BE149" s="448"/>
      <c r="BF149" s="727"/>
      <c r="BG149" s="728">
        <v>1</v>
      </c>
      <c r="BH149" s="728"/>
      <c r="BI149" s="728"/>
      <c r="BJ149" s="728">
        <v>3</v>
      </c>
      <c r="BK149" s="728"/>
      <c r="BL149" s="728"/>
      <c r="BM149" s="448">
        <v>1</v>
      </c>
      <c r="BN149" s="728">
        <v>41</v>
      </c>
      <c r="BO149" s="728">
        <v>85</v>
      </c>
      <c r="BP149" s="727"/>
      <c r="BQ149" s="734"/>
      <c r="BR149" s="733"/>
      <c r="BS149" s="727"/>
      <c r="BT149" s="423"/>
      <c r="BU149" s="423"/>
      <c r="BV149" s="425"/>
      <c r="BW149" s="423"/>
      <c r="BX149" s="448"/>
      <c r="BY149" s="448"/>
      <c r="BZ149" s="448"/>
      <c r="CA149" s="448"/>
      <c r="CB149" s="448"/>
      <c r="CC149" s="777"/>
      <c r="CD149" s="448"/>
      <c r="CE149" s="735" t="str">
        <f>IFERROR(WWWW[[#This Row],['#_Water sources passed]]/WWWW[[#This Row],['#_Water sources tested for fecal coliform ]],"no test")</f>
        <v>no test</v>
      </c>
      <c r="CF149" s="733" t="str">
        <f>IFERROR(WWWW[[#This Row],['#_Household passed]]/WWWW[[#This Row],['#_Household water samples tested for fecal coliform]],"no test")</f>
        <v>no test</v>
      </c>
      <c r="CG149" s="734" t="str">
        <f>IF(AND(WWWW[[#This Row],[% of water sources passed]]="no test",WWWW[[#This Row],[% Household passed]]="no test"),"No Test","Tested")</f>
        <v>No Test</v>
      </c>
      <c r="CH149" s="734">
        <f>WWWW[[#This Row],['#_Constructed/existing protected hand dug well]]-WWWW[[#This Row],['#_Non-functional protected hand dug well]]</f>
        <v>0</v>
      </c>
      <c r="CI149" s="734">
        <f>(WWWW[[#This Row],['#_Constructed/Existing tube wells/boreholes/handpumps_WASH_agency]]+WWWW[[#This Row],['#_Non-Cluster partner water tube-wells/boreholes/handpumps]])-WWWW[[#This Row],['#_Non-functional tube wells/boreholes/handpumps]]</f>
        <v>0</v>
      </c>
      <c r="CJ149" s="734">
        <f>WWWW[[#This Row],['#_Constructed/Existingwater storage tank with gravity fed reticulation system]]-WWWW[[#This Row],['#_Non-functional storage tank gravity fed reticulation system]]</f>
        <v>0</v>
      </c>
      <c r="CK149" s="734">
        <f>(WWWW[[#This Row],['#_Water_Liters_supplied_by_Water boating or water trucking]]/90)/15</f>
        <v>0</v>
      </c>
      <c r="CL149" s="734">
        <f>WWWW[[#This Row],['#_Water_Liters_from_Constructed/Existing water distribution system from river or natural spring]]/90/15</f>
        <v>0</v>
      </c>
      <c r="CM149" s="424">
        <f>IF(WWWW[[#This Row],['#_of water points in TLS/CFS]]*500&gt;WWWW[[#This Row],[Total PoP ]],WWWW[[#This Row],[Total PoP ]],WWWW[[#This Row],['#_of water points in TLS/CFS]]*500)</f>
        <v>0</v>
      </c>
      <c r="CN149" s="424">
        <f>IF(WWWW[[#This Row],['#_of water points in THF]]*500&gt;WWWW[[#This Row],[Total PoP ]],WWWW[[#This Row],[Total PoP ]],WWWW[[#This Row],['#_of water points in THF]]*500)</f>
        <v>0</v>
      </c>
      <c r="CO14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9" s="733">
        <f>IF(WWWW[[#This Row],[Location Type 1]]="Village",WWWW[[#This Row],[Access to safe drinking water for Village]],WWWW[[#This Row],[Access to safe drinking water for Camp]])</f>
        <v>0</v>
      </c>
      <c r="CR149" s="731">
        <f>WWWW[[#This Row],[%Equitable and continuous access to sufficient quantity of safe drinking water]]*WWWW[[#This Row],[Total PoP ]]</f>
        <v>0</v>
      </c>
      <c r="CS149" s="733">
        <f>IF((WWWW[[#This Row],['#_Constructed/Existing protected/fenced ponds]]*250)/WWWW[[#This Row],[Total PoP ]]&gt;1,1,(WWWW[[#This Row],['#_Constructed/Existing protected/fenced ponds]]*250)/WWWW[[#This Row],[Total PoP ]])</f>
        <v>0</v>
      </c>
      <c r="CT149" s="731">
        <f>WWWW[[#This Row],[% Access to unimproved water points]]*WWWW[[#This Row],[Total PoP ]]</f>
        <v>0</v>
      </c>
      <c r="CU14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9" s="731">
        <f>WWWW[[#This Row],[HRP1]]/500</f>
        <v>0</v>
      </c>
      <c r="CX149" s="736">
        <f>1-WWWW[[#This Row],[% Equitable and continuous access to sufficient quantity of domestic water]]</f>
        <v>1</v>
      </c>
      <c r="CY149" s="731">
        <f>WWWW[[#This Row],[%equitable and continuous access to sufficient quantity of safe drinking and domestic water''s GAP]]*WWWW[[#This Row],[Total PoP ]]</f>
        <v>468</v>
      </c>
      <c r="CZ149" s="734">
        <f>IF(WWWW[[#This Row],[Total required water points]]-WWWW[[#This Row],['#Water points coverage]]&lt;0,0,WWWW[[#This Row],[Total required water points]]-WWWW[[#This Row],['#Water points coverage]])</f>
        <v>1</v>
      </c>
      <c r="DA149" s="734">
        <f>ROUND(IF(WWWW[[#This Row],[Total PoP ]]&lt;500,1,WWWW[[#This Row],[Total PoP ]]/500),0)</f>
        <v>1</v>
      </c>
      <c r="DB149" s="734">
        <f>(WWWW[[#This Row],['#_Constructed latrines_by_WASHAgencies]]+WWWW[[#This Row],['#_Non Cluster partner latrines]])-WWWW[[#This Row],['#_Non-functional latrines]]</f>
        <v>0</v>
      </c>
      <c r="DC149" s="631">
        <f>WWWW[[#This Row],[HRP2]]/WWWW[[#This Row],[Total PoP ]]</f>
        <v>0</v>
      </c>
      <c r="DD14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9" s="424">
        <f>IF(WWWW[[#This Row],['# of functional latrines in THF supported by WASH partners during the reporting period2]]="",0,WWWW[[#This Row],['# of functional latrines in THF supported by WASH partners during the reporting period2]]*50)</f>
        <v>0</v>
      </c>
      <c r="DH149" s="734">
        <f>ROUND(IF(WWWW[[#This Row],[Location Type 1]]="camp",WWWW[[#This Row],[Total PoP ]]/20,IF(WWWW[[#This Row],[Location Type 1]]="Temporary Location",WWWW[[#This Row],[Total PoP ]]/50,(WWWW[[#This Row],[Total PoP ]]/6))),0)</f>
        <v>23</v>
      </c>
      <c r="DI149" s="734">
        <f>IF(WWWW[[#This Row],[Total required Latrines]]-(WWWW[[#This Row],['#_Constructed latrines_by_WASHAgencies]]+WWWW[[#This Row],['#_Non Cluster partner latrines]])&lt;0,0,WWWW[[#This Row],[Total required Latrines]]-(WWWW[[#This Row],['#_Constructed latrines_by_WASHAgencies]]+WWWW[[#This Row],['#_Non Cluster partner latrines]]))</f>
        <v>23</v>
      </c>
      <c r="DJ149" s="736">
        <f>1-WWWW[[#This Row],[% people access to functioning Latrine]]</f>
        <v>1</v>
      </c>
      <c r="DK149" s="735">
        <f>IF(OR(WWWW[[#This Row],['#_Non-functional latrines]]="",WWWW[[#This Row],['#_Non-functional latrines]]=0),0,WWWW[[#This Row],['#_Non-functional latrines]]/(WWWW[[#This Row],['#_Constructed latrines_by_WASHAgencies]]+WWWW[[#This Row],['#_Non Cluster partner latrines]]))</f>
        <v>0</v>
      </c>
      <c r="DL149" s="731">
        <f>IF(500*(WWWW[[#This Row],['#_male hygiene promoters]]+WWWW[[#This Row],['#_female hygiene promoters]])&gt;WWWW[[#This Row],[Total PoP ]],WWWW[[#This Row],[Total PoP ]],500*(WWWW[[#This Row],['#_male hygiene promoters]]+WWWW[[#This Row],['#_female hygiene promoters]]))</f>
        <v>468</v>
      </c>
      <c r="DM14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4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49" s="734">
        <f>IF(WWWW[[#This Row],['# People with access to soap]]&gt;WWWW[[#This Row],['# People with access to Sanity Pads]],WWWW[[#This Row],['# People with access to soap]],WWWW[[#This Row],['# People with access to Sanity Pads]])</f>
        <v>205</v>
      </c>
      <c r="DP149" s="734">
        <f>IF(WWWW[[#This Row],['# people reached by regular dedicated hygiene promotion_5]]&gt;WWWW[[#This Row],['# People received regular supply of hygiene items_6]],WWWW[[#This Row],['# people reached by regular dedicated hygiene promotion_5]],WWWW[[#This Row],['# People received regular supply of hygiene items_6]])</f>
        <v>468</v>
      </c>
      <c r="DQ149" s="736">
        <f>IF(WWWW[[#This Row],[HRP3]]/WWWW[[#This Row],[Total PoP ]]&gt;1,1,WWWW[[#This Row],[HRP3]]/WWWW[[#This Row],[Total PoP ]])</f>
        <v>1</v>
      </c>
      <c r="DR149" s="735">
        <f>1-WWWW[[#This Row],[Hygiene Coverage%]]</f>
        <v>0</v>
      </c>
      <c r="DS149" s="733">
        <f>WWWW[[#This Row],['# people reached by regular dedicated hygiene promotion_5]]/WWWW[[#This Row],[Total PoP ]]</f>
        <v>1</v>
      </c>
      <c r="DT14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0.78703703703703709</v>
      </c>
      <c r="DV149" s="734">
        <f>WWWW[[#This Row],['#_Constructed/Existing hand washing stations]]-WWWW[[#This Row],['#_Non-Functional_hand_washing_stations]]</f>
        <v>1</v>
      </c>
      <c r="DW149" s="731">
        <f>IF(WWWW[[#This Row],['# Functional hand washing stations during reporting period]]*20&gt;WWWW[[#This Row],[Total HH]],WWWW[[#This Row],[Total HH]],WWWW[[#This Row],['# Functional hand washing stations during reporting period]]*20)</f>
        <v>20</v>
      </c>
      <c r="DX149" s="731">
        <f>IF(WWWW[[#This Row],[Is sufficient soap available for TLS? (Yes/No)]]="yes",WWWW[[#This Row],['#_Constructed/Existing hand washing stations at TLS/CFS/THF]],0)</f>
        <v>0</v>
      </c>
      <c r="DY149" s="428">
        <f>IF(WWWW[[#This Row],['# Functional hand washing stations during reporting period]]*100&gt;WWWW[[#This Row],[Total PoP ]],WWWW[[#This Row],[Total PoP ]],WWWW[[#This Row],['# Functional hand washing stations during reporting period]]*100)</f>
        <v>100</v>
      </c>
      <c r="DZ149" s="428" t="str">
        <f>IF(OR(WWWW[[#This Row],['#_students at TLS_CFS]]="",WWWW[[#This Row],['#_students at TLS_CFS]]=0),"No","Yes")</f>
        <v>No</v>
      </c>
      <c r="EA14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9" s="727" t="str">
        <f>VLOOKUP(WWWW[[#This Row],[Site Name]],SiteDB6[[Site Name]:[CCCM Management]],6,FALSE)</f>
        <v>Yes</v>
      </c>
      <c r="EF149" s="727" t="str">
        <f>VLOOKUP(WWWW[[#This Row],[Site Name]],SiteDB6[[Site Name]:[CCCM Focal Agency]],7,FALSE)</f>
        <v>KBC-MYT</v>
      </c>
      <c r="EG149" s="727" t="str">
        <f>VLOOKUP(WWWW[[#This Row],[Site Name]],SiteDB6[[Site Name]:[Location Type 1]],9,FALSE)</f>
        <v>Camp</v>
      </c>
      <c r="EH149" s="727" t="str">
        <f>VLOOKUP(WWWW[[#This Row],[Site Name]],SiteDB6[[Site Name]:[Type of Accommodation]],10,FALSE)</f>
        <v>Camp</v>
      </c>
      <c r="EI149" s="727" t="str">
        <f>VLOOKUP(WWWW[[#This Row],[Site Name]],SiteDB6[[Site Name]:[Ethnic or GCA/NGCA]],11,FALSE)</f>
        <v>GCA</v>
      </c>
      <c r="EJ149" s="727">
        <f>VLOOKUP(WWWW[[#This Row],[Site Name]],SiteDB6[[Site Name]:[Lat]],12,FALSE)</f>
        <v>26.356223</v>
      </c>
      <c r="EK149" s="727">
        <f>VLOOKUP(WWWW[[#This Row],[Site Name]],SiteDB6[[Site Name]:[Long]],13,FALSE)</f>
        <v>96.721439000000004</v>
      </c>
      <c r="EL149" s="727" t="str">
        <f>VLOOKUP(WWWW[[#This Row],[Site Name]],SiteDB6[[Site Name]:[Pcode]],3,FALSE)</f>
        <v>MMR001CMP253</v>
      </c>
      <c r="EM149" s="732" t="str">
        <f t="shared" si="2"/>
        <v>Covered</v>
      </c>
      <c r="EN149" s="732"/>
      <c r="EO149" s="727">
        <f>VLOOKUP(WWWW[[#This Row],[Site Name]],SiteDB6[[Site Name]:[Pop
(Kachin/Shan-CCCM as of July 2021)]],16,FALSE)</f>
        <v>110</v>
      </c>
      <c r="EP149" s="727">
        <f>VLOOKUP(WWWW[[#This Row],[Site Name]],SiteDB6[[Site Name]:[Pop
(Kachin/Shan-CCCM as of July 2021)]],17,FALSE)</f>
        <v>486</v>
      </c>
    </row>
    <row r="150" spans="1:146" hidden="1">
      <c r="A150" s="725" t="s">
        <v>2763</v>
      </c>
      <c r="B150" s="725" t="s">
        <v>141</v>
      </c>
      <c r="C150" s="726" t="s">
        <v>141</v>
      </c>
      <c r="D150" s="726" t="s">
        <v>241</v>
      </c>
      <c r="E150" s="726" t="s">
        <v>37</v>
      </c>
      <c r="F150" s="726" t="s">
        <v>159</v>
      </c>
      <c r="G150" s="591" t="str">
        <f>VLOOKUP(WWWW[[#This Row],[Site Name]],SiteDB6[[Site Name]:[Location Type]],8,FALSE)</f>
        <v>Camp</v>
      </c>
      <c r="H150" s="726" t="s">
        <v>170</v>
      </c>
      <c r="I150" s="728">
        <v>69</v>
      </c>
      <c r="J150" s="728">
        <v>351</v>
      </c>
      <c r="K150" s="588">
        <v>44105</v>
      </c>
      <c r="L150" s="589">
        <v>44681</v>
      </c>
      <c r="M150" s="728"/>
      <c r="N150" s="728">
        <v>2</v>
      </c>
      <c r="O150" s="728"/>
      <c r="P150" s="728"/>
      <c r="Q150" s="731" t="s">
        <v>41</v>
      </c>
      <c r="R150" s="728"/>
      <c r="S150" s="728">
        <v>4</v>
      </c>
      <c r="T150" s="448"/>
      <c r="U150" s="728"/>
      <c r="V150" s="728"/>
      <c r="W150" s="728">
        <v>2</v>
      </c>
      <c r="X150" s="728"/>
      <c r="Y150" s="728"/>
      <c r="Z150" s="728"/>
      <c r="AA150" s="728"/>
      <c r="AB150" s="728"/>
      <c r="AC150" s="728"/>
      <c r="AD150" s="728"/>
      <c r="AE150" s="728"/>
      <c r="AF150" s="728"/>
      <c r="AG150" s="728"/>
      <c r="AH150" s="728">
        <v>2</v>
      </c>
      <c r="AI150" s="728"/>
      <c r="AJ150" s="728"/>
      <c r="AK150" s="728"/>
      <c r="AL150" s="728"/>
      <c r="AM150" s="728"/>
      <c r="AN150" s="728"/>
      <c r="AO150" s="728"/>
      <c r="AP150" s="732"/>
      <c r="AQ150" s="728">
        <v>11</v>
      </c>
      <c r="AR150" s="728"/>
      <c r="AS150" s="733"/>
      <c r="AT150" s="728"/>
      <c r="AU150" s="728"/>
      <c r="AV150" s="728"/>
      <c r="AW150" s="728"/>
      <c r="AX150" s="728">
        <v>11</v>
      </c>
      <c r="AY150" s="727" t="s">
        <v>41</v>
      </c>
      <c r="AZ150" s="732" t="s">
        <v>137</v>
      </c>
      <c r="BA150" s="728"/>
      <c r="BB150" s="728"/>
      <c r="BC150" s="728"/>
      <c r="BD150" s="448"/>
      <c r="BE150" s="448"/>
      <c r="BF150" s="727"/>
      <c r="BG150" s="728">
        <v>3</v>
      </c>
      <c r="BH150" s="728"/>
      <c r="BI150" s="728"/>
      <c r="BJ150" s="728">
        <v>2</v>
      </c>
      <c r="BK150" s="728"/>
      <c r="BL150" s="728">
        <v>1</v>
      </c>
      <c r="BM150" s="728">
        <v>1</v>
      </c>
      <c r="BN150" s="728">
        <v>10</v>
      </c>
      <c r="BO150" s="728">
        <v>18</v>
      </c>
      <c r="BP150" s="727"/>
      <c r="BQ150" s="734"/>
      <c r="BR150" s="733"/>
      <c r="BS150" s="727"/>
      <c r="BT150" s="423"/>
      <c r="BU150" s="423"/>
      <c r="BV150" s="425"/>
      <c r="BW150" s="423"/>
      <c r="BX150" s="448"/>
      <c r="BY150" s="448"/>
      <c r="BZ150" s="448"/>
      <c r="CA150" s="448"/>
      <c r="CB150" s="448"/>
      <c r="CC150" s="777"/>
      <c r="CD150" s="448"/>
      <c r="CE150" s="735" t="str">
        <f>IFERROR(WWWW[[#This Row],['#_Water sources passed]]/WWWW[[#This Row],['#_Water sources tested for fecal coliform ]],"no test")</f>
        <v>no test</v>
      </c>
      <c r="CF150" s="733" t="str">
        <f>IFERROR(WWWW[[#This Row],['#_Household passed]]/WWWW[[#This Row],['#_Household water samples tested for fecal coliform]],"no test")</f>
        <v>no test</v>
      </c>
      <c r="CG150" s="734" t="str">
        <f>IF(AND(WWWW[[#This Row],[% of water sources passed]]="no test",WWWW[[#This Row],[% Household passed]]="no test"),"No Test","Tested")</f>
        <v>No Test</v>
      </c>
      <c r="CH150" s="734">
        <f>WWWW[[#This Row],['#_Constructed/existing protected hand dug well]]-WWWW[[#This Row],['#_Non-functional protected hand dug well]]</f>
        <v>0</v>
      </c>
      <c r="CI150" s="734">
        <f>(WWWW[[#This Row],['#_Constructed/Existing tube wells/boreholes/handpumps_WASH_agency]]+WWWW[[#This Row],['#_Non-Cluster partner water tube-wells/boreholes/handpumps]])-WWWW[[#This Row],['#_Non-functional tube wells/boreholes/handpumps]]</f>
        <v>2</v>
      </c>
      <c r="CJ150" s="734">
        <f>WWWW[[#This Row],['#_Constructed/Existingwater storage tank with gravity fed reticulation system]]-WWWW[[#This Row],['#_Non-functional storage tank gravity fed reticulation system]]</f>
        <v>0</v>
      </c>
      <c r="CK150" s="734">
        <f>(WWWW[[#This Row],['#_Water_Liters_supplied_by_Water boating or water trucking]]/90)/15</f>
        <v>0</v>
      </c>
      <c r="CL150" s="734">
        <f>WWWW[[#This Row],['#_Water_Liters_from_Constructed/Existing water distribution system from river or natural spring]]/90/15</f>
        <v>0</v>
      </c>
      <c r="CM150" s="424">
        <f>IF(WWWW[[#This Row],['#_of water points in TLS/CFS]]*500&gt;WWWW[[#This Row],[Total PoP ]],WWWW[[#This Row],[Total PoP ]],WWWW[[#This Row],['#_of water points in TLS/CFS]]*500)</f>
        <v>0</v>
      </c>
      <c r="CN150" s="424">
        <f>IF(WWWW[[#This Row],['#_of water points in THF]]*500&gt;WWWW[[#This Row],[Total PoP ]],WWWW[[#This Row],[Total PoP ]],WWWW[[#This Row],['#_of water points in THF]]*500)</f>
        <v>0</v>
      </c>
      <c r="CO15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50" s="733">
        <f>IF(WWWW[[#This Row],[Location Type 1]]="Village",WWWW[[#This Row],[Access to safe drinking water for Village]],WWWW[[#This Row],[Access to safe drinking water for Camp]])</f>
        <v>1</v>
      </c>
      <c r="CR150" s="731">
        <f>WWWW[[#This Row],[%Equitable and continuous access to sufficient quantity of safe drinking water]]*WWWW[[#This Row],[Total PoP ]]</f>
        <v>351</v>
      </c>
      <c r="CS150" s="733">
        <f>IF((WWWW[[#This Row],['#_Constructed/Existing protected/fenced ponds]]*250)/WWWW[[#This Row],[Total PoP ]]&gt;1,1,(WWWW[[#This Row],['#_Constructed/Existing protected/fenced ponds]]*250)/WWWW[[#This Row],[Total PoP ]])</f>
        <v>0</v>
      </c>
      <c r="CT150" s="731">
        <f>WWWW[[#This Row],[% Access to unimproved water points]]*WWWW[[#This Row],[Total PoP ]]</f>
        <v>0</v>
      </c>
      <c r="CU15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W150" s="731">
        <f>WWWW[[#This Row],[HRP1]]/500</f>
        <v>0.70199999999999996</v>
      </c>
      <c r="CX150" s="736">
        <f>1-WWWW[[#This Row],[% Equitable and continuous access to sufficient quantity of domestic water]]</f>
        <v>0</v>
      </c>
      <c r="CY150" s="731">
        <f>WWWW[[#This Row],[%equitable and continuous access to sufficient quantity of safe drinking and domestic water''s GAP]]*WWWW[[#This Row],[Total PoP ]]</f>
        <v>0</v>
      </c>
      <c r="CZ150" s="734">
        <f>IF(WWWW[[#This Row],[Total required water points]]-WWWW[[#This Row],['#Water points coverage]]&lt;0,0,WWWW[[#This Row],[Total required water points]]-WWWW[[#This Row],['#Water points coverage]])</f>
        <v>0.29800000000000004</v>
      </c>
      <c r="DA150" s="734">
        <f>ROUND(IF(WWWW[[#This Row],[Total PoP ]]&lt;500,1,WWWW[[#This Row],[Total PoP ]]/500),0)</f>
        <v>1</v>
      </c>
      <c r="DB150" s="734">
        <f>(WWWW[[#This Row],['#_Constructed latrines_by_WASHAgencies]]+WWWW[[#This Row],['#_Non Cluster partner latrines]])-WWWW[[#This Row],['#_Non-functional latrines]]</f>
        <v>11</v>
      </c>
      <c r="DC150" s="631">
        <f>WWWW[[#This Row],[HRP2]]/WWWW[[#This Row],[Total PoP ]]</f>
        <v>0.62678062678062674</v>
      </c>
      <c r="DD15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15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0" s="424">
        <f>IF(WWWW[[#This Row],['# of functional latrines in THF supported by WASH partners during the reporting period2]]="",0,WWWW[[#This Row],['# of functional latrines in THF supported by WASH partners during the reporting period2]]*50)</f>
        <v>0</v>
      </c>
      <c r="DH150" s="734">
        <f>ROUND(IF(WWWW[[#This Row],[Location Type 1]]="camp",WWWW[[#This Row],[Total PoP ]]/20,IF(WWWW[[#This Row],[Location Type 1]]="Temporary Location",WWWW[[#This Row],[Total PoP ]]/50,(WWWW[[#This Row],[Total PoP ]]/6))),0)</f>
        <v>18</v>
      </c>
      <c r="DI150" s="734">
        <f>IF(WWWW[[#This Row],[Total required Latrines]]-(WWWW[[#This Row],['#_Constructed latrines_by_WASHAgencies]]+WWWW[[#This Row],['#_Non Cluster partner latrines]])&lt;0,0,WWWW[[#This Row],[Total required Latrines]]-(WWWW[[#This Row],['#_Constructed latrines_by_WASHAgencies]]+WWWW[[#This Row],['#_Non Cluster partner latrines]]))</f>
        <v>7</v>
      </c>
      <c r="DJ150" s="736">
        <f>1-WWWW[[#This Row],[% people access to functioning Latrine]]</f>
        <v>0.37321937321937326</v>
      </c>
      <c r="DK150" s="735">
        <f>IF(OR(WWWW[[#This Row],['#_Non-functional latrines]]="",WWWW[[#This Row],['#_Non-functional latrines]]=0),0,WWWW[[#This Row],['#_Non-functional latrines]]/(WWWW[[#This Row],['#_Constructed latrines_by_WASHAgencies]]+WWWW[[#This Row],['#_Non Cluster partner latrines]]))</f>
        <v>0</v>
      </c>
      <c r="DL150" s="731">
        <f>IF(500*(WWWW[[#This Row],['#_male hygiene promoters]]+WWWW[[#This Row],['#_female hygiene promoters]])&gt;WWWW[[#This Row],[Total PoP ]],WWWW[[#This Row],[Total PoP ]],500*(WWWW[[#This Row],['#_male hygiene promoters]]+WWWW[[#This Row],['#_female hygiene promoters]]))</f>
        <v>351</v>
      </c>
      <c r="DM15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5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50" s="734">
        <f>IF(WWWW[[#This Row],['# People with access to soap]]&gt;WWWW[[#This Row],['# People with access to Sanity Pads]],WWWW[[#This Row],['# People with access to soap]],WWWW[[#This Row],['# People with access to Sanity Pads]])</f>
        <v>50</v>
      </c>
      <c r="DP150" s="734">
        <f>IF(WWWW[[#This Row],['# people reached by regular dedicated hygiene promotion_5]]&gt;WWWW[[#This Row],['# People received regular supply of hygiene items_6]],WWWW[[#This Row],['# people reached by regular dedicated hygiene promotion_5]],WWWW[[#This Row],['# People received regular supply of hygiene items_6]])</f>
        <v>351</v>
      </c>
      <c r="DQ150" s="736">
        <f>IF(WWWW[[#This Row],[HRP3]]/WWWW[[#This Row],[Total PoP ]]&gt;1,1,WWWW[[#This Row],[HRP3]]/WWWW[[#This Row],[Total PoP ]])</f>
        <v>1</v>
      </c>
      <c r="DR150" s="735">
        <f>1-WWWW[[#This Row],[Hygiene Coverage%]]</f>
        <v>0</v>
      </c>
      <c r="DS150" s="733">
        <f>WWWW[[#This Row],['# people reached by regular dedicated hygiene promotion_5]]/WWWW[[#This Row],[Total PoP ]]</f>
        <v>1</v>
      </c>
      <c r="DT15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0.57971014492753625</v>
      </c>
      <c r="DU15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0.2608695652173913</v>
      </c>
      <c r="DV150" s="734">
        <f>WWWW[[#This Row],['#_Constructed/Existing hand washing stations]]-WWWW[[#This Row],['#_Non-Functional_hand_washing_stations]]</f>
        <v>3</v>
      </c>
      <c r="DW150" s="731">
        <f>IF(WWWW[[#This Row],['# Functional hand washing stations during reporting period]]*20&gt;WWWW[[#This Row],[Total HH]],WWWW[[#This Row],[Total HH]],WWWW[[#This Row],['# Functional hand washing stations during reporting period]]*20)</f>
        <v>60</v>
      </c>
      <c r="DX150" s="731">
        <f>IF(WWWW[[#This Row],[Is sufficient soap available for TLS? (Yes/No)]]="yes",WWWW[[#This Row],['#_Constructed/Existing hand washing stations at TLS/CFS/THF]],0)</f>
        <v>0</v>
      </c>
      <c r="DY150" s="428">
        <f>IF(WWWW[[#This Row],['# Functional hand washing stations during reporting period]]*100&gt;WWWW[[#This Row],[Total PoP ]],WWWW[[#This Row],[Total PoP ]],WWWW[[#This Row],['# Functional hand washing stations during reporting period]]*100)</f>
        <v>300</v>
      </c>
      <c r="DZ150" s="428" t="str">
        <f>IF(OR(WWWW[[#This Row],['#_students at TLS_CFS]]="",WWWW[[#This Row],['#_students at TLS_CFS]]=0),"No","Yes")</f>
        <v>No</v>
      </c>
      <c r="EA15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0" s="727" t="str">
        <f>VLOOKUP(WWWW[[#This Row],[Site Name]],SiteDB6[[Site Name]:[CCCM Management]],6,FALSE)</f>
        <v>Yes</v>
      </c>
      <c r="EF150" s="727" t="str">
        <f>VLOOKUP(WWWW[[#This Row],[Site Name]],SiteDB6[[Site Name]:[CCCM Focal Agency]],7,FALSE)</f>
        <v>KBC-MYT</v>
      </c>
      <c r="EG150" s="727" t="str">
        <f>VLOOKUP(WWWW[[#This Row],[Site Name]],SiteDB6[[Site Name]:[Location Type 1]],9,FALSE)</f>
        <v>Camp</v>
      </c>
      <c r="EH150" s="727" t="str">
        <f>VLOOKUP(WWWW[[#This Row],[Site Name]],SiteDB6[[Site Name]:[Type of Accommodation]],10,FALSE)</f>
        <v>Camp</v>
      </c>
      <c r="EI150" s="727" t="str">
        <f>VLOOKUP(WWWW[[#This Row],[Site Name]],SiteDB6[[Site Name]:[Ethnic or GCA/NGCA]],11,FALSE)</f>
        <v>GCA</v>
      </c>
      <c r="EJ150" s="727">
        <f>VLOOKUP(WWWW[[#This Row],[Site Name]],SiteDB6[[Site Name]:[Lat]],12,FALSE)</f>
        <v>25.415482000000001</v>
      </c>
      <c r="EK150" s="727">
        <f>VLOOKUP(WWWW[[#This Row],[Site Name]],SiteDB6[[Site Name]:[Long]],13,FALSE)</f>
        <v>97.386718999999999</v>
      </c>
      <c r="EL150" s="727" t="str">
        <f>VLOOKUP(WWWW[[#This Row],[Site Name]],SiteDB6[[Site Name]:[Pcode]],3,FALSE)</f>
        <v>MMR001CMP001</v>
      </c>
      <c r="EM150" s="732" t="str">
        <f t="shared" si="2"/>
        <v>Covered</v>
      </c>
      <c r="EN150" s="732"/>
      <c r="EO150" s="727">
        <f>VLOOKUP(WWWW[[#This Row],[Site Name]],SiteDB6[[Site Name]:[Pop
(Kachin/Shan-CCCM as of July 2021)]],16,FALSE)</f>
        <v>98</v>
      </c>
      <c r="EP150" s="727">
        <f>VLOOKUP(WWWW[[#This Row],[Site Name]],SiteDB6[[Site Name]:[Pop
(Kachin/Shan-CCCM as of July 2021)]],17,FALSE)</f>
        <v>540</v>
      </c>
    </row>
    <row r="151" spans="1:146" hidden="1">
      <c r="A151" s="725" t="s">
        <v>2763</v>
      </c>
      <c r="B151" s="725" t="s">
        <v>242</v>
      </c>
      <c r="C151" s="726" t="s">
        <v>242</v>
      </c>
      <c r="D151" s="726" t="s">
        <v>307</v>
      </c>
      <c r="E151" s="726" t="s">
        <v>37</v>
      </c>
      <c r="F151" s="726" t="s">
        <v>159</v>
      </c>
      <c r="G151" s="591" t="str">
        <f>VLOOKUP(WWWW[[#This Row],[Site Name]],SiteDB6[[Site Name]:[Location Type]],8,FALSE)</f>
        <v>Camp</v>
      </c>
      <c r="H151" s="726" t="s">
        <v>266</v>
      </c>
      <c r="I151" s="448">
        <v>56</v>
      </c>
      <c r="J151" s="448">
        <v>262</v>
      </c>
      <c r="K151" s="588">
        <v>44197</v>
      </c>
      <c r="L151" s="589">
        <v>44651</v>
      </c>
      <c r="M151" s="448">
        <v>68</v>
      </c>
      <c r="N151" s="728">
        <v>1</v>
      </c>
      <c r="O151" s="728"/>
      <c r="P151" s="728"/>
      <c r="Q151" s="731" t="s">
        <v>41</v>
      </c>
      <c r="R151" s="728">
        <v>2</v>
      </c>
      <c r="S151" s="728">
        <v>5</v>
      </c>
      <c r="T151" s="448">
        <v>1</v>
      </c>
      <c r="U151" s="728"/>
      <c r="V151" s="728"/>
      <c r="W151" s="448">
        <v>5</v>
      </c>
      <c r="X151" s="448">
        <v>1</v>
      </c>
      <c r="Y151" s="448">
        <v>1</v>
      </c>
      <c r="Z151" s="728">
        <v>4</v>
      </c>
      <c r="AA151" s="728"/>
      <c r="AB151" s="728"/>
      <c r="AC151" s="728"/>
      <c r="AD151" s="728"/>
      <c r="AE151" s="448">
        <v>5</v>
      </c>
      <c r="AF151" s="728"/>
      <c r="AG151" s="728"/>
      <c r="AH151" s="728"/>
      <c r="AI151" s="728"/>
      <c r="AJ151" s="728"/>
      <c r="AK151" s="728"/>
      <c r="AL151" s="728"/>
      <c r="AM151" s="728">
        <v>4</v>
      </c>
      <c r="AN151" s="728"/>
      <c r="AO151" s="728"/>
      <c r="AP151" s="590" t="s">
        <v>2880</v>
      </c>
      <c r="AQ151" s="728">
        <v>19</v>
      </c>
      <c r="AR151" s="728"/>
      <c r="AS151" s="733"/>
      <c r="AT151" s="728"/>
      <c r="AU151" s="728"/>
      <c r="AV151" s="728"/>
      <c r="AW151" s="728"/>
      <c r="AX151" s="728"/>
      <c r="AY151" s="727" t="s">
        <v>41</v>
      </c>
      <c r="AZ151" s="732" t="s">
        <v>137</v>
      </c>
      <c r="BA151" s="728"/>
      <c r="BB151" s="728"/>
      <c r="BC151" s="728"/>
      <c r="BD151" s="448"/>
      <c r="BE151" s="448">
        <v>8</v>
      </c>
      <c r="BF151" s="727"/>
      <c r="BG151" s="728">
        <v>3</v>
      </c>
      <c r="BH151" s="728"/>
      <c r="BI151" s="728"/>
      <c r="BJ151" s="728">
        <v>2</v>
      </c>
      <c r="BK151" s="728"/>
      <c r="BL151" s="728"/>
      <c r="BM151" s="728">
        <v>1</v>
      </c>
      <c r="BN151" s="448">
        <v>88</v>
      </c>
      <c r="BO151" s="448">
        <v>100</v>
      </c>
      <c r="BP151" s="727" t="s">
        <v>41</v>
      </c>
      <c r="BQ151" s="734">
        <v>1</v>
      </c>
      <c r="BR151" s="733">
        <v>0.4</v>
      </c>
      <c r="BS151" s="727"/>
      <c r="BT151" s="423">
        <v>1</v>
      </c>
      <c r="BU151" s="423">
        <v>1</v>
      </c>
      <c r="BV151" s="425"/>
      <c r="BW151" s="423">
        <v>0.7</v>
      </c>
      <c r="BX151" s="448"/>
      <c r="BY151" s="448"/>
      <c r="BZ151" s="448"/>
      <c r="CA151" s="448"/>
      <c r="CB151" s="448"/>
      <c r="CC151" s="777"/>
      <c r="CD151" s="448"/>
      <c r="CE151" s="735" t="str">
        <f>IFERROR(WWWW[[#This Row],['#_Water sources passed]]/WWWW[[#This Row],['#_Water sources tested for fecal coliform ]],"no test")</f>
        <v>no test</v>
      </c>
      <c r="CF151" s="733" t="str">
        <f>IFERROR(WWWW[[#This Row],['#_Household passed]]/WWWW[[#This Row],['#_Household water samples tested for fecal coliform]],"no test")</f>
        <v>no test</v>
      </c>
      <c r="CG151" s="734" t="str">
        <f>IF(AND(WWWW[[#This Row],[% of water sources passed]]="no test",WWWW[[#This Row],[% Household passed]]="no test"),"No Test","Tested")</f>
        <v>No Test</v>
      </c>
      <c r="CH151" s="734">
        <f>WWWW[[#This Row],['#_Constructed/existing protected hand dug well]]-WWWW[[#This Row],['#_Non-functional protected hand dug well]]</f>
        <v>1</v>
      </c>
      <c r="CI151" s="734">
        <f>(WWWW[[#This Row],['#_Constructed/Existing tube wells/boreholes/handpumps_WASH_agency]]+WWWW[[#This Row],['#_Non-Cluster partner water tube-wells/boreholes/handpumps]])-WWWW[[#This Row],['#_Non-functional tube wells/boreholes/handpumps]]</f>
        <v>5</v>
      </c>
      <c r="CJ151" s="734">
        <f>WWWW[[#This Row],['#_Constructed/Existingwater storage tank with gravity fed reticulation system]]-WWWW[[#This Row],['#_Non-functional storage tank gravity fed reticulation system]]</f>
        <v>0</v>
      </c>
      <c r="CK151" s="734">
        <f>(WWWW[[#This Row],['#_Water_Liters_supplied_by_Water boating or water trucking]]/90)/15</f>
        <v>0</v>
      </c>
      <c r="CL151" s="734">
        <f>WWWW[[#This Row],['#_Water_Liters_from_Constructed/Existing water distribution system from river or natural spring]]/90/15</f>
        <v>0</v>
      </c>
      <c r="CM151" s="424">
        <f>IF(WWWW[[#This Row],['#_of water points in TLS/CFS]]*500&gt;WWWW[[#This Row],[Total PoP ]],WWWW[[#This Row],[Total PoP ]],WWWW[[#This Row],['#_of water points in TLS/CFS]]*500)</f>
        <v>0</v>
      </c>
      <c r="CN151" s="424">
        <f>IF(WWWW[[#This Row],['#_of water points in THF]]*500&gt;WWWW[[#This Row],[Total PoP ]],WWWW[[#This Row],[Total PoP ]],WWWW[[#This Row],['#_of water points in THF]]*500)</f>
        <v>0</v>
      </c>
      <c r="CO15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51" s="733">
        <f>IF(WWWW[[#This Row],[Location Type 1]]="Village",WWWW[[#This Row],[Access to safe drinking water for Village]],WWWW[[#This Row],[Access to safe drinking water for Camp]])</f>
        <v>1</v>
      </c>
      <c r="CR151" s="731">
        <f>WWWW[[#This Row],[%Equitable and continuous access to sufficient quantity of safe drinking water]]*WWWW[[#This Row],[Total PoP ]]</f>
        <v>262</v>
      </c>
      <c r="CS151" s="733">
        <f>IF((WWWW[[#This Row],['#_Constructed/Existing protected/fenced ponds]]*250)/WWWW[[#This Row],[Total PoP ]]&gt;1,1,(WWWW[[#This Row],['#_Constructed/Existing protected/fenced ponds]]*250)/WWWW[[#This Row],[Total PoP ]])</f>
        <v>1</v>
      </c>
      <c r="CT151" s="731">
        <f>WWWW[[#This Row],[% Access to unimproved water points]]*WWWW[[#This Row],[Total PoP ]]</f>
        <v>262</v>
      </c>
      <c r="CU15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262</v>
      </c>
      <c r="CW151" s="731">
        <f>WWWW[[#This Row],[HRP1]]/500</f>
        <v>0.52400000000000002</v>
      </c>
      <c r="CX151" s="736">
        <f>1-WWWW[[#This Row],[% Equitable and continuous access to sufficient quantity of domestic water]]</f>
        <v>0</v>
      </c>
      <c r="CY151" s="731">
        <f>WWWW[[#This Row],[%equitable and continuous access to sufficient quantity of safe drinking and domestic water''s GAP]]*WWWW[[#This Row],[Total PoP ]]</f>
        <v>0</v>
      </c>
      <c r="CZ151" s="734">
        <f>IF(WWWW[[#This Row],[Total required water points]]-WWWW[[#This Row],['#Water points coverage]]&lt;0,0,WWWW[[#This Row],[Total required water points]]-WWWW[[#This Row],['#Water points coverage]])</f>
        <v>0.47599999999999998</v>
      </c>
      <c r="DA151" s="734">
        <f>ROUND(IF(WWWW[[#This Row],[Total PoP ]]&lt;500,1,WWWW[[#This Row],[Total PoP ]]/500),0)</f>
        <v>1</v>
      </c>
      <c r="DB151" s="734">
        <f>(WWWW[[#This Row],['#_Constructed latrines_by_WASHAgencies]]+WWWW[[#This Row],['#_Non Cluster partner latrines]])-WWWW[[#This Row],['#_Non-functional latrines]]</f>
        <v>19</v>
      </c>
      <c r="DC151" s="631">
        <f>WWWW[[#This Row],[HRP2]]/WWWW[[#This Row],[Total PoP ]]</f>
        <v>1</v>
      </c>
      <c r="DD15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262</v>
      </c>
      <c r="DE15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1" s="424">
        <f>IF(WWWW[[#This Row],['# of functional latrines in THF supported by WASH partners during the reporting period2]]="",0,WWWW[[#This Row],['# of functional latrines in THF supported by WASH partners during the reporting period2]]*50)</f>
        <v>0</v>
      </c>
      <c r="DH151" s="734">
        <f>ROUND(IF(WWWW[[#This Row],[Location Type 1]]="camp",WWWW[[#This Row],[Total PoP ]]/20,IF(WWWW[[#This Row],[Location Type 1]]="Temporary Location",WWWW[[#This Row],[Total PoP ]]/50,(WWWW[[#This Row],[Total PoP ]]/6))),0)</f>
        <v>13</v>
      </c>
      <c r="DI151" s="734">
        <f>IF(WWWW[[#This Row],[Total required Latrines]]-(WWWW[[#This Row],['#_Constructed latrines_by_WASHAgencies]]+WWWW[[#This Row],['#_Non Cluster partner latrines]])&lt;0,0,WWWW[[#This Row],[Total required Latrines]]-(WWWW[[#This Row],['#_Constructed latrines_by_WASHAgencies]]+WWWW[[#This Row],['#_Non Cluster partner latrines]]))</f>
        <v>0</v>
      </c>
      <c r="DJ151" s="736">
        <f>1-WWWW[[#This Row],[% people access to functioning Latrine]]</f>
        <v>0</v>
      </c>
      <c r="DK151" s="735">
        <f>IF(OR(WWWW[[#This Row],['#_Non-functional latrines]]="",WWWW[[#This Row],['#_Non-functional latrines]]=0),0,WWWW[[#This Row],['#_Non-functional latrines]]/(WWWW[[#This Row],['#_Constructed latrines_by_WASHAgencies]]+WWWW[[#This Row],['#_Non Cluster partner latrines]]))</f>
        <v>0</v>
      </c>
      <c r="DL151" s="731">
        <f>IF(500*(WWWW[[#This Row],['#_male hygiene promoters]]+WWWW[[#This Row],['#_female hygiene promoters]])&gt;WWWW[[#This Row],[Total PoP ]],WWWW[[#This Row],[Total PoP ]],500*(WWWW[[#This Row],['#_male hygiene promoters]]+WWWW[[#This Row],['#_female hygiene promoters]]))</f>
        <v>262</v>
      </c>
      <c r="DM15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262</v>
      </c>
      <c r="DN15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51" s="734">
        <f>IF(WWWW[[#This Row],['# People with access to soap]]&gt;WWWW[[#This Row],['# People with access to Sanity Pads]],WWWW[[#This Row],['# People with access to soap]],WWWW[[#This Row],['# People with access to Sanity Pads]])</f>
        <v>262</v>
      </c>
      <c r="DP151" s="734">
        <f>IF(WWWW[[#This Row],['# people reached by regular dedicated hygiene promotion_5]]&gt;WWWW[[#This Row],['# People received regular supply of hygiene items_6]],WWWW[[#This Row],['# people reached by regular dedicated hygiene promotion_5]],WWWW[[#This Row],['# People received regular supply of hygiene items_6]])</f>
        <v>262</v>
      </c>
      <c r="DQ151" s="736">
        <f>IF(WWWW[[#This Row],[HRP3]]/WWWW[[#This Row],[Total PoP ]]&gt;1,1,WWWW[[#This Row],[HRP3]]/WWWW[[#This Row],[Total PoP ]])</f>
        <v>1</v>
      </c>
      <c r="DR151" s="735">
        <f>1-WWWW[[#This Row],[Hygiene Coverage%]]</f>
        <v>0</v>
      </c>
      <c r="DS151" s="733">
        <f>WWWW[[#This Row],['# people reached by regular dedicated hygiene promotion_5]]/WWWW[[#This Row],[Total PoP ]]</f>
        <v>1</v>
      </c>
      <c r="DT15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1" s="734">
        <f>WWWW[[#This Row],['#_Constructed/Existing hand washing stations]]-WWWW[[#This Row],['#_Non-Functional_hand_washing_stations]]</f>
        <v>3</v>
      </c>
      <c r="DW151" s="731">
        <f>IF(WWWW[[#This Row],['# Functional hand washing stations during reporting period]]*20&gt;WWWW[[#This Row],[Total HH]],WWWW[[#This Row],[Total HH]],WWWW[[#This Row],['# Functional hand washing stations during reporting period]]*20)</f>
        <v>56</v>
      </c>
      <c r="DX151" s="731">
        <f>IF(WWWW[[#This Row],[Is sufficient soap available for TLS? (Yes/No)]]="yes",WWWW[[#This Row],['#_Constructed/Existing hand washing stations at TLS/CFS/THF]],0)</f>
        <v>4</v>
      </c>
      <c r="DY151" s="428">
        <f>IF(WWWW[[#This Row],['# Functional hand washing stations during reporting period]]*100&gt;WWWW[[#This Row],[Total PoP ]],WWWW[[#This Row],[Total PoP ]],WWWW[[#This Row],['# Functional hand washing stations during reporting period]]*100)</f>
        <v>262</v>
      </c>
      <c r="DZ151" s="428" t="str">
        <f>IF(OR(WWWW[[#This Row],['#_students at TLS_CFS]]="",WWWW[[#This Row],['#_students at TLS_CFS]]=0),"No","Yes")</f>
        <v>Yes</v>
      </c>
      <c r="EA15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1" s="727" t="str">
        <f>VLOOKUP(WWWW[[#This Row],[Site Name]],SiteDB6[[Site Name]:[CCCM Management]],6,FALSE)</f>
        <v>Yes</v>
      </c>
      <c r="EF151" s="727" t="str">
        <f>VLOOKUP(WWWW[[#This Row],[Site Name]],SiteDB6[[Site Name]:[CCCM Focal Agency]],7,FALSE)</f>
        <v>Shalom</v>
      </c>
      <c r="EG151" s="727" t="str">
        <f>VLOOKUP(WWWW[[#This Row],[Site Name]],SiteDB6[[Site Name]:[Location Type 1]],9,FALSE)</f>
        <v>Camp</v>
      </c>
      <c r="EH151" s="727" t="str">
        <f>VLOOKUP(WWWW[[#This Row],[Site Name]],SiteDB6[[Site Name]:[Type of Accommodation]],10,FALSE)</f>
        <v>Camp</v>
      </c>
      <c r="EI151" s="727" t="str">
        <f>VLOOKUP(WWWW[[#This Row],[Site Name]],SiteDB6[[Site Name]:[Ethnic or GCA/NGCA]],11,FALSE)</f>
        <v>GCA</v>
      </c>
      <c r="EJ151" s="727">
        <f>VLOOKUP(WWWW[[#This Row],[Site Name]],SiteDB6[[Site Name]:[Lat]],12,FALSE)</f>
        <v>25.423209</v>
      </c>
      <c r="EK151" s="727">
        <f>VLOOKUP(WWWW[[#This Row],[Site Name]],SiteDB6[[Site Name]:[Long]],13,FALSE)</f>
        <v>97.379987</v>
      </c>
      <c r="EL151" s="727" t="str">
        <f>VLOOKUP(WWWW[[#This Row],[Site Name]],SiteDB6[[Site Name]:[Pcode]],3,FALSE)</f>
        <v>MMR001CMP023</v>
      </c>
      <c r="EM151" s="732" t="str">
        <f t="shared" si="2"/>
        <v>Covered</v>
      </c>
      <c r="EN151" s="732"/>
      <c r="EO151" s="727">
        <f>VLOOKUP(WWWW[[#This Row],[Site Name]],SiteDB6[[Site Name]:[Pop
(Kachin/Shan-CCCM as of July 2021)]],16,FALSE)</f>
        <v>56</v>
      </c>
      <c r="EP151" s="727">
        <f>VLOOKUP(WWWW[[#This Row],[Site Name]],SiteDB6[[Site Name]:[Pop
(Kachin/Shan-CCCM as of July 2021)]],17,FALSE)</f>
        <v>266</v>
      </c>
    </row>
    <row r="152" spans="1:146" hidden="1">
      <c r="A152" s="725" t="s">
        <v>2763</v>
      </c>
      <c r="B152" s="725" t="s">
        <v>141</v>
      </c>
      <c r="C152" s="726" t="s">
        <v>141</v>
      </c>
      <c r="D152" s="726" t="s">
        <v>241</v>
      </c>
      <c r="E152" s="726" t="s">
        <v>37</v>
      </c>
      <c r="F152" s="726" t="s">
        <v>159</v>
      </c>
      <c r="G152" s="591" t="str">
        <f>VLOOKUP(WWWW[[#This Row],[Site Name]],SiteDB6[[Site Name]:[Location Type]],8,FALSE)</f>
        <v>Camp</v>
      </c>
      <c r="H152" s="726" t="s">
        <v>171</v>
      </c>
      <c r="I152" s="728">
        <v>30</v>
      </c>
      <c r="J152" s="728">
        <v>165</v>
      </c>
      <c r="K152" s="588">
        <v>44105</v>
      </c>
      <c r="L152" s="589">
        <v>44681</v>
      </c>
      <c r="M152" s="728"/>
      <c r="N152" s="728">
        <v>1</v>
      </c>
      <c r="O152" s="728"/>
      <c r="P152" s="728"/>
      <c r="Q152" s="731" t="s">
        <v>41</v>
      </c>
      <c r="R152" s="728"/>
      <c r="S152" s="728">
        <v>5</v>
      </c>
      <c r="T152" s="448"/>
      <c r="U152" s="728"/>
      <c r="V152" s="728"/>
      <c r="W152" s="728">
        <v>2</v>
      </c>
      <c r="X152" s="728"/>
      <c r="Y152" s="728"/>
      <c r="Z152" s="728"/>
      <c r="AA152" s="728"/>
      <c r="AB152" s="728"/>
      <c r="AC152" s="728"/>
      <c r="AD152" s="728"/>
      <c r="AE152" s="728"/>
      <c r="AF152" s="728"/>
      <c r="AG152" s="728"/>
      <c r="AH152" s="728">
        <v>3</v>
      </c>
      <c r="AI152" s="728"/>
      <c r="AJ152" s="728"/>
      <c r="AK152" s="728"/>
      <c r="AL152" s="728"/>
      <c r="AM152" s="728"/>
      <c r="AN152" s="728"/>
      <c r="AO152" s="728"/>
      <c r="AP152" s="732"/>
      <c r="AQ152" s="728">
        <v>5</v>
      </c>
      <c r="AR152" s="728"/>
      <c r="AS152" s="733"/>
      <c r="AT152" s="728"/>
      <c r="AU152" s="728"/>
      <c r="AV152" s="728"/>
      <c r="AW152" s="728"/>
      <c r="AX152" s="728">
        <v>5</v>
      </c>
      <c r="AY152" s="727" t="s">
        <v>41</v>
      </c>
      <c r="AZ152" s="732" t="s">
        <v>137</v>
      </c>
      <c r="BA152" s="728"/>
      <c r="BB152" s="728"/>
      <c r="BC152" s="728"/>
      <c r="BD152" s="448"/>
      <c r="BE152" s="448"/>
      <c r="BF152" s="727"/>
      <c r="BG152" s="728">
        <v>1</v>
      </c>
      <c r="BH152" s="728"/>
      <c r="BI152" s="728"/>
      <c r="BJ152" s="728">
        <v>3</v>
      </c>
      <c r="BK152" s="728"/>
      <c r="BL152" s="728"/>
      <c r="BM152" s="728">
        <v>1</v>
      </c>
      <c r="BN152" s="728">
        <v>41</v>
      </c>
      <c r="BO152" s="728">
        <v>85</v>
      </c>
      <c r="BP152" s="727"/>
      <c r="BQ152" s="734"/>
      <c r="BR152" s="733"/>
      <c r="BS152" s="727"/>
      <c r="BT152" s="423"/>
      <c r="BU152" s="423"/>
      <c r="BV152" s="425"/>
      <c r="BW152" s="423"/>
      <c r="BX152" s="448"/>
      <c r="BY152" s="448"/>
      <c r="BZ152" s="448"/>
      <c r="CA152" s="448"/>
      <c r="CB152" s="448"/>
      <c r="CC152" s="777"/>
      <c r="CD152" s="448"/>
      <c r="CE152" s="735" t="str">
        <f>IFERROR(WWWW[[#This Row],['#_Water sources passed]]/WWWW[[#This Row],['#_Water sources tested for fecal coliform ]],"no test")</f>
        <v>no test</v>
      </c>
      <c r="CF152" s="733" t="str">
        <f>IFERROR(WWWW[[#This Row],['#_Household passed]]/WWWW[[#This Row],['#_Household water samples tested for fecal coliform]],"no test")</f>
        <v>no test</v>
      </c>
      <c r="CG152" s="734" t="str">
        <f>IF(AND(WWWW[[#This Row],[% of water sources passed]]="no test",WWWW[[#This Row],[% Household passed]]="no test"),"No Test","Tested")</f>
        <v>No Test</v>
      </c>
      <c r="CH152" s="734">
        <f>WWWW[[#This Row],['#_Constructed/existing protected hand dug well]]-WWWW[[#This Row],['#_Non-functional protected hand dug well]]</f>
        <v>0</v>
      </c>
      <c r="CI152" s="734">
        <f>(WWWW[[#This Row],['#_Constructed/Existing tube wells/boreholes/handpumps_WASH_agency]]+WWWW[[#This Row],['#_Non-Cluster partner water tube-wells/boreholes/handpumps]])-WWWW[[#This Row],['#_Non-functional tube wells/boreholes/handpumps]]</f>
        <v>2</v>
      </c>
      <c r="CJ152" s="734">
        <f>WWWW[[#This Row],['#_Constructed/Existingwater storage tank with gravity fed reticulation system]]-WWWW[[#This Row],['#_Non-functional storage tank gravity fed reticulation system]]</f>
        <v>0</v>
      </c>
      <c r="CK152" s="734">
        <f>(WWWW[[#This Row],['#_Water_Liters_supplied_by_Water boating or water trucking]]/90)/15</f>
        <v>0</v>
      </c>
      <c r="CL152" s="734">
        <f>WWWW[[#This Row],['#_Water_Liters_from_Constructed/Existing water distribution system from river or natural spring]]/90/15</f>
        <v>0</v>
      </c>
      <c r="CM152" s="424">
        <f>IF(WWWW[[#This Row],['#_of water points in TLS/CFS]]*500&gt;WWWW[[#This Row],[Total PoP ]],WWWW[[#This Row],[Total PoP ]],WWWW[[#This Row],['#_of water points in TLS/CFS]]*500)</f>
        <v>0</v>
      </c>
      <c r="CN152" s="424">
        <f>IF(WWWW[[#This Row],['#_of water points in THF]]*500&gt;WWWW[[#This Row],[Total PoP ]],WWWW[[#This Row],[Total PoP ]],WWWW[[#This Row],['#_of water points in THF]]*500)</f>
        <v>0</v>
      </c>
      <c r="CO15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52" s="733">
        <f>IF(WWWW[[#This Row],[Location Type 1]]="Village",WWWW[[#This Row],[Access to safe drinking water for Village]],WWWW[[#This Row],[Access to safe drinking water for Camp]])</f>
        <v>1</v>
      </c>
      <c r="CR152" s="731">
        <f>WWWW[[#This Row],[%Equitable and continuous access to sufficient quantity of safe drinking water]]*WWWW[[#This Row],[Total PoP ]]</f>
        <v>165</v>
      </c>
      <c r="CS152" s="733">
        <f>IF((WWWW[[#This Row],['#_Constructed/Existing protected/fenced ponds]]*250)/WWWW[[#This Row],[Total PoP ]]&gt;1,1,(WWWW[[#This Row],['#_Constructed/Existing protected/fenced ponds]]*250)/WWWW[[#This Row],[Total PoP ]])</f>
        <v>0</v>
      </c>
      <c r="CT152" s="731">
        <f>WWWW[[#This Row],[% Access to unimproved water points]]*WWWW[[#This Row],[Total PoP ]]</f>
        <v>0</v>
      </c>
      <c r="CU15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v>
      </c>
      <c r="CW152" s="731">
        <f>WWWW[[#This Row],[HRP1]]/500</f>
        <v>0.33</v>
      </c>
      <c r="CX152" s="736">
        <f>1-WWWW[[#This Row],[% Equitable and continuous access to sufficient quantity of domestic water]]</f>
        <v>0</v>
      </c>
      <c r="CY152" s="731">
        <f>WWWW[[#This Row],[%equitable and continuous access to sufficient quantity of safe drinking and domestic water''s GAP]]*WWWW[[#This Row],[Total PoP ]]</f>
        <v>0</v>
      </c>
      <c r="CZ152" s="734">
        <f>IF(WWWW[[#This Row],[Total required water points]]-WWWW[[#This Row],['#Water points coverage]]&lt;0,0,WWWW[[#This Row],[Total required water points]]-WWWW[[#This Row],['#Water points coverage]])</f>
        <v>0.66999999999999993</v>
      </c>
      <c r="DA152" s="734">
        <f>ROUND(IF(WWWW[[#This Row],[Total PoP ]]&lt;500,1,WWWW[[#This Row],[Total PoP ]]/500),0)</f>
        <v>1</v>
      </c>
      <c r="DB152" s="734">
        <f>(WWWW[[#This Row],['#_Constructed latrines_by_WASHAgencies]]+WWWW[[#This Row],['#_Non Cluster partner latrines]])-WWWW[[#This Row],['#_Non-functional latrines]]</f>
        <v>5</v>
      </c>
      <c r="DC152" s="631">
        <f>WWWW[[#This Row],[HRP2]]/WWWW[[#This Row],[Total PoP ]]</f>
        <v>0.60606060606060608</v>
      </c>
      <c r="DD15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15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2" s="424">
        <f>IF(WWWW[[#This Row],['# of functional latrines in THF supported by WASH partners during the reporting period2]]="",0,WWWW[[#This Row],['# of functional latrines in THF supported by WASH partners during the reporting period2]]*50)</f>
        <v>0</v>
      </c>
      <c r="DH152" s="734">
        <f>ROUND(IF(WWWW[[#This Row],[Location Type 1]]="camp",WWWW[[#This Row],[Total PoP ]]/20,IF(WWWW[[#This Row],[Location Type 1]]="Temporary Location",WWWW[[#This Row],[Total PoP ]]/50,(WWWW[[#This Row],[Total PoP ]]/6))),0)</f>
        <v>8</v>
      </c>
      <c r="DI152" s="734">
        <f>IF(WWWW[[#This Row],[Total required Latrines]]-(WWWW[[#This Row],['#_Constructed latrines_by_WASHAgencies]]+WWWW[[#This Row],['#_Non Cluster partner latrines]])&lt;0,0,WWWW[[#This Row],[Total required Latrines]]-(WWWW[[#This Row],['#_Constructed latrines_by_WASHAgencies]]+WWWW[[#This Row],['#_Non Cluster partner latrines]]))</f>
        <v>3</v>
      </c>
      <c r="DJ152" s="736">
        <f>1-WWWW[[#This Row],[% people access to functioning Latrine]]</f>
        <v>0.39393939393939392</v>
      </c>
      <c r="DK152" s="735">
        <f>IF(OR(WWWW[[#This Row],['#_Non-functional latrines]]="",WWWW[[#This Row],['#_Non-functional latrines]]=0),0,WWWW[[#This Row],['#_Non-functional latrines]]/(WWWW[[#This Row],['#_Constructed latrines_by_WASHAgencies]]+WWWW[[#This Row],['#_Non Cluster partner latrines]]))</f>
        <v>0</v>
      </c>
      <c r="DL152" s="731">
        <f>IF(500*(WWWW[[#This Row],['#_male hygiene promoters]]+WWWW[[#This Row],['#_female hygiene promoters]])&gt;WWWW[[#This Row],[Total PoP ]],WWWW[[#This Row],[Total PoP ]],500*(WWWW[[#This Row],['#_male hygiene promoters]]+WWWW[[#This Row],['#_female hygiene promoters]]))</f>
        <v>165</v>
      </c>
      <c r="DM15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165</v>
      </c>
      <c r="DN15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52" s="734">
        <f>IF(WWWW[[#This Row],['# People with access to soap]]&gt;WWWW[[#This Row],['# People with access to Sanity Pads]],WWWW[[#This Row],['# People with access to soap]],WWWW[[#This Row],['# People with access to Sanity Pads]])</f>
        <v>165</v>
      </c>
      <c r="DP152" s="734">
        <f>IF(WWWW[[#This Row],['# people reached by regular dedicated hygiene promotion_5]]&gt;WWWW[[#This Row],['# People received regular supply of hygiene items_6]],WWWW[[#This Row],['# people reached by regular dedicated hygiene promotion_5]],WWWW[[#This Row],['# People received regular supply of hygiene items_6]])</f>
        <v>165</v>
      </c>
      <c r="DQ152" s="736">
        <f>IF(WWWW[[#This Row],[HRP3]]/WWWW[[#This Row],[Total PoP ]]&gt;1,1,WWWW[[#This Row],[HRP3]]/WWWW[[#This Row],[Total PoP ]])</f>
        <v>1</v>
      </c>
      <c r="DR152" s="735">
        <f>1-WWWW[[#This Row],[Hygiene Coverage%]]</f>
        <v>0</v>
      </c>
      <c r="DS152" s="733">
        <f>WWWW[[#This Row],['# people reached by regular dedicated hygiene promotion_5]]/WWWW[[#This Row],[Total PoP ]]</f>
        <v>1</v>
      </c>
      <c r="DT15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2" s="734">
        <f>WWWW[[#This Row],['#_Constructed/Existing hand washing stations]]-WWWW[[#This Row],['#_Non-Functional_hand_washing_stations]]</f>
        <v>1</v>
      </c>
      <c r="DW152" s="731">
        <f>IF(WWWW[[#This Row],['# Functional hand washing stations during reporting period]]*20&gt;WWWW[[#This Row],[Total HH]],WWWW[[#This Row],[Total HH]],WWWW[[#This Row],['# Functional hand washing stations during reporting period]]*20)</f>
        <v>20</v>
      </c>
      <c r="DX152" s="731">
        <f>IF(WWWW[[#This Row],[Is sufficient soap available for TLS? (Yes/No)]]="yes",WWWW[[#This Row],['#_Constructed/Existing hand washing stations at TLS/CFS/THF]],0)</f>
        <v>0</v>
      </c>
      <c r="DY152" s="428">
        <f>IF(WWWW[[#This Row],['# Functional hand washing stations during reporting period]]*100&gt;WWWW[[#This Row],[Total PoP ]],WWWW[[#This Row],[Total PoP ]],WWWW[[#This Row],['# Functional hand washing stations during reporting period]]*100)</f>
        <v>100</v>
      </c>
      <c r="DZ152" s="428" t="str">
        <f>IF(OR(WWWW[[#This Row],['#_students at TLS_CFS]]="",WWWW[[#This Row],['#_students at TLS_CFS]]=0),"No","Yes")</f>
        <v>No</v>
      </c>
      <c r="EA15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2" s="727" t="str">
        <f>VLOOKUP(WWWW[[#This Row],[Site Name]],SiteDB6[[Site Name]:[CCCM Management]],6,FALSE)</f>
        <v>Yes</v>
      </c>
      <c r="EF152" s="727" t="str">
        <f>VLOOKUP(WWWW[[#This Row],[Site Name]],SiteDB6[[Site Name]:[CCCM Focal Agency]],7,FALSE)</f>
        <v>KBC-MYT</v>
      </c>
      <c r="EG152" s="727" t="str">
        <f>VLOOKUP(WWWW[[#This Row],[Site Name]],SiteDB6[[Site Name]:[Location Type 1]],9,FALSE)</f>
        <v>Camp</v>
      </c>
      <c r="EH152" s="727" t="str">
        <f>VLOOKUP(WWWW[[#This Row],[Site Name]],SiteDB6[[Site Name]:[Type of Accommodation]],10,FALSE)</f>
        <v>Camp</v>
      </c>
      <c r="EI152" s="727" t="str">
        <f>VLOOKUP(WWWW[[#This Row],[Site Name]],SiteDB6[[Site Name]:[Ethnic or GCA/NGCA]],11,FALSE)</f>
        <v>GCA</v>
      </c>
      <c r="EJ152" s="727">
        <f>VLOOKUP(WWWW[[#This Row],[Site Name]],SiteDB6[[Site Name]:[Lat]],12,FALSE)</f>
        <v>25.404752999999999</v>
      </c>
      <c r="EK152" s="727">
        <f>VLOOKUP(WWWW[[#This Row],[Site Name]],SiteDB6[[Site Name]:[Long]],13,FALSE)</f>
        <v>97.377662999999998</v>
      </c>
      <c r="EL152" s="727" t="str">
        <f>VLOOKUP(WWWW[[#This Row],[Site Name]],SiteDB6[[Site Name]:[Pcode]],3,FALSE)</f>
        <v>MMR001CMP003</v>
      </c>
      <c r="EM152" s="732" t="str">
        <f t="shared" si="2"/>
        <v>Covered</v>
      </c>
      <c r="EN152" s="732"/>
      <c r="EO152" s="727">
        <f>VLOOKUP(WWWW[[#This Row],[Site Name]],SiteDB6[[Site Name]:[Pop
(Kachin/Shan-CCCM as of July 2021)]],16,FALSE)</f>
        <v>35</v>
      </c>
      <c r="EP152" s="727">
        <f>VLOOKUP(WWWW[[#This Row],[Site Name]],SiteDB6[[Site Name]:[Pop
(Kachin/Shan-CCCM as of July 2021)]],17,FALSE)</f>
        <v>189</v>
      </c>
    </row>
    <row r="153" spans="1:146" hidden="1">
      <c r="A153" s="725" t="s">
        <v>2763</v>
      </c>
      <c r="B153" s="725" t="s">
        <v>141</v>
      </c>
      <c r="C153" s="726" t="s">
        <v>141</v>
      </c>
      <c r="D153" s="726" t="s">
        <v>241</v>
      </c>
      <c r="E153" s="726" t="s">
        <v>37</v>
      </c>
      <c r="F153" s="726" t="s">
        <v>159</v>
      </c>
      <c r="G153" s="591" t="str">
        <f>VLOOKUP(WWWW[[#This Row],[Site Name]],SiteDB6[[Site Name]:[Location Type]],8,FALSE)</f>
        <v>Camp</v>
      </c>
      <c r="H153" s="726" t="s">
        <v>172</v>
      </c>
      <c r="I153" s="728">
        <v>43</v>
      </c>
      <c r="J153" s="728">
        <v>219</v>
      </c>
      <c r="K153" s="588">
        <v>44105</v>
      </c>
      <c r="L153" s="589">
        <v>44681</v>
      </c>
      <c r="M153" s="728"/>
      <c r="N153" s="728">
        <v>1</v>
      </c>
      <c r="O153" s="728"/>
      <c r="P153" s="728"/>
      <c r="Q153" s="731" t="s">
        <v>41</v>
      </c>
      <c r="R153" s="728"/>
      <c r="S153" s="728">
        <v>4</v>
      </c>
      <c r="T153" s="448"/>
      <c r="U153" s="728"/>
      <c r="V153" s="728"/>
      <c r="W153" s="728">
        <v>2</v>
      </c>
      <c r="X153" s="728"/>
      <c r="Y153" s="728"/>
      <c r="Z153" s="728"/>
      <c r="AA153" s="728"/>
      <c r="AB153" s="728"/>
      <c r="AC153" s="728"/>
      <c r="AD153" s="728"/>
      <c r="AE153" s="728"/>
      <c r="AF153" s="728"/>
      <c r="AG153" s="728"/>
      <c r="AH153" s="728">
        <v>3</v>
      </c>
      <c r="AI153" s="728"/>
      <c r="AJ153" s="728"/>
      <c r="AK153" s="728"/>
      <c r="AL153" s="728"/>
      <c r="AM153" s="728"/>
      <c r="AN153" s="728"/>
      <c r="AO153" s="728"/>
      <c r="AP153" s="732"/>
      <c r="AQ153" s="728">
        <v>13</v>
      </c>
      <c r="AR153" s="728"/>
      <c r="AS153" s="733"/>
      <c r="AT153" s="728"/>
      <c r="AU153" s="728"/>
      <c r="AV153" s="728"/>
      <c r="AW153" s="728"/>
      <c r="AX153" s="728">
        <v>13</v>
      </c>
      <c r="AY153" s="727" t="s">
        <v>41</v>
      </c>
      <c r="AZ153" s="732" t="s">
        <v>137</v>
      </c>
      <c r="BA153" s="728"/>
      <c r="BB153" s="728"/>
      <c r="BC153" s="728"/>
      <c r="BD153" s="448"/>
      <c r="BE153" s="448"/>
      <c r="BF153" s="727"/>
      <c r="BG153" s="728">
        <v>1</v>
      </c>
      <c r="BH153" s="728"/>
      <c r="BI153" s="728"/>
      <c r="BJ153" s="728">
        <v>1</v>
      </c>
      <c r="BK153" s="728"/>
      <c r="BL153" s="728"/>
      <c r="BM153" s="728">
        <v>1</v>
      </c>
      <c r="BN153" s="728">
        <v>6</v>
      </c>
      <c r="BO153" s="728">
        <v>5</v>
      </c>
      <c r="BP153" s="727"/>
      <c r="BQ153" s="734"/>
      <c r="BR153" s="733"/>
      <c r="BS153" s="727"/>
      <c r="BT153" s="423"/>
      <c r="BU153" s="423"/>
      <c r="BV153" s="425"/>
      <c r="BW153" s="423"/>
      <c r="BX153" s="448"/>
      <c r="BY153" s="448"/>
      <c r="BZ153" s="448"/>
      <c r="CA153" s="448"/>
      <c r="CB153" s="448"/>
      <c r="CC153" s="777"/>
      <c r="CD153" s="448"/>
      <c r="CE153" s="735" t="str">
        <f>IFERROR(WWWW[[#This Row],['#_Water sources passed]]/WWWW[[#This Row],['#_Water sources tested for fecal coliform ]],"no test")</f>
        <v>no test</v>
      </c>
      <c r="CF153" s="733" t="str">
        <f>IFERROR(WWWW[[#This Row],['#_Household passed]]/WWWW[[#This Row],['#_Household water samples tested for fecal coliform]],"no test")</f>
        <v>no test</v>
      </c>
      <c r="CG153" s="734" t="str">
        <f>IF(AND(WWWW[[#This Row],[% of water sources passed]]="no test",WWWW[[#This Row],[% Household passed]]="no test"),"No Test","Tested")</f>
        <v>No Test</v>
      </c>
      <c r="CH153" s="734">
        <f>WWWW[[#This Row],['#_Constructed/existing protected hand dug well]]-WWWW[[#This Row],['#_Non-functional protected hand dug well]]</f>
        <v>0</v>
      </c>
      <c r="CI153" s="734">
        <f>(WWWW[[#This Row],['#_Constructed/Existing tube wells/boreholes/handpumps_WASH_agency]]+WWWW[[#This Row],['#_Non-Cluster partner water tube-wells/boreholes/handpumps]])-WWWW[[#This Row],['#_Non-functional tube wells/boreholes/handpumps]]</f>
        <v>2</v>
      </c>
      <c r="CJ153" s="734">
        <f>WWWW[[#This Row],['#_Constructed/Existingwater storage tank with gravity fed reticulation system]]-WWWW[[#This Row],['#_Non-functional storage tank gravity fed reticulation system]]</f>
        <v>0</v>
      </c>
      <c r="CK153" s="734">
        <f>(WWWW[[#This Row],['#_Water_Liters_supplied_by_Water boating or water trucking]]/90)/15</f>
        <v>0</v>
      </c>
      <c r="CL153" s="734">
        <f>WWWW[[#This Row],['#_Water_Liters_from_Constructed/Existing water distribution system from river or natural spring]]/90/15</f>
        <v>0</v>
      </c>
      <c r="CM153" s="424">
        <f>IF(WWWW[[#This Row],['#_of water points in TLS/CFS]]*500&gt;WWWW[[#This Row],[Total PoP ]],WWWW[[#This Row],[Total PoP ]],WWWW[[#This Row],['#_of water points in TLS/CFS]]*500)</f>
        <v>0</v>
      </c>
      <c r="CN153" s="424">
        <f>IF(WWWW[[#This Row],['#_of water points in THF]]*500&gt;WWWW[[#This Row],[Total PoP ]],WWWW[[#This Row],[Total PoP ]],WWWW[[#This Row],['#_of water points in THF]]*500)</f>
        <v>0</v>
      </c>
      <c r="CO15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53" s="733">
        <f>IF(WWWW[[#This Row],[Location Type 1]]="Village",WWWW[[#This Row],[Access to safe drinking water for Village]],WWWW[[#This Row],[Access to safe drinking water for Camp]])</f>
        <v>1</v>
      </c>
      <c r="CR153" s="731">
        <f>WWWW[[#This Row],[%Equitable and continuous access to sufficient quantity of safe drinking water]]*WWWW[[#This Row],[Total PoP ]]</f>
        <v>219</v>
      </c>
      <c r="CS153" s="733">
        <f>IF((WWWW[[#This Row],['#_Constructed/Existing protected/fenced ponds]]*250)/WWWW[[#This Row],[Total PoP ]]&gt;1,1,(WWWW[[#This Row],['#_Constructed/Existing protected/fenced ponds]]*250)/WWWW[[#This Row],[Total PoP ]])</f>
        <v>0</v>
      </c>
      <c r="CT153" s="731">
        <f>WWWW[[#This Row],[% Access to unimproved water points]]*WWWW[[#This Row],[Total PoP ]]</f>
        <v>0</v>
      </c>
      <c r="CU15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219</v>
      </c>
      <c r="CW153" s="731">
        <f>WWWW[[#This Row],[HRP1]]/500</f>
        <v>0.438</v>
      </c>
      <c r="CX153" s="736">
        <f>1-WWWW[[#This Row],[% Equitable and continuous access to sufficient quantity of domestic water]]</f>
        <v>0</v>
      </c>
      <c r="CY153" s="731">
        <f>WWWW[[#This Row],[%equitable and continuous access to sufficient quantity of safe drinking and domestic water''s GAP]]*WWWW[[#This Row],[Total PoP ]]</f>
        <v>0</v>
      </c>
      <c r="CZ153" s="734">
        <f>IF(WWWW[[#This Row],[Total required water points]]-WWWW[[#This Row],['#Water points coverage]]&lt;0,0,WWWW[[#This Row],[Total required water points]]-WWWW[[#This Row],['#Water points coverage]])</f>
        <v>0.56200000000000006</v>
      </c>
      <c r="DA153" s="734">
        <f>ROUND(IF(WWWW[[#This Row],[Total PoP ]]&lt;500,1,WWWW[[#This Row],[Total PoP ]]/500),0)</f>
        <v>1</v>
      </c>
      <c r="DB153" s="734">
        <f>(WWWW[[#This Row],['#_Constructed latrines_by_WASHAgencies]]+WWWW[[#This Row],['#_Non Cluster partner latrines]])-WWWW[[#This Row],['#_Non-functional latrines]]</f>
        <v>13</v>
      </c>
      <c r="DC153" s="631">
        <f>WWWW[[#This Row],[HRP2]]/WWWW[[#This Row],[Total PoP ]]</f>
        <v>1</v>
      </c>
      <c r="DD15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219</v>
      </c>
      <c r="DE15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3" s="424">
        <f>IF(WWWW[[#This Row],['# of functional latrines in THF supported by WASH partners during the reporting period2]]="",0,WWWW[[#This Row],['# of functional latrines in THF supported by WASH partners during the reporting period2]]*50)</f>
        <v>0</v>
      </c>
      <c r="DH153" s="734">
        <f>ROUND(IF(WWWW[[#This Row],[Location Type 1]]="camp",WWWW[[#This Row],[Total PoP ]]/20,IF(WWWW[[#This Row],[Location Type 1]]="Temporary Location",WWWW[[#This Row],[Total PoP ]]/50,(WWWW[[#This Row],[Total PoP ]]/6))),0)</f>
        <v>11</v>
      </c>
      <c r="DI153" s="734">
        <f>IF(WWWW[[#This Row],[Total required Latrines]]-(WWWW[[#This Row],['#_Constructed latrines_by_WASHAgencies]]+WWWW[[#This Row],['#_Non Cluster partner latrines]])&lt;0,0,WWWW[[#This Row],[Total required Latrines]]-(WWWW[[#This Row],['#_Constructed latrines_by_WASHAgencies]]+WWWW[[#This Row],['#_Non Cluster partner latrines]]))</f>
        <v>0</v>
      </c>
      <c r="DJ153" s="736">
        <f>1-WWWW[[#This Row],[% people access to functioning Latrine]]</f>
        <v>0</v>
      </c>
      <c r="DK153" s="735">
        <f>IF(OR(WWWW[[#This Row],['#_Non-functional latrines]]="",WWWW[[#This Row],['#_Non-functional latrines]]=0),0,WWWW[[#This Row],['#_Non-functional latrines]]/(WWWW[[#This Row],['#_Constructed latrines_by_WASHAgencies]]+WWWW[[#This Row],['#_Non Cluster partner latrines]]))</f>
        <v>0</v>
      </c>
      <c r="DL153" s="731">
        <f>IF(500*(WWWW[[#This Row],['#_male hygiene promoters]]+WWWW[[#This Row],['#_female hygiene promoters]])&gt;WWWW[[#This Row],[Total PoP ]],WWWW[[#This Row],[Total PoP ]],500*(WWWW[[#This Row],['#_male hygiene promoters]]+WWWW[[#This Row],['#_female hygiene promoters]]))</f>
        <v>219</v>
      </c>
      <c r="DM15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5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53" s="734">
        <f>IF(WWWW[[#This Row],['# People with access to soap]]&gt;WWWW[[#This Row],['# People with access to Sanity Pads]],WWWW[[#This Row],['# People with access to soap]],WWWW[[#This Row],['# People with access to Sanity Pads]])</f>
        <v>30</v>
      </c>
      <c r="DP153" s="734">
        <f>IF(WWWW[[#This Row],['# people reached by regular dedicated hygiene promotion_5]]&gt;WWWW[[#This Row],['# People received regular supply of hygiene items_6]],WWWW[[#This Row],['# people reached by regular dedicated hygiene promotion_5]],WWWW[[#This Row],['# People received regular supply of hygiene items_6]])</f>
        <v>219</v>
      </c>
      <c r="DQ153" s="736">
        <f>IF(WWWW[[#This Row],[HRP3]]/WWWW[[#This Row],[Total PoP ]]&gt;1,1,WWWW[[#This Row],[HRP3]]/WWWW[[#This Row],[Total PoP ]])</f>
        <v>1</v>
      </c>
      <c r="DR153" s="735">
        <f>1-WWWW[[#This Row],[Hygiene Coverage%]]</f>
        <v>0</v>
      </c>
      <c r="DS153" s="733">
        <f>WWWW[[#This Row],['# people reached by regular dedicated hygiene promotion_5]]/WWWW[[#This Row],[Total PoP ]]</f>
        <v>1</v>
      </c>
      <c r="DT15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0.55813953488372092</v>
      </c>
      <c r="DU15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0.11627906976744186</v>
      </c>
      <c r="DV153" s="734">
        <f>WWWW[[#This Row],['#_Constructed/Existing hand washing stations]]-WWWW[[#This Row],['#_Non-Functional_hand_washing_stations]]</f>
        <v>1</v>
      </c>
      <c r="DW153" s="731">
        <f>IF(WWWW[[#This Row],['# Functional hand washing stations during reporting period]]*20&gt;WWWW[[#This Row],[Total HH]],WWWW[[#This Row],[Total HH]],WWWW[[#This Row],['# Functional hand washing stations during reporting period]]*20)</f>
        <v>20</v>
      </c>
      <c r="DX153" s="731">
        <f>IF(WWWW[[#This Row],[Is sufficient soap available for TLS? (Yes/No)]]="yes",WWWW[[#This Row],['#_Constructed/Existing hand washing stations at TLS/CFS/THF]],0)</f>
        <v>0</v>
      </c>
      <c r="DY153" s="428">
        <f>IF(WWWW[[#This Row],['# Functional hand washing stations during reporting period]]*100&gt;WWWW[[#This Row],[Total PoP ]],WWWW[[#This Row],[Total PoP ]],WWWW[[#This Row],['# Functional hand washing stations during reporting period]]*100)</f>
        <v>100</v>
      </c>
      <c r="DZ153" s="428" t="str">
        <f>IF(OR(WWWW[[#This Row],['#_students at TLS_CFS]]="",WWWW[[#This Row],['#_students at TLS_CFS]]=0),"No","Yes")</f>
        <v>No</v>
      </c>
      <c r="EA15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3" s="727" t="str">
        <f>VLOOKUP(WWWW[[#This Row],[Site Name]],SiteDB6[[Site Name]:[CCCM Management]],6,FALSE)</f>
        <v>Yes</v>
      </c>
      <c r="EF153" s="727" t="str">
        <f>VLOOKUP(WWWW[[#This Row],[Site Name]],SiteDB6[[Site Name]:[CCCM Focal Agency]],7,FALSE)</f>
        <v>KBC-MYT</v>
      </c>
      <c r="EG153" s="727" t="str">
        <f>VLOOKUP(WWWW[[#This Row],[Site Name]],SiteDB6[[Site Name]:[Location Type 1]],9,FALSE)</f>
        <v>Camp</v>
      </c>
      <c r="EH153" s="727" t="str">
        <f>VLOOKUP(WWWW[[#This Row],[Site Name]],SiteDB6[[Site Name]:[Type of Accommodation]],10,FALSE)</f>
        <v>Camp</v>
      </c>
      <c r="EI153" s="727" t="str">
        <f>VLOOKUP(WWWW[[#This Row],[Site Name]],SiteDB6[[Site Name]:[Ethnic or GCA/NGCA]],11,FALSE)</f>
        <v>GCA</v>
      </c>
      <c r="EJ153" s="727">
        <f>VLOOKUP(WWWW[[#This Row],[Site Name]],SiteDB6[[Site Name]:[Lat]],12,FALSE)</f>
        <v>25.437125999999999</v>
      </c>
      <c r="EK153" s="727">
        <f>VLOOKUP(WWWW[[#This Row],[Site Name]],SiteDB6[[Site Name]:[Long]],13,FALSE)</f>
        <v>97.387276</v>
      </c>
      <c r="EL153" s="727" t="str">
        <f>VLOOKUP(WWWW[[#This Row],[Site Name]],SiteDB6[[Site Name]:[Pcode]],3,FALSE)</f>
        <v>MMR001CMP005</v>
      </c>
      <c r="EM153" s="732" t="str">
        <f t="shared" si="2"/>
        <v>Covered</v>
      </c>
      <c r="EN153" s="732"/>
      <c r="EO153" s="727">
        <f>VLOOKUP(WWWW[[#This Row],[Site Name]],SiteDB6[[Site Name]:[Pop
(Kachin/Shan-CCCM as of July 2021)]],16,FALSE)</f>
        <v>47</v>
      </c>
      <c r="EP153" s="727">
        <f>VLOOKUP(WWWW[[#This Row],[Site Name]],SiteDB6[[Site Name]:[Pop
(Kachin/Shan-CCCM as of July 2021)]],17,FALSE)</f>
        <v>239</v>
      </c>
    </row>
    <row r="154" spans="1:146" hidden="1">
      <c r="A154" s="725" t="s">
        <v>2763</v>
      </c>
      <c r="B154" s="725" t="s">
        <v>242</v>
      </c>
      <c r="C154" s="726" t="s">
        <v>242</v>
      </c>
      <c r="D154" s="726" t="s">
        <v>307</v>
      </c>
      <c r="E154" s="726" t="s">
        <v>37</v>
      </c>
      <c r="F154" s="726" t="s">
        <v>142</v>
      </c>
      <c r="G154" s="591" t="str">
        <f>VLOOKUP(WWWW[[#This Row],[Site Name]],SiteDB6[[Site Name]:[Location Type]],8,FALSE)</f>
        <v>Camp</v>
      </c>
      <c r="H154" s="726" t="s">
        <v>274</v>
      </c>
      <c r="I154" s="448">
        <v>46</v>
      </c>
      <c r="J154" s="448">
        <v>192</v>
      </c>
      <c r="K154" s="588">
        <v>44197</v>
      </c>
      <c r="L154" s="589">
        <v>44651</v>
      </c>
      <c r="M154" s="728"/>
      <c r="N154" s="728">
        <v>1</v>
      </c>
      <c r="O154" s="728"/>
      <c r="P154" s="728"/>
      <c r="Q154" s="731" t="s">
        <v>41</v>
      </c>
      <c r="R154" s="728">
        <v>1</v>
      </c>
      <c r="S154" s="728">
        <v>4</v>
      </c>
      <c r="T154" s="448">
        <v>1</v>
      </c>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590" t="s">
        <v>2888</v>
      </c>
      <c r="AQ154" s="728">
        <v>6</v>
      </c>
      <c r="AR154" s="728"/>
      <c r="AS154" s="733"/>
      <c r="AT154" s="728"/>
      <c r="AU154" s="728"/>
      <c r="AV154" s="728"/>
      <c r="AW154" s="728"/>
      <c r="AX154" s="728"/>
      <c r="AY154" s="727" t="s">
        <v>41</v>
      </c>
      <c r="AZ154" s="732" t="s">
        <v>137</v>
      </c>
      <c r="BA154" s="728"/>
      <c r="BB154" s="728"/>
      <c r="BC154" s="728"/>
      <c r="BD154" s="448"/>
      <c r="BE154" s="448"/>
      <c r="BF154" s="727"/>
      <c r="BG154" s="728">
        <v>3</v>
      </c>
      <c r="BH154" s="728"/>
      <c r="BI154" s="728"/>
      <c r="BJ154" s="728">
        <v>2</v>
      </c>
      <c r="BK154" s="728"/>
      <c r="BL154" s="728"/>
      <c r="BM154" s="728">
        <v>1</v>
      </c>
      <c r="BN154" s="728">
        <v>88</v>
      </c>
      <c r="BO154" s="728">
        <v>100</v>
      </c>
      <c r="BP154" s="425"/>
      <c r="BQ154" s="734"/>
      <c r="BR154" s="423">
        <v>0.4</v>
      </c>
      <c r="BS154" s="425"/>
      <c r="BT154" s="423">
        <v>0.95</v>
      </c>
      <c r="BU154" s="423">
        <v>0.9</v>
      </c>
      <c r="BV154" s="425">
        <v>3</v>
      </c>
      <c r="BW154" s="423">
        <v>0.99</v>
      </c>
      <c r="BX154" s="448"/>
      <c r="BY154" s="448"/>
      <c r="BZ154" s="448"/>
      <c r="CA154" s="448"/>
      <c r="CB154" s="448"/>
      <c r="CC154" s="777"/>
      <c r="CD154" s="448"/>
      <c r="CE154" s="735" t="str">
        <f>IFERROR(WWWW[[#This Row],['#_Water sources passed]]/WWWW[[#This Row],['#_Water sources tested for fecal coliform ]],"no test")</f>
        <v>no test</v>
      </c>
      <c r="CF154" s="733" t="str">
        <f>IFERROR(WWWW[[#This Row],['#_Household passed]]/WWWW[[#This Row],['#_Household water samples tested for fecal coliform]],"no test")</f>
        <v>no test</v>
      </c>
      <c r="CG154" s="734" t="str">
        <f>IF(AND(WWWW[[#This Row],[% of water sources passed]]="no test",WWWW[[#This Row],[% Household passed]]="no test"),"No Test","Tested")</f>
        <v>No Test</v>
      </c>
      <c r="CH154" s="734">
        <f>WWWW[[#This Row],['#_Constructed/existing protected hand dug well]]-WWWW[[#This Row],['#_Non-functional protected hand dug well]]</f>
        <v>1</v>
      </c>
      <c r="CI154" s="734">
        <f>(WWWW[[#This Row],['#_Constructed/Existing tube wells/boreholes/handpumps_WASH_agency]]+WWWW[[#This Row],['#_Non-Cluster partner water tube-wells/boreholes/handpumps]])-WWWW[[#This Row],['#_Non-functional tube wells/boreholes/handpumps]]</f>
        <v>0</v>
      </c>
      <c r="CJ154" s="734">
        <f>WWWW[[#This Row],['#_Constructed/Existingwater storage tank with gravity fed reticulation system]]-WWWW[[#This Row],['#_Non-functional storage tank gravity fed reticulation system]]</f>
        <v>0</v>
      </c>
      <c r="CK154" s="734">
        <f>(WWWW[[#This Row],['#_Water_Liters_supplied_by_Water boating or water trucking]]/90)/15</f>
        <v>0</v>
      </c>
      <c r="CL154" s="734">
        <f>WWWW[[#This Row],['#_Water_Liters_from_Constructed/Existing water distribution system from river or natural spring]]/90/15</f>
        <v>0</v>
      </c>
      <c r="CM154" s="424">
        <f>IF(WWWW[[#This Row],['#_of water points in TLS/CFS]]*500&gt;WWWW[[#This Row],[Total PoP ]],WWWW[[#This Row],[Total PoP ]],WWWW[[#This Row],['#_of water points in TLS/CFS]]*500)</f>
        <v>0</v>
      </c>
      <c r="CN154" s="424">
        <f>IF(WWWW[[#This Row],['#_of water points in THF]]*500&gt;WWWW[[#This Row],[Total PoP ]],WWWW[[#This Row],[Total PoP ]],WWWW[[#This Row],['#_of water points in THF]]*500)</f>
        <v>0</v>
      </c>
      <c r="CO15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54" s="733">
        <f>IF(WWWW[[#This Row],[Location Type 1]]="Village",WWWW[[#This Row],[Access to safe drinking water for Village]],WWWW[[#This Row],[Access to safe drinking water for Camp]])</f>
        <v>1</v>
      </c>
      <c r="CR154" s="731">
        <f>WWWW[[#This Row],[%Equitable and continuous access to sufficient quantity of safe drinking water]]*WWWW[[#This Row],[Total PoP ]]</f>
        <v>192</v>
      </c>
      <c r="CS154" s="733">
        <f>IF((WWWW[[#This Row],['#_Constructed/Existing protected/fenced ponds]]*250)/WWWW[[#This Row],[Total PoP ]]&gt;1,1,(WWWW[[#This Row],['#_Constructed/Existing protected/fenced ponds]]*250)/WWWW[[#This Row],[Total PoP ]])</f>
        <v>0</v>
      </c>
      <c r="CT154" s="731">
        <f>WWWW[[#This Row],[% Access to unimproved water points]]*WWWW[[#This Row],[Total PoP ]]</f>
        <v>0</v>
      </c>
      <c r="CU15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192</v>
      </c>
      <c r="CW154" s="731">
        <f>WWWW[[#This Row],[HRP1]]/500</f>
        <v>0.38400000000000001</v>
      </c>
      <c r="CX154" s="736">
        <f>1-WWWW[[#This Row],[% Equitable and continuous access to sufficient quantity of domestic water]]</f>
        <v>0</v>
      </c>
      <c r="CY154" s="731">
        <f>WWWW[[#This Row],[%equitable and continuous access to sufficient quantity of safe drinking and domestic water''s GAP]]*WWWW[[#This Row],[Total PoP ]]</f>
        <v>0</v>
      </c>
      <c r="CZ154" s="734">
        <f>IF(WWWW[[#This Row],[Total required water points]]-WWWW[[#This Row],['#Water points coverage]]&lt;0,0,WWWW[[#This Row],[Total required water points]]-WWWW[[#This Row],['#Water points coverage]])</f>
        <v>0.61599999999999999</v>
      </c>
      <c r="DA154" s="734">
        <f>ROUND(IF(WWWW[[#This Row],[Total PoP ]]&lt;500,1,WWWW[[#This Row],[Total PoP ]]/500),0)</f>
        <v>1</v>
      </c>
      <c r="DB154" s="734">
        <f>(WWWW[[#This Row],['#_Constructed latrines_by_WASHAgencies]]+WWWW[[#This Row],['#_Non Cluster partner latrines]])-WWWW[[#This Row],['#_Non-functional latrines]]</f>
        <v>6</v>
      </c>
      <c r="DC154" s="631">
        <f>WWWW[[#This Row],[HRP2]]/WWWW[[#This Row],[Total PoP ]]</f>
        <v>0.625</v>
      </c>
      <c r="DD15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15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4" s="424">
        <f>IF(WWWW[[#This Row],['# of functional latrines in THF supported by WASH partners during the reporting period2]]="",0,WWWW[[#This Row],['# of functional latrines in THF supported by WASH partners during the reporting period2]]*50)</f>
        <v>0</v>
      </c>
      <c r="DH154" s="734">
        <f>ROUND(IF(WWWW[[#This Row],[Location Type 1]]="camp",WWWW[[#This Row],[Total PoP ]]/20,IF(WWWW[[#This Row],[Location Type 1]]="Temporary Location",WWWW[[#This Row],[Total PoP ]]/50,(WWWW[[#This Row],[Total PoP ]]/6))),0)</f>
        <v>10</v>
      </c>
      <c r="DI154" s="734">
        <f>IF(WWWW[[#This Row],[Total required Latrines]]-(WWWW[[#This Row],['#_Constructed latrines_by_WASHAgencies]]+WWWW[[#This Row],['#_Non Cluster partner latrines]])&lt;0,0,WWWW[[#This Row],[Total required Latrines]]-(WWWW[[#This Row],['#_Constructed latrines_by_WASHAgencies]]+WWWW[[#This Row],['#_Non Cluster partner latrines]]))</f>
        <v>4</v>
      </c>
      <c r="DJ154" s="736">
        <f>1-WWWW[[#This Row],[% people access to functioning Latrine]]</f>
        <v>0.375</v>
      </c>
      <c r="DK154" s="735">
        <f>IF(OR(WWWW[[#This Row],['#_Non-functional latrines]]="",WWWW[[#This Row],['#_Non-functional latrines]]=0),0,WWWW[[#This Row],['#_Non-functional latrines]]/(WWWW[[#This Row],['#_Constructed latrines_by_WASHAgencies]]+WWWW[[#This Row],['#_Non Cluster partner latrines]]))</f>
        <v>0</v>
      </c>
      <c r="DL154" s="731">
        <f>IF(500*(WWWW[[#This Row],['#_male hygiene promoters]]+WWWW[[#This Row],['#_female hygiene promoters]])&gt;WWWW[[#This Row],[Total PoP ]],WWWW[[#This Row],[Total PoP ]],500*(WWWW[[#This Row],['#_male hygiene promoters]]+WWWW[[#This Row],['#_female hygiene promoters]]))</f>
        <v>192</v>
      </c>
      <c r="DM15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192</v>
      </c>
      <c r="DN15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54" s="734">
        <f>IF(WWWW[[#This Row],['# People with access to soap]]&gt;WWWW[[#This Row],['# People with access to Sanity Pads]],WWWW[[#This Row],['# People with access to soap]],WWWW[[#This Row],['# People with access to Sanity Pads]])</f>
        <v>192</v>
      </c>
      <c r="DP154" s="734">
        <f>IF(WWWW[[#This Row],['# people reached by regular dedicated hygiene promotion_5]]&gt;WWWW[[#This Row],['# People received regular supply of hygiene items_6]],WWWW[[#This Row],['# people reached by regular dedicated hygiene promotion_5]],WWWW[[#This Row],['# People received regular supply of hygiene items_6]])</f>
        <v>192</v>
      </c>
      <c r="DQ154" s="736">
        <f>IF(WWWW[[#This Row],[HRP3]]/WWWW[[#This Row],[Total PoP ]]&gt;1,1,WWWW[[#This Row],[HRP3]]/WWWW[[#This Row],[Total PoP ]])</f>
        <v>1</v>
      </c>
      <c r="DR154" s="735">
        <f>1-WWWW[[#This Row],[Hygiene Coverage%]]</f>
        <v>0</v>
      </c>
      <c r="DS154" s="733">
        <f>WWWW[[#This Row],['# people reached by regular dedicated hygiene promotion_5]]/WWWW[[#This Row],[Total PoP ]]</f>
        <v>1</v>
      </c>
      <c r="DT15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4" s="734">
        <f>WWWW[[#This Row],['#_Constructed/Existing hand washing stations]]-WWWW[[#This Row],['#_Non-Functional_hand_washing_stations]]</f>
        <v>3</v>
      </c>
      <c r="DW154" s="731">
        <f>IF(WWWW[[#This Row],['# Functional hand washing stations during reporting period]]*20&gt;WWWW[[#This Row],[Total HH]],WWWW[[#This Row],[Total HH]],WWWW[[#This Row],['# Functional hand washing stations during reporting period]]*20)</f>
        <v>46</v>
      </c>
      <c r="DX154" s="731">
        <f>IF(WWWW[[#This Row],[Is sufficient soap available for TLS? (Yes/No)]]="yes",WWWW[[#This Row],['#_Constructed/Existing hand washing stations at TLS/CFS/THF]],0)</f>
        <v>0</v>
      </c>
      <c r="DY154" s="428">
        <f>IF(WWWW[[#This Row],['# Functional hand washing stations during reporting period]]*100&gt;WWWW[[#This Row],[Total PoP ]],WWWW[[#This Row],[Total PoP ]],WWWW[[#This Row],['# Functional hand washing stations during reporting period]]*100)</f>
        <v>192</v>
      </c>
      <c r="DZ154" s="428" t="str">
        <f>IF(OR(WWWW[[#This Row],['#_students at TLS_CFS]]="",WWWW[[#This Row],['#_students at TLS_CFS]]=0),"No","Yes")</f>
        <v>No</v>
      </c>
      <c r="EA154" s="631">
        <f>IF(WWWW[[#This Row],['#_of_affected_people_surveyed_who_report_feeling_informed_about_the_different_WASH_services_available_to_them]]="","",WWWW[[#This Row],['#_of_affected_people_surveyed_who_report_feeling_informed_about_the_different_WASH_services_available_to_them]]/WWWW[[#This Row],[Total PoP ]])</f>
        <v>1.5625E-2</v>
      </c>
      <c r="EB15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4" s="727" t="str">
        <f>VLOOKUP(WWWW[[#This Row],[Site Name]],SiteDB6[[Site Name]:[CCCM Management]],6,FALSE)</f>
        <v>Yes</v>
      </c>
      <c r="EF154" s="727" t="str">
        <f>VLOOKUP(WWWW[[#This Row],[Site Name]],SiteDB6[[Site Name]:[CCCM Focal Agency]],7,FALSE)</f>
        <v>Shalom</v>
      </c>
      <c r="EG154" s="727" t="str">
        <f>VLOOKUP(WWWW[[#This Row],[Site Name]],SiteDB6[[Site Name]:[Location Type 1]],9,FALSE)</f>
        <v>Camp</v>
      </c>
      <c r="EH154" s="727" t="str">
        <f>VLOOKUP(WWWW[[#This Row],[Site Name]],SiteDB6[[Site Name]:[Type of Accommodation]],10,FALSE)</f>
        <v>Camp</v>
      </c>
      <c r="EI154" s="727" t="str">
        <f>VLOOKUP(WWWW[[#This Row],[Site Name]],SiteDB6[[Site Name]:[Ethnic or GCA/NGCA]],11,FALSE)</f>
        <v>GCA</v>
      </c>
      <c r="EJ154" s="727">
        <f>VLOOKUP(WWWW[[#This Row],[Site Name]],SiteDB6[[Site Name]:[Lat]],12,FALSE)</f>
        <v>25.333683333333301</v>
      </c>
      <c r="EK154" s="727">
        <f>VLOOKUP(WWWW[[#This Row],[Site Name]],SiteDB6[[Site Name]:[Long]],13,FALSE)</f>
        <v>97.428251153846105</v>
      </c>
      <c r="EL154" s="727" t="str">
        <f>VLOOKUP(WWWW[[#This Row],[Site Name]],SiteDB6[[Site Name]:[Pcode]],3,FALSE)</f>
        <v>MMR001CMP037</v>
      </c>
      <c r="EM154" s="732" t="str">
        <f t="shared" si="2"/>
        <v>Covered</v>
      </c>
      <c r="EN154" s="732"/>
      <c r="EO154" s="727">
        <f>VLOOKUP(WWWW[[#This Row],[Site Name]],SiteDB6[[Site Name]:[Pop
(Kachin/Shan-CCCM as of July 2021)]],16,FALSE)</f>
        <v>46</v>
      </c>
      <c r="EP154" s="727">
        <f>VLOOKUP(WWWW[[#This Row],[Site Name]],SiteDB6[[Site Name]:[Pop
(Kachin/Shan-CCCM as of July 2021)]],17,FALSE)</f>
        <v>192</v>
      </c>
    </row>
    <row r="155" spans="1:146" hidden="1">
      <c r="A155" s="725" t="s">
        <v>2763</v>
      </c>
      <c r="B155" s="707" t="s">
        <v>2806</v>
      </c>
      <c r="C155" s="786" t="s">
        <v>141</v>
      </c>
      <c r="D155" s="369" t="s">
        <v>2813</v>
      </c>
      <c r="E155" s="786" t="s">
        <v>37</v>
      </c>
      <c r="F155" s="786" t="s">
        <v>159</v>
      </c>
      <c r="G155" s="787" t="str">
        <f>VLOOKUP(WWWW[[#This Row],[Site Name]],SiteDB6[[Site Name]:[Location Type]],8,FALSE)</f>
        <v>Camp</v>
      </c>
      <c r="H155" s="875" t="s">
        <v>1614</v>
      </c>
      <c r="I155" s="448">
        <v>168</v>
      </c>
      <c r="J155" s="448">
        <v>866</v>
      </c>
      <c r="K155" s="800" t="s">
        <v>2814</v>
      </c>
      <c r="L155" s="589" t="s">
        <v>2815</v>
      </c>
      <c r="M155" s="788"/>
      <c r="N155" s="788">
        <v>3</v>
      </c>
      <c r="O155" s="788"/>
      <c r="P155" s="788"/>
      <c r="Q155" s="791" t="s">
        <v>136</v>
      </c>
      <c r="R155" s="788"/>
      <c r="S155" s="788">
        <v>3</v>
      </c>
      <c r="T155" s="448">
        <v>1</v>
      </c>
      <c r="U155" s="788"/>
      <c r="V155" s="788"/>
      <c r="W155" s="788">
        <v>1</v>
      </c>
      <c r="X155" s="788"/>
      <c r="Y155" s="788"/>
      <c r="Z155" s="788"/>
      <c r="AA155" s="788"/>
      <c r="AB155" s="788"/>
      <c r="AC155" s="788"/>
      <c r="AD155" s="788"/>
      <c r="AE155" s="788"/>
      <c r="AF155" s="788"/>
      <c r="AG155" s="788"/>
      <c r="AH155" s="788">
        <v>4</v>
      </c>
      <c r="AI155" s="788"/>
      <c r="AJ155" s="788"/>
      <c r="AK155" s="788"/>
      <c r="AL155" s="788"/>
      <c r="AM155" s="788"/>
      <c r="AN155" s="788"/>
      <c r="AO155" s="788"/>
      <c r="AP155" s="792"/>
      <c r="AQ155" s="788">
        <v>28</v>
      </c>
      <c r="AR155" s="788"/>
      <c r="AS155" s="793"/>
      <c r="AT155" s="788"/>
      <c r="AU155" s="788"/>
      <c r="AV155" s="788"/>
      <c r="AW155" s="788"/>
      <c r="AX155" s="788">
        <v>10</v>
      </c>
      <c r="AY155" s="727" t="s">
        <v>41</v>
      </c>
      <c r="AZ155" s="732" t="s">
        <v>137</v>
      </c>
      <c r="BA155" s="788"/>
      <c r="BB155" s="788"/>
      <c r="BC155" s="788"/>
      <c r="BD155" s="448"/>
      <c r="BE155" s="448"/>
      <c r="BF155" s="787"/>
      <c r="BG155" s="788">
        <v>3</v>
      </c>
      <c r="BH155" s="788"/>
      <c r="BI155" s="788"/>
      <c r="BJ155" s="788">
        <v>2</v>
      </c>
      <c r="BK155" s="788"/>
      <c r="BL155" s="788">
        <v>1</v>
      </c>
      <c r="BM155" s="788">
        <v>2</v>
      </c>
      <c r="BN155" s="788">
        <v>88</v>
      </c>
      <c r="BO155" s="788">
        <v>100</v>
      </c>
      <c r="BP155" s="787"/>
      <c r="BQ155" s="794"/>
      <c r="BR155" s="793"/>
      <c r="BS155" s="787"/>
      <c r="BT155" s="423"/>
      <c r="BU155" s="423"/>
      <c r="BV155" s="448">
        <f>0.78*WWWW[[#This Row],[Total PoP ]]</f>
        <v>675.48</v>
      </c>
      <c r="BW155" s="423">
        <v>0.52</v>
      </c>
      <c r="BX155" s="448"/>
      <c r="BY155" s="448"/>
      <c r="BZ155" s="448"/>
      <c r="CA155" s="448">
        <v>0</v>
      </c>
      <c r="CB155" s="448">
        <v>0</v>
      </c>
      <c r="CC155" s="777"/>
      <c r="CD155" s="448"/>
      <c r="CE155" s="795" t="str">
        <f>IFERROR(WWWW[[#This Row],['#_Water sources passed]]/WWWW[[#This Row],['#_Water sources tested for fecal coliform ]],"no test")</f>
        <v>no test</v>
      </c>
      <c r="CF155" s="793" t="str">
        <f>IFERROR(WWWW[[#This Row],['#_Household passed]]/WWWW[[#This Row],['#_Household water samples tested for fecal coliform]],"no test")</f>
        <v>no test</v>
      </c>
      <c r="CG155" s="794" t="str">
        <f>IF(AND(WWWW[[#This Row],[% of water sources passed]]="no test",WWWW[[#This Row],[% Household passed]]="no test"),"No Test","Tested")</f>
        <v>No Test</v>
      </c>
      <c r="CH155" s="794">
        <f>WWWW[[#This Row],['#_Constructed/existing protected hand dug well]]-WWWW[[#This Row],['#_Non-functional protected hand dug well]]</f>
        <v>1</v>
      </c>
      <c r="CI155" s="794">
        <f>(WWWW[[#This Row],['#_Constructed/Existing tube wells/boreholes/handpumps_WASH_agency]]+WWWW[[#This Row],['#_Non-Cluster partner water tube-wells/boreholes/handpumps]])-WWWW[[#This Row],['#_Non-functional tube wells/boreholes/handpumps]]</f>
        <v>1</v>
      </c>
      <c r="CJ155" s="794">
        <f>WWWW[[#This Row],['#_Constructed/Existingwater storage tank with gravity fed reticulation system]]-WWWW[[#This Row],['#_Non-functional storage tank gravity fed reticulation system]]</f>
        <v>0</v>
      </c>
      <c r="CK155" s="794">
        <f>(WWWW[[#This Row],['#_Water_Liters_supplied_by_Water boating or water trucking]]/90)/15</f>
        <v>0</v>
      </c>
      <c r="CL155" s="794">
        <f>WWWW[[#This Row],['#_Water_Liters_from_Constructed/Existing water distribution system from river or natural spring]]/90/15</f>
        <v>0</v>
      </c>
      <c r="CM155" s="424">
        <f>IF(WWWW[[#This Row],['#_of water points in TLS/CFS]]*500&gt;WWWW[[#This Row],[Total PoP ]],WWWW[[#This Row],[Total PoP ]],WWWW[[#This Row],['#_of water points in TLS/CFS]]*500)</f>
        <v>0</v>
      </c>
      <c r="CN155" s="424">
        <f>IF(WWWW[[#This Row],['#_of water points in THF]]*500&gt;WWWW[[#This Row],[Total PoP ]],WWWW[[#This Row],[Total PoP ]],WWWW[[#This Row],['#_of water points in THF]]*500)</f>
        <v>0</v>
      </c>
      <c r="CO155"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5"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0.57736720554272514</v>
      </c>
      <c r="CQ155" s="793">
        <f>IF(WWWW[[#This Row],[Location Type 1]]="Village",WWWW[[#This Row],[Access to safe drinking water for Village]],WWWW[[#This Row],[Access to safe drinking water for Camp]])</f>
        <v>1</v>
      </c>
      <c r="CR155" s="791">
        <f>WWWW[[#This Row],[%Equitable and continuous access to sufficient quantity of safe drinking water]]*WWWW[[#This Row],[Total PoP ]]</f>
        <v>866</v>
      </c>
      <c r="CS155" s="793">
        <f>IF((WWWW[[#This Row],['#_Constructed/Existing protected/fenced ponds]]*250)/WWWW[[#This Row],[Total PoP ]]&gt;1,1,(WWWW[[#This Row],['#_Constructed/Existing protected/fenced ponds]]*250)/WWWW[[#This Row],[Total PoP ]])</f>
        <v>0</v>
      </c>
      <c r="CT155" s="791">
        <f>WWWW[[#This Row],[% Access to unimproved water points]]*WWWW[[#This Row],[Total PoP ]]</f>
        <v>0</v>
      </c>
      <c r="CU155"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5"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866</v>
      </c>
      <c r="CW155" s="791">
        <f>WWWW[[#This Row],[HRP1]]/500</f>
        <v>1.732</v>
      </c>
      <c r="CX155" s="796">
        <f>1-WWWW[[#This Row],[% Equitable and continuous access to sufficient quantity of domestic water]]</f>
        <v>0</v>
      </c>
      <c r="CY155" s="791">
        <f>WWWW[[#This Row],[%equitable and continuous access to sufficient quantity of safe drinking and domestic water''s GAP]]*WWWW[[#This Row],[Total PoP ]]</f>
        <v>0</v>
      </c>
      <c r="CZ155" s="794">
        <f>IF(WWWW[[#This Row],[Total required water points]]-WWWW[[#This Row],['#Water points coverage]]&lt;0,0,WWWW[[#This Row],[Total required water points]]-WWWW[[#This Row],['#Water points coverage]])</f>
        <v>0.26800000000000002</v>
      </c>
      <c r="DA155" s="794">
        <f>ROUND(IF(WWWW[[#This Row],[Total PoP ]]&lt;500,1,WWWW[[#This Row],[Total PoP ]]/500),0)</f>
        <v>2</v>
      </c>
      <c r="DB155" s="794">
        <f>(WWWW[[#This Row],['#_Constructed latrines_by_WASHAgencies]]+WWWW[[#This Row],['#_Non Cluster partner latrines]])-WWWW[[#This Row],['#_Non-functional latrines]]</f>
        <v>28</v>
      </c>
      <c r="DC155" s="631">
        <f>WWWW[[#This Row],[HRP2]]/WWWW[[#This Row],[Total PoP ]]</f>
        <v>0.64665127020785218</v>
      </c>
      <c r="DD155"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DE155"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5"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5" s="424">
        <f>IF(WWWW[[#This Row],['# of functional latrines in THF supported by WASH partners during the reporting period2]]="",0,WWWW[[#This Row],['# of functional latrines in THF supported by WASH partners during the reporting period2]]*50)</f>
        <v>0</v>
      </c>
      <c r="DH155" s="794">
        <f>ROUND(IF(WWWW[[#This Row],[Location Type 1]]="camp",WWWW[[#This Row],[Total PoP ]]/20,IF(WWWW[[#This Row],[Location Type 1]]="Temporary Location",WWWW[[#This Row],[Total PoP ]]/50,(WWWW[[#This Row],[Total PoP ]]/6))),0)</f>
        <v>43</v>
      </c>
      <c r="DI155" s="794">
        <f>IF(WWWW[[#This Row],[Total required Latrines]]-(WWWW[[#This Row],['#_Constructed latrines_by_WASHAgencies]]+WWWW[[#This Row],['#_Non Cluster partner latrines]])&lt;0,0,WWWW[[#This Row],[Total required Latrines]]-(WWWW[[#This Row],['#_Constructed latrines_by_WASHAgencies]]+WWWW[[#This Row],['#_Non Cluster partner latrines]]))</f>
        <v>15</v>
      </c>
      <c r="DJ155" s="796">
        <f>1-WWWW[[#This Row],[% people access to functioning Latrine]]</f>
        <v>0.35334872979214782</v>
      </c>
      <c r="DK155" s="795">
        <f>IF(OR(WWWW[[#This Row],['#_Non-functional latrines]]="",WWWW[[#This Row],['#_Non-functional latrines]]=0),0,WWWW[[#This Row],['#_Non-functional latrines]]/(WWWW[[#This Row],['#_Constructed latrines_by_WASHAgencies]]+WWWW[[#This Row],['#_Non Cluster partner latrines]]))</f>
        <v>0</v>
      </c>
      <c r="DL155" s="791">
        <f>IF(500*(WWWW[[#This Row],['#_male hygiene promoters]]+WWWW[[#This Row],['#_female hygiene promoters]])&gt;WWWW[[#This Row],[Total PoP ]],WWWW[[#This Row],[Total PoP ]],500*(WWWW[[#This Row],['#_male hygiene promoters]]+WWWW[[#This Row],['#_female hygiene promoters]]))</f>
        <v>866</v>
      </c>
      <c r="DM155"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155"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55" s="794">
        <f>IF(WWWW[[#This Row],['# People with access to soap]]&gt;WWWW[[#This Row],['# People with access to Sanity Pads]],WWWW[[#This Row],['# People with access to soap]],WWWW[[#This Row],['# People with access to Sanity Pads]])</f>
        <v>440</v>
      </c>
      <c r="DP155" s="794">
        <f>IF(WWWW[[#This Row],['# people reached by regular dedicated hygiene promotion_5]]&gt;WWWW[[#This Row],['# People received regular supply of hygiene items_6]],WWWW[[#This Row],['# people reached by regular dedicated hygiene promotion_5]],WWWW[[#This Row],['# People received regular supply of hygiene items_6]])</f>
        <v>866</v>
      </c>
      <c r="DQ155" s="796">
        <f>IF(WWWW[[#This Row],[HRP3]]/WWWW[[#This Row],[Total PoP ]]&gt;1,1,WWWW[[#This Row],[HRP3]]/WWWW[[#This Row],[Total PoP ]])</f>
        <v>1</v>
      </c>
      <c r="DR155" s="795">
        <f>1-WWWW[[#This Row],[Hygiene Coverage%]]</f>
        <v>0</v>
      </c>
      <c r="DS155" s="793">
        <f>WWWW[[#This Row],['# people reached by regular dedicated hygiene promotion_5]]/WWWW[[#This Row],[Total PoP ]]</f>
        <v>1</v>
      </c>
      <c r="DT155"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5"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0.59523809523809523</v>
      </c>
      <c r="DV155" s="794">
        <f>WWWW[[#This Row],['#_Constructed/Existing hand washing stations]]-WWWW[[#This Row],['#_Non-Functional_hand_washing_stations]]</f>
        <v>3</v>
      </c>
      <c r="DW155" s="791">
        <f>IF(WWWW[[#This Row],['# Functional hand washing stations during reporting period]]*20&gt;WWWW[[#This Row],[Total HH]],WWWW[[#This Row],[Total HH]],WWWW[[#This Row],['# Functional hand washing stations during reporting period]]*20)</f>
        <v>60</v>
      </c>
      <c r="DX155" s="791">
        <f>IF(WWWW[[#This Row],[Is sufficient soap available for TLS? (Yes/No)]]="yes",WWWW[[#This Row],['#_Constructed/Existing hand washing stations at TLS/CFS/THF]],0)</f>
        <v>0</v>
      </c>
      <c r="DY155" s="428">
        <f>IF(WWWW[[#This Row],['# Functional hand washing stations during reporting period]]*100&gt;WWWW[[#This Row],[Total PoP ]],WWWW[[#This Row],[Total PoP ]],WWWW[[#This Row],['# Functional hand washing stations during reporting period]]*100)</f>
        <v>300</v>
      </c>
      <c r="DZ155" s="428" t="str">
        <f>IF(OR(WWWW[[#This Row],['#_students at TLS_CFS]]="",WWWW[[#This Row],['#_students at TLS_CFS]]=0),"No","Yes")</f>
        <v>No</v>
      </c>
      <c r="EA155" s="631">
        <f>IF(WWWW[[#This Row],['#_of_affected_people_surveyed_who_report_feeling_informed_about_the_different_WASH_services_available_to_them]]="","",WWWW[[#This Row],['#_of_affected_people_surveyed_who_report_feeling_informed_about_the_different_WASH_services_available_to_them]]/WWWW[[#This Row],[Total PoP ]])</f>
        <v>0.78</v>
      </c>
      <c r="EB15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5" s="787" t="str">
        <f>VLOOKUP(WWWW[[#This Row],[Site Name]],SiteDB6[[Site Name]:[CCCM Management]],6,FALSE)</f>
        <v>Yes</v>
      </c>
      <c r="EF155" s="787" t="str">
        <f>VLOOKUP(WWWW[[#This Row],[Site Name]],SiteDB6[[Site Name]:[CCCM Focal Agency]],7,FALSE)</f>
        <v>KBC-MYT</v>
      </c>
      <c r="EG155" s="787" t="str">
        <f>VLOOKUP(WWWW[[#This Row],[Site Name]],SiteDB6[[Site Name]:[Location Type 1]],9,FALSE)</f>
        <v>Camp</v>
      </c>
      <c r="EH155" s="787" t="str">
        <f>VLOOKUP(WWWW[[#This Row],[Site Name]],SiteDB6[[Site Name]:[Type of Accommodation]],10,FALSE)</f>
        <v>Camp</v>
      </c>
      <c r="EI155" s="787" t="str">
        <f>VLOOKUP(WWWW[[#This Row],[Site Name]],SiteDB6[[Site Name]:[Ethnic or GCA/NGCA]],11,FALSE)</f>
        <v>GCA</v>
      </c>
      <c r="EJ155" s="787">
        <f>VLOOKUP(WWWW[[#This Row],[Site Name]],SiteDB6[[Site Name]:[Lat]],12,FALSE)</f>
        <v>25.480989999999998</v>
      </c>
      <c r="EK155" s="787">
        <f>VLOOKUP(WWWW[[#This Row],[Site Name]],SiteDB6[[Site Name]:[Long]],13,FALSE)</f>
        <v>97.431079999999994</v>
      </c>
      <c r="EL155" s="787" t="str">
        <f>VLOOKUP(WWWW[[#This Row],[Site Name]],SiteDB6[[Site Name]:[Pcode]],3,FALSE)</f>
        <v>MMR001CMP263</v>
      </c>
      <c r="EM155" s="792" t="str">
        <f t="shared" si="2"/>
        <v>Covered</v>
      </c>
      <c r="EN155" s="792"/>
      <c r="EO155" s="787">
        <f>VLOOKUP(WWWW[[#This Row],[Site Name]],SiteDB6[[Site Name]:[Pop
(Kachin/Shan-CCCM as of July 2021)]],16,FALSE)</f>
        <v>197</v>
      </c>
      <c r="EP155" s="787">
        <f>VLOOKUP(WWWW[[#This Row],[Site Name]],SiteDB6[[Site Name]:[Pop
(Kachin/Shan-CCCM as of July 2021)]],17,FALSE)</f>
        <v>981</v>
      </c>
    </row>
    <row r="156" spans="1:146" hidden="1">
      <c r="A156" s="725" t="s">
        <v>2763</v>
      </c>
      <c r="B156" s="707" t="s">
        <v>2806</v>
      </c>
      <c r="C156" s="726" t="s">
        <v>141</v>
      </c>
      <c r="D156" s="369" t="s">
        <v>2587</v>
      </c>
      <c r="E156" s="726" t="s">
        <v>37</v>
      </c>
      <c r="F156" s="726" t="s">
        <v>142</v>
      </c>
      <c r="G156" s="591" t="str">
        <f>VLOOKUP(WWWW[[#This Row],[Site Name]],SiteDB6[[Site Name]:[Location Type]],8,FALSE)</f>
        <v>Camp</v>
      </c>
      <c r="H156" s="875" t="s">
        <v>1611</v>
      </c>
      <c r="I156" s="448">
        <v>79</v>
      </c>
      <c r="J156" s="448">
        <v>351</v>
      </c>
      <c r="K156" s="800" t="s">
        <v>2814</v>
      </c>
      <c r="L156" s="56" t="s">
        <v>2815</v>
      </c>
      <c r="M156" s="728"/>
      <c r="N156" s="728">
        <v>2</v>
      </c>
      <c r="O156" s="728"/>
      <c r="P156" s="728"/>
      <c r="Q156" s="731" t="s">
        <v>41</v>
      </c>
      <c r="R156" s="728"/>
      <c r="S156" s="728">
        <v>5</v>
      </c>
      <c r="T156" s="448"/>
      <c r="U156" s="728"/>
      <c r="V156" s="728"/>
      <c r="W156" s="728">
        <v>1</v>
      </c>
      <c r="X156" s="728"/>
      <c r="Y156" s="728"/>
      <c r="Z156" s="728"/>
      <c r="AA156" s="728"/>
      <c r="AB156" s="728"/>
      <c r="AC156" s="728"/>
      <c r="AD156" s="728"/>
      <c r="AE156" s="728"/>
      <c r="AF156" s="728"/>
      <c r="AG156" s="728"/>
      <c r="AH156" s="728">
        <v>3</v>
      </c>
      <c r="AI156" s="728"/>
      <c r="AJ156" s="728"/>
      <c r="AK156" s="728"/>
      <c r="AL156" s="728"/>
      <c r="AM156" s="728"/>
      <c r="AN156" s="728"/>
      <c r="AO156" s="728"/>
      <c r="AP156" s="732"/>
      <c r="AQ156" s="728">
        <v>8</v>
      </c>
      <c r="AR156" s="728"/>
      <c r="AS156" s="733"/>
      <c r="AT156" s="728"/>
      <c r="AU156" s="728"/>
      <c r="AV156" s="728">
        <v>79</v>
      </c>
      <c r="AW156" s="728"/>
      <c r="AX156" s="728">
        <v>6</v>
      </c>
      <c r="AY156" s="727" t="s">
        <v>41</v>
      </c>
      <c r="AZ156" s="732" t="s">
        <v>137</v>
      </c>
      <c r="BA156" s="728"/>
      <c r="BB156" s="728"/>
      <c r="BC156" s="728"/>
      <c r="BD156" s="448"/>
      <c r="BE156" s="448"/>
      <c r="BF156" s="727"/>
      <c r="BG156" s="728">
        <v>3</v>
      </c>
      <c r="BH156" s="728"/>
      <c r="BI156" s="728"/>
      <c r="BJ156" s="728">
        <v>2</v>
      </c>
      <c r="BK156" s="728"/>
      <c r="BL156" s="728">
        <v>1</v>
      </c>
      <c r="BM156" s="728">
        <v>1</v>
      </c>
      <c r="BN156" s="728">
        <v>10</v>
      </c>
      <c r="BO156" s="728">
        <v>18</v>
      </c>
      <c r="BP156" s="727"/>
      <c r="BQ156" s="734"/>
      <c r="BR156" s="733"/>
      <c r="BS156" s="727"/>
      <c r="BT156" s="423"/>
      <c r="BU156" s="423"/>
      <c r="BV156" s="423">
        <f>94%*J158</f>
        <v>217.14</v>
      </c>
      <c r="BW156" s="423">
        <v>0.65</v>
      </c>
      <c r="BX156" s="448"/>
      <c r="BY156" s="448"/>
      <c r="BZ156" s="448"/>
      <c r="CA156" s="448"/>
      <c r="CB156" s="448"/>
      <c r="CC156" s="777"/>
      <c r="CD156" s="448"/>
      <c r="CE156" s="735" t="str">
        <f>IFERROR(WWWW[[#This Row],['#_Water sources passed]]/WWWW[[#This Row],['#_Water sources tested for fecal coliform ]],"no test")</f>
        <v>no test</v>
      </c>
      <c r="CF156" s="733" t="str">
        <f>IFERROR(WWWW[[#This Row],['#_Household passed]]/WWWW[[#This Row],['#_Household water samples tested for fecal coliform]],"no test")</f>
        <v>no test</v>
      </c>
      <c r="CG156" s="734" t="str">
        <f>IF(AND(WWWW[[#This Row],[% of water sources passed]]="no test",WWWW[[#This Row],[% Household passed]]="no test"),"No Test","Tested")</f>
        <v>No Test</v>
      </c>
      <c r="CH156" s="734">
        <f>WWWW[[#This Row],['#_Constructed/existing protected hand dug well]]-WWWW[[#This Row],['#_Non-functional protected hand dug well]]</f>
        <v>0</v>
      </c>
      <c r="CI156" s="734">
        <f>(WWWW[[#This Row],['#_Constructed/Existing tube wells/boreholes/handpumps_WASH_agency]]+WWWW[[#This Row],['#_Non-Cluster partner water tube-wells/boreholes/handpumps]])-WWWW[[#This Row],['#_Non-functional tube wells/boreholes/handpumps]]</f>
        <v>1</v>
      </c>
      <c r="CJ156" s="734">
        <f>WWWW[[#This Row],['#_Constructed/Existingwater storage tank with gravity fed reticulation system]]-WWWW[[#This Row],['#_Non-functional storage tank gravity fed reticulation system]]</f>
        <v>0</v>
      </c>
      <c r="CK156" s="734">
        <f>(WWWW[[#This Row],['#_Water_Liters_supplied_by_Water boating or water trucking]]/90)/15</f>
        <v>0</v>
      </c>
      <c r="CL156" s="734">
        <f>WWWW[[#This Row],['#_Water_Liters_from_Constructed/Existing water distribution system from river or natural spring]]/90/15</f>
        <v>0</v>
      </c>
      <c r="CM156" s="424">
        <f>IF(WWWW[[#This Row],['#_of water points in TLS/CFS]]*500&gt;WWWW[[#This Row],[Total PoP ]],WWWW[[#This Row],[Total PoP ]],WWWW[[#This Row],['#_of water points in TLS/CFS]]*500)</f>
        <v>0</v>
      </c>
      <c r="CN156" s="424">
        <f>IF(WWWW[[#This Row],['#_of water points in THF]]*500&gt;WWWW[[#This Row],[Total PoP ]],WWWW[[#This Row],[Total PoP ]],WWWW[[#This Row],['#_of water points in THF]]*500)</f>
        <v>0</v>
      </c>
      <c r="CO15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0.71225071225071224</v>
      </c>
      <c r="CQ156" s="733">
        <f>IF(WWWW[[#This Row],[Location Type 1]]="Village",WWWW[[#This Row],[Access to safe drinking water for Village]],WWWW[[#This Row],[Access to safe drinking water for Camp]])</f>
        <v>1</v>
      </c>
      <c r="CR156" s="731">
        <f>WWWW[[#This Row],[%Equitable and continuous access to sufficient quantity of safe drinking water]]*WWWW[[#This Row],[Total PoP ]]</f>
        <v>351</v>
      </c>
      <c r="CS156" s="733">
        <f>IF((WWWW[[#This Row],['#_Constructed/Existing protected/fenced ponds]]*250)/WWWW[[#This Row],[Total PoP ]]&gt;1,1,(WWWW[[#This Row],['#_Constructed/Existing protected/fenced ponds]]*250)/WWWW[[#This Row],[Total PoP ]])</f>
        <v>0</v>
      </c>
      <c r="CT156" s="731">
        <f>WWWW[[#This Row],[% Access to unimproved water points]]*WWWW[[#This Row],[Total PoP ]]</f>
        <v>0</v>
      </c>
      <c r="CU15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W156" s="731">
        <f>WWWW[[#This Row],[HRP1]]/500</f>
        <v>0.70199999999999996</v>
      </c>
      <c r="CX156" s="736">
        <f>1-WWWW[[#This Row],[% Equitable and continuous access to sufficient quantity of domestic water]]</f>
        <v>0</v>
      </c>
      <c r="CY156" s="731">
        <f>WWWW[[#This Row],[%equitable and continuous access to sufficient quantity of safe drinking and domestic water''s GAP]]*WWWW[[#This Row],[Total PoP ]]</f>
        <v>0</v>
      </c>
      <c r="CZ156" s="734">
        <f>IF(WWWW[[#This Row],[Total required water points]]-WWWW[[#This Row],['#Water points coverage]]&lt;0,0,WWWW[[#This Row],[Total required water points]]-WWWW[[#This Row],['#Water points coverage]])</f>
        <v>0.29800000000000004</v>
      </c>
      <c r="DA156" s="734">
        <f>ROUND(IF(WWWW[[#This Row],[Total PoP ]]&lt;500,1,WWWW[[#This Row],[Total PoP ]]/500),0)</f>
        <v>1</v>
      </c>
      <c r="DB156" s="734">
        <f>(WWWW[[#This Row],['#_Constructed latrines_by_WASHAgencies]]+WWWW[[#This Row],['#_Non Cluster partner latrines]])-WWWW[[#This Row],['#_Non-functional latrines]]</f>
        <v>8</v>
      </c>
      <c r="DC156" s="631">
        <f>WWWW[[#This Row],[HRP2]]/WWWW[[#This Row],[Total PoP ]]</f>
        <v>0.45584045584045585</v>
      </c>
      <c r="DD15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15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351</v>
      </c>
      <c r="DF15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6" s="424">
        <f>IF(WWWW[[#This Row],['# of functional latrines in THF supported by WASH partners during the reporting period2]]="",0,WWWW[[#This Row],['# of functional latrines in THF supported by WASH partners during the reporting period2]]*50)</f>
        <v>0</v>
      </c>
      <c r="DH156" s="734">
        <f>ROUND(IF(WWWW[[#This Row],[Location Type 1]]="camp",WWWW[[#This Row],[Total PoP ]]/20,IF(WWWW[[#This Row],[Location Type 1]]="Temporary Location",WWWW[[#This Row],[Total PoP ]]/50,(WWWW[[#This Row],[Total PoP ]]/6))),0)</f>
        <v>18</v>
      </c>
      <c r="DI156" s="734">
        <f>IF(WWWW[[#This Row],[Total required Latrines]]-(WWWW[[#This Row],['#_Constructed latrines_by_WASHAgencies]]+WWWW[[#This Row],['#_Non Cluster partner latrines]])&lt;0,0,WWWW[[#This Row],[Total required Latrines]]-(WWWW[[#This Row],['#_Constructed latrines_by_WASHAgencies]]+WWWW[[#This Row],['#_Non Cluster partner latrines]]))</f>
        <v>10</v>
      </c>
      <c r="DJ156" s="736">
        <f>1-WWWW[[#This Row],[% people access to functioning Latrine]]</f>
        <v>0.54415954415954415</v>
      </c>
      <c r="DK156" s="735">
        <f>IF(OR(WWWW[[#This Row],['#_Non-functional latrines]]="",WWWW[[#This Row],['#_Non-functional latrines]]=0),0,WWWW[[#This Row],['#_Non-functional latrines]]/(WWWW[[#This Row],['#_Constructed latrines_by_WASHAgencies]]+WWWW[[#This Row],['#_Non Cluster partner latrines]]))</f>
        <v>0</v>
      </c>
      <c r="DL156" s="731">
        <f>IF(500*(WWWW[[#This Row],['#_male hygiene promoters]]+WWWW[[#This Row],['#_female hygiene promoters]])&gt;WWWW[[#This Row],[Total PoP ]],WWWW[[#This Row],[Total PoP ]],500*(WWWW[[#This Row],['#_male hygiene promoters]]+WWWW[[#This Row],['#_female hygiene promoters]]))</f>
        <v>351</v>
      </c>
      <c r="DM15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5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56" s="734">
        <f>IF(WWWW[[#This Row],['# People with access to soap]]&gt;WWWW[[#This Row],['# People with access to Sanity Pads]],WWWW[[#This Row],['# People with access to soap]],WWWW[[#This Row],['# People with access to Sanity Pads]])</f>
        <v>50</v>
      </c>
      <c r="DP156" s="734">
        <f>IF(WWWW[[#This Row],['# people reached by regular dedicated hygiene promotion_5]]&gt;WWWW[[#This Row],['# People received regular supply of hygiene items_6]],WWWW[[#This Row],['# people reached by regular dedicated hygiene promotion_5]],WWWW[[#This Row],['# People received regular supply of hygiene items_6]])</f>
        <v>351</v>
      </c>
      <c r="DQ156" s="736">
        <f>IF(WWWW[[#This Row],[HRP3]]/WWWW[[#This Row],[Total PoP ]]&gt;1,1,WWWW[[#This Row],[HRP3]]/WWWW[[#This Row],[Total PoP ]])</f>
        <v>1</v>
      </c>
      <c r="DR156" s="735">
        <f>1-WWWW[[#This Row],[Hygiene Coverage%]]</f>
        <v>0</v>
      </c>
      <c r="DS156" s="733">
        <f>WWWW[[#This Row],['# people reached by regular dedicated hygiene promotion_5]]/WWWW[[#This Row],[Total PoP ]]</f>
        <v>1</v>
      </c>
      <c r="DT15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0.50632911392405067</v>
      </c>
      <c r="DU15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0.22784810126582278</v>
      </c>
      <c r="DV156" s="734">
        <f>WWWW[[#This Row],['#_Constructed/Existing hand washing stations]]-WWWW[[#This Row],['#_Non-Functional_hand_washing_stations]]</f>
        <v>3</v>
      </c>
      <c r="DW156" s="731">
        <f>IF(WWWW[[#This Row],['# Functional hand washing stations during reporting period]]*20&gt;WWWW[[#This Row],[Total HH]],WWWW[[#This Row],[Total HH]],WWWW[[#This Row],['# Functional hand washing stations during reporting period]]*20)</f>
        <v>60</v>
      </c>
      <c r="DX156" s="731">
        <f>IF(WWWW[[#This Row],[Is sufficient soap available for TLS? (Yes/No)]]="yes",WWWW[[#This Row],['#_Constructed/Existing hand washing stations at TLS/CFS/THF]],0)</f>
        <v>0</v>
      </c>
      <c r="DY156" s="428">
        <f>IF(WWWW[[#This Row],['# Functional hand washing stations during reporting period]]*100&gt;WWWW[[#This Row],[Total PoP ]],WWWW[[#This Row],[Total PoP ]],WWWW[[#This Row],['# Functional hand washing stations during reporting period]]*100)</f>
        <v>300</v>
      </c>
      <c r="DZ156" s="428" t="str">
        <f>IF(OR(WWWW[[#This Row],['#_students at TLS_CFS]]="",WWWW[[#This Row],['#_students at TLS_CFS]]=0),"No","Yes")</f>
        <v>No</v>
      </c>
      <c r="EA156" s="631">
        <f>IF(WWWW[[#This Row],['#_of_affected_people_surveyed_who_report_feeling_informed_about_the_different_WASH_services_available_to_them]]="","",WWWW[[#This Row],['#_of_affected_people_surveyed_who_report_feeling_informed_about_the_different_WASH_services_available_to_them]]/WWWW[[#This Row],[Total PoP ]])</f>
        <v>0.61863247863247861</v>
      </c>
      <c r="EB15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6" s="727" t="str">
        <f>VLOOKUP(WWWW[[#This Row],[Site Name]],SiteDB6[[Site Name]:[CCCM Management]],6,FALSE)</f>
        <v>Yes</v>
      </c>
      <c r="EF156" s="727" t="str">
        <f>VLOOKUP(WWWW[[#This Row],[Site Name]],SiteDB6[[Site Name]:[CCCM Focal Agency]],7,FALSE)</f>
        <v>KBC-MYT</v>
      </c>
      <c r="EG156" s="727" t="str">
        <f>VLOOKUP(WWWW[[#This Row],[Site Name]],SiteDB6[[Site Name]:[Location Type 1]],9,FALSE)</f>
        <v>Camp</v>
      </c>
      <c r="EH156" s="727" t="str">
        <f>VLOOKUP(WWWW[[#This Row],[Site Name]],SiteDB6[[Site Name]:[Type of Accommodation]],10,FALSE)</f>
        <v>Camp</v>
      </c>
      <c r="EI156" s="727" t="str">
        <f>VLOOKUP(WWWW[[#This Row],[Site Name]],SiteDB6[[Site Name]:[Ethnic or GCA/NGCA]],11,FALSE)</f>
        <v>GCA</v>
      </c>
      <c r="EJ156" s="727">
        <f>VLOOKUP(WWWW[[#This Row],[Site Name]],SiteDB6[[Site Name]:[Lat]],12,FALSE)</f>
        <v>25.350989999999999</v>
      </c>
      <c r="EK156" s="727">
        <f>VLOOKUP(WWWW[[#This Row],[Site Name]],SiteDB6[[Site Name]:[Long]],13,FALSE)</f>
        <v>97.442809999999994</v>
      </c>
      <c r="EL156" s="727" t="str">
        <f>VLOOKUP(WWWW[[#This Row],[Site Name]],SiteDB6[[Site Name]:[Pcode]],3,FALSE)</f>
        <v>MMR001CMP269</v>
      </c>
      <c r="EM156" s="732" t="str">
        <f t="shared" si="2"/>
        <v>Covered</v>
      </c>
      <c r="EN156" s="732"/>
      <c r="EO156" s="727">
        <f>VLOOKUP(WWWW[[#This Row],[Site Name]],SiteDB6[[Site Name]:[Pop
(Kachin/Shan-CCCM as of July 2021)]],16,FALSE)</f>
        <v>81</v>
      </c>
      <c r="EP156" s="727">
        <f>VLOOKUP(WWWW[[#This Row],[Site Name]],SiteDB6[[Site Name]:[Pop
(Kachin/Shan-CCCM as of July 2021)]],17,FALSE)</f>
        <v>387</v>
      </c>
    </row>
    <row r="157" spans="1:146" hidden="1">
      <c r="A157" s="725" t="s">
        <v>2763</v>
      </c>
      <c r="B157" s="725" t="s">
        <v>242</v>
      </c>
      <c r="C157" s="726" t="s">
        <v>242</v>
      </c>
      <c r="D157" s="726" t="s">
        <v>307</v>
      </c>
      <c r="E157" s="726" t="s">
        <v>37</v>
      </c>
      <c r="F157" s="726" t="s">
        <v>142</v>
      </c>
      <c r="G157" s="591" t="str">
        <f>VLOOKUP(WWWW[[#This Row],[Site Name]],SiteDB6[[Site Name]:[Location Type]],8,FALSE)</f>
        <v>Camp</v>
      </c>
      <c r="H157" s="726" t="s">
        <v>275</v>
      </c>
      <c r="I157" s="448">
        <v>68</v>
      </c>
      <c r="J157" s="448">
        <v>293</v>
      </c>
      <c r="K157" s="588">
        <v>44197</v>
      </c>
      <c r="L157" s="589">
        <v>44651</v>
      </c>
      <c r="M157" s="448"/>
      <c r="N157" s="728">
        <v>1</v>
      </c>
      <c r="O157" s="728"/>
      <c r="P157" s="728"/>
      <c r="Q157" s="731" t="s">
        <v>41</v>
      </c>
      <c r="R157" s="728">
        <v>1</v>
      </c>
      <c r="S157" s="728">
        <v>4</v>
      </c>
      <c r="T157" s="448">
        <v>2</v>
      </c>
      <c r="U157" s="728"/>
      <c r="V157" s="728"/>
      <c r="W157" s="728">
        <v>1</v>
      </c>
      <c r="X157" s="728"/>
      <c r="Y157" s="728"/>
      <c r="Z157" s="728"/>
      <c r="AA157" s="728"/>
      <c r="AB157" s="728"/>
      <c r="AC157" s="728"/>
      <c r="AD157" s="728"/>
      <c r="AE157" s="728"/>
      <c r="AF157" s="728"/>
      <c r="AG157" s="728"/>
      <c r="AH157" s="728"/>
      <c r="AI157" s="728"/>
      <c r="AJ157" s="728"/>
      <c r="AK157" s="728"/>
      <c r="AL157" s="728"/>
      <c r="AM157" s="728">
        <v>1</v>
      </c>
      <c r="AN157" s="728"/>
      <c r="AO157" s="728"/>
      <c r="AP157" s="732" t="s">
        <v>2889</v>
      </c>
      <c r="AQ157" s="728">
        <v>9</v>
      </c>
      <c r="AR157" s="728"/>
      <c r="AS157" s="733"/>
      <c r="AT157" s="728"/>
      <c r="AU157" s="728"/>
      <c r="AV157" s="728">
        <v>5</v>
      </c>
      <c r="AW157" s="728"/>
      <c r="AX157" s="728"/>
      <c r="AY157" s="727" t="s">
        <v>41</v>
      </c>
      <c r="AZ157" s="732" t="s">
        <v>137</v>
      </c>
      <c r="BA157" s="728"/>
      <c r="BB157" s="728"/>
      <c r="BC157" s="728"/>
      <c r="BD157" s="448"/>
      <c r="BE157" s="448"/>
      <c r="BF157" s="727"/>
      <c r="BG157" s="728">
        <v>3</v>
      </c>
      <c r="BH157" s="728"/>
      <c r="BI157" s="728"/>
      <c r="BJ157" s="728">
        <v>2</v>
      </c>
      <c r="BK157" s="728"/>
      <c r="BL157" s="728"/>
      <c r="BM157" s="728">
        <v>1</v>
      </c>
      <c r="BN157" s="728">
        <v>10</v>
      </c>
      <c r="BO157" s="728">
        <v>18</v>
      </c>
      <c r="BP157" s="425" t="s">
        <v>41</v>
      </c>
      <c r="BQ157" s="734"/>
      <c r="BR157" s="423">
        <v>0.5</v>
      </c>
      <c r="BS157" s="425"/>
      <c r="BT157" s="423">
        <v>0.96</v>
      </c>
      <c r="BU157" s="423">
        <v>0.9</v>
      </c>
      <c r="BV157" s="425">
        <v>4</v>
      </c>
      <c r="BW157" s="423">
        <v>0.99</v>
      </c>
      <c r="BX157" s="448">
        <v>4</v>
      </c>
      <c r="BY157" s="448">
        <v>68</v>
      </c>
      <c r="BZ157" s="448"/>
      <c r="CA157" s="448"/>
      <c r="CB157" s="448"/>
      <c r="CC157" s="777"/>
      <c r="CD157" s="448"/>
      <c r="CE157" s="735" t="str">
        <f>IFERROR(WWWW[[#This Row],['#_Water sources passed]]/WWWW[[#This Row],['#_Water sources tested for fecal coliform ]],"no test")</f>
        <v>no test</v>
      </c>
      <c r="CF157" s="733" t="str">
        <f>IFERROR(WWWW[[#This Row],['#_Household passed]]/WWWW[[#This Row],['#_Household water samples tested for fecal coliform]],"no test")</f>
        <v>no test</v>
      </c>
      <c r="CG157" s="734" t="str">
        <f>IF(AND(WWWW[[#This Row],[% of water sources passed]]="no test",WWWW[[#This Row],[% Household passed]]="no test"),"No Test","Tested")</f>
        <v>No Test</v>
      </c>
      <c r="CH157" s="734">
        <f>WWWW[[#This Row],['#_Constructed/existing protected hand dug well]]-WWWW[[#This Row],['#_Non-functional protected hand dug well]]</f>
        <v>2</v>
      </c>
      <c r="CI157" s="734">
        <f>(WWWW[[#This Row],['#_Constructed/Existing tube wells/boreholes/handpumps_WASH_agency]]+WWWW[[#This Row],['#_Non-Cluster partner water tube-wells/boreholes/handpumps]])-WWWW[[#This Row],['#_Non-functional tube wells/boreholes/handpumps]]</f>
        <v>1</v>
      </c>
      <c r="CJ157" s="734">
        <f>WWWW[[#This Row],['#_Constructed/Existingwater storage tank with gravity fed reticulation system]]-WWWW[[#This Row],['#_Non-functional storage tank gravity fed reticulation system]]</f>
        <v>0</v>
      </c>
      <c r="CK157" s="734">
        <f>(WWWW[[#This Row],['#_Water_Liters_supplied_by_Water boating or water trucking]]/90)/15</f>
        <v>0</v>
      </c>
      <c r="CL157" s="734">
        <f>WWWW[[#This Row],['#_Water_Liters_from_Constructed/Existing water distribution system from river or natural spring]]/90/15</f>
        <v>0</v>
      </c>
      <c r="CM157" s="424">
        <f>IF(WWWW[[#This Row],['#_of water points in TLS/CFS]]*500&gt;WWWW[[#This Row],[Total PoP ]],WWWW[[#This Row],[Total PoP ]],WWWW[[#This Row],['#_of water points in TLS/CFS]]*500)</f>
        <v>0</v>
      </c>
      <c r="CN157" s="424">
        <f>IF(WWWW[[#This Row],['#_of water points in THF]]*500&gt;WWWW[[#This Row],[Total PoP ]],WWWW[[#This Row],[Total PoP ]],WWWW[[#This Row],['#_of water points in THF]]*500)</f>
        <v>0</v>
      </c>
      <c r="CO15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57" s="733">
        <f>IF(WWWW[[#This Row],[Location Type 1]]="Village",WWWW[[#This Row],[Access to safe drinking water for Village]],WWWW[[#This Row],[Access to safe drinking water for Camp]])</f>
        <v>1</v>
      </c>
      <c r="CR157" s="731">
        <f>WWWW[[#This Row],[%Equitable and continuous access to sufficient quantity of safe drinking water]]*WWWW[[#This Row],[Total PoP ]]</f>
        <v>293</v>
      </c>
      <c r="CS157" s="733">
        <f>IF((WWWW[[#This Row],['#_Constructed/Existing protected/fenced ponds]]*250)/WWWW[[#This Row],[Total PoP ]]&gt;1,1,(WWWW[[#This Row],['#_Constructed/Existing protected/fenced ponds]]*250)/WWWW[[#This Row],[Total PoP ]])</f>
        <v>0</v>
      </c>
      <c r="CT157" s="731">
        <f>WWWW[[#This Row],[% Access to unimproved water points]]*WWWW[[#This Row],[Total PoP ]]</f>
        <v>0</v>
      </c>
      <c r="CU15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293</v>
      </c>
      <c r="CW157" s="731">
        <f>WWWW[[#This Row],[HRP1]]/500</f>
        <v>0.58599999999999997</v>
      </c>
      <c r="CX157" s="736">
        <f>1-WWWW[[#This Row],[% Equitable and continuous access to sufficient quantity of domestic water]]</f>
        <v>0</v>
      </c>
      <c r="CY157" s="731">
        <f>WWWW[[#This Row],[%equitable and continuous access to sufficient quantity of safe drinking and domestic water''s GAP]]*WWWW[[#This Row],[Total PoP ]]</f>
        <v>0</v>
      </c>
      <c r="CZ157" s="734">
        <f>IF(WWWW[[#This Row],[Total required water points]]-WWWW[[#This Row],['#Water points coverage]]&lt;0,0,WWWW[[#This Row],[Total required water points]]-WWWW[[#This Row],['#Water points coverage]])</f>
        <v>0.41400000000000003</v>
      </c>
      <c r="DA157" s="734">
        <f>ROUND(IF(WWWW[[#This Row],[Total PoP ]]&lt;500,1,WWWW[[#This Row],[Total PoP ]]/500),0)</f>
        <v>1</v>
      </c>
      <c r="DB157" s="734">
        <f>(WWWW[[#This Row],['#_Constructed latrines_by_WASHAgencies]]+WWWW[[#This Row],['#_Non Cluster partner latrines]])-WWWW[[#This Row],['#_Non-functional latrines]]</f>
        <v>9</v>
      </c>
      <c r="DC157" s="631">
        <f>WWWW[[#This Row],[HRP2]]/WWWW[[#This Row],[Total PoP ]]</f>
        <v>0.61433447098976113</v>
      </c>
      <c r="DD15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15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15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7" s="424">
        <f>IF(WWWW[[#This Row],['# of functional latrines in THF supported by WASH partners during the reporting period2]]="",0,WWWW[[#This Row],['# of functional latrines in THF supported by WASH partners during the reporting period2]]*50)</f>
        <v>0</v>
      </c>
      <c r="DH157" s="734">
        <f>ROUND(IF(WWWW[[#This Row],[Location Type 1]]="camp",WWWW[[#This Row],[Total PoP ]]/20,IF(WWWW[[#This Row],[Location Type 1]]="Temporary Location",WWWW[[#This Row],[Total PoP ]]/50,(WWWW[[#This Row],[Total PoP ]]/6))),0)</f>
        <v>15</v>
      </c>
      <c r="DI157" s="734">
        <f>IF(WWWW[[#This Row],[Total required Latrines]]-(WWWW[[#This Row],['#_Constructed latrines_by_WASHAgencies]]+WWWW[[#This Row],['#_Non Cluster partner latrines]])&lt;0,0,WWWW[[#This Row],[Total required Latrines]]-(WWWW[[#This Row],['#_Constructed latrines_by_WASHAgencies]]+WWWW[[#This Row],['#_Non Cluster partner latrines]]))</f>
        <v>6</v>
      </c>
      <c r="DJ157" s="736">
        <f>1-WWWW[[#This Row],[% people access to functioning Latrine]]</f>
        <v>0.38566552901023887</v>
      </c>
      <c r="DK157" s="735">
        <f>IF(OR(WWWW[[#This Row],['#_Non-functional latrines]]="",WWWW[[#This Row],['#_Non-functional latrines]]=0),0,WWWW[[#This Row],['#_Non-functional latrines]]/(WWWW[[#This Row],['#_Constructed latrines_by_WASHAgencies]]+WWWW[[#This Row],['#_Non Cluster partner latrines]]))</f>
        <v>0</v>
      </c>
      <c r="DL157" s="731">
        <f>IF(500*(WWWW[[#This Row],['#_male hygiene promoters]]+WWWW[[#This Row],['#_female hygiene promoters]])&gt;WWWW[[#This Row],[Total PoP ]],WWWW[[#This Row],[Total PoP ]],500*(WWWW[[#This Row],['#_male hygiene promoters]]+WWWW[[#This Row],['#_female hygiene promoters]]))</f>
        <v>293</v>
      </c>
      <c r="DM15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5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57" s="734">
        <f>IF(WWWW[[#This Row],['# People with access to soap]]&gt;WWWW[[#This Row],['# People with access to Sanity Pads]],WWWW[[#This Row],['# People with access to soap]],WWWW[[#This Row],['# People with access to Sanity Pads]])</f>
        <v>50</v>
      </c>
      <c r="DP157" s="734">
        <f>IF(WWWW[[#This Row],['# people reached by regular dedicated hygiene promotion_5]]&gt;WWWW[[#This Row],['# People received regular supply of hygiene items_6]],WWWW[[#This Row],['# people reached by regular dedicated hygiene promotion_5]],WWWW[[#This Row],['# People received regular supply of hygiene items_6]])</f>
        <v>293</v>
      </c>
      <c r="DQ157" s="736">
        <f>IF(WWWW[[#This Row],[HRP3]]/WWWW[[#This Row],[Total PoP ]]&gt;1,1,WWWW[[#This Row],[HRP3]]/WWWW[[#This Row],[Total PoP ]])</f>
        <v>1</v>
      </c>
      <c r="DR157" s="735">
        <f>1-WWWW[[#This Row],[Hygiene Coverage%]]</f>
        <v>0</v>
      </c>
      <c r="DS157" s="733">
        <f>WWWW[[#This Row],['# people reached by regular dedicated hygiene promotion_5]]/WWWW[[#This Row],[Total PoP ]]</f>
        <v>1</v>
      </c>
      <c r="DT15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0.58823529411764708</v>
      </c>
      <c r="DU15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0.26470588235294118</v>
      </c>
      <c r="DV157" s="734">
        <f>WWWW[[#This Row],['#_Constructed/Existing hand washing stations]]-WWWW[[#This Row],['#_Non-Functional_hand_washing_stations]]</f>
        <v>3</v>
      </c>
      <c r="DW157" s="731">
        <f>IF(WWWW[[#This Row],['# Functional hand washing stations during reporting period]]*20&gt;WWWW[[#This Row],[Total HH]],WWWW[[#This Row],[Total HH]],WWWW[[#This Row],['# Functional hand washing stations during reporting period]]*20)</f>
        <v>60</v>
      </c>
      <c r="DX157" s="731">
        <f>IF(WWWW[[#This Row],[Is sufficient soap available for TLS? (Yes/No)]]="yes",WWWW[[#This Row],['#_Constructed/Existing hand washing stations at TLS/CFS/THF]],0)</f>
        <v>1</v>
      </c>
      <c r="DY157" s="428">
        <f>IF(WWWW[[#This Row],['# Functional hand washing stations during reporting period]]*100&gt;WWWW[[#This Row],[Total PoP ]],WWWW[[#This Row],[Total PoP ]],WWWW[[#This Row],['# Functional hand washing stations during reporting period]]*100)</f>
        <v>293</v>
      </c>
      <c r="DZ157" s="428" t="str">
        <f>IF(OR(WWWW[[#This Row],['#_students at TLS_CFS]]="",WWWW[[#This Row],['#_students at TLS_CFS]]=0),"No","Yes")</f>
        <v>No</v>
      </c>
      <c r="EA157" s="631">
        <f>IF(WWWW[[#This Row],['#_of_affected_people_surveyed_who_report_feeling_informed_about_the_different_WASH_services_available_to_them]]="","",WWWW[[#This Row],['#_of_affected_people_surveyed_who_report_feeling_informed_about_the_different_WASH_services_available_to_them]]/WWWW[[#This Row],[Total PoP ]])</f>
        <v>1.3651877133105802E-2</v>
      </c>
      <c r="EB15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72</v>
      </c>
      <c r="EC15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7" s="727" t="str">
        <f>VLOOKUP(WWWW[[#This Row],[Site Name]],SiteDB6[[Site Name]:[CCCM Management]],6,FALSE)</f>
        <v>Yes</v>
      </c>
      <c r="EF157" s="727" t="str">
        <f>VLOOKUP(WWWW[[#This Row],[Site Name]],SiteDB6[[Site Name]:[CCCM Focal Agency]],7,FALSE)</f>
        <v>Shalom</v>
      </c>
      <c r="EG157" s="727" t="str">
        <f>VLOOKUP(WWWW[[#This Row],[Site Name]],SiteDB6[[Site Name]:[Location Type 1]],9,FALSE)</f>
        <v>Camp</v>
      </c>
      <c r="EH157" s="727" t="str">
        <f>VLOOKUP(WWWW[[#This Row],[Site Name]],SiteDB6[[Site Name]:[Type of Accommodation]],10,FALSE)</f>
        <v>Camp</v>
      </c>
      <c r="EI157" s="727" t="str">
        <f>VLOOKUP(WWWW[[#This Row],[Site Name]],SiteDB6[[Site Name]:[Ethnic or GCA/NGCA]],11,FALSE)</f>
        <v>GCA</v>
      </c>
      <c r="EJ157" s="727">
        <f>VLOOKUP(WWWW[[#This Row],[Site Name]],SiteDB6[[Site Name]:[Lat]],12,FALSE)</f>
        <v>25.351250396825399</v>
      </c>
      <c r="EK157" s="727">
        <f>VLOOKUP(WWWW[[#This Row],[Site Name]],SiteDB6[[Site Name]:[Long]],13,FALSE)</f>
        <v>97.444283730158702</v>
      </c>
      <c r="EL157" s="727" t="str">
        <f>VLOOKUP(WWWW[[#This Row],[Site Name]],SiteDB6[[Site Name]:[Pcode]],3,FALSE)</f>
        <v>MMR001CMP038</v>
      </c>
      <c r="EM157" s="732" t="str">
        <f t="shared" si="2"/>
        <v>Covered</v>
      </c>
      <c r="EN157" s="732"/>
      <c r="EO157" s="727">
        <f>VLOOKUP(WWWW[[#This Row],[Site Name]],SiteDB6[[Site Name]:[Pop
(Kachin/Shan-CCCM as of July 2021)]],16,FALSE)</f>
        <v>71</v>
      </c>
      <c r="EP157" s="727">
        <f>VLOOKUP(WWWW[[#This Row],[Site Name]],SiteDB6[[Site Name]:[Pop
(Kachin/Shan-CCCM as of July 2021)]],17,FALSE)</f>
        <v>307</v>
      </c>
    </row>
    <row r="158" spans="1:146" hidden="1">
      <c r="A158" s="725" t="s">
        <v>2763</v>
      </c>
      <c r="B158" s="725" t="s">
        <v>309</v>
      </c>
      <c r="C158" s="726" t="s">
        <v>309</v>
      </c>
      <c r="D158" s="786"/>
      <c r="E158" s="786" t="s">
        <v>37</v>
      </c>
      <c r="F158" s="786" t="s">
        <v>142</v>
      </c>
      <c r="G158" s="591" t="str">
        <f>VLOOKUP(WWWW[[#This Row],[Site Name]],SiteDB6[[Site Name]:[Location Type]],8,FALSE)</f>
        <v>Camp</v>
      </c>
      <c r="H158" s="786" t="s">
        <v>2776</v>
      </c>
      <c r="I158" s="788">
        <v>42</v>
      </c>
      <c r="J158" s="788">
        <v>231</v>
      </c>
      <c r="K158" s="789"/>
      <c r="L158" s="790"/>
      <c r="M158" s="788"/>
      <c r="N158" s="788"/>
      <c r="O158" s="788"/>
      <c r="P158" s="788"/>
      <c r="Q158" s="791"/>
      <c r="R158" s="788"/>
      <c r="S158" s="788"/>
      <c r="T158" s="448"/>
      <c r="U158" s="788"/>
      <c r="V158" s="788"/>
      <c r="W158" s="788"/>
      <c r="X158" s="788"/>
      <c r="Y158" s="788"/>
      <c r="Z158" s="788"/>
      <c r="AA158" s="788"/>
      <c r="AB158" s="788"/>
      <c r="AC158" s="788"/>
      <c r="AD158" s="788"/>
      <c r="AE158" s="788"/>
      <c r="AF158" s="788"/>
      <c r="AG158" s="788"/>
      <c r="AH158" s="788"/>
      <c r="AI158" s="788"/>
      <c r="AJ158" s="788"/>
      <c r="AK158" s="788"/>
      <c r="AL158" s="788"/>
      <c r="AM158" s="788"/>
      <c r="AN158" s="788"/>
      <c r="AO158" s="788"/>
      <c r="AP158" s="792"/>
      <c r="AQ158" s="788"/>
      <c r="AR158" s="788"/>
      <c r="AS158" s="793"/>
      <c r="AT158" s="788"/>
      <c r="AU158" s="788"/>
      <c r="AV158" s="788"/>
      <c r="AW158" s="788"/>
      <c r="AX158" s="788"/>
      <c r="AY158" s="425" t="s">
        <v>140</v>
      </c>
      <c r="AZ158" s="860" t="s">
        <v>140</v>
      </c>
      <c r="BA158" s="788"/>
      <c r="BB158" s="788"/>
      <c r="BC158" s="788"/>
      <c r="BD158" s="448"/>
      <c r="BE158" s="448"/>
      <c r="BF158" s="787"/>
      <c r="BG158" s="788">
        <v>8</v>
      </c>
      <c r="BH158" s="788"/>
      <c r="BI158" s="788"/>
      <c r="BJ158" s="788">
        <v>3</v>
      </c>
      <c r="BK158" s="788"/>
      <c r="BL158" s="788"/>
      <c r="BM158" s="788"/>
      <c r="BN158" s="788">
        <v>91</v>
      </c>
      <c r="BO158" s="788">
        <v>124</v>
      </c>
      <c r="BP158" s="787"/>
      <c r="BQ158" s="794"/>
      <c r="BR158" s="793"/>
      <c r="BS158" s="787"/>
      <c r="BT158" s="423"/>
      <c r="BU158" s="423"/>
      <c r="BV158" s="425"/>
      <c r="BW158" s="423"/>
      <c r="BX158" s="448"/>
      <c r="BY158" s="448"/>
      <c r="BZ158" s="448"/>
      <c r="CA158" s="448"/>
      <c r="CB158" s="448"/>
      <c r="CC158" s="777"/>
      <c r="CD158" s="448"/>
      <c r="CE158" s="795" t="str">
        <f>IFERROR(WWWW[[#This Row],['#_Water sources passed]]/WWWW[[#This Row],['#_Water sources tested for fecal coliform ]],"no test")</f>
        <v>no test</v>
      </c>
      <c r="CF158" s="793" t="str">
        <f>IFERROR(WWWW[[#This Row],['#_Household passed]]/WWWW[[#This Row],['#_Household water samples tested for fecal coliform]],"no test")</f>
        <v>no test</v>
      </c>
      <c r="CG158" s="794" t="str">
        <f>IF(AND(WWWW[[#This Row],[% of water sources passed]]="no test",WWWW[[#This Row],[% Household passed]]="no test"),"No Test","Tested")</f>
        <v>No Test</v>
      </c>
      <c r="CH158" s="794">
        <f>WWWW[[#This Row],['#_Constructed/existing protected hand dug well]]-WWWW[[#This Row],['#_Non-functional protected hand dug well]]</f>
        <v>0</v>
      </c>
      <c r="CI158" s="794">
        <f>(WWWW[[#This Row],['#_Constructed/Existing tube wells/boreholes/handpumps_WASH_agency]]+WWWW[[#This Row],['#_Non-Cluster partner water tube-wells/boreholes/handpumps]])-WWWW[[#This Row],['#_Non-functional tube wells/boreholes/handpumps]]</f>
        <v>0</v>
      </c>
      <c r="CJ158" s="794">
        <f>WWWW[[#This Row],['#_Constructed/Existingwater storage tank with gravity fed reticulation system]]-WWWW[[#This Row],['#_Non-functional storage tank gravity fed reticulation system]]</f>
        <v>0</v>
      </c>
      <c r="CK158" s="794">
        <f>(WWWW[[#This Row],['#_Water_Liters_supplied_by_Water boating or water trucking]]/90)/15</f>
        <v>0</v>
      </c>
      <c r="CL158" s="794">
        <f>WWWW[[#This Row],['#_Water_Liters_from_Constructed/Existing water distribution system from river or natural spring]]/90/15</f>
        <v>0</v>
      </c>
      <c r="CM158" s="424">
        <f>IF(WWWW[[#This Row],['#_of water points in TLS/CFS]]*500&gt;WWWW[[#This Row],[Total PoP ]],WWWW[[#This Row],[Total PoP ]],WWWW[[#This Row],['#_of water points in TLS/CFS]]*500)</f>
        <v>0</v>
      </c>
      <c r="CN158" s="424">
        <f>IF(WWWW[[#This Row],['#_of water points in THF]]*500&gt;WWWW[[#This Row],[Total PoP ]],WWWW[[#This Row],[Total PoP ]],WWWW[[#This Row],['#_of water points in THF]]*500)</f>
        <v>0</v>
      </c>
      <c r="CO158"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8"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8" s="793">
        <f>IF(WWWW[[#This Row],[Location Type 1]]="Village",WWWW[[#This Row],[Access to safe drinking water for Village]],WWWW[[#This Row],[Access to safe drinking water for Camp]])</f>
        <v>0</v>
      </c>
      <c r="CR158" s="791">
        <f>WWWW[[#This Row],[%Equitable and continuous access to sufficient quantity of safe drinking water]]*WWWW[[#This Row],[Total PoP ]]</f>
        <v>0</v>
      </c>
      <c r="CS158" s="793">
        <f>IF((WWWW[[#This Row],['#_Constructed/Existing protected/fenced ponds]]*250)/WWWW[[#This Row],[Total PoP ]]&gt;1,1,(WWWW[[#This Row],['#_Constructed/Existing protected/fenced ponds]]*250)/WWWW[[#This Row],[Total PoP ]])</f>
        <v>0</v>
      </c>
      <c r="CT158" s="791">
        <f>WWWW[[#This Row],[% Access to unimproved water points]]*WWWW[[#This Row],[Total PoP ]]</f>
        <v>0</v>
      </c>
      <c r="CU158"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8"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8" s="791">
        <f>WWWW[[#This Row],[HRP1]]/500</f>
        <v>0</v>
      </c>
      <c r="CX158" s="796">
        <f>1-WWWW[[#This Row],[% Equitable and continuous access to sufficient quantity of domestic water]]</f>
        <v>1</v>
      </c>
      <c r="CY158" s="791">
        <f>WWWW[[#This Row],[%equitable and continuous access to sufficient quantity of safe drinking and domestic water''s GAP]]*WWWW[[#This Row],[Total PoP ]]</f>
        <v>231</v>
      </c>
      <c r="CZ158" s="794">
        <f>IF(WWWW[[#This Row],[Total required water points]]-WWWW[[#This Row],['#Water points coverage]]&lt;0,0,WWWW[[#This Row],[Total required water points]]-WWWW[[#This Row],['#Water points coverage]])</f>
        <v>1</v>
      </c>
      <c r="DA158" s="794">
        <f>ROUND(IF(WWWW[[#This Row],[Total PoP ]]&lt;500,1,WWWW[[#This Row],[Total PoP ]]/500),0)</f>
        <v>1</v>
      </c>
      <c r="DB158" s="794">
        <f>(WWWW[[#This Row],['#_Constructed latrines_by_WASHAgencies]]+WWWW[[#This Row],['#_Non Cluster partner latrines]])-WWWW[[#This Row],['#_Non-functional latrines]]</f>
        <v>0</v>
      </c>
      <c r="DC158" s="631">
        <f>WWWW[[#This Row],[HRP2]]/WWWW[[#This Row],[Total PoP ]]</f>
        <v>0</v>
      </c>
      <c r="DD158"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8"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8"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8" s="424">
        <f>IF(WWWW[[#This Row],['# of functional latrines in THF supported by WASH partners during the reporting period2]]="",0,WWWW[[#This Row],['# of functional latrines in THF supported by WASH partners during the reporting period2]]*50)</f>
        <v>0</v>
      </c>
      <c r="DH158" s="794">
        <f>ROUND(IF(WWWW[[#This Row],[Location Type 1]]="camp",WWWW[[#This Row],[Total PoP ]]/20,IF(WWWW[[#This Row],[Location Type 1]]="Temporary Location",WWWW[[#This Row],[Total PoP ]]/50,(WWWW[[#This Row],[Total PoP ]]/6))),0)</f>
        <v>12</v>
      </c>
      <c r="DI158" s="794">
        <f>IF(WWWW[[#This Row],[Total required Latrines]]-(WWWW[[#This Row],['#_Constructed latrines_by_WASHAgencies]]+WWWW[[#This Row],['#_Non Cluster partner latrines]])&lt;0,0,WWWW[[#This Row],[Total required Latrines]]-(WWWW[[#This Row],['#_Constructed latrines_by_WASHAgencies]]+WWWW[[#This Row],['#_Non Cluster partner latrines]]))</f>
        <v>12</v>
      </c>
      <c r="DJ158" s="796">
        <f>1-WWWW[[#This Row],[% people access to functioning Latrine]]</f>
        <v>1</v>
      </c>
      <c r="DK158" s="795">
        <f>IF(OR(WWWW[[#This Row],['#_Non-functional latrines]]="",WWWW[[#This Row],['#_Non-functional latrines]]=0),0,WWWW[[#This Row],['#_Non-functional latrines]]/(WWWW[[#This Row],['#_Constructed latrines_by_WASHAgencies]]+WWWW[[#This Row],['#_Non Cluster partner latrines]]))</f>
        <v>0</v>
      </c>
      <c r="DL158" s="791">
        <f>IF(500*(WWWW[[#This Row],['#_male hygiene promoters]]+WWWW[[#This Row],['#_female hygiene promoters]])&gt;WWWW[[#This Row],[Total PoP ]],WWWW[[#This Row],[Total PoP ]],500*(WWWW[[#This Row],['#_male hygiene promoters]]+WWWW[[#This Row],['#_female hygiene promoters]]))</f>
        <v>0</v>
      </c>
      <c r="DM158"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231</v>
      </c>
      <c r="DN158"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58" s="794">
        <f>IF(WWWW[[#This Row],['# People with access to soap]]&gt;WWWW[[#This Row],['# People with access to Sanity Pads]],WWWW[[#This Row],['# People with access to soap]],WWWW[[#This Row],['# People with access to Sanity Pads]])</f>
        <v>231</v>
      </c>
      <c r="DP158" s="794">
        <f>IF(WWWW[[#This Row],['# people reached by regular dedicated hygiene promotion_5]]&gt;WWWW[[#This Row],['# People received regular supply of hygiene items_6]],WWWW[[#This Row],['# people reached by regular dedicated hygiene promotion_5]],WWWW[[#This Row],['# People received regular supply of hygiene items_6]])</f>
        <v>231</v>
      </c>
      <c r="DQ158" s="796">
        <f>IF(WWWW[[#This Row],[HRP3]]/WWWW[[#This Row],[Total PoP ]]&gt;1,1,WWWW[[#This Row],[HRP3]]/WWWW[[#This Row],[Total PoP ]])</f>
        <v>1</v>
      </c>
      <c r="DR158" s="795">
        <f>1-WWWW[[#This Row],[Hygiene Coverage%]]</f>
        <v>0</v>
      </c>
      <c r="DS158" s="793">
        <f>WWWW[[#This Row],['# people reached by regular dedicated hygiene promotion_5]]/WWWW[[#This Row],[Total PoP ]]</f>
        <v>0</v>
      </c>
      <c r="DT158"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8"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8" s="794">
        <f>WWWW[[#This Row],['#_Constructed/Existing hand washing stations]]-WWWW[[#This Row],['#_Non-Functional_hand_washing_stations]]</f>
        <v>8</v>
      </c>
      <c r="DW158" s="791">
        <f>IF(WWWW[[#This Row],['# Functional hand washing stations during reporting period]]*20&gt;WWWW[[#This Row],[Total HH]],WWWW[[#This Row],[Total HH]],WWWW[[#This Row],['# Functional hand washing stations during reporting period]]*20)</f>
        <v>42</v>
      </c>
      <c r="DX158" s="791">
        <f>IF(WWWW[[#This Row],[Is sufficient soap available for TLS? (Yes/No)]]="yes",WWWW[[#This Row],['#_Constructed/Existing hand washing stations at TLS/CFS/THF]],0)</f>
        <v>0</v>
      </c>
      <c r="DY158" s="428">
        <f>IF(WWWW[[#This Row],['# Functional hand washing stations during reporting period]]*100&gt;WWWW[[#This Row],[Total PoP ]],WWWW[[#This Row],[Total PoP ]],WWWW[[#This Row],['# Functional hand washing stations during reporting period]]*100)</f>
        <v>231</v>
      </c>
      <c r="DZ158" s="428" t="str">
        <f>IF(OR(WWWW[[#This Row],['#_students at TLS_CFS]]="",WWWW[[#This Row],['#_students at TLS_CFS]]=0),"No","Yes")</f>
        <v>No</v>
      </c>
      <c r="EA15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8" s="787">
        <f>VLOOKUP(WWWW[[#This Row],[Site Name]],SiteDB6[[Site Name]:[CCCM Management]],6,FALSE)</f>
        <v>0</v>
      </c>
      <c r="EF158" s="787" t="str">
        <f>VLOOKUP(WWWW[[#This Row],[Site Name]],SiteDB6[[Site Name]:[CCCM Focal Agency]],7,FALSE)</f>
        <v xml:space="preserve">Uncovered  </v>
      </c>
      <c r="EG158" s="787" t="str">
        <f>VLOOKUP(WWWW[[#This Row],[Site Name]],SiteDB6[[Site Name]:[Location Type 1]],9,FALSE)</f>
        <v>Camp</v>
      </c>
      <c r="EH158" s="787" t="str">
        <f>VLOOKUP(WWWW[[#This Row],[Site Name]],SiteDB6[[Site Name]:[Type of Accommodation]],10,FALSE)</f>
        <v>Closed Camp</v>
      </c>
      <c r="EI158" s="787" t="str">
        <f>VLOOKUP(WWWW[[#This Row],[Site Name]],SiteDB6[[Site Name]:[Ethnic or GCA/NGCA]],11,FALSE)</f>
        <v>GCA</v>
      </c>
      <c r="EJ158" s="787">
        <f>VLOOKUP(WWWW[[#This Row],[Site Name]],SiteDB6[[Site Name]:[Lat]],12,FALSE)</f>
        <v>25.211600000000001</v>
      </c>
      <c r="EK158" s="787">
        <f>VLOOKUP(WWWW[[#This Row],[Site Name]],SiteDB6[[Site Name]:[Long]],13,FALSE)</f>
        <v>97.262799999999999</v>
      </c>
      <c r="EL158" s="787" t="str">
        <f>VLOOKUP(WWWW[[#This Row],[Site Name]],SiteDB6[[Site Name]:[Pcode]],3,FALSE)</f>
        <v>MMR001CMP288</v>
      </c>
      <c r="EM158" s="792" t="str">
        <f t="shared" si="2"/>
        <v>Notcovered</v>
      </c>
      <c r="EN158" s="792"/>
      <c r="EO158" s="787">
        <f>VLOOKUP(WWWW[[#This Row],[Site Name]],SiteDB6[[Site Name]:[Pop
(Kachin/Shan-CCCM as of July 2021)]],16,FALSE)</f>
        <v>42</v>
      </c>
      <c r="EP158" s="787">
        <f>VLOOKUP(WWWW[[#This Row],[Site Name]],SiteDB6[[Site Name]:[Pop
(Kachin/Shan-CCCM as of July 2021)]],17,FALSE)</f>
        <v>231</v>
      </c>
    </row>
    <row r="159" spans="1:146" hidden="1">
      <c r="A159" s="725" t="s">
        <v>2763</v>
      </c>
      <c r="B159" s="725" t="s">
        <v>309</v>
      </c>
      <c r="C159" s="726" t="s">
        <v>309</v>
      </c>
      <c r="D159" s="786"/>
      <c r="E159" s="786" t="s">
        <v>37</v>
      </c>
      <c r="F159" s="786" t="s">
        <v>142</v>
      </c>
      <c r="G159" s="591" t="str">
        <f>VLOOKUP(WWWW[[#This Row],[Site Name]],SiteDB6[[Site Name]:[Location Type]],8,FALSE)</f>
        <v>Camp</v>
      </c>
      <c r="H159" s="786" t="s">
        <v>2775</v>
      </c>
      <c r="I159" s="788">
        <v>27</v>
      </c>
      <c r="J159" s="788">
        <v>139</v>
      </c>
      <c r="K159" s="789"/>
      <c r="L159" s="790"/>
      <c r="M159" s="788"/>
      <c r="N159" s="788"/>
      <c r="O159" s="788"/>
      <c r="P159" s="788"/>
      <c r="Q159" s="791"/>
      <c r="R159" s="788"/>
      <c r="S159" s="788"/>
      <c r="T159" s="448"/>
      <c r="U159" s="788"/>
      <c r="V159" s="788"/>
      <c r="W159" s="788"/>
      <c r="X159" s="788"/>
      <c r="Y159" s="788"/>
      <c r="Z159" s="788"/>
      <c r="AA159" s="788"/>
      <c r="AB159" s="788"/>
      <c r="AC159" s="788"/>
      <c r="AD159" s="788"/>
      <c r="AE159" s="788"/>
      <c r="AF159" s="788"/>
      <c r="AG159" s="788"/>
      <c r="AH159" s="788"/>
      <c r="AI159" s="788"/>
      <c r="AJ159" s="788"/>
      <c r="AK159" s="788"/>
      <c r="AL159" s="788"/>
      <c r="AM159" s="788"/>
      <c r="AN159" s="788"/>
      <c r="AO159" s="788"/>
      <c r="AP159" s="792"/>
      <c r="AQ159" s="788"/>
      <c r="AR159" s="788"/>
      <c r="AS159" s="793"/>
      <c r="AT159" s="788"/>
      <c r="AU159" s="788"/>
      <c r="AV159" s="788"/>
      <c r="AW159" s="788"/>
      <c r="AX159" s="788"/>
      <c r="AY159" s="425" t="s">
        <v>140</v>
      </c>
      <c r="AZ159" s="860" t="s">
        <v>140</v>
      </c>
      <c r="BA159" s="788"/>
      <c r="BB159" s="788"/>
      <c r="BC159" s="788"/>
      <c r="BD159" s="448"/>
      <c r="BE159" s="448"/>
      <c r="BF159" s="787"/>
      <c r="BG159" s="788">
        <v>7</v>
      </c>
      <c r="BH159" s="788"/>
      <c r="BI159" s="788"/>
      <c r="BJ159" s="788">
        <v>7</v>
      </c>
      <c r="BK159" s="788"/>
      <c r="BL159" s="788"/>
      <c r="BM159" s="788"/>
      <c r="BN159" s="788">
        <v>104</v>
      </c>
      <c r="BO159" s="788">
        <v>148</v>
      </c>
      <c r="BP159" s="787"/>
      <c r="BQ159" s="794"/>
      <c r="BR159" s="793"/>
      <c r="BS159" s="787"/>
      <c r="BT159" s="423"/>
      <c r="BU159" s="423"/>
      <c r="BV159" s="425"/>
      <c r="BW159" s="423"/>
      <c r="BX159" s="448"/>
      <c r="BY159" s="448"/>
      <c r="BZ159" s="448"/>
      <c r="CA159" s="448"/>
      <c r="CB159" s="448"/>
      <c r="CC159" s="777"/>
      <c r="CD159" s="448"/>
      <c r="CE159" s="795" t="str">
        <f>IFERROR(WWWW[[#This Row],['#_Water sources passed]]/WWWW[[#This Row],['#_Water sources tested for fecal coliform ]],"no test")</f>
        <v>no test</v>
      </c>
      <c r="CF159" s="793" t="str">
        <f>IFERROR(WWWW[[#This Row],['#_Household passed]]/WWWW[[#This Row],['#_Household water samples tested for fecal coliform]],"no test")</f>
        <v>no test</v>
      </c>
      <c r="CG159" s="794" t="str">
        <f>IF(AND(WWWW[[#This Row],[% of water sources passed]]="no test",WWWW[[#This Row],[% Household passed]]="no test"),"No Test","Tested")</f>
        <v>No Test</v>
      </c>
      <c r="CH159" s="794">
        <f>WWWW[[#This Row],['#_Constructed/existing protected hand dug well]]-WWWW[[#This Row],['#_Non-functional protected hand dug well]]</f>
        <v>0</v>
      </c>
      <c r="CI159" s="794">
        <f>(WWWW[[#This Row],['#_Constructed/Existing tube wells/boreholes/handpumps_WASH_agency]]+WWWW[[#This Row],['#_Non-Cluster partner water tube-wells/boreholes/handpumps]])-WWWW[[#This Row],['#_Non-functional tube wells/boreholes/handpumps]]</f>
        <v>0</v>
      </c>
      <c r="CJ159" s="794">
        <f>WWWW[[#This Row],['#_Constructed/Existingwater storage tank with gravity fed reticulation system]]-WWWW[[#This Row],['#_Non-functional storage tank gravity fed reticulation system]]</f>
        <v>0</v>
      </c>
      <c r="CK159" s="794">
        <f>(WWWW[[#This Row],['#_Water_Liters_supplied_by_Water boating or water trucking]]/90)/15</f>
        <v>0</v>
      </c>
      <c r="CL159" s="794">
        <f>WWWW[[#This Row],['#_Water_Liters_from_Constructed/Existing water distribution system from river or natural spring]]/90/15</f>
        <v>0</v>
      </c>
      <c r="CM159" s="424">
        <f>IF(WWWW[[#This Row],['#_of water points in TLS/CFS]]*500&gt;WWWW[[#This Row],[Total PoP ]],WWWW[[#This Row],[Total PoP ]],WWWW[[#This Row],['#_of water points in TLS/CFS]]*500)</f>
        <v>0</v>
      </c>
      <c r="CN159" s="424">
        <f>IF(WWWW[[#This Row],['#_of water points in THF]]*500&gt;WWWW[[#This Row],[Total PoP ]],WWWW[[#This Row],[Total PoP ]],WWWW[[#This Row],['#_of water points in THF]]*500)</f>
        <v>0</v>
      </c>
      <c r="CO159"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9"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9" s="793">
        <f>IF(WWWW[[#This Row],[Location Type 1]]="Village",WWWW[[#This Row],[Access to safe drinking water for Village]],WWWW[[#This Row],[Access to safe drinking water for Camp]])</f>
        <v>0</v>
      </c>
      <c r="CR159" s="791">
        <f>WWWW[[#This Row],[%Equitable and continuous access to sufficient quantity of safe drinking water]]*WWWW[[#This Row],[Total PoP ]]</f>
        <v>0</v>
      </c>
      <c r="CS159" s="793">
        <f>IF((WWWW[[#This Row],['#_Constructed/Existing protected/fenced ponds]]*250)/WWWW[[#This Row],[Total PoP ]]&gt;1,1,(WWWW[[#This Row],['#_Constructed/Existing protected/fenced ponds]]*250)/WWWW[[#This Row],[Total PoP ]])</f>
        <v>0</v>
      </c>
      <c r="CT159" s="791">
        <f>WWWW[[#This Row],[% Access to unimproved water points]]*WWWW[[#This Row],[Total PoP ]]</f>
        <v>0</v>
      </c>
      <c r="CU159"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9"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9" s="791">
        <f>WWWW[[#This Row],[HRP1]]/500</f>
        <v>0</v>
      </c>
      <c r="CX159" s="796">
        <f>1-WWWW[[#This Row],[% Equitable and continuous access to sufficient quantity of domestic water]]</f>
        <v>1</v>
      </c>
      <c r="CY159" s="791">
        <f>WWWW[[#This Row],[%equitable and continuous access to sufficient quantity of safe drinking and domestic water''s GAP]]*WWWW[[#This Row],[Total PoP ]]</f>
        <v>139</v>
      </c>
      <c r="CZ159" s="794">
        <f>IF(WWWW[[#This Row],[Total required water points]]-WWWW[[#This Row],['#Water points coverage]]&lt;0,0,WWWW[[#This Row],[Total required water points]]-WWWW[[#This Row],['#Water points coverage]])</f>
        <v>1</v>
      </c>
      <c r="DA159" s="794">
        <f>ROUND(IF(WWWW[[#This Row],[Total PoP ]]&lt;500,1,WWWW[[#This Row],[Total PoP ]]/500),0)</f>
        <v>1</v>
      </c>
      <c r="DB159" s="794">
        <f>(WWWW[[#This Row],['#_Constructed latrines_by_WASHAgencies]]+WWWW[[#This Row],['#_Non Cluster partner latrines]])-WWWW[[#This Row],['#_Non-functional latrines]]</f>
        <v>0</v>
      </c>
      <c r="DC159" s="631">
        <f>WWWW[[#This Row],[HRP2]]/WWWW[[#This Row],[Total PoP ]]</f>
        <v>0</v>
      </c>
      <c r="DD159"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9"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9"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9" s="424">
        <f>IF(WWWW[[#This Row],['# of functional latrines in THF supported by WASH partners during the reporting period2]]="",0,WWWW[[#This Row],['# of functional latrines in THF supported by WASH partners during the reporting period2]]*50)</f>
        <v>0</v>
      </c>
      <c r="DH159" s="794">
        <f>ROUND(IF(WWWW[[#This Row],[Location Type 1]]="camp",WWWW[[#This Row],[Total PoP ]]/20,IF(WWWW[[#This Row],[Location Type 1]]="Temporary Location",WWWW[[#This Row],[Total PoP ]]/50,(WWWW[[#This Row],[Total PoP ]]/6))),0)</f>
        <v>7</v>
      </c>
      <c r="DI159" s="794">
        <f>IF(WWWW[[#This Row],[Total required Latrines]]-(WWWW[[#This Row],['#_Constructed latrines_by_WASHAgencies]]+WWWW[[#This Row],['#_Non Cluster partner latrines]])&lt;0,0,WWWW[[#This Row],[Total required Latrines]]-(WWWW[[#This Row],['#_Constructed latrines_by_WASHAgencies]]+WWWW[[#This Row],['#_Non Cluster partner latrines]]))</f>
        <v>7</v>
      </c>
      <c r="DJ159" s="796">
        <f>1-WWWW[[#This Row],[% people access to functioning Latrine]]</f>
        <v>1</v>
      </c>
      <c r="DK159" s="795">
        <f>IF(OR(WWWW[[#This Row],['#_Non-functional latrines]]="",WWWW[[#This Row],['#_Non-functional latrines]]=0),0,WWWW[[#This Row],['#_Non-functional latrines]]/(WWWW[[#This Row],['#_Constructed latrines_by_WASHAgencies]]+WWWW[[#This Row],['#_Non Cluster partner latrines]]))</f>
        <v>0</v>
      </c>
      <c r="DL159" s="791">
        <f>IF(500*(WWWW[[#This Row],['#_male hygiene promoters]]+WWWW[[#This Row],['#_female hygiene promoters]])&gt;WWWW[[#This Row],[Total PoP ]],WWWW[[#This Row],[Total PoP ]],500*(WWWW[[#This Row],['#_male hygiene promoters]]+WWWW[[#This Row],['#_female hygiene promoters]]))</f>
        <v>0</v>
      </c>
      <c r="DM159"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139</v>
      </c>
      <c r="DN159"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139</v>
      </c>
      <c r="DO159" s="794">
        <f>IF(WWWW[[#This Row],['# People with access to soap]]&gt;WWWW[[#This Row],['# People with access to Sanity Pads]],WWWW[[#This Row],['# People with access to soap]],WWWW[[#This Row],['# People with access to Sanity Pads]])</f>
        <v>139</v>
      </c>
      <c r="DP159" s="794">
        <f>IF(WWWW[[#This Row],['# people reached by regular dedicated hygiene promotion_5]]&gt;WWWW[[#This Row],['# People received regular supply of hygiene items_6]],WWWW[[#This Row],['# people reached by regular dedicated hygiene promotion_5]],WWWW[[#This Row],['# People received regular supply of hygiene items_6]])</f>
        <v>139</v>
      </c>
      <c r="DQ159" s="796">
        <f>IF(WWWW[[#This Row],[HRP3]]/WWWW[[#This Row],[Total PoP ]]&gt;1,1,WWWW[[#This Row],[HRP3]]/WWWW[[#This Row],[Total PoP ]])</f>
        <v>1</v>
      </c>
      <c r="DR159" s="795">
        <f>1-WWWW[[#This Row],[Hygiene Coverage%]]</f>
        <v>0</v>
      </c>
      <c r="DS159" s="793">
        <f>WWWW[[#This Row],['# people reached by regular dedicated hygiene promotion_5]]/WWWW[[#This Row],[Total PoP ]]</f>
        <v>0</v>
      </c>
      <c r="DT159"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9"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9" s="794">
        <f>WWWW[[#This Row],['#_Constructed/Existing hand washing stations]]-WWWW[[#This Row],['#_Non-Functional_hand_washing_stations]]</f>
        <v>7</v>
      </c>
      <c r="DW159" s="791">
        <f>IF(WWWW[[#This Row],['# Functional hand washing stations during reporting period]]*20&gt;WWWW[[#This Row],[Total HH]],WWWW[[#This Row],[Total HH]],WWWW[[#This Row],['# Functional hand washing stations during reporting period]]*20)</f>
        <v>27</v>
      </c>
      <c r="DX159" s="791">
        <f>IF(WWWW[[#This Row],[Is sufficient soap available for TLS? (Yes/No)]]="yes",WWWW[[#This Row],['#_Constructed/Existing hand washing stations at TLS/CFS/THF]],0)</f>
        <v>0</v>
      </c>
      <c r="DY159" s="428">
        <f>IF(WWWW[[#This Row],['# Functional hand washing stations during reporting period]]*100&gt;WWWW[[#This Row],[Total PoP ]],WWWW[[#This Row],[Total PoP ]],WWWW[[#This Row],['# Functional hand washing stations during reporting period]]*100)</f>
        <v>139</v>
      </c>
      <c r="DZ159" s="428" t="str">
        <f>IF(OR(WWWW[[#This Row],['#_students at TLS_CFS]]="",WWWW[[#This Row],['#_students at TLS_CFS]]=0),"No","Yes")</f>
        <v>No</v>
      </c>
      <c r="EA15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9" s="787">
        <f>VLOOKUP(WWWW[[#This Row],[Site Name]],SiteDB6[[Site Name]:[CCCM Management]],6,FALSE)</f>
        <v>0</v>
      </c>
      <c r="EF159" s="787" t="str">
        <f>VLOOKUP(WWWW[[#This Row],[Site Name]],SiteDB6[[Site Name]:[CCCM Focal Agency]],7,FALSE)</f>
        <v xml:space="preserve">Uncovered  </v>
      </c>
      <c r="EG159" s="787" t="str">
        <f>VLOOKUP(WWWW[[#This Row],[Site Name]],SiteDB6[[Site Name]:[Location Type 1]],9,FALSE)</f>
        <v>Camp</v>
      </c>
      <c r="EH159" s="787" t="str">
        <f>VLOOKUP(WWWW[[#This Row],[Site Name]],SiteDB6[[Site Name]:[Type of Accommodation]],10,FALSE)</f>
        <v>Camp like setting</v>
      </c>
      <c r="EI159" s="787" t="str">
        <f>VLOOKUP(WWWW[[#This Row],[Site Name]],SiteDB6[[Site Name]:[Ethnic or GCA/NGCA]],11,FALSE)</f>
        <v>GCA</v>
      </c>
      <c r="EJ159" s="787">
        <f>VLOOKUP(WWWW[[#This Row],[Site Name]],SiteDB6[[Site Name]:[Lat]],12,FALSE)</f>
        <v>25.211500000000001</v>
      </c>
      <c r="EK159" s="787">
        <f>VLOOKUP(WWWW[[#This Row],[Site Name]],SiteDB6[[Site Name]:[Long]],13,FALSE)</f>
        <v>97.261799999999994</v>
      </c>
      <c r="EL159" s="787" t="str">
        <f>VLOOKUP(WWWW[[#This Row],[Site Name]],SiteDB6[[Site Name]:[Pcode]],3,FALSE)</f>
        <v>MMR001CMP287</v>
      </c>
      <c r="EM159" s="792" t="str">
        <f t="shared" si="2"/>
        <v>Notcovered</v>
      </c>
      <c r="EN159" s="792"/>
      <c r="EO159" s="787">
        <f>VLOOKUP(WWWW[[#This Row],[Site Name]],SiteDB6[[Site Name]:[Pop
(Kachin/Shan-CCCM as of July 2021)]],16,FALSE)</f>
        <v>27</v>
      </c>
      <c r="EP159" s="787">
        <f>VLOOKUP(WWWW[[#This Row],[Site Name]],SiteDB6[[Site Name]:[Pop
(Kachin/Shan-CCCM as of July 2021)]],17,FALSE)</f>
        <v>139</v>
      </c>
    </row>
    <row r="160" spans="1:146" hidden="1">
      <c r="A160" s="725" t="s">
        <v>2763</v>
      </c>
      <c r="B160" s="725" t="s">
        <v>242</v>
      </c>
      <c r="C160" s="726" t="s">
        <v>242</v>
      </c>
      <c r="D160" s="726" t="s">
        <v>307</v>
      </c>
      <c r="E160" s="726" t="s">
        <v>37</v>
      </c>
      <c r="F160" s="726" t="s">
        <v>148</v>
      </c>
      <c r="G160" s="591" t="str">
        <f>VLOOKUP(WWWW[[#This Row],[Site Name]],SiteDB6[[Site Name]:[Location Type]],8,FALSE)</f>
        <v>Camp</v>
      </c>
      <c r="H160" s="726" t="s">
        <v>261</v>
      </c>
      <c r="I160" s="448">
        <v>25</v>
      </c>
      <c r="J160" s="448">
        <v>133</v>
      </c>
      <c r="K160" s="588">
        <v>44197</v>
      </c>
      <c r="L160" s="589">
        <v>44651</v>
      </c>
      <c r="M160" s="448">
        <v>30</v>
      </c>
      <c r="N160" s="448"/>
      <c r="O160" s="448">
        <v>3</v>
      </c>
      <c r="P160" s="448"/>
      <c r="Q160" s="717" t="s">
        <v>41</v>
      </c>
      <c r="R160" s="448">
        <v>2</v>
      </c>
      <c r="S160" s="448">
        <v>2</v>
      </c>
      <c r="T160" s="448">
        <v>1</v>
      </c>
      <c r="U160" s="728"/>
      <c r="V160" s="728"/>
      <c r="W160" s="728"/>
      <c r="X160" s="728"/>
      <c r="Y160" s="728"/>
      <c r="Z160" s="728"/>
      <c r="AA160" s="728">
        <v>1</v>
      </c>
      <c r="AB160" s="728"/>
      <c r="AC160" s="728"/>
      <c r="AD160" s="728"/>
      <c r="AE160" s="728">
        <v>1</v>
      </c>
      <c r="AF160" s="728"/>
      <c r="AG160" s="728"/>
      <c r="AH160" s="728"/>
      <c r="AI160" s="728"/>
      <c r="AJ160" s="728"/>
      <c r="AK160" s="728"/>
      <c r="AL160" s="728"/>
      <c r="AM160" s="728">
        <v>1</v>
      </c>
      <c r="AN160" s="448">
        <v>2</v>
      </c>
      <c r="AO160" s="448"/>
      <c r="AP160" s="732" t="s">
        <v>2911</v>
      </c>
      <c r="AQ160" s="728">
        <v>8</v>
      </c>
      <c r="AR160" s="448">
        <v>3</v>
      </c>
      <c r="AS160" s="733" t="s">
        <v>2684</v>
      </c>
      <c r="AT160" s="728"/>
      <c r="AU160" s="728"/>
      <c r="AV160" s="728"/>
      <c r="AW160" s="728"/>
      <c r="AX160" s="728">
        <v>1</v>
      </c>
      <c r="AY160" s="727" t="s">
        <v>41</v>
      </c>
      <c r="AZ160" s="732" t="s">
        <v>137</v>
      </c>
      <c r="BA160" s="728"/>
      <c r="BB160" s="728"/>
      <c r="BC160" s="728"/>
      <c r="BD160" s="448"/>
      <c r="BE160" s="448">
        <v>1</v>
      </c>
      <c r="BF160" s="425"/>
      <c r="BG160" s="728">
        <v>5</v>
      </c>
      <c r="BH160" s="728"/>
      <c r="BI160" s="728"/>
      <c r="BJ160" s="728">
        <v>2</v>
      </c>
      <c r="BK160" s="728"/>
      <c r="BL160" s="448">
        <v>1</v>
      </c>
      <c r="BM160" s="448">
        <v>3</v>
      </c>
      <c r="BN160" s="448">
        <v>25</v>
      </c>
      <c r="BO160" s="448">
        <v>47</v>
      </c>
      <c r="BP160" s="727" t="s">
        <v>41</v>
      </c>
      <c r="BQ160" s="424">
        <v>3</v>
      </c>
      <c r="BR160" s="423">
        <v>0.55000000000000004</v>
      </c>
      <c r="BS160" s="425" t="s">
        <v>2914</v>
      </c>
      <c r="BT160" s="423">
        <v>0.8</v>
      </c>
      <c r="BU160" s="423">
        <v>0.8</v>
      </c>
      <c r="BV160" s="425">
        <v>10</v>
      </c>
      <c r="BW160" s="423">
        <v>0.8</v>
      </c>
      <c r="BX160" s="448"/>
      <c r="BY160" s="448"/>
      <c r="BZ160" s="448"/>
      <c r="CA160" s="448"/>
      <c r="CB160" s="448"/>
      <c r="CC160" s="777"/>
      <c r="CD160" s="448"/>
      <c r="CE160" s="735" t="str">
        <f>IFERROR(WWWW[[#This Row],['#_Water sources passed]]/WWWW[[#This Row],['#_Water sources tested for fecal coliform ]],"no test")</f>
        <v>no test</v>
      </c>
      <c r="CF160" s="733" t="str">
        <f>IFERROR(WWWW[[#This Row],['#_Household passed]]/WWWW[[#This Row],['#_Household water samples tested for fecal coliform]],"no test")</f>
        <v>no test</v>
      </c>
      <c r="CG160" s="734" t="str">
        <f>IF(AND(WWWW[[#This Row],[% of water sources passed]]="no test",WWWW[[#This Row],[% Household passed]]="no test"),"No Test","Tested")</f>
        <v>No Test</v>
      </c>
      <c r="CH160" s="734">
        <f>WWWW[[#This Row],['#_Constructed/existing protected hand dug well]]-WWWW[[#This Row],['#_Non-functional protected hand dug well]]</f>
        <v>1</v>
      </c>
      <c r="CI160" s="734">
        <f>(WWWW[[#This Row],['#_Constructed/Existing tube wells/boreholes/handpumps_WASH_agency]]+WWWW[[#This Row],['#_Non-Cluster partner water tube-wells/boreholes/handpumps]])-WWWW[[#This Row],['#_Non-functional tube wells/boreholes/handpumps]]</f>
        <v>0</v>
      </c>
      <c r="CJ160" s="734">
        <f>WWWW[[#This Row],['#_Constructed/Existingwater storage tank with gravity fed reticulation system]]-WWWW[[#This Row],['#_Non-functional storage tank gravity fed reticulation system]]</f>
        <v>1</v>
      </c>
      <c r="CK160" s="734">
        <f>(WWWW[[#This Row],['#_Water_Liters_supplied_by_Water boating or water trucking]]/90)/15</f>
        <v>0</v>
      </c>
      <c r="CL160" s="734">
        <f>WWWW[[#This Row],['#_Water_Liters_from_Constructed/Existing water distribution system from river or natural spring]]/90/15</f>
        <v>0</v>
      </c>
      <c r="CM160" s="424">
        <f>IF(WWWW[[#This Row],['#_of water points in TLS/CFS]]*500&gt;WWWW[[#This Row],[Total PoP ]],WWWW[[#This Row],[Total PoP ]],WWWW[[#This Row],['#_of water points in TLS/CFS]]*500)</f>
        <v>133</v>
      </c>
      <c r="CN160" s="424">
        <f>IF(WWWW[[#This Row],['#_of water points in THF]]*500&gt;WWWW[[#This Row],[Total PoP ]],WWWW[[#This Row],[Total PoP ]],WWWW[[#This Row],['#_of water points in THF]]*500)</f>
        <v>0</v>
      </c>
      <c r="CO16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0" s="733">
        <f>IF(WWWW[[#This Row],[Location Type 1]]="Village",WWWW[[#This Row],[Access to safe drinking water for Village]],WWWW[[#This Row],[Access to safe drinking water for Camp]])</f>
        <v>1</v>
      </c>
      <c r="CR160" s="731">
        <f>WWWW[[#This Row],[%Equitable and continuous access to sufficient quantity of safe drinking water]]*WWWW[[#This Row],[Total PoP ]]</f>
        <v>133</v>
      </c>
      <c r="CS160" s="733">
        <f>IF((WWWW[[#This Row],['#_Constructed/Existing protected/fenced ponds]]*250)/WWWW[[#This Row],[Total PoP ]]&gt;1,1,(WWWW[[#This Row],['#_Constructed/Existing protected/fenced ponds]]*250)/WWWW[[#This Row],[Total PoP ]])</f>
        <v>1</v>
      </c>
      <c r="CT160" s="731">
        <f>WWWW[[#This Row],[% Access to unimproved water points]]*WWWW[[#This Row],[Total PoP ]]</f>
        <v>133</v>
      </c>
      <c r="CU16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W160" s="731">
        <f>WWWW[[#This Row],[HRP1]]/500</f>
        <v>0.26600000000000001</v>
      </c>
      <c r="CX160" s="736">
        <f>1-WWWW[[#This Row],[% Equitable and continuous access to sufficient quantity of domestic water]]</f>
        <v>0</v>
      </c>
      <c r="CY160" s="731">
        <f>WWWW[[#This Row],[%equitable and continuous access to sufficient quantity of safe drinking and domestic water''s GAP]]*WWWW[[#This Row],[Total PoP ]]</f>
        <v>0</v>
      </c>
      <c r="CZ160" s="734">
        <f>IF(WWWW[[#This Row],[Total required water points]]-WWWW[[#This Row],['#Water points coverage]]&lt;0,0,WWWW[[#This Row],[Total required water points]]-WWWW[[#This Row],['#Water points coverage]])</f>
        <v>0.73399999999999999</v>
      </c>
      <c r="DA160" s="734">
        <f>ROUND(IF(WWWW[[#This Row],[Total PoP ]]&lt;500,1,WWWW[[#This Row],[Total PoP ]]/500),0)</f>
        <v>1</v>
      </c>
      <c r="DB160" s="734">
        <f>(WWWW[[#This Row],['#_Constructed latrines_by_WASHAgencies]]+WWWW[[#This Row],['#_Non Cluster partner latrines]])-WWWW[[#This Row],['#_Non-functional latrines]]</f>
        <v>11</v>
      </c>
      <c r="DC160" s="631">
        <f>WWWW[[#This Row],[HRP2]]/WWWW[[#This Row],[Total PoP ]]</f>
        <v>1</v>
      </c>
      <c r="DD16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133</v>
      </c>
      <c r="DE16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0" s="424">
        <f>IF(WWWW[[#This Row],['# of functional latrines in THF supported by WASH partners during the reporting period2]]="",0,WWWW[[#This Row],['# of functional latrines in THF supported by WASH partners during the reporting period2]]*50)</f>
        <v>0</v>
      </c>
      <c r="DH160" s="734">
        <f>ROUND(IF(WWWW[[#This Row],[Location Type 1]]="camp",WWWW[[#This Row],[Total PoP ]]/20,IF(WWWW[[#This Row],[Location Type 1]]="Temporary Location",WWWW[[#This Row],[Total PoP ]]/50,(WWWW[[#This Row],[Total PoP ]]/6))),0)</f>
        <v>7</v>
      </c>
      <c r="DI160" s="734">
        <f>IF(WWWW[[#This Row],[Total required Latrines]]-(WWWW[[#This Row],['#_Constructed latrines_by_WASHAgencies]]+WWWW[[#This Row],['#_Non Cluster partner latrines]])&lt;0,0,WWWW[[#This Row],[Total required Latrines]]-(WWWW[[#This Row],['#_Constructed latrines_by_WASHAgencies]]+WWWW[[#This Row],['#_Non Cluster partner latrines]]))</f>
        <v>0</v>
      </c>
      <c r="DJ160" s="736">
        <f>1-WWWW[[#This Row],[% people access to functioning Latrine]]</f>
        <v>0</v>
      </c>
      <c r="DK160" s="735">
        <f>IF(OR(WWWW[[#This Row],['#_Non-functional latrines]]="",WWWW[[#This Row],['#_Non-functional latrines]]=0),0,WWWW[[#This Row],['#_Non-functional latrines]]/(WWWW[[#This Row],['#_Constructed latrines_by_WASHAgencies]]+WWWW[[#This Row],['#_Non Cluster partner latrines]]))</f>
        <v>0</v>
      </c>
      <c r="DL160" s="731">
        <f>IF(500*(WWWW[[#This Row],['#_male hygiene promoters]]+WWWW[[#This Row],['#_female hygiene promoters]])&gt;WWWW[[#This Row],[Total PoP ]],WWWW[[#This Row],[Total PoP ]],500*(WWWW[[#This Row],['#_male hygiene promoters]]+WWWW[[#This Row],['#_female hygiene promoters]]))</f>
        <v>133</v>
      </c>
      <c r="DM16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133</v>
      </c>
      <c r="DN16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47</v>
      </c>
      <c r="DO160" s="734">
        <f>IF(WWWW[[#This Row],['# People with access to soap]]&gt;WWWW[[#This Row],['# People with access to Sanity Pads]],WWWW[[#This Row],['# People with access to soap]],WWWW[[#This Row],['# People with access to Sanity Pads]])</f>
        <v>133</v>
      </c>
      <c r="DP160" s="734">
        <f>IF(WWWW[[#This Row],['# people reached by regular dedicated hygiene promotion_5]]&gt;WWWW[[#This Row],['# People received regular supply of hygiene items_6]],WWWW[[#This Row],['# people reached by regular dedicated hygiene promotion_5]],WWWW[[#This Row],['# People received regular supply of hygiene items_6]])</f>
        <v>133</v>
      </c>
      <c r="DQ160" s="736">
        <f>IF(WWWW[[#This Row],[HRP3]]/WWWW[[#This Row],[Total PoP ]]&gt;1,1,WWWW[[#This Row],[HRP3]]/WWWW[[#This Row],[Total PoP ]])</f>
        <v>1</v>
      </c>
      <c r="DR160" s="735">
        <f>1-WWWW[[#This Row],[Hygiene Coverage%]]</f>
        <v>0</v>
      </c>
      <c r="DS160" s="733">
        <f>WWWW[[#This Row],['# people reached by regular dedicated hygiene promotion_5]]/WWWW[[#This Row],[Total PoP ]]</f>
        <v>1</v>
      </c>
      <c r="DT16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0" s="734">
        <f>WWWW[[#This Row],['#_Constructed/Existing hand washing stations]]-WWWW[[#This Row],['#_Non-Functional_hand_washing_stations]]</f>
        <v>5</v>
      </c>
      <c r="DW160" s="731">
        <f>IF(WWWW[[#This Row],['# Functional hand washing stations during reporting period]]*20&gt;WWWW[[#This Row],[Total HH]],WWWW[[#This Row],[Total HH]],WWWW[[#This Row],['# Functional hand washing stations during reporting period]]*20)</f>
        <v>25</v>
      </c>
      <c r="DX160" s="731">
        <f>IF(WWWW[[#This Row],[Is sufficient soap available for TLS? (Yes/No)]]="yes",WWWW[[#This Row],['#_Constructed/Existing hand washing stations at TLS/CFS/THF]],0)</f>
        <v>1</v>
      </c>
      <c r="DY160" s="428">
        <f>IF(WWWW[[#This Row],['# Functional hand washing stations during reporting period]]*100&gt;WWWW[[#This Row],[Total PoP ]],WWWW[[#This Row],[Total PoP ]],WWWW[[#This Row],['# Functional hand washing stations during reporting period]]*100)</f>
        <v>133</v>
      </c>
      <c r="DZ160" s="428" t="str">
        <f>IF(OR(WWWW[[#This Row],['#_students at TLS_CFS]]="",WWWW[[#This Row],['#_students at TLS_CFS]]=0),"No","Yes")</f>
        <v>Yes</v>
      </c>
      <c r="EA160" s="631">
        <f>IF(WWWW[[#This Row],['#_of_affected_people_surveyed_who_report_feeling_informed_about_the_different_WASH_services_available_to_them]]="","",WWWW[[#This Row],['#_of_affected_people_surveyed_who_report_feeling_informed_about_the_different_WASH_services_available_to_them]]/WWWW[[#This Row],[Total PoP ]])</f>
        <v>7.5187969924812026E-2</v>
      </c>
      <c r="EB16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133</v>
      </c>
      <c r="ED16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0" s="727" t="str">
        <f>VLOOKUP(WWWW[[#This Row],[Site Name]],SiteDB6[[Site Name]:[CCCM Management]],6,FALSE)</f>
        <v>Yes</v>
      </c>
      <c r="EF160" s="727" t="str">
        <f>VLOOKUP(WWWW[[#This Row],[Site Name]],SiteDB6[[Site Name]:[CCCM Focal Agency]],7,FALSE)</f>
        <v>KBC-MYT</v>
      </c>
      <c r="EG160" s="727" t="str">
        <f>VLOOKUP(WWWW[[#This Row],[Site Name]],SiteDB6[[Site Name]:[Location Type 1]],9,FALSE)</f>
        <v>Camp</v>
      </c>
      <c r="EH160" s="727" t="str">
        <f>VLOOKUP(WWWW[[#This Row],[Site Name]],SiteDB6[[Site Name]:[Type of Accommodation]],10,FALSE)</f>
        <v>Camp</v>
      </c>
      <c r="EI160" s="727" t="str">
        <f>VLOOKUP(WWWW[[#This Row],[Site Name]],SiteDB6[[Site Name]:[Ethnic or GCA/NGCA]],11,FALSE)</f>
        <v>GCA</v>
      </c>
      <c r="EJ160" s="727">
        <f>VLOOKUP(WWWW[[#This Row],[Site Name]],SiteDB6[[Site Name]:[Lat]],12,FALSE)</f>
        <v>25.577559999999998</v>
      </c>
      <c r="EK160" s="727">
        <f>VLOOKUP(WWWW[[#This Row],[Site Name]],SiteDB6[[Site Name]:[Long]],13,FALSE)</f>
        <v>96.286680000000004</v>
      </c>
      <c r="EL160" s="727" t="str">
        <f>VLOOKUP(WWWW[[#This Row],[Site Name]],SiteDB6[[Site Name]:[Pcode]],3,FALSE)</f>
        <v>MMR001CMP184</v>
      </c>
      <c r="EM160" s="732" t="str">
        <f t="shared" si="2"/>
        <v>Covered</v>
      </c>
      <c r="EN160" s="732"/>
      <c r="EO160" s="727">
        <f>VLOOKUP(WWWW[[#This Row],[Site Name]],SiteDB6[[Site Name]:[Pop
(Kachin/Shan-CCCM as of July 2021)]],16,FALSE)</f>
        <v>25</v>
      </c>
      <c r="EP160" s="727">
        <f>VLOOKUP(WWWW[[#This Row],[Site Name]],SiteDB6[[Site Name]:[Pop
(Kachin/Shan-CCCM as of July 2021)]],17,FALSE)</f>
        <v>133</v>
      </c>
    </row>
    <row r="161" spans="1:146" hidden="1">
      <c r="A161" s="725" t="s">
        <v>2763</v>
      </c>
      <c r="B161" s="725" t="s">
        <v>192</v>
      </c>
      <c r="C161" s="726" t="s">
        <v>192</v>
      </c>
      <c r="D161" s="726" t="s">
        <v>2679</v>
      </c>
      <c r="E161" s="726" t="s">
        <v>37</v>
      </c>
      <c r="F161" s="726" t="s">
        <v>142</v>
      </c>
      <c r="G161" s="591" t="str">
        <f>VLOOKUP(WWWW[[#This Row],[Site Name]],SiteDB6[[Site Name]:[Location Type]],8,FALSE)</f>
        <v>Camp</v>
      </c>
      <c r="H161" s="726" t="s">
        <v>221</v>
      </c>
      <c r="I161" s="728">
        <v>1294</v>
      </c>
      <c r="J161" s="728">
        <v>6861</v>
      </c>
      <c r="K161" s="729" t="s">
        <v>2670</v>
      </c>
      <c r="L161" s="730" t="s">
        <v>2680</v>
      </c>
      <c r="M161" s="728"/>
      <c r="N161" s="728"/>
      <c r="O161" s="728">
        <v>3</v>
      </c>
      <c r="P161" s="728"/>
      <c r="Q161" s="731" t="s">
        <v>41</v>
      </c>
      <c r="R161" s="728">
        <v>3</v>
      </c>
      <c r="S161" s="728">
        <v>3</v>
      </c>
      <c r="T161" s="448"/>
      <c r="U161" s="728"/>
      <c r="V161" s="728"/>
      <c r="W161" s="728"/>
      <c r="X161" s="728"/>
      <c r="Y161" s="728"/>
      <c r="Z161" s="728"/>
      <c r="AA161" s="728">
        <v>1</v>
      </c>
      <c r="AB161" s="728"/>
      <c r="AC161" s="728"/>
      <c r="AD161" s="728"/>
      <c r="AE161" s="728"/>
      <c r="AF161" s="728">
        <v>480270</v>
      </c>
      <c r="AG161" s="728"/>
      <c r="AH161" s="728"/>
      <c r="AI161" s="728"/>
      <c r="AJ161" s="728"/>
      <c r="AK161" s="728"/>
      <c r="AL161" s="728"/>
      <c r="AM161" s="728">
        <v>12</v>
      </c>
      <c r="AN161" s="728">
        <v>3</v>
      </c>
      <c r="AO161" s="728"/>
      <c r="AP161" s="732"/>
      <c r="AQ161" s="728">
        <v>242</v>
      </c>
      <c r="AR161" s="728"/>
      <c r="AS161" s="733"/>
      <c r="AT161" s="728"/>
      <c r="AU161" s="728"/>
      <c r="AV161" s="728"/>
      <c r="AW161" s="728"/>
      <c r="AX161" s="728"/>
      <c r="AY161" s="727" t="s">
        <v>41</v>
      </c>
      <c r="AZ161" s="732" t="s">
        <v>137</v>
      </c>
      <c r="BA161" s="728">
        <v>4</v>
      </c>
      <c r="BB161" s="728">
        <v>2</v>
      </c>
      <c r="BC161" s="728"/>
      <c r="BD161" s="448"/>
      <c r="BE161" s="448"/>
      <c r="BF161" s="727" t="s">
        <v>2682</v>
      </c>
      <c r="BG161" s="728">
        <v>1</v>
      </c>
      <c r="BH161" s="728"/>
      <c r="BI161" s="728"/>
      <c r="BJ161" s="728">
        <v>1</v>
      </c>
      <c r="BK161" s="728"/>
      <c r="BL161" s="728"/>
      <c r="BM161" s="728">
        <v>3</v>
      </c>
      <c r="BN161" s="728">
        <v>6</v>
      </c>
      <c r="BO161" s="728">
        <v>5</v>
      </c>
      <c r="BP161" s="727" t="s">
        <v>41</v>
      </c>
      <c r="BQ161" s="734"/>
      <c r="BR161" s="733"/>
      <c r="BS161" s="727"/>
      <c r="BT161" s="423"/>
      <c r="BU161" s="423"/>
      <c r="BV161" s="425"/>
      <c r="BW161" s="423"/>
      <c r="BX161" s="448"/>
      <c r="BY161" s="448"/>
      <c r="BZ161" s="448"/>
      <c r="CA161" s="448"/>
      <c r="CB161" s="448"/>
      <c r="CC161" s="777"/>
      <c r="CD161" s="448"/>
      <c r="CE161" s="735" t="str">
        <f>IFERROR(WWWW[[#This Row],['#_Water sources passed]]/WWWW[[#This Row],['#_Water sources tested for fecal coliform ]],"no test")</f>
        <v>no test</v>
      </c>
      <c r="CF161" s="733" t="str">
        <f>IFERROR(WWWW[[#This Row],['#_Household passed]]/WWWW[[#This Row],['#_Household water samples tested for fecal coliform]],"no test")</f>
        <v>no test</v>
      </c>
      <c r="CG161" s="734" t="str">
        <f>IF(AND(WWWW[[#This Row],[% of water sources passed]]="no test",WWWW[[#This Row],[% Household passed]]="no test"),"No Test","Tested")</f>
        <v>No Test</v>
      </c>
      <c r="CH161" s="734">
        <f>WWWW[[#This Row],['#_Constructed/existing protected hand dug well]]-WWWW[[#This Row],['#_Non-functional protected hand dug well]]</f>
        <v>0</v>
      </c>
      <c r="CI161" s="734">
        <f>(WWWW[[#This Row],['#_Constructed/Existing tube wells/boreholes/handpumps_WASH_agency]]+WWWW[[#This Row],['#_Non-Cluster partner water tube-wells/boreholes/handpumps]])-WWWW[[#This Row],['#_Non-functional tube wells/boreholes/handpumps]]</f>
        <v>0</v>
      </c>
      <c r="CJ161" s="734">
        <f>WWWW[[#This Row],['#_Constructed/Existingwater storage tank with gravity fed reticulation system]]-WWWW[[#This Row],['#_Non-functional storage tank gravity fed reticulation system]]</f>
        <v>1</v>
      </c>
      <c r="CK161" s="734">
        <f>(WWWW[[#This Row],['#_Water_Liters_supplied_by_Water boating or water trucking]]/90)/15</f>
        <v>0</v>
      </c>
      <c r="CL161" s="734">
        <f>WWWW[[#This Row],['#_Water_Liters_from_Constructed/Existing water distribution system from river or natural spring]]/90/15</f>
        <v>355.75555555555553</v>
      </c>
      <c r="CM161" s="424">
        <f>IF(WWWW[[#This Row],['#_of water points in TLS/CFS]]*500&gt;WWWW[[#This Row],[Total PoP ]],WWWW[[#This Row],[Total PoP ]],WWWW[[#This Row],['#_of water points in TLS/CFS]]*500)</f>
        <v>1500</v>
      </c>
      <c r="CN161" s="424">
        <f>IF(WWWW[[#This Row],['#_of water points in THF]]*500&gt;WWWW[[#This Row],[Total PoP ]],WWWW[[#This Row],[Total PoP ]],WWWW[[#This Row],['#_of water points in THF]]*500)</f>
        <v>0</v>
      </c>
      <c r="CO16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6.1568608398516578E-2</v>
      </c>
      <c r="CP16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6.1568608398516578E-2</v>
      </c>
      <c r="CQ161" s="733">
        <f>IF(WWWW[[#This Row],[Location Type 1]]="Village",WWWW[[#This Row],[Access to safe drinking water for Village]],WWWW[[#This Row],[Access to safe drinking water for Camp]])</f>
        <v>6.1568608398516578E-2</v>
      </c>
      <c r="CR161" s="731">
        <f>WWWW[[#This Row],[%Equitable and continuous access to sufficient quantity of safe drinking water]]*WWWW[[#This Row],[Total PoP ]]</f>
        <v>422.42222222222222</v>
      </c>
      <c r="CS161" s="733">
        <f>IF((WWWW[[#This Row],['#_Constructed/Existing protected/fenced ponds]]*250)/WWWW[[#This Row],[Total PoP ]]&gt;1,1,(WWWW[[#This Row],['#_Constructed/Existing protected/fenced ponds]]*250)/WWWW[[#This Row],[Total PoP ]])</f>
        <v>0</v>
      </c>
      <c r="CT161" s="731">
        <f>WWWW[[#This Row],[% Access to unimproved water points]]*WWWW[[#This Row],[Total PoP ]]</f>
        <v>0</v>
      </c>
      <c r="CU16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6.1568608398516578E-2</v>
      </c>
      <c r="CV16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422.42222222222222</v>
      </c>
      <c r="CW161" s="731">
        <f>WWWW[[#This Row],[HRP1]]/500</f>
        <v>0.8448444444444444</v>
      </c>
      <c r="CX161" s="736">
        <f>1-WWWW[[#This Row],[% Equitable and continuous access to sufficient quantity of domestic water]]</f>
        <v>0.93843139160148348</v>
      </c>
      <c r="CY161" s="731">
        <f>WWWW[[#This Row],[%equitable and continuous access to sufficient quantity of safe drinking and domestic water''s GAP]]*WWWW[[#This Row],[Total PoP ]]</f>
        <v>6438.5777777777785</v>
      </c>
      <c r="CZ161" s="734">
        <f>IF(WWWW[[#This Row],[Total required water points]]-WWWW[[#This Row],['#Water points coverage]]&lt;0,0,WWWW[[#This Row],[Total required water points]]-WWWW[[#This Row],['#Water points coverage]])</f>
        <v>13.155155555555556</v>
      </c>
      <c r="DA161" s="734">
        <f>ROUND(IF(WWWW[[#This Row],[Total PoP ]]&lt;500,1,WWWW[[#This Row],[Total PoP ]]/500),0)</f>
        <v>14</v>
      </c>
      <c r="DB161" s="734">
        <f>(WWWW[[#This Row],['#_Constructed latrines_by_WASHAgencies]]+WWWW[[#This Row],['#_Non Cluster partner latrines]])-WWWW[[#This Row],['#_Non-functional latrines]]</f>
        <v>242</v>
      </c>
      <c r="DC161" s="631">
        <f>WWWW[[#This Row],[HRP2]]/WWWW[[#This Row],[Total PoP ]]</f>
        <v>0.71709663314385663</v>
      </c>
      <c r="DD16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4920</v>
      </c>
      <c r="DE16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1" s="424">
        <f>IF(WWWW[[#This Row],['# of functional latrines in THF supported by WASH partners during the reporting period2]]="",0,WWWW[[#This Row],['# of functional latrines in THF supported by WASH partners during the reporting period2]]*50)</f>
        <v>0</v>
      </c>
      <c r="DH161" s="734">
        <f>ROUND(IF(WWWW[[#This Row],[Location Type 1]]="camp",WWWW[[#This Row],[Total PoP ]]/20,IF(WWWW[[#This Row],[Location Type 1]]="Temporary Location",WWWW[[#This Row],[Total PoP ]]/50,(WWWW[[#This Row],[Total PoP ]]/6))),0)</f>
        <v>343</v>
      </c>
      <c r="DI161" s="734">
        <f>IF(WWWW[[#This Row],[Total required Latrines]]-(WWWW[[#This Row],['#_Constructed latrines_by_WASHAgencies]]+WWWW[[#This Row],['#_Non Cluster partner latrines]])&lt;0,0,WWWW[[#This Row],[Total required Latrines]]-(WWWW[[#This Row],['#_Constructed latrines_by_WASHAgencies]]+WWWW[[#This Row],['#_Non Cluster partner latrines]]))</f>
        <v>101</v>
      </c>
      <c r="DJ161" s="736">
        <f>1-WWWW[[#This Row],[% people access to functioning Latrine]]</f>
        <v>0.28290336685614337</v>
      </c>
      <c r="DK161" s="735">
        <f>IF(OR(WWWW[[#This Row],['#_Non-functional latrines]]="",WWWW[[#This Row],['#_Non-functional latrines]]=0),0,WWWW[[#This Row],['#_Non-functional latrines]]/(WWWW[[#This Row],['#_Constructed latrines_by_WASHAgencies]]+WWWW[[#This Row],['#_Non Cluster partner latrines]]))</f>
        <v>0</v>
      </c>
      <c r="DL161" s="731">
        <f>IF(500*(WWWW[[#This Row],['#_male hygiene promoters]]+WWWW[[#This Row],['#_female hygiene promoters]])&gt;WWWW[[#This Row],[Total PoP ]],WWWW[[#This Row],[Total PoP ]],500*(WWWW[[#This Row],['#_male hygiene promoters]]+WWWW[[#This Row],['#_female hygiene promoters]]))</f>
        <v>1500</v>
      </c>
      <c r="DM16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6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61" s="734">
        <f>IF(WWWW[[#This Row],['# People with access to soap]]&gt;WWWW[[#This Row],['# People with access to Sanity Pads]],WWWW[[#This Row],['# People with access to soap]],WWWW[[#This Row],['# People with access to Sanity Pads]])</f>
        <v>30</v>
      </c>
      <c r="DP161" s="734">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DQ161" s="736">
        <f>IF(WWWW[[#This Row],[HRP3]]/WWWW[[#This Row],[Total PoP ]]&gt;1,1,WWWW[[#This Row],[HRP3]]/WWWW[[#This Row],[Total PoP ]])</f>
        <v>0.21862702229995629</v>
      </c>
      <c r="DR161" s="735">
        <f>1-WWWW[[#This Row],[Hygiene Coverage%]]</f>
        <v>0.78137297770004377</v>
      </c>
      <c r="DS161" s="733">
        <f>WWWW[[#This Row],['# people reached by regular dedicated hygiene promotion_5]]/WWWW[[#This Row],[Total PoP ]]</f>
        <v>0.21862702229995629</v>
      </c>
      <c r="DT16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4.6367851622874804E-3</v>
      </c>
      <c r="DU16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3.8639876352395673E-3</v>
      </c>
      <c r="DV161" s="734">
        <f>WWWW[[#This Row],['#_Constructed/Existing hand washing stations]]-WWWW[[#This Row],['#_Non-Functional_hand_washing_stations]]</f>
        <v>1</v>
      </c>
      <c r="DW161" s="731">
        <f>IF(WWWW[[#This Row],['# Functional hand washing stations during reporting period]]*20&gt;WWWW[[#This Row],[Total HH]],WWWW[[#This Row],[Total HH]],WWWW[[#This Row],['# Functional hand washing stations during reporting period]]*20)</f>
        <v>20</v>
      </c>
      <c r="DX161" s="731">
        <f>IF(WWWW[[#This Row],[Is sufficient soap available for TLS? (Yes/No)]]="yes",WWWW[[#This Row],['#_Constructed/Existing hand washing stations at TLS/CFS/THF]],0)</f>
        <v>12</v>
      </c>
      <c r="DY161" s="428">
        <f>IF(WWWW[[#This Row],['# Functional hand washing stations during reporting period]]*100&gt;WWWW[[#This Row],[Total PoP ]],WWWW[[#This Row],[Total PoP ]],WWWW[[#This Row],['# Functional hand washing stations during reporting period]]*100)</f>
        <v>100</v>
      </c>
      <c r="DZ161" s="428" t="str">
        <f>IF(OR(WWWW[[#This Row],['#_students at TLS_CFS]]="",WWWW[[#This Row],['#_students at TLS_CFS]]=0),"No","Yes")</f>
        <v>No</v>
      </c>
      <c r="EA16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16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1" s="727" t="str">
        <f>VLOOKUP(WWWW[[#This Row],[Site Name]],SiteDB6[[Site Name]:[CCCM Management]],6,FALSE)</f>
        <v>Yes</v>
      </c>
      <c r="EF161" s="727" t="str">
        <f>VLOOKUP(WWWW[[#This Row],[Site Name]],SiteDB6[[Site Name]:[CCCM Focal Agency]],7,FALSE)</f>
        <v>KMSS-MYT</v>
      </c>
      <c r="EG161" s="727" t="str">
        <f>VLOOKUP(WWWW[[#This Row],[Site Name]],SiteDB6[[Site Name]:[Location Type 1]],9,FALSE)</f>
        <v>Camp</v>
      </c>
      <c r="EH161" s="727" t="str">
        <f>VLOOKUP(WWWW[[#This Row],[Site Name]],SiteDB6[[Site Name]:[Type of Accommodation]],10,FALSE)</f>
        <v>Camp</v>
      </c>
      <c r="EI161" s="727" t="str">
        <f>VLOOKUP(WWWW[[#This Row],[Site Name]],SiteDB6[[Site Name]:[Ethnic or GCA/NGCA]],11,FALSE)</f>
        <v>NGCA</v>
      </c>
      <c r="EJ161" s="727">
        <f>VLOOKUP(WWWW[[#This Row],[Site Name]],SiteDB6[[Site Name]:[Lat]],12,FALSE)</f>
        <v>24.755253</v>
      </c>
      <c r="EK161" s="727">
        <f>VLOOKUP(WWWW[[#This Row],[Site Name]],SiteDB6[[Site Name]:[Long]],13,FALSE)</f>
        <v>97.546893999999995</v>
      </c>
      <c r="EL161" s="727" t="str">
        <f>VLOOKUP(WWWW[[#This Row],[Site Name]],SiteDB6[[Site Name]:[Pcode]],3,FALSE)</f>
        <v>MMR001CMP116</v>
      </c>
      <c r="EM161" s="732" t="str">
        <f t="shared" si="2"/>
        <v>Covered</v>
      </c>
      <c r="EN161" s="732"/>
      <c r="EO161" s="727">
        <f>VLOOKUP(WWWW[[#This Row],[Site Name]],SiteDB6[[Site Name]:[Pop
(Kachin/Shan-CCCM as of July 2021)]],16,FALSE)</f>
        <v>1333</v>
      </c>
      <c r="EP161" s="727">
        <f>VLOOKUP(WWWW[[#This Row],[Site Name]],SiteDB6[[Site Name]:[Pop
(Kachin/Shan-CCCM as of July 2021)]],17,FALSE)</f>
        <v>7163</v>
      </c>
    </row>
    <row r="162" spans="1:146" hidden="1">
      <c r="A162" s="725" t="s">
        <v>2763</v>
      </c>
      <c r="B162" s="725" t="s">
        <v>192</v>
      </c>
      <c r="C162" s="726" t="s">
        <v>192</v>
      </c>
      <c r="D162" s="726" t="s">
        <v>2679</v>
      </c>
      <c r="E162" s="726" t="s">
        <v>37</v>
      </c>
      <c r="F162" s="726" t="s">
        <v>142</v>
      </c>
      <c r="G162" s="591" t="str">
        <f>VLOOKUP(WWWW[[#This Row],[Site Name]],SiteDB6[[Site Name]:[Location Type]],8,FALSE)</f>
        <v>Camp_not registered</v>
      </c>
      <c r="H162" s="726" t="s">
        <v>223</v>
      </c>
      <c r="I162" s="728">
        <v>134</v>
      </c>
      <c r="J162" s="728">
        <v>709</v>
      </c>
      <c r="K162" s="729" t="s">
        <v>2670</v>
      </c>
      <c r="L162" s="730" t="s">
        <v>2680</v>
      </c>
      <c r="M162" s="728"/>
      <c r="N162" s="728"/>
      <c r="O162" s="728"/>
      <c r="P162" s="728"/>
      <c r="Q162" s="731"/>
      <c r="R162" s="728"/>
      <c r="S162" s="728"/>
      <c r="T162" s="44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32"/>
      <c r="AQ162" s="728"/>
      <c r="AR162" s="728"/>
      <c r="AS162" s="733"/>
      <c r="AT162" s="728"/>
      <c r="AU162" s="728"/>
      <c r="AV162" s="728"/>
      <c r="AW162" s="728"/>
      <c r="AX162" s="728"/>
      <c r="AY162" s="727" t="s">
        <v>41</v>
      </c>
      <c r="AZ162" s="732" t="s">
        <v>904</v>
      </c>
      <c r="BA162" s="728"/>
      <c r="BB162" s="728"/>
      <c r="BC162" s="728"/>
      <c r="BD162" s="448"/>
      <c r="BE162" s="448"/>
      <c r="BF162" s="727"/>
      <c r="BG162" s="728">
        <v>8</v>
      </c>
      <c r="BH162" s="728"/>
      <c r="BI162" s="728"/>
      <c r="BJ162" s="728">
        <v>3</v>
      </c>
      <c r="BK162" s="728"/>
      <c r="BL162" s="728"/>
      <c r="BM162" s="728"/>
      <c r="BN162" s="728">
        <v>91</v>
      </c>
      <c r="BO162" s="728">
        <v>124</v>
      </c>
      <c r="BP162" s="727"/>
      <c r="BQ162" s="734"/>
      <c r="BR162" s="733"/>
      <c r="BS162" s="727"/>
      <c r="BT162" s="423"/>
      <c r="BU162" s="423"/>
      <c r="BV162" s="425"/>
      <c r="BW162" s="423"/>
      <c r="BX162" s="448"/>
      <c r="BY162" s="448"/>
      <c r="BZ162" s="448"/>
      <c r="CA162" s="448"/>
      <c r="CB162" s="448"/>
      <c r="CC162" s="777"/>
      <c r="CD162" s="448"/>
      <c r="CE162" s="735" t="str">
        <f>IFERROR(WWWW[[#This Row],['#_Water sources passed]]/WWWW[[#This Row],['#_Water sources tested for fecal coliform ]],"no test")</f>
        <v>no test</v>
      </c>
      <c r="CF162" s="733" t="str">
        <f>IFERROR(WWWW[[#This Row],['#_Household passed]]/WWWW[[#This Row],['#_Household water samples tested for fecal coliform]],"no test")</f>
        <v>no test</v>
      </c>
      <c r="CG162" s="734" t="str">
        <f>IF(AND(WWWW[[#This Row],[% of water sources passed]]="no test",WWWW[[#This Row],[% Household passed]]="no test"),"No Test","Tested")</f>
        <v>No Test</v>
      </c>
      <c r="CH162" s="734">
        <f>WWWW[[#This Row],['#_Constructed/existing protected hand dug well]]-WWWW[[#This Row],['#_Non-functional protected hand dug well]]</f>
        <v>0</v>
      </c>
      <c r="CI162" s="734">
        <f>(WWWW[[#This Row],['#_Constructed/Existing tube wells/boreholes/handpumps_WASH_agency]]+WWWW[[#This Row],['#_Non-Cluster partner water tube-wells/boreholes/handpumps]])-WWWW[[#This Row],['#_Non-functional tube wells/boreholes/handpumps]]</f>
        <v>0</v>
      </c>
      <c r="CJ162" s="734">
        <f>WWWW[[#This Row],['#_Constructed/Existingwater storage tank with gravity fed reticulation system]]-WWWW[[#This Row],['#_Non-functional storage tank gravity fed reticulation system]]</f>
        <v>0</v>
      </c>
      <c r="CK162" s="734">
        <f>(WWWW[[#This Row],['#_Water_Liters_supplied_by_Water boating or water trucking]]/90)/15</f>
        <v>0</v>
      </c>
      <c r="CL162" s="734">
        <f>WWWW[[#This Row],['#_Water_Liters_from_Constructed/Existing water distribution system from river or natural spring]]/90/15</f>
        <v>0</v>
      </c>
      <c r="CM162" s="424">
        <f>IF(WWWW[[#This Row],['#_of water points in TLS/CFS]]*500&gt;WWWW[[#This Row],[Total PoP ]],WWWW[[#This Row],[Total PoP ]],WWWW[[#This Row],['#_of water points in TLS/CFS]]*500)</f>
        <v>0</v>
      </c>
      <c r="CN162" s="424">
        <f>IF(WWWW[[#This Row],['#_of water points in THF]]*500&gt;WWWW[[#This Row],[Total PoP ]],WWWW[[#This Row],[Total PoP ]],WWWW[[#This Row],['#_of water points in THF]]*500)</f>
        <v>0</v>
      </c>
      <c r="CO16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6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62" s="733">
        <f>IF(WWWW[[#This Row],[Location Type 1]]="Village",WWWW[[#This Row],[Access to safe drinking water for Village]],WWWW[[#This Row],[Access to safe drinking water for Camp]])</f>
        <v>0</v>
      </c>
      <c r="CR162" s="731">
        <f>WWWW[[#This Row],[%Equitable and continuous access to sufficient quantity of safe drinking water]]*WWWW[[#This Row],[Total PoP ]]</f>
        <v>0</v>
      </c>
      <c r="CS162" s="733">
        <f>IF((WWWW[[#This Row],['#_Constructed/Existing protected/fenced ponds]]*250)/WWWW[[#This Row],[Total PoP ]]&gt;1,1,(WWWW[[#This Row],['#_Constructed/Existing protected/fenced ponds]]*250)/WWWW[[#This Row],[Total PoP ]])</f>
        <v>0</v>
      </c>
      <c r="CT162" s="731">
        <f>WWWW[[#This Row],[% Access to unimproved water points]]*WWWW[[#This Row],[Total PoP ]]</f>
        <v>0</v>
      </c>
      <c r="CU16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6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62" s="731">
        <f>WWWW[[#This Row],[HRP1]]/500</f>
        <v>0</v>
      </c>
      <c r="CX162" s="736">
        <f>1-WWWW[[#This Row],[% Equitable and continuous access to sufficient quantity of domestic water]]</f>
        <v>1</v>
      </c>
      <c r="CY162" s="731">
        <f>WWWW[[#This Row],[%equitable and continuous access to sufficient quantity of safe drinking and domestic water''s GAP]]*WWWW[[#This Row],[Total PoP ]]</f>
        <v>709</v>
      </c>
      <c r="CZ162" s="734">
        <f>IF(WWWW[[#This Row],[Total required water points]]-WWWW[[#This Row],['#Water points coverage]]&lt;0,0,WWWW[[#This Row],[Total required water points]]-WWWW[[#This Row],['#Water points coverage]])</f>
        <v>1</v>
      </c>
      <c r="DA162" s="734">
        <f>ROUND(IF(WWWW[[#This Row],[Total PoP ]]&lt;500,1,WWWW[[#This Row],[Total PoP ]]/500),0)</f>
        <v>1</v>
      </c>
      <c r="DB162" s="734">
        <f>(WWWW[[#This Row],['#_Constructed latrines_by_WASHAgencies]]+WWWW[[#This Row],['#_Non Cluster partner latrines]])-WWWW[[#This Row],['#_Non-functional latrines]]</f>
        <v>0</v>
      </c>
      <c r="DC162" s="631">
        <f>WWWW[[#This Row],[HRP2]]/WWWW[[#This Row],[Total PoP ]]</f>
        <v>0</v>
      </c>
      <c r="DD16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6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2" s="424">
        <f>IF(WWWW[[#This Row],['# of functional latrines in THF supported by WASH partners during the reporting period2]]="",0,WWWW[[#This Row],['# of functional latrines in THF supported by WASH partners during the reporting period2]]*50)</f>
        <v>0</v>
      </c>
      <c r="DH162" s="734">
        <f>ROUND(IF(WWWW[[#This Row],[Location Type 1]]="camp",WWWW[[#This Row],[Total PoP ]]/20,IF(WWWW[[#This Row],[Location Type 1]]="Temporary Location",WWWW[[#This Row],[Total PoP ]]/50,(WWWW[[#This Row],[Total PoP ]]/6))),0)</f>
        <v>35</v>
      </c>
      <c r="DI162" s="734">
        <f>IF(WWWW[[#This Row],[Total required Latrines]]-(WWWW[[#This Row],['#_Constructed latrines_by_WASHAgencies]]+WWWW[[#This Row],['#_Non Cluster partner latrines]])&lt;0,0,WWWW[[#This Row],[Total required Latrines]]-(WWWW[[#This Row],['#_Constructed latrines_by_WASHAgencies]]+WWWW[[#This Row],['#_Non Cluster partner latrines]]))</f>
        <v>35</v>
      </c>
      <c r="DJ162" s="736">
        <f>1-WWWW[[#This Row],[% people access to functioning Latrine]]</f>
        <v>1</v>
      </c>
      <c r="DK162" s="735">
        <f>IF(OR(WWWW[[#This Row],['#_Non-functional latrines]]="",WWWW[[#This Row],['#_Non-functional latrines]]=0),0,WWWW[[#This Row],['#_Non-functional latrines]]/(WWWW[[#This Row],['#_Constructed latrines_by_WASHAgencies]]+WWWW[[#This Row],['#_Non Cluster partner latrines]]))</f>
        <v>0</v>
      </c>
      <c r="DL162" s="731">
        <f>IF(500*(WWWW[[#This Row],['#_male hygiene promoters]]+WWWW[[#This Row],['#_female hygiene promoters]])&gt;WWWW[[#This Row],[Total PoP ]],WWWW[[#This Row],[Total PoP ]],500*(WWWW[[#This Row],['#_male hygiene promoters]]+WWWW[[#This Row],['#_female hygiene promoters]]))</f>
        <v>0</v>
      </c>
      <c r="DM16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6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62" s="734">
        <f>IF(WWWW[[#This Row],['# People with access to soap]]&gt;WWWW[[#This Row],['# People with access to Sanity Pads]],WWWW[[#This Row],['# People with access to soap]],WWWW[[#This Row],['# People with access to Sanity Pads]])</f>
        <v>455</v>
      </c>
      <c r="DP162" s="734">
        <f>IF(WWWW[[#This Row],['# people reached by regular dedicated hygiene promotion_5]]&gt;WWWW[[#This Row],['# People received regular supply of hygiene items_6]],WWWW[[#This Row],['# people reached by regular dedicated hygiene promotion_5]],WWWW[[#This Row],['# People received regular supply of hygiene items_6]])</f>
        <v>455</v>
      </c>
      <c r="DQ162" s="736">
        <f>IF(WWWW[[#This Row],[HRP3]]/WWWW[[#This Row],[Total PoP ]]&gt;1,1,WWWW[[#This Row],[HRP3]]/WWWW[[#This Row],[Total PoP ]])</f>
        <v>0.64174894217207334</v>
      </c>
      <c r="DR162" s="735">
        <f>1-WWWW[[#This Row],[Hygiene Coverage%]]</f>
        <v>0.35825105782792666</v>
      </c>
      <c r="DS162" s="733">
        <f>WWWW[[#This Row],['# people reached by regular dedicated hygiene promotion_5]]/WWWW[[#This Row],[Total PoP ]]</f>
        <v>0</v>
      </c>
      <c r="DT16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0.67910447761194026</v>
      </c>
      <c r="DU16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0.92537313432835822</v>
      </c>
      <c r="DV162" s="734">
        <f>WWWW[[#This Row],['#_Constructed/Existing hand washing stations]]-WWWW[[#This Row],['#_Non-Functional_hand_washing_stations]]</f>
        <v>8</v>
      </c>
      <c r="DW162" s="731">
        <f>IF(WWWW[[#This Row],['# Functional hand washing stations during reporting period]]*20&gt;WWWW[[#This Row],[Total HH]],WWWW[[#This Row],[Total HH]],WWWW[[#This Row],['# Functional hand washing stations during reporting period]]*20)</f>
        <v>134</v>
      </c>
      <c r="DX162" s="731">
        <f>IF(WWWW[[#This Row],[Is sufficient soap available for TLS? (Yes/No)]]="yes",WWWW[[#This Row],['#_Constructed/Existing hand washing stations at TLS/CFS/THF]],0)</f>
        <v>0</v>
      </c>
      <c r="DY162" s="428">
        <f>IF(WWWW[[#This Row],['# Functional hand washing stations during reporting period]]*100&gt;WWWW[[#This Row],[Total PoP ]],WWWW[[#This Row],[Total PoP ]],WWWW[[#This Row],['# Functional hand washing stations during reporting period]]*100)</f>
        <v>709</v>
      </c>
      <c r="DZ162" s="428" t="str">
        <f>IF(OR(WWWW[[#This Row],['#_students at TLS_CFS]]="",WWWW[[#This Row],['#_students at TLS_CFS]]=0),"No","Yes")</f>
        <v>No</v>
      </c>
      <c r="EA16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2" s="727">
        <f>VLOOKUP(WWWW[[#This Row],[Site Name]],SiteDB6[[Site Name]:[CCCM Management]],6,FALSE)</f>
        <v>0</v>
      </c>
      <c r="EF162" s="727">
        <f>VLOOKUP(WWWW[[#This Row],[Site Name]],SiteDB6[[Site Name]:[CCCM Focal Agency]],7,FALSE)</f>
        <v>0</v>
      </c>
      <c r="EG162" s="727" t="str">
        <f>VLOOKUP(WWWW[[#This Row],[Site Name]],SiteDB6[[Site Name]:[Location Type 1]],9,FALSE)</f>
        <v>Camp</v>
      </c>
      <c r="EH162" s="727" t="str">
        <f>VLOOKUP(WWWW[[#This Row],[Site Name]],SiteDB6[[Site Name]:[Type of Accommodation]],10,FALSE)</f>
        <v>CAMP</v>
      </c>
      <c r="EI162" s="727" t="str">
        <f>VLOOKUP(WWWW[[#This Row],[Site Name]],SiteDB6[[Site Name]:[Ethnic or GCA/NGCA]],11,FALSE)</f>
        <v>NGCA</v>
      </c>
      <c r="EJ162" s="727">
        <f>VLOOKUP(WWWW[[#This Row],[Site Name]],SiteDB6[[Site Name]:[Lat]],12,FALSE)</f>
        <v>0</v>
      </c>
      <c r="EK162" s="727">
        <f>VLOOKUP(WWWW[[#This Row],[Site Name]],SiteDB6[[Site Name]:[Long]],13,FALSE)</f>
        <v>0</v>
      </c>
      <c r="EL162" s="727">
        <f>VLOOKUP(WWWW[[#This Row],[Site Name]],SiteDB6[[Site Name]:[Pcode]],3,FALSE)</f>
        <v>0</v>
      </c>
      <c r="EM162" s="732" t="str">
        <f t="shared" si="2"/>
        <v>Covered</v>
      </c>
      <c r="EN162" s="732"/>
      <c r="EO162" s="727">
        <f>VLOOKUP(WWWW[[#This Row],[Site Name]],SiteDB6[[Site Name]:[Pop
(Kachin/Shan-CCCM as of July 2021)]],16,FALSE)</f>
        <v>0</v>
      </c>
      <c r="EP162" s="727">
        <f>VLOOKUP(WWWW[[#This Row],[Site Name]],SiteDB6[[Site Name]:[Pop
(Kachin/Shan-CCCM as of July 2021)]],17,FALSE)</f>
        <v>0</v>
      </c>
    </row>
    <row r="163" spans="1:146" hidden="1">
      <c r="A163" s="725" t="s">
        <v>2763</v>
      </c>
      <c r="B163" s="725" t="s">
        <v>192</v>
      </c>
      <c r="C163" s="726" t="s">
        <v>192</v>
      </c>
      <c r="D163" s="726" t="s">
        <v>2679</v>
      </c>
      <c r="E163" s="726" t="s">
        <v>37</v>
      </c>
      <c r="F163" s="726" t="s">
        <v>142</v>
      </c>
      <c r="G163" s="591" t="str">
        <f>VLOOKUP(WWWW[[#This Row],[Site Name]],SiteDB6[[Site Name]:[Location Type]],8,FALSE)</f>
        <v>Camp_not registered</v>
      </c>
      <c r="H163" s="726" t="s">
        <v>222</v>
      </c>
      <c r="I163" s="728">
        <v>546</v>
      </c>
      <c r="J163" s="728">
        <v>2550</v>
      </c>
      <c r="K163" s="729" t="s">
        <v>2670</v>
      </c>
      <c r="L163" s="730" t="s">
        <v>2680</v>
      </c>
      <c r="M163" s="728"/>
      <c r="N163" s="728"/>
      <c r="O163" s="728"/>
      <c r="P163" s="728"/>
      <c r="Q163" s="731"/>
      <c r="R163" s="728"/>
      <c r="S163" s="728"/>
      <c r="T163" s="44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32"/>
      <c r="AQ163" s="728"/>
      <c r="AR163" s="728"/>
      <c r="AS163" s="733"/>
      <c r="AT163" s="728"/>
      <c r="AU163" s="728"/>
      <c r="AV163" s="728"/>
      <c r="AW163" s="728"/>
      <c r="AX163" s="728"/>
      <c r="AY163" s="727" t="s">
        <v>136</v>
      </c>
      <c r="AZ163" s="732" t="s">
        <v>136</v>
      </c>
      <c r="BA163" s="728"/>
      <c r="BB163" s="728"/>
      <c r="BC163" s="728"/>
      <c r="BD163" s="448"/>
      <c r="BE163" s="448"/>
      <c r="BF163" s="727"/>
      <c r="BG163" s="728">
        <v>7</v>
      </c>
      <c r="BH163" s="728"/>
      <c r="BI163" s="728"/>
      <c r="BJ163" s="728">
        <v>7</v>
      </c>
      <c r="BK163" s="728"/>
      <c r="BL163" s="728"/>
      <c r="BM163" s="728"/>
      <c r="BN163" s="728">
        <v>104</v>
      </c>
      <c r="BO163" s="728">
        <v>148</v>
      </c>
      <c r="BP163" s="727"/>
      <c r="BQ163" s="734"/>
      <c r="BR163" s="733"/>
      <c r="BS163" s="727"/>
      <c r="BT163" s="423"/>
      <c r="BU163" s="423"/>
      <c r="BV163" s="425"/>
      <c r="BW163" s="423"/>
      <c r="BX163" s="448"/>
      <c r="BY163" s="448"/>
      <c r="BZ163" s="448"/>
      <c r="CA163" s="448"/>
      <c r="CB163" s="448"/>
      <c r="CC163" s="777"/>
      <c r="CD163" s="448"/>
      <c r="CE163" s="735" t="str">
        <f>IFERROR(WWWW[[#This Row],['#_Water sources passed]]/WWWW[[#This Row],['#_Water sources tested for fecal coliform ]],"no test")</f>
        <v>no test</v>
      </c>
      <c r="CF163" s="733" t="str">
        <f>IFERROR(WWWW[[#This Row],['#_Household passed]]/WWWW[[#This Row],['#_Household water samples tested for fecal coliform]],"no test")</f>
        <v>no test</v>
      </c>
      <c r="CG163" s="734" t="str">
        <f>IF(AND(WWWW[[#This Row],[% of water sources passed]]="no test",WWWW[[#This Row],[% Household passed]]="no test"),"No Test","Tested")</f>
        <v>No Test</v>
      </c>
      <c r="CH163" s="734">
        <f>WWWW[[#This Row],['#_Constructed/existing protected hand dug well]]-WWWW[[#This Row],['#_Non-functional protected hand dug well]]</f>
        <v>0</v>
      </c>
      <c r="CI163" s="734">
        <f>(WWWW[[#This Row],['#_Constructed/Existing tube wells/boreholes/handpumps_WASH_agency]]+WWWW[[#This Row],['#_Non-Cluster partner water tube-wells/boreholes/handpumps]])-WWWW[[#This Row],['#_Non-functional tube wells/boreholes/handpumps]]</f>
        <v>0</v>
      </c>
      <c r="CJ163" s="734">
        <f>WWWW[[#This Row],['#_Constructed/Existingwater storage tank with gravity fed reticulation system]]-WWWW[[#This Row],['#_Non-functional storage tank gravity fed reticulation system]]</f>
        <v>0</v>
      </c>
      <c r="CK163" s="734">
        <f>(WWWW[[#This Row],['#_Water_Liters_supplied_by_Water boating or water trucking]]/90)/15</f>
        <v>0</v>
      </c>
      <c r="CL163" s="734">
        <f>WWWW[[#This Row],['#_Water_Liters_from_Constructed/Existing water distribution system from river or natural spring]]/90/15</f>
        <v>0</v>
      </c>
      <c r="CM163" s="424">
        <f>IF(WWWW[[#This Row],['#_of water points in TLS/CFS]]*500&gt;WWWW[[#This Row],[Total PoP ]],WWWW[[#This Row],[Total PoP ]],WWWW[[#This Row],['#_of water points in TLS/CFS]]*500)</f>
        <v>0</v>
      </c>
      <c r="CN163" s="424">
        <f>IF(WWWW[[#This Row],['#_of water points in THF]]*500&gt;WWWW[[#This Row],[Total PoP ]],WWWW[[#This Row],[Total PoP ]],WWWW[[#This Row],['#_of water points in THF]]*500)</f>
        <v>0</v>
      </c>
      <c r="CO16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6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63" s="733">
        <f>IF(WWWW[[#This Row],[Location Type 1]]="Village",WWWW[[#This Row],[Access to safe drinking water for Village]],WWWW[[#This Row],[Access to safe drinking water for Camp]])</f>
        <v>0</v>
      </c>
      <c r="CR163" s="731">
        <f>WWWW[[#This Row],[%Equitable and continuous access to sufficient quantity of safe drinking water]]*WWWW[[#This Row],[Total PoP ]]</f>
        <v>0</v>
      </c>
      <c r="CS163" s="733">
        <f>IF((WWWW[[#This Row],['#_Constructed/Existing protected/fenced ponds]]*250)/WWWW[[#This Row],[Total PoP ]]&gt;1,1,(WWWW[[#This Row],['#_Constructed/Existing protected/fenced ponds]]*250)/WWWW[[#This Row],[Total PoP ]])</f>
        <v>0</v>
      </c>
      <c r="CT163" s="731">
        <f>WWWW[[#This Row],[% Access to unimproved water points]]*WWWW[[#This Row],[Total PoP ]]</f>
        <v>0</v>
      </c>
      <c r="CU16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6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63" s="731">
        <f>WWWW[[#This Row],[HRP1]]/500</f>
        <v>0</v>
      </c>
      <c r="CX163" s="736">
        <f>1-WWWW[[#This Row],[% Equitable and continuous access to sufficient quantity of domestic water]]</f>
        <v>1</v>
      </c>
      <c r="CY163" s="731">
        <f>WWWW[[#This Row],[%equitable and continuous access to sufficient quantity of safe drinking and domestic water''s GAP]]*WWWW[[#This Row],[Total PoP ]]</f>
        <v>2550</v>
      </c>
      <c r="CZ163" s="734">
        <f>IF(WWWW[[#This Row],[Total required water points]]-WWWW[[#This Row],['#Water points coverage]]&lt;0,0,WWWW[[#This Row],[Total required water points]]-WWWW[[#This Row],['#Water points coverage]])</f>
        <v>5</v>
      </c>
      <c r="DA163" s="734">
        <f>ROUND(IF(WWWW[[#This Row],[Total PoP ]]&lt;500,1,WWWW[[#This Row],[Total PoP ]]/500),0)</f>
        <v>5</v>
      </c>
      <c r="DB163" s="734">
        <f>(WWWW[[#This Row],['#_Constructed latrines_by_WASHAgencies]]+WWWW[[#This Row],['#_Non Cluster partner latrines]])-WWWW[[#This Row],['#_Non-functional latrines]]</f>
        <v>0</v>
      </c>
      <c r="DC163" s="631">
        <f>WWWW[[#This Row],[HRP2]]/WWWW[[#This Row],[Total PoP ]]</f>
        <v>0</v>
      </c>
      <c r="DD16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6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3" s="424">
        <f>IF(WWWW[[#This Row],['# of functional latrines in THF supported by WASH partners during the reporting period2]]="",0,WWWW[[#This Row],['# of functional latrines in THF supported by WASH partners during the reporting period2]]*50)</f>
        <v>0</v>
      </c>
      <c r="DH163" s="734">
        <f>ROUND(IF(WWWW[[#This Row],[Location Type 1]]="camp",WWWW[[#This Row],[Total PoP ]]/20,IF(WWWW[[#This Row],[Location Type 1]]="Temporary Location",WWWW[[#This Row],[Total PoP ]]/50,(WWWW[[#This Row],[Total PoP ]]/6))),0)</f>
        <v>128</v>
      </c>
      <c r="DI163" s="734">
        <f>IF(WWWW[[#This Row],[Total required Latrines]]-(WWWW[[#This Row],['#_Constructed latrines_by_WASHAgencies]]+WWWW[[#This Row],['#_Non Cluster partner latrines]])&lt;0,0,WWWW[[#This Row],[Total required Latrines]]-(WWWW[[#This Row],['#_Constructed latrines_by_WASHAgencies]]+WWWW[[#This Row],['#_Non Cluster partner latrines]]))</f>
        <v>128</v>
      </c>
      <c r="DJ163" s="736">
        <f>1-WWWW[[#This Row],[% people access to functioning Latrine]]</f>
        <v>1</v>
      </c>
      <c r="DK163" s="735">
        <f>IF(OR(WWWW[[#This Row],['#_Non-functional latrines]]="",WWWW[[#This Row],['#_Non-functional latrines]]=0),0,WWWW[[#This Row],['#_Non-functional latrines]]/(WWWW[[#This Row],['#_Constructed latrines_by_WASHAgencies]]+WWWW[[#This Row],['#_Non Cluster partner latrines]]))</f>
        <v>0</v>
      </c>
      <c r="DL163" s="731">
        <f>IF(500*(WWWW[[#This Row],['#_male hygiene promoters]]+WWWW[[#This Row],['#_female hygiene promoters]])&gt;WWWW[[#This Row],[Total PoP ]],WWWW[[#This Row],[Total PoP ]],500*(WWWW[[#This Row],['#_male hygiene promoters]]+WWWW[[#This Row],['#_female hygiene promoters]]))</f>
        <v>0</v>
      </c>
      <c r="DM16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16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63" s="734">
        <f>IF(WWWW[[#This Row],['# People with access to soap]]&gt;WWWW[[#This Row],['# People with access to Sanity Pads]],WWWW[[#This Row],['# People with access to soap]],WWWW[[#This Row],['# People with access to Sanity Pads]])</f>
        <v>520</v>
      </c>
      <c r="DP163" s="734">
        <f>IF(WWWW[[#This Row],['# people reached by regular dedicated hygiene promotion_5]]&gt;WWWW[[#This Row],['# People received regular supply of hygiene items_6]],WWWW[[#This Row],['# people reached by regular dedicated hygiene promotion_5]],WWWW[[#This Row],['# People received regular supply of hygiene items_6]])</f>
        <v>520</v>
      </c>
      <c r="DQ163" s="736">
        <f>IF(WWWW[[#This Row],[HRP3]]/WWWW[[#This Row],[Total PoP ]]&gt;1,1,WWWW[[#This Row],[HRP3]]/WWWW[[#This Row],[Total PoP ]])</f>
        <v>0.20392156862745098</v>
      </c>
      <c r="DR163" s="735">
        <f>1-WWWW[[#This Row],[Hygiene Coverage%]]</f>
        <v>0.79607843137254908</v>
      </c>
      <c r="DS163" s="733">
        <f>WWWW[[#This Row],['# people reached by regular dedicated hygiene promotion_5]]/WWWW[[#This Row],[Total PoP ]]</f>
        <v>0</v>
      </c>
      <c r="DT16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0.19047619047619047</v>
      </c>
      <c r="DU16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0.27106227106227104</v>
      </c>
      <c r="DV163" s="734">
        <f>WWWW[[#This Row],['#_Constructed/Existing hand washing stations]]-WWWW[[#This Row],['#_Non-Functional_hand_washing_stations]]</f>
        <v>7</v>
      </c>
      <c r="DW163" s="731">
        <f>IF(WWWW[[#This Row],['# Functional hand washing stations during reporting period]]*20&gt;WWWW[[#This Row],[Total HH]],WWWW[[#This Row],[Total HH]],WWWW[[#This Row],['# Functional hand washing stations during reporting period]]*20)</f>
        <v>140</v>
      </c>
      <c r="DX163" s="731">
        <f>IF(WWWW[[#This Row],[Is sufficient soap available for TLS? (Yes/No)]]="yes",WWWW[[#This Row],['#_Constructed/Existing hand washing stations at TLS/CFS/THF]],0)</f>
        <v>0</v>
      </c>
      <c r="DY163" s="428">
        <f>IF(WWWW[[#This Row],['# Functional hand washing stations during reporting period]]*100&gt;WWWW[[#This Row],[Total PoP ]],WWWW[[#This Row],[Total PoP ]],WWWW[[#This Row],['# Functional hand washing stations during reporting period]]*100)</f>
        <v>700</v>
      </c>
      <c r="DZ163" s="428" t="str">
        <f>IF(OR(WWWW[[#This Row],['#_students at TLS_CFS]]="",WWWW[[#This Row],['#_students at TLS_CFS]]=0),"No","Yes")</f>
        <v>No</v>
      </c>
      <c r="EA16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3" s="727">
        <f>VLOOKUP(WWWW[[#This Row],[Site Name]],SiteDB6[[Site Name]:[CCCM Management]],6,FALSE)</f>
        <v>0</v>
      </c>
      <c r="EF163" s="727">
        <f>VLOOKUP(WWWW[[#This Row],[Site Name]],SiteDB6[[Site Name]:[CCCM Focal Agency]],7,FALSE)</f>
        <v>0</v>
      </c>
      <c r="EG163" s="727" t="str">
        <f>VLOOKUP(WWWW[[#This Row],[Site Name]],SiteDB6[[Site Name]:[Location Type 1]],9,FALSE)</f>
        <v>Camp</v>
      </c>
      <c r="EH163" s="727" t="str">
        <f>VLOOKUP(WWWW[[#This Row],[Site Name]],SiteDB6[[Site Name]:[Type of Accommodation]],10,FALSE)</f>
        <v>Host Families</v>
      </c>
      <c r="EI163" s="727" t="str">
        <f>VLOOKUP(WWWW[[#This Row],[Site Name]],SiteDB6[[Site Name]:[Ethnic or GCA/NGCA]],11,FALSE)</f>
        <v>NGCA</v>
      </c>
      <c r="EJ163" s="727">
        <f>VLOOKUP(WWWW[[#This Row],[Site Name]],SiteDB6[[Site Name]:[Lat]],12,FALSE)</f>
        <v>0</v>
      </c>
      <c r="EK163" s="727">
        <f>VLOOKUP(WWWW[[#This Row],[Site Name]],SiteDB6[[Site Name]:[Long]],13,FALSE)</f>
        <v>0</v>
      </c>
      <c r="EL163" s="727">
        <f>VLOOKUP(WWWW[[#This Row],[Site Name]],SiteDB6[[Site Name]:[Pcode]],3,FALSE)</f>
        <v>0</v>
      </c>
      <c r="EM163" s="732" t="str">
        <f t="shared" si="2"/>
        <v>Covered</v>
      </c>
      <c r="EN163" s="732"/>
      <c r="EO163" s="727">
        <f>VLOOKUP(WWWW[[#This Row],[Site Name]],SiteDB6[[Site Name]:[Pop
(Kachin/Shan-CCCM as of July 2021)]],16,FALSE)</f>
        <v>0</v>
      </c>
      <c r="EP163" s="727">
        <f>VLOOKUP(WWWW[[#This Row],[Site Name]],SiteDB6[[Site Name]:[Pop
(Kachin/Shan-CCCM as of July 2021)]],17,FALSE)</f>
        <v>0</v>
      </c>
    </row>
    <row r="164" spans="1:146" hidden="1">
      <c r="A164" s="725" t="s">
        <v>2763</v>
      </c>
      <c r="B164" s="725" t="s">
        <v>242</v>
      </c>
      <c r="C164" s="726" t="s">
        <v>242</v>
      </c>
      <c r="D164" s="726" t="s">
        <v>307</v>
      </c>
      <c r="E164" s="726" t="s">
        <v>37</v>
      </c>
      <c r="F164" s="726" t="s">
        <v>148</v>
      </c>
      <c r="G164" s="591" t="str">
        <f>VLOOKUP(WWWW[[#This Row],[Site Name]],SiteDB6[[Site Name]:[Location Type]],8,FALSE)</f>
        <v>Camp</v>
      </c>
      <c r="H164" s="726" t="s">
        <v>262</v>
      </c>
      <c r="I164" s="448">
        <v>16</v>
      </c>
      <c r="J164" s="448">
        <v>66</v>
      </c>
      <c r="K164" s="588">
        <v>44197</v>
      </c>
      <c r="L164" s="589">
        <v>44651</v>
      </c>
      <c r="M164" s="448">
        <v>15</v>
      </c>
      <c r="N164" s="448">
        <v>1</v>
      </c>
      <c r="O164" s="448"/>
      <c r="P164" s="448"/>
      <c r="Q164" s="717" t="s">
        <v>41</v>
      </c>
      <c r="R164" s="448">
        <v>2</v>
      </c>
      <c r="S164" s="448">
        <v>4</v>
      </c>
      <c r="T164" s="448"/>
      <c r="U164" s="728"/>
      <c r="V164" s="728"/>
      <c r="W164" s="728"/>
      <c r="X164" s="728"/>
      <c r="Y164" s="728"/>
      <c r="Z164" s="728"/>
      <c r="AA164" s="728">
        <v>1</v>
      </c>
      <c r="AB164" s="728"/>
      <c r="AC164" s="728"/>
      <c r="AD164" s="728"/>
      <c r="AE164" s="728">
        <v>1</v>
      </c>
      <c r="AF164" s="728"/>
      <c r="AG164" s="728"/>
      <c r="AH164" s="728"/>
      <c r="AI164" s="728"/>
      <c r="AJ164" s="728"/>
      <c r="AK164" s="728"/>
      <c r="AL164" s="728">
        <v>3</v>
      </c>
      <c r="AM164" s="728"/>
      <c r="AN164" s="448"/>
      <c r="AO164" s="448"/>
      <c r="AP164" s="732"/>
      <c r="AQ164" s="728">
        <v>5</v>
      </c>
      <c r="AR164" s="728"/>
      <c r="AS164" s="733"/>
      <c r="AT164" s="728"/>
      <c r="AU164" s="728"/>
      <c r="AV164" s="728"/>
      <c r="AW164" s="728"/>
      <c r="AX164" s="728"/>
      <c r="AY164" s="727" t="s">
        <v>41</v>
      </c>
      <c r="AZ164" s="732" t="s">
        <v>137</v>
      </c>
      <c r="BA164" s="728">
        <v>2</v>
      </c>
      <c r="BB164" s="728"/>
      <c r="BC164" s="728"/>
      <c r="BD164" s="448"/>
      <c r="BE164" s="448"/>
      <c r="BF164" s="727"/>
      <c r="BG164" s="728">
        <v>3</v>
      </c>
      <c r="BH164" s="728"/>
      <c r="BI164" s="728"/>
      <c r="BJ164" s="728">
        <v>2</v>
      </c>
      <c r="BK164" s="728"/>
      <c r="BL164" s="448">
        <v>2</v>
      </c>
      <c r="BM164" s="448">
        <v>1</v>
      </c>
      <c r="BN164" s="448">
        <v>16</v>
      </c>
      <c r="BO164" s="448">
        <v>18</v>
      </c>
      <c r="BP164" s="727" t="s">
        <v>41</v>
      </c>
      <c r="BQ164" s="424">
        <v>4</v>
      </c>
      <c r="BR164" s="423">
        <v>0.5</v>
      </c>
      <c r="BS164" s="425" t="s">
        <v>2915</v>
      </c>
      <c r="BT164" s="423">
        <v>0.8</v>
      </c>
      <c r="BU164" s="423">
        <v>0.8</v>
      </c>
      <c r="BV164" s="425">
        <v>7</v>
      </c>
      <c r="BW164" s="423">
        <v>0.75</v>
      </c>
      <c r="BX164" s="448"/>
      <c r="BY164" s="448"/>
      <c r="BZ164" s="448"/>
      <c r="CA164" s="448"/>
      <c r="CB164" s="448"/>
      <c r="CC164" s="777"/>
      <c r="CD164" s="448"/>
      <c r="CE164" s="735" t="str">
        <f>IFERROR(WWWW[[#This Row],['#_Water sources passed]]/WWWW[[#This Row],['#_Water sources tested for fecal coliform ]],"no test")</f>
        <v>no test</v>
      </c>
      <c r="CF164" s="733" t="str">
        <f>IFERROR(WWWW[[#This Row],['#_Household passed]]/WWWW[[#This Row],['#_Household water samples tested for fecal coliform]],"no test")</f>
        <v>no test</v>
      </c>
      <c r="CG164" s="734" t="str">
        <f>IF(AND(WWWW[[#This Row],[% of water sources passed]]="no test",WWWW[[#This Row],[% Household passed]]="no test"),"No Test","Tested")</f>
        <v>No Test</v>
      </c>
      <c r="CH164" s="734">
        <f>WWWW[[#This Row],['#_Constructed/existing protected hand dug well]]-WWWW[[#This Row],['#_Non-functional protected hand dug well]]</f>
        <v>0</v>
      </c>
      <c r="CI164" s="734">
        <f>(WWWW[[#This Row],['#_Constructed/Existing tube wells/boreholes/handpumps_WASH_agency]]+WWWW[[#This Row],['#_Non-Cluster partner water tube-wells/boreholes/handpumps]])-WWWW[[#This Row],['#_Non-functional tube wells/boreholes/handpumps]]</f>
        <v>0</v>
      </c>
      <c r="CJ164" s="734">
        <f>WWWW[[#This Row],['#_Constructed/Existingwater storage tank with gravity fed reticulation system]]-WWWW[[#This Row],['#_Non-functional storage tank gravity fed reticulation system]]</f>
        <v>1</v>
      </c>
      <c r="CK164" s="734">
        <f>(WWWW[[#This Row],['#_Water_Liters_supplied_by_Water boating or water trucking]]/90)/15</f>
        <v>0</v>
      </c>
      <c r="CL164" s="734">
        <f>WWWW[[#This Row],['#_Water_Liters_from_Constructed/Existing water distribution system from river or natural spring]]/90/15</f>
        <v>0</v>
      </c>
      <c r="CM164" s="424">
        <f>IF(WWWW[[#This Row],['#_of water points in TLS/CFS]]*500&gt;WWWW[[#This Row],[Total PoP ]],WWWW[[#This Row],[Total PoP ]],WWWW[[#This Row],['#_of water points in TLS/CFS]]*500)</f>
        <v>0</v>
      </c>
      <c r="CN164" s="424">
        <f>IF(WWWW[[#This Row],['#_of water points in THF]]*500&gt;WWWW[[#This Row],[Total PoP ]],WWWW[[#This Row],[Total PoP ]],WWWW[[#This Row],['#_of water points in THF]]*500)</f>
        <v>0</v>
      </c>
      <c r="CO16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4" s="733">
        <f>IF(WWWW[[#This Row],[Location Type 1]]="Village",WWWW[[#This Row],[Access to safe drinking water for Village]],WWWW[[#This Row],[Access to safe drinking water for Camp]])</f>
        <v>1</v>
      </c>
      <c r="CR164" s="731">
        <f>WWWW[[#This Row],[%Equitable and continuous access to sufficient quantity of safe drinking water]]*WWWW[[#This Row],[Total PoP ]]</f>
        <v>66</v>
      </c>
      <c r="CS164" s="733">
        <f>IF((WWWW[[#This Row],['#_Constructed/Existing protected/fenced ponds]]*250)/WWWW[[#This Row],[Total PoP ]]&gt;1,1,(WWWW[[#This Row],['#_Constructed/Existing protected/fenced ponds]]*250)/WWWW[[#This Row],[Total PoP ]])</f>
        <v>1</v>
      </c>
      <c r="CT164" s="731">
        <f>WWWW[[#This Row],[% Access to unimproved water points]]*WWWW[[#This Row],[Total PoP ]]</f>
        <v>66</v>
      </c>
      <c r="CU16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W164" s="731">
        <f>WWWW[[#This Row],[HRP1]]/500</f>
        <v>0.13200000000000001</v>
      </c>
      <c r="CX164" s="736">
        <f>1-WWWW[[#This Row],[% Equitable and continuous access to sufficient quantity of domestic water]]</f>
        <v>0</v>
      </c>
      <c r="CY164" s="731">
        <f>WWWW[[#This Row],[%equitable and continuous access to sufficient quantity of safe drinking and domestic water''s GAP]]*WWWW[[#This Row],[Total PoP ]]</f>
        <v>0</v>
      </c>
      <c r="CZ164" s="734">
        <f>IF(WWWW[[#This Row],[Total required water points]]-WWWW[[#This Row],['#Water points coverage]]&lt;0,0,WWWW[[#This Row],[Total required water points]]-WWWW[[#This Row],['#Water points coverage]])</f>
        <v>0.86799999999999999</v>
      </c>
      <c r="DA164" s="734">
        <f>ROUND(IF(WWWW[[#This Row],[Total PoP ]]&lt;500,1,WWWW[[#This Row],[Total PoP ]]/500),0)</f>
        <v>1</v>
      </c>
      <c r="DB164" s="734">
        <f>(WWWW[[#This Row],['#_Constructed latrines_by_WASHAgencies]]+WWWW[[#This Row],['#_Non Cluster partner latrines]])-WWWW[[#This Row],['#_Non-functional latrines]]</f>
        <v>5</v>
      </c>
      <c r="DC164" s="631">
        <f>WWWW[[#This Row],[HRP2]]/WWWW[[#This Row],[Total PoP ]]</f>
        <v>1</v>
      </c>
      <c r="DD16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DE16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4" s="424">
        <f>IF(WWWW[[#This Row],['# of functional latrines in THF supported by WASH partners during the reporting period2]]="",0,WWWW[[#This Row],['# of functional latrines in THF supported by WASH partners during the reporting period2]]*50)</f>
        <v>0</v>
      </c>
      <c r="DH164" s="734">
        <f>ROUND(IF(WWWW[[#This Row],[Location Type 1]]="camp",WWWW[[#This Row],[Total PoP ]]/20,IF(WWWW[[#This Row],[Location Type 1]]="Temporary Location",WWWW[[#This Row],[Total PoP ]]/50,(WWWW[[#This Row],[Total PoP ]]/6))),0)</f>
        <v>3</v>
      </c>
      <c r="DI164" s="734">
        <f>IF(WWWW[[#This Row],[Total required Latrines]]-(WWWW[[#This Row],['#_Constructed latrines_by_WASHAgencies]]+WWWW[[#This Row],['#_Non Cluster partner latrines]])&lt;0,0,WWWW[[#This Row],[Total required Latrines]]-(WWWW[[#This Row],['#_Constructed latrines_by_WASHAgencies]]+WWWW[[#This Row],['#_Non Cluster partner latrines]]))</f>
        <v>0</v>
      </c>
      <c r="DJ164" s="736">
        <f>1-WWWW[[#This Row],[% people access to functioning Latrine]]</f>
        <v>0</v>
      </c>
      <c r="DK164" s="735">
        <f>IF(OR(WWWW[[#This Row],['#_Non-functional latrines]]="",WWWW[[#This Row],['#_Non-functional latrines]]=0),0,WWWW[[#This Row],['#_Non-functional latrines]]/(WWWW[[#This Row],['#_Constructed latrines_by_WASHAgencies]]+WWWW[[#This Row],['#_Non Cluster partner latrines]]))</f>
        <v>0</v>
      </c>
      <c r="DL164" s="731">
        <f>IF(500*(WWWW[[#This Row],['#_male hygiene promoters]]+WWWW[[#This Row],['#_female hygiene promoters]])&gt;WWWW[[#This Row],[Total PoP ]],WWWW[[#This Row],[Total PoP ]],500*(WWWW[[#This Row],['#_male hygiene promoters]]+WWWW[[#This Row],['#_female hygiene promoters]]))</f>
        <v>66</v>
      </c>
      <c r="DM16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66</v>
      </c>
      <c r="DN16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64" s="734">
        <f>IF(WWWW[[#This Row],['# People with access to soap]]&gt;WWWW[[#This Row],['# People with access to Sanity Pads]],WWWW[[#This Row],['# People with access to soap]],WWWW[[#This Row],['# People with access to Sanity Pads]])</f>
        <v>66</v>
      </c>
      <c r="DP164" s="734">
        <f>IF(WWWW[[#This Row],['# people reached by regular dedicated hygiene promotion_5]]&gt;WWWW[[#This Row],['# People received regular supply of hygiene items_6]],WWWW[[#This Row],['# people reached by regular dedicated hygiene promotion_5]],WWWW[[#This Row],['# People received regular supply of hygiene items_6]])</f>
        <v>66</v>
      </c>
      <c r="DQ164" s="736">
        <f>IF(WWWW[[#This Row],[HRP3]]/WWWW[[#This Row],[Total PoP ]]&gt;1,1,WWWW[[#This Row],[HRP3]]/WWWW[[#This Row],[Total PoP ]])</f>
        <v>1</v>
      </c>
      <c r="DR164" s="735">
        <f>1-WWWW[[#This Row],[Hygiene Coverage%]]</f>
        <v>0</v>
      </c>
      <c r="DS164" s="733">
        <f>WWWW[[#This Row],['# people reached by regular dedicated hygiene promotion_5]]/WWWW[[#This Row],[Total PoP ]]</f>
        <v>1</v>
      </c>
      <c r="DT16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4" s="734">
        <f>WWWW[[#This Row],['#_Constructed/Existing hand washing stations]]-WWWW[[#This Row],['#_Non-Functional_hand_washing_stations]]</f>
        <v>3</v>
      </c>
      <c r="DW164" s="731">
        <f>IF(WWWW[[#This Row],['# Functional hand washing stations during reporting period]]*20&gt;WWWW[[#This Row],[Total HH]],WWWW[[#This Row],[Total HH]],WWWW[[#This Row],['# Functional hand washing stations during reporting period]]*20)</f>
        <v>16</v>
      </c>
      <c r="DX164" s="731">
        <f>IF(WWWW[[#This Row],[Is sufficient soap available for TLS? (Yes/No)]]="yes",WWWW[[#This Row],['#_Constructed/Existing hand washing stations at TLS/CFS/THF]],0)</f>
        <v>0</v>
      </c>
      <c r="DY164" s="428">
        <f>IF(WWWW[[#This Row],['# Functional hand washing stations during reporting period]]*100&gt;WWWW[[#This Row],[Total PoP ]],WWWW[[#This Row],[Total PoP ]],WWWW[[#This Row],['# Functional hand washing stations during reporting period]]*100)</f>
        <v>66</v>
      </c>
      <c r="DZ164" s="428" t="str">
        <f>IF(OR(WWWW[[#This Row],['#_students at TLS_CFS]]="",WWWW[[#This Row],['#_students at TLS_CFS]]=0),"No","Yes")</f>
        <v>Yes</v>
      </c>
      <c r="EA164" s="631">
        <f>IF(WWWW[[#This Row],['#_of_affected_people_surveyed_who_report_feeling_informed_about_the_different_WASH_services_available_to_them]]="","",WWWW[[#This Row],['#_of_affected_people_surveyed_who_report_feeling_informed_about_the_different_WASH_services_available_to_them]]/WWWW[[#This Row],[Total PoP ]])</f>
        <v>0.10606060606060606</v>
      </c>
      <c r="EB16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4" s="727" t="str">
        <f>VLOOKUP(WWWW[[#This Row],[Site Name]],SiteDB6[[Site Name]:[CCCM Management]],6,FALSE)</f>
        <v>Yes</v>
      </c>
      <c r="EF164" s="727" t="str">
        <f>VLOOKUP(WWWW[[#This Row],[Site Name]],SiteDB6[[Site Name]:[CCCM Focal Agency]],7,FALSE)</f>
        <v>KBC-MYT</v>
      </c>
      <c r="EG164" s="727" t="str">
        <f>VLOOKUP(WWWW[[#This Row],[Site Name]],SiteDB6[[Site Name]:[Location Type 1]],9,FALSE)</f>
        <v>Camp</v>
      </c>
      <c r="EH164" s="727" t="str">
        <f>VLOOKUP(WWWW[[#This Row],[Site Name]],SiteDB6[[Site Name]:[Type of Accommodation]],10,FALSE)</f>
        <v>Camp</v>
      </c>
      <c r="EI164" s="727" t="str">
        <f>VLOOKUP(WWWW[[#This Row],[Site Name]],SiteDB6[[Site Name]:[Ethnic or GCA/NGCA]],11,FALSE)</f>
        <v>GCA</v>
      </c>
      <c r="EJ164" s="727">
        <f>VLOOKUP(WWWW[[#This Row],[Site Name]],SiteDB6[[Site Name]:[Lat]],12,FALSE)</f>
        <v>25.599250000000001</v>
      </c>
      <c r="EK164" s="727">
        <f>VLOOKUP(WWWW[[#This Row],[Site Name]],SiteDB6[[Site Name]:[Long]],13,FALSE)</f>
        <v>96.306910999999999</v>
      </c>
      <c r="EL164" s="727" t="str">
        <f>VLOOKUP(WWWW[[#This Row],[Site Name]],SiteDB6[[Site Name]:[Pcode]],3,FALSE)</f>
        <v>MMR001CMP105</v>
      </c>
      <c r="EM164" s="732" t="str">
        <f t="shared" si="2"/>
        <v>Covered</v>
      </c>
      <c r="EN164" s="732"/>
      <c r="EO164" s="727">
        <f>VLOOKUP(WWWW[[#This Row],[Site Name]],SiteDB6[[Site Name]:[Pop
(Kachin/Shan-CCCM as of July 2021)]],16,FALSE)</f>
        <v>16</v>
      </c>
      <c r="EP164" s="727">
        <f>VLOOKUP(WWWW[[#This Row],[Site Name]],SiteDB6[[Site Name]:[Pop
(Kachin/Shan-CCCM as of July 2021)]],17,FALSE)</f>
        <v>64</v>
      </c>
    </row>
    <row r="165" spans="1:146" hidden="1">
      <c r="A165" s="725" t="s">
        <v>2763</v>
      </c>
      <c r="B165" s="725" t="s">
        <v>309</v>
      </c>
      <c r="C165" s="726" t="s">
        <v>309</v>
      </c>
      <c r="D165" s="786"/>
      <c r="E165" s="786" t="s">
        <v>37</v>
      </c>
      <c r="F165" s="786" t="s">
        <v>142</v>
      </c>
      <c r="G165" s="591" t="str">
        <f>VLOOKUP(WWWW[[#This Row],[Site Name]],SiteDB6[[Site Name]:[Location Type]],8,FALSE)</f>
        <v>Camp</v>
      </c>
      <c r="H165" s="786" t="s">
        <v>2779</v>
      </c>
      <c r="I165" s="788">
        <v>45</v>
      </c>
      <c r="J165" s="788">
        <v>247</v>
      </c>
      <c r="K165" s="789"/>
      <c r="L165" s="790"/>
      <c r="M165" s="788"/>
      <c r="N165" s="788"/>
      <c r="O165" s="788"/>
      <c r="P165" s="788"/>
      <c r="Q165" s="791"/>
      <c r="R165" s="788"/>
      <c r="S165" s="788"/>
      <c r="T165" s="448"/>
      <c r="U165" s="788"/>
      <c r="V165" s="788"/>
      <c r="W165" s="788"/>
      <c r="X165" s="788"/>
      <c r="Y165" s="788"/>
      <c r="Z165" s="788"/>
      <c r="AA165" s="788"/>
      <c r="AB165" s="788"/>
      <c r="AC165" s="788"/>
      <c r="AD165" s="788"/>
      <c r="AE165" s="788"/>
      <c r="AF165" s="788"/>
      <c r="AG165" s="788"/>
      <c r="AH165" s="788"/>
      <c r="AI165" s="788"/>
      <c r="AJ165" s="788"/>
      <c r="AK165" s="788"/>
      <c r="AL165" s="788"/>
      <c r="AM165" s="788"/>
      <c r="AN165" s="788"/>
      <c r="AO165" s="788"/>
      <c r="AP165" s="792"/>
      <c r="AQ165" s="788"/>
      <c r="AR165" s="788"/>
      <c r="AS165" s="793"/>
      <c r="AT165" s="788"/>
      <c r="AU165" s="788"/>
      <c r="AV165" s="788"/>
      <c r="AW165" s="788"/>
      <c r="AX165" s="788"/>
      <c r="AY165" s="425" t="s">
        <v>140</v>
      </c>
      <c r="AZ165" s="860" t="s">
        <v>140</v>
      </c>
      <c r="BA165" s="788"/>
      <c r="BB165" s="788"/>
      <c r="BC165" s="788"/>
      <c r="BD165" s="448"/>
      <c r="BE165" s="448"/>
      <c r="BF165" s="787"/>
      <c r="BG165" s="788">
        <v>7</v>
      </c>
      <c r="BH165" s="788"/>
      <c r="BI165" s="788"/>
      <c r="BJ165" s="788">
        <v>4</v>
      </c>
      <c r="BK165" s="788"/>
      <c r="BL165" s="788"/>
      <c r="BM165" s="788"/>
      <c r="BN165" s="788">
        <v>124</v>
      </c>
      <c r="BO165" s="788">
        <v>198</v>
      </c>
      <c r="BP165" s="787"/>
      <c r="BQ165" s="794"/>
      <c r="BR165" s="793"/>
      <c r="BS165" s="787"/>
      <c r="BT165" s="423"/>
      <c r="BU165" s="423"/>
      <c r="BV165" s="425"/>
      <c r="BW165" s="423"/>
      <c r="BX165" s="448"/>
      <c r="BY165" s="448"/>
      <c r="BZ165" s="448"/>
      <c r="CA165" s="448"/>
      <c r="CB165" s="448"/>
      <c r="CC165" s="777"/>
      <c r="CD165" s="448"/>
      <c r="CE165" s="795" t="str">
        <f>IFERROR(WWWW[[#This Row],['#_Water sources passed]]/WWWW[[#This Row],['#_Water sources tested for fecal coliform ]],"no test")</f>
        <v>no test</v>
      </c>
      <c r="CF165" s="793" t="str">
        <f>IFERROR(WWWW[[#This Row],['#_Household passed]]/WWWW[[#This Row],['#_Household water samples tested for fecal coliform]],"no test")</f>
        <v>no test</v>
      </c>
      <c r="CG165" s="794" t="str">
        <f>IF(AND(WWWW[[#This Row],[% of water sources passed]]="no test",WWWW[[#This Row],[% Household passed]]="no test"),"No Test","Tested")</f>
        <v>No Test</v>
      </c>
      <c r="CH165" s="794">
        <f>WWWW[[#This Row],['#_Constructed/existing protected hand dug well]]-WWWW[[#This Row],['#_Non-functional protected hand dug well]]</f>
        <v>0</v>
      </c>
      <c r="CI165" s="794">
        <f>(WWWW[[#This Row],['#_Constructed/Existing tube wells/boreholes/handpumps_WASH_agency]]+WWWW[[#This Row],['#_Non-Cluster partner water tube-wells/boreholes/handpumps]])-WWWW[[#This Row],['#_Non-functional tube wells/boreholes/handpumps]]</f>
        <v>0</v>
      </c>
      <c r="CJ165" s="794">
        <f>WWWW[[#This Row],['#_Constructed/Existingwater storage tank with gravity fed reticulation system]]-WWWW[[#This Row],['#_Non-functional storage tank gravity fed reticulation system]]</f>
        <v>0</v>
      </c>
      <c r="CK165" s="794">
        <f>(WWWW[[#This Row],['#_Water_Liters_supplied_by_Water boating or water trucking]]/90)/15</f>
        <v>0</v>
      </c>
      <c r="CL165" s="794">
        <f>WWWW[[#This Row],['#_Water_Liters_from_Constructed/Existing water distribution system from river or natural spring]]/90/15</f>
        <v>0</v>
      </c>
      <c r="CM165" s="424">
        <f>IF(WWWW[[#This Row],['#_of water points in TLS/CFS]]*500&gt;WWWW[[#This Row],[Total PoP ]],WWWW[[#This Row],[Total PoP ]],WWWW[[#This Row],['#_of water points in TLS/CFS]]*500)</f>
        <v>0</v>
      </c>
      <c r="CN165" s="424">
        <f>IF(WWWW[[#This Row],['#_of water points in THF]]*500&gt;WWWW[[#This Row],[Total PoP ]],WWWW[[#This Row],[Total PoP ]],WWWW[[#This Row],['#_of water points in THF]]*500)</f>
        <v>0</v>
      </c>
      <c r="CO165" s="79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65" s="79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65" s="793">
        <f>IF(WWWW[[#This Row],[Location Type 1]]="Village",WWWW[[#This Row],[Access to safe drinking water for Village]],WWWW[[#This Row],[Access to safe drinking water for Camp]])</f>
        <v>0</v>
      </c>
      <c r="CR165" s="791">
        <f>WWWW[[#This Row],[%Equitable and continuous access to sufficient quantity of safe drinking water]]*WWWW[[#This Row],[Total PoP ]]</f>
        <v>0</v>
      </c>
      <c r="CS165" s="793">
        <f>IF((WWWW[[#This Row],['#_Constructed/Existing protected/fenced ponds]]*250)/WWWW[[#This Row],[Total PoP ]]&gt;1,1,(WWWW[[#This Row],['#_Constructed/Existing protected/fenced ponds]]*250)/WWWW[[#This Row],[Total PoP ]])</f>
        <v>0</v>
      </c>
      <c r="CT165" s="791">
        <f>WWWW[[#This Row],[% Access to unimproved water points]]*WWWW[[#This Row],[Total PoP ]]</f>
        <v>0</v>
      </c>
      <c r="CU165" s="79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65" s="79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65" s="791">
        <f>WWWW[[#This Row],[HRP1]]/500</f>
        <v>0</v>
      </c>
      <c r="CX165" s="796">
        <f>1-WWWW[[#This Row],[% Equitable and continuous access to sufficient quantity of domestic water]]</f>
        <v>1</v>
      </c>
      <c r="CY165" s="791">
        <f>WWWW[[#This Row],[%equitable and continuous access to sufficient quantity of safe drinking and domestic water''s GAP]]*WWWW[[#This Row],[Total PoP ]]</f>
        <v>247</v>
      </c>
      <c r="CZ165" s="794">
        <f>IF(WWWW[[#This Row],[Total required water points]]-WWWW[[#This Row],['#Water points coverage]]&lt;0,0,WWWW[[#This Row],[Total required water points]]-WWWW[[#This Row],['#Water points coverage]])</f>
        <v>1</v>
      </c>
      <c r="DA165" s="794">
        <f>ROUND(IF(WWWW[[#This Row],[Total PoP ]]&lt;500,1,WWWW[[#This Row],[Total PoP ]]/500),0)</f>
        <v>1</v>
      </c>
      <c r="DB165" s="794">
        <f>(WWWW[[#This Row],['#_Constructed latrines_by_WASHAgencies]]+WWWW[[#This Row],['#_Non Cluster partner latrines]])-WWWW[[#This Row],['#_Non-functional latrines]]</f>
        <v>0</v>
      </c>
      <c r="DC165" s="631">
        <f>WWWW[[#This Row],[HRP2]]/WWWW[[#This Row],[Total PoP ]]</f>
        <v>0</v>
      </c>
      <c r="DD165" s="79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65" s="79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5" s="79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5" s="424">
        <f>IF(WWWW[[#This Row],['# of functional latrines in THF supported by WASH partners during the reporting period2]]="",0,WWWW[[#This Row],['# of functional latrines in THF supported by WASH partners during the reporting period2]]*50)</f>
        <v>0</v>
      </c>
      <c r="DH165" s="794">
        <f>ROUND(IF(WWWW[[#This Row],[Location Type 1]]="camp",WWWW[[#This Row],[Total PoP ]]/20,IF(WWWW[[#This Row],[Location Type 1]]="Temporary Location",WWWW[[#This Row],[Total PoP ]]/50,(WWWW[[#This Row],[Total PoP ]]/6))),0)</f>
        <v>12</v>
      </c>
      <c r="DI165" s="794">
        <f>IF(WWWW[[#This Row],[Total required Latrines]]-(WWWW[[#This Row],['#_Constructed latrines_by_WASHAgencies]]+WWWW[[#This Row],['#_Non Cluster partner latrines]])&lt;0,0,WWWW[[#This Row],[Total required Latrines]]-(WWWW[[#This Row],['#_Constructed latrines_by_WASHAgencies]]+WWWW[[#This Row],['#_Non Cluster partner latrines]]))</f>
        <v>12</v>
      </c>
      <c r="DJ165" s="796">
        <f>1-WWWW[[#This Row],[% people access to functioning Latrine]]</f>
        <v>1</v>
      </c>
      <c r="DK165" s="795">
        <f>IF(OR(WWWW[[#This Row],['#_Non-functional latrines]]="",WWWW[[#This Row],['#_Non-functional latrines]]=0),0,WWWW[[#This Row],['#_Non-functional latrines]]/(WWWW[[#This Row],['#_Constructed latrines_by_WASHAgencies]]+WWWW[[#This Row],['#_Non Cluster partner latrines]]))</f>
        <v>0</v>
      </c>
      <c r="DL165" s="791">
        <f>IF(500*(WWWW[[#This Row],['#_male hygiene promoters]]+WWWW[[#This Row],['#_female hygiene promoters]])&gt;WWWW[[#This Row],[Total PoP ]],WWWW[[#This Row],[Total PoP ]],500*(WWWW[[#This Row],['#_male hygiene promoters]]+WWWW[[#This Row],['#_female hygiene promoters]]))</f>
        <v>0</v>
      </c>
      <c r="DM165" s="79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247</v>
      </c>
      <c r="DN165" s="79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65" s="794">
        <f>IF(WWWW[[#This Row],['# People with access to soap]]&gt;WWWW[[#This Row],['# People with access to Sanity Pads]],WWWW[[#This Row],['# People with access to soap]],WWWW[[#This Row],['# People with access to Sanity Pads]])</f>
        <v>247</v>
      </c>
      <c r="DP165" s="794">
        <f>IF(WWWW[[#This Row],['# people reached by regular dedicated hygiene promotion_5]]&gt;WWWW[[#This Row],['# People received regular supply of hygiene items_6]],WWWW[[#This Row],['# people reached by regular dedicated hygiene promotion_5]],WWWW[[#This Row],['# People received regular supply of hygiene items_6]])</f>
        <v>247</v>
      </c>
      <c r="DQ165" s="796">
        <f>IF(WWWW[[#This Row],[HRP3]]/WWWW[[#This Row],[Total PoP ]]&gt;1,1,WWWW[[#This Row],[HRP3]]/WWWW[[#This Row],[Total PoP ]])</f>
        <v>1</v>
      </c>
      <c r="DR165" s="795">
        <f>1-WWWW[[#This Row],[Hygiene Coverage%]]</f>
        <v>0</v>
      </c>
      <c r="DS165" s="793">
        <f>WWWW[[#This Row],['# people reached by regular dedicated hygiene promotion_5]]/WWWW[[#This Row],[Total PoP ]]</f>
        <v>0</v>
      </c>
      <c r="DT165" s="79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5" s="79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5" s="794">
        <f>WWWW[[#This Row],['#_Constructed/Existing hand washing stations]]-WWWW[[#This Row],['#_Non-Functional_hand_washing_stations]]</f>
        <v>7</v>
      </c>
      <c r="DW165" s="791">
        <f>IF(WWWW[[#This Row],['# Functional hand washing stations during reporting period]]*20&gt;WWWW[[#This Row],[Total HH]],WWWW[[#This Row],[Total HH]],WWWW[[#This Row],['# Functional hand washing stations during reporting period]]*20)</f>
        <v>45</v>
      </c>
      <c r="DX165" s="791">
        <f>IF(WWWW[[#This Row],[Is sufficient soap available for TLS? (Yes/No)]]="yes",WWWW[[#This Row],['#_Constructed/Existing hand washing stations at TLS/CFS/THF]],0)</f>
        <v>0</v>
      </c>
      <c r="DY165" s="428">
        <f>IF(WWWW[[#This Row],['# Functional hand washing stations during reporting period]]*100&gt;WWWW[[#This Row],[Total PoP ]],WWWW[[#This Row],[Total PoP ]],WWWW[[#This Row],['# Functional hand washing stations during reporting period]]*100)</f>
        <v>247</v>
      </c>
      <c r="DZ165" s="428" t="str">
        <f>IF(OR(WWWW[[#This Row],['#_students at TLS_CFS]]="",WWWW[[#This Row],['#_students at TLS_CFS]]=0),"No","Yes")</f>
        <v>No</v>
      </c>
      <c r="EA16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5" s="787">
        <f>VLOOKUP(WWWW[[#This Row],[Site Name]],SiteDB6[[Site Name]:[CCCM Management]],6,FALSE)</f>
        <v>0</v>
      </c>
      <c r="EF165" s="787" t="str">
        <f>VLOOKUP(WWWW[[#This Row],[Site Name]],SiteDB6[[Site Name]:[CCCM Focal Agency]],7,FALSE)</f>
        <v xml:space="preserve">Uncovered  </v>
      </c>
      <c r="EG165" s="787" t="str">
        <f>VLOOKUP(WWWW[[#This Row],[Site Name]],SiteDB6[[Site Name]:[Location Type 1]],9,FALSE)</f>
        <v>Camp</v>
      </c>
      <c r="EH165" s="787" t="str">
        <f>VLOOKUP(WWWW[[#This Row],[Site Name]],SiteDB6[[Site Name]:[Type of Accommodation]],10,FALSE)</f>
        <v>Temporarily removed</v>
      </c>
      <c r="EI165" s="787" t="str">
        <f>VLOOKUP(WWWW[[#This Row],[Site Name]],SiteDB6[[Site Name]:[Ethnic or GCA/NGCA]],11,FALSE)</f>
        <v>GCA</v>
      </c>
      <c r="EJ165" s="787">
        <f>VLOOKUP(WWWW[[#This Row],[Site Name]],SiteDB6[[Site Name]:[Lat]],12,FALSE)</f>
        <v>25.2056</v>
      </c>
      <c r="EK165" s="787">
        <f>VLOOKUP(WWWW[[#This Row],[Site Name]],SiteDB6[[Site Name]:[Long]],13,FALSE)</f>
        <v>97.260800000000003</v>
      </c>
      <c r="EL165" s="787" t="str">
        <f>VLOOKUP(WWWW[[#This Row],[Site Name]],SiteDB6[[Site Name]:[Pcode]],3,FALSE)</f>
        <v>MMR001CMP291</v>
      </c>
      <c r="EM165" s="792" t="str">
        <f t="shared" si="2"/>
        <v>Notcovered</v>
      </c>
      <c r="EN165" s="792"/>
      <c r="EO165" s="787">
        <f>VLOOKUP(WWWW[[#This Row],[Site Name]],SiteDB6[[Site Name]:[Pop
(Kachin/Shan-CCCM as of July 2021)]],16,FALSE)</f>
        <v>45</v>
      </c>
      <c r="EP165" s="787">
        <f>VLOOKUP(WWWW[[#This Row],[Site Name]],SiteDB6[[Site Name]:[Pop
(Kachin/Shan-CCCM as of July 2021)]],17,FALSE)</f>
        <v>247</v>
      </c>
    </row>
    <row r="166" spans="1:146" hidden="1">
      <c r="A166" s="725" t="s">
        <v>2763</v>
      </c>
      <c r="B166" s="725" t="s">
        <v>192</v>
      </c>
      <c r="C166" s="726" t="s">
        <v>192</v>
      </c>
      <c r="D166" s="726" t="s">
        <v>241</v>
      </c>
      <c r="E166" s="726" t="s">
        <v>515</v>
      </c>
      <c r="F166" s="726" t="s">
        <v>519</v>
      </c>
      <c r="G166" s="591" t="str">
        <f>VLOOKUP(WWWW[[#This Row],[Site Name]],SiteDB6[[Site Name]:[Location Type]],8,FALSE)</f>
        <v>Camp</v>
      </c>
      <c r="H166" s="726" t="s">
        <v>3031</v>
      </c>
      <c r="I166" s="728">
        <v>27</v>
      </c>
      <c r="J166" s="728">
        <v>162</v>
      </c>
      <c r="K166" s="729">
        <v>44511</v>
      </c>
      <c r="L166" s="730">
        <v>44845</v>
      </c>
      <c r="M166" s="728"/>
      <c r="N166" s="728"/>
      <c r="O166" s="728"/>
      <c r="P166" s="728"/>
      <c r="Q166" s="731"/>
      <c r="R166" s="728"/>
      <c r="S166" s="728"/>
      <c r="T166" s="448"/>
      <c r="U166" s="728"/>
      <c r="V166" s="728"/>
      <c r="W166" s="728"/>
      <c r="X166" s="728"/>
      <c r="Y166" s="728"/>
      <c r="Z166" s="728"/>
      <c r="AA166" s="728"/>
      <c r="AB166" s="728"/>
      <c r="AC166" s="728"/>
      <c r="AD166" s="728"/>
      <c r="AE166" s="728"/>
      <c r="AF166" s="728"/>
      <c r="AG166" s="728"/>
      <c r="AH166" s="728"/>
      <c r="AI166" s="728"/>
      <c r="AJ166" s="728"/>
      <c r="AK166" s="728"/>
      <c r="AL166" s="728"/>
      <c r="AM166" s="728"/>
      <c r="AN166" s="728"/>
      <c r="AO166" s="728"/>
      <c r="AP166" s="732"/>
      <c r="AQ166" s="728"/>
      <c r="AR166" s="728"/>
      <c r="AS166" s="733"/>
      <c r="AT166" s="728"/>
      <c r="AU166" s="728"/>
      <c r="AV166" s="728"/>
      <c r="AW166" s="728"/>
      <c r="AX166" s="728"/>
      <c r="AY166" s="425" t="s">
        <v>140</v>
      </c>
      <c r="AZ166" s="860" t="s">
        <v>140</v>
      </c>
      <c r="BA166" s="728"/>
      <c r="BB166" s="728"/>
      <c r="BC166" s="728"/>
      <c r="BD166" s="448"/>
      <c r="BE166" s="448"/>
      <c r="BF166" s="727"/>
      <c r="BG166" s="728">
        <v>7</v>
      </c>
      <c r="BH166" s="728"/>
      <c r="BI166" s="728"/>
      <c r="BJ166" s="728">
        <v>4</v>
      </c>
      <c r="BK166" s="728"/>
      <c r="BL166" s="728"/>
      <c r="BM166" s="728"/>
      <c r="BN166" s="728">
        <v>124</v>
      </c>
      <c r="BO166" s="728">
        <v>198</v>
      </c>
      <c r="BP166" s="727"/>
      <c r="BQ166" s="734"/>
      <c r="BR166" s="733"/>
      <c r="BS166" s="727"/>
      <c r="BT166" s="423"/>
      <c r="BU166" s="423"/>
      <c r="BV166" s="425"/>
      <c r="BW166" s="423"/>
      <c r="BX166" s="448"/>
      <c r="BY166" s="448"/>
      <c r="BZ166" s="448"/>
      <c r="CA166" s="448"/>
      <c r="CB166" s="448"/>
      <c r="CC166" s="777"/>
      <c r="CD166" s="448"/>
      <c r="CE166" s="735" t="str">
        <f>IFERROR(WWWW[[#This Row],['#_Water sources passed]]/WWWW[[#This Row],['#_Water sources tested for fecal coliform ]],"no test")</f>
        <v>no test</v>
      </c>
      <c r="CF166" s="733" t="str">
        <f>IFERROR(WWWW[[#This Row],['#_Household passed]]/WWWW[[#This Row],['#_Household water samples tested for fecal coliform]],"no test")</f>
        <v>no test</v>
      </c>
      <c r="CG166" s="734" t="str">
        <f>IF(AND(WWWW[[#This Row],[% of water sources passed]]="no test",WWWW[[#This Row],[% Household passed]]="no test"),"No Test","Tested")</f>
        <v>No Test</v>
      </c>
      <c r="CH166" s="734">
        <f>WWWW[[#This Row],['#_Constructed/existing protected hand dug well]]-WWWW[[#This Row],['#_Non-functional protected hand dug well]]</f>
        <v>0</v>
      </c>
      <c r="CI166" s="734">
        <f>(WWWW[[#This Row],['#_Constructed/Existing tube wells/boreholes/handpumps_WASH_agency]]+WWWW[[#This Row],['#_Non-Cluster partner water tube-wells/boreholes/handpumps]])-WWWW[[#This Row],['#_Non-functional tube wells/boreholes/handpumps]]</f>
        <v>0</v>
      </c>
      <c r="CJ166" s="734">
        <f>WWWW[[#This Row],['#_Constructed/Existingwater storage tank with gravity fed reticulation system]]-WWWW[[#This Row],['#_Non-functional storage tank gravity fed reticulation system]]</f>
        <v>0</v>
      </c>
      <c r="CK166" s="734">
        <f>(WWWW[[#This Row],['#_Water_Liters_supplied_by_Water boating or water trucking]]/90)/15</f>
        <v>0</v>
      </c>
      <c r="CL166" s="734">
        <f>WWWW[[#This Row],['#_Water_Liters_from_Constructed/Existing water distribution system from river or natural spring]]/90/15</f>
        <v>0</v>
      </c>
      <c r="CM166" s="424">
        <f>IF(WWWW[[#This Row],['#_of water points in TLS/CFS]]*500&gt;WWWW[[#This Row],[Total PoP ]],WWWW[[#This Row],[Total PoP ]],WWWW[[#This Row],['#_of water points in TLS/CFS]]*500)</f>
        <v>0</v>
      </c>
      <c r="CN166" s="424">
        <f>IF(WWWW[[#This Row],['#_of water points in THF]]*500&gt;WWWW[[#This Row],[Total PoP ]],WWWW[[#This Row],[Total PoP ]],WWWW[[#This Row],['#_of water points in THF]]*500)</f>
        <v>0</v>
      </c>
      <c r="CO16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6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66" s="733">
        <f>IF(WWWW[[#This Row],[Location Type 1]]="Village",WWWW[[#This Row],[Access to safe drinking water for Village]],WWWW[[#This Row],[Access to safe drinking water for Camp]])</f>
        <v>0</v>
      </c>
      <c r="CR166" s="731">
        <f>WWWW[[#This Row],[%Equitable and continuous access to sufficient quantity of safe drinking water]]*WWWW[[#This Row],[Total PoP ]]</f>
        <v>0</v>
      </c>
      <c r="CS166" s="733">
        <f>IF((WWWW[[#This Row],['#_Constructed/Existing protected/fenced ponds]]*250)/WWWW[[#This Row],[Total PoP ]]&gt;1,1,(WWWW[[#This Row],['#_Constructed/Existing protected/fenced ponds]]*250)/WWWW[[#This Row],[Total PoP ]])</f>
        <v>0</v>
      </c>
      <c r="CT166" s="731">
        <f>WWWW[[#This Row],[% Access to unimproved water points]]*WWWW[[#This Row],[Total PoP ]]</f>
        <v>0</v>
      </c>
      <c r="CU16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6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66" s="731">
        <f>WWWW[[#This Row],[HRP1]]/500</f>
        <v>0</v>
      </c>
      <c r="CX166" s="736">
        <f>1-WWWW[[#This Row],[% Equitable and continuous access to sufficient quantity of domestic water]]</f>
        <v>1</v>
      </c>
      <c r="CY166" s="731">
        <f>WWWW[[#This Row],[%equitable and continuous access to sufficient quantity of safe drinking and domestic water''s GAP]]*WWWW[[#This Row],[Total PoP ]]</f>
        <v>162</v>
      </c>
      <c r="CZ166" s="734">
        <f>IF(WWWW[[#This Row],[Total required water points]]-WWWW[[#This Row],['#Water points coverage]]&lt;0,0,WWWW[[#This Row],[Total required water points]]-WWWW[[#This Row],['#Water points coverage]])</f>
        <v>1</v>
      </c>
      <c r="DA166" s="734">
        <f>ROUND(IF(WWWW[[#This Row],[Total PoP ]]&lt;500,1,WWWW[[#This Row],[Total PoP ]]/500),0)</f>
        <v>1</v>
      </c>
      <c r="DB166" s="734">
        <f>(WWWW[[#This Row],['#_Constructed latrines_by_WASHAgencies]]+WWWW[[#This Row],['#_Non Cluster partner latrines]])-WWWW[[#This Row],['#_Non-functional latrines]]</f>
        <v>0</v>
      </c>
      <c r="DC166" s="631">
        <f>WWWW[[#This Row],[HRP2]]/WWWW[[#This Row],[Total PoP ]]</f>
        <v>0</v>
      </c>
      <c r="DD16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6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6" s="424">
        <f>IF(WWWW[[#This Row],['# of functional latrines in THF supported by WASH partners during the reporting period2]]="",0,WWWW[[#This Row],['# of functional latrines in THF supported by WASH partners during the reporting period2]]*50)</f>
        <v>0</v>
      </c>
      <c r="DH166" s="734">
        <f>ROUND(IF(WWWW[[#This Row],[Location Type 1]]="camp",WWWW[[#This Row],[Total PoP ]]/20,IF(WWWW[[#This Row],[Location Type 1]]="Temporary Location",WWWW[[#This Row],[Total PoP ]]/50,(WWWW[[#This Row],[Total PoP ]]/6))),0)</f>
        <v>8</v>
      </c>
      <c r="DI166" s="734">
        <f>IF(WWWW[[#This Row],[Total required Latrines]]-(WWWW[[#This Row],['#_Constructed latrines_by_WASHAgencies]]+WWWW[[#This Row],['#_Non Cluster partner latrines]])&lt;0,0,WWWW[[#This Row],[Total required Latrines]]-(WWWW[[#This Row],['#_Constructed latrines_by_WASHAgencies]]+WWWW[[#This Row],['#_Non Cluster partner latrines]]))</f>
        <v>8</v>
      </c>
      <c r="DJ166" s="736">
        <f>1-WWWW[[#This Row],[% people access to functioning Latrine]]</f>
        <v>1</v>
      </c>
      <c r="DK166" s="735">
        <f>IF(OR(WWWW[[#This Row],['#_Non-functional latrines]]="",WWWW[[#This Row],['#_Non-functional latrines]]=0),0,WWWW[[#This Row],['#_Non-functional latrines]]/(WWWW[[#This Row],['#_Constructed latrines_by_WASHAgencies]]+WWWW[[#This Row],['#_Non Cluster partner latrines]]))</f>
        <v>0</v>
      </c>
      <c r="DL166" s="731">
        <f>IF(500*(WWWW[[#This Row],['#_male hygiene promoters]]+WWWW[[#This Row],['#_female hygiene promoters]])&gt;WWWW[[#This Row],[Total PoP ]],WWWW[[#This Row],[Total PoP ]],500*(WWWW[[#This Row],['#_male hygiene promoters]]+WWWW[[#This Row],['#_female hygiene promoters]]))</f>
        <v>0</v>
      </c>
      <c r="DM16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162</v>
      </c>
      <c r="DN16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162</v>
      </c>
      <c r="DO166" s="734">
        <f>IF(WWWW[[#This Row],['# People with access to soap]]&gt;WWWW[[#This Row],['# People with access to Sanity Pads]],WWWW[[#This Row],['# People with access to soap]],WWWW[[#This Row],['# People with access to Sanity Pads]])</f>
        <v>162</v>
      </c>
      <c r="DP166" s="734">
        <f>IF(WWWW[[#This Row],['# people reached by regular dedicated hygiene promotion_5]]&gt;WWWW[[#This Row],['# People received regular supply of hygiene items_6]],WWWW[[#This Row],['# people reached by regular dedicated hygiene promotion_5]],WWWW[[#This Row],['# People received regular supply of hygiene items_6]])</f>
        <v>162</v>
      </c>
      <c r="DQ166" s="736">
        <f>IF(WWWW[[#This Row],[HRP3]]/WWWW[[#This Row],[Total PoP ]]&gt;1,1,WWWW[[#This Row],[HRP3]]/WWWW[[#This Row],[Total PoP ]])</f>
        <v>1</v>
      </c>
      <c r="DR166" s="735">
        <f>1-WWWW[[#This Row],[Hygiene Coverage%]]</f>
        <v>0</v>
      </c>
      <c r="DS166" s="733">
        <f>WWWW[[#This Row],['# people reached by regular dedicated hygiene promotion_5]]/WWWW[[#This Row],[Total PoP ]]</f>
        <v>0</v>
      </c>
      <c r="DT16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6" s="734">
        <f>WWWW[[#This Row],['#_Constructed/Existing hand washing stations]]-WWWW[[#This Row],['#_Non-Functional_hand_washing_stations]]</f>
        <v>7</v>
      </c>
      <c r="DW166" s="731">
        <f>IF(WWWW[[#This Row],['# Functional hand washing stations during reporting period]]*20&gt;WWWW[[#This Row],[Total HH]],WWWW[[#This Row],[Total HH]],WWWW[[#This Row],['# Functional hand washing stations during reporting period]]*20)</f>
        <v>27</v>
      </c>
      <c r="DX166" s="731">
        <f>IF(WWWW[[#This Row],[Is sufficient soap available for TLS? (Yes/No)]]="yes",WWWW[[#This Row],['#_Constructed/Existing hand washing stations at TLS/CFS/THF]],0)</f>
        <v>0</v>
      </c>
      <c r="DY166" s="428">
        <f>IF(WWWW[[#This Row],['# Functional hand washing stations during reporting period]]*100&gt;WWWW[[#This Row],[Total PoP ]],WWWW[[#This Row],[Total PoP ]],WWWW[[#This Row],['# Functional hand washing stations during reporting period]]*100)</f>
        <v>162</v>
      </c>
      <c r="DZ166" s="428" t="str">
        <f>IF(OR(WWWW[[#This Row],['#_students at TLS_CFS]]="",WWWW[[#This Row],['#_students at TLS_CFS]]=0),"No","Yes")</f>
        <v>No</v>
      </c>
      <c r="EA16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6" s="727">
        <f>VLOOKUP(WWWW[[#This Row],[Site Name]],SiteDB6[[Site Name]:[CCCM Management]],6,FALSE)</f>
        <v>0</v>
      </c>
      <c r="EF166" s="727">
        <f>VLOOKUP(WWWW[[#This Row],[Site Name]],SiteDB6[[Site Name]:[CCCM Focal Agency]],7,FALSE)</f>
        <v>0</v>
      </c>
      <c r="EG166" s="727" t="str">
        <f>VLOOKUP(WWWW[[#This Row],[Site Name]],SiteDB6[[Site Name]:[Location Type 1]],9,FALSE)</f>
        <v>Camp</v>
      </c>
      <c r="EH166" s="727" t="str">
        <f>VLOOKUP(WWWW[[#This Row],[Site Name]],SiteDB6[[Site Name]:[Type of Accommodation]],10,FALSE)</f>
        <v>IDPs in host</v>
      </c>
      <c r="EI166" s="727" t="str">
        <f>VLOOKUP(WWWW[[#This Row],[Site Name]],SiteDB6[[Site Name]:[Ethnic or GCA/NGCA]],11,FALSE)</f>
        <v>GCA</v>
      </c>
      <c r="EJ166" s="727">
        <f>VLOOKUP(WWWW[[#This Row],[Site Name]],SiteDB6[[Site Name]:[Lat]],12,FALSE)</f>
        <v>23.400155999999999</v>
      </c>
      <c r="EK166" s="727">
        <f>VLOOKUP(WWWW[[#This Row],[Site Name]],SiteDB6[[Site Name]:[Long]],13,FALSE)</f>
        <v>98.220614999999995</v>
      </c>
      <c r="EL166" s="727" t="str">
        <f>VLOOKUP(WWWW[[#This Row],[Site Name]],SiteDB6[[Site Name]:[Pcode]],3,FALSE)</f>
        <v>MMR015CMP071</v>
      </c>
      <c r="EM166" s="732" t="str">
        <f t="shared" si="2"/>
        <v>Covered</v>
      </c>
      <c r="EN166" s="732"/>
      <c r="EO166" s="727">
        <f>VLOOKUP(WWWW[[#This Row],[Site Name]],SiteDB6[[Site Name]:[Pop
(Kachin/Shan-CCCM as of July 2021)]],16,FALSE)</f>
        <v>27</v>
      </c>
      <c r="EP166" s="727">
        <f>VLOOKUP(WWWW[[#This Row],[Site Name]],SiteDB6[[Site Name]:[Pop
(Kachin/Shan-CCCM as of July 2021)]],17,FALSE)</f>
        <v>162</v>
      </c>
    </row>
    <row r="167" spans="1:146" hidden="1">
      <c r="A167" s="725" t="s">
        <v>2763</v>
      </c>
      <c r="B167" s="725" t="s">
        <v>192</v>
      </c>
      <c r="C167" s="726" t="s">
        <v>192</v>
      </c>
      <c r="D167" s="726" t="s">
        <v>2587</v>
      </c>
      <c r="E167" s="726" t="s">
        <v>515</v>
      </c>
      <c r="F167" s="726" t="s">
        <v>961</v>
      </c>
      <c r="G167" s="591" t="str">
        <f>VLOOKUP(WWWW[[#This Row],[Site Name]],SiteDB6[[Site Name]:[Location Type]],8,FALSE)</f>
        <v>Camp_not registered</v>
      </c>
      <c r="H167" s="726" t="s">
        <v>2159</v>
      </c>
      <c r="I167" s="728">
        <v>23</v>
      </c>
      <c r="J167" s="728">
        <v>103</v>
      </c>
      <c r="K167" s="588" t="s">
        <v>2767</v>
      </c>
      <c r="L167" s="589" t="s">
        <v>2768</v>
      </c>
      <c r="M167" s="728"/>
      <c r="N167" s="728"/>
      <c r="O167" s="728"/>
      <c r="P167" s="728"/>
      <c r="Q167" s="731" t="s">
        <v>41</v>
      </c>
      <c r="R167" s="728">
        <v>5</v>
      </c>
      <c r="S167" s="728">
        <v>1</v>
      </c>
      <c r="T167" s="448">
        <v>1</v>
      </c>
      <c r="U167" s="728"/>
      <c r="V167" s="728"/>
      <c r="W167" s="728"/>
      <c r="X167" s="728">
        <v>1</v>
      </c>
      <c r="Y167" s="728"/>
      <c r="Z167" s="728"/>
      <c r="AA167" s="728"/>
      <c r="AB167" s="728"/>
      <c r="AC167" s="728"/>
      <c r="AD167" s="728"/>
      <c r="AE167" s="728"/>
      <c r="AF167" s="728"/>
      <c r="AG167" s="728"/>
      <c r="AH167" s="728"/>
      <c r="AI167" s="728"/>
      <c r="AJ167" s="728"/>
      <c r="AK167" s="728"/>
      <c r="AL167" s="728"/>
      <c r="AM167" s="728"/>
      <c r="AN167" s="728"/>
      <c r="AO167" s="728"/>
      <c r="AP167" s="732"/>
      <c r="AQ167" s="728">
        <v>23</v>
      </c>
      <c r="AR167" s="728"/>
      <c r="AS167" s="733"/>
      <c r="AT167" s="728"/>
      <c r="AU167" s="728"/>
      <c r="AV167" s="728"/>
      <c r="AW167" s="728"/>
      <c r="AX167" s="728"/>
      <c r="AY167" s="727" t="s">
        <v>140</v>
      </c>
      <c r="AZ167" s="732" t="s">
        <v>140</v>
      </c>
      <c r="BA167" s="728"/>
      <c r="BB167" s="728"/>
      <c r="BC167" s="728"/>
      <c r="BD167" s="448"/>
      <c r="BE167" s="448"/>
      <c r="BF167" s="727"/>
      <c r="BG167" s="728">
        <v>3</v>
      </c>
      <c r="BH167" s="728"/>
      <c r="BI167" s="728"/>
      <c r="BJ167" s="728">
        <v>2</v>
      </c>
      <c r="BK167" s="728"/>
      <c r="BL167" s="728"/>
      <c r="BM167" s="728"/>
      <c r="BN167" s="728">
        <v>88</v>
      </c>
      <c r="BO167" s="728">
        <v>100</v>
      </c>
      <c r="BP167" s="727"/>
      <c r="BQ167" s="734"/>
      <c r="BR167" s="733"/>
      <c r="BS167" s="727"/>
      <c r="BT167" s="423"/>
      <c r="BU167" s="423"/>
      <c r="BV167" s="425"/>
      <c r="BW167" s="423"/>
      <c r="BX167" s="448"/>
      <c r="BY167" s="448"/>
      <c r="BZ167" s="448"/>
      <c r="CA167" s="448"/>
      <c r="CB167" s="448"/>
      <c r="CC167" s="777"/>
      <c r="CD167" s="448"/>
      <c r="CE167" s="735" t="str">
        <f>IFERROR(WWWW[[#This Row],['#_Water sources passed]]/WWWW[[#This Row],['#_Water sources tested for fecal coliform ]],"no test")</f>
        <v>no test</v>
      </c>
      <c r="CF167" s="733" t="str">
        <f>IFERROR(WWWW[[#This Row],['#_Household passed]]/WWWW[[#This Row],['#_Household water samples tested for fecal coliform]],"no test")</f>
        <v>no test</v>
      </c>
      <c r="CG167" s="734" t="str">
        <f>IF(AND(WWWW[[#This Row],[% of water sources passed]]="no test",WWWW[[#This Row],[% Household passed]]="no test"),"No Test","Tested")</f>
        <v>No Test</v>
      </c>
      <c r="CH167" s="734">
        <f>WWWW[[#This Row],['#_Constructed/existing protected hand dug well]]-WWWW[[#This Row],['#_Non-functional protected hand dug well]]</f>
        <v>1</v>
      </c>
      <c r="CI167" s="734">
        <f>(WWWW[[#This Row],['#_Constructed/Existing tube wells/boreholes/handpumps_WASH_agency]]+WWWW[[#This Row],['#_Non-Cluster partner water tube-wells/boreholes/handpumps]])-WWWW[[#This Row],['#_Non-functional tube wells/boreholes/handpumps]]</f>
        <v>1</v>
      </c>
      <c r="CJ167" s="734">
        <f>WWWW[[#This Row],['#_Constructed/Existingwater storage tank with gravity fed reticulation system]]-WWWW[[#This Row],['#_Non-functional storage tank gravity fed reticulation system]]</f>
        <v>0</v>
      </c>
      <c r="CK167" s="734">
        <f>(WWWW[[#This Row],['#_Water_Liters_supplied_by_Water boating or water trucking]]/90)/15</f>
        <v>0</v>
      </c>
      <c r="CL167" s="734">
        <f>WWWW[[#This Row],['#_Water_Liters_from_Constructed/Existing water distribution system from river or natural spring]]/90/15</f>
        <v>0</v>
      </c>
      <c r="CM167" s="424">
        <f>IF(WWWW[[#This Row],['#_of water points in TLS/CFS]]*500&gt;WWWW[[#This Row],[Total PoP ]],WWWW[[#This Row],[Total PoP ]],WWWW[[#This Row],['#_of water points in TLS/CFS]]*500)</f>
        <v>0</v>
      </c>
      <c r="CN167" s="424">
        <f>IF(WWWW[[#This Row],['#_of water points in THF]]*500&gt;WWWW[[#This Row],[Total PoP ]],WWWW[[#This Row],[Total PoP ]],WWWW[[#This Row],['#_of water points in THF]]*500)</f>
        <v>0</v>
      </c>
      <c r="CO16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7" s="733">
        <f>IF(WWWW[[#This Row],[Location Type 1]]="Village",WWWW[[#This Row],[Access to safe drinking water for Village]],WWWW[[#This Row],[Access to safe drinking water for Camp]])</f>
        <v>1</v>
      </c>
      <c r="CR167" s="731">
        <f>WWWW[[#This Row],[%Equitable and continuous access to sufficient quantity of safe drinking water]]*WWWW[[#This Row],[Total PoP ]]</f>
        <v>103</v>
      </c>
      <c r="CS167" s="733">
        <f>IF((WWWW[[#This Row],['#_Constructed/Existing protected/fenced ponds]]*250)/WWWW[[#This Row],[Total PoP ]]&gt;1,1,(WWWW[[#This Row],['#_Constructed/Existing protected/fenced ponds]]*250)/WWWW[[#This Row],[Total PoP ]])</f>
        <v>0</v>
      </c>
      <c r="CT167" s="731">
        <f>WWWW[[#This Row],[% Access to unimproved water points]]*WWWW[[#This Row],[Total PoP ]]</f>
        <v>0</v>
      </c>
      <c r="CU16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167" s="731">
        <f>WWWW[[#This Row],[HRP1]]/500</f>
        <v>0.20599999999999999</v>
      </c>
      <c r="CX167" s="736">
        <f>1-WWWW[[#This Row],[% Equitable and continuous access to sufficient quantity of domestic water]]</f>
        <v>0</v>
      </c>
      <c r="CY167" s="731">
        <f>WWWW[[#This Row],[%equitable and continuous access to sufficient quantity of safe drinking and domestic water''s GAP]]*WWWW[[#This Row],[Total PoP ]]</f>
        <v>0</v>
      </c>
      <c r="CZ167" s="734">
        <f>IF(WWWW[[#This Row],[Total required water points]]-WWWW[[#This Row],['#Water points coverage]]&lt;0,0,WWWW[[#This Row],[Total required water points]]-WWWW[[#This Row],['#Water points coverage]])</f>
        <v>0.79400000000000004</v>
      </c>
      <c r="DA167" s="734">
        <f>ROUND(IF(WWWW[[#This Row],[Total PoP ]]&lt;500,1,WWWW[[#This Row],[Total PoP ]]/500),0)</f>
        <v>1</v>
      </c>
      <c r="DB167" s="734">
        <f>(WWWW[[#This Row],['#_Constructed latrines_by_WASHAgencies]]+WWWW[[#This Row],['#_Non Cluster partner latrines]])-WWWW[[#This Row],['#_Non-functional latrines]]</f>
        <v>23</v>
      </c>
      <c r="DC167" s="631">
        <f>WWWW[[#This Row],[HRP2]]/WWWW[[#This Row],[Total PoP ]]</f>
        <v>1</v>
      </c>
      <c r="DD16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16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7" s="424">
        <f>IF(WWWW[[#This Row],['# of functional latrines in THF supported by WASH partners during the reporting period2]]="",0,WWWW[[#This Row],['# of functional latrines in THF supported by WASH partners during the reporting period2]]*50)</f>
        <v>0</v>
      </c>
      <c r="DH167" s="734">
        <f>ROUND(IF(WWWW[[#This Row],[Location Type 1]]="camp",WWWW[[#This Row],[Total PoP ]]/20,IF(WWWW[[#This Row],[Location Type 1]]="Temporary Location",WWWW[[#This Row],[Total PoP ]]/50,(WWWW[[#This Row],[Total PoP ]]/6))),0)</f>
        <v>5</v>
      </c>
      <c r="DI167" s="734">
        <f>IF(WWWW[[#This Row],[Total required Latrines]]-(WWWW[[#This Row],['#_Constructed latrines_by_WASHAgencies]]+WWWW[[#This Row],['#_Non Cluster partner latrines]])&lt;0,0,WWWW[[#This Row],[Total required Latrines]]-(WWWW[[#This Row],['#_Constructed latrines_by_WASHAgencies]]+WWWW[[#This Row],['#_Non Cluster partner latrines]]))</f>
        <v>0</v>
      </c>
      <c r="DJ167" s="736">
        <f>1-WWWW[[#This Row],[% people access to functioning Latrine]]</f>
        <v>0</v>
      </c>
      <c r="DK167" s="735">
        <f>IF(OR(WWWW[[#This Row],['#_Non-functional latrines]]="",WWWW[[#This Row],['#_Non-functional latrines]]=0),0,WWWW[[#This Row],['#_Non-functional latrines]]/(WWWW[[#This Row],['#_Constructed latrines_by_WASHAgencies]]+WWWW[[#This Row],['#_Non Cluster partner latrines]]))</f>
        <v>0</v>
      </c>
      <c r="DL167" s="731">
        <f>IF(500*(WWWW[[#This Row],['#_male hygiene promoters]]+WWWW[[#This Row],['#_female hygiene promoters]])&gt;WWWW[[#This Row],[Total PoP ]],WWWW[[#This Row],[Total PoP ]],500*(WWWW[[#This Row],['#_male hygiene promoters]]+WWWW[[#This Row],['#_female hygiene promoters]]))</f>
        <v>0</v>
      </c>
      <c r="DM16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103</v>
      </c>
      <c r="DN16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67" s="734">
        <f>IF(WWWW[[#This Row],['# People with access to soap]]&gt;WWWW[[#This Row],['# People with access to Sanity Pads]],WWWW[[#This Row],['# People with access to soap]],WWWW[[#This Row],['# People with access to Sanity Pads]])</f>
        <v>103</v>
      </c>
      <c r="DP167" s="734">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Q167" s="736">
        <f>IF(WWWW[[#This Row],[HRP3]]/WWWW[[#This Row],[Total PoP ]]&gt;1,1,WWWW[[#This Row],[HRP3]]/WWWW[[#This Row],[Total PoP ]])</f>
        <v>1</v>
      </c>
      <c r="DR167" s="735">
        <f>1-WWWW[[#This Row],[Hygiene Coverage%]]</f>
        <v>0</v>
      </c>
      <c r="DS167" s="733">
        <f>WWWW[[#This Row],['# people reached by regular dedicated hygiene promotion_5]]/WWWW[[#This Row],[Total PoP ]]</f>
        <v>0</v>
      </c>
      <c r="DT16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7" s="734">
        <f>WWWW[[#This Row],['#_Constructed/Existing hand washing stations]]-WWWW[[#This Row],['#_Non-Functional_hand_washing_stations]]</f>
        <v>3</v>
      </c>
      <c r="DW167" s="731">
        <f>IF(WWWW[[#This Row],['# Functional hand washing stations during reporting period]]*20&gt;WWWW[[#This Row],[Total HH]],WWWW[[#This Row],[Total HH]],WWWW[[#This Row],['# Functional hand washing stations during reporting period]]*20)</f>
        <v>23</v>
      </c>
      <c r="DX167" s="731">
        <f>IF(WWWW[[#This Row],[Is sufficient soap available for TLS? (Yes/No)]]="yes",WWWW[[#This Row],['#_Constructed/Existing hand washing stations at TLS/CFS/THF]],0)</f>
        <v>0</v>
      </c>
      <c r="DY167" s="428">
        <f>IF(WWWW[[#This Row],['# Functional hand washing stations during reporting period]]*100&gt;WWWW[[#This Row],[Total PoP ]],WWWW[[#This Row],[Total PoP ]],WWWW[[#This Row],['# Functional hand washing stations during reporting period]]*100)</f>
        <v>103</v>
      </c>
      <c r="DZ167" s="428" t="str">
        <f>IF(OR(WWWW[[#This Row],['#_students at TLS_CFS]]="",WWWW[[#This Row],['#_students at TLS_CFS]]=0),"No","Yes")</f>
        <v>No</v>
      </c>
      <c r="EA16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7" s="727">
        <f>VLOOKUP(WWWW[[#This Row],[Site Name]],SiteDB6[[Site Name]:[CCCM Management]],6,FALSE)</f>
        <v>0</v>
      </c>
      <c r="EF167" s="727">
        <f>VLOOKUP(WWWW[[#This Row],[Site Name]],SiteDB6[[Site Name]:[CCCM Focal Agency]],7,FALSE)</f>
        <v>0</v>
      </c>
      <c r="EG167" s="727" t="str">
        <f>VLOOKUP(WWWW[[#This Row],[Site Name]],SiteDB6[[Site Name]:[Location Type 1]],9,FALSE)</f>
        <v>Camp</v>
      </c>
      <c r="EH167" s="727" t="str">
        <f>VLOOKUP(WWWW[[#This Row],[Site Name]],SiteDB6[[Site Name]:[Type of Accommodation]],10,FALSE)</f>
        <v>Camp like setting</v>
      </c>
      <c r="EI167" s="727" t="str">
        <f>VLOOKUP(WWWW[[#This Row],[Site Name]],SiteDB6[[Site Name]:[Ethnic or GCA/NGCA]],11,FALSE)</f>
        <v>GCA</v>
      </c>
      <c r="EJ167" s="727">
        <f>VLOOKUP(WWWW[[#This Row],[Site Name]],SiteDB6[[Site Name]:[Lat]],12,FALSE)</f>
        <v>0</v>
      </c>
      <c r="EK167" s="727">
        <f>VLOOKUP(WWWW[[#This Row],[Site Name]],SiteDB6[[Site Name]:[Long]],13,FALSE)</f>
        <v>0</v>
      </c>
      <c r="EL167" s="727">
        <f>VLOOKUP(WWWW[[#This Row],[Site Name]],SiteDB6[[Site Name]:[Pcode]],3,FALSE)</f>
        <v>0</v>
      </c>
      <c r="EM167" s="732" t="str">
        <f t="shared" si="2"/>
        <v>Covered</v>
      </c>
      <c r="EN167" s="732"/>
      <c r="EO167" s="727">
        <f>VLOOKUP(WWWW[[#This Row],[Site Name]],SiteDB6[[Site Name]:[Pop
(Kachin/Shan-CCCM as of July 2021)]],16,FALSE)</f>
        <v>0</v>
      </c>
      <c r="EP167" s="727">
        <f>VLOOKUP(WWWW[[#This Row],[Site Name]],SiteDB6[[Site Name]:[Pop
(Kachin/Shan-CCCM as of July 2021)]],17,FALSE)</f>
        <v>0</v>
      </c>
    </row>
    <row r="168" spans="1:146" hidden="1">
      <c r="A168" s="725" t="s">
        <v>2763</v>
      </c>
      <c r="B168" s="725" t="s">
        <v>192</v>
      </c>
      <c r="C168" s="726" t="s">
        <v>192</v>
      </c>
      <c r="D168" s="726" t="s">
        <v>2673</v>
      </c>
      <c r="E168" s="726" t="s">
        <v>515</v>
      </c>
      <c r="F168" s="726" t="s">
        <v>519</v>
      </c>
      <c r="G168" s="591" t="str">
        <f>VLOOKUP(WWWW[[#This Row],[Site Name]],SiteDB6[[Site Name]:[Location Type]],8,FALSE)</f>
        <v>Camp</v>
      </c>
      <c r="H168" s="726" t="s">
        <v>1720</v>
      </c>
      <c r="I168" s="728">
        <v>74</v>
      </c>
      <c r="J168" s="728">
        <v>439</v>
      </c>
      <c r="K168" s="729" t="s">
        <v>2767</v>
      </c>
      <c r="L168" s="730" t="s">
        <v>2768</v>
      </c>
      <c r="M168" s="728"/>
      <c r="N168" s="728">
        <v>1</v>
      </c>
      <c r="O168" s="728"/>
      <c r="P168" s="728"/>
      <c r="Q168" s="731" t="s">
        <v>41</v>
      </c>
      <c r="R168" s="728">
        <v>5</v>
      </c>
      <c r="S168" s="728">
        <v>1</v>
      </c>
      <c r="T168" s="448"/>
      <c r="U168" s="728"/>
      <c r="V168" s="728"/>
      <c r="W168" s="728"/>
      <c r="X168" s="728"/>
      <c r="Y168" s="728"/>
      <c r="Z168" s="728"/>
      <c r="AA168" s="728">
        <v>14</v>
      </c>
      <c r="AB168" s="728"/>
      <c r="AC168" s="728"/>
      <c r="AD168" s="728"/>
      <c r="AE168" s="728"/>
      <c r="AF168" s="728"/>
      <c r="AG168" s="728"/>
      <c r="AH168" s="728"/>
      <c r="AI168" s="728"/>
      <c r="AJ168" s="728"/>
      <c r="AK168" s="728"/>
      <c r="AL168" s="728"/>
      <c r="AM168" s="728"/>
      <c r="AN168" s="728"/>
      <c r="AO168" s="728"/>
      <c r="AP168" s="732"/>
      <c r="AQ168" s="728">
        <v>40</v>
      </c>
      <c r="AR168" s="728"/>
      <c r="AS168" s="733"/>
      <c r="AT168" s="728"/>
      <c r="AU168" s="728"/>
      <c r="AV168" s="728"/>
      <c r="AW168" s="728"/>
      <c r="AX168" s="728"/>
      <c r="AY168" s="727" t="s">
        <v>140</v>
      </c>
      <c r="AZ168" s="732" t="s">
        <v>140</v>
      </c>
      <c r="BA168" s="728"/>
      <c r="BB168" s="728"/>
      <c r="BC168" s="728"/>
      <c r="BD168" s="448"/>
      <c r="BE168" s="448"/>
      <c r="BF168" s="727"/>
      <c r="BG168" s="728">
        <v>3</v>
      </c>
      <c r="BH168" s="728"/>
      <c r="BI168" s="728"/>
      <c r="BJ168" s="728">
        <v>2</v>
      </c>
      <c r="BK168" s="728"/>
      <c r="BL168" s="728"/>
      <c r="BM168" s="728">
        <v>1</v>
      </c>
      <c r="BN168" s="728">
        <v>10</v>
      </c>
      <c r="BO168" s="728">
        <v>18</v>
      </c>
      <c r="BP168" s="727"/>
      <c r="BQ168" s="734"/>
      <c r="BR168" s="733"/>
      <c r="BS168" s="727"/>
      <c r="BT168" s="423"/>
      <c r="BU168" s="423"/>
      <c r="BV168" s="425"/>
      <c r="BW168" s="423"/>
      <c r="BX168" s="448"/>
      <c r="BY168" s="448"/>
      <c r="BZ168" s="448"/>
      <c r="CA168" s="448"/>
      <c r="CB168" s="448"/>
      <c r="CC168" s="777"/>
      <c r="CD168" s="448"/>
      <c r="CE168" s="735" t="str">
        <f>IFERROR(WWWW[[#This Row],['#_Water sources passed]]/WWWW[[#This Row],['#_Water sources tested for fecal coliform ]],"no test")</f>
        <v>no test</v>
      </c>
      <c r="CF168" s="733" t="str">
        <f>IFERROR(WWWW[[#This Row],['#_Household passed]]/WWWW[[#This Row],['#_Household water samples tested for fecal coliform]],"no test")</f>
        <v>no test</v>
      </c>
      <c r="CG168" s="734" t="str">
        <f>IF(AND(WWWW[[#This Row],[% of water sources passed]]="no test",WWWW[[#This Row],[% Household passed]]="no test"),"No Test","Tested")</f>
        <v>No Test</v>
      </c>
      <c r="CH168" s="734">
        <f>WWWW[[#This Row],['#_Constructed/existing protected hand dug well]]-WWWW[[#This Row],['#_Non-functional protected hand dug well]]</f>
        <v>0</v>
      </c>
      <c r="CI168" s="734">
        <f>(WWWW[[#This Row],['#_Constructed/Existing tube wells/boreholes/handpumps_WASH_agency]]+WWWW[[#This Row],['#_Non-Cluster partner water tube-wells/boreholes/handpumps]])-WWWW[[#This Row],['#_Non-functional tube wells/boreholes/handpumps]]</f>
        <v>0</v>
      </c>
      <c r="CJ168" s="734">
        <f>WWWW[[#This Row],['#_Constructed/Existingwater storage tank with gravity fed reticulation system]]-WWWW[[#This Row],['#_Non-functional storage tank gravity fed reticulation system]]</f>
        <v>14</v>
      </c>
      <c r="CK168" s="734">
        <f>(WWWW[[#This Row],['#_Water_Liters_supplied_by_Water boating or water trucking]]/90)/15</f>
        <v>0</v>
      </c>
      <c r="CL168" s="734">
        <f>WWWW[[#This Row],['#_Water_Liters_from_Constructed/Existing water distribution system from river or natural spring]]/90/15</f>
        <v>0</v>
      </c>
      <c r="CM168" s="424">
        <f>IF(WWWW[[#This Row],['#_of water points in TLS/CFS]]*500&gt;WWWW[[#This Row],[Total PoP ]],WWWW[[#This Row],[Total PoP ]],WWWW[[#This Row],['#_of water points in TLS/CFS]]*500)</f>
        <v>0</v>
      </c>
      <c r="CN168" s="424">
        <f>IF(WWWW[[#This Row],['#_of water points in THF]]*500&gt;WWWW[[#This Row],[Total PoP ]],WWWW[[#This Row],[Total PoP ]],WWWW[[#This Row],['#_of water points in THF]]*500)</f>
        <v>0</v>
      </c>
      <c r="CO16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8" s="733">
        <f>IF(WWWW[[#This Row],[Location Type 1]]="Village",WWWW[[#This Row],[Access to safe drinking water for Village]],WWWW[[#This Row],[Access to safe drinking water for Camp]])</f>
        <v>1</v>
      </c>
      <c r="CR168" s="731">
        <f>WWWW[[#This Row],[%Equitable and continuous access to sufficient quantity of safe drinking water]]*WWWW[[#This Row],[Total PoP ]]</f>
        <v>439</v>
      </c>
      <c r="CS168" s="733">
        <f>IF((WWWW[[#This Row],['#_Constructed/Existing protected/fenced ponds]]*250)/WWWW[[#This Row],[Total PoP ]]&gt;1,1,(WWWW[[#This Row],['#_Constructed/Existing protected/fenced ponds]]*250)/WWWW[[#This Row],[Total PoP ]])</f>
        <v>0</v>
      </c>
      <c r="CT168" s="731">
        <f>WWWW[[#This Row],[% Access to unimproved water points]]*WWWW[[#This Row],[Total PoP ]]</f>
        <v>0</v>
      </c>
      <c r="CU16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439</v>
      </c>
      <c r="CW168" s="731">
        <f>WWWW[[#This Row],[HRP1]]/500</f>
        <v>0.878</v>
      </c>
      <c r="CX168" s="736">
        <f>1-WWWW[[#This Row],[% Equitable and continuous access to sufficient quantity of domestic water]]</f>
        <v>0</v>
      </c>
      <c r="CY168" s="731">
        <f>WWWW[[#This Row],[%equitable and continuous access to sufficient quantity of safe drinking and domestic water''s GAP]]*WWWW[[#This Row],[Total PoP ]]</f>
        <v>0</v>
      </c>
      <c r="CZ168" s="734">
        <f>IF(WWWW[[#This Row],[Total required water points]]-WWWW[[#This Row],['#Water points coverage]]&lt;0,0,WWWW[[#This Row],[Total required water points]]-WWWW[[#This Row],['#Water points coverage]])</f>
        <v>0.122</v>
      </c>
      <c r="DA168" s="734">
        <f>ROUND(IF(WWWW[[#This Row],[Total PoP ]]&lt;500,1,WWWW[[#This Row],[Total PoP ]]/500),0)</f>
        <v>1</v>
      </c>
      <c r="DB168" s="734">
        <f>(WWWW[[#This Row],['#_Constructed latrines_by_WASHAgencies]]+WWWW[[#This Row],['#_Non Cluster partner latrines]])-WWWW[[#This Row],['#_Non-functional latrines]]</f>
        <v>40</v>
      </c>
      <c r="DC168" s="631">
        <f>WWWW[[#This Row],[HRP2]]/WWWW[[#This Row],[Total PoP ]]</f>
        <v>1</v>
      </c>
      <c r="DD16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439</v>
      </c>
      <c r="DE16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8" s="424">
        <f>IF(WWWW[[#This Row],['# of functional latrines in THF supported by WASH partners during the reporting period2]]="",0,WWWW[[#This Row],['# of functional latrines in THF supported by WASH partners during the reporting period2]]*50)</f>
        <v>0</v>
      </c>
      <c r="DH168" s="734">
        <f>ROUND(IF(WWWW[[#This Row],[Location Type 1]]="camp",WWWW[[#This Row],[Total PoP ]]/20,IF(WWWW[[#This Row],[Location Type 1]]="Temporary Location",WWWW[[#This Row],[Total PoP ]]/50,(WWWW[[#This Row],[Total PoP ]]/6))),0)</f>
        <v>22</v>
      </c>
      <c r="DI168" s="734">
        <f>IF(WWWW[[#This Row],[Total required Latrines]]-(WWWW[[#This Row],['#_Constructed latrines_by_WASHAgencies]]+WWWW[[#This Row],['#_Non Cluster partner latrines]])&lt;0,0,WWWW[[#This Row],[Total required Latrines]]-(WWWW[[#This Row],['#_Constructed latrines_by_WASHAgencies]]+WWWW[[#This Row],['#_Non Cluster partner latrines]]))</f>
        <v>0</v>
      </c>
      <c r="DJ168" s="736">
        <f>1-WWWW[[#This Row],[% people access to functioning Latrine]]</f>
        <v>0</v>
      </c>
      <c r="DK168" s="735">
        <f>IF(OR(WWWW[[#This Row],['#_Non-functional latrines]]="",WWWW[[#This Row],['#_Non-functional latrines]]=0),0,WWWW[[#This Row],['#_Non-functional latrines]]/(WWWW[[#This Row],['#_Constructed latrines_by_WASHAgencies]]+WWWW[[#This Row],['#_Non Cluster partner latrines]]))</f>
        <v>0</v>
      </c>
      <c r="DL168" s="731">
        <f>IF(500*(WWWW[[#This Row],['#_male hygiene promoters]]+WWWW[[#This Row],['#_female hygiene promoters]])&gt;WWWW[[#This Row],[Total PoP ]],WWWW[[#This Row],[Total PoP ]],500*(WWWW[[#This Row],['#_male hygiene promoters]]+WWWW[[#This Row],['#_female hygiene promoters]]))</f>
        <v>439</v>
      </c>
      <c r="DM16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6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68" s="734">
        <f>IF(WWWW[[#This Row],['# People with access to soap]]&gt;WWWW[[#This Row],['# People with access to Sanity Pads]],WWWW[[#This Row],['# People with access to soap]],WWWW[[#This Row],['# People with access to Sanity Pads]])</f>
        <v>50</v>
      </c>
      <c r="DP168" s="734">
        <f>IF(WWWW[[#This Row],['# people reached by regular dedicated hygiene promotion_5]]&gt;WWWW[[#This Row],['# People received regular supply of hygiene items_6]],WWWW[[#This Row],['# people reached by regular dedicated hygiene promotion_5]],WWWW[[#This Row],['# People received regular supply of hygiene items_6]])</f>
        <v>439</v>
      </c>
      <c r="DQ168" s="736">
        <f>IF(WWWW[[#This Row],[HRP3]]/WWWW[[#This Row],[Total PoP ]]&gt;1,1,WWWW[[#This Row],[HRP3]]/WWWW[[#This Row],[Total PoP ]])</f>
        <v>1</v>
      </c>
      <c r="DR168" s="735">
        <f>1-WWWW[[#This Row],[Hygiene Coverage%]]</f>
        <v>0</v>
      </c>
      <c r="DS168" s="733">
        <f>WWWW[[#This Row],['# people reached by regular dedicated hygiene promotion_5]]/WWWW[[#This Row],[Total PoP ]]</f>
        <v>1</v>
      </c>
      <c r="DT16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0.54054054054054057</v>
      </c>
      <c r="DU16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0.24324324324324326</v>
      </c>
      <c r="DV168" s="734">
        <f>WWWW[[#This Row],['#_Constructed/Existing hand washing stations]]-WWWW[[#This Row],['#_Non-Functional_hand_washing_stations]]</f>
        <v>3</v>
      </c>
      <c r="DW168" s="731">
        <f>IF(WWWW[[#This Row],['# Functional hand washing stations during reporting period]]*20&gt;WWWW[[#This Row],[Total HH]],WWWW[[#This Row],[Total HH]],WWWW[[#This Row],['# Functional hand washing stations during reporting period]]*20)</f>
        <v>60</v>
      </c>
      <c r="DX168" s="731">
        <f>IF(WWWW[[#This Row],[Is sufficient soap available for TLS? (Yes/No)]]="yes",WWWW[[#This Row],['#_Constructed/Existing hand washing stations at TLS/CFS/THF]],0)</f>
        <v>0</v>
      </c>
      <c r="DY168" s="428">
        <f>IF(WWWW[[#This Row],['# Functional hand washing stations during reporting period]]*100&gt;WWWW[[#This Row],[Total PoP ]],WWWW[[#This Row],[Total PoP ]],WWWW[[#This Row],['# Functional hand washing stations during reporting period]]*100)</f>
        <v>300</v>
      </c>
      <c r="DZ168" s="428" t="str">
        <f>IF(OR(WWWW[[#This Row],['#_students at TLS_CFS]]="",WWWW[[#This Row],['#_students at TLS_CFS]]=0),"No","Yes")</f>
        <v>No</v>
      </c>
      <c r="EA16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8" s="727">
        <f>VLOOKUP(WWWW[[#This Row],[Site Name]],SiteDB6[[Site Name]:[CCCM Management]],6,FALSE)</f>
        <v>0</v>
      </c>
      <c r="EF168" s="727" t="str">
        <f>VLOOKUP(WWWW[[#This Row],[Site Name]],SiteDB6[[Site Name]:[CCCM Focal Agency]],7,FALSE)</f>
        <v>uncovered</v>
      </c>
      <c r="EG168" s="727" t="str">
        <f>VLOOKUP(WWWW[[#This Row],[Site Name]],SiteDB6[[Site Name]:[Location Type 1]],9,FALSE)</f>
        <v>Camp</v>
      </c>
      <c r="EH168" s="727" t="str">
        <f>VLOOKUP(WWWW[[#This Row],[Site Name]],SiteDB6[[Site Name]:[Type of Accommodation]],10,FALSE)</f>
        <v>Camp like setting</v>
      </c>
      <c r="EI168" s="727" t="str">
        <f>VLOOKUP(WWWW[[#This Row],[Site Name]],SiteDB6[[Site Name]:[Ethnic or GCA/NGCA]],11,FALSE)</f>
        <v>GCA</v>
      </c>
      <c r="EJ168" s="727">
        <f>VLOOKUP(WWWW[[#This Row],[Site Name]],SiteDB6[[Site Name]:[Lat]],12,FALSE)</f>
        <v>23.234137</v>
      </c>
      <c r="EK168" s="727">
        <f>VLOOKUP(WWWW[[#This Row],[Site Name]],SiteDB6[[Site Name]:[Long]],13,FALSE)</f>
        <v>97.505339000000006</v>
      </c>
      <c r="EL168" s="727" t="str">
        <f>VLOOKUP(WWWW[[#This Row],[Site Name]],SiteDB6[[Site Name]:[Pcode]],3,FALSE)</f>
        <v>MMR015CMP030</v>
      </c>
      <c r="EM168" s="732" t="str">
        <f t="shared" si="2"/>
        <v>Covered</v>
      </c>
      <c r="EN168" s="732"/>
      <c r="EO168" s="727">
        <f>VLOOKUP(WWWW[[#This Row],[Site Name]],SiteDB6[[Site Name]:[Pop
(Kachin/Shan-CCCM as of July 2021)]],16,FALSE)</f>
        <v>86</v>
      </c>
      <c r="EP168" s="727">
        <f>VLOOKUP(WWWW[[#This Row],[Site Name]],SiteDB6[[Site Name]:[Pop
(Kachin/Shan-CCCM as of July 2021)]],17,FALSE)</f>
        <v>525</v>
      </c>
    </row>
    <row r="169" spans="1:146" hidden="1">
      <c r="A169" s="725" t="s">
        <v>2763</v>
      </c>
      <c r="B169" s="725" t="s">
        <v>192</v>
      </c>
      <c r="C169" s="726" t="s">
        <v>192</v>
      </c>
      <c r="D169" s="726" t="s">
        <v>2673</v>
      </c>
      <c r="E169" s="726" t="s">
        <v>515</v>
      </c>
      <c r="F169" s="726" t="s">
        <v>519</v>
      </c>
      <c r="G169" s="591" t="str">
        <f>VLOOKUP(WWWW[[#This Row],[Site Name]],SiteDB6[[Site Name]:[Location Type]],8,FALSE)</f>
        <v>Camp</v>
      </c>
      <c r="H169" s="726" t="s">
        <v>3032</v>
      </c>
      <c r="I169" s="728">
        <v>26</v>
      </c>
      <c r="J169" s="728">
        <v>132</v>
      </c>
      <c r="K169" s="729" t="s">
        <v>2767</v>
      </c>
      <c r="L169" s="730" t="s">
        <v>2768</v>
      </c>
      <c r="M169" s="728"/>
      <c r="N169" s="728"/>
      <c r="O169" s="728"/>
      <c r="P169" s="728"/>
      <c r="Q169" s="731"/>
      <c r="R169" s="728">
        <v>3</v>
      </c>
      <c r="S169" s="728">
        <v>2</v>
      </c>
      <c r="T169" s="448"/>
      <c r="U169" s="728"/>
      <c r="V169" s="728"/>
      <c r="W169" s="728"/>
      <c r="X169" s="728"/>
      <c r="Y169" s="728"/>
      <c r="Z169" s="728"/>
      <c r="AA169" s="728">
        <v>8</v>
      </c>
      <c r="AB169" s="728"/>
      <c r="AC169" s="728"/>
      <c r="AD169" s="728"/>
      <c r="AE169" s="728"/>
      <c r="AF169" s="728"/>
      <c r="AG169" s="728"/>
      <c r="AH169" s="728"/>
      <c r="AI169" s="728"/>
      <c r="AJ169" s="728"/>
      <c r="AK169" s="728"/>
      <c r="AL169" s="728"/>
      <c r="AM169" s="728"/>
      <c r="AN169" s="728"/>
      <c r="AO169" s="728"/>
      <c r="AP169" s="732"/>
      <c r="AQ169" s="728">
        <v>27</v>
      </c>
      <c r="AR169" s="728"/>
      <c r="AS169" s="733"/>
      <c r="AT169" s="728"/>
      <c r="AU169" s="728"/>
      <c r="AV169" s="728"/>
      <c r="AW169" s="728"/>
      <c r="AX169" s="728">
        <v>2</v>
      </c>
      <c r="AY169" s="727" t="s">
        <v>41</v>
      </c>
      <c r="AZ169" s="732" t="s">
        <v>136</v>
      </c>
      <c r="BA169" s="728"/>
      <c r="BB169" s="728"/>
      <c r="BC169" s="728"/>
      <c r="BD169" s="448"/>
      <c r="BE169" s="448"/>
      <c r="BF169" s="727"/>
      <c r="BG169" s="728">
        <v>7</v>
      </c>
      <c r="BH169" s="728"/>
      <c r="BI169" s="728"/>
      <c r="BJ169" s="728">
        <v>7</v>
      </c>
      <c r="BK169" s="728"/>
      <c r="BL169" s="728"/>
      <c r="BM169" s="728">
        <v>1</v>
      </c>
      <c r="BN169" s="728">
        <v>104</v>
      </c>
      <c r="BO169" s="728">
        <v>148</v>
      </c>
      <c r="BP169" s="727"/>
      <c r="BQ169" s="734"/>
      <c r="BR169" s="733"/>
      <c r="BS169" s="727"/>
      <c r="BT169" s="423"/>
      <c r="BU169" s="423"/>
      <c r="BV169" s="425"/>
      <c r="BW169" s="423"/>
      <c r="BX169" s="448"/>
      <c r="BY169" s="448"/>
      <c r="BZ169" s="448"/>
      <c r="CA169" s="448"/>
      <c r="CB169" s="448"/>
      <c r="CC169" s="777"/>
      <c r="CD169" s="448"/>
      <c r="CE169" s="735" t="str">
        <f>IFERROR(WWWW[[#This Row],['#_Water sources passed]]/WWWW[[#This Row],['#_Water sources tested for fecal coliform ]],"no test")</f>
        <v>no test</v>
      </c>
      <c r="CF169" s="733" t="str">
        <f>IFERROR(WWWW[[#This Row],['#_Household passed]]/WWWW[[#This Row],['#_Household water samples tested for fecal coliform]],"no test")</f>
        <v>no test</v>
      </c>
      <c r="CG169" s="734" t="str">
        <f>IF(AND(WWWW[[#This Row],[% of water sources passed]]="no test",WWWW[[#This Row],[% Household passed]]="no test"),"No Test","Tested")</f>
        <v>No Test</v>
      </c>
      <c r="CH169" s="734">
        <f>WWWW[[#This Row],['#_Constructed/existing protected hand dug well]]-WWWW[[#This Row],['#_Non-functional protected hand dug well]]</f>
        <v>0</v>
      </c>
      <c r="CI169" s="734">
        <f>(WWWW[[#This Row],['#_Constructed/Existing tube wells/boreholes/handpumps_WASH_agency]]+WWWW[[#This Row],['#_Non-Cluster partner water tube-wells/boreholes/handpumps]])-WWWW[[#This Row],['#_Non-functional tube wells/boreholes/handpumps]]</f>
        <v>0</v>
      </c>
      <c r="CJ169" s="734">
        <f>WWWW[[#This Row],['#_Constructed/Existingwater storage tank with gravity fed reticulation system]]-WWWW[[#This Row],['#_Non-functional storage tank gravity fed reticulation system]]</f>
        <v>8</v>
      </c>
      <c r="CK169" s="734">
        <f>(WWWW[[#This Row],['#_Water_Liters_supplied_by_Water boating or water trucking]]/90)/15</f>
        <v>0</v>
      </c>
      <c r="CL169" s="734">
        <f>WWWW[[#This Row],['#_Water_Liters_from_Constructed/Existing water distribution system from river or natural spring]]/90/15</f>
        <v>0</v>
      </c>
      <c r="CM169" s="424">
        <f>IF(WWWW[[#This Row],['#_of water points in TLS/CFS]]*500&gt;WWWW[[#This Row],[Total PoP ]],WWWW[[#This Row],[Total PoP ]],WWWW[[#This Row],['#_of water points in TLS/CFS]]*500)</f>
        <v>0</v>
      </c>
      <c r="CN169" s="424">
        <f>IF(WWWW[[#This Row],['#_of water points in THF]]*500&gt;WWWW[[#This Row],[Total PoP ]],WWWW[[#This Row],[Total PoP ]],WWWW[[#This Row],['#_of water points in THF]]*500)</f>
        <v>0</v>
      </c>
      <c r="CO16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9" s="733">
        <f>IF(WWWW[[#This Row],[Location Type 1]]="Village",WWWW[[#This Row],[Access to safe drinking water for Village]],WWWW[[#This Row],[Access to safe drinking water for Camp]])</f>
        <v>1</v>
      </c>
      <c r="CR169" s="731">
        <f>WWWW[[#This Row],[%Equitable and continuous access to sufficient quantity of safe drinking water]]*WWWW[[#This Row],[Total PoP ]]</f>
        <v>132</v>
      </c>
      <c r="CS169" s="733">
        <f>IF((WWWW[[#This Row],['#_Constructed/Existing protected/fenced ponds]]*250)/WWWW[[#This Row],[Total PoP ]]&gt;1,1,(WWWW[[#This Row],['#_Constructed/Existing protected/fenced ponds]]*250)/WWWW[[#This Row],[Total PoP ]])</f>
        <v>0</v>
      </c>
      <c r="CT169" s="731">
        <f>WWWW[[#This Row],[% Access to unimproved water points]]*WWWW[[#This Row],[Total PoP ]]</f>
        <v>0</v>
      </c>
      <c r="CU16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W169" s="731">
        <f>WWWW[[#This Row],[HRP1]]/500</f>
        <v>0.26400000000000001</v>
      </c>
      <c r="CX169" s="736">
        <f>1-WWWW[[#This Row],[% Equitable and continuous access to sufficient quantity of domestic water]]</f>
        <v>0</v>
      </c>
      <c r="CY169" s="731">
        <f>WWWW[[#This Row],[%equitable and continuous access to sufficient quantity of safe drinking and domestic water''s GAP]]*WWWW[[#This Row],[Total PoP ]]</f>
        <v>0</v>
      </c>
      <c r="CZ169" s="734">
        <f>IF(WWWW[[#This Row],[Total required water points]]-WWWW[[#This Row],['#Water points coverage]]&lt;0,0,WWWW[[#This Row],[Total required water points]]-WWWW[[#This Row],['#Water points coverage]])</f>
        <v>0.73599999999999999</v>
      </c>
      <c r="DA169" s="734">
        <f>ROUND(IF(WWWW[[#This Row],[Total PoP ]]&lt;500,1,WWWW[[#This Row],[Total PoP ]]/500),0)</f>
        <v>1</v>
      </c>
      <c r="DB169" s="734">
        <f>(WWWW[[#This Row],['#_Constructed latrines_by_WASHAgencies]]+WWWW[[#This Row],['#_Non Cluster partner latrines]])-WWWW[[#This Row],['#_Non-functional latrines]]</f>
        <v>27</v>
      </c>
      <c r="DC169" s="631">
        <f>WWWW[[#This Row],[HRP2]]/WWWW[[#This Row],[Total PoP ]]</f>
        <v>1</v>
      </c>
      <c r="DD16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DE16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9" s="424">
        <f>IF(WWWW[[#This Row],['# of functional latrines in THF supported by WASH partners during the reporting period2]]="",0,WWWW[[#This Row],['# of functional latrines in THF supported by WASH partners during the reporting period2]]*50)</f>
        <v>0</v>
      </c>
      <c r="DH169" s="734">
        <f>ROUND(IF(WWWW[[#This Row],[Location Type 1]]="camp",WWWW[[#This Row],[Total PoP ]]/20,IF(WWWW[[#This Row],[Location Type 1]]="Temporary Location",WWWW[[#This Row],[Total PoP ]]/50,(WWWW[[#This Row],[Total PoP ]]/6))),0)</f>
        <v>7</v>
      </c>
      <c r="DI169" s="734">
        <f>IF(WWWW[[#This Row],[Total required Latrines]]-(WWWW[[#This Row],['#_Constructed latrines_by_WASHAgencies]]+WWWW[[#This Row],['#_Non Cluster partner latrines]])&lt;0,0,WWWW[[#This Row],[Total required Latrines]]-(WWWW[[#This Row],['#_Constructed latrines_by_WASHAgencies]]+WWWW[[#This Row],['#_Non Cluster partner latrines]]))</f>
        <v>0</v>
      </c>
      <c r="DJ169" s="736">
        <f>1-WWWW[[#This Row],[% people access to functioning Latrine]]</f>
        <v>0</v>
      </c>
      <c r="DK169" s="735">
        <f>IF(OR(WWWW[[#This Row],['#_Non-functional latrines]]="",WWWW[[#This Row],['#_Non-functional latrines]]=0),0,WWWW[[#This Row],['#_Non-functional latrines]]/(WWWW[[#This Row],['#_Constructed latrines_by_WASHAgencies]]+WWWW[[#This Row],['#_Non Cluster partner latrines]]))</f>
        <v>0</v>
      </c>
      <c r="DL169" s="731">
        <f>IF(500*(WWWW[[#This Row],['#_male hygiene promoters]]+WWWW[[#This Row],['#_female hygiene promoters]])&gt;WWWW[[#This Row],[Total PoP ]],WWWW[[#This Row],[Total PoP ]],500*(WWWW[[#This Row],['#_male hygiene promoters]]+WWWW[[#This Row],['#_female hygiene promoters]]))</f>
        <v>132</v>
      </c>
      <c r="DM16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132</v>
      </c>
      <c r="DN16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132</v>
      </c>
      <c r="DO169" s="734">
        <f>IF(WWWW[[#This Row],['# People with access to soap]]&gt;WWWW[[#This Row],['# People with access to Sanity Pads]],WWWW[[#This Row],['# People with access to soap]],WWWW[[#This Row],['# People with access to Sanity Pads]])</f>
        <v>132</v>
      </c>
      <c r="DP169" s="734">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Q169" s="736">
        <f>IF(WWWW[[#This Row],[HRP3]]/WWWW[[#This Row],[Total PoP ]]&gt;1,1,WWWW[[#This Row],[HRP3]]/WWWW[[#This Row],[Total PoP ]])</f>
        <v>1</v>
      </c>
      <c r="DR169" s="735">
        <f>1-WWWW[[#This Row],[Hygiene Coverage%]]</f>
        <v>0</v>
      </c>
      <c r="DS169" s="733">
        <f>WWWW[[#This Row],['# people reached by regular dedicated hygiene promotion_5]]/WWWW[[#This Row],[Total PoP ]]</f>
        <v>1</v>
      </c>
      <c r="DT16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9" s="734">
        <f>WWWW[[#This Row],['#_Constructed/Existing hand washing stations]]-WWWW[[#This Row],['#_Non-Functional_hand_washing_stations]]</f>
        <v>7</v>
      </c>
      <c r="DW169" s="731">
        <f>IF(WWWW[[#This Row],['# Functional hand washing stations during reporting period]]*20&gt;WWWW[[#This Row],[Total HH]],WWWW[[#This Row],[Total HH]],WWWW[[#This Row],['# Functional hand washing stations during reporting period]]*20)</f>
        <v>26</v>
      </c>
      <c r="DX169" s="731">
        <f>IF(WWWW[[#This Row],[Is sufficient soap available for TLS? (Yes/No)]]="yes",WWWW[[#This Row],['#_Constructed/Existing hand washing stations at TLS/CFS/THF]],0)</f>
        <v>0</v>
      </c>
      <c r="DY169" s="428">
        <f>IF(WWWW[[#This Row],['# Functional hand washing stations during reporting period]]*100&gt;WWWW[[#This Row],[Total PoP ]],WWWW[[#This Row],[Total PoP ]],WWWW[[#This Row],['# Functional hand washing stations during reporting period]]*100)</f>
        <v>132</v>
      </c>
      <c r="DZ169" s="428" t="str">
        <f>IF(OR(WWWW[[#This Row],['#_students at TLS_CFS]]="",WWWW[[#This Row],['#_students at TLS_CFS]]=0),"No","Yes")</f>
        <v>No</v>
      </c>
      <c r="EA16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9" s="727" t="str">
        <f>VLOOKUP(WWWW[[#This Row],[Site Name]],SiteDB6[[Site Name]:[CCCM Management]],6,FALSE)</f>
        <v>Yes</v>
      </c>
      <c r="EF169" s="727" t="str">
        <f>VLOOKUP(WWWW[[#This Row],[Site Name]],SiteDB6[[Site Name]:[CCCM Focal Agency]],7,FALSE)</f>
        <v>KMSS-LSO</v>
      </c>
      <c r="EG169" s="727" t="str">
        <f>VLOOKUP(WWWW[[#This Row],[Site Name]],SiteDB6[[Site Name]:[Location Type 1]],9,FALSE)</f>
        <v>Camp</v>
      </c>
      <c r="EH169" s="727" t="str">
        <f>VLOOKUP(WWWW[[#This Row],[Site Name]],SiteDB6[[Site Name]:[Type of Accommodation]],10,FALSE)</f>
        <v>Camp</v>
      </c>
      <c r="EI169" s="727" t="str">
        <f>VLOOKUP(WWWW[[#This Row],[Site Name]],SiteDB6[[Site Name]:[Ethnic or GCA/NGCA]],11,FALSE)</f>
        <v>GCA</v>
      </c>
      <c r="EJ169" s="727">
        <f>VLOOKUP(WWWW[[#This Row],[Site Name]],SiteDB6[[Site Name]:[Lat]],12,FALSE)</f>
        <v>23.38503</v>
      </c>
      <c r="EK169" s="727">
        <f>VLOOKUP(WWWW[[#This Row],[Site Name]],SiteDB6[[Site Name]:[Long]],13,FALSE)</f>
        <v>97.837040000000002</v>
      </c>
      <c r="EL169" s="727" t="str">
        <f>VLOOKUP(WWWW[[#This Row],[Site Name]],SiteDB6[[Site Name]:[Pcode]],3,FALSE)</f>
        <v>MMR015CMP017</v>
      </c>
      <c r="EM169" s="732" t="str">
        <f t="shared" si="2"/>
        <v>Covered</v>
      </c>
      <c r="EN169" s="732"/>
      <c r="EO169" s="727">
        <f>VLOOKUP(WWWW[[#This Row],[Site Name]],SiteDB6[[Site Name]:[Pop
(Kachin/Shan-CCCM as of July 2021)]],16,FALSE)</f>
        <v>26</v>
      </c>
      <c r="EP169" s="727">
        <f>VLOOKUP(WWWW[[#This Row],[Site Name]],SiteDB6[[Site Name]:[Pop
(Kachin/Shan-CCCM as of July 2021)]],17,FALSE)</f>
        <v>133</v>
      </c>
    </row>
    <row r="170" spans="1:146" hidden="1">
      <c r="A170" s="725" t="s">
        <v>2763</v>
      </c>
      <c r="B170" s="725" t="s">
        <v>309</v>
      </c>
      <c r="C170" s="726" t="s">
        <v>309</v>
      </c>
      <c r="D170" s="726"/>
      <c r="E170" s="726" t="s">
        <v>515</v>
      </c>
      <c r="F170" s="726" t="s">
        <v>556</v>
      </c>
      <c r="G170" s="591" t="str">
        <f>VLOOKUP(WWWW[[#This Row],[Site Name]],SiteDB6[[Site Name]:[Location Type]],8,FALSE)</f>
        <v>Camp</v>
      </c>
      <c r="H170" s="726" t="s">
        <v>2695</v>
      </c>
      <c r="I170" s="728">
        <v>13</v>
      </c>
      <c r="J170" s="728">
        <v>29</v>
      </c>
      <c r="K170" s="729"/>
      <c r="L170" s="730"/>
      <c r="M170" s="728"/>
      <c r="N170" s="728"/>
      <c r="O170" s="728"/>
      <c r="P170" s="728"/>
      <c r="Q170" s="731"/>
      <c r="R170" s="728"/>
      <c r="S170" s="728"/>
      <c r="T170" s="44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32"/>
      <c r="AQ170" s="728"/>
      <c r="AR170" s="728"/>
      <c r="AS170" s="733"/>
      <c r="AT170" s="728"/>
      <c r="AU170" s="728"/>
      <c r="AV170" s="728"/>
      <c r="AW170" s="728"/>
      <c r="AX170" s="728"/>
      <c r="AY170" s="425" t="s">
        <v>140</v>
      </c>
      <c r="AZ170" s="860" t="s">
        <v>140</v>
      </c>
      <c r="BA170" s="728"/>
      <c r="BB170" s="728"/>
      <c r="BC170" s="728"/>
      <c r="BD170" s="448"/>
      <c r="BE170" s="448"/>
      <c r="BF170" s="727"/>
      <c r="BG170" s="728">
        <v>1</v>
      </c>
      <c r="BH170" s="728"/>
      <c r="BI170" s="728"/>
      <c r="BJ170" s="728">
        <v>3</v>
      </c>
      <c r="BK170" s="728"/>
      <c r="BL170" s="728"/>
      <c r="BM170" s="728"/>
      <c r="BN170" s="728">
        <v>41</v>
      </c>
      <c r="BO170" s="728">
        <v>85</v>
      </c>
      <c r="BP170" s="727"/>
      <c r="BQ170" s="734"/>
      <c r="BR170" s="733"/>
      <c r="BS170" s="727"/>
      <c r="BT170" s="423"/>
      <c r="BU170" s="423"/>
      <c r="BV170" s="425"/>
      <c r="BW170" s="423"/>
      <c r="BX170" s="448"/>
      <c r="BY170" s="448"/>
      <c r="BZ170" s="448"/>
      <c r="CA170" s="448"/>
      <c r="CB170" s="448"/>
      <c r="CC170" s="777"/>
      <c r="CD170" s="448"/>
      <c r="CE170" s="735" t="str">
        <f>IFERROR(WWWW[[#This Row],['#_Water sources passed]]/WWWW[[#This Row],['#_Water sources tested for fecal coliform ]],"no test")</f>
        <v>no test</v>
      </c>
      <c r="CF170" s="733" t="str">
        <f>IFERROR(WWWW[[#This Row],['#_Household passed]]/WWWW[[#This Row],['#_Household water samples tested for fecal coliform]],"no test")</f>
        <v>no test</v>
      </c>
      <c r="CG170" s="734" t="str">
        <f>IF(AND(WWWW[[#This Row],[% of water sources passed]]="no test",WWWW[[#This Row],[% Household passed]]="no test"),"No Test","Tested")</f>
        <v>No Test</v>
      </c>
      <c r="CH170" s="734">
        <f>WWWW[[#This Row],['#_Constructed/existing protected hand dug well]]-WWWW[[#This Row],['#_Non-functional protected hand dug well]]</f>
        <v>0</v>
      </c>
      <c r="CI170" s="734">
        <f>(WWWW[[#This Row],['#_Constructed/Existing tube wells/boreholes/handpumps_WASH_agency]]+WWWW[[#This Row],['#_Non-Cluster partner water tube-wells/boreholes/handpumps]])-WWWW[[#This Row],['#_Non-functional tube wells/boreholes/handpumps]]</f>
        <v>0</v>
      </c>
      <c r="CJ170" s="734">
        <f>WWWW[[#This Row],['#_Constructed/Existingwater storage tank with gravity fed reticulation system]]-WWWW[[#This Row],['#_Non-functional storage tank gravity fed reticulation system]]</f>
        <v>0</v>
      </c>
      <c r="CK170" s="734">
        <f>(WWWW[[#This Row],['#_Water_Liters_supplied_by_Water boating or water trucking]]/90)/15</f>
        <v>0</v>
      </c>
      <c r="CL170" s="734">
        <f>WWWW[[#This Row],['#_Water_Liters_from_Constructed/Existing water distribution system from river or natural spring]]/90/15</f>
        <v>0</v>
      </c>
      <c r="CM170" s="424">
        <f>IF(WWWW[[#This Row],['#_of water points in TLS/CFS]]*500&gt;WWWW[[#This Row],[Total PoP ]],WWWW[[#This Row],[Total PoP ]],WWWW[[#This Row],['#_of water points in TLS/CFS]]*500)</f>
        <v>0</v>
      </c>
      <c r="CN170" s="424">
        <f>IF(WWWW[[#This Row],['#_of water points in THF]]*500&gt;WWWW[[#This Row],[Total PoP ]],WWWW[[#This Row],[Total PoP ]],WWWW[[#This Row],['#_of water points in THF]]*500)</f>
        <v>0</v>
      </c>
      <c r="CO17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7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70" s="733">
        <f>IF(WWWW[[#This Row],[Location Type 1]]="Village",WWWW[[#This Row],[Access to safe drinking water for Village]],WWWW[[#This Row],[Access to safe drinking water for Camp]])</f>
        <v>0</v>
      </c>
      <c r="CR170" s="731">
        <f>WWWW[[#This Row],[%Equitable and continuous access to sufficient quantity of safe drinking water]]*WWWW[[#This Row],[Total PoP ]]</f>
        <v>0</v>
      </c>
      <c r="CS170" s="733">
        <f>IF((WWWW[[#This Row],['#_Constructed/Existing protected/fenced ponds]]*250)/WWWW[[#This Row],[Total PoP ]]&gt;1,1,(WWWW[[#This Row],['#_Constructed/Existing protected/fenced ponds]]*250)/WWWW[[#This Row],[Total PoP ]])</f>
        <v>0</v>
      </c>
      <c r="CT170" s="731">
        <f>WWWW[[#This Row],[% Access to unimproved water points]]*WWWW[[#This Row],[Total PoP ]]</f>
        <v>0</v>
      </c>
      <c r="CU17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7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70" s="731">
        <f>WWWW[[#This Row],[HRP1]]/500</f>
        <v>0</v>
      </c>
      <c r="CX170" s="736">
        <f>1-WWWW[[#This Row],[% Equitable and continuous access to sufficient quantity of domestic water]]</f>
        <v>1</v>
      </c>
      <c r="CY170" s="731">
        <f>WWWW[[#This Row],[%equitable and continuous access to sufficient quantity of safe drinking and domestic water''s GAP]]*WWWW[[#This Row],[Total PoP ]]</f>
        <v>29</v>
      </c>
      <c r="CZ170" s="734">
        <f>IF(WWWW[[#This Row],[Total required water points]]-WWWW[[#This Row],['#Water points coverage]]&lt;0,0,WWWW[[#This Row],[Total required water points]]-WWWW[[#This Row],['#Water points coverage]])</f>
        <v>1</v>
      </c>
      <c r="DA170" s="734">
        <f>ROUND(IF(WWWW[[#This Row],[Total PoP ]]&lt;500,1,WWWW[[#This Row],[Total PoP ]]/500),0)</f>
        <v>1</v>
      </c>
      <c r="DB170" s="734">
        <f>(WWWW[[#This Row],['#_Constructed latrines_by_WASHAgencies]]+WWWW[[#This Row],['#_Non Cluster partner latrines]])-WWWW[[#This Row],['#_Non-functional latrines]]</f>
        <v>0</v>
      </c>
      <c r="DC170" s="631">
        <f>WWWW[[#This Row],[HRP2]]/WWWW[[#This Row],[Total PoP ]]</f>
        <v>0</v>
      </c>
      <c r="DD17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7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0" s="424">
        <f>IF(WWWW[[#This Row],['# of functional latrines in THF supported by WASH partners during the reporting period2]]="",0,WWWW[[#This Row],['# of functional latrines in THF supported by WASH partners during the reporting period2]]*50)</f>
        <v>0</v>
      </c>
      <c r="DH170" s="734">
        <f>ROUND(IF(WWWW[[#This Row],[Location Type 1]]="camp",WWWW[[#This Row],[Total PoP ]]/20,IF(WWWW[[#This Row],[Location Type 1]]="Temporary Location",WWWW[[#This Row],[Total PoP ]]/50,(WWWW[[#This Row],[Total PoP ]]/6))),0)</f>
        <v>1</v>
      </c>
      <c r="DI170" s="734">
        <f>IF(WWWW[[#This Row],[Total required Latrines]]-(WWWW[[#This Row],['#_Constructed latrines_by_WASHAgencies]]+WWWW[[#This Row],['#_Non Cluster partner latrines]])&lt;0,0,WWWW[[#This Row],[Total required Latrines]]-(WWWW[[#This Row],['#_Constructed latrines_by_WASHAgencies]]+WWWW[[#This Row],['#_Non Cluster partner latrines]]))</f>
        <v>1</v>
      </c>
      <c r="DJ170" s="736">
        <f>1-WWWW[[#This Row],[% people access to functioning Latrine]]</f>
        <v>1</v>
      </c>
      <c r="DK170" s="735">
        <f>IF(OR(WWWW[[#This Row],['#_Non-functional latrines]]="",WWWW[[#This Row],['#_Non-functional latrines]]=0),0,WWWW[[#This Row],['#_Non-functional latrines]]/(WWWW[[#This Row],['#_Constructed latrines_by_WASHAgencies]]+WWWW[[#This Row],['#_Non Cluster partner latrines]]))</f>
        <v>0</v>
      </c>
      <c r="DL170" s="731">
        <f>IF(500*(WWWW[[#This Row],['#_male hygiene promoters]]+WWWW[[#This Row],['#_female hygiene promoters]])&gt;WWWW[[#This Row],[Total PoP ]],WWWW[[#This Row],[Total PoP ]],500*(WWWW[[#This Row],['#_male hygiene promoters]]+WWWW[[#This Row],['#_female hygiene promoters]]))</f>
        <v>0</v>
      </c>
      <c r="DM17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v>
      </c>
      <c r="DN17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v>
      </c>
      <c r="DO170" s="734">
        <f>IF(WWWW[[#This Row],['# People with access to soap]]&gt;WWWW[[#This Row],['# People with access to Sanity Pads]],WWWW[[#This Row],['# People with access to soap]],WWWW[[#This Row],['# People with access to Sanity Pads]])</f>
        <v>29</v>
      </c>
      <c r="DP170" s="734">
        <f>IF(WWWW[[#This Row],['# people reached by regular dedicated hygiene promotion_5]]&gt;WWWW[[#This Row],['# People received regular supply of hygiene items_6]],WWWW[[#This Row],['# people reached by regular dedicated hygiene promotion_5]],WWWW[[#This Row],['# People received regular supply of hygiene items_6]])</f>
        <v>29</v>
      </c>
      <c r="DQ170" s="736">
        <f>IF(WWWW[[#This Row],[HRP3]]/WWWW[[#This Row],[Total PoP ]]&gt;1,1,WWWW[[#This Row],[HRP3]]/WWWW[[#This Row],[Total PoP ]])</f>
        <v>1</v>
      </c>
      <c r="DR170" s="735">
        <f>1-WWWW[[#This Row],[Hygiene Coverage%]]</f>
        <v>0</v>
      </c>
      <c r="DS170" s="733">
        <f>WWWW[[#This Row],['# people reached by regular dedicated hygiene promotion_5]]/WWWW[[#This Row],[Total PoP ]]</f>
        <v>0</v>
      </c>
      <c r="DT17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0" s="734">
        <f>WWWW[[#This Row],['#_Constructed/Existing hand washing stations]]-WWWW[[#This Row],['#_Non-Functional_hand_washing_stations]]</f>
        <v>1</v>
      </c>
      <c r="DW170" s="731">
        <f>IF(WWWW[[#This Row],['# Functional hand washing stations during reporting period]]*20&gt;WWWW[[#This Row],[Total HH]],WWWW[[#This Row],[Total HH]],WWWW[[#This Row],['# Functional hand washing stations during reporting period]]*20)</f>
        <v>13</v>
      </c>
      <c r="DX170" s="731">
        <f>IF(WWWW[[#This Row],[Is sufficient soap available for TLS? (Yes/No)]]="yes",WWWW[[#This Row],['#_Constructed/Existing hand washing stations at TLS/CFS/THF]],0)</f>
        <v>0</v>
      </c>
      <c r="DY170" s="428">
        <f>IF(WWWW[[#This Row],['# Functional hand washing stations during reporting period]]*100&gt;WWWW[[#This Row],[Total PoP ]],WWWW[[#This Row],[Total PoP ]],WWWW[[#This Row],['# Functional hand washing stations during reporting period]]*100)</f>
        <v>29</v>
      </c>
      <c r="DZ170" s="428" t="str">
        <f>IF(OR(WWWW[[#This Row],['#_students at TLS_CFS]]="",WWWW[[#This Row],['#_students at TLS_CFS]]=0),"No","Yes")</f>
        <v>No</v>
      </c>
      <c r="EA17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0" s="727">
        <f>VLOOKUP(WWWW[[#This Row],[Site Name]],SiteDB6[[Site Name]:[CCCM Management]],6,FALSE)</f>
        <v>0</v>
      </c>
      <c r="EF170" s="727" t="str">
        <f>VLOOKUP(WWWW[[#This Row],[Site Name]],SiteDB6[[Site Name]:[CCCM Focal Agency]],7,FALSE)</f>
        <v>uncovered</v>
      </c>
      <c r="EG170" s="727" t="str">
        <f>VLOOKUP(WWWW[[#This Row],[Site Name]],SiteDB6[[Site Name]:[Location Type 1]],9,FALSE)</f>
        <v>Camp</v>
      </c>
      <c r="EH170" s="727" t="str">
        <f>VLOOKUP(WWWW[[#This Row],[Site Name]],SiteDB6[[Site Name]:[Type of Accommodation]],10,FALSE)</f>
        <v>Closed Camp</v>
      </c>
      <c r="EI170" s="727" t="str">
        <f>VLOOKUP(WWWW[[#This Row],[Site Name]],SiteDB6[[Site Name]:[Ethnic or GCA/NGCA]],11,FALSE)</f>
        <v>GCA</v>
      </c>
      <c r="EJ170" s="727">
        <f>VLOOKUP(WWWW[[#This Row],[Site Name]],SiteDB6[[Site Name]:[Lat]],12,FALSE)</f>
        <v>22.6923503875732</v>
      </c>
      <c r="EK170" s="727">
        <f>VLOOKUP(WWWW[[#This Row],[Site Name]],SiteDB6[[Site Name]:[Long]],13,FALSE)</f>
        <v>97.434150695800795</v>
      </c>
      <c r="EL170" s="727" t="str">
        <f>VLOOKUP(WWWW[[#This Row],[Site Name]],SiteDB6[[Site Name]:[Pcode]],3,FALSE)</f>
        <v>MMR015CMP084</v>
      </c>
      <c r="EM170" s="732" t="str">
        <f t="shared" si="2"/>
        <v>Notcovered</v>
      </c>
      <c r="EN170" s="732"/>
      <c r="EO170" s="727">
        <f>VLOOKUP(WWWW[[#This Row],[Site Name]],SiteDB6[[Site Name]:[Pop
(Kachin/Shan-CCCM as of July 2021)]],16,FALSE)</f>
        <v>13</v>
      </c>
      <c r="EP170" s="727">
        <f>VLOOKUP(WWWW[[#This Row],[Site Name]],SiteDB6[[Site Name]:[Pop
(Kachin/Shan-CCCM as of July 2021)]],17,FALSE)</f>
        <v>29</v>
      </c>
    </row>
    <row r="171" spans="1:146" hidden="1">
      <c r="A171" s="725" t="s">
        <v>2763</v>
      </c>
      <c r="B171" s="725" t="s">
        <v>2161</v>
      </c>
      <c r="C171" s="726" t="s">
        <v>2161</v>
      </c>
      <c r="D171" s="726" t="s">
        <v>241</v>
      </c>
      <c r="E171" s="726" t="s">
        <v>515</v>
      </c>
      <c r="F171" s="726" t="s">
        <v>963</v>
      </c>
      <c r="G171" s="591" t="str">
        <f>VLOOKUP(WWWW[[#This Row],[Site Name]],SiteDB6[[Site Name]:[Location Type]],8,FALSE)</f>
        <v>Camp</v>
      </c>
      <c r="H171" s="726" t="s">
        <v>2602</v>
      </c>
      <c r="I171" s="448">
        <v>340</v>
      </c>
      <c r="J171" s="448">
        <v>1674</v>
      </c>
      <c r="K171" s="588">
        <v>44488</v>
      </c>
      <c r="L171" s="589">
        <v>44852</v>
      </c>
      <c r="M171" s="728"/>
      <c r="N171" s="728"/>
      <c r="O171" s="728"/>
      <c r="P171" s="728"/>
      <c r="Q171" s="731" t="s">
        <v>41</v>
      </c>
      <c r="R171" s="448">
        <v>2</v>
      </c>
      <c r="S171" s="448">
        <v>2</v>
      </c>
      <c r="T171" s="448"/>
      <c r="U171" s="728"/>
      <c r="V171" s="728"/>
      <c r="W171" s="728"/>
      <c r="X171" s="728"/>
      <c r="Y171" s="728"/>
      <c r="Z171" s="728"/>
      <c r="AA171" s="448">
        <v>24</v>
      </c>
      <c r="AB171" s="728"/>
      <c r="AC171" s="448">
        <v>13.62</v>
      </c>
      <c r="AD171" s="728"/>
      <c r="AE171" s="728"/>
      <c r="AF171" s="728"/>
      <c r="AG171" s="728"/>
      <c r="AH171" s="728">
        <v>1</v>
      </c>
      <c r="AI171" s="728"/>
      <c r="AJ171" s="728"/>
      <c r="AK171" s="728"/>
      <c r="AL171" s="728"/>
      <c r="AM171" s="728"/>
      <c r="AN171" s="448">
        <v>1</v>
      </c>
      <c r="AO171" s="448"/>
      <c r="AP171" s="732"/>
      <c r="AQ171" s="448">
        <v>30</v>
      </c>
      <c r="AR171" s="728"/>
      <c r="AS171" s="733"/>
      <c r="AT171" s="448">
        <v>16</v>
      </c>
      <c r="AU171" s="728"/>
      <c r="AV171" s="728"/>
      <c r="AW171" s="728"/>
      <c r="AX171" s="728"/>
      <c r="AY171" s="425" t="s">
        <v>136</v>
      </c>
      <c r="AZ171" s="590" t="s">
        <v>136</v>
      </c>
      <c r="BA171" s="728"/>
      <c r="BB171" s="728"/>
      <c r="BC171" s="728"/>
      <c r="BD171" s="448"/>
      <c r="BE171" s="448"/>
      <c r="BF171" s="727"/>
      <c r="BG171" s="728">
        <v>3</v>
      </c>
      <c r="BH171" s="728">
        <v>2</v>
      </c>
      <c r="BI171" s="728"/>
      <c r="BJ171" s="728">
        <v>2</v>
      </c>
      <c r="BK171" s="728"/>
      <c r="BL171" s="728"/>
      <c r="BM171" s="728"/>
      <c r="BN171" s="728">
        <v>88</v>
      </c>
      <c r="BO171" s="728">
        <v>100</v>
      </c>
      <c r="BP171" s="727"/>
      <c r="BQ171" s="734"/>
      <c r="BR171" s="733"/>
      <c r="BS171" s="727"/>
      <c r="BT171" s="423"/>
      <c r="BU171" s="423"/>
      <c r="BV171" s="425"/>
      <c r="BW171" s="423"/>
      <c r="BX171" s="448"/>
      <c r="BY171" s="448"/>
      <c r="BZ171" s="448"/>
      <c r="CA171" s="448"/>
      <c r="CB171" s="448"/>
      <c r="CC171" s="777"/>
      <c r="CD171" s="448"/>
      <c r="CE171" s="735" t="str">
        <f>IFERROR(WWWW[[#This Row],['#_Water sources passed]]/WWWW[[#This Row],['#_Water sources tested for fecal coliform ]],"no test")</f>
        <v>no test</v>
      </c>
      <c r="CF171" s="733" t="str">
        <f>IFERROR(WWWW[[#This Row],['#_Household passed]]/WWWW[[#This Row],['#_Household water samples tested for fecal coliform]],"no test")</f>
        <v>no test</v>
      </c>
      <c r="CG171" s="734" t="str">
        <f>IF(AND(WWWW[[#This Row],[% of water sources passed]]="no test",WWWW[[#This Row],[% Household passed]]="no test"),"No Test","Tested")</f>
        <v>No Test</v>
      </c>
      <c r="CH171" s="734">
        <f>WWWW[[#This Row],['#_Constructed/existing protected hand dug well]]-WWWW[[#This Row],['#_Non-functional protected hand dug well]]</f>
        <v>0</v>
      </c>
      <c r="CI171" s="734">
        <f>(WWWW[[#This Row],['#_Constructed/Existing tube wells/boreholes/handpumps_WASH_agency]]+WWWW[[#This Row],['#_Non-Cluster partner water tube-wells/boreholes/handpumps]])-WWWW[[#This Row],['#_Non-functional tube wells/boreholes/handpumps]]</f>
        <v>0</v>
      </c>
      <c r="CJ171" s="734">
        <f>WWWW[[#This Row],['#_Constructed/Existingwater storage tank with gravity fed reticulation system]]-WWWW[[#This Row],['#_Non-functional storage tank gravity fed reticulation system]]</f>
        <v>24</v>
      </c>
      <c r="CK171" s="734">
        <f>(WWWW[[#This Row],['#_Water_Liters_supplied_by_Water boating or water trucking]]/90)/15</f>
        <v>0</v>
      </c>
      <c r="CL171" s="734">
        <f>WWWW[[#This Row],['#_Water_Liters_from_Constructed/Existing water distribution system from river or natural spring]]/90/15</f>
        <v>0</v>
      </c>
      <c r="CM171" s="424">
        <f>IF(WWWW[[#This Row],['#_of water points in TLS/CFS]]*500&gt;WWWW[[#This Row],[Total PoP ]],WWWW[[#This Row],[Total PoP ]],WWWW[[#This Row],['#_of water points in TLS/CFS]]*500)</f>
        <v>500</v>
      </c>
      <c r="CN171" s="424">
        <f>IF(WWWW[[#This Row],['#_of water points in THF]]*500&gt;WWWW[[#This Row],[Total PoP ]],WWWW[[#This Row],[Total PoP ]],WWWW[[#This Row],['#_of water points in THF]]*500)</f>
        <v>0</v>
      </c>
      <c r="CO17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P17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Q171" s="733">
        <f>IF(WWWW[[#This Row],[Location Type 1]]="Village",WWWW[[#This Row],[Access to safe drinking water for Village]],WWWW[[#This Row],[Access to safe drinking water for Camp]])</f>
        <v>0.95579450418160095</v>
      </c>
      <c r="CR171" s="731">
        <f>WWWW[[#This Row],[%Equitable and continuous access to sufficient quantity of safe drinking water]]*WWWW[[#This Row],[Total PoP ]]</f>
        <v>1600</v>
      </c>
      <c r="CS171" s="733">
        <f>IF((WWWW[[#This Row],['#_Constructed/Existing protected/fenced ponds]]*250)/WWWW[[#This Row],[Total PoP ]]&gt;1,1,(WWWW[[#This Row],['#_Constructed/Existing protected/fenced ponds]]*250)/WWWW[[#This Row],[Total PoP ]])</f>
        <v>0</v>
      </c>
      <c r="CT171" s="731">
        <f>WWWW[[#This Row],[% Access to unimproved water points]]*WWWW[[#This Row],[Total PoP ]]</f>
        <v>0</v>
      </c>
      <c r="CU17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V17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W171" s="731">
        <f>WWWW[[#This Row],[HRP1]]/500</f>
        <v>3.2</v>
      </c>
      <c r="CX171" s="736">
        <f>1-WWWW[[#This Row],[% Equitable and continuous access to sufficient quantity of domestic water]]</f>
        <v>4.4205495818399054E-2</v>
      </c>
      <c r="CY171" s="731">
        <f>WWWW[[#This Row],[%equitable and continuous access to sufficient quantity of safe drinking and domestic water''s GAP]]*WWWW[[#This Row],[Total PoP ]]</f>
        <v>74.000000000000014</v>
      </c>
      <c r="CZ171" s="734">
        <f>IF(WWWW[[#This Row],[Total required water points]]-WWWW[[#This Row],['#Water points coverage]]&lt;0,0,WWWW[[#This Row],[Total required water points]]-WWWW[[#This Row],['#Water points coverage]])</f>
        <v>0</v>
      </c>
      <c r="DA171" s="734">
        <f>ROUND(IF(WWWW[[#This Row],[Total PoP ]]&lt;500,1,WWWW[[#This Row],[Total PoP ]]/500),0)</f>
        <v>3</v>
      </c>
      <c r="DB171" s="734">
        <f>(WWWW[[#This Row],['#_Constructed latrines_by_WASHAgencies]]+WWWW[[#This Row],['#_Non Cluster partner latrines]])-WWWW[[#This Row],['#_Non-functional latrines]]</f>
        <v>14</v>
      </c>
      <c r="DC171" s="631">
        <f>WWWW[[#This Row],[HRP2]]/WWWW[[#This Row],[Total PoP ]]</f>
        <v>0.16726403823178015</v>
      </c>
      <c r="DD17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17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1" s="424">
        <f>IF(WWWW[[#This Row],['# of functional latrines in THF supported by WASH partners during the reporting period2]]="",0,WWWW[[#This Row],['# of functional latrines in THF supported by WASH partners during the reporting period2]]*50)</f>
        <v>0</v>
      </c>
      <c r="DH171" s="734">
        <f>ROUND(IF(WWWW[[#This Row],[Location Type 1]]="camp",WWWW[[#This Row],[Total PoP ]]/20,IF(WWWW[[#This Row],[Location Type 1]]="Temporary Location",WWWW[[#This Row],[Total PoP ]]/50,(WWWW[[#This Row],[Total PoP ]]/6))),0)</f>
        <v>84</v>
      </c>
      <c r="DI171" s="734">
        <f>IF(WWWW[[#This Row],[Total required Latrines]]-(WWWW[[#This Row],['#_Constructed latrines_by_WASHAgencies]]+WWWW[[#This Row],['#_Non Cluster partner latrines]])&lt;0,0,WWWW[[#This Row],[Total required Latrines]]-(WWWW[[#This Row],['#_Constructed latrines_by_WASHAgencies]]+WWWW[[#This Row],['#_Non Cluster partner latrines]]))</f>
        <v>54</v>
      </c>
      <c r="DJ171" s="736">
        <f>1-WWWW[[#This Row],[% people access to functioning Latrine]]</f>
        <v>0.83273596176821985</v>
      </c>
      <c r="DK171" s="735">
        <f>IF(OR(WWWW[[#This Row],['#_Non-functional latrines]]="",WWWW[[#This Row],['#_Non-functional latrines]]=0),0,WWWW[[#This Row],['#_Non-functional latrines]]/(WWWW[[#This Row],['#_Constructed latrines_by_WASHAgencies]]+WWWW[[#This Row],['#_Non Cluster partner latrines]]))</f>
        <v>0.53333333333333333</v>
      </c>
      <c r="DL171" s="731">
        <f>IF(500*(WWWW[[#This Row],['#_male hygiene promoters]]+WWWW[[#This Row],['#_female hygiene promoters]])&gt;WWWW[[#This Row],[Total PoP ]],WWWW[[#This Row],[Total PoP ]],500*(WWWW[[#This Row],['#_male hygiene promoters]]+WWWW[[#This Row],['#_female hygiene promoters]]))</f>
        <v>0</v>
      </c>
      <c r="DM17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17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71" s="734">
        <f>IF(WWWW[[#This Row],['# People with access to soap]]&gt;WWWW[[#This Row],['# People with access to Sanity Pads]],WWWW[[#This Row],['# People with access to soap]],WWWW[[#This Row],['# People with access to Sanity Pads]])</f>
        <v>440</v>
      </c>
      <c r="DP171" s="734">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171" s="736">
        <f>IF(WWWW[[#This Row],[HRP3]]/WWWW[[#This Row],[Total PoP ]]&gt;1,1,WWWW[[#This Row],[HRP3]]/WWWW[[#This Row],[Total PoP ]])</f>
        <v>0.26284348864994028</v>
      </c>
      <c r="DR171" s="735">
        <f>1-WWWW[[#This Row],[Hygiene Coverage%]]</f>
        <v>0.73715651135005977</v>
      </c>
      <c r="DS171" s="733">
        <f>WWWW[[#This Row],['# people reached by regular dedicated hygiene promotion_5]]/WWWW[[#This Row],[Total PoP ]]</f>
        <v>0</v>
      </c>
      <c r="DT17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0.29411764705882354</v>
      </c>
      <c r="DV171" s="734">
        <f>WWWW[[#This Row],['#_Constructed/Existing hand washing stations]]-WWWW[[#This Row],['#_Non-Functional_hand_washing_stations]]</f>
        <v>1</v>
      </c>
      <c r="DW171" s="731">
        <f>IF(WWWW[[#This Row],['# Functional hand washing stations during reporting period]]*20&gt;WWWW[[#This Row],[Total HH]],WWWW[[#This Row],[Total HH]],WWWW[[#This Row],['# Functional hand washing stations during reporting period]]*20)</f>
        <v>20</v>
      </c>
      <c r="DX171" s="731">
        <f>IF(WWWW[[#This Row],[Is sufficient soap available for TLS? (Yes/No)]]="yes",WWWW[[#This Row],['#_Constructed/Existing hand washing stations at TLS/CFS/THF]],0)</f>
        <v>0</v>
      </c>
      <c r="DY171" s="428">
        <f>IF(WWWW[[#This Row],['# Functional hand washing stations during reporting period]]*100&gt;WWWW[[#This Row],[Total PoP ]],WWWW[[#This Row],[Total PoP ]],WWWW[[#This Row],['# Functional hand washing stations during reporting period]]*100)</f>
        <v>100</v>
      </c>
      <c r="DZ171" s="428" t="str">
        <f>IF(OR(WWWW[[#This Row],['#_students at TLS_CFS]]="",WWWW[[#This Row],['#_students at TLS_CFS]]=0),"No","Yes")</f>
        <v>No</v>
      </c>
      <c r="EA17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D17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1" s="727">
        <f>VLOOKUP(WWWW[[#This Row],[Site Name]],SiteDB6[[Site Name]:[CCCM Management]],6,FALSE)</f>
        <v>0</v>
      </c>
      <c r="EF171" s="727">
        <f>VLOOKUP(WWWW[[#This Row],[Site Name]],SiteDB6[[Site Name]:[CCCM Focal Agency]],7,FALSE)</f>
        <v>0</v>
      </c>
      <c r="EG171" s="727" t="str">
        <f>VLOOKUP(WWWW[[#This Row],[Site Name]],SiteDB6[[Site Name]:[Location Type 1]],9,FALSE)</f>
        <v>Camp</v>
      </c>
      <c r="EH171" s="727" t="str">
        <f>VLOOKUP(WWWW[[#This Row],[Site Name]],SiteDB6[[Site Name]:[Type of Accommodation]],10,FALSE)</f>
        <v>Camp Like setting</v>
      </c>
      <c r="EI171" s="727" t="str">
        <f>VLOOKUP(WWWW[[#This Row],[Site Name]],SiteDB6[[Site Name]:[Ethnic or GCA/NGCA]],11,FALSE)</f>
        <v>GCA</v>
      </c>
      <c r="EJ171" s="727">
        <f>VLOOKUP(WWWW[[#This Row],[Site Name]],SiteDB6[[Site Name]:[Lat]],12,FALSE)</f>
        <v>23.420603</v>
      </c>
      <c r="EK171" s="727">
        <f>VLOOKUP(WWWW[[#This Row],[Site Name]],SiteDB6[[Site Name]:[Long]],13,FALSE)</f>
        <v>98.451791999999998</v>
      </c>
      <c r="EL171" s="727" t="str">
        <f>VLOOKUP(WWWW[[#This Row],[Site Name]],SiteDB6[[Site Name]:[Pcode]],3,FALSE)</f>
        <v>MMR015CMP069</v>
      </c>
      <c r="EM171" s="732" t="str">
        <f t="shared" si="2"/>
        <v>Covered</v>
      </c>
      <c r="EN171" s="732"/>
      <c r="EO171" s="727">
        <f>VLOOKUP(WWWW[[#This Row],[Site Name]],SiteDB6[[Site Name]:[Pop
(Kachin/Shan-CCCM as of July 2021)]],16,FALSE)</f>
        <v>166</v>
      </c>
      <c r="EP171" s="727">
        <f>VLOOKUP(WWWW[[#This Row],[Site Name]],SiteDB6[[Site Name]:[Pop
(Kachin/Shan-CCCM as of July 2021)]],17,FALSE)</f>
        <v>830</v>
      </c>
    </row>
    <row r="172" spans="1:146" hidden="1">
      <c r="A172" s="725" t="s">
        <v>2763</v>
      </c>
      <c r="B172" s="725" t="s">
        <v>192</v>
      </c>
      <c r="C172" s="726" t="s">
        <v>192</v>
      </c>
      <c r="D172" s="726" t="s">
        <v>2673</v>
      </c>
      <c r="E172" s="726" t="s">
        <v>515</v>
      </c>
      <c r="F172" s="726" t="s">
        <v>525</v>
      </c>
      <c r="G172" s="591" t="str">
        <f>VLOOKUP(WWWW[[#This Row],[Site Name]],SiteDB6[[Site Name]:[Location Type]],8,FALSE)</f>
        <v>Camp</v>
      </c>
      <c r="H172" s="726" t="s">
        <v>555</v>
      </c>
      <c r="I172" s="728">
        <v>180</v>
      </c>
      <c r="J172" s="728">
        <v>934</v>
      </c>
      <c r="K172" s="729" t="s">
        <v>2767</v>
      </c>
      <c r="L172" s="730" t="s">
        <v>2768</v>
      </c>
      <c r="M172" s="728"/>
      <c r="N172" s="728"/>
      <c r="O172" s="728"/>
      <c r="P172" s="728"/>
      <c r="Q172" s="731"/>
      <c r="R172" s="728">
        <v>5</v>
      </c>
      <c r="S172" s="728">
        <v>1</v>
      </c>
      <c r="T172" s="448"/>
      <c r="U172" s="728"/>
      <c r="V172" s="728"/>
      <c r="W172" s="728"/>
      <c r="X172" s="728"/>
      <c r="Y172" s="728"/>
      <c r="Z172" s="728"/>
      <c r="AA172" s="728">
        <v>18</v>
      </c>
      <c r="AB172" s="728"/>
      <c r="AC172" s="728"/>
      <c r="AD172" s="728"/>
      <c r="AE172" s="728"/>
      <c r="AF172" s="728"/>
      <c r="AG172" s="728"/>
      <c r="AH172" s="728">
        <v>1</v>
      </c>
      <c r="AI172" s="728"/>
      <c r="AJ172" s="728"/>
      <c r="AK172" s="728"/>
      <c r="AL172" s="728"/>
      <c r="AM172" s="728"/>
      <c r="AN172" s="728"/>
      <c r="AO172" s="728"/>
      <c r="AP172" s="732"/>
      <c r="AQ172" s="728">
        <v>40</v>
      </c>
      <c r="AR172" s="728"/>
      <c r="AS172" s="733"/>
      <c r="AT172" s="728"/>
      <c r="AU172" s="728"/>
      <c r="AV172" s="728"/>
      <c r="AW172" s="728"/>
      <c r="AX172" s="728"/>
      <c r="AY172" s="727" t="s">
        <v>136</v>
      </c>
      <c r="AZ172" s="732" t="s">
        <v>904</v>
      </c>
      <c r="BA172" s="728"/>
      <c r="BB172" s="728"/>
      <c r="BC172" s="728"/>
      <c r="BD172" s="448"/>
      <c r="BE172" s="448"/>
      <c r="BF172" s="727"/>
      <c r="BG172" s="728">
        <v>1</v>
      </c>
      <c r="BH172" s="728"/>
      <c r="BI172" s="728"/>
      <c r="BJ172" s="728">
        <v>3</v>
      </c>
      <c r="BK172" s="728"/>
      <c r="BL172" s="728"/>
      <c r="BM172" s="728">
        <v>2</v>
      </c>
      <c r="BN172" s="728">
        <v>41</v>
      </c>
      <c r="BO172" s="728">
        <v>85</v>
      </c>
      <c r="BP172" s="727"/>
      <c r="BQ172" s="734"/>
      <c r="BR172" s="733"/>
      <c r="BS172" s="727"/>
      <c r="BT172" s="423"/>
      <c r="BU172" s="423"/>
      <c r="BV172" s="425"/>
      <c r="BW172" s="423"/>
      <c r="BX172" s="448"/>
      <c r="BY172" s="448"/>
      <c r="BZ172" s="448"/>
      <c r="CA172" s="448"/>
      <c r="CB172" s="448"/>
      <c r="CC172" s="777"/>
      <c r="CD172" s="448"/>
      <c r="CE172" s="735" t="str">
        <f>IFERROR(WWWW[[#This Row],['#_Water sources passed]]/WWWW[[#This Row],['#_Water sources tested for fecal coliform ]],"no test")</f>
        <v>no test</v>
      </c>
      <c r="CF172" s="733" t="str">
        <f>IFERROR(WWWW[[#This Row],['#_Household passed]]/WWWW[[#This Row],['#_Household water samples tested for fecal coliform]],"no test")</f>
        <v>no test</v>
      </c>
      <c r="CG172" s="734" t="str">
        <f>IF(AND(WWWW[[#This Row],[% of water sources passed]]="no test",WWWW[[#This Row],[% Household passed]]="no test"),"No Test","Tested")</f>
        <v>No Test</v>
      </c>
      <c r="CH172" s="734">
        <f>WWWW[[#This Row],['#_Constructed/existing protected hand dug well]]-WWWW[[#This Row],['#_Non-functional protected hand dug well]]</f>
        <v>0</v>
      </c>
      <c r="CI172" s="734">
        <f>(WWWW[[#This Row],['#_Constructed/Existing tube wells/boreholes/handpumps_WASH_agency]]+WWWW[[#This Row],['#_Non-Cluster partner water tube-wells/boreholes/handpumps]])-WWWW[[#This Row],['#_Non-functional tube wells/boreholes/handpumps]]</f>
        <v>0</v>
      </c>
      <c r="CJ172" s="734">
        <f>WWWW[[#This Row],['#_Constructed/Existingwater storage tank with gravity fed reticulation system]]-WWWW[[#This Row],['#_Non-functional storage tank gravity fed reticulation system]]</f>
        <v>18</v>
      </c>
      <c r="CK172" s="734">
        <f>(WWWW[[#This Row],['#_Water_Liters_supplied_by_Water boating or water trucking]]/90)/15</f>
        <v>0</v>
      </c>
      <c r="CL172" s="734">
        <f>WWWW[[#This Row],['#_Water_Liters_from_Constructed/Existing water distribution system from river or natural spring]]/90/15</f>
        <v>0</v>
      </c>
      <c r="CM172" s="424">
        <f>IF(WWWW[[#This Row],['#_of water points in TLS/CFS]]*500&gt;WWWW[[#This Row],[Total PoP ]],WWWW[[#This Row],[Total PoP ]],WWWW[[#This Row],['#_of water points in TLS/CFS]]*500)</f>
        <v>0</v>
      </c>
      <c r="CN172" s="424">
        <f>IF(WWWW[[#This Row],['#_of water points in THF]]*500&gt;WWWW[[#This Row],[Total PoP ]],WWWW[[#This Row],[Total PoP ]],WWWW[[#This Row],['#_of water points in THF]]*500)</f>
        <v>0</v>
      </c>
      <c r="CO17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2" s="733">
        <f>IF(WWWW[[#This Row],[Location Type 1]]="Village",WWWW[[#This Row],[Access to safe drinking water for Village]],WWWW[[#This Row],[Access to safe drinking water for Camp]])</f>
        <v>1</v>
      </c>
      <c r="CR172" s="731">
        <f>WWWW[[#This Row],[%Equitable and continuous access to sufficient quantity of safe drinking water]]*WWWW[[#This Row],[Total PoP ]]</f>
        <v>934</v>
      </c>
      <c r="CS172" s="733">
        <f>IF((WWWW[[#This Row],['#_Constructed/Existing protected/fenced ponds]]*250)/WWWW[[#This Row],[Total PoP ]]&gt;1,1,(WWWW[[#This Row],['#_Constructed/Existing protected/fenced ponds]]*250)/WWWW[[#This Row],[Total PoP ]])</f>
        <v>0</v>
      </c>
      <c r="CT172" s="731">
        <f>WWWW[[#This Row],[% Access to unimproved water points]]*WWWW[[#This Row],[Total PoP ]]</f>
        <v>0</v>
      </c>
      <c r="CU17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934</v>
      </c>
      <c r="CW172" s="731">
        <f>WWWW[[#This Row],[HRP1]]/500</f>
        <v>1.8680000000000001</v>
      </c>
      <c r="CX172" s="736">
        <f>1-WWWW[[#This Row],[% Equitable and continuous access to sufficient quantity of domestic water]]</f>
        <v>0</v>
      </c>
      <c r="CY172" s="731">
        <f>WWWW[[#This Row],[%equitable and continuous access to sufficient quantity of safe drinking and domestic water''s GAP]]*WWWW[[#This Row],[Total PoP ]]</f>
        <v>0</v>
      </c>
      <c r="CZ172" s="734">
        <f>IF(WWWW[[#This Row],[Total required water points]]-WWWW[[#This Row],['#Water points coverage]]&lt;0,0,WWWW[[#This Row],[Total required water points]]-WWWW[[#This Row],['#Water points coverage]])</f>
        <v>0.1319999999999999</v>
      </c>
      <c r="DA172" s="734">
        <f>ROUND(IF(WWWW[[#This Row],[Total PoP ]]&lt;500,1,WWWW[[#This Row],[Total PoP ]]/500),0)</f>
        <v>2</v>
      </c>
      <c r="DB172" s="734">
        <f>(WWWW[[#This Row],['#_Constructed latrines_by_WASHAgencies]]+WWWW[[#This Row],['#_Non Cluster partner latrines]])-WWWW[[#This Row],['#_Non-functional latrines]]</f>
        <v>40</v>
      </c>
      <c r="DC172" s="631">
        <f>WWWW[[#This Row],[HRP2]]/WWWW[[#This Row],[Total PoP ]]</f>
        <v>0.85653104925053536</v>
      </c>
      <c r="DD17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800</v>
      </c>
      <c r="DE17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2" s="424">
        <f>IF(WWWW[[#This Row],['# of functional latrines in THF supported by WASH partners during the reporting period2]]="",0,WWWW[[#This Row],['# of functional latrines in THF supported by WASH partners during the reporting period2]]*50)</f>
        <v>0</v>
      </c>
      <c r="DH172" s="734">
        <f>ROUND(IF(WWWW[[#This Row],[Location Type 1]]="camp",WWWW[[#This Row],[Total PoP ]]/20,IF(WWWW[[#This Row],[Location Type 1]]="Temporary Location",WWWW[[#This Row],[Total PoP ]]/50,(WWWW[[#This Row],[Total PoP ]]/6))),0)</f>
        <v>47</v>
      </c>
      <c r="DI172" s="734">
        <f>IF(WWWW[[#This Row],[Total required Latrines]]-(WWWW[[#This Row],['#_Constructed latrines_by_WASHAgencies]]+WWWW[[#This Row],['#_Non Cluster partner latrines]])&lt;0,0,WWWW[[#This Row],[Total required Latrines]]-(WWWW[[#This Row],['#_Constructed latrines_by_WASHAgencies]]+WWWW[[#This Row],['#_Non Cluster partner latrines]]))</f>
        <v>7</v>
      </c>
      <c r="DJ172" s="736">
        <f>1-WWWW[[#This Row],[% people access to functioning Latrine]]</f>
        <v>0.14346895074946464</v>
      </c>
      <c r="DK172" s="735">
        <f>IF(OR(WWWW[[#This Row],['#_Non-functional latrines]]="",WWWW[[#This Row],['#_Non-functional latrines]]=0),0,WWWW[[#This Row],['#_Non-functional latrines]]/(WWWW[[#This Row],['#_Constructed latrines_by_WASHAgencies]]+WWWW[[#This Row],['#_Non Cluster partner latrines]]))</f>
        <v>0</v>
      </c>
      <c r="DL172" s="731">
        <f>IF(500*(WWWW[[#This Row],['#_male hygiene promoters]]+WWWW[[#This Row],['#_female hygiene promoters]])&gt;WWWW[[#This Row],[Total PoP ]],WWWW[[#This Row],[Total PoP ]],500*(WWWW[[#This Row],['#_male hygiene promoters]]+WWWW[[#This Row],['#_female hygiene promoters]]))</f>
        <v>934</v>
      </c>
      <c r="DM17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7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72" s="734">
        <f>IF(WWWW[[#This Row],['# People with access to soap]]&gt;WWWW[[#This Row],['# People with access to Sanity Pads]],WWWW[[#This Row],['# People with access to soap]],WWWW[[#This Row],['# People with access to Sanity Pads]])</f>
        <v>205</v>
      </c>
      <c r="DP172" s="734">
        <f>IF(WWWW[[#This Row],['# people reached by regular dedicated hygiene promotion_5]]&gt;WWWW[[#This Row],['# People received regular supply of hygiene items_6]],WWWW[[#This Row],['# people reached by regular dedicated hygiene promotion_5]],WWWW[[#This Row],['# People received regular supply of hygiene items_6]])</f>
        <v>934</v>
      </c>
      <c r="DQ172" s="736">
        <f>IF(WWWW[[#This Row],[HRP3]]/WWWW[[#This Row],[Total PoP ]]&gt;1,1,WWWW[[#This Row],[HRP3]]/WWWW[[#This Row],[Total PoP ]])</f>
        <v>1</v>
      </c>
      <c r="DR172" s="735">
        <f>1-WWWW[[#This Row],[Hygiene Coverage%]]</f>
        <v>0</v>
      </c>
      <c r="DS172" s="733">
        <f>WWWW[[#This Row],['# people reached by regular dedicated hygiene promotion_5]]/WWWW[[#This Row],[Total PoP ]]</f>
        <v>1</v>
      </c>
      <c r="DT17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0.91111111111111109</v>
      </c>
      <c r="DU17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0.47222222222222221</v>
      </c>
      <c r="DV172" s="734">
        <f>WWWW[[#This Row],['#_Constructed/Existing hand washing stations]]-WWWW[[#This Row],['#_Non-Functional_hand_washing_stations]]</f>
        <v>1</v>
      </c>
      <c r="DW172" s="731">
        <f>IF(WWWW[[#This Row],['# Functional hand washing stations during reporting period]]*20&gt;WWWW[[#This Row],[Total HH]],WWWW[[#This Row],[Total HH]],WWWW[[#This Row],['# Functional hand washing stations during reporting period]]*20)</f>
        <v>20</v>
      </c>
      <c r="DX172" s="731">
        <f>IF(WWWW[[#This Row],[Is sufficient soap available for TLS? (Yes/No)]]="yes",WWWW[[#This Row],['#_Constructed/Existing hand washing stations at TLS/CFS/THF]],0)</f>
        <v>0</v>
      </c>
      <c r="DY172" s="428">
        <f>IF(WWWW[[#This Row],['# Functional hand washing stations during reporting period]]*100&gt;WWWW[[#This Row],[Total PoP ]],WWWW[[#This Row],[Total PoP ]],WWWW[[#This Row],['# Functional hand washing stations during reporting period]]*100)</f>
        <v>100</v>
      </c>
      <c r="DZ172" s="428" t="str">
        <f>IF(OR(WWWW[[#This Row],['#_students at TLS_CFS]]="",WWWW[[#This Row],['#_students at TLS_CFS]]=0),"No","Yes")</f>
        <v>No</v>
      </c>
      <c r="EA17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2" s="727" t="str">
        <f>VLOOKUP(WWWW[[#This Row],[Site Name]],SiteDB6[[Site Name]:[CCCM Management]],6,FALSE)</f>
        <v>Yes</v>
      </c>
      <c r="EF172" s="727" t="str">
        <f>VLOOKUP(WWWW[[#This Row],[Site Name]],SiteDB6[[Site Name]:[CCCM Focal Agency]],7,FALSE)</f>
        <v>KBC-NSS</v>
      </c>
      <c r="EG172" s="727" t="str">
        <f>VLOOKUP(WWWW[[#This Row],[Site Name]],SiteDB6[[Site Name]:[Location Type 1]],9,FALSE)</f>
        <v>Camp</v>
      </c>
      <c r="EH172" s="727" t="str">
        <f>VLOOKUP(WWWW[[#This Row],[Site Name]],SiteDB6[[Site Name]:[Type of Accommodation]],10,FALSE)</f>
        <v>Camp</v>
      </c>
      <c r="EI172" s="727" t="str">
        <f>VLOOKUP(WWWW[[#This Row],[Site Name]],SiteDB6[[Site Name]:[Ethnic or GCA/NGCA]],11,FALSE)</f>
        <v>GCA</v>
      </c>
      <c r="EJ172" s="727">
        <f>VLOOKUP(WWWW[[#This Row],[Site Name]],SiteDB6[[Site Name]:[Lat]],12,FALSE)</f>
        <v>24.08738</v>
      </c>
      <c r="EK172" s="727">
        <f>VLOOKUP(WWWW[[#This Row],[Site Name]],SiteDB6[[Site Name]:[Long]],13,FALSE)</f>
        <v>98.115809999999996</v>
      </c>
      <c r="EL172" s="727" t="str">
        <f>VLOOKUP(WWWW[[#This Row],[Site Name]],SiteDB6[[Site Name]:[Pcode]],3,FALSE)</f>
        <v>MMR015CMP065</v>
      </c>
      <c r="EM172" s="732" t="str">
        <f t="shared" si="2"/>
        <v>Covered</v>
      </c>
      <c r="EN172" s="732"/>
      <c r="EO172" s="727">
        <f>VLOOKUP(WWWW[[#This Row],[Site Name]],SiteDB6[[Site Name]:[Pop
(Kachin/Shan-CCCM as of July 2021)]],16,FALSE)</f>
        <v>306</v>
      </c>
      <c r="EP172" s="727">
        <f>VLOOKUP(WWWW[[#This Row],[Site Name]],SiteDB6[[Site Name]:[Pop
(Kachin/Shan-CCCM as of July 2021)]],17,FALSE)</f>
        <v>1573</v>
      </c>
    </row>
    <row r="173" spans="1:146" hidden="1">
      <c r="A173" s="725" t="s">
        <v>2763</v>
      </c>
      <c r="B173" s="725" t="s">
        <v>192</v>
      </c>
      <c r="C173" s="726" t="s">
        <v>192</v>
      </c>
      <c r="D173" s="726" t="s">
        <v>241</v>
      </c>
      <c r="E173" s="726" t="s">
        <v>515</v>
      </c>
      <c r="F173" s="726" t="s">
        <v>536</v>
      </c>
      <c r="G173" s="591" t="str">
        <f>VLOOKUP(WWWW[[#This Row],[Site Name]],SiteDB6[[Site Name]:[Location Type]],8,FALSE)</f>
        <v>Relocated</v>
      </c>
      <c r="H173" s="726" t="s">
        <v>2954</v>
      </c>
      <c r="I173" s="448">
        <v>19</v>
      </c>
      <c r="J173" s="448">
        <v>77</v>
      </c>
      <c r="K173" s="588">
        <v>44511</v>
      </c>
      <c r="L173" s="589">
        <v>44845</v>
      </c>
      <c r="M173" s="728"/>
      <c r="N173" s="728"/>
      <c r="O173" s="728"/>
      <c r="P173" s="728"/>
      <c r="Q173" s="731"/>
      <c r="R173" s="728"/>
      <c r="S173" s="728"/>
      <c r="T173" s="448"/>
      <c r="U173" s="728"/>
      <c r="V173" s="728"/>
      <c r="W173" s="728"/>
      <c r="X173" s="728"/>
      <c r="Y173" s="728"/>
      <c r="Z173" s="728"/>
      <c r="AA173" s="728"/>
      <c r="AB173" s="728"/>
      <c r="AC173" s="728"/>
      <c r="AD173" s="728"/>
      <c r="AE173" s="728"/>
      <c r="AF173" s="728"/>
      <c r="AG173" s="728"/>
      <c r="AH173" s="728"/>
      <c r="AI173" s="728"/>
      <c r="AJ173" s="728"/>
      <c r="AK173" s="728"/>
      <c r="AL173" s="728"/>
      <c r="AM173" s="728"/>
      <c r="AN173" s="728"/>
      <c r="AO173" s="728"/>
      <c r="AP173" s="732"/>
      <c r="AQ173" s="728"/>
      <c r="AR173" s="728">
        <v>4</v>
      </c>
      <c r="AS173" s="733"/>
      <c r="AT173" s="728"/>
      <c r="AU173" s="728"/>
      <c r="AV173" s="728"/>
      <c r="AW173" s="728"/>
      <c r="AX173" s="728"/>
      <c r="AY173" s="425" t="s">
        <v>140</v>
      </c>
      <c r="AZ173" s="860" t="s">
        <v>140</v>
      </c>
      <c r="BA173" s="728"/>
      <c r="BB173" s="728"/>
      <c r="BC173" s="728"/>
      <c r="BD173" s="448"/>
      <c r="BE173" s="448"/>
      <c r="BF173" s="727"/>
      <c r="BG173" s="728">
        <v>8</v>
      </c>
      <c r="BH173" s="728"/>
      <c r="BI173" s="728"/>
      <c r="BJ173" s="728">
        <v>3</v>
      </c>
      <c r="BK173" s="728"/>
      <c r="BL173" s="728"/>
      <c r="BM173" s="728"/>
      <c r="BN173" s="728">
        <v>91</v>
      </c>
      <c r="BO173" s="728">
        <v>124</v>
      </c>
      <c r="BP173" s="727"/>
      <c r="BQ173" s="734"/>
      <c r="BR173" s="733"/>
      <c r="BS173" s="727"/>
      <c r="BT173" s="423"/>
      <c r="BU173" s="423"/>
      <c r="BV173" s="425"/>
      <c r="BW173" s="423"/>
      <c r="BX173" s="448"/>
      <c r="BY173" s="448"/>
      <c r="BZ173" s="448"/>
      <c r="CA173" s="448"/>
      <c r="CB173" s="448"/>
      <c r="CC173" s="777"/>
      <c r="CD173" s="448"/>
      <c r="CE173" s="735" t="str">
        <f>IFERROR(WWWW[[#This Row],['#_Water sources passed]]/WWWW[[#This Row],['#_Water sources tested for fecal coliform ]],"no test")</f>
        <v>no test</v>
      </c>
      <c r="CF173" s="733" t="str">
        <f>IFERROR(WWWW[[#This Row],['#_Household passed]]/WWWW[[#This Row],['#_Household water samples tested for fecal coliform]],"no test")</f>
        <v>no test</v>
      </c>
      <c r="CG173" s="734" t="str">
        <f>IF(AND(WWWW[[#This Row],[% of water sources passed]]="no test",WWWW[[#This Row],[% Household passed]]="no test"),"No Test","Tested")</f>
        <v>No Test</v>
      </c>
      <c r="CH173" s="734">
        <f>WWWW[[#This Row],['#_Constructed/existing protected hand dug well]]-WWWW[[#This Row],['#_Non-functional protected hand dug well]]</f>
        <v>0</v>
      </c>
      <c r="CI173" s="734">
        <f>(WWWW[[#This Row],['#_Constructed/Existing tube wells/boreholes/handpumps_WASH_agency]]+WWWW[[#This Row],['#_Non-Cluster partner water tube-wells/boreholes/handpumps]])-WWWW[[#This Row],['#_Non-functional tube wells/boreholes/handpumps]]</f>
        <v>0</v>
      </c>
      <c r="CJ173" s="734">
        <f>WWWW[[#This Row],['#_Constructed/Existingwater storage tank with gravity fed reticulation system]]-WWWW[[#This Row],['#_Non-functional storage tank gravity fed reticulation system]]</f>
        <v>0</v>
      </c>
      <c r="CK173" s="734">
        <f>(WWWW[[#This Row],['#_Water_Liters_supplied_by_Water boating or water trucking]]/90)/15</f>
        <v>0</v>
      </c>
      <c r="CL173" s="734">
        <f>WWWW[[#This Row],['#_Water_Liters_from_Constructed/Existing water distribution system from river or natural spring]]/90/15</f>
        <v>0</v>
      </c>
      <c r="CM173" s="424">
        <f>IF(WWWW[[#This Row],['#_of water points in TLS/CFS]]*500&gt;WWWW[[#This Row],[Total PoP ]],WWWW[[#This Row],[Total PoP ]],WWWW[[#This Row],['#_of water points in TLS/CFS]]*500)</f>
        <v>0</v>
      </c>
      <c r="CN173" s="424">
        <f>IF(WWWW[[#This Row],['#_of water points in THF]]*500&gt;WWWW[[#This Row],[Total PoP ]],WWWW[[#This Row],[Total PoP ]],WWWW[[#This Row],['#_of water points in THF]]*500)</f>
        <v>0</v>
      </c>
      <c r="CO17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7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73" s="733">
        <f>IF(WWWW[[#This Row],[Location Type 1]]="Village",WWWW[[#This Row],[Access to safe drinking water for Village]],WWWW[[#This Row],[Access to safe drinking water for Camp]])</f>
        <v>0</v>
      </c>
      <c r="CR173" s="731">
        <f>WWWW[[#This Row],[%Equitable and continuous access to sufficient quantity of safe drinking water]]*WWWW[[#This Row],[Total PoP ]]</f>
        <v>0</v>
      </c>
      <c r="CS173" s="733">
        <f>IF((WWWW[[#This Row],['#_Constructed/Existing protected/fenced ponds]]*250)/WWWW[[#This Row],[Total PoP ]]&gt;1,1,(WWWW[[#This Row],['#_Constructed/Existing protected/fenced ponds]]*250)/WWWW[[#This Row],[Total PoP ]])</f>
        <v>0</v>
      </c>
      <c r="CT173" s="731">
        <f>WWWW[[#This Row],[% Access to unimproved water points]]*WWWW[[#This Row],[Total PoP ]]</f>
        <v>0</v>
      </c>
      <c r="CU17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7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73" s="731">
        <f>WWWW[[#This Row],[HRP1]]/500</f>
        <v>0</v>
      </c>
      <c r="CX173" s="736">
        <f>1-WWWW[[#This Row],[% Equitable and continuous access to sufficient quantity of domestic water]]</f>
        <v>1</v>
      </c>
      <c r="CY173" s="731">
        <f>WWWW[[#This Row],[%equitable and continuous access to sufficient quantity of safe drinking and domestic water''s GAP]]*WWWW[[#This Row],[Total PoP ]]</f>
        <v>77</v>
      </c>
      <c r="CZ173" s="734">
        <f>IF(WWWW[[#This Row],[Total required water points]]-WWWW[[#This Row],['#Water points coverage]]&lt;0,0,WWWW[[#This Row],[Total required water points]]-WWWW[[#This Row],['#Water points coverage]])</f>
        <v>1</v>
      </c>
      <c r="DA173" s="734">
        <f>ROUND(IF(WWWW[[#This Row],[Total PoP ]]&lt;500,1,WWWW[[#This Row],[Total PoP ]]/500),0)</f>
        <v>1</v>
      </c>
      <c r="DB173" s="734">
        <f>(WWWW[[#This Row],['#_Constructed latrines_by_WASHAgencies]]+WWWW[[#This Row],['#_Non Cluster partner latrines]])-WWWW[[#This Row],['#_Non-functional latrines]]</f>
        <v>4</v>
      </c>
      <c r="DC173" s="631">
        <f>WWWW[[#This Row],[HRP2]]/WWWW[[#This Row],[Total PoP ]]</f>
        <v>0.25974025974025972</v>
      </c>
      <c r="DD17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DE17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3" s="424">
        <f>IF(WWWW[[#This Row],['# of functional latrines in THF supported by WASH partners during the reporting period2]]="",0,WWWW[[#This Row],['# of functional latrines in THF supported by WASH partners during the reporting period2]]*50)</f>
        <v>0</v>
      </c>
      <c r="DH173" s="734">
        <f>ROUND(IF(WWWW[[#This Row],[Location Type 1]]="camp",WWWW[[#This Row],[Total PoP ]]/20,IF(WWWW[[#This Row],[Location Type 1]]="Temporary Location",WWWW[[#This Row],[Total PoP ]]/50,(WWWW[[#This Row],[Total PoP ]]/6))),0)</f>
        <v>13</v>
      </c>
      <c r="DI173" s="734">
        <f>IF(WWWW[[#This Row],[Total required Latrines]]-(WWWW[[#This Row],['#_Constructed latrines_by_WASHAgencies]]+WWWW[[#This Row],['#_Non Cluster partner latrines]])&lt;0,0,WWWW[[#This Row],[Total required Latrines]]-(WWWW[[#This Row],['#_Constructed latrines_by_WASHAgencies]]+WWWW[[#This Row],['#_Non Cluster partner latrines]]))</f>
        <v>9</v>
      </c>
      <c r="DJ173" s="736">
        <f>1-WWWW[[#This Row],[% people access to functioning Latrine]]</f>
        <v>0.74025974025974028</v>
      </c>
      <c r="DK173" s="735">
        <f>IF(OR(WWWW[[#This Row],['#_Non-functional latrines]]="",WWWW[[#This Row],['#_Non-functional latrines]]=0),0,WWWW[[#This Row],['#_Non-functional latrines]]/(WWWW[[#This Row],['#_Constructed latrines_by_WASHAgencies]]+WWWW[[#This Row],['#_Non Cluster partner latrines]]))</f>
        <v>0</v>
      </c>
      <c r="DL173" s="731">
        <f>IF(500*(WWWW[[#This Row],['#_male hygiene promoters]]+WWWW[[#This Row],['#_female hygiene promoters]])&gt;WWWW[[#This Row],[Total PoP ]],WWWW[[#This Row],[Total PoP ]],500*(WWWW[[#This Row],['#_male hygiene promoters]]+WWWW[[#This Row],['#_female hygiene promoters]]))</f>
        <v>0</v>
      </c>
      <c r="DM17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77</v>
      </c>
      <c r="DN17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77</v>
      </c>
      <c r="DO173" s="734">
        <f>IF(WWWW[[#This Row],['# People with access to soap]]&gt;WWWW[[#This Row],['# People with access to Sanity Pads]],WWWW[[#This Row],['# People with access to soap]],WWWW[[#This Row],['# People with access to Sanity Pads]])</f>
        <v>77</v>
      </c>
      <c r="DP173" s="734">
        <f>IF(WWWW[[#This Row],['# people reached by regular dedicated hygiene promotion_5]]&gt;WWWW[[#This Row],['# People received regular supply of hygiene items_6]],WWWW[[#This Row],['# people reached by regular dedicated hygiene promotion_5]],WWWW[[#This Row],['# People received regular supply of hygiene items_6]])</f>
        <v>77</v>
      </c>
      <c r="DQ173" s="736">
        <f>IF(WWWW[[#This Row],[HRP3]]/WWWW[[#This Row],[Total PoP ]]&gt;1,1,WWWW[[#This Row],[HRP3]]/WWWW[[#This Row],[Total PoP ]])</f>
        <v>1</v>
      </c>
      <c r="DR173" s="735">
        <f>1-WWWW[[#This Row],[Hygiene Coverage%]]</f>
        <v>0</v>
      </c>
      <c r="DS173" s="733">
        <f>WWWW[[#This Row],['# people reached by regular dedicated hygiene promotion_5]]/WWWW[[#This Row],[Total PoP ]]</f>
        <v>0</v>
      </c>
      <c r="DT17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3" s="734">
        <f>WWWW[[#This Row],['#_Constructed/Existing hand washing stations]]-WWWW[[#This Row],['#_Non-Functional_hand_washing_stations]]</f>
        <v>8</v>
      </c>
      <c r="DW173" s="731">
        <f>IF(WWWW[[#This Row],['# Functional hand washing stations during reporting period]]*20&gt;WWWW[[#This Row],[Total HH]],WWWW[[#This Row],[Total HH]],WWWW[[#This Row],['# Functional hand washing stations during reporting period]]*20)</f>
        <v>19</v>
      </c>
      <c r="DX173" s="731">
        <f>IF(WWWW[[#This Row],[Is sufficient soap available for TLS? (Yes/No)]]="yes",WWWW[[#This Row],['#_Constructed/Existing hand washing stations at TLS/CFS/THF]],0)</f>
        <v>0</v>
      </c>
      <c r="DY173" s="428">
        <f>IF(WWWW[[#This Row],['# Functional hand washing stations during reporting period]]*100&gt;WWWW[[#This Row],[Total PoP ]],WWWW[[#This Row],[Total PoP ]],WWWW[[#This Row],['# Functional hand washing stations during reporting period]]*100)</f>
        <v>77</v>
      </c>
      <c r="DZ173" s="428" t="str">
        <f>IF(OR(WWWW[[#This Row],['#_students at TLS_CFS]]="",WWWW[[#This Row],['#_students at TLS_CFS]]=0),"No","Yes")</f>
        <v>No</v>
      </c>
      <c r="EA17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3" s="727">
        <f>VLOOKUP(WWWW[[#This Row],[Site Name]],SiteDB6[[Site Name]:[CCCM Management]],6,FALSE)</f>
        <v>0</v>
      </c>
      <c r="EF173" s="727">
        <f>VLOOKUP(WWWW[[#This Row],[Site Name]],SiteDB6[[Site Name]:[CCCM Focal Agency]],7,FALSE)</f>
        <v>0</v>
      </c>
      <c r="EG173" s="727" t="str">
        <f>VLOOKUP(WWWW[[#This Row],[Site Name]],SiteDB6[[Site Name]:[Location Type 1]],9,FALSE)</f>
        <v>Relocated</v>
      </c>
      <c r="EH173" s="727" t="str">
        <f>VLOOKUP(WWWW[[#This Row],[Site Name]],SiteDB6[[Site Name]:[Type of Accommodation]],10,FALSE)</f>
        <v>Relocated-IDPs in host</v>
      </c>
      <c r="EI173" s="727" t="str">
        <f>VLOOKUP(WWWW[[#This Row],[Site Name]],SiteDB6[[Site Name]:[Ethnic or GCA/NGCA]],11,FALSE)</f>
        <v>GCA</v>
      </c>
      <c r="EJ173" s="727">
        <f>VLOOKUP(WWWW[[#This Row],[Site Name]],SiteDB6[[Site Name]:[Lat]],12,FALSE)</f>
        <v>23.078210830688501</v>
      </c>
      <c r="EK173" s="727">
        <f>VLOOKUP(WWWW[[#This Row],[Site Name]],SiteDB6[[Site Name]:[Long]],13,FALSE)</f>
        <v>97.411773681640597</v>
      </c>
      <c r="EL173" s="727" t="str">
        <f>VLOOKUP(WWWW[[#This Row],[Site Name]],SiteDB6[[Site Name]:[Pcode]],3,FALSE)</f>
        <v>MMR015CMP074</v>
      </c>
      <c r="EM173" s="732" t="str">
        <f t="shared" si="2"/>
        <v>Covered</v>
      </c>
      <c r="EN173" s="732"/>
      <c r="EO173" s="727">
        <f>VLOOKUP(WWWW[[#This Row],[Site Name]],SiteDB6[[Site Name]:[Pop
(Kachin/Shan-CCCM as of July 2021)]],16,FALSE)</f>
        <v>19</v>
      </c>
      <c r="EP173" s="727">
        <f>VLOOKUP(WWWW[[#This Row],[Site Name]],SiteDB6[[Site Name]:[Pop
(Kachin/Shan-CCCM as of July 2021)]],17,FALSE)</f>
        <v>77</v>
      </c>
    </row>
    <row r="174" spans="1:146" hidden="1">
      <c r="A174" s="725" t="s">
        <v>2763</v>
      </c>
      <c r="B174" s="725" t="s">
        <v>192</v>
      </c>
      <c r="C174" s="726" t="s">
        <v>192</v>
      </c>
      <c r="D174" s="726" t="s">
        <v>2673</v>
      </c>
      <c r="E174" s="726" t="s">
        <v>515</v>
      </c>
      <c r="F174" s="726" t="s">
        <v>519</v>
      </c>
      <c r="G174" s="591" t="str">
        <f>VLOOKUP(WWWW[[#This Row],[Site Name]],SiteDB6[[Site Name]:[Location Type]],8,FALSE)</f>
        <v>Camp</v>
      </c>
      <c r="H174" s="726" t="s">
        <v>1726</v>
      </c>
      <c r="I174" s="728">
        <v>29</v>
      </c>
      <c r="J174" s="728">
        <v>130</v>
      </c>
      <c r="K174" s="729" t="s">
        <v>2767</v>
      </c>
      <c r="L174" s="730" t="s">
        <v>2768</v>
      </c>
      <c r="M174" s="728"/>
      <c r="N174" s="728">
        <v>1</v>
      </c>
      <c r="O174" s="728"/>
      <c r="P174" s="728"/>
      <c r="Q174" s="731" t="s">
        <v>41</v>
      </c>
      <c r="R174" s="728">
        <v>4</v>
      </c>
      <c r="S174" s="728">
        <v>5</v>
      </c>
      <c r="T174" s="448"/>
      <c r="U174" s="728"/>
      <c r="V174" s="728"/>
      <c r="W174" s="728"/>
      <c r="X174" s="728"/>
      <c r="Y174" s="728"/>
      <c r="Z174" s="728"/>
      <c r="AA174" s="728">
        <v>13</v>
      </c>
      <c r="AB174" s="728"/>
      <c r="AC174" s="728"/>
      <c r="AD174" s="728"/>
      <c r="AE174" s="728"/>
      <c r="AF174" s="728"/>
      <c r="AG174" s="728"/>
      <c r="AH174" s="728"/>
      <c r="AI174" s="728"/>
      <c r="AJ174" s="728"/>
      <c r="AK174" s="728"/>
      <c r="AL174" s="728"/>
      <c r="AM174" s="728"/>
      <c r="AN174" s="728"/>
      <c r="AO174" s="728"/>
      <c r="AP174" s="732"/>
      <c r="AQ174" s="728">
        <v>30</v>
      </c>
      <c r="AR174" s="728"/>
      <c r="AS174" s="733"/>
      <c r="AT174" s="728"/>
      <c r="AU174" s="728"/>
      <c r="AV174" s="728"/>
      <c r="AW174" s="728"/>
      <c r="AX174" s="728"/>
      <c r="AY174" s="727" t="s">
        <v>41</v>
      </c>
      <c r="AZ174" s="732" t="s">
        <v>137</v>
      </c>
      <c r="BA174" s="728"/>
      <c r="BB174" s="728"/>
      <c r="BC174" s="728"/>
      <c r="BD174" s="448"/>
      <c r="BE174" s="448"/>
      <c r="BF174" s="727"/>
      <c r="BG174" s="728">
        <v>7</v>
      </c>
      <c r="BH174" s="728"/>
      <c r="BI174" s="728"/>
      <c r="BJ174" s="728">
        <v>4</v>
      </c>
      <c r="BK174" s="728"/>
      <c r="BL174" s="728"/>
      <c r="BM174" s="728">
        <v>1</v>
      </c>
      <c r="BN174" s="728">
        <v>124</v>
      </c>
      <c r="BO174" s="728">
        <v>198</v>
      </c>
      <c r="BP174" s="727"/>
      <c r="BQ174" s="734"/>
      <c r="BR174" s="733"/>
      <c r="BS174" s="727"/>
      <c r="BT174" s="423"/>
      <c r="BU174" s="423"/>
      <c r="BV174" s="425"/>
      <c r="BW174" s="423"/>
      <c r="BX174" s="448"/>
      <c r="BY174" s="448"/>
      <c r="BZ174" s="448"/>
      <c r="CA174" s="448"/>
      <c r="CB174" s="448"/>
      <c r="CC174" s="777"/>
      <c r="CD174" s="448"/>
      <c r="CE174" s="735" t="str">
        <f>IFERROR(WWWW[[#This Row],['#_Water sources passed]]/WWWW[[#This Row],['#_Water sources tested for fecal coliform ]],"no test")</f>
        <v>no test</v>
      </c>
      <c r="CF174" s="733" t="str">
        <f>IFERROR(WWWW[[#This Row],['#_Household passed]]/WWWW[[#This Row],['#_Household water samples tested for fecal coliform]],"no test")</f>
        <v>no test</v>
      </c>
      <c r="CG174" s="734" t="str">
        <f>IF(AND(WWWW[[#This Row],[% of water sources passed]]="no test",WWWW[[#This Row],[% Household passed]]="no test"),"No Test","Tested")</f>
        <v>No Test</v>
      </c>
      <c r="CH174" s="734">
        <f>WWWW[[#This Row],['#_Constructed/existing protected hand dug well]]-WWWW[[#This Row],['#_Non-functional protected hand dug well]]</f>
        <v>0</v>
      </c>
      <c r="CI174" s="734">
        <f>(WWWW[[#This Row],['#_Constructed/Existing tube wells/boreholes/handpumps_WASH_agency]]+WWWW[[#This Row],['#_Non-Cluster partner water tube-wells/boreholes/handpumps]])-WWWW[[#This Row],['#_Non-functional tube wells/boreholes/handpumps]]</f>
        <v>0</v>
      </c>
      <c r="CJ174" s="734">
        <f>WWWW[[#This Row],['#_Constructed/Existingwater storage tank with gravity fed reticulation system]]-WWWW[[#This Row],['#_Non-functional storage tank gravity fed reticulation system]]</f>
        <v>13</v>
      </c>
      <c r="CK174" s="734">
        <f>(WWWW[[#This Row],['#_Water_Liters_supplied_by_Water boating or water trucking]]/90)/15</f>
        <v>0</v>
      </c>
      <c r="CL174" s="734">
        <f>WWWW[[#This Row],['#_Water_Liters_from_Constructed/Existing water distribution system from river or natural spring]]/90/15</f>
        <v>0</v>
      </c>
      <c r="CM174" s="424">
        <f>IF(WWWW[[#This Row],['#_of water points in TLS/CFS]]*500&gt;WWWW[[#This Row],[Total PoP ]],WWWW[[#This Row],[Total PoP ]],WWWW[[#This Row],['#_of water points in TLS/CFS]]*500)</f>
        <v>0</v>
      </c>
      <c r="CN174" s="424">
        <f>IF(WWWW[[#This Row],['#_of water points in THF]]*500&gt;WWWW[[#This Row],[Total PoP ]],WWWW[[#This Row],[Total PoP ]],WWWW[[#This Row],['#_of water points in THF]]*500)</f>
        <v>0</v>
      </c>
      <c r="CO17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4" s="733">
        <f>IF(WWWW[[#This Row],[Location Type 1]]="Village",WWWW[[#This Row],[Access to safe drinking water for Village]],WWWW[[#This Row],[Access to safe drinking water for Camp]])</f>
        <v>1</v>
      </c>
      <c r="CR174" s="731">
        <f>WWWW[[#This Row],[%Equitable and continuous access to sufficient quantity of safe drinking water]]*WWWW[[#This Row],[Total PoP ]]</f>
        <v>130</v>
      </c>
      <c r="CS174" s="733">
        <f>IF((WWWW[[#This Row],['#_Constructed/Existing protected/fenced ponds]]*250)/WWWW[[#This Row],[Total PoP ]]&gt;1,1,(WWWW[[#This Row],['#_Constructed/Existing protected/fenced ponds]]*250)/WWWW[[#This Row],[Total PoP ]])</f>
        <v>0</v>
      </c>
      <c r="CT174" s="731">
        <f>WWWW[[#This Row],[% Access to unimproved water points]]*WWWW[[#This Row],[Total PoP ]]</f>
        <v>0</v>
      </c>
      <c r="CU17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W174" s="731">
        <f>WWWW[[#This Row],[HRP1]]/500</f>
        <v>0.26</v>
      </c>
      <c r="CX174" s="736">
        <f>1-WWWW[[#This Row],[% Equitable and continuous access to sufficient quantity of domestic water]]</f>
        <v>0</v>
      </c>
      <c r="CY174" s="731">
        <f>WWWW[[#This Row],[%equitable and continuous access to sufficient quantity of safe drinking and domestic water''s GAP]]*WWWW[[#This Row],[Total PoP ]]</f>
        <v>0</v>
      </c>
      <c r="CZ174" s="734">
        <f>IF(WWWW[[#This Row],[Total required water points]]-WWWW[[#This Row],['#Water points coverage]]&lt;0,0,WWWW[[#This Row],[Total required water points]]-WWWW[[#This Row],['#Water points coverage]])</f>
        <v>0.74</v>
      </c>
      <c r="DA174" s="734">
        <f>ROUND(IF(WWWW[[#This Row],[Total PoP ]]&lt;500,1,WWWW[[#This Row],[Total PoP ]]/500),0)</f>
        <v>1</v>
      </c>
      <c r="DB174" s="734">
        <f>(WWWW[[#This Row],['#_Constructed latrines_by_WASHAgencies]]+WWWW[[#This Row],['#_Non Cluster partner latrines]])-WWWW[[#This Row],['#_Non-functional latrines]]</f>
        <v>30</v>
      </c>
      <c r="DC174" s="631">
        <f>WWWW[[#This Row],[HRP2]]/WWWW[[#This Row],[Total PoP ]]</f>
        <v>1</v>
      </c>
      <c r="DD17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130</v>
      </c>
      <c r="DE17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4" s="424">
        <f>IF(WWWW[[#This Row],['# of functional latrines in THF supported by WASH partners during the reporting period2]]="",0,WWWW[[#This Row],['# of functional latrines in THF supported by WASH partners during the reporting period2]]*50)</f>
        <v>0</v>
      </c>
      <c r="DH174" s="734">
        <f>ROUND(IF(WWWW[[#This Row],[Location Type 1]]="camp",WWWW[[#This Row],[Total PoP ]]/20,IF(WWWW[[#This Row],[Location Type 1]]="Temporary Location",WWWW[[#This Row],[Total PoP ]]/50,(WWWW[[#This Row],[Total PoP ]]/6))),0)</f>
        <v>7</v>
      </c>
      <c r="DI174" s="734">
        <f>IF(WWWW[[#This Row],[Total required Latrines]]-(WWWW[[#This Row],['#_Constructed latrines_by_WASHAgencies]]+WWWW[[#This Row],['#_Non Cluster partner latrines]])&lt;0,0,WWWW[[#This Row],[Total required Latrines]]-(WWWW[[#This Row],['#_Constructed latrines_by_WASHAgencies]]+WWWW[[#This Row],['#_Non Cluster partner latrines]]))</f>
        <v>0</v>
      </c>
      <c r="DJ174" s="736">
        <f>1-WWWW[[#This Row],[% people access to functioning Latrine]]</f>
        <v>0</v>
      </c>
      <c r="DK174" s="735">
        <f>IF(OR(WWWW[[#This Row],['#_Non-functional latrines]]="",WWWW[[#This Row],['#_Non-functional latrines]]=0),0,WWWW[[#This Row],['#_Non-functional latrines]]/(WWWW[[#This Row],['#_Constructed latrines_by_WASHAgencies]]+WWWW[[#This Row],['#_Non Cluster partner latrines]]))</f>
        <v>0</v>
      </c>
      <c r="DL174" s="731">
        <f>IF(500*(WWWW[[#This Row],['#_male hygiene promoters]]+WWWW[[#This Row],['#_female hygiene promoters]])&gt;WWWW[[#This Row],[Total PoP ]],WWWW[[#This Row],[Total PoP ]],500*(WWWW[[#This Row],['#_male hygiene promoters]]+WWWW[[#This Row],['#_female hygiene promoters]]))</f>
        <v>130</v>
      </c>
      <c r="DM17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130</v>
      </c>
      <c r="DN17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130</v>
      </c>
      <c r="DO174" s="734">
        <f>IF(WWWW[[#This Row],['# People with access to soap]]&gt;WWWW[[#This Row],['# People with access to Sanity Pads]],WWWW[[#This Row],['# People with access to soap]],WWWW[[#This Row],['# People with access to Sanity Pads]])</f>
        <v>130</v>
      </c>
      <c r="DP174" s="734">
        <f>IF(WWWW[[#This Row],['# people reached by regular dedicated hygiene promotion_5]]&gt;WWWW[[#This Row],['# People received regular supply of hygiene items_6]],WWWW[[#This Row],['# people reached by regular dedicated hygiene promotion_5]],WWWW[[#This Row],['# People received regular supply of hygiene items_6]])</f>
        <v>130</v>
      </c>
      <c r="DQ174" s="736">
        <f>IF(WWWW[[#This Row],[HRP3]]/WWWW[[#This Row],[Total PoP ]]&gt;1,1,WWWW[[#This Row],[HRP3]]/WWWW[[#This Row],[Total PoP ]])</f>
        <v>1</v>
      </c>
      <c r="DR174" s="735">
        <f>1-WWWW[[#This Row],[Hygiene Coverage%]]</f>
        <v>0</v>
      </c>
      <c r="DS174" s="733">
        <f>WWWW[[#This Row],['# people reached by regular dedicated hygiene promotion_5]]/WWWW[[#This Row],[Total PoP ]]</f>
        <v>1</v>
      </c>
      <c r="DT17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4" s="734">
        <f>WWWW[[#This Row],['#_Constructed/Existing hand washing stations]]-WWWW[[#This Row],['#_Non-Functional_hand_washing_stations]]</f>
        <v>7</v>
      </c>
      <c r="DW174" s="731">
        <f>IF(WWWW[[#This Row],['# Functional hand washing stations during reporting period]]*20&gt;WWWW[[#This Row],[Total HH]],WWWW[[#This Row],[Total HH]],WWWW[[#This Row],['# Functional hand washing stations during reporting period]]*20)</f>
        <v>29</v>
      </c>
      <c r="DX174" s="731">
        <f>IF(WWWW[[#This Row],[Is sufficient soap available for TLS? (Yes/No)]]="yes",WWWW[[#This Row],['#_Constructed/Existing hand washing stations at TLS/CFS/THF]],0)</f>
        <v>0</v>
      </c>
      <c r="DY174" s="428">
        <f>IF(WWWW[[#This Row],['# Functional hand washing stations during reporting period]]*100&gt;WWWW[[#This Row],[Total PoP ]],WWWW[[#This Row],[Total PoP ]],WWWW[[#This Row],['# Functional hand washing stations during reporting period]]*100)</f>
        <v>130</v>
      </c>
      <c r="DZ174" s="428" t="str">
        <f>IF(OR(WWWW[[#This Row],['#_students at TLS_CFS]]="",WWWW[[#This Row],['#_students at TLS_CFS]]=0),"No","Yes")</f>
        <v>No</v>
      </c>
      <c r="EA17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4" s="727" t="str">
        <f>VLOOKUP(WWWW[[#This Row],[Site Name]],SiteDB6[[Site Name]:[CCCM Management]],6,FALSE)</f>
        <v>Yes</v>
      </c>
      <c r="EF174" s="727" t="str">
        <f>VLOOKUP(WWWW[[#This Row],[Site Name]],SiteDB6[[Site Name]:[CCCM Focal Agency]],7,FALSE)</f>
        <v>KMSS-LSO</v>
      </c>
      <c r="EG174" s="727" t="str">
        <f>VLOOKUP(WWWW[[#This Row],[Site Name]],SiteDB6[[Site Name]:[Location Type 1]],9,FALSE)</f>
        <v>Camp</v>
      </c>
      <c r="EH174" s="727" t="str">
        <f>VLOOKUP(WWWW[[#This Row],[Site Name]],SiteDB6[[Site Name]:[Type of Accommodation]],10,FALSE)</f>
        <v>Camp</v>
      </c>
      <c r="EI174" s="727" t="str">
        <f>VLOOKUP(WWWW[[#This Row],[Site Name]],SiteDB6[[Site Name]:[Ethnic or GCA/NGCA]],11,FALSE)</f>
        <v>GCA</v>
      </c>
      <c r="EJ174" s="727">
        <f>VLOOKUP(WWWW[[#This Row],[Site Name]],SiteDB6[[Site Name]:[Lat]],12,FALSE)</f>
        <v>23.638999999999999</v>
      </c>
      <c r="EK174" s="727">
        <f>VLOOKUP(WWWW[[#This Row],[Site Name]],SiteDB6[[Site Name]:[Long]],13,FALSE)</f>
        <v>97.861999999999995</v>
      </c>
      <c r="EL174" s="727" t="str">
        <f>VLOOKUP(WWWW[[#This Row],[Site Name]],SiteDB6[[Site Name]:[Pcode]],3,FALSE)</f>
        <v>MMR015CMP068</v>
      </c>
      <c r="EM174" s="732" t="str">
        <f t="shared" si="2"/>
        <v>Covered</v>
      </c>
      <c r="EN174" s="732"/>
      <c r="EO174" s="727">
        <f>VLOOKUP(WWWW[[#This Row],[Site Name]],SiteDB6[[Site Name]:[Pop
(Kachin/Shan-CCCM as of July 2021)]],16,FALSE)</f>
        <v>31</v>
      </c>
      <c r="EP174" s="727">
        <f>VLOOKUP(WWWW[[#This Row],[Site Name]],SiteDB6[[Site Name]:[Pop
(Kachin/Shan-CCCM as of July 2021)]],17,FALSE)</f>
        <v>133</v>
      </c>
    </row>
    <row r="175" spans="1:146" hidden="1">
      <c r="A175" s="725" t="s">
        <v>2763</v>
      </c>
      <c r="B175" s="725" t="s">
        <v>192</v>
      </c>
      <c r="C175" s="726" t="s">
        <v>192</v>
      </c>
      <c r="D175" s="726" t="s">
        <v>2673</v>
      </c>
      <c r="E175" s="726" t="s">
        <v>515</v>
      </c>
      <c r="F175" s="726" t="s">
        <v>519</v>
      </c>
      <c r="G175" s="591" t="str">
        <f>VLOOKUP(WWWW[[#This Row],[Site Name]],SiteDB6[[Site Name]:[Location Type]],8,FALSE)</f>
        <v>Camp</v>
      </c>
      <c r="H175" s="726" t="s">
        <v>541</v>
      </c>
      <c r="I175" s="728">
        <v>40</v>
      </c>
      <c r="J175" s="728">
        <v>244</v>
      </c>
      <c r="K175" s="729" t="s">
        <v>2767</v>
      </c>
      <c r="L175" s="730" t="s">
        <v>2768</v>
      </c>
      <c r="M175" s="728"/>
      <c r="N175" s="728">
        <v>1</v>
      </c>
      <c r="O175" s="728"/>
      <c r="P175" s="728"/>
      <c r="Q175" s="731" t="s">
        <v>41</v>
      </c>
      <c r="R175" s="728">
        <v>3</v>
      </c>
      <c r="S175" s="728">
        <v>3</v>
      </c>
      <c r="T175" s="448">
        <v>1</v>
      </c>
      <c r="U175" s="728"/>
      <c r="V175" s="728"/>
      <c r="W175" s="728">
        <v>1</v>
      </c>
      <c r="X175" s="728">
        <v>2</v>
      </c>
      <c r="Y175" s="728"/>
      <c r="Z175" s="728"/>
      <c r="AA175" s="728"/>
      <c r="AB175" s="728"/>
      <c r="AC175" s="728"/>
      <c r="AD175" s="728"/>
      <c r="AE175" s="728"/>
      <c r="AF175" s="728"/>
      <c r="AG175" s="728"/>
      <c r="AH175" s="728"/>
      <c r="AI175" s="728"/>
      <c r="AJ175" s="728"/>
      <c r="AK175" s="728"/>
      <c r="AL175" s="728"/>
      <c r="AM175" s="728"/>
      <c r="AN175" s="728"/>
      <c r="AO175" s="728"/>
      <c r="AP175" s="732"/>
      <c r="AQ175" s="728">
        <v>12</v>
      </c>
      <c r="AR175" s="728"/>
      <c r="AS175" s="733"/>
      <c r="AT175" s="728"/>
      <c r="AU175" s="728"/>
      <c r="AV175" s="728"/>
      <c r="AW175" s="728"/>
      <c r="AX175" s="728"/>
      <c r="AY175" s="727" t="s">
        <v>41</v>
      </c>
      <c r="AZ175" s="732" t="s">
        <v>136</v>
      </c>
      <c r="BA175" s="728"/>
      <c r="BB175" s="728"/>
      <c r="BC175" s="728">
        <v>1</v>
      </c>
      <c r="BD175" s="448"/>
      <c r="BE175" s="448"/>
      <c r="BF175" s="727"/>
      <c r="BG175" s="728">
        <v>1</v>
      </c>
      <c r="BH175" s="728"/>
      <c r="BI175" s="728"/>
      <c r="BJ175" s="728">
        <v>1</v>
      </c>
      <c r="BK175" s="728"/>
      <c r="BL175" s="728"/>
      <c r="BM175" s="728">
        <v>1</v>
      </c>
      <c r="BN175" s="728">
        <v>6</v>
      </c>
      <c r="BO175" s="728">
        <v>5</v>
      </c>
      <c r="BP175" s="727"/>
      <c r="BQ175" s="734"/>
      <c r="BR175" s="733"/>
      <c r="BS175" s="727"/>
      <c r="BT175" s="423"/>
      <c r="BU175" s="423"/>
      <c r="BV175" s="425"/>
      <c r="BW175" s="423"/>
      <c r="BX175" s="448"/>
      <c r="BY175" s="448"/>
      <c r="BZ175" s="448"/>
      <c r="CA175" s="448"/>
      <c r="CB175" s="448"/>
      <c r="CC175" s="777"/>
      <c r="CD175" s="448"/>
      <c r="CE175" s="735" t="str">
        <f>IFERROR(WWWW[[#This Row],['#_Water sources passed]]/WWWW[[#This Row],['#_Water sources tested for fecal coliform ]],"no test")</f>
        <v>no test</v>
      </c>
      <c r="CF175" s="733" t="str">
        <f>IFERROR(WWWW[[#This Row],['#_Household passed]]/WWWW[[#This Row],['#_Household water samples tested for fecal coliform]],"no test")</f>
        <v>no test</v>
      </c>
      <c r="CG175" s="734" t="str">
        <f>IF(AND(WWWW[[#This Row],[% of water sources passed]]="no test",WWWW[[#This Row],[% Household passed]]="no test"),"No Test","Tested")</f>
        <v>No Test</v>
      </c>
      <c r="CH175" s="734">
        <f>WWWW[[#This Row],['#_Constructed/existing protected hand dug well]]-WWWW[[#This Row],['#_Non-functional protected hand dug well]]</f>
        <v>1</v>
      </c>
      <c r="CI175" s="734">
        <f>(WWWW[[#This Row],['#_Constructed/Existing tube wells/boreholes/handpumps_WASH_agency]]+WWWW[[#This Row],['#_Non-Cluster partner water tube-wells/boreholes/handpumps]])-WWWW[[#This Row],['#_Non-functional tube wells/boreholes/handpumps]]</f>
        <v>3</v>
      </c>
      <c r="CJ175" s="734">
        <f>WWWW[[#This Row],['#_Constructed/Existingwater storage tank with gravity fed reticulation system]]-WWWW[[#This Row],['#_Non-functional storage tank gravity fed reticulation system]]</f>
        <v>0</v>
      </c>
      <c r="CK175" s="734">
        <f>(WWWW[[#This Row],['#_Water_Liters_supplied_by_Water boating or water trucking]]/90)/15</f>
        <v>0</v>
      </c>
      <c r="CL175" s="734">
        <f>WWWW[[#This Row],['#_Water_Liters_from_Constructed/Existing water distribution system from river or natural spring]]/90/15</f>
        <v>0</v>
      </c>
      <c r="CM175" s="424">
        <f>IF(WWWW[[#This Row],['#_of water points in TLS/CFS]]*500&gt;WWWW[[#This Row],[Total PoP ]],WWWW[[#This Row],[Total PoP ]],WWWW[[#This Row],['#_of water points in TLS/CFS]]*500)</f>
        <v>0</v>
      </c>
      <c r="CN175" s="424">
        <f>IF(WWWW[[#This Row],['#_of water points in THF]]*500&gt;WWWW[[#This Row],[Total PoP ]],WWWW[[#This Row],[Total PoP ]],WWWW[[#This Row],['#_of water points in THF]]*500)</f>
        <v>0</v>
      </c>
      <c r="CO17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5" s="733">
        <f>IF(WWWW[[#This Row],[Location Type 1]]="Village",WWWW[[#This Row],[Access to safe drinking water for Village]],WWWW[[#This Row],[Access to safe drinking water for Camp]])</f>
        <v>1</v>
      </c>
      <c r="CR175" s="731">
        <f>WWWW[[#This Row],[%Equitable and continuous access to sufficient quantity of safe drinking water]]*WWWW[[#This Row],[Total PoP ]]</f>
        <v>244</v>
      </c>
      <c r="CS175" s="733">
        <f>IF((WWWW[[#This Row],['#_Constructed/Existing protected/fenced ponds]]*250)/WWWW[[#This Row],[Total PoP ]]&gt;1,1,(WWWW[[#This Row],['#_Constructed/Existing protected/fenced ponds]]*250)/WWWW[[#This Row],[Total PoP ]])</f>
        <v>0</v>
      </c>
      <c r="CT175" s="731">
        <f>WWWW[[#This Row],[% Access to unimproved water points]]*WWWW[[#This Row],[Total PoP ]]</f>
        <v>0</v>
      </c>
      <c r="CU17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W175" s="731">
        <f>WWWW[[#This Row],[HRP1]]/500</f>
        <v>0.48799999999999999</v>
      </c>
      <c r="CX175" s="736">
        <f>1-WWWW[[#This Row],[% Equitable and continuous access to sufficient quantity of domestic water]]</f>
        <v>0</v>
      </c>
      <c r="CY175" s="731">
        <f>WWWW[[#This Row],[%equitable and continuous access to sufficient quantity of safe drinking and domestic water''s GAP]]*WWWW[[#This Row],[Total PoP ]]</f>
        <v>0</v>
      </c>
      <c r="CZ175" s="734">
        <f>IF(WWWW[[#This Row],[Total required water points]]-WWWW[[#This Row],['#Water points coverage]]&lt;0,0,WWWW[[#This Row],[Total required water points]]-WWWW[[#This Row],['#Water points coverage]])</f>
        <v>0.51200000000000001</v>
      </c>
      <c r="DA175" s="734">
        <f>ROUND(IF(WWWW[[#This Row],[Total PoP ]]&lt;500,1,WWWW[[#This Row],[Total PoP ]]/500),0)</f>
        <v>1</v>
      </c>
      <c r="DB175" s="734">
        <f>(WWWW[[#This Row],['#_Constructed latrines_by_WASHAgencies]]+WWWW[[#This Row],['#_Non Cluster partner latrines]])-WWWW[[#This Row],['#_Non-functional latrines]]</f>
        <v>12</v>
      </c>
      <c r="DC175" s="631">
        <f>WWWW[[#This Row],[HRP2]]/WWWW[[#This Row],[Total PoP ]]</f>
        <v>0.98360655737704916</v>
      </c>
      <c r="DD17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DE17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5" s="424">
        <f>IF(WWWW[[#This Row],['# of functional latrines in THF supported by WASH partners during the reporting period2]]="",0,WWWW[[#This Row],['# of functional latrines in THF supported by WASH partners during the reporting period2]]*50)</f>
        <v>0</v>
      </c>
      <c r="DH175" s="734">
        <f>ROUND(IF(WWWW[[#This Row],[Location Type 1]]="camp",WWWW[[#This Row],[Total PoP ]]/20,IF(WWWW[[#This Row],[Location Type 1]]="Temporary Location",WWWW[[#This Row],[Total PoP ]]/50,(WWWW[[#This Row],[Total PoP ]]/6))),0)</f>
        <v>12</v>
      </c>
      <c r="DI175" s="734">
        <f>IF(WWWW[[#This Row],[Total required Latrines]]-(WWWW[[#This Row],['#_Constructed latrines_by_WASHAgencies]]+WWWW[[#This Row],['#_Non Cluster partner latrines]])&lt;0,0,WWWW[[#This Row],[Total required Latrines]]-(WWWW[[#This Row],['#_Constructed latrines_by_WASHAgencies]]+WWWW[[#This Row],['#_Non Cluster partner latrines]]))</f>
        <v>0</v>
      </c>
      <c r="DJ175" s="736">
        <f>1-WWWW[[#This Row],[% people access to functioning Latrine]]</f>
        <v>1.6393442622950838E-2</v>
      </c>
      <c r="DK175" s="735">
        <f>IF(OR(WWWW[[#This Row],['#_Non-functional latrines]]="",WWWW[[#This Row],['#_Non-functional latrines]]=0),0,WWWW[[#This Row],['#_Non-functional latrines]]/(WWWW[[#This Row],['#_Constructed latrines_by_WASHAgencies]]+WWWW[[#This Row],['#_Non Cluster partner latrines]]))</f>
        <v>0</v>
      </c>
      <c r="DL175" s="731">
        <f>IF(500*(WWWW[[#This Row],['#_male hygiene promoters]]+WWWW[[#This Row],['#_female hygiene promoters]])&gt;WWWW[[#This Row],[Total PoP ]],WWWW[[#This Row],[Total PoP ]],500*(WWWW[[#This Row],['#_male hygiene promoters]]+WWWW[[#This Row],['#_female hygiene promoters]]))</f>
        <v>244</v>
      </c>
      <c r="DM17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7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75" s="734">
        <f>IF(WWWW[[#This Row],['# People with access to soap]]&gt;WWWW[[#This Row],['# People with access to Sanity Pads]],WWWW[[#This Row],['# People with access to soap]],WWWW[[#This Row],['# People with access to Sanity Pads]])</f>
        <v>30</v>
      </c>
      <c r="DP175" s="734">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Q175" s="736">
        <f>IF(WWWW[[#This Row],[HRP3]]/WWWW[[#This Row],[Total PoP ]]&gt;1,1,WWWW[[#This Row],[HRP3]]/WWWW[[#This Row],[Total PoP ]])</f>
        <v>1</v>
      </c>
      <c r="DR175" s="735">
        <f>1-WWWW[[#This Row],[Hygiene Coverage%]]</f>
        <v>0</v>
      </c>
      <c r="DS175" s="733">
        <f>WWWW[[#This Row],['# people reached by regular dedicated hygiene promotion_5]]/WWWW[[#This Row],[Total PoP ]]</f>
        <v>1</v>
      </c>
      <c r="DT17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v>
      </c>
      <c r="DU17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0.125</v>
      </c>
      <c r="DV175" s="734">
        <f>WWWW[[#This Row],['#_Constructed/Existing hand washing stations]]-WWWW[[#This Row],['#_Non-Functional_hand_washing_stations]]</f>
        <v>1</v>
      </c>
      <c r="DW175" s="731">
        <f>IF(WWWW[[#This Row],['# Functional hand washing stations during reporting period]]*20&gt;WWWW[[#This Row],[Total HH]],WWWW[[#This Row],[Total HH]],WWWW[[#This Row],['# Functional hand washing stations during reporting period]]*20)</f>
        <v>20</v>
      </c>
      <c r="DX175" s="731">
        <f>IF(WWWW[[#This Row],[Is sufficient soap available for TLS? (Yes/No)]]="yes",WWWW[[#This Row],['#_Constructed/Existing hand washing stations at TLS/CFS/THF]],0)</f>
        <v>0</v>
      </c>
      <c r="DY175" s="428">
        <f>IF(WWWW[[#This Row],['# Functional hand washing stations during reporting period]]*100&gt;WWWW[[#This Row],[Total PoP ]],WWWW[[#This Row],[Total PoP ]],WWWW[[#This Row],['# Functional hand washing stations during reporting period]]*100)</f>
        <v>100</v>
      </c>
      <c r="DZ175" s="428" t="str">
        <f>IF(OR(WWWW[[#This Row],['#_students at TLS_CFS]]="",WWWW[[#This Row],['#_students at TLS_CFS]]=0),"No","Yes")</f>
        <v>No</v>
      </c>
      <c r="EA17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5" s="727" t="str">
        <f>VLOOKUP(WWWW[[#This Row],[Site Name]],SiteDB6[[Site Name]:[CCCM Management]],6,FALSE)</f>
        <v>Yes</v>
      </c>
      <c r="EF175" s="727" t="str">
        <f>VLOOKUP(WWWW[[#This Row],[Site Name]],SiteDB6[[Site Name]:[CCCM Focal Agency]],7,FALSE)</f>
        <v>KBC-NSS</v>
      </c>
      <c r="EG175" s="727" t="str">
        <f>VLOOKUP(WWWW[[#This Row],[Site Name]],SiteDB6[[Site Name]:[Location Type 1]],9,FALSE)</f>
        <v>Camp</v>
      </c>
      <c r="EH175" s="727" t="str">
        <f>VLOOKUP(WWWW[[#This Row],[Site Name]],SiteDB6[[Site Name]:[Type of Accommodation]],10,FALSE)</f>
        <v>Camp</v>
      </c>
      <c r="EI175" s="727" t="str">
        <f>VLOOKUP(WWWW[[#This Row],[Site Name]],SiteDB6[[Site Name]:[Ethnic or GCA/NGCA]],11,FALSE)</f>
        <v>GCA</v>
      </c>
      <c r="EJ175" s="727">
        <f>VLOOKUP(WWWW[[#This Row],[Site Name]],SiteDB6[[Site Name]:[Lat]],12,FALSE)</f>
        <v>23.450914000000001</v>
      </c>
      <c r="EK175" s="727">
        <f>VLOOKUP(WWWW[[#This Row],[Site Name]],SiteDB6[[Site Name]:[Long]],13,FALSE)</f>
        <v>97.926813999999993</v>
      </c>
      <c r="EL175" s="727" t="str">
        <f>VLOOKUP(WWWW[[#This Row],[Site Name]],SiteDB6[[Site Name]:[Pcode]],3,FALSE)</f>
        <v>MMR015CMP016</v>
      </c>
      <c r="EM175" s="732" t="str">
        <f t="shared" si="2"/>
        <v>Covered</v>
      </c>
      <c r="EN175" s="732"/>
      <c r="EO175" s="727">
        <f>VLOOKUP(WWWW[[#This Row],[Site Name]],SiteDB6[[Site Name]:[Pop
(Kachin/Shan-CCCM as of July 2021)]],16,FALSE)</f>
        <v>40</v>
      </c>
      <c r="EP175" s="727">
        <f>VLOOKUP(WWWW[[#This Row],[Site Name]],SiteDB6[[Site Name]:[Pop
(Kachin/Shan-CCCM as of July 2021)]],17,FALSE)</f>
        <v>251</v>
      </c>
    </row>
    <row r="176" spans="1:146" hidden="1">
      <c r="A176" s="725" t="s">
        <v>2763</v>
      </c>
      <c r="B176" s="725" t="s">
        <v>192</v>
      </c>
      <c r="C176" s="726" t="s">
        <v>192</v>
      </c>
      <c r="D176" s="726" t="s">
        <v>2673</v>
      </c>
      <c r="E176" s="726" t="s">
        <v>515</v>
      </c>
      <c r="F176" s="726" t="s">
        <v>519</v>
      </c>
      <c r="G176" s="591" t="str">
        <f>VLOOKUP(WWWW[[#This Row],[Site Name]],SiteDB6[[Site Name]:[Location Type]],8,FALSE)</f>
        <v>Camp</v>
      </c>
      <c r="H176" s="726" t="s">
        <v>546</v>
      </c>
      <c r="I176" s="728">
        <v>38</v>
      </c>
      <c r="J176" s="728">
        <v>180</v>
      </c>
      <c r="K176" s="729" t="s">
        <v>2767</v>
      </c>
      <c r="L176" s="730" t="s">
        <v>2768</v>
      </c>
      <c r="M176" s="728"/>
      <c r="N176" s="728"/>
      <c r="O176" s="728"/>
      <c r="P176" s="728"/>
      <c r="Q176" s="731"/>
      <c r="R176" s="728">
        <v>4</v>
      </c>
      <c r="S176" s="728">
        <v>5</v>
      </c>
      <c r="T176" s="448">
        <v>1</v>
      </c>
      <c r="U176" s="728"/>
      <c r="V176" s="728"/>
      <c r="W176" s="728">
        <v>1</v>
      </c>
      <c r="X176" s="728"/>
      <c r="Y176" s="728"/>
      <c r="Z176" s="728"/>
      <c r="AA176" s="728"/>
      <c r="AB176" s="728"/>
      <c r="AC176" s="728"/>
      <c r="AD176" s="728"/>
      <c r="AE176" s="728"/>
      <c r="AF176" s="728"/>
      <c r="AG176" s="728"/>
      <c r="AH176" s="728"/>
      <c r="AI176" s="728"/>
      <c r="AJ176" s="728"/>
      <c r="AK176" s="728"/>
      <c r="AL176" s="728"/>
      <c r="AM176" s="728"/>
      <c r="AN176" s="728"/>
      <c r="AO176" s="728"/>
      <c r="AP176" s="732"/>
      <c r="AQ176" s="728">
        <v>9</v>
      </c>
      <c r="AR176" s="728"/>
      <c r="AS176" s="733"/>
      <c r="AT176" s="728"/>
      <c r="AU176" s="728"/>
      <c r="AV176" s="728"/>
      <c r="AW176" s="728"/>
      <c r="AX176" s="728"/>
      <c r="AY176" s="727" t="s">
        <v>41</v>
      </c>
      <c r="AZ176" s="732" t="s">
        <v>137</v>
      </c>
      <c r="BA176" s="728"/>
      <c r="BB176" s="728"/>
      <c r="BC176" s="728"/>
      <c r="BD176" s="448"/>
      <c r="BE176" s="448"/>
      <c r="BF176" s="727"/>
      <c r="BG176" s="728">
        <v>8</v>
      </c>
      <c r="BH176" s="728"/>
      <c r="BI176" s="728"/>
      <c r="BJ176" s="728">
        <v>3</v>
      </c>
      <c r="BK176" s="728"/>
      <c r="BL176" s="728"/>
      <c r="BM176" s="728">
        <v>1</v>
      </c>
      <c r="BN176" s="728">
        <v>91</v>
      </c>
      <c r="BO176" s="728">
        <v>124</v>
      </c>
      <c r="BP176" s="727"/>
      <c r="BQ176" s="734"/>
      <c r="BR176" s="733"/>
      <c r="BS176" s="727"/>
      <c r="BT176" s="423"/>
      <c r="BU176" s="423"/>
      <c r="BV176" s="425"/>
      <c r="BW176" s="423"/>
      <c r="BX176" s="448"/>
      <c r="BY176" s="448"/>
      <c r="BZ176" s="448"/>
      <c r="CA176" s="448"/>
      <c r="CB176" s="448"/>
      <c r="CC176" s="777"/>
      <c r="CD176" s="448"/>
      <c r="CE176" s="735" t="str">
        <f>IFERROR(WWWW[[#This Row],['#_Water sources passed]]/WWWW[[#This Row],['#_Water sources tested for fecal coliform ]],"no test")</f>
        <v>no test</v>
      </c>
      <c r="CF176" s="733" t="str">
        <f>IFERROR(WWWW[[#This Row],['#_Household passed]]/WWWW[[#This Row],['#_Household water samples tested for fecal coliform]],"no test")</f>
        <v>no test</v>
      </c>
      <c r="CG176" s="734" t="str">
        <f>IF(AND(WWWW[[#This Row],[% of water sources passed]]="no test",WWWW[[#This Row],[% Household passed]]="no test"),"No Test","Tested")</f>
        <v>No Test</v>
      </c>
      <c r="CH176" s="734">
        <f>WWWW[[#This Row],['#_Constructed/existing protected hand dug well]]-WWWW[[#This Row],['#_Non-functional protected hand dug well]]</f>
        <v>1</v>
      </c>
      <c r="CI176" s="734">
        <f>(WWWW[[#This Row],['#_Constructed/Existing tube wells/boreholes/handpumps_WASH_agency]]+WWWW[[#This Row],['#_Non-Cluster partner water tube-wells/boreholes/handpumps]])-WWWW[[#This Row],['#_Non-functional tube wells/boreholes/handpumps]]</f>
        <v>1</v>
      </c>
      <c r="CJ176" s="734">
        <f>WWWW[[#This Row],['#_Constructed/Existingwater storage tank with gravity fed reticulation system]]-WWWW[[#This Row],['#_Non-functional storage tank gravity fed reticulation system]]</f>
        <v>0</v>
      </c>
      <c r="CK176" s="734">
        <f>(WWWW[[#This Row],['#_Water_Liters_supplied_by_Water boating or water trucking]]/90)/15</f>
        <v>0</v>
      </c>
      <c r="CL176" s="734">
        <f>WWWW[[#This Row],['#_Water_Liters_from_Constructed/Existing water distribution system from river or natural spring]]/90/15</f>
        <v>0</v>
      </c>
      <c r="CM176" s="424">
        <f>IF(WWWW[[#This Row],['#_of water points in TLS/CFS]]*500&gt;WWWW[[#This Row],[Total PoP ]],WWWW[[#This Row],[Total PoP ]],WWWW[[#This Row],['#_of water points in TLS/CFS]]*500)</f>
        <v>0</v>
      </c>
      <c r="CN176" s="424">
        <f>IF(WWWW[[#This Row],['#_of water points in THF]]*500&gt;WWWW[[#This Row],[Total PoP ]],WWWW[[#This Row],[Total PoP ]],WWWW[[#This Row],['#_of water points in THF]]*500)</f>
        <v>0</v>
      </c>
      <c r="CO17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6" s="733">
        <f>IF(WWWW[[#This Row],[Location Type 1]]="Village",WWWW[[#This Row],[Access to safe drinking water for Village]],WWWW[[#This Row],[Access to safe drinking water for Camp]])</f>
        <v>1</v>
      </c>
      <c r="CR176" s="731">
        <f>WWWW[[#This Row],[%Equitable and continuous access to sufficient quantity of safe drinking water]]*WWWW[[#This Row],[Total PoP ]]</f>
        <v>180</v>
      </c>
      <c r="CS176" s="733">
        <f>IF((WWWW[[#This Row],['#_Constructed/Existing protected/fenced ponds]]*250)/WWWW[[#This Row],[Total PoP ]]&gt;1,1,(WWWW[[#This Row],['#_Constructed/Existing protected/fenced ponds]]*250)/WWWW[[#This Row],[Total PoP ]])</f>
        <v>0</v>
      </c>
      <c r="CT176" s="731">
        <f>WWWW[[#This Row],[% Access to unimproved water points]]*WWWW[[#This Row],[Total PoP ]]</f>
        <v>0</v>
      </c>
      <c r="CU17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W176" s="731">
        <f>WWWW[[#This Row],[HRP1]]/500</f>
        <v>0.36</v>
      </c>
      <c r="CX176" s="736">
        <f>1-WWWW[[#This Row],[% Equitable and continuous access to sufficient quantity of domestic water]]</f>
        <v>0</v>
      </c>
      <c r="CY176" s="731">
        <f>WWWW[[#This Row],[%equitable and continuous access to sufficient quantity of safe drinking and domestic water''s GAP]]*WWWW[[#This Row],[Total PoP ]]</f>
        <v>0</v>
      </c>
      <c r="CZ176" s="734">
        <f>IF(WWWW[[#This Row],[Total required water points]]-WWWW[[#This Row],['#Water points coverage]]&lt;0,0,WWWW[[#This Row],[Total required water points]]-WWWW[[#This Row],['#Water points coverage]])</f>
        <v>0.64</v>
      </c>
      <c r="DA176" s="734">
        <f>ROUND(IF(WWWW[[#This Row],[Total PoP ]]&lt;500,1,WWWW[[#This Row],[Total PoP ]]/500),0)</f>
        <v>1</v>
      </c>
      <c r="DB176" s="734">
        <f>(WWWW[[#This Row],['#_Constructed latrines_by_WASHAgencies]]+WWWW[[#This Row],['#_Non Cluster partner latrines]])-WWWW[[#This Row],['#_Non-functional latrines]]</f>
        <v>9</v>
      </c>
      <c r="DC176" s="631">
        <f>WWWW[[#This Row],[HRP2]]/WWWW[[#This Row],[Total PoP ]]</f>
        <v>1</v>
      </c>
      <c r="DD17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17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6" s="424">
        <f>IF(WWWW[[#This Row],['# of functional latrines in THF supported by WASH partners during the reporting period2]]="",0,WWWW[[#This Row],['# of functional latrines in THF supported by WASH partners during the reporting period2]]*50)</f>
        <v>0</v>
      </c>
      <c r="DH176" s="734">
        <f>ROUND(IF(WWWW[[#This Row],[Location Type 1]]="camp",WWWW[[#This Row],[Total PoP ]]/20,IF(WWWW[[#This Row],[Location Type 1]]="Temporary Location",WWWW[[#This Row],[Total PoP ]]/50,(WWWW[[#This Row],[Total PoP ]]/6))),0)</f>
        <v>9</v>
      </c>
      <c r="DI176" s="734">
        <f>IF(WWWW[[#This Row],[Total required Latrines]]-(WWWW[[#This Row],['#_Constructed latrines_by_WASHAgencies]]+WWWW[[#This Row],['#_Non Cluster partner latrines]])&lt;0,0,WWWW[[#This Row],[Total required Latrines]]-(WWWW[[#This Row],['#_Constructed latrines_by_WASHAgencies]]+WWWW[[#This Row],['#_Non Cluster partner latrines]]))</f>
        <v>0</v>
      </c>
      <c r="DJ176" s="736">
        <f>1-WWWW[[#This Row],[% people access to functioning Latrine]]</f>
        <v>0</v>
      </c>
      <c r="DK176" s="735">
        <f>IF(OR(WWWW[[#This Row],['#_Non-functional latrines]]="",WWWW[[#This Row],['#_Non-functional latrines]]=0),0,WWWW[[#This Row],['#_Non-functional latrines]]/(WWWW[[#This Row],['#_Constructed latrines_by_WASHAgencies]]+WWWW[[#This Row],['#_Non Cluster partner latrines]]))</f>
        <v>0</v>
      </c>
      <c r="DL176" s="731">
        <f>IF(500*(WWWW[[#This Row],['#_male hygiene promoters]]+WWWW[[#This Row],['#_female hygiene promoters]])&gt;WWWW[[#This Row],[Total PoP ]],WWWW[[#This Row],[Total PoP ]],500*(WWWW[[#This Row],['#_male hygiene promoters]]+WWWW[[#This Row],['#_female hygiene promoters]]))</f>
        <v>180</v>
      </c>
      <c r="DM17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180</v>
      </c>
      <c r="DN17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76" s="734">
        <f>IF(WWWW[[#This Row],['# People with access to soap]]&gt;WWWW[[#This Row],['# People with access to Sanity Pads]],WWWW[[#This Row],['# People with access to soap]],WWWW[[#This Row],['# People with access to Sanity Pads]])</f>
        <v>180</v>
      </c>
      <c r="DP176" s="734">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Q176" s="736">
        <f>IF(WWWW[[#This Row],[HRP3]]/WWWW[[#This Row],[Total PoP ]]&gt;1,1,WWWW[[#This Row],[HRP3]]/WWWW[[#This Row],[Total PoP ]])</f>
        <v>1</v>
      </c>
      <c r="DR176" s="735">
        <f>1-WWWW[[#This Row],[Hygiene Coverage%]]</f>
        <v>0</v>
      </c>
      <c r="DS176" s="733">
        <f>WWWW[[#This Row],['# people reached by regular dedicated hygiene promotion_5]]/WWWW[[#This Row],[Total PoP ]]</f>
        <v>1</v>
      </c>
      <c r="DT17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6" s="734">
        <f>WWWW[[#This Row],['#_Constructed/Existing hand washing stations]]-WWWW[[#This Row],['#_Non-Functional_hand_washing_stations]]</f>
        <v>8</v>
      </c>
      <c r="DW176" s="731">
        <f>IF(WWWW[[#This Row],['# Functional hand washing stations during reporting period]]*20&gt;WWWW[[#This Row],[Total HH]],WWWW[[#This Row],[Total HH]],WWWW[[#This Row],['# Functional hand washing stations during reporting period]]*20)</f>
        <v>38</v>
      </c>
      <c r="DX176" s="731">
        <f>IF(WWWW[[#This Row],[Is sufficient soap available for TLS? (Yes/No)]]="yes",WWWW[[#This Row],['#_Constructed/Existing hand washing stations at TLS/CFS/THF]],0)</f>
        <v>0</v>
      </c>
      <c r="DY176" s="428">
        <f>IF(WWWW[[#This Row],['# Functional hand washing stations during reporting period]]*100&gt;WWWW[[#This Row],[Total PoP ]],WWWW[[#This Row],[Total PoP ]],WWWW[[#This Row],['# Functional hand washing stations during reporting period]]*100)</f>
        <v>180</v>
      </c>
      <c r="DZ176" s="428" t="str">
        <f>IF(OR(WWWW[[#This Row],['#_students at TLS_CFS]]="",WWWW[[#This Row],['#_students at TLS_CFS]]=0),"No","Yes")</f>
        <v>No</v>
      </c>
      <c r="EA17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6" s="727" t="str">
        <f>VLOOKUP(WWWW[[#This Row],[Site Name]],SiteDB6[[Site Name]:[CCCM Management]],6,FALSE)</f>
        <v>Yes</v>
      </c>
      <c r="EF176" s="727" t="str">
        <f>VLOOKUP(WWWW[[#This Row],[Site Name]],SiteDB6[[Site Name]:[CCCM Focal Agency]],7,FALSE)</f>
        <v>KBC-NSS</v>
      </c>
      <c r="EG176" s="727" t="str">
        <f>VLOOKUP(WWWW[[#This Row],[Site Name]],SiteDB6[[Site Name]:[Location Type 1]],9,FALSE)</f>
        <v>Camp</v>
      </c>
      <c r="EH176" s="727" t="str">
        <f>VLOOKUP(WWWW[[#This Row],[Site Name]],SiteDB6[[Site Name]:[Type of Accommodation]],10,FALSE)</f>
        <v>Camp</v>
      </c>
      <c r="EI176" s="727" t="str">
        <f>VLOOKUP(WWWW[[#This Row],[Site Name]],SiteDB6[[Site Name]:[Ethnic or GCA/NGCA]],11,FALSE)</f>
        <v>GCA</v>
      </c>
      <c r="EJ176" s="727">
        <f>VLOOKUP(WWWW[[#This Row],[Site Name]],SiteDB6[[Site Name]:[Lat]],12,FALSE)</f>
        <v>23.460349999999998</v>
      </c>
      <c r="EK176" s="727">
        <f>VLOOKUP(WWWW[[#This Row],[Site Name]],SiteDB6[[Site Name]:[Long]],13,FALSE)</f>
        <v>97.947360000000003</v>
      </c>
      <c r="EL176" s="727" t="str">
        <f>VLOOKUP(WWWW[[#This Row],[Site Name]],SiteDB6[[Site Name]:[Pcode]],3,FALSE)</f>
        <v>MMR015CMP063</v>
      </c>
      <c r="EM176" s="732" t="str">
        <f t="shared" si="2"/>
        <v>Covered</v>
      </c>
      <c r="EN176" s="732"/>
      <c r="EO176" s="727">
        <f>VLOOKUP(WWWW[[#This Row],[Site Name]],SiteDB6[[Site Name]:[Pop
(Kachin/Shan-CCCM as of July 2021)]],16,FALSE)</f>
        <v>36</v>
      </c>
      <c r="EP176" s="727">
        <f>VLOOKUP(WWWW[[#This Row],[Site Name]],SiteDB6[[Site Name]:[Pop
(Kachin/Shan-CCCM as of July 2021)]],17,FALSE)</f>
        <v>158</v>
      </c>
    </row>
    <row r="177" spans="1:146" hidden="1">
      <c r="A177" s="725" t="s">
        <v>2763</v>
      </c>
      <c r="B177" s="725" t="s">
        <v>309</v>
      </c>
      <c r="C177" s="726" t="s">
        <v>309</v>
      </c>
      <c r="D177" s="726"/>
      <c r="E177" s="726" t="s">
        <v>515</v>
      </c>
      <c r="F177" s="726" t="s">
        <v>960</v>
      </c>
      <c r="G177" s="591" t="str">
        <f>VLOOKUP(WWWW[[#This Row],[Site Name]],SiteDB6[[Site Name]:[Location Type]],8,FALSE)</f>
        <v>Camp</v>
      </c>
      <c r="H177" s="726" t="s">
        <v>2696</v>
      </c>
      <c r="I177" s="728">
        <v>142</v>
      </c>
      <c r="J177" s="728">
        <v>504</v>
      </c>
      <c r="K177" s="729"/>
      <c r="L177" s="730"/>
      <c r="M177" s="728"/>
      <c r="N177" s="728"/>
      <c r="O177" s="728"/>
      <c r="P177" s="728"/>
      <c r="Q177" s="731"/>
      <c r="R177" s="728"/>
      <c r="S177" s="728"/>
      <c r="T177" s="448"/>
      <c r="U177" s="728"/>
      <c r="V177" s="728"/>
      <c r="W177" s="728"/>
      <c r="X177" s="728"/>
      <c r="Y177" s="728"/>
      <c r="Z177" s="728"/>
      <c r="AA177" s="728"/>
      <c r="AB177" s="728"/>
      <c r="AC177" s="728"/>
      <c r="AD177" s="728"/>
      <c r="AE177" s="728"/>
      <c r="AF177" s="728"/>
      <c r="AG177" s="728"/>
      <c r="AH177" s="728"/>
      <c r="AI177" s="728"/>
      <c r="AJ177" s="728"/>
      <c r="AK177" s="728"/>
      <c r="AL177" s="728"/>
      <c r="AM177" s="728"/>
      <c r="AN177" s="728"/>
      <c r="AO177" s="728"/>
      <c r="AP177" s="732"/>
      <c r="AQ177" s="728"/>
      <c r="AR177" s="728"/>
      <c r="AS177" s="733"/>
      <c r="AT177" s="728"/>
      <c r="AU177" s="728"/>
      <c r="AV177" s="728"/>
      <c r="AW177" s="728"/>
      <c r="AX177" s="728"/>
      <c r="AY177" s="425" t="s">
        <v>140</v>
      </c>
      <c r="AZ177" s="860" t="s">
        <v>140</v>
      </c>
      <c r="BA177" s="728"/>
      <c r="BB177" s="728"/>
      <c r="BC177" s="728"/>
      <c r="BD177" s="448"/>
      <c r="BE177" s="448"/>
      <c r="BF177" s="727"/>
      <c r="BG177" s="728">
        <v>7</v>
      </c>
      <c r="BH177" s="728"/>
      <c r="BI177" s="728"/>
      <c r="BJ177" s="728">
        <v>7</v>
      </c>
      <c r="BK177" s="728"/>
      <c r="BL177" s="728"/>
      <c r="BM177" s="728"/>
      <c r="BN177" s="728">
        <v>104</v>
      </c>
      <c r="BO177" s="728">
        <v>148</v>
      </c>
      <c r="BP177" s="727"/>
      <c r="BQ177" s="734"/>
      <c r="BR177" s="733"/>
      <c r="BS177" s="727"/>
      <c r="BT177" s="423"/>
      <c r="BU177" s="423"/>
      <c r="BV177" s="425"/>
      <c r="BW177" s="423"/>
      <c r="BX177" s="448"/>
      <c r="BY177" s="448"/>
      <c r="BZ177" s="448"/>
      <c r="CA177" s="448"/>
      <c r="CB177" s="448"/>
      <c r="CC177" s="777"/>
      <c r="CD177" s="448"/>
      <c r="CE177" s="735" t="str">
        <f>IFERROR(WWWW[[#This Row],['#_Water sources passed]]/WWWW[[#This Row],['#_Water sources tested for fecal coliform ]],"no test")</f>
        <v>no test</v>
      </c>
      <c r="CF177" s="733" t="str">
        <f>IFERROR(WWWW[[#This Row],['#_Household passed]]/WWWW[[#This Row],['#_Household water samples tested for fecal coliform]],"no test")</f>
        <v>no test</v>
      </c>
      <c r="CG177" s="734" t="str">
        <f>IF(AND(WWWW[[#This Row],[% of water sources passed]]="no test",WWWW[[#This Row],[% Household passed]]="no test"),"No Test","Tested")</f>
        <v>No Test</v>
      </c>
      <c r="CH177" s="734">
        <f>WWWW[[#This Row],['#_Constructed/existing protected hand dug well]]-WWWW[[#This Row],['#_Non-functional protected hand dug well]]</f>
        <v>0</v>
      </c>
      <c r="CI177" s="734">
        <f>(WWWW[[#This Row],['#_Constructed/Existing tube wells/boreholes/handpumps_WASH_agency]]+WWWW[[#This Row],['#_Non-Cluster partner water tube-wells/boreholes/handpumps]])-WWWW[[#This Row],['#_Non-functional tube wells/boreholes/handpumps]]</f>
        <v>0</v>
      </c>
      <c r="CJ177" s="734">
        <f>WWWW[[#This Row],['#_Constructed/Existingwater storage tank with gravity fed reticulation system]]-WWWW[[#This Row],['#_Non-functional storage tank gravity fed reticulation system]]</f>
        <v>0</v>
      </c>
      <c r="CK177" s="734">
        <f>(WWWW[[#This Row],['#_Water_Liters_supplied_by_Water boating or water trucking]]/90)/15</f>
        <v>0</v>
      </c>
      <c r="CL177" s="734">
        <f>WWWW[[#This Row],['#_Water_Liters_from_Constructed/Existing water distribution system from river or natural spring]]/90/15</f>
        <v>0</v>
      </c>
      <c r="CM177" s="424">
        <f>IF(WWWW[[#This Row],['#_of water points in TLS/CFS]]*500&gt;WWWW[[#This Row],[Total PoP ]],WWWW[[#This Row],[Total PoP ]],WWWW[[#This Row],['#_of water points in TLS/CFS]]*500)</f>
        <v>0</v>
      </c>
      <c r="CN177" s="424">
        <f>IF(WWWW[[#This Row],['#_of water points in THF]]*500&gt;WWWW[[#This Row],[Total PoP ]],WWWW[[#This Row],[Total PoP ]],WWWW[[#This Row],['#_of water points in THF]]*500)</f>
        <v>0</v>
      </c>
      <c r="CO17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7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77" s="733">
        <f>IF(WWWW[[#This Row],[Location Type 1]]="Village",WWWW[[#This Row],[Access to safe drinking water for Village]],WWWW[[#This Row],[Access to safe drinking water for Camp]])</f>
        <v>0</v>
      </c>
      <c r="CR177" s="731">
        <f>WWWW[[#This Row],[%Equitable and continuous access to sufficient quantity of safe drinking water]]*WWWW[[#This Row],[Total PoP ]]</f>
        <v>0</v>
      </c>
      <c r="CS177" s="733">
        <f>IF((WWWW[[#This Row],['#_Constructed/Existing protected/fenced ponds]]*250)/WWWW[[#This Row],[Total PoP ]]&gt;1,1,(WWWW[[#This Row],['#_Constructed/Existing protected/fenced ponds]]*250)/WWWW[[#This Row],[Total PoP ]])</f>
        <v>0</v>
      </c>
      <c r="CT177" s="731">
        <f>WWWW[[#This Row],[% Access to unimproved water points]]*WWWW[[#This Row],[Total PoP ]]</f>
        <v>0</v>
      </c>
      <c r="CU17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7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77" s="731">
        <f>WWWW[[#This Row],[HRP1]]/500</f>
        <v>0</v>
      </c>
      <c r="CX177" s="736">
        <f>1-WWWW[[#This Row],[% Equitable and continuous access to sufficient quantity of domestic water]]</f>
        <v>1</v>
      </c>
      <c r="CY177" s="731">
        <f>WWWW[[#This Row],[%equitable and continuous access to sufficient quantity of safe drinking and domestic water''s GAP]]*WWWW[[#This Row],[Total PoP ]]</f>
        <v>504</v>
      </c>
      <c r="CZ177" s="734">
        <f>IF(WWWW[[#This Row],[Total required water points]]-WWWW[[#This Row],['#Water points coverage]]&lt;0,0,WWWW[[#This Row],[Total required water points]]-WWWW[[#This Row],['#Water points coverage]])</f>
        <v>1</v>
      </c>
      <c r="DA177" s="734">
        <f>ROUND(IF(WWWW[[#This Row],[Total PoP ]]&lt;500,1,WWWW[[#This Row],[Total PoP ]]/500),0)</f>
        <v>1</v>
      </c>
      <c r="DB177" s="734">
        <f>(WWWW[[#This Row],['#_Constructed latrines_by_WASHAgencies]]+WWWW[[#This Row],['#_Non Cluster partner latrines]])-WWWW[[#This Row],['#_Non-functional latrines]]</f>
        <v>0</v>
      </c>
      <c r="DC177" s="631">
        <f>WWWW[[#This Row],[HRP2]]/WWWW[[#This Row],[Total PoP ]]</f>
        <v>0</v>
      </c>
      <c r="DD17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7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7" s="424">
        <f>IF(WWWW[[#This Row],['# of functional latrines in THF supported by WASH partners during the reporting period2]]="",0,WWWW[[#This Row],['# of functional latrines in THF supported by WASH partners during the reporting period2]]*50)</f>
        <v>0</v>
      </c>
      <c r="DH177" s="734">
        <f>ROUND(IF(WWWW[[#This Row],[Location Type 1]]="camp",WWWW[[#This Row],[Total PoP ]]/20,IF(WWWW[[#This Row],[Location Type 1]]="Temporary Location",WWWW[[#This Row],[Total PoP ]]/50,(WWWW[[#This Row],[Total PoP ]]/6))),0)</f>
        <v>25</v>
      </c>
      <c r="DI177" s="734">
        <f>IF(WWWW[[#This Row],[Total required Latrines]]-(WWWW[[#This Row],['#_Constructed latrines_by_WASHAgencies]]+WWWW[[#This Row],['#_Non Cluster partner latrines]])&lt;0,0,WWWW[[#This Row],[Total required Latrines]]-(WWWW[[#This Row],['#_Constructed latrines_by_WASHAgencies]]+WWWW[[#This Row],['#_Non Cluster partner latrines]]))</f>
        <v>25</v>
      </c>
      <c r="DJ177" s="736">
        <f>1-WWWW[[#This Row],[% people access to functioning Latrine]]</f>
        <v>1</v>
      </c>
      <c r="DK177" s="735">
        <f>IF(OR(WWWW[[#This Row],['#_Non-functional latrines]]="",WWWW[[#This Row],['#_Non-functional latrines]]=0),0,WWWW[[#This Row],['#_Non-functional latrines]]/(WWWW[[#This Row],['#_Constructed latrines_by_WASHAgencies]]+WWWW[[#This Row],['#_Non Cluster partner latrines]]))</f>
        <v>0</v>
      </c>
      <c r="DL177" s="731">
        <f>IF(500*(WWWW[[#This Row],['#_male hygiene promoters]]+WWWW[[#This Row],['#_female hygiene promoters]])&gt;WWWW[[#This Row],[Total PoP ]],WWWW[[#This Row],[Total PoP ]],500*(WWWW[[#This Row],['#_male hygiene promoters]]+WWWW[[#This Row],['#_female hygiene promoters]]))</f>
        <v>0</v>
      </c>
      <c r="DM17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504</v>
      </c>
      <c r="DN17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77" s="734">
        <f>IF(WWWW[[#This Row],['# People with access to soap]]&gt;WWWW[[#This Row],['# People with access to Sanity Pads]],WWWW[[#This Row],['# People with access to soap]],WWWW[[#This Row],['# People with access to Sanity Pads]])</f>
        <v>504</v>
      </c>
      <c r="DP177" s="734">
        <f>IF(WWWW[[#This Row],['# people reached by regular dedicated hygiene promotion_5]]&gt;WWWW[[#This Row],['# People received regular supply of hygiene items_6]],WWWW[[#This Row],['# people reached by regular dedicated hygiene promotion_5]],WWWW[[#This Row],['# People received regular supply of hygiene items_6]])</f>
        <v>504</v>
      </c>
      <c r="DQ177" s="736">
        <f>IF(WWWW[[#This Row],[HRP3]]/WWWW[[#This Row],[Total PoP ]]&gt;1,1,WWWW[[#This Row],[HRP3]]/WWWW[[#This Row],[Total PoP ]])</f>
        <v>1</v>
      </c>
      <c r="DR177" s="735">
        <f>1-WWWW[[#This Row],[Hygiene Coverage%]]</f>
        <v>0</v>
      </c>
      <c r="DS177" s="733">
        <f>WWWW[[#This Row],['# people reached by regular dedicated hygiene promotion_5]]/WWWW[[#This Row],[Total PoP ]]</f>
        <v>0</v>
      </c>
      <c r="DT17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7" s="734">
        <f>WWWW[[#This Row],['#_Constructed/Existing hand washing stations]]-WWWW[[#This Row],['#_Non-Functional_hand_washing_stations]]</f>
        <v>7</v>
      </c>
      <c r="DW177" s="731">
        <f>IF(WWWW[[#This Row],['# Functional hand washing stations during reporting period]]*20&gt;WWWW[[#This Row],[Total HH]],WWWW[[#This Row],[Total HH]],WWWW[[#This Row],['# Functional hand washing stations during reporting period]]*20)</f>
        <v>140</v>
      </c>
      <c r="DX177" s="731">
        <f>IF(WWWW[[#This Row],[Is sufficient soap available for TLS? (Yes/No)]]="yes",WWWW[[#This Row],['#_Constructed/Existing hand washing stations at TLS/CFS/THF]],0)</f>
        <v>0</v>
      </c>
      <c r="DY177" s="428">
        <f>IF(WWWW[[#This Row],['# Functional hand washing stations during reporting period]]*100&gt;WWWW[[#This Row],[Total PoP ]],WWWW[[#This Row],[Total PoP ]],WWWW[[#This Row],['# Functional hand washing stations during reporting period]]*100)</f>
        <v>504</v>
      </c>
      <c r="DZ177" s="428" t="str">
        <f>IF(OR(WWWW[[#This Row],['#_students at TLS_CFS]]="",WWWW[[#This Row],['#_students at TLS_CFS]]=0),"No","Yes")</f>
        <v>No</v>
      </c>
      <c r="EA17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7" s="727">
        <f>VLOOKUP(WWWW[[#This Row],[Site Name]],SiteDB6[[Site Name]:[CCCM Management]],6,FALSE)</f>
        <v>0</v>
      </c>
      <c r="EF177" s="727" t="str">
        <f>VLOOKUP(WWWW[[#This Row],[Site Name]],SiteDB6[[Site Name]:[CCCM Focal Agency]],7,FALSE)</f>
        <v>uncovered</v>
      </c>
      <c r="EG177" s="727" t="str">
        <f>VLOOKUP(WWWW[[#This Row],[Site Name]],SiteDB6[[Site Name]:[Location Type 1]],9,FALSE)</f>
        <v>Camp</v>
      </c>
      <c r="EH177" s="727" t="str">
        <f>VLOOKUP(WWWW[[#This Row],[Site Name]],SiteDB6[[Site Name]:[Type of Accommodation]],10,FALSE)</f>
        <v>IDPs in host</v>
      </c>
      <c r="EI177" s="727" t="str">
        <f>VLOOKUP(WWWW[[#This Row],[Site Name]],SiteDB6[[Site Name]:[Ethnic or GCA/NGCA]],11,FALSE)</f>
        <v>GCA</v>
      </c>
      <c r="EJ177" s="727">
        <f>VLOOKUP(WWWW[[#This Row],[Site Name]],SiteDB6[[Site Name]:[Lat]],12,FALSE)</f>
        <v>22.325900000000001</v>
      </c>
      <c r="EK177" s="727">
        <f>VLOOKUP(WWWW[[#This Row],[Site Name]],SiteDB6[[Site Name]:[Long]],13,FALSE)</f>
        <v>97.021000000000001</v>
      </c>
      <c r="EL177" s="727" t="str">
        <f>VLOOKUP(WWWW[[#This Row],[Site Name]],SiteDB6[[Site Name]:[Pcode]],3,FALSE)</f>
        <v>MMR015CMP075</v>
      </c>
      <c r="EM177" s="732" t="str">
        <f t="shared" si="2"/>
        <v>Notcovered</v>
      </c>
      <c r="EN177" s="732"/>
      <c r="EO177" s="727">
        <f>VLOOKUP(WWWW[[#This Row],[Site Name]],SiteDB6[[Site Name]:[Pop
(Kachin/Shan-CCCM as of July 2021)]],16,FALSE)</f>
        <v>1036</v>
      </c>
      <c r="EP177" s="727">
        <f>VLOOKUP(WWWW[[#This Row],[Site Name]],SiteDB6[[Site Name]:[Pop
(Kachin/Shan-CCCM as of July 2021)]],17,FALSE)</f>
        <v>3986</v>
      </c>
    </row>
    <row r="178" spans="1:146" hidden="1">
      <c r="A178" s="725" t="s">
        <v>2763</v>
      </c>
      <c r="B178" s="725" t="s">
        <v>192</v>
      </c>
      <c r="C178" s="726" t="s">
        <v>192</v>
      </c>
      <c r="D178" s="726" t="s">
        <v>2673</v>
      </c>
      <c r="E178" s="726" t="s">
        <v>515</v>
      </c>
      <c r="F178" s="726" t="s">
        <v>536</v>
      </c>
      <c r="G178" s="591" t="str">
        <f>VLOOKUP(WWWW[[#This Row],[Site Name]],SiteDB6[[Site Name]:[Location Type]],8,FALSE)</f>
        <v>Camp</v>
      </c>
      <c r="H178" s="726" t="s">
        <v>543</v>
      </c>
      <c r="I178" s="448">
        <v>60</v>
      </c>
      <c r="J178" s="448">
        <v>270</v>
      </c>
      <c r="K178" s="588" t="s">
        <v>2767</v>
      </c>
      <c r="L178" s="589" t="s">
        <v>2768</v>
      </c>
      <c r="M178" s="728"/>
      <c r="N178" s="728"/>
      <c r="O178" s="728">
        <v>1</v>
      </c>
      <c r="P178" s="728"/>
      <c r="Q178" s="731" t="s">
        <v>41</v>
      </c>
      <c r="R178" s="728">
        <v>4</v>
      </c>
      <c r="S178" s="728">
        <v>3</v>
      </c>
      <c r="T178" s="448">
        <v>1</v>
      </c>
      <c r="U178" s="728"/>
      <c r="V178" s="728"/>
      <c r="W178" s="728">
        <v>1</v>
      </c>
      <c r="X178" s="728">
        <v>1</v>
      </c>
      <c r="Y178" s="728"/>
      <c r="Z178" s="728"/>
      <c r="AA178" s="728"/>
      <c r="AB178" s="728"/>
      <c r="AC178" s="728"/>
      <c r="AD178" s="728"/>
      <c r="AE178" s="728"/>
      <c r="AF178" s="728"/>
      <c r="AG178" s="728"/>
      <c r="AH178" s="728"/>
      <c r="AI178" s="728"/>
      <c r="AJ178" s="728"/>
      <c r="AK178" s="728"/>
      <c r="AL178" s="728"/>
      <c r="AM178" s="728">
        <v>2</v>
      </c>
      <c r="AN178" s="728"/>
      <c r="AO178" s="728"/>
      <c r="AP178" s="732"/>
      <c r="AQ178" s="728">
        <v>16</v>
      </c>
      <c r="AR178" s="728"/>
      <c r="AS178" s="733"/>
      <c r="AT178" s="728"/>
      <c r="AU178" s="728"/>
      <c r="AV178" s="728"/>
      <c r="AW178" s="728"/>
      <c r="AX178" s="728"/>
      <c r="AY178" s="727" t="s">
        <v>41</v>
      </c>
      <c r="AZ178" s="732" t="s">
        <v>137</v>
      </c>
      <c r="BA178" s="728"/>
      <c r="BB178" s="728"/>
      <c r="BC178" s="728"/>
      <c r="BD178" s="448"/>
      <c r="BE178" s="448"/>
      <c r="BF178" s="727"/>
      <c r="BG178" s="728">
        <v>7</v>
      </c>
      <c r="BH178" s="728"/>
      <c r="BI178" s="728"/>
      <c r="BJ178" s="728">
        <v>4</v>
      </c>
      <c r="BK178" s="728"/>
      <c r="BL178" s="728"/>
      <c r="BM178" s="728">
        <v>1</v>
      </c>
      <c r="BN178" s="728">
        <v>124</v>
      </c>
      <c r="BO178" s="728">
        <v>198</v>
      </c>
      <c r="BP178" s="727"/>
      <c r="BQ178" s="734"/>
      <c r="BR178" s="733"/>
      <c r="BS178" s="727"/>
      <c r="BT178" s="423"/>
      <c r="BU178" s="423"/>
      <c r="BV178" s="425"/>
      <c r="BW178" s="423"/>
      <c r="BX178" s="448"/>
      <c r="BY178" s="448"/>
      <c r="BZ178" s="448"/>
      <c r="CA178" s="448"/>
      <c r="CB178" s="448"/>
      <c r="CC178" s="777"/>
      <c r="CD178" s="448"/>
      <c r="CE178" s="735" t="str">
        <f>IFERROR(WWWW[[#This Row],['#_Water sources passed]]/WWWW[[#This Row],['#_Water sources tested for fecal coliform ]],"no test")</f>
        <v>no test</v>
      </c>
      <c r="CF178" s="733" t="str">
        <f>IFERROR(WWWW[[#This Row],['#_Household passed]]/WWWW[[#This Row],['#_Household water samples tested for fecal coliform]],"no test")</f>
        <v>no test</v>
      </c>
      <c r="CG178" s="734" t="str">
        <f>IF(AND(WWWW[[#This Row],[% of water sources passed]]="no test",WWWW[[#This Row],[% Household passed]]="no test"),"No Test","Tested")</f>
        <v>No Test</v>
      </c>
      <c r="CH178" s="734">
        <f>WWWW[[#This Row],['#_Constructed/existing protected hand dug well]]-WWWW[[#This Row],['#_Non-functional protected hand dug well]]</f>
        <v>1</v>
      </c>
      <c r="CI178" s="734">
        <f>(WWWW[[#This Row],['#_Constructed/Existing tube wells/boreholes/handpumps_WASH_agency]]+WWWW[[#This Row],['#_Non-Cluster partner water tube-wells/boreholes/handpumps]])-WWWW[[#This Row],['#_Non-functional tube wells/boreholes/handpumps]]</f>
        <v>2</v>
      </c>
      <c r="CJ178" s="734">
        <f>WWWW[[#This Row],['#_Constructed/Existingwater storage tank with gravity fed reticulation system]]-WWWW[[#This Row],['#_Non-functional storage tank gravity fed reticulation system]]</f>
        <v>0</v>
      </c>
      <c r="CK178" s="734">
        <f>(WWWW[[#This Row],['#_Water_Liters_supplied_by_Water boating or water trucking]]/90)/15</f>
        <v>0</v>
      </c>
      <c r="CL178" s="734">
        <f>WWWW[[#This Row],['#_Water_Liters_from_Constructed/Existing water distribution system from river or natural spring]]/90/15</f>
        <v>0</v>
      </c>
      <c r="CM178" s="424">
        <f>IF(WWWW[[#This Row],['#_of water points in TLS/CFS]]*500&gt;WWWW[[#This Row],[Total PoP ]],WWWW[[#This Row],[Total PoP ]],WWWW[[#This Row],['#_of water points in TLS/CFS]]*500)</f>
        <v>0</v>
      </c>
      <c r="CN178" s="424">
        <f>IF(WWWW[[#This Row],['#_of water points in THF]]*500&gt;WWWW[[#This Row],[Total PoP ]],WWWW[[#This Row],[Total PoP ]],WWWW[[#This Row],['#_of water points in THF]]*500)</f>
        <v>0</v>
      </c>
      <c r="CO17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8" s="733">
        <f>IF(WWWW[[#This Row],[Location Type 1]]="Village",WWWW[[#This Row],[Access to safe drinking water for Village]],WWWW[[#This Row],[Access to safe drinking water for Camp]])</f>
        <v>1</v>
      </c>
      <c r="CR178" s="731">
        <f>WWWW[[#This Row],[%Equitable and continuous access to sufficient quantity of safe drinking water]]*WWWW[[#This Row],[Total PoP ]]</f>
        <v>270</v>
      </c>
      <c r="CS178" s="733">
        <f>IF((WWWW[[#This Row],['#_Constructed/Existing protected/fenced ponds]]*250)/WWWW[[#This Row],[Total PoP ]]&gt;1,1,(WWWW[[#This Row],['#_Constructed/Existing protected/fenced ponds]]*250)/WWWW[[#This Row],[Total PoP ]])</f>
        <v>0</v>
      </c>
      <c r="CT178" s="731">
        <f>WWWW[[#This Row],[% Access to unimproved water points]]*WWWW[[#This Row],[Total PoP ]]</f>
        <v>0</v>
      </c>
      <c r="CU17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CW178" s="731">
        <f>WWWW[[#This Row],[HRP1]]/500</f>
        <v>0.54</v>
      </c>
      <c r="CX178" s="736">
        <f>1-WWWW[[#This Row],[% Equitable and continuous access to sufficient quantity of domestic water]]</f>
        <v>0</v>
      </c>
      <c r="CY178" s="731">
        <f>WWWW[[#This Row],[%equitable and continuous access to sufficient quantity of safe drinking and domestic water''s GAP]]*WWWW[[#This Row],[Total PoP ]]</f>
        <v>0</v>
      </c>
      <c r="CZ178" s="734">
        <f>IF(WWWW[[#This Row],[Total required water points]]-WWWW[[#This Row],['#Water points coverage]]&lt;0,0,WWWW[[#This Row],[Total required water points]]-WWWW[[#This Row],['#Water points coverage]])</f>
        <v>0.45999999999999996</v>
      </c>
      <c r="DA178" s="734">
        <f>ROUND(IF(WWWW[[#This Row],[Total PoP ]]&lt;500,1,WWWW[[#This Row],[Total PoP ]]/500),0)</f>
        <v>1</v>
      </c>
      <c r="DB178" s="734">
        <f>(WWWW[[#This Row],['#_Constructed latrines_by_WASHAgencies]]+WWWW[[#This Row],['#_Non Cluster partner latrines]])-WWWW[[#This Row],['#_Non-functional latrines]]</f>
        <v>16</v>
      </c>
      <c r="DC178" s="631">
        <f>WWWW[[#This Row],[HRP2]]/WWWW[[#This Row],[Total PoP ]]</f>
        <v>1</v>
      </c>
      <c r="DD17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270</v>
      </c>
      <c r="DE17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8" s="424">
        <f>IF(WWWW[[#This Row],['# of functional latrines in THF supported by WASH partners during the reporting period2]]="",0,WWWW[[#This Row],['# of functional latrines in THF supported by WASH partners during the reporting period2]]*50)</f>
        <v>0</v>
      </c>
      <c r="DH178" s="734">
        <f>ROUND(IF(WWWW[[#This Row],[Location Type 1]]="camp",WWWW[[#This Row],[Total PoP ]]/20,IF(WWWW[[#This Row],[Location Type 1]]="Temporary Location",WWWW[[#This Row],[Total PoP ]]/50,(WWWW[[#This Row],[Total PoP ]]/6))),0)</f>
        <v>14</v>
      </c>
      <c r="DI178" s="734">
        <f>IF(WWWW[[#This Row],[Total required Latrines]]-(WWWW[[#This Row],['#_Constructed latrines_by_WASHAgencies]]+WWWW[[#This Row],['#_Non Cluster partner latrines]])&lt;0,0,WWWW[[#This Row],[Total required Latrines]]-(WWWW[[#This Row],['#_Constructed latrines_by_WASHAgencies]]+WWWW[[#This Row],['#_Non Cluster partner latrines]]))</f>
        <v>0</v>
      </c>
      <c r="DJ178" s="736">
        <f>1-WWWW[[#This Row],[% people access to functioning Latrine]]</f>
        <v>0</v>
      </c>
      <c r="DK178" s="735">
        <f>IF(OR(WWWW[[#This Row],['#_Non-functional latrines]]="",WWWW[[#This Row],['#_Non-functional latrines]]=0),0,WWWW[[#This Row],['#_Non-functional latrines]]/(WWWW[[#This Row],['#_Constructed latrines_by_WASHAgencies]]+WWWW[[#This Row],['#_Non Cluster partner latrines]]))</f>
        <v>0</v>
      </c>
      <c r="DL178" s="731">
        <f>IF(500*(WWWW[[#This Row],['#_male hygiene promoters]]+WWWW[[#This Row],['#_female hygiene promoters]])&gt;WWWW[[#This Row],[Total PoP ]],WWWW[[#This Row],[Total PoP ]],500*(WWWW[[#This Row],['#_male hygiene promoters]]+WWWW[[#This Row],['#_female hygiene promoters]]))</f>
        <v>270</v>
      </c>
      <c r="DM17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270</v>
      </c>
      <c r="DN17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78" s="734">
        <f>IF(WWWW[[#This Row],['# People with access to soap]]&gt;WWWW[[#This Row],['# People with access to Sanity Pads]],WWWW[[#This Row],['# People with access to soap]],WWWW[[#This Row],['# People with access to Sanity Pads]])</f>
        <v>270</v>
      </c>
      <c r="DP178" s="734">
        <f>IF(WWWW[[#This Row],['# people reached by regular dedicated hygiene promotion_5]]&gt;WWWW[[#This Row],['# People received regular supply of hygiene items_6]],WWWW[[#This Row],['# people reached by regular dedicated hygiene promotion_5]],WWWW[[#This Row],['# People received regular supply of hygiene items_6]])</f>
        <v>270</v>
      </c>
      <c r="DQ178" s="736">
        <f>IF(WWWW[[#This Row],[HRP3]]/WWWW[[#This Row],[Total PoP ]]&gt;1,1,WWWW[[#This Row],[HRP3]]/WWWW[[#This Row],[Total PoP ]])</f>
        <v>1</v>
      </c>
      <c r="DR178" s="735">
        <f>1-WWWW[[#This Row],[Hygiene Coverage%]]</f>
        <v>0</v>
      </c>
      <c r="DS178" s="733">
        <f>WWWW[[#This Row],['# people reached by regular dedicated hygiene promotion_5]]/WWWW[[#This Row],[Total PoP ]]</f>
        <v>1</v>
      </c>
      <c r="DT17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8" s="734">
        <f>WWWW[[#This Row],['#_Constructed/Existing hand washing stations]]-WWWW[[#This Row],['#_Non-Functional_hand_washing_stations]]</f>
        <v>7</v>
      </c>
      <c r="DW178" s="731">
        <f>IF(WWWW[[#This Row],['# Functional hand washing stations during reporting period]]*20&gt;WWWW[[#This Row],[Total HH]],WWWW[[#This Row],[Total HH]],WWWW[[#This Row],['# Functional hand washing stations during reporting period]]*20)</f>
        <v>60</v>
      </c>
      <c r="DX178" s="731">
        <f>IF(WWWW[[#This Row],[Is sufficient soap available for TLS? (Yes/No)]]="yes",WWWW[[#This Row],['#_Constructed/Existing hand washing stations at TLS/CFS/THF]],0)</f>
        <v>0</v>
      </c>
      <c r="DY178" s="428">
        <f>IF(WWWW[[#This Row],['# Functional hand washing stations during reporting period]]*100&gt;WWWW[[#This Row],[Total PoP ]],WWWW[[#This Row],[Total PoP ]],WWWW[[#This Row],['# Functional hand washing stations during reporting period]]*100)</f>
        <v>270</v>
      </c>
      <c r="DZ178" s="428" t="str">
        <f>IF(OR(WWWW[[#This Row],['#_students at TLS_CFS]]="",WWWW[[#This Row],['#_students at TLS_CFS]]=0),"No","Yes")</f>
        <v>No</v>
      </c>
      <c r="EA17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8" s="727" t="str">
        <f>VLOOKUP(WWWW[[#This Row],[Site Name]],SiteDB6[[Site Name]:[CCCM Management]],6,FALSE)</f>
        <v>Yes</v>
      </c>
      <c r="EF178" s="727" t="str">
        <f>VLOOKUP(WWWW[[#This Row],[Site Name]],SiteDB6[[Site Name]:[CCCM Focal Agency]],7,FALSE)</f>
        <v>KMSS-LSO</v>
      </c>
      <c r="EG178" s="727" t="str">
        <f>VLOOKUP(WWWW[[#This Row],[Site Name]],SiteDB6[[Site Name]:[Location Type 1]],9,FALSE)</f>
        <v>Camp</v>
      </c>
      <c r="EH178" s="727" t="str">
        <f>VLOOKUP(WWWW[[#This Row],[Site Name]],SiteDB6[[Site Name]:[Type of Accommodation]],10,FALSE)</f>
        <v>Camp</v>
      </c>
      <c r="EI178" s="727" t="str">
        <f>VLOOKUP(WWWW[[#This Row],[Site Name]],SiteDB6[[Site Name]:[Ethnic or GCA/NGCA]],11,FALSE)</f>
        <v>GCA</v>
      </c>
      <c r="EJ178" s="727">
        <f>VLOOKUP(WWWW[[#This Row],[Site Name]],SiteDB6[[Site Name]:[Lat]],12,FALSE)</f>
        <v>23.099304</v>
      </c>
      <c r="EK178" s="727">
        <f>VLOOKUP(WWWW[[#This Row],[Site Name]],SiteDB6[[Site Name]:[Long]],13,FALSE)</f>
        <v>97.400671000000003</v>
      </c>
      <c r="EL178" s="727" t="str">
        <f>VLOOKUP(WWWW[[#This Row],[Site Name]],SiteDB6[[Site Name]:[Pcode]],3,FALSE)</f>
        <v>MMR015CMP066</v>
      </c>
      <c r="EM178" s="732" t="str">
        <f t="shared" si="2"/>
        <v>Covered</v>
      </c>
      <c r="EN178" s="732"/>
      <c r="EO178" s="727">
        <f>VLOOKUP(WWWW[[#This Row],[Site Name]],SiteDB6[[Site Name]:[Pop
(Kachin/Shan-CCCM as of July 2021)]],16,FALSE)</f>
        <v>60</v>
      </c>
      <c r="EP178" s="727">
        <f>VLOOKUP(WWWW[[#This Row],[Site Name]],SiteDB6[[Site Name]:[Pop
(Kachin/Shan-CCCM as of July 2021)]],17,FALSE)</f>
        <v>272</v>
      </c>
    </row>
    <row r="179" spans="1:146" hidden="1">
      <c r="A179" s="725" t="s">
        <v>2763</v>
      </c>
      <c r="B179" s="725" t="s">
        <v>192</v>
      </c>
      <c r="C179" s="726" t="s">
        <v>192</v>
      </c>
      <c r="D179" s="726" t="s">
        <v>2673</v>
      </c>
      <c r="E179" s="726" t="s">
        <v>515</v>
      </c>
      <c r="F179" s="726" t="s">
        <v>536</v>
      </c>
      <c r="G179" s="591" t="str">
        <f>VLOOKUP(WWWW[[#This Row],[Site Name]],SiteDB6[[Site Name]:[Location Type]],8,FALSE)</f>
        <v>Camp</v>
      </c>
      <c r="H179" s="726" t="s">
        <v>544</v>
      </c>
      <c r="I179" s="448">
        <v>30</v>
      </c>
      <c r="J179" s="448">
        <v>127</v>
      </c>
      <c r="K179" s="588" t="s">
        <v>2767</v>
      </c>
      <c r="L179" s="589" t="s">
        <v>2768</v>
      </c>
      <c r="M179" s="728"/>
      <c r="N179" s="728"/>
      <c r="O179" s="728">
        <v>1</v>
      </c>
      <c r="P179" s="728"/>
      <c r="Q179" s="731" t="s">
        <v>41</v>
      </c>
      <c r="R179" s="728">
        <v>3</v>
      </c>
      <c r="S179" s="728">
        <v>3</v>
      </c>
      <c r="T179" s="448"/>
      <c r="U179" s="728"/>
      <c r="V179" s="728"/>
      <c r="W179" s="728">
        <v>2</v>
      </c>
      <c r="X179" s="728">
        <v>1</v>
      </c>
      <c r="Y179" s="728"/>
      <c r="Z179" s="728"/>
      <c r="AA179" s="728"/>
      <c r="AB179" s="728"/>
      <c r="AC179" s="728"/>
      <c r="AD179" s="728"/>
      <c r="AE179" s="728"/>
      <c r="AF179" s="728"/>
      <c r="AG179" s="728"/>
      <c r="AH179" s="728"/>
      <c r="AI179" s="728"/>
      <c r="AJ179" s="728"/>
      <c r="AK179" s="728"/>
      <c r="AL179" s="728"/>
      <c r="AM179" s="728"/>
      <c r="AN179" s="728"/>
      <c r="AO179" s="728"/>
      <c r="AP179" s="732"/>
      <c r="AQ179" s="728">
        <v>10</v>
      </c>
      <c r="AR179" s="728">
        <v>2</v>
      </c>
      <c r="AS179" s="733"/>
      <c r="AT179" s="728"/>
      <c r="AU179" s="728"/>
      <c r="AV179" s="728"/>
      <c r="AW179" s="728"/>
      <c r="AX179" s="728">
        <v>2</v>
      </c>
      <c r="AY179" s="727" t="s">
        <v>41</v>
      </c>
      <c r="AZ179" s="732" t="s">
        <v>137</v>
      </c>
      <c r="BA179" s="728"/>
      <c r="BB179" s="728"/>
      <c r="BC179" s="728"/>
      <c r="BD179" s="448"/>
      <c r="BE179" s="448"/>
      <c r="BF179" s="727"/>
      <c r="BG179" s="728">
        <v>3</v>
      </c>
      <c r="BH179" s="728"/>
      <c r="BI179" s="728"/>
      <c r="BJ179" s="728">
        <v>2</v>
      </c>
      <c r="BK179" s="728"/>
      <c r="BL179" s="728"/>
      <c r="BM179" s="728">
        <v>1</v>
      </c>
      <c r="BN179" s="728">
        <v>10</v>
      </c>
      <c r="BO179" s="728">
        <v>18</v>
      </c>
      <c r="BP179" s="727"/>
      <c r="BQ179" s="734"/>
      <c r="BR179" s="733"/>
      <c r="BS179" s="727"/>
      <c r="BT179" s="423"/>
      <c r="BU179" s="423"/>
      <c r="BV179" s="425"/>
      <c r="BW179" s="423"/>
      <c r="BX179" s="448"/>
      <c r="BY179" s="448"/>
      <c r="BZ179" s="448"/>
      <c r="CA179" s="448"/>
      <c r="CB179" s="448"/>
      <c r="CC179" s="777"/>
      <c r="CD179" s="448"/>
      <c r="CE179" s="735" t="str">
        <f>IFERROR(WWWW[[#This Row],['#_Water sources passed]]/WWWW[[#This Row],['#_Water sources tested for fecal coliform ]],"no test")</f>
        <v>no test</v>
      </c>
      <c r="CF179" s="733" t="str">
        <f>IFERROR(WWWW[[#This Row],['#_Household passed]]/WWWW[[#This Row],['#_Household water samples tested for fecal coliform]],"no test")</f>
        <v>no test</v>
      </c>
      <c r="CG179" s="734" t="str">
        <f>IF(AND(WWWW[[#This Row],[% of water sources passed]]="no test",WWWW[[#This Row],[% Household passed]]="no test"),"No Test","Tested")</f>
        <v>No Test</v>
      </c>
      <c r="CH179" s="734">
        <f>WWWW[[#This Row],['#_Constructed/existing protected hand dug well]]-WWWW[[#This Row],['#_Non-functional protected hand dug well]]</f>
        <v>0</v>
      </c>
      <c r="CI179" s="734">
        <f>(WWWW[[#This Row],['#_Constructed/Existing tube wells/boreholes/handpumps_WASH_agency]]+WWWW[[#This Row],['#_Non-Cluster partner water tube-wells/boreholes/handpumps]])-WWWW[[#This Row],['#_Non-functional tube wells/boreholes/handpumps]]</f>
        <v>3</v>
      </c>
      <c r="CJ179" s="734">
        <f>WWWW[[#This Row],['#_Constructed/Existingwater storage tank with gravity fed reticulation system]]-WWWW[[#This Row],['#_Non-functional storage tank gravity fed reticulation system]]</f>
        <v>0</v>
      </c>
      <c r="CK179" s="734">
        <f>(WWWW[[#This Row],['#_Water_Liters_supplied_by_Water boating or water trucking]]/90)/15</f>
        <v>0</v>
      </c>
      <c r="CL179" s="734">
        <f>WWWW[[#This Row],['#_Water_Liters_from_Constructed/Existing water distribution system from river or natural spring]]/90/15</f>
        <v>0</v>
      </c>
      <c r="CM179" s="424">
        <f>IF(WWWW[[#This Row],['#_of water points in TLS/CFS]]*500&gt;WWWW[[#This Row],[Total PoP ]],WWWW[[#This Row],[Total PoP ]],WWWW[[#This Row],['#_of water points in TLS/CFS]]*500)</f>
        <v>0</v>
      </c>
      <c r="CN179" s="424">
        <f>IF(WWWW[[#This Row],['#_of water points in THF]]*500&gt;WWWW[[#This Row],[Total PoP ]],WWWW[[#This Row],[Total PoP ]],WWWW[[#This Row],['#_of water points in THF]]*500)</f>
        <v>0</v>
      </c>
      <c r="CO17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9" s="733">
        <f>IF(WWWW[[#This Row],[Location Type 1]]="Village",WWWW[[#This Row],[Access to safe drinking water for Village]],WWWW[[#This Row],[Access to safe drinking water for Camp]])</f>
        <v>1</v>
      </c>
      <c r="CR179" s="731">
        <f>WWWW[[#This Row],[%Equitable and continuous access to sufficient quantity of safe drinking water]]*WWWW[[#This Row],[Total PoP ]]</f>
        <v>127</v>
      </c>
      <c r="CS179" s="733">
        <f>IF((WWWW[[#This Row],['#_Constructed/Existing protected/fenced ponds]]*250)/WWWW[[#This Row],[Total PoP ]]&gt;1,1,(WWWW[[#This Row],['#_Constructed/Existing protected/fenced ponds]]*250)/WWWW[[#This Row],[Total PoP ]])</f>
        <v>0</v>
      </c>
      <c r="CT179" s="731">
        <f>WWWW[[#This Row],[% Access to unimproved water points]]*WWWW[[#This Row],[Total PoP ]]</f>
        <v>0</v>
      </c>
      <c r="CU17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W179" s="731">
        <f>WWWW[[#This Row],[HRP1]]/500</f>
        <v>0.254</v>
      </c>
      <c r="CX179" s="736">
        <f>1-WWWW[[#This Row],[% Equitable and continuous access to sufficient quantity of domestic water]]</f>
        <v>0</v>
      </c>
      <c r="CY179" s="731">
        <f>WWWW[[#This Row],[%equitable and continuous access to sufficient quantity of safe drinking and domestic water''s GAP]]*WWWW[[#This Row],[Total PoP ]]</f>
        <v>0</v>
      </c>
      <c r="CZ179" s="734">
        <f>IF(WWWW[[#This Row],[Total required water points]]-WWWW[[#This Row],['#Water points coverage]]&lt;0,0,WWWW[[#This Row],[Total required water points]]-WWWW[[#This Row],['#Water points coverage]])</f>
        <v>0.746</v>
      </c>
      <c r="DA179" s="734">
        <f>ROUND(IF(WWWW[[#This Row],[Total PoP ]]&lt;500,1,WWWW[[#This Row],[Total PoP ]]/500),0)</f>
        <v>1</v>
      </c>
      <c r="DB179" s="734">
        <f>(WWWW[[#This Row],['#_Constructed latrines_by_WASHAgencies]]+WWWW[[#This Row],['#_Non Cluster partner latrines]])-WWWW[[#This Row],['#_Non-functional latrines]]</f>
        <v>12</v>
      </c>
      <c r="DC179" s="631">
        <f>WWWW[[#This Row],[HRP2]]/WWWW[[#This Row],[Total PoP ]]</f>
        <v>1</v>
      </c>
      <c r="DD17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127</v>
      </c>
      <c r="DE17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9" s="424">
        <f>IF(WWWW[[#This Row],['# of functional latrines in THF supported by WASH partners during the reporting period2]]="",0,WWWW[[#This Row],['# of functional latrines in THF supported by WASH partners during the reporting period2]]*50)</f>
        <v>0</v>
      </c>
      <c r="DH179" s="734">
        <f>ROUND(IF(WWWW[[#This Row],[Location Type 1]]="camp",WWWW[[#This Row],[Total PoP ]]/20,IF(WWWW[[#This Row],[Location Type 1]]="Temporary Location",WWWW[[#This Row],[Total PoP ]]/50,(WWWW[[#This Row],[Total PoP ]]/6))),0)</f>
        <v>6</v>
      </c>
      <c r="DI179" s="734">
        <f>IF(WWWW[[#This Row],[Total required Latrines]]-(WWWW[[#This Row],['#_Constructed latrines_by_WASHAgencies]]+WWWW[[#This Row],['#_Non Cluster partner latrines]])&lt;0,0,WWWW[[#This Row],[Total required Latrines]]-(WWWW[[#This Row],['#_Constructed latrines_by_WASHAgencies]]+WWWW[[#This Row],['#_Non Cluster partner latrines]]))</f>
        <v>0</v>
      </c>
      <c r="DJ179" s="736">
        <f>1-WWWW[[#This Row],[% people access to functioning Latrine]]</f>
        <v>0</v>
      </c>
      <c r="DK179" s="735">
        <f>IF(OR(WWWW[[#This Row],['#_Non-functional latrines]]="",WWWW[[#This Row],['#_Non-functional latrines]]=0),0,WWWW[[#This Row],['#_Non-functional latrines]]/(WWWW[[#This Row],['#_Constructed latrines_by_WASHAgencies]]+WWWW[[#This Row],['#_Non Cluster partner latrines]]))</f>
        <v>0</v>
      </c>
      <c r="DL179" s="731">
        <f>IF(500*(WWWW[[#This Row],['#_male hygiene promoters]]+WWWW[[#This Row],['#_female hygiene promoters]])&gt;WWWW[[#This Row],[Total PoP ]],WWWW[[#This Row],[Total PoP ]],500*(WWWW[[#This Row],['#_male hygiene promoters]]+WWWW[[#This Row],['#_female hygiene promoters]]))</f>
        <v>127</v>
      </c>
      <c r="DM17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7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79" s="734">
        <f>IF(WWWW[[#This Row],['# People with access to soap]]&gt;WWWW[[#This Row],['# People with access to Sanity Pads]],WWWW[[#This Row],['# People with access to soap]],WWWW[[#This Row],['# People with access to Sanity Pads]])</f>
        <v>50</v>
      </c>
      <c r="DP179" s="734">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Q179" s="736">
        <f>IF(WWWW[[#This Row],[HRP3]]/WWWW[[#This Row],[Total PoP ]]&gt;1,1,WWWW[[#This Row],[HRP3]]/WWWW[[#This Row],[Total PoP ]])</f>
        <v>1</v>
      </c>
      <c r="DR179" s="735">
        <f>1-WWWW[[#This Row],[Hygiene Coverage%]]</f>
        <v>0</v>
      </c>
      <c r="DS179" s="733">
        <f>WWWW[[#This Row],['# people reached by regular dedicated hygiene promotion_5]]/WWWW[[#This Row],[Total PoP ]]</f>
        <v>1</v>
      </c>
      <c r="DT17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v>
      </c>
      <c r="DV179" s="734">
        <f>WWWW[[#This Row],['#_Constructed/Existing hand washing stations]]-WWWW[[#This Row],['#_Non-Functional_hand_washing_stations]]</f>
        <v>3</v>
      </c>
      <c r="DW179" s="731">
        <f>IF(WWWW[[#This Row],['# Functional hand washing stations during reporting period]]*20&gt;WWWW[[#This Row],[Total HH]],WWWW[[#This Row],[Total HH]],WWWW[[#This Row],['# Functional hand washing stations during reporting period]]*20)</f>
        <v>30</v>
      </c>
      <c r="DX179" s="731">
        <f>IF(WWWW[[#This Row],[Is sufficient soap available for TLS? (Yes/No)]]="yes",WWWW[[#This Row],['#_Constructed/Existing hand washing stations at TLS/CFS/THF]],0)</f>
        <v>0</v>
      </c>
      <c r="DY179" s="428">
        <f>IF(WWWW[[#This Row],['# Functional hand washing stations during reporting period]]*100&gt;WWWW[[#This Row],[Total PoP ]],WWWW[[#This Row],[Total PoP ]],WWWW[[#This Row],['# Functional hand washing stations during reporting period]]*100)</f>
        <v>127</v>
      </c>
      <c r="DZ179" s="428" t="str">
        <f>IF(OR(WWWW[[#This Row],['#_students at TLS_CFS]]="",WWWW[[#This Row],['#_students at TLS_CFS]]=0),"No","Yes")</f>
        <v>No</v>
      </c>
      <c r="EA17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9" s="727" t="str">
        <f>VLOOKUP(WWWW[[#This Row],[Site Name]],SiteDB6[[Site Name]:[CCCM Management]],6,FALSE)</f>
        <v>Yes</v>
      </c>
      <c r="EF179" s="727" t="str">
        <f>VLOOKUP(WWWW[[#This Row],[Site Name]],SiteDB6[[Site Name]:[CCCM Focal Agency]],7,FALSE)</f>
        <v>KMSS-LSO</v>
      </c>
      <c r="EG179" s="727" t="str">
        <f>VLOOKUP(WWWW[[#This Row],[Site Name]],SiteDB6[[Site Name]:[Location Type 1]],9,FALSE)</f>
        <v>Camp</v>
      </c>
      <c r="EH179" s="727" t="str">
        <f>VLOOKUP(WWWW[[#This Row],[Site Name]],SiteDB6[[Site Name]:[Type of Accommodation]],10,FALSE)</f>
        <v>Camp</v>
      </c>
      <c r="EI179" s="727" t="str">
        <f>VLOOKUP(WWWW[[#This Row],[Site Name]],SiteDB6[[Site Name]:[Ethnic or GCA/NGCA]],11,FALSE)</f>
        <v>GCA</v>
      </c>
      <c r="EJ179" s="727">
        <f>VLOOKUP(WWWW[[#This Row],[Site Name]],SiteDB6[[Site Name]:[Lat]],12,FALSE)</f>
        <v>23.088011000000002</v>
      </c>
      <c r="EK179" s="727">
        <f>VLOOKUP(WWWW[[#This Row],[Site Name]],SiteDB6[[Site Name]:[Long]],13,FALSE)</f>
        <v>97.398698999999993</v>
      </c>
      <c r="EL179" s="727" t="str">
        <f>VLOOKUP(WWWW[[#This Row],[Site Name]],SiteDB6[[Site Name]:[Pcode]],3,FALSE)</f>
        <v>MMR015CMP050</v>
      </c>
      <c r="EM179" s="732" t="str">
        <f t="shared" si="2"/>
        <v>Covered</v>
      </c>
      <c r="EN179" s="732"/>
      <c r="EO179" s="727">
        <f>VLOOKUP(WWWW[[#This Row],[Site Name]],SiteDB6[[Site Name]:[Pop
(Kachin/Shan-CCCM as of July 2021)]],16,FALSE)</f>
        <v>30</v>
      </c>
      <c r="EP179" s="727">
        <f>VLOOKUP(WWWW[[#This Row],[Site Name]],SiteDB6[[Site Name]:[Pop
(Kachin/Shan-CCCM as of July 2021)]],17,FALSE)</f>
        <v>129</v>
      </c>
    </row>
    <row r="180" spans="1:146" hidden="1">
      <c r="A180" s="725" t="s">
        <v>2763</v>
      </c>
      <c r="B180" s="725" t="s">
        <v>192</v>
      </c>
      <c r="C180" s="726" t="s">
        <v>192</v>
      </c>
      <c r="D180" s="726" t="s">
        <v>2673</v>
      </c>
      <c r="E180" s="726" t="s">
        <v>515</v>
      </c>
      <c r="F180" s="726" t="s">
        <v>519</v>
      </c>
      <c r="G180" s="591" t="str">
        <f>VLOOKUP(WWWW[[#This Row],[Site Name]],SiteDB6[[Site Name]:[Location Type]],8,FALSE)</f>
        <v>Camp</v>
      </c>
      <c r="H180" s="726" t="s">
        <v>1616</v>
      </c>
      <c r="I180" s="728">
        <v>74</v>
      </c>
      <c r="J180" s="728">
        <v>502</v>
      </c>
      <c r="K180" s="729" t="s">
        <v>2767</v>
      </c>
      <c r="L180" s="730" t="s">
        <v>2768</v>
      </c>
      <c r="M180" s="728"/>
      <c r="N180" s="728"/>
      <c r="O180" s="728"/>
      <c r="P180" s="728"/>
      <c r="Q180" s="731"/>
      <c r="R180" s="728">
        <v>6</v>
      </c>
      <c r="S180" s="728">
        <v>3</v>
      </c>
      <c r="T180" s="448"/>
      <c r="U180" s="728"/>
      <c r="V180" s="728"/>
      <c r="W180" s="728"/>
      <c r="X180" s="728"/>
      <c r="Y180" s="728"/>
      <c r="Z180" s="728"/>
      <c r="AA180" s="728">
        <v>8</v>
      </c>
      <c r="AB180" s="728"/>
      <c r="AC180" s="728"/>
      <c r="AD180" s="728"/>
      <c r="AE180" s="728"/>
      <c r="AF180" s="728"/>
      <c r="AG180" s="728"/>
      <c r="AH180" s="728"/>
      <c r="AI180" s="728"/>
      <c r="AJ180" s="728"/>
      <c r="AK180" s="728"/>
      <c r="AL180" s="728"/>
      <c r="AM180" s="728">
        <v>1</v>
      </c>
      <c r="AN180" s="728">
        <v>2</v>
      </c>
      <c r="AO180" s="728"/>
      <c r="AP180" s="732"/>
      <c r="AQ180" s="728">
        <v>85</v>
      </c>
      <c r="AR180" s="728"/>
      <c r="AS180" s="733"/>
      <c r="AT180" s="728"/>
      <c r="AU180" s="728"/>
      <c r="AV180" s="728"/>
      <c r="AW180" s="728"/>
      <c r="AX180" s="728">
        <v>5</v>
      </c>
      <c r="AY180" s="727" t="s">
        <v>41</v>
      </c>
      <c r="AZ180" s="732" t="s">
        <v>904</v>
      </c>
      <c r="BA180" s="728"/>
      <c r="BB180" s="728"/>
      <c r="BC180" s="728"/>
      <c r="BD180" s="448"/>
      <c r="BE180" s="448"/>
      <c r="BF180" s="727"/>
      <c r="BG180" s="728">
        <v>1</v>
      </c>
      <c r="BH180" s="728"/>
      <c r="BI180" s="728"/>
      <c r="BJ180" s="728">
        <v>3</v>
      </c>
      <c r="BK180" s="728"/>
      <c r="BL180" s="728">
        <v>1</v>
      </c>
      <c r="BM180" s="728"/>
      <c r="BN180" s="728">
        <v>41</v>
      </c>
      <c r="BO180" s="728">
        <v>85</v>
      </c>
      <c r="BP180" s="727"/>
      <c r="BQ180" s="734"/>
      <c r="BR180" s="733"/>
      <c r="BS180" s="727"/>
      <c r="BT180" s="423"/>
      <c r="BU180" s="423"/>
      <c r="BV180" s="425"/>
      <c r="BW180" s="423"/>
      <c r="BX180" s="448"/>
      <c r="BY180" s="448"/>
      <c r="BZ180" s="448"/>
      <c r="CA180" s="448"/>
      <c r="CB180" s="448"/>
      <c r="CC180" s="777"/>
      <c r="CD180" s="448"/>
      <c r="CE180" s="735" t="str">
        <f>IFERROR(WWWW[[#This Row],['#_Water sources passed]]/WWWW[[#This Row],['#_Water sources tested for fecal coliform ]],"no test")</f>
        <v>no test</v>
      </c>
      <c r="CF180" s="733" t="str">
        <f>IFERROR(WWWW[[#This Row],['#_Household passed]]/WWWW[[#This Row],['#_Household water samples tested for fecal coliform]],"no test")</f>
        <v>no test</v>
      </c>
      <c r="CG180" s="734" t="str">
        <f>IF(AND(WWWW[[#This Row],[% of water sources passed]]="no test",WWWW[[#This Row],[% Household passed]]="no test"),"No Test","Tested")</f>
        <v>No Test</v>
      </c>
      <c r="CH180" s="734">
        <f>WWWW[[#This Row],['#_Constructed/existing protected hand dug well]]-WWWW[[#This Row],['#_Non-functional protected hand dug well]]</f>
        <v>0</v>
      </c>
      <c r="CI180" s="734">
        <f>(WWWW[[#This Row],['#_Constructed/Existing tube wells/boreholes/handpumps_WASH_agency]]+WWWW[[#This Row],['#_Non-Cluster partner water tube-wells/boreholes/handpumps]])-WWWW[[#This Row],['#_Non-functional tube wells/boreholes/handpumps]]</f>
        <v>0</v>
      </c>
      <c r="CJ180" s="734">
        <f>WWWW[[#This Row],['#_Constructed/Existingwater storage tank with gravity fed reticulation system]]-WWWW[[#This Row],['#_Non-functional storage tank gravity fed reticulation system]]</f>
        <v>8</v>
      </c>
      <c r="CK180" s="734">
        <f>(WWWW[[#This Row],['#_Water_Liters_supplied_by_Water boating or water trucking]]/90)/15</f>
        <v>0</v>
      </c>
      <c r="CL180" s="734">
        <f>WWWW[[#This Row],['#_Water_Liters_from_Constructed/Existing water distribution system from river or natural spring]]/90/15</f>
        <v>0</v>
      </c>
      <c r="CM180" s="424">
        <f>IF(WWWW[[#This Row],['#_of water points in TLS/CFS]]*500&gt;WWWW[[#This Row],[Total PoP ]],WWWW[[#This Row],[Total PoP ]],WWWW[[#This Row],['#_of water points in TLS/CFS]]*500)</f>
        <v>502</v>
      </c>
      <c r="CN180" s="424">
        <f>IF(WWWW[[#This Row],['#_of water points in THF]]*500&gt;WWWW[[#This Row],[Total PoP ]],WWWW[[#This Row],[Total PoP ]],WWWW[[#This Row],['#_of water points in THF]]*500)</f>
        <v>0</v>
      </c>
      <c r="CO18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0" s="733">
        <f>IF(WWWW[[#This Row],[Location Type 1]]="Village",WWWW[[#This Row],[Access to safe drinking water for Village]],WWWW[[#This Row],[Access to safe drinking water for Camp]])</f>
        <v>1</v>
      </c>
      <c r="CR180" s="731">
        <f>WWWW[[#This Row],[%Equitable and continuous access to sufficient quantity of safe drinking water]]*WWWW[[#This Row],[Total PoP ]]</f>
        <v>502</v>
      </c>
      <c r="CS180" s="733">
        <f>IF((WWWW[[#This Row],['#_Constructed/Existing protected/fenced ponds]]*250)/WWWW[[#This Row],[Total PoP ]]&gt;1,1,(WWWW[[#This Row],['#_Constructed/Existing protected/fenced ponds]]*250)/WWWW[[#This Row],[Total PoP ]])</f>
        <v>0</v>
      </c>
      <c r="CT180" s="731">
        <f>WWWW[[#This Row],[% Access to unimproved water points]]*WWWW[[#This Row],[Total PoP ]]</f>
        <v>0</v>
      </c>
      <c r="CU18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W180" s="731">
        <f>WWWW[[#This Row],[HRP1]]/500</f>
        <v>1.004</v>
      </c>
      <c r="CX180" s="736">
        <f>1-WWWW[[#This Row],[% Equitable and continuous access to sufficient quantity of domestic water]]</f>
        <v>0</v>
      </c>
      <c r="CY180" s="731">
        <f>WWWW[[#This Row],[%equitable and continuous access to sufficient quantity of safe drinking and domestic water''s GAP]]*WWWW[[#This Row],[Total PoP ]]</f>
        <v>0</v>
      </c>
      <c r="CZ180" s="734">
        <f>IF(WWWW[[#This Row],[Total required water points]]-WWWW[[#This Row],['#Water points coverage]]&lt;0,0,WWWW[[#This Row],[Total required water points]]-WWWW[[#This Row],['#Water points coverage]])</f>
        <v>0</v>
      </c>
      <c r="DA180" s="734">
        <f>ROUND(IF(WWWW[[#This Row],[Total PoP ]]&lt;500,1,WWWW[[#This Row],[Total PoP ]]/500),0)</f>
        <v>1</v>
      </c>
      <c r="DB180" s="734">
        <f>(WWWW[[#This Row],['#_Constructed latrines_by_WASHAgencies]]+WWWW[[#This Row],['#_Non Cluster partner latrines]])-WWWW[[#This Row],['#_Non-functional latrines]]</f>
        <v>85</v>
      </c>
      <c r="DC180" s="631">
        <f>WWWW[[#This Row],[HRP2]]/WWWW[[#This Row],[Total PoP ]]</f>
        <v>1</v>
      </c>
      <c r="DD18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502</v>
      </c>
      <c r="DE18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0" s="424">
        <f>IF(WWWW[[#This Row],['# of functional latrines in THF supported by WASH partners during the reporting period2]]="",0,WWWW[[#This Row],['# of functional latrines in THF supported by WASH partners during the reporting period2]]*50)</f>
        <v>0</v>
      </c>
      <c r="DH180" s="734">
        <f>ROUND(IF(WWWW[[#This Row],[Location Type 1]]="camp",WWWW[[#This Row],[Total PoP ]]/20,IF(WWWW[[#This Row],[Location Type 1]]="Temporary Location",WWWW[[#This Row],[Total PoP ]]/50,(WWWW[[#This Row],[Total PoP ]]/6))),0)</f>
        <v>25</v>
      </c>
      <c r="DI180" s="734">
        <f>IF(WWWW[[#This Row],[Total required Latrines]]-(WWWW[[#This Row],['#_Constructed latrines_by_WASHAgencies]]+WWWW[[#This Row],['#_Non Cluster partner latrines]])&lt;0,0,WWWW[[#This Row],[Total required Latrines]]-(WWWW[[#This Row],['#_Constructed latrines_by_WASHAgencies]]+WWWW[[#This Row],['#_Non Cluster partner latrines]]))</f>
        <v>0</v>
      </c>
      <c r="DJ180" s="736">
        <f>1-WWWW[[#This Row],[% people access to functioning Latrine]]</f>
        <v>0</v>
      </c>
      <c r="DK180" s="735">
        <f>IF(OR(WWWW[[#This Row],['#_Non-functional latrines]]="",WWWW[[#This Row],['#_Non-functional latrines]]=0),0,WWWW[[#This Row],['#_Non-functional latrines]]/(WWWW[[#This Row],['#_Constructed latrines_by_WASHAgencies]]+WWWW[[#This Row],['#_Non Cluster partner latrines]]))</f>
        <v>0</v>
      </c>
      <c r="DL180" s="731">
        <f>IF(500*(WWWW[[#This Row],['#_male hygiene promoters]]+WWWW[[#This Row],['#_female hygiene promoters]])&gt;WWWW[[#This Row],[Total PoP ]],WWWW[[#This Row],[Total PoP ]],500*(WWWW[[#This Row],['#_male hygiene promoters]]+WWWW[[#This Row],['#_female hygiene promoters]]))</f>
        <v>500</v>
      </c>
      <c r="DM18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8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80" s="734">
        <f>IF(WWWW[[#This Row],['# People with access to soap]]&gt;WWWW[[#This Row],['# People with access to Sanity Pads]],WWWW[[#This Row],['# People with access to soap]],WWWW[[#This Row],['# People with access to Sanity Pads]])</f>
        <v>205</v>
      </c>
      <c r="DP180" s="73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80" s="736">
        <f>IF(WWWW[[#This Row],[HRP3]]/WWWW[[#This Row],[Total PoP ]]&gt;1,1,WWWW[[#This Row],[HRP3]]/WWWW[[#This Row],[Total PoP ]])</f>
        <v>0.99601593625498008</v>
      </c>
      <c r="DR180" s="735">
        <f>1-WWWW[[#This Row],[Hygiene Coverage%]]</f>
        <v>3.9840637450199168E-3</v>
      </c>
      <c r="DS180" s="733">
        <f>WWWW[[#This Row],['# people reached by regular dedicated hygiene promotion_5]]/WWWW[[#This Row],[Total PoP ]]</f>
        <v>0.99601593625498008</v>
      </c>
      <c r="DT18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0" s="734">
        <f>WWWW[[#This Row],['#_Constructed/Existing hand washing stations]]-WWWW[[#This Row],['#_Non-Functional_hand_washing_stations]]</f>
        <v>1</v>
      </c>
      <c r="DW180" s="731">
        <f>IF(WWWW[[#This Row],['# Functional hand washing stations during reporting period]]*20&gt;WWWW[[#This Row],[Total HH]],WWWW[[#This Row],[Total HH]],WWWW[[#This Row],['# Functional hand washing stations during reporting period]]*20)</f>
        <v>20</v>
      </c>
      <c r="DX180" s="731">
        <f>IF(WWWW[[#This Row],[Is sufficient soap available for TLS? (Yes/No)]]="yes",WWWW[[#This Row],['#_Constructed/Existing hand washing stations at TLS/CFS/THF]],0)</f>
        <v>0</v>
      </c>
      <c r="DY180" s="428">
        <f>IF(WWWW[[#This Row],['# Functional hand washing stations during reporting period]]*100&gt;WWWW[[#This Row],[Total PoP ]],WWWW[[#This Row],[Total PoP ]],WWWW[[#This Row],['# Functional hand washing stations during reporting period]]*100)</f>
        <v>100</v>
      </c>
      <c r="DZ180" s="428" t="str">
        <f>IF(OR(WWWW[[#This Row],['#_students at TLS_CFS]]="",WWWW[[#This Row],['#_students at TLS_CFS]]=0),"No","Yes")</f>
        <v>No</v>
      </c>
      <c r="EA18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502</v>
      </c>
      <c r="ED18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0" s="727" t="str">
        <f>VLOOKUP(WWWW[[#This Row],[Site Name]],SiteDB6[[Site Name]:[CCCM Management]],6,FALSE)</f>
        <v>Yes</v>
      </c>
      <c r="EF180" s="727" t="str">
        <f>VLOOKUP(WWWW[[#This Row],[Site Name]],SiteDB6[[Site Name]:[CCCM Focal Agency]],7,FALSE)</f>
        <v>KMSS-LSO</v>
      </c>
      <c r="EG180" s="727" t="str">
        <f>VLOOKUP(WWWW[[#This Row],[Site Name]],SiteDB6[[Site Name]:[Location Type 1]],9,FALSE)</f>
        <v>Camp</v>
      </c>
      <c r="EH180" s="727" t="str">
        <f>VLOOKUP(WWWW[[#This Row],[Site Name]],SiteDB6[[Site Name]:[Type of Accommodation]],10,FALSE)</f>
        <v>Camp</v>
      </c>
      <c r="EI180" s="727" t="str">
        <f>VLOOKUP(WWWW[[#This Row],[Site Name]],SiteDB6[[Site Name]:[Ethnic or GCA/NGCA]],11,FALSE)</f>
        <v>GCA</v>
      </c>
      <c r="EJ180" s="727">
        <f>VLOOKUP(WWWW[[#This Row],[Site Name]],SiteDB6[[Site Name]:[Lat]],12,FALSE)</f>
        <v>23.591999999999999</v>
      </c>
      <c r="EK180" s="727">
        <f>VLOOKUP(WWWW[[#This Row],[Site Name]],SiteDB6[[Site Name]:[Long]],13,FALSE)</f>
        <v>97.796999999999997</v>
      </c>
      <c r="EL180" s="727" t="str">
        <f>VLOOKUP(WWWW[[#This Row],[Site Name]],SiteDB6[[Site Name]:[Pcode]],3,FALSE)</f>
        <v>MMR015CMP038</v>
      </c>
      <c r="EM180" s="732" t="str">
        <f t="shared" si="2"/>
        <v>Covered</v>
      </c>
      <c r="EN180" s="732"/>
      <c r="EO180" s="727">
        <f>VLOOKUP(WWWW[[#This Row],[Site Name]],SiteDB6[[Site Name]:[Pop
(Kachin/Shan-CCCM as of July 2021)]],16,FALSE)</f>
        <v>75</v>
      </c>
      <c r="EP180" s="727">
        <f>VLOOKUP(WWWW[[#This Row],[Site Name]],SiteDB6[[Site Name]:[Pop
(Kachin/Shan-CCCM as of July 2021)]],17,FALSE)</f>
        <v>395</v>
      </c>
    </row>
    <row r="181" spans="1:146" hidden="1">
      <c r="A181" s="725" t="s">
        <v>2763</v>
      </c>
      <c r="B181" s="725" t="s">
        <v>309</v>
      </c>
      <c r="C181" s="726" t="s">
        <v>309</v>
      </c>
      <c r="D181" s="726"/>
      <c r="E181" s="726" t="s">
        <v>515</v>
      </c>
      <c r="F181" s="726" t="s">
        <v>556</v>
      </c>
      <c r="G181" s="591" t="str">
        <f>VLOOKUP(WWWW[[#This Row],[Site Name]],SiteDB6[[Site Name]:[Location Type]],8,FALSE)</f>
        <v>Camp</v>
      </c>
      <c r="H181" s="726" t="s">
        <v>557</v>
      </c>
      <c r="I181" s="728">
        <v>37</v>
      </c>
      <c r="J181" s="728">
        <v>120</v>
      </c>
      <c r="K181" s="729"/>
      <c r="L181" s="730"/>
      <c r="M181" s="728"/>
      <c r="N181" s="728"/>
      <c r="O181" s="728"/>
      <c r="P181" s="728"/>
      <c r="Q181" s="731"/>
      <c r="R181" s="728"/>
      <c r="S181" s="728"/>
      <c r="T181" s="448"/>
      <c r="U181" s="728"/>
      <c r="V181" s="728"/>
      <c r="W181" s="728"/>
      <c r="X181" s="728"/>
      <c r="Y181" s="728"/>
      <c r="Z181" s="728"/>
      <c r="AA181" s="728"/>
      <c r="AB181" s="728"/>
      <c r="AC181" s="728"/>
      <c r="AD181" s="728"/>
      <c r="AE181" s="728"/>
      <c r="AF181" s="728"/>
      <c r="AG181" s="728"/>
      <c r="AH181" s="728"/>
      <c r="AI181" s="728"/>
      <c r="AJ181" s="728"/>
      <c r="AK181" s="728"/>
      <c r="AL181" s="728"/>
      <c r="AM181" s="728"/>
      <c r="AN181" s="728"/>
      <c r="AO181" s="728"/>
      <c r="AP181" s="732"/>
      <c r="AQ181" s="728"/>
      <c r="AR181" s="728"/>
      <c r="AS181" s="733"/>
      <c r="AT181" s="728"/>
      <c r="AU181" s="728"/>
      <c r="AV181" s="728"/>
      <c r="AW181" s="728"/>
      <c r="AX181" s="728"/>
      <c r="AY181" s="425" t="s">
        <v>140</v>
      </c>
      <c r="AZ181" s="860" t="s">
        <v>140</v>
      </c>
      <c r="BA181" s="728"/>
      <c r="BB181" s="728"/>
      <c r="BC181" s="728"/>
      <c r="BD181" s="448"/>
      <c r="BE181" s="448"/>
      <c r="BF181" s="727"/>
      <c r="BG181" s="728">
        <v>1</v>
      </c>
      <c r="BH181" s="728"/>
      <c r="BI181" s="728"/>
      <c r="BJ181" s="728">
        <v>1</v>
      </c>
      <c r="BK181" s="728"/>
      <c r="BL181" s="728"/>
      <c r="BM181" s="728"/>
      <c r="BN181" s="728">
        <v>6</v>
      </c>
      <c r="BO181" s="728">
        <v>5</v>
      </c>
      <c r="BP181" s="727"/>
      <c r="BQ181" s="734"/>
      <c r="BR181" s="733"/>
      <c r="BS181" s="727"/>
      <c r="BT181" s="423"/>
      <c r="BU181" s="423"/>
      <c r="BV181" s="425"/>
      <c r="BW181" s="423"/>
      <c r="BX181" s="448"/>
      <c r="BY181" s="448"/>
      <c r="BZ181" s="448"/>
      <c r="CA181" s="448"/>
      <c r="CB181" s="448"/>
      <c r="CC181" s="777"/>
      <c r="CD181" s="448"/>
      <c r="CE181" s="735" t="str">
        <f>IFERROR(WWWW[[#This Row],['#_Water sources passed]]/WWWW[[#This Row],['#_Water sources tested for fecal coliform ]],"no test")</f>
        <v>no test</v>
      </c>
      <c r="CF181" s="733" t="str">
        <f>IFERROR(WWWW[[#This Row],['#_Household passed]]/WWWW[[#This Row],['#_Household water samples tested for fecal coliform]],"no test")</f>
        <v>no test</v>
      </c>
      <c r="CG181" s="734" t="str">
        <f>IF(AND(WWWW[[#This Row],[% of water sources passed]]="no test",WWWW[[#This Row],[% Household passed]]="no test"),"No Test","Tested")</f>
        <v>No Test</v>
      </c>
      <c r="CH181" s="734">
        <f>WWWW[[#This Row],['#_Constructed/existing protected hand dug well]]-WWWW[[#This Row],['#_Non-functional protected hand dug well]]</f>
        <v>0</v>
      </c>
      <c r="CI181" s="734">
        <f>(WWWW[[#This Row],['#_Constructed/Existing tube wells/boreholes/handpumps_WASH_agency]]+WWWW[[#This Row],['#_Non-Cluster partner water tube-wells/boreholes/handpumps]])-WWWW[[#This Row],['#_Non-functional tube wells/boreholes/handpumps]]</f>
        <v>0</v>
      </c>
      <c r="CJ181" s="734">
        <f>WWWW[[#This Row],['#_Constructed/Existingwater storage tank with gravity fed reticulation system]]-WWWW[[#This Row],['#_Non-functional storage tank gravity fed reticulation system]]</f>
        <v>0</v>
      </c>
      <c r="CK181" s="734">
        <f>(WWWW[[#This Row],['#_Water_Liters_supplied_by_Water boating or water trucking]]/90)/15</f>
        <v>0</v>
      </c>
      <c r="CL181" s="734">
        <f>WWWW[[#This Row],['#_Water_Liters_from_Constructed/Existing water distribution system from river or natural spring]]/90/15</f>
        <v>0</v>
      </c>
      <c r="CM181" s="424">
        <f>IF(WWWW[[#This Row],['#_of water points in TLS/CFS]]*500&gt;WWWW[[#This Row],[Total PoP ]],WWWW[[#This Row],[Total PoP ]],WWWW[[#This Row],['#_of water points in TLS/CFS]]*500)</f>
        <v>0</v>
      </c>
      <c r="CN181" s="424">
        <f>IF(WWWW[[#This Row],['#_of water points in THF]]*500&gt;WWWW[[#This Row],[Total PoP ]],WWWW[[#This Row],[Total PoP ]],WWWW[[#This Row],['#_of water points in THF]]*500)</f>
        <v>0</v>
      </c>
      <c r="CO18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8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81" s="733">
        <f>IF(WWWW[[#This Row],[Location Type 1]]="Village",WWWW[[#This Row],[Access to safe drinking water for Village]],WWWW[[#This Row],[Access to safe drinking water for Camp]])</f>
        <v>0</v>
      </c>
      <c r="CR181" s="731">
        <f>WWWW[[#This Row],[%Equitable and continuous access to sufficient quantity of safe drinking water]]*WWWW[[#This Row],[Total PoP ]]</f>
        <v>0</v>
      </c>
      <c r="CS181" s="733">
        <f>IF((WWWW[[#This Row],['#_Constructed/Existing protected/fenced ponds]]*250)/WWWW[[#This Row],[Total PoP ]]&gt;1,1,(WWWW[[#This Row],['#_Constructed/Existing protected/fenced ponds]]*250)/WWWW[[#This Row],[Total PoP ]])</f>
        <v>0</v>
      </c>
      <c r="CT181" s="731">
        <f>WWWW[[#This Row],[% Access to unimproved water points]]*WWWW[[#This Row],[Total PoP ]]</f>
        <v>0</v>
      </c>
      <c r="CU18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8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81" s="731">
        <f>WWWW[[#This Row],[HRP1]]/500</f>
        <v>0</v>
      </c>
      <c r="CX181" s="736">
        <f>1-WWWW[[#This Row],[% Equitable and continuous access to sufficient quantity of domestic water]]</f>
        <v>1</v>
      </c>
      <c r="CY181" s="731">
        <f>WWWW[[#This Row],[%equitable and continuous access to sufficient quantity of safe drinking and domestic water''s GAP]]*WWWW[[#This Row],[Total PoP ]]</f>
        <v>120</v>
      </c>
      <c r="CZ181" s="734">
        <f>IF(WWWW[[#This Row],[Total required water points]]-WWWW[[#This Row],['#Water points coverage]]&lt;0,0,WWWW[[#This Row],[Total required water points]]-WWWW[[#This Row],['#Water points coverage]])</f>
        <v>1</v>
      </c>
      <c r="DA181" s="734">
        <f>ROUND(IF(WWWW[[#This Row],[Total PoP ]]&lt;500,1,WWWW[[#This Row],[Total PoP ]]/500),0)</f>
        <v>1</v>
      </c>
      <c r="DB181" s="734">
        <f>(WWWW[[#This Row],['#_Constructed latrines_by_WASHAgencies]]+WWWW[[#This Row],['#_Non Cluster partner latrines]])-WWWW[[#This Row],['#_Non-functional latrines]]</f>
        <v>0</v>
      </c>
      <c r="DC181" s="631">
        <f>WWWW[[#This Row],[HRP2]]/WWWW[[#This Row],[Total PoP ]]</f>
        <v>0</v>
      </c>
      <c r="DD18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8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1" s="424">
        <f>IF(WWWW[[#This Row],['# of functional latrines in THF supported by WASH partners during the reporting period2]]="",0,WWWW[[#This Row],['# of functional latrines in THF supported by WASH partners during the reporting period2]]*50)</f>
        <v>0</v>
      </c>
      <c r="DH181" s="734">
        <f>ROUND(IF(WWWW[[#This Row],[Location Type 1]]="camp",WWWW[[#This Row],[Total PoP ]]/20,IF(WWWW[[#This Row],[Location Type 1]]="Temporary Location",WWWW[[#This Row],[Total PoP ]]/50,(WWWW[[#This Row],[Total PoP ]]/6))),0)</f>
        <v>6</v>
      </c>
      <c r="DI181" s="734">
        <f>IF(WWWW[[#This Row],[Total required Latrines]]-(WWWW[[#This Row],['#_Constructed latrines_by_WASHAgencies]]+WWWW[[#This Row],['#_Non Cluster partner latrines]])&lt;0,0,WWWW[[#This Row],[Total required Latrines]]-(WWWW[[#This Row],['#_Constructed latrines_by_WASHAgencies]]+WWWW[[#This Row],['#_Non Cluster partner latrines]]))</f>
        <v>6</v>
      </c>
      <c r="DJ181" s="736">
        <f>1-WWWW[[#This Row],[% people access to functioning Latrine]]</f>
        <v>1</v>
      </c>
      <c r="DK181" s="735">
        <f>IF(OR(WWWW[[#This Row],['#_Non-functional latrines]]="",WWWW[[#This Row],['#_Non-functional latrines]]=0),0,WWWW[[#This Row],['#_Non-functional latrines]]/(WWWW[[#This Row],['#_Constructed latrines_by_WASHAgencies]]+WWWW[[#This Row],['#_Non Cluster partner latrines]]))</f>
        <v>0</v>
      </c>
      <c r="DL181" s="731">
        <f>IF(500*(WWWW[[#This Row],['#_male hygiene promoters]]+WWWW[[#This Row],['#_female hygiene promoters]])&gt;WWWW[[#This Row],[Total PoP ]],WWWW[[#This Row],[Total PoP ]],500*(WWWW[[#This Row],['#_male hygiene promoters]]+WWWW[[#This Row],['#_female hygiene promoters]]))</f>
        <v>0</v>
      </c>
      <c r="DM18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8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81" s="734">
        <f>IF(WWWW[[#This Row],['# People with access to soap]]&gt;WWWW[[#This Row],['# People with access to Sanity Pads]],WWWW[[#This Row],['# People with access to soap]],WWWW[[#This Row],['# People with access to Sanity Pads]])</f>
        <v>30</v>
      </c>
      <c r="DP181" s="734">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81" s="736">
        <f>IF(WWWW[[#This Row],[HRP3]]/WWWW[[#This Row],[Total PoP ]]&gt;1,1,WWWW[[#This Row],[HRP3]]/WWWW[[#This Row],[Total PoP ]])</f>
        <v>0.25</v>
      </c>
      <c r="DR181" s="735">
        <f>1-WWWW[[#This Row],[Hygiene Coverage%]]</f>
        <v>0.75</v>
      </c>
      <c r="DS181" s="733">
        <f>WWWW[[#This Row],['# people reached by regular dedicated hygiene promotion_5]]/WWWW[[#This Row],[Total PoP ]]</f>
        <v>0</v>
      </c>
      <c r="DT18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0.64864864864864868</v>
      </c>
      <c r="DU18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0.13513513513513514</v>
      </c>
      <c r="DV181" s="734">
        <f>WWWW[[#This Row],['#_Constructed/Existing hand washing stations]]-WWWW[[#This Row],['#_Non-Functional_hand_washing_stations]]</f>
        <v>1</v>
      </c>
      <c r="DW181" s="731">
        <f>IF(WWWW[[#This Row],['# Functional hand washing stations during reporting period]]*20&gt;WWWW[[#This Row],[Total HH]],WWWW[[#This Row],[Total HH]],WWWW[[#This Row],['# Functional hand washing stations during reporting period]]*20)</f>
        <v>20</v>
      </c>
      <c r="DX181" s="731">
        <f>IF(WWWW[[#This Row],[Is sufficient soap available for TLS? (Yes/No)]]="yes",WWWW[[#This Row],['#_Constructed/Existing hand washing stations at TLS/CFS/THF]],0)</f>
        <v>0</v>
      </c>
      <c r="DY181" s="428">
        <f>IF(WWWW[[#This Row],['# Functional hand washing stations during reporting period]]*100&gt;WWWW[[#This Row],[Total PoP ]],WWWW[[#This Row],[Total PoP ]],WWWW[[#This Row],['# Functional hand washing stations during reporting period]]*100)</f>
        <v>100</v>
      </c>
      <c r="DZ181" s="428" t="str">
        <f>IF(OR(WWWW[[#This Row],['#_students at TLS_CFS]]="",WWWW[[#This Row],['#_students at TLS_CFS]]=0),"No","Yes")</f>
        <v>No</v>
      </c>
      <c r="EA18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1" s="727">
        <f>VLOOKUP(WWWW[[#This Row],[Site Name]],SiteDB6[[Site Name]:[CCCM Management]],6,FALSE)</f>
        <v>0</v>
      </c>
      <c r="EF181" s="727" t="str">
        <f>VLOOKUP(WWWW[[#This Row],[Site Name]],SiteDB6[[Site Name]:[CCCM Focal Agency]],7,FALSE)</f>
        <v>uncovered</v>
      </c>
      <c r="EG181" s="727" t="str">
        <f>VLOOKUP(WWWW[[#This Row],[Site Name]],SiteDB6[[Site Name]:[Location Type 1]],9,FALSE)</f>
        <v>Camp</v>
      </c>
      <c r="EH181" s="727" t="str">
        <f>VLOOKUP(WWWW[[#This Row],[Site Name]],SiteDB6[[Site Name]:[Type of Accommodation]],10,FALSE)</f>
        <v>Camp like setting</v>
      </c>
      <c r="EI181" s="727" t="str">
        <f>VLOOKUP(WWWW[[#This Row],[Site Name]],SiteDB6[[Site Name]:[Ethnic or GCA/NGCA]],11,FALSE)</f>
        <v>GCA</v>
      </c>
      <c r="EJ181" s="727">
        <f>VLOOKUP(WWWW[[#This Row],[Site Name]],SiteDB6[[Site Name]:[Lat]],12,FALSE)</f>
        <v>22.677008000000001</v>
      </c>
      <c r="EK181" s="727">
        <f>VLOOKUP(WWWW[[#This Row],[Site Name]],SiteDB6[[Site Name]:[Long]],13,FALSE)</f>
        <v>97.314762999999999</v>
      </c>
      <c r="EL181" s="727" t="str">
        <f>VLOOKUP(WWWW[[#This Row],[Site Name]],SiteDB6[[Site Name]:[Pcode]],3,FALSE)</f>
        <v>MMR015CMP062</v>
      </c>
      <c r="EM181" s="732" t="str">
        <f t="shared" si="2"/>
        <v>Notcovered</v>
      </c>
      <c r="EN181" s="732"/>
      <c r="EO181" s="727">
        <f>VLOOKUP(WWWW[[#This Row],[Site Name]],SiteDB6[[Site Name]:[Pop
(Kachin/Shan-CCCM as of July 2021)]],16,FALSE)</f>
        <v>37</v>
      </c>
      <c r="EP181" s="727">
        <f>VLOOKUP(WWWW[[#This Row],[Site Name]],SiteDB6[[Site Name]:[Pop
(Kachin/Shan-CCCM as of July 2021)]],17,FALSE)</f>
        <v>120</v>
      </c>
    </row>
    <row r="182" spans="1:146" hidden="1">
      <c r="A182" s="725" t="s">
        <v>2763</v>
      </c>
      <c r="B182" s="725" t="s">
        <v>192</v>
      </c>
      <c r="C182" s="726" t="s">
        <v>192</v>
      </c>
      <c r="D182" s="726" t="s">
        <v>2673</v>
      </c>
      <c r="E182" s="726" t="s">
        <v>515</v>
      </c>
      <c r="F182" s="726" t="s">
        <v>519</v>
      </c>
      <c r="G182" s="591" t="str">
        <f>VLOOKUP(WWWW[[#This Row],[Site Name]],SiteDB6[[Site Name]:[Location Type]],8,FALSE)</f>
        <v>Camp</v>
      </c>
      <c r="H182" s="726" t="s">
        <v>554</v>
      </c>
      <c r="I182" s="728">
        <v>26</v>
      </c>
      <c r="J182" s="728">
        <v>104</v>
      </c>
      <c r="K182" s="729" t="s">
        <v>2767</v>
      </c>
      <c r="L182" s="730" t="s">
        <v>2768</v>
      </c>
      <c r="M182" s="728"/>
      <c r="N182" s="728"/>
      <c r="O182" s="728"/>
      <c r="P182" s="728"/>
      <c r="Q182" s="731"/>
      <c r="R182" s="728"/>
      <c r="S182" s="728"/>
      <c r="T182" s="448"/>
      <c r="U182" s="728"/>
      <c r="V182" s="728"/>
      <c r="W182" s="728"/>
      <c r="X182" s="728">
        <v>1</v>
      </c>
      <c r="Y182" s="728"/>
      <c r="Z182" s="728"/>
      <c r="AA182" s="728"/>
      <c r="AB182" s="728"/>
      <c r="AC182" s="728">
        <v>1</v>
      </c>
      <c r="AD182" s="728"/>
      <c r="AE182" s="728"/>
      <c r="AF182" s="728"/>
      <c r="AG182" s="728"/>
      <c r="AH182" s="728"/>
      <c r="AI182" s="728"/>
      <c r="AJ182" s="728"/>
      <c r="AK182" s="728"/>
      <c r="AL182" s="728"/>
      <c r="AM182" s="728"/>
      <c r="AN182" s="728"/>
      <c r="AO182" s="728"/>
      <c r="AP182" s="732"/>
      <c r="AQ182" s="728">
        <v>4</v>
      </c>
      <c r="AR182" s="728"/>
      <c r="AS182" s="733"/>
      <c r="AT182" s="728"/>
      <c r="AU182" s="728"/>
      <c r="AV182" s="728"/>
      <c r="AW182" s="728"/>
      <c r="AX182" s="728"/>
      <c r="AY182" s="727" t="s">
        <v>140</v>
      </c>
      <c r="AZ182" s="732" t="s">
        <v>140</v>
      </c>
      <c r="BA182" s="728"/>
      <c r="BB182" s="728"/>
      <c r="BC182" s="728"/>
      <c r="BD182" s="448"/>
      <c r="BE182" s="448"/>
      <c r="BF182" s="727"/>
      <c r="BG182" s="728">
        <v>8</v>
      </c>
      <c r="BH182" s="728"/>
      <c r="BI182" s="728"/>
      <c r="BJ182" s="728">
        <v>3</v>
      </c>
      <c r="BK182" s="728"/>
      <c r="BL182" s="728"/>
      <c r="BM182" s="728"/>
      <c r="BN182" s="728">
        <v>91</v>
      </c>
      <c r="BO182" s="728">
        <v>124</v>
      </c>
      <c r="BP182" s="727"/>
      <c r="BQ182" s="734"/>
      <c r="BR182" s="733"/>
      <c r="BS182" s="727"/>
      <c r="BT182" s="423"/>
      <c r="BU182" s="423"/>
      <c r="BV182" s="425"/>
      <c r="BW182" s="423"/>
      <c r="BX182" s="448"/>
      <c r="BY182" s="448"/>
      <c r="BZ182" s="448"/>
      <c r="CA182" s="448"/>
      <c r="CB182" s="448"/>
      <c r="CC182" s="777"/>
      <c r="CD182" s="448"/>
      <c r="CE182" s="735" t="str">
        <f>IFERROR(WWWW[[#This Row],['#_Water sources passed]]/WWWW[[#This Row],['#_Water sources tested for fecal coliform ]],"no test")</f>
        <v>no test</v>
      </c>
      <c r="CF182" s="733" t="str">
        <f>IFERROR(WWWW[[#This Row],['#_Household passed]]/WWWW[[#This Row],['#_Household water samples tested for fecal coliform]],"no test")</f>
        <v>no test</v>
      </c>
      <c r="CG182" s="734" t="str">
        <f>IF(AND(WWWW[[#This Row],[% of water sources passed]]="no test",WWWW[[#This Row],[% Household passed]]="no test"),"No Test","Tested")</f>
        <v>No Test</v>
      </c>
      <c r="CH182" s="734">
        <f>WWWW[[#This Row],['#_Constructed/existing protected hand dug well]]-WWWW[[#This Row],['#_Non-functional protected hand dug well]]</f>
        <v>0</v>
      </c>
      <c r="CI182" s="734">
        <f>(WWWW[[#This Row],['#_Constructed/Existing tube wells/boreholes/handpumps_WASH_agency]]+WWWW[[#This Row],['#_Non-Cluster partner water tube-wells/boreholes/handpumps]])-WWWW[[#This Row],['#_Non-functional tube wells/boreholes/handpumps]]</f>
        <v>1</v>
      </c>
      <c r="CJ182" s="734">
        <f>WWWW[[#This Row],['#_Constructed/Existingwater storage tank with gravity fed reticulation system]]-WWWW[[#This Row],['#_Non-functional storage tank gravity fed reticulation system]]</f>
        <v>0</v>
      </c>
      <c r="CK182" s="734">
        <f>(WWWW[[#This Row],['#_Water_Liters_supplied_by_Water boating or water trucking]]/90)/15</f>
        <v>0</v>
      </c>
      <c r="CL182" s="734">
        <f>WWWW[[#This Row],['#_Water_Liters_from_Constructed/Existing water distribution system from river or natural spring]]/90/15</f>
        <v>0</v>
      </c>
      <c r="CM182" s="424">
        <f>IF(WWWW[[#This Row],['#_of water points in TLS/CFS]]*500&gt;WWWW[[#This Row],[Total PoP ]],WWWW[[#This Row],[Total PoP ]],WWWW[[#This Row],['#_of water points in TLS/CFS]]*500)</f>
        <v>0</v>
      </c>
      <c r="CN182" s="424">
        <f>IF(WWWW[[#This Row],['#_of water points in THF]]*500&gt;WWWW[[#This Row],[Total PoP ]],WWWW[[#This Row],[Total PoP ]],WWWW[[#This Row],['#_of water points in THF]]*500)</f>
        <v>0</v>
      </c>
      <c r="CO18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2" s="733">
        <f>IF(WWWW[[#This Row],[Location Type 1]]="Village",WWWW[[#This Row],[Access to safe drinking water for Village]],WWWW[[#This Row],[Access to safe drinking water for Camp]])</f>
        <v>1</v>
      </c>
      <c r="CR182" s="731">
        <f>WWWW[[#This Row],[%Equitable and continuous access to sufficient quantity of safe drinking water]]*WWWW[[#This Row],[Total PoP ]]</f>
        <v>104</v>
      </c>
      <c r="CS182" s="733">
        <f>IF((WWWW[[#This Row],['#_Constructed/Existing protected/fenced ponds]]*250)/WWWW[[#This Row],[Total PoP ]]&gt;1,1,(WWWW[[#This Row],['#_Constructed/Existing protected/fenced ponds]]*250)/WWWW[[#This Row],[Total PoP ]])</f>
        <v>0</v>
      </c>
      <c r="CT182" s="731">
        <f>WWWW[[#This Row],[% Access to unimproved water points]]*WWWW[[#This Row],[Total PoP ]]</f>
        <v>0</v>
      </c>
      <c r="CU18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104</v>
      </c>
      <c r="CW182" s="731">
        <f>WWWW[[#This Row],[HRP1]]/500</f>
        <v>0.20799999999999999</v>
      </c>
      <c r="CX182" s="736">
        <f>1-WWWW[[#This Row],[% Equitable and continuous access to sufficient quantity of domestic water]]</f>
        <v>0</v>
      </c>
      <c r="CY182" s="731">
        <f>WWWW[[#This Row],[%equitable and continuous access to sufficient quantity of safe drinking and domestic water''s GAP]]*WWWW[[#This Row],[Total PoP ]]</f>
        <v>0</v>
      </c>
      <c r="CZ182" s="734">
        <f>IF(WWWW[[#This Row],[Total required water points]]-WWWW[[#This Row],['#Water points coverage]]&lt;0,0,WWWW[[#This Row],[Total required water points]]-WWWW[[#This Row],['#Water points coverage]])</f>
        <v>0.79200000000000004</v>
      </c>
      <c r="DA182" s="734">
        <f>ROUND(IF(WWWW[[#This Row],[Total PoP ]]&lt;500,1,WWWW[[#This Row],[Total PoP ]]/500),0)</f>
        <v>1</v>
      </c>
      <c r="DB182" s="734">
        <f>(WWWW[[#This Row],['#_Constructed latrines_by_WASHAgencies]]+WWWW[[#This Row],['#_Non Cluster partner latrines]])-WWWW[[#This Row],['#_Non-functional latrines]]</f>
        <v>4</v>
      </c>
      <c r="DC182" s="631">
        <f>WWWW[[#This Row],[HRP2]]/WWWW[[#This Row],[Total PoP ]]</f>
        <v>0.76923076923076927</v>
      </c>
      <c r="DD18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18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2" s="424">
        <f>IF(WWWW[[#This Row],['# of functional latrines in THF supported by WASH partners during the reporting period2]]="",0,WWWW[[#This Row],['# of functional latrines in THF supported by WASH partners during the reporting period2]]*50)</f>
        <v>0</v>
      </c>
      <c r="DH182" s="734">
        <f>ROUND(IF(WWWW[[#This Row],[Location Type 1]]="camp",WWWW[[#This Row],[Total PoP ]]/20,IF(WWWW[[#This Row],[Location Type 1]]="Temporary Location",WWWW[[#This Row],[Total PoP ]]/50,(WWWW[[#This Row],[Total PoP ]]/6))),0)</f>
        <v>5</v>
      </c>
      <c r="DI182" s="734">
        <f>IF(WWWW[[#This Row],[Total required Latrines]]-(WWWW[[#This Row],['#_Constructed latrines_by_WASHAgencies]]+WWWW[[#This Row],['#_Non Cluster partner latrines]])&lt;0,0,WWWW[[#This Row],[Total required Latrines]]-(WWWW[[#This Row],['#_Constructed latrines_by_WASHAgencies]]+WWWW[[#This Row],['#_Non Cluster partner latrines]]))</f>
        <v>1</v>
      </c>
      <c r="DJ182" s="736">
        <f>1-WWWW[[#This Row],[% people access to functioning Latrine]]</f>
        <v>0.23076923076923073</v>
      </c>
      <c r="DK182" s="735">
        <f>IF(OR(WWWW[[#This Row],['#_Non-functional latrines]]="",WWWW[[#This Row],['#_Non-functional latrines]]=0),0,WWWW[[#This Row],['#_Non-functional latrines]]/(WWWW[[#This Row],['#_Constructed latrines_by_WASHAgencies]]+WWWW[[#This Row],['#_Non Cluster partner latrines]]))</f>
        <v>0</v>
      </c>
      <c r="DL182" s="731">
        <f>IF(500*(WWWW[[#This Row],['#_male hygiene promoters]]+WWWW[[#This Row],['#_female hygiene promoters]])&gt;WWWW[[#This Row],[Total PoP ]],WWWW[[#This Row],[Total PoP ]],500*(WWWW[[#This Row],['#_male hygiene promoters]]+WWWW[[#This Row],['#_female hygiene promoters]]))</f>
        <v>0</v>
      </c>
      <c r="DM18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104</v>
      </c>
      <c r="DN18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104</v>
      </c>
      <c r="DO182" s="734">
        <f>IF(WWWW[[#This Row],['# People with access to soap]]&gt;WWWW[[#This Row],['# People with access to Sanity Pads]],WWWW[[#This Row],['# People with access to soap]],WWWW[[#This Row],['# People with access to Sanity Pads]])</f>
        <v>104</v>
      </c>
      <c r="DP182" s="734">
        <f>IF(WWWW[[#This Row],['# people reached by regular dedicated hygiene promotion_5]]&gt;WWWW[[#This Row],['# People received regular supply of hygiene items_6]],WWWW[[#This Row],['# people reached by regular dedicated hygiene promotion_5]],WWWW[[#This Row],['# People received regular supply of hygiene items_6]])</f>
        <v>104</v>
      </c>
      <c r="DQ182" s="736">
        <f>IF(WWWW[[#This Row],[HRP3]]/WWWW[[#This Row],[Total PoP ]]&gt;1,1,WWWW[[#This Row],[HRP3]]/WWWW[[#This Row],[Total PoP ]])</f>
        <v>1</v>
      </c>
      <c r="DR182" s="735">
        <f>1-WWWW[[#This Row],[Hygiene Coverage%]]</f>
        <v>0</v>
      </c>
      <c r="DS182" s="733">
        <f>WWWW[[#This Row],['# people reached by regular dedicated hygiene promotion_5]]/WWWW[[#This Row],[Total PoP ]]</f>
        <v>0</v>
      </c>
      <c r="DT18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2" s="734">
        <f>WWWW[[#This Row],['#_Constructed/Existing hand washing stations]]-WWWW[[#This Row],['#_Non-Functional_hand_washing_stations]]</f>
        <v>8</v>
      </c>
      <c r="DW182" s="731">
        <f>IF(WWWW[[#This Row],['# Functional hand washing stations during reporting period]]*20&gt;WWWW[[#This Row],[Total HH]],WWWW[[#This Row],[Total HH]],WWWW[[#This Row],['# Functional hand washing stations during reporting period]]*20)</f>
        <v>26</v>
      </c>
      <c r="DX182" s="731">
        <f>IF(WWWW[[#This Row],[Is sufficient soap available for TLS? (Yes/No)]]="yes",WWWW[[#This Row],['#_Constructed/Existing hand washing stations at TLS/CFS/THF]],0)</f>
        <v>0</v>
      </c>
      <c r="DY182" s="428">
        <f>IF(WWWW[[#This Row],['# Functional hand washing stations during reporting period]]*100&gt;WWWW[[#This Row],[Total PoP ]],WWWW[[#This Row],[Total PoP ]],WWWW[[#This Row],['# Functional hand washing stations during reporting period]]*100)</f>
        <v>104</v>
      </c>
      <c r="DZ182" s="428" t="str">
        <f>IF(OR(WWWW[[#This Row],['#_students at TLS_CFS]]="",WWWW[[#This Row],['#_students at TLS_CFS]]=0),"No","Yes")</f>
        <v>No</v>
      </c>
      <c r="EA18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2" s="727">
        <f>VLOOKUP(WWWW[[#This Row],[Site Name]],SiteDB6[[Site Name]:[CCCM Management]],6,FALSE)</f>
        <v>0</v>
      </c>
      <c r="EF182" s="727" t="str">
        <f>VLOOKUP(WWWW[[#This Row],[Site Name]],SiteDB6[[Site Name]:[CCCM Focal Agency]],7,FALSE)</f>
        <v>uncovered</v>
      </c>
      <c r="EG182" s="727" t="str">
        <f>VLOOKUP(WWWW[[#This Row],[Site Name]],SiteDB6[[Site Name]:[Location Type 1]],9,FALSE)</f>
        <v>Camp</v>
      </c>
      <c r="EH182" s="727" t="str">
        <f>VLOOKUP(WWWW[[#This Row],[Site Name]],SiteDB6[[Site Name]:[Type of Accommodation]],10,FALSE)</f>
        <v>Camp like setting</v>
      </c>
      <c r="EI182" s="727" t="str">
        <f>VLOOKUP(WWWW[[#This Row],[Site Name]],SiteDB6[[Site Name]:[Ethnic or GCA/NGCA]],11,FALSE)</f>
        <v>GCA</v>
      </c>
      <c r="EJ182" s="727">
        <f>VLOOKUP(WWWW[[#This Row],[Site Name]],SiteDB6[[Site Name]:[Lat]],12,FALSE)</f>
        <v>23.621317999999999</v>
      </c>
      <c r="EK182" s="727">
        <f>VLOOKUP(WWWW[[#This Row],[Site Name]],SiteDB6[[Site Name]:[Long]],13,FALSE)</f>
        <v>97.795981999999995</v>
      </c>
      <c r="EL182" s="727" t="str">
        <f>VLOOKUP(WWWW[[#This Row],[Site Name]],SiteDB6[[Site Name]:[Pcode]],3,FALSE)</f>
        <v>MMR015CMP064</v>
      </c>
      <c r="EM182" s="732" t="str">
        <f t="shared" si="2"/>
        <v>Covered</v>
      </c>
      <c r="EN182" s="732"/>
      <c r="EO182" s="727">
        <f>VLOOKUP(WWWW[[#This Row],[Site Name]],SiteDB6[[Site Name]:[Pop
(Kachin/Shan-CCCM as of July 2021)]],16,FALSE)</f>
        <v>24</v>
      </c>
      <c r="EP182" s="727">
        <f>VLOOKUP(WWWW[[#This Row],[Site Name]],SiteDB6[[Site Name]:[Pop
(Kachin/Shan-CCCM as of July 2021)]],17,FALSE)</f>
        <v>84</v>
      </c>
    </row>
    <row r="183" spans="1:146" hidden="1">
      <c r="A183" s="725" t="s">
        <v>2763</v>
      </c>
      <c r="B183" s="707" t="s">
        <v>192</v>
      </c>
      <c r="C183" s="369" t="s">
        <v>192</v>
      </c>
      <c r="D183" s="369" t="s">
        <v>2673</v>
      </c>
      <c r="E183" s="726" t="s">
        <v>515</v>
      </c>
      <c r="F183" s="726" t="s">
        <v>522</v>
      </c>
      <c r="G183" s="591" t="str">
        <f>VLOOKUP(WWWW[[#This Row],[Site Name]],SiteDB6[[Site Name]:[Location Type]],8,FALSE)</f>
        <v>Camp</v>
      </c>
      <c r="H183" s="726" t="s">
        <v>548</v>
      </c>
      <c r="I183" s="448">
        <v>28</v>
      </c>
      <c r="J183" s="448">
        <v>125</v>
      </c>
      <c r="K183" s="588" t="s">
        <v>2767</v>
      </c>
      <c r="L183" s="589" t="s">
        <v>2768</v>
      </c>
      <c r="M183" s="728"/>
      <c r="N183" s="728"/>
      <c r="O183" s="728">
        <v>1</v>
      </c>
      <c r="P183" s="728"/>
      <c r="Q183" s="731" t="s">
        <v>41</v>
      </c>
      <c r="R183" s="728"/>
      <c r="S183" s="728"/>
      <c r="T183" s="448"/>
      <c r="U183" s="728"/>
      <c r="V183" s="728"/>
      <c r="W183" s="728">
        <v>1</v>
      </c>
      <c r="X183" s="728">
        <v>1</v>
      </c>
      <c r="Y183" s="728"/>
      <c r="Z183" s="728"/>
      <c r="AA183" s="728"/>
      <c r="AB183" s="728"/>
      <c r="AC183" s="728"/>
      <c r="AD183" s="728"/>
      <c r="AE183" s="728"/>
      <c r="AF183" s="728"/>
      <c r="AG183" s="728"/>
      <c r="AH183" s="728"/>
      <c r="AI183" s="728"/>
      <c r="AJ183" s="728"/>
      <c r="AK183" s="728"/>
      <c r="AL183" s="728"/>
      <c r="AM183" s="728"/>
      <c r="AN183" s="728"/>
      <c r="AO183" s="728"/>
      <c r="AP183" s="732"/>
      <c r="AQ183" s="728">
        <v>18</v>
      </c>
      <c r="AR183" s="728"/>
      <c r="AS183" s="733"/>
      <c r="AT183" s="728"/>
      <c r="AU183" s="728"/>
      <c r="AV183" s="728"/>
      <c r="AW183" s="728"/>
      <c r="AX183" s="728"/>
      <c r="AY183" s="727" t="s">
        <v>41</v>
      </c>
      <c r="AZ183" s="732" t="s">
        <v>137</v>
      </c>
      <c r="BA183" s="728"/>
      <c r="BB183" s="728"/>
      <c r="BC183" s="728"/>
      <c r="BD183" s="448"/>
      <c r="BE183" s="448"/>
      <c r="BF183" s="727"/>
      <c r="BG183" s="728">
        <v>7</v>
      </c>
      <c r="BH183" s="728"/>
      <c r="BI183" s="728"/>
      <c r="BJ183" s="728">
        <v>4</v>
      </c>
      <c r="BK183" s="728"/>
      <c r="BL183" s="728"/>
      <c r="BM183" s="728">
        <v>1</v>
      </c>
      <c r="BN183" s="728">
        <v>124</v>
      </c>
      <c r="BO183" s="728">
        <v>198</v>
      </c>
      <c r="BP183" s="727"/>
      <c r="BQ183" s="734"/>
      <c r="BR183" s="733"/>
      <c r="BS183" s="727"/>
      <c r="BT183" s="423"/>
      <c r="BU183" s="423"/>
      <c r="BV183" s="425"/>
      <c r="BW183" s="423"/>
      <c r="BX183" s="448"/>
      <c r="BY183" s="448"/>
      <c r="BZ183" s="448"/>
      <c r="CA183" s="448"/>
      <c r="CB183" s="448"/>
      <c r="CC183" s="777"/>
      <c r="CD183" s="448"/>
      <c r="CE183" s="735" t="str">
        <f>IFERROR(WWWW[[#This Row],['#_Water sources passed]]/WWWW[[#This Row],['#_Water sources tested for fecal coliform ]],"no test")</f>
        <v>no test</v>
      </c>
      <c r="CF183" s="733" t="str">
        <f>IFERROR(WWWW[[#This Row],['#_Household passed]]/WWWW[[#This Row],['#_Household water samples tested for fecal coliform]],"no test")</f>
        <v>no test</v>
      </c>
      <c r="CG183" s="734" t="str">
        <f>IF(AND(WWWW[[#This Row],[% of water sources passed]]="no test",WWWW[[#This Row],[% Household passed]]="no test"),"No Test","Tested")</f>
        <v>No Test</v>
      </c>
      <c r="CH183" s="734">
        <f>WWWW[[#This Row],['#_Constructed/existing protected hand dug well]]-WWWW[[#This Row],['#_Non-functional protected hand dug well]]</f>
        <v>0</v>
      </c>
      <c r="CI183" s="734">
        <f>(WWWW[[#This Row],['#_Constructed/Existing tube wells/boreholes/handpumps_WASH_agency]]+WWWW[[#This Row],['#_Non-Cluster partner water tube-wells/boreholes/handpumps]])-WWWW[[#This Row],['#_Non-functional tube wells/boreholes/handpumps]]</f>
        <v>2</v>
      </c>
      <c r="CJ183" s="734">
        <f>WWWW[[#This Row],['#_Constructed/Existingwater storage tank with gravity fed reticulation system]]-WWWW[[#This Row],['#_Non-functional storage tank gravity fed reticulation system]]</f>
        <v>0</v>
      </c>
      <c r="CK183" s="734">
        <f>(WWWW[[#This Row],['#_Water_Liters_supplied_by_Water boating or water trucking]]/90)/15</f>
        <v>0</v>
      </c>
      <c r="CL183" s="734">
        <f>WWWW[[#This Row],['#_Water_Liters_from_Constructed/Existing water distribution system from river or natural spring]]/90/15</f>
        <v>0</v>
      </c>
      <c r="CM183" s="424">
        <f>IF(WWWW[[#This Row],['#_of water points in TLS/CFS]]*500&gt;WWWW[[#This Row],[Total PoP ]],WWWW[[#This Row],[Total PoP ]],WWWW[[#This Row],['#_of water points in TLS/CFS]]*500)</f>
        <v>0</v>
      </c>
      <c r="CN183" s="424">
        <f>IF(WWWW[[#This Row],['#_of water points in THF]]*500&gt;WWWW[[#This Row],[Total PoP ]],WWWW[[#This Row],[Total PoP ]],WWWW[[#This Row],['#_of water points in THF]]*500)</f>
        <v>0</v>
      </c>
      <c r="CO18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3" s="733">
        <f>IF(WWWW[[#This Row],[Location Type 1]]="Village",WWWW[[#This Row],[Access to safe drinking water for Village]],WWWW[[#This Row],[Access to safe drinking water for Camp]])</f>
        <v>1</v>
      </c>
      <c r="CR183" s="731">
        <f>WWWW[[#This Row],[%Equitable and continuous access to sufficient quantity of safe drinking water]]*WWWW[[#This Row],[Total PoP ]]</f>
        <v>125</v>
      </c>
      <c r="CS183" s="733">
        <f>IF((WWWW[[#This Row],['#_Constructed/Existing protected/fenced ponds]]*250)/WWWW[[#This Row],[Total PoP ]]&gt;1,1,(WWWW[[#This Row],['#_Constructed/Existing protected/fenced ponds]]*250)/WWWW[[#This Row],[Total PoP ]])</f>
        <v>0</v>
      </c>
      <c r="CT183" s="731">
        <f>WWWW[[#This Row],[% Access to unimproved water points]]*WWWW[[#This Row],[Total PoP ]]</f>
        <v>0</v>
      </c>
      <c r="CU18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v>
      </c>
      <c r="CW183" s="731">
        <f>WWWW[[#This Row],[HRP1]]/500</f>
        <v>0.25</v>
      </c>
      <c r="CX183" s="736">
        <f>1-WWWW[[#This Row],[% Equitable and continuous access to sufficient quantity of domestic water]]</f>
        <v>0</v>
      </c>
      <c r="CY183" s="731">
        <f>WWWW[[#This Row],[%equitable and continuous access to sufficient quantity of safe drinking and domestic water''s GAP]]*WWWW[[#This Row],[Total PoP ]]</f>
        <v>0</v>
      </c>
      <c r="CZ183" s="734">
        <f>IF(WWWW[[#This Row],[Total required water points]]-WWWW[[#This Row],['#Water points coverage]]&lt;0,0,WWWW[[#This Row],[Total required water points]]-WWWW[[#This Row],['#Water points coverage]])</f>
        <v>0.75</v>
      </c>
      <c r="DA183" s="734">
        <f>ROUND(IF(WWWW[[#This Row],[Total PoP ]]&lt;500,1,WWWW[[#This Row],[Total PoP ]]/500),0)</f>
        <v>1</v>
      </c>
      <c r="DB183" s="734">
        <f>(WWWW[[#This Row],['#_Constructed latrines_by_WASHAgencies]]+WWWW[[#This Row],['#_Non Cluster partner latrines]])-WWWW[[#This Row],['#_Non-functional latrines]]</f>
        <v>18</v>
      </c>
      <c r="DC183" s="631">
        <f>WWWW[[#This Row],[HRP2]]/WWWW[[#This Row],[Total PoP ]]</f>
        <v>1</v>
      </c>
      <c r="DD18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125</v>
      </c>
      <c r="DE18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3" s="424">
        <f>IF(WWWW[[#This Row],['# of functional latrines in THF supported by WASH partners during the reporting period2]]="",0,WWWW[[#This Row],['# of functional latrines in THF supported by WASH partners during the reporting period2]]*50)</f>
        <v>0</v>
      </c>
      <c r="DH183" s="734">
        <f>ROUND(IF(WWWW[[#This Row],[Location Type 1]]="camp",WWWW[[#This Row],[Total PoP ]]/20,IF(WWWW[[#This Row],[Location Type 1]]="Temporary Location",WWWW[[#This Row],[Total PoP ]]/50,(WWWW[[#This Row],[Total PoP ]]/6))),0)</f>
        <v>6</v>
      </c>
      <c r="DI183" s="734">
        <f>IF(WWWW[[#This Row],[Total required Latrines]]-(WWWW[[#This Row],['#_Constructed latrines_by_WASHAgencies]]+WWWW[[#This Row],['#_Non Cluster partner latrines]])&lt;0,0,WWWW[[#This Row],[Total required Latrines]]-(WWWW[[#This Row],['#_Constructed latrines_by_WASHAgencies]]+WWWW[[#This Row],['#_Non Cluster partner latrines]]))</f>
        <v>0</v>
      </c>
      <c r="DJ183" s="736">
        <f>1-WWWW[[#This Row],[% people access to functioning Latrine]]</f>
        <v>0</v>
      </c>
      <c r="DK183" s="735">
        <f>IF(OR(WWWW[[#This Row],['#_Non-functional latrines]]="",WWWW[[#This Row],['#_Non-functional latrines]]=0),0,WWWW[[#This Row],['#_Non-functional latrines]]/(WWWW[[#This Row],['#_Constructed latrines_by_WASHAgencies]]+WWWW[[#This Row],['#_Non Cluster partner latrines]]))</f>
        <v>0</v>
      </c>
      <c r="DL183" s="731">
        <f>IF(500*(WWWW[[#This Row],['#_male hygiene promoters]]+WWWW[[#This Row],['#_female hygiene promoters]])&gt;WWWW[[#This Row],[Total PoP ]],WWWW[[#This Row],[Total PoP ]],500*(WWWW[[#This Row],['#_male hygiene promoters]]+WWWW[[#This Row],['#_female hygiene promoters]]))</f>
        <v>125</v>
      </c>
      <c r="DM18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125</v>
      </c>
      <c r="DN18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125</v>
      </c>
      <c r="DO183" s="734">
        <f>IF(WWWW[[#This Row],['# People with access to soap]]&gt;WWWW[[#This Row],['# People with access to Sanity Pads]],WWWW[[#This Row],['# People with access to soap]],WWWW[[#This Row],['# People with access to Sanity Pads]])</f>
        <v>125</v>
      </c>
      <c r="DP183" s="734">
        <f>IF(WWWW[[#This Row],['# people reached by regular dedicated hygiene promotion_5]]&gt;WWWW[[#This Row],['# People received regular supply of hygiene items_6]],WWWW[[#This Row],['# people reached by regular dedicated hygiene promotion_5]],WWWW[[#This Row],['# People received regular supply of hygiene items_6]])</f>
        <v>125</v>
      </c>
      <c r="DQ183" s="736">
        <f>IF(WWWW[[#This Row],[HRP3]]/WWWW[[#This Row],[Total PoP ]]&gt;1,1,WWWW[[#This Row],[HRP3]]/WWWW[[#This Row],[Total PoP ]])</f>
        <v>1</v>
      </c>
      <c r="DR183" s="735">
        <f>1-WWWW[[#This Row],[Hygiene Coverage%]]</f>
        <v>0</v>
      </c>
      <c r="DS183" s="733">
        <f>WWWW[[#This Row],['# people reached by regular dedicated hygiene promotion_5]]/WWWW[[#This Row],[Total PoP ]]</f>
        <v>1</v>
      </c>
      <c r="DT18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3" s="734">
        <f>WWWW[[#This Row],['#_Constructed/Existing hand washing stations]]-WWWW[[#This Row],['#_Non-Functional_hand_washing_stations]]</f>
        <v>7</v>
      </c>
      <c r="DW183" s="731">
        <f>IF(WWWW[[#This Row],['# Functional hand washing stations during reporting period]]*20&gt;WWWW[[#This Row],[Total HH]],WWWW[[#This Row],[Total HH]],WWWW[[#This Row],['# Functional hand washing stations during reporting period]]*20)</f>
        <v>28</v>
      </c>
      <c r="DX183" s="731">
        <f>IF(WWWW[[#This Row],[Is sufficient soap available for TLS? (Yes/No)]]="yes",WWWW[[#This Row],['#_Constructed/Existing hand washing stations at TLS/CFS/THF]],0)</f>
        <v>0</v>
      </c>
      <c r="DY183" s="428">
        <f>IF(WWWW[[#This Row],['# Functional hand washing stations during reporting period]]*100&gt;WWWW[[#This Row],[Total PoP ]],WWWW[[#This Row],[Total PoP ]],WWWW[[#This Row],['# Functional hand washing stations during reporting period]]*100)</f>
        <v>125</v>
      </c>
      <c r="DZ183" s="428" t="str">
        <f>IF(OR(WWWW[[#This Row],['#_students at TLS_CFS]]="",WWWW[[#This Row],['#_students at TLS_CFS]]=0),"No","Yes")</f>
        <v>No</v>
      </c>
      <c r="EA18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3" s="727" t="str">
        <f>VLOOKUP(WWWW[[#This Row],[Site Name]],SiteDB6[[Site Name]:[CCCM Management]],6,FALSE)</f>
        <v>Yes</v>
      </c>
      <c r="EF183" s="727" t="str">
        <f>VLOOKUP(WWWW[[#This Row],[Site Name]],SiteDB6[[Site Name]:[CCCM Focal Agency]],7,FALSE)</f>
        <v>KBC-NSS</v>
      </c>
      <c r="EG183" s="727" t="str">
        <f>VLOOKUP(WWWW[[#This Row],[Site Name]],SiteDB6[[Site Name]:[Location Type 1]],9,FALSE)</f>
        <v>Camp</v>
      </c>
      <c r="EH183" s="727" t="str">
        <f>VLOOKUP(WWWW[[#This Row],[Site Name]],SiteDB6[[Site Name]:[Type of Accommodation]],10,FALSE)</f>
        <v>Closed Camp</v>
      </c>
      <c r="EI183" s="727" t="str">
        <f>VLOOKUP(WWWW[[#This Row],[Site Name]],SiteDB6[[Site Name]:[Ethnic or GCA/NGCA]],11,FALSE)</f>
        <v>GCA</v>
      </c>
      <c r="EJ183" s="727">
        <f>VLOOKUP(WWWW[[#This Row],[Site Name]],SiteDB6[[Site Name]:[Lat]],12,FALSE)</f>
        <v>23.250678000000001</v>
      </c>
      <c r="EK183" s="727">
        <f>VLOOKUP(WWWW[[#This Row],[Site Name]],SiteDB6[[Site Name]:[Long]],13,FALSE)</f>
        <v>97.124403000000001</v>
      </c>
      <c r="EL183" s="727" t="str">
        <f>VLOOKUP(WWWW[[#This Row],[Site Name]],SiteDB6[[Site Name]:[Pcode]],3,FALSE)</f>
        <v>MMR015CMP009</v>
      </c>
      <c r="EM183" s="732" t="str">
        <f t="shared" si="2"/>
        <v>Covered</v>
      </c>
      <c r="EN183" s="732"/>
      <c r="EO183" s="727">
        <f>VLOOKUP(WWWW[[#This Row],[Site Name]],SiteDB6[[Site Name]:[Pop
(Kachin/Shan-CCCM as of July 2021)]],16,FALSE)</f>
        <v>28</v>
      </c>
      <c r="EP183" s="727">
        <f>VLOOKUP(WWWW[[#This Row],[Site Name]],SiteDB6[[Site Name]:[Pop
(Kachin/Shan-CCCM as of July 2021)]],17,FALSE)</f>
        <v>147</v>
      </c>
    </row>
    <row r="184" spans="1:146" hidden="1">
      <c r="A184" s="725" t="s">
        <v>2763</v>
      </c>
      <c r="B184" s="725" t="s">
        <v>2769</v>
      </c>
      <c r="C184" s="726" t="s">
        <v>2770</v>
      </c>
      <c r="D184" s="369" t="s">
        <v>2673</v>
      </c>
      <c r="E184" s="726" t="s">
        <v>515</v>
      </c>
      <c r="F184" s="726" t="s">
        <v>522</v>
      </c>
      <c r="G184" s="591" t="str">
        <f>VLOOKUP(WWWW[[#This Row],[Site Name]],SiteDB6[[Site Name]:[Location Type]],8,FALSE)</f>
        <v>Camp</v>
      </c>
      <c r="H184" s="726" t="s">
        <v>523</v>
      </c>
      <c r="I184" s="448">
        <v>30</v>
      </c>
      <c r="J184" s="448">
        <v>157</v>
      </c>
      <c r="K184" s="588" t="s">
        <v>2767</v>
      </c>
      <c r="L184" s="589" t="s">
        <v>2768</v>
      </c>
      <c r="M184" s="728"/>
      <c r="N184" s="728">
        <v>2</v>
      </c>
      <c r="O184" s="728"/>
      <c r="P184" s="728"/>
      <c r="Q184" s="731" t="s">
        <v>41</v>
      </c>
      <c r="R184" s="728">
        <v>2</v>
      </c>
      <c r="S184" s="728">
        <v>8</v>
      </c>
      <c r="T184" s="448">
        <v>1</v>
      </c>
      <c r="U184" s="728"/>
      <c r="V184" s="728"/>
      <c r="W184" s="728">
        <v>2</v>
      </c>
      <c r="X184" s="728"/>
      <c r="Y184" s="728"/>
      <c r="Z184" s="728"/>
      <c r="AA184" s="728"/>
      <c r="AB184" s="728"/>
      <c r="AC184" s="728"/>
      <c r="AD184" s="728"/>
      <c r="AE184" s="728">
        <v>2</v>
      </c>
      <c r="AF184" s="728"/>
      <c r="AG184" s="728"/>
      <c r="AH184" s="728">
        <v>1</v>
      </c>
      <c r="AI184" s="728"/>
      <c r="AJ184" s="728"/>
      <c r="AK184" s="728"/>
      <c r="AL184" s="728"/>
      <c r="AM184" s="728">
        <v>4</v>
      </c>
      <c r="AN184" s="728"/>
      <c r="AO184" s="728"/>
      <c r="AP184" s="732"/>
      <c r="AQ184" s="728">
        <v>8</v>
      </c>
      <c r="AR184" s="728"/>
      <c r="AS184" s="733"/>
      <c r="AT184" s="728"/>
      <c r="AU184" s="728"/>
      <c r="AV184" s="728"/>
      <c r="AW184" s="728"/>
      <c r="AX184" s="728">
        <v>8</v>
      </c>
      <c r="AY184" s="727" t="s">
        <v>41</v>
      </c>
      <c r="AZ184" s="732" t="s">
        <v>137</v>
      </c>
      <c r="BA184" s="728"/>
      <c r="BB184" s="728"/>
      <c r="BC184" s="728"/>
      <c r="BD184" s="448"/>
      <c r="BE184" s="448"/>
      <c r="BF184" s="727"/>
      <c r="BG184" s="728">
        <v>1</v>
      </c>
      <c r="BH184" s="728"/>
      <c r="BI184" s="728"/>
      <c r="BJ184" s="728">
        <v>3</v>
      </c>
      <c r="BK184" s="728"/>
      <c r="BL184" s="728"/>
      <c r="BM184" s="728">
        <v>2</v>
      </c>
      <c r="BN184" s="728">
        <v>41</v>
      </c>
      <c r="BO184" s="728">
        <v>85</v>
      </c>
      <c r="BP184" s="727"/>
      <c r="BQ184" s="734"/>
      <c r="BR184" s="733"/>
      <c r="BS184" s="727"/>
      <c r="BT184" s="423"/>
      <c r="BU184" s="423"/>
      <c r="BV184" s="425"/>
      <c r="BW184" s="423"/>
      <c r="BX184" s="448"/>
      <c r="BY184" s="448"/>
      <c r="BZ184" s="448"/>
      <c r="CA184" s="448"/>
      <c r="CB184" s="448"/>
      <c r="CC184" s="777"/>
      <c r="CD184" s="448"/>
      <c r="CE184" s="735" t="str">
        <f>IFERROR(WWWW[[#This Row],['#_Water sources passed]]/WWWW[[#This Row],['#_Water sources tested for fecal coliform ]],"no test")</f>
        <v>no test</v>
      </c>
      <c r="CF184" s="733" t="str">
        <f>IFERROR(WWWW[[#This Row],['#_Household passed]]/WWWW[[#This Row],['#_Household water samples tested for fecal coliform]],"no test")</f>
        <v>no test</v>
      </c>
      <c r="CG184" s="734" t="str">
        <f>IF(AND(WWWW[[#This Row],[% of water sources passed]]="no test",WWWW[[#This Row],[% Household passed]]="no test"),"No Test","Tested")</f>
        <v>No Test</v>
      </c>
      <c r="CH184" s="734">
        <f>WWWW[[#This Row],['#_Constructed/existing protected hand dug well]]-WWWW[[#This Row],['#_Non-functional protected hand dug well]]</f>
        <v>1</v>
      </c>
      <c r="CI184" s="734">
        <f>(WWWW[[#This Row],['#_Constructed/Existing tube wells/boreholes/handpumps_WASH_agency]]+WWWW[[#This Row],['#_Non-Cluster partner water tube-wells/boreholes/handpumps]])-WWWW[[#This Row],['#_Non-functional tube wells/boreholes/handpumps]]</f>
        <v>2</v>
      </c>
      <c r="CJ184" s="734">
        <f>WWWW[[#This Row],['#_Constructed/Existingwater storage tank with gravity fed reticulation system]]-WWWW[[#This Row],['#_Non-functional storage tank gravity fed reticulation system]]</f>
        <v>0</v>
      </c>
      <c r="CK184" s="734">
        <f>(WWWW[[#This Row],['#_Water_Liters_supplied_by_Water boating or water trucking]]/90)/15</f>
        <v>0</v>
      </c>
      <c r="CL184" s="734">
        <f>WWWW[[#This Row],['#_Water_Liters_from_Constructed/Existing water distribution system from river or natural spring]]/90/15</f>
        <v>0</v>
      </c>
      <c r="CM184" s="424">
        <f>IF(WWWW[[#This Row],['#_of water points in TLS/CFS]]*500&gt;WWWW[[#This Row],[Total PoP ]],WWWW[[#This Row],[Total PoP ]],WWWW[[#This Row],['#_of water points in TLS/CFS]]*500)</f>
        <v>0</v>
      </c>
      <c r="CN184" s="424">
        <f>IF(WWWW[[#This Row],['#_of water points in THF]]*500&gt;WWWW[[#This Row],[Total PoP ]],WWWW[[#This Row],[Total PoP ]],WWWW[[#This Row],['#_of water points in THF]]*500)</f>
        <v>0</v>
      </c>
      <c r="CO18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4" s="733">
        <f>IF(WWWW[[#This Row],[Location Type 1]]="Village",WWWW[[#This Row],[Access to safe drinking water for Village]],WWWW[[#This Row],[Access to safe drinking water for Camp]])</f>
        <v>1</v>
      </c>
      <c r="CR184" s="731">
        <f>WWWW[[#This Row],[%Equitable and continuous access to sufficient quantity of safe drinking water]]*WWWW[[#This Row],[Total PoP ]]</f>
        <v>157</v>
      </c>
      <c r="CS184" s="733">
        <f>IF((WWWW[[#This Row],['#_Constructed/Existing protected/fenced ponds]]*250)/WWWW[[#This Row],[Total PoP ]]&gt;1,1,(WWWW[[#This Row],['#_Constructed/Existing protected/fenced ponds]]*250)/WWWW[[#This Row],[Total PoP ]])</f>
        <v>1</v>
      </c>
      <c r="CT184" s="731">
        <f>WWWW[[#This Row],[% Access to unimproved water points]]*WWWW[[#This Row],[Total PoP ]]</f>
        <v>157</v>
      </c>
      <c r="CU18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v>
      </c>
      <c r="CW184" s="731">
        <f>WWWW[[#This Row],[HRP1]]/500</f>
        <v>0.314</v>
      </c>
      <c r="CX184" s="736">
        <f>1-WWWW[[#This Row],[% Equitable and continuous access to sufficient quantity of domestic water]]</f>
        <v>0</v>
      </c>
      <c r="CY184" s="731">
        <f>WWWW[[#This Row],[%equitable and continuous access to sufficient quantity of safe drinking and domestic water''s GAP]]*WWWW[[#This Row],[Total PoP ]]</f>
        <v>0</v>
      </c>
      <c r="CZ184" s="734">
        <f>IF(WWWW[[#This Row],[Total required water points]]-WWWW[[#This Row],['#Water points coverage]]&lt;0,0,WWWW[[#This Row],[Total required water points]]-WWWW[[#This Row],['#Water points coverage]])</f>
        <v>0.68599999999999994</v>
      </c>
      <c r="DA184" s="734">
        <f>ROUND(IF(WWWW[[#This Row],[Total PoP ]]&lt;500,1,WWWW[[#This Row],[Total PoP ]]/500),0)</f>
        <v>1</v>
      </c>
      <c r="DB184" s="734">
        <f>(WWWW[[#This Row],['#_Constructed latrines_by_WASHAgencies]]+WWWW[[#This Row],['#_Non Cluster partner latrines]])-WWWW[[#This Row],['#_Non-functional latrines]]</f>
        <v>8</v>
      </c>
      <c r="DC184" s="631">
        <f>WWWW[[#This Row],[HRP2]]/WWWW[[#This Row],[Total PoP ]]</f>
        <v>1</v>
      </c>
      <c r="DD18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157</v>
      </c>
      <c r="DE18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4" s="424">
        <f>IF(WWWW[[#This Row],['# of functional latrines in THF supported by WASH partners during the reporting period2]]="",0,WWWW[[#This Row],['# of functional latrines in THF supported by WASH partners during the reporting period2]]*50)</f>
        <v>0</v>
      </c>
      <c r="DH184" s="734">
        <f>ROUND(IF(WWWW[[#This Row],[Location Type 1]]="camp",WWWW[[#This Row],[Total PoP ]]/20,IF(WWWW[[#This Row],[Location Type 1]]="Temporary Location",WWWW[[#This Row],[Total PoP ]]/50,(WWWW[[#This Row],[Total PoP ]]/6))),0)</f>
        <v>8</v>
      </c>
      <c r="DI184" s="734">
        <f>IF(WWWW[[#This Row],[Total required Latrines]]-(WWWW[[#This Row],['#_Constructed latrines_by_WASHAgencies]]+WWWW[[#This Row],['#_Non Cluster partner latrines]])&lt;0,0,WWWW[[#This Row],[Total required Latrines]]-(WWWW[[#This Row],['#_Constructed latrines_by_WASHAgencies]]+WWWW[[#This Row],['#_Non Cluster partner latrines]]))</f>
        <v>0</v>
      </c>
      <c r="DJ184" s="736">
        <f>1-WWWW[[#This Row],[% people access to functioning Latrine]]</f>
        <v>0</v>
      </c>
      <c r="DK184" s="735">
        <f>IF(OR(WWWW[[#This Row],['#_Non-functional latrines]]="",WWWW[[#This Row],['#_Non-functional latrines]]=0),0,WWWW[[#This Row],['#_Non-functional latrines]]/(WWWW[[#This Row],['#_Constructed latrines_by_WASHAgencies]]+WWWW[[#This Row],['#_Non Cluster partner latrines]]))</f>
        <v>0</v>
      </c>
      <c r="DL184" s="731">
        <f>IF(500*(WWWW[[#This Row],['#_male hygiene promoters]]+WWWW[[#This Row],['#_female hygiene promoters]])&gt;WWWW[[#This Row],[Total PoP ]],WWWW[[#This Row],[Total PoP ]],500*(WWWW[[#This Row],['#_male hygiene promoters]]+WWWW[[#This Row],['#_female hygiene promoters]]))</f>
        <v>157</v>
      </c>
      <c r="DM18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157</v>
      </c>
      <c r="DN18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84" s="734">
        <f>IF(WWWW[[#This Row],['# People with access to soap]]&gt;WWWW[[#This Row],['# People with access to Sanity Pads]],WWWW[[#This Row],['# People with access to soap]],WWWW[[#This Row],['# People with access to Sanity Pads]])</f>
        <v>157</v>
      </c>
      <c r="DP184" s="734">
        <f>IF(WWWW[[#This Row],['# people reached by regular dedicated hygiene promotion_5]]&gt;WWWW[[#This Row],['# People received regular supply of hygiene items_6]],WWWW[[#This Row],['# people reached by regular dedicated hygiene promotion_5]],WWWW[[#This Row],['# People received regular supply of hygiene items_6]])</f>
        <v>157</v>
      </c>
      <c r="DQ184" s="736">
        <f>IF(WWWW[[#This Row],[HRP3]]/WWWW[[#This Row],[Total PoP ]]&gt;1,1,WWWW[[#This Row],[HRP3]]/WWWW[[#This Row],[Total PoP ]])</f>
        <v>1</v>
      </c>
      <c r="DR184" s="735">
        <f>1-WWWW[[#This Row],[Hygiene Coverage%]]</f>
        <v>0</v>
      </c>
      <c r="DS184" s="733">
        <f>WWWW[[#This Row],['# people reached by regular dedicated hygiene promotion_5]]/WWWW[[#This Row],[Total PoP ]]</f>
        <v>1</v>
      </c>
      <c r="DT18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4" s="734">
        <f>WWWW[[#This Row],['#_Constructed/Existing hand washing stations]]-WWWW[[#This Row],['#_Non-Functional_hand_washing_stations]]</f>
        <v>1</v>
      </c>
      <c r="DW184" s="731">
        <f>IF(WWWW[[#This Row],['# Functional hand washing stations during reporting period]]*20&gt;WWWW[[#This Row],[Total HH]],WWWW[[#This Row],[Total HH]],WWWW[[#This Row],['# Functional hand washing stations during reporting period]]*20)</f>
        <v>20</v>
      </c>
      <c r="DX184" s="731">
        <f>IF(WWWW[[#This Row],[Is sufficient soap available for TLS? (Yes/No)]]="yes",WWWW[[#This Row],['#_Constructed/Existing hand washing stations at TLS/CFS/THF]],0)</f>
        <v>0</v>
      </c>
      <c r="DY184" s="428">
        <f>IF(WWWW[[#This Row],['# Functional hand washing stations during reporting period]]*100&gt;WWWW[[#This Row],[Total PoP ]],WWWW[[#This Row],[Total PoP ]],WWWW[[#This Row],['# Functional hand washing stations during reporting period]]*100)</f>
        <v>100</v>
      </c>
      <c r="DZ184" s="428" t="str">
        <f>IF(OR(WWWW[[#This Row],['#_students at TLS_CFS]]="",WWWW[[#This Row],['#_students at TLS_CFS]]=0),"No","Yes")</f>
        <v>No</v>
      </c>
      <c r="EA18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4" s="727" t="str">
        <f>VLOOKUP(WWWW[[#This Row],[Site Name]],SiteDB6[[Site Name]:[CCCM Management]],6,FALSE)</f>
        <v>Yes</v>
      </c>
      <c r="EF184" s="727" t="str">
        <f>VLOOKUP(WWWW[[#This Row],[Site Name]],SiteDB6[[Site Name]:[CCCM Focal Agency]],7,FALSE)</f>
        <v>KMSS-LSO</v>
      </c>
      <c r="EG184" s="727" t="str">
        <f>VLOOKUP(WWWW[[#This Row],[Site Name]],SiteDB6[[Site Name]:[Location Type 1]],9,FALSE)</f>
        <v>Camp</v>
      </c>
      <c r="EH184" s="727" t="str">
        <f>VLOOKUP(WWWW[[#This Row],[Site Name]],SiteDB6[[Site Name]:[Type of Accommodation]],10,FALSE)</f>
        <v>Camp</v>
      </c>
      <c r="EI184" s="727" t="str">
        <f>VLOOKUP(WWWW[[#This Row],[Site Name]],SiteDB6[[Site Name]:[Ethnic or GCA/NGCA]],11,FALSE)</f>
        <v>GCA</v>
      </c>
      <c r="EJ184" s="727">
        <f>VLOOKUP(WWWW[[#This Row],[Site Name]],SiteDB6[[Site Name]:[Lat]],12,FALSE)</f>
        <v>23.24661</v>
      </c>
      <c r="EK184" s="727">
        <f>VLOOKUP(WWWW[[#This Row],[Site Name]],SiteDB6[[Site Name]:[Long]],13,FALSE)</f>
        <v>97.116680000000002</v>
      </c>
      <c r="EL184" s="727" t="str">
        <f>VLOOKUP(WWWW[[#This Row],[Site Name]],SiteDB6[[Site Name]:[Pcode]],3,FALSE)</f>
        <v>MMR015CMP027</v>
      </c>
      <c r="EM184" s="732" t="str">
        <f t="shared" si="2"/>
        <v>Covered</v>
      </c>
      <c r="EN184" s="732"/>
      <c r="EO184" s="727">
        <f>VLOOKUP(WWWW[[#This Row],[Site Name]],SiteDB6[[Site Name]:[Pop
(Kachin/Shan-CCCM as of July 2021)]],16,FALSE)</f>
        <v>30</v>
      </c>
      <c r="EP184" s="727">
        <f>VLOOKUP(WWWW[[#This Row],[Site Name]],SiteDB6[[Site Name]:[Pop
(Kachin/Shan-CCCM as of July 2021)]],17,FALSE)</f>
        <v>159</v>
      </c>
    </row>
    <row r="185" spans="1:146" hidden="1">
      <c r="A185" s="725" t="s">
        <v>2763</v>
      </c>
      <c r="B185" s="725" t="s">
        <v>309</v>
      </c>
      <c r="C185" s="726" t="s">
        <v>309</v>
      </c>
      <c r="D185" s="726"/>
      <c r="E185" s="726" t="s">
        <v>515</v>
      </c>
      <c r="F185" s="726" t="s">
        <v>525</v>
      </c>
      <c r="G185" s="591" t="str">
        <f>VLOOKUP(WWWW[[#This Row],[Site Name]],SiteDB6[[Site Name]:[Location Type]],8,FALSE)</f>
        <v>Camp</v>
      </c>
      <c r="H185" s="726" t="s">
        <v>2694</v>
      </c>
      <c r="I185" s="448">
        <v>16</v>
      </c>
      <c r="J185" s="448">
        <v>91</v>
      </c>
      <c r="K185" s="588" t="s">
        <v>2767</v>
      </c>
      <c r="L185" s="589" t="s">
        <v>2768</v>
      </c>
      <c r="M185" s="728"/>
      <c r="N185" s="728"/>
      <c r="O185" s="728"/>
      <c r="P185" s="728"/>
      <c r="Q185" s="731"/>
      <c r="R185" s="728"/>
      <c r="S185" s="728"/>
      <c r="T185" s="448"/>
      <c r="U185" s="728"/>
      <c r="V185" s="728"/>
      <c r="W185" s="728"/>
      <c r="X185" s="728"/>
      <c r="Y185" s="728"/>
      <c r="Z185" s="728"/>
      <c r="AA185" s="728"/>
      <c r="AB185" s="728"/>
      <c r="AC185" s="728"/>
      <c r="AD185" s="728"/>
      <c r="AE185" s="728"/>
      <c r="AF185" s="728"/>
      <c r="AG185" s="728"/>
      <c r="AH185" s="728"/>
      <c r="AI185" s="728"/>
      <c r="AJ185" s="728"/>
      <c r="AK185" s="728"/>
      <c r="AL185" s="728"/>
      <c r="AM185" s="728"/>
      <c r="AN185" s="728"/>
      <c r="AO185" s="728"/>
      <c r="AP185" s="732"/>
      <c r="AQ185" s="728"/>
      <c r="AR185" s="728"/>
      <c r="AS185" s="733"/>
      <c r="AT185" s="728"/>
      <c r="AU185" s="728"/>
      <c r="AV185" s="728"/>
      <c r="AW185" s="728"/>
      <c r="AX185" s="728"/>
      <c r="AY185" s="425" t="s">
        <v>140</v>
      </c>
      <c r="AZ185" s="860" t="s">
        <v>140</v>
      </c>
      <c r="BA185" s="728"/>
      <c r="BB185" s="728"/>
      <c r="BC185" s="728"/>
      <c r="BD185" s="448"/>
      <c r="BE185" s="448"/>
      <c r="BF185" s="727"/>
      <c r="BG185" s="728">
        <v>8</v>
      </c>
      <c r="BH185" s="728"/>
      <c r="BI185" s="728"/>
      <c r="BJ185" s="728">
        <v>3</v>
      </c>
      <c r="BK185" s="728"/>
      <c r="BL185" s="728"/>
      <c r="BM185" s="728"/>
      <c r="BN185" s="728">
        <v>91</v>
      </c>
      <c r="BO185" s="728">
        <v>124</v>
      </c>
      <c r="BP185" s="727"/>
      <c r="BQ185" s="734"/>
      <c r="BR185" s="733"/>
      <c r="BS185" s="727"/>
      <c r="BT185" s="423"/>
      <c r="BU185" s="423"/>
      <c r="BV185" s="425"/>
      <c r="BW185" s="423"/>
      <c r="BX185" s="448"/>
      <c r="BY185" s="448"/>
      <c r="BZ185" s="448"/>
      <c r="CA185" s="448"/>
      <c r="CB185" s="448"/>
      <c r="CC185" s="777"/>
      <c r="CD185" s="448"/>
      <c r="CE185" s="735" t="str">
        <f>IFERROR(WWWW[[#This Row],['#_Water sources passed]]/WWWW[[#This Row],['#_Water sources tested for fecal coliform ]],"no test")</f>
        <v>no test</v>
      </c>
      <c r="CF185" s="733" t="str">
        <f>IFERROR(WWWW[[#This Row],['#_Household passed]]/WWWW[[#This Row],['#_Household water samples tested for fecal coliform]],"no test")</f>
        <v>no test</v>
      </c>
      <c r="CG185" s="734" t="str">
        <f>IF(AND(WWWW[[#This Row],[% of water sources passed]]="no test",WWWW[[#This Row],[% Household passed]]="no test"),"No Test","Tested")</f>
        <v>No Test</v>
      </c>
      <c r="CH185" s="734">
        <f>WWWW[[#This Row],['#_Constructed/existing protected hand dug well]]-WWWW[[#This Row],['#_Non-functional protected hand dug well]]</f>
        <v>0</v>
      </c>
      <c r="CI185" s="734">
        <f>(WWWW[[#This Row],['#_Constructed/Existing tube wells/boreholes/handpumps_WASH_agency]]+WWWW[[#This Row],['#_Non-Cluster partner water tube-wells/boreholes/handpumps]])-WWWW[[#This Row],['#_Non-functional tube wells/boreholes/handpumps]]</f>
        <v>0</v>
      </c>
      <c r="CJ185" s="734">
        <f>WWWW[[#This Row],['#_Constructed/Existingwater storage tank with gravity fed reticulation system]]-WWWW[[#This Row],['#_Non-functional storage tank gravity fed reticulation system]]</f>
        <v>0</v>
      </c>
      <c r="CK185" s="734">
        <f>(WWWW[[#This Row],['#_Water_Liters_supplied_by_Water boating or water trucking]]/90)/15</f>
        <v>0</v>
      </c>
      <c r="CL185" s="734">
        <f>WWWW[[#This Row],['#_Water_Liters_from_Constructed/Existing water distribution system from river or natural spring]]/90/15</f>
        <v>0</v>
      </c>
      <c r="CM185" s="424">
        <f>IF(WWWW[[#This Row],['#_of water points in TLS/CFS]]*500&gt;WWWW[[#This Row],[Total PoP ]],WWWW[[#This Row],[Total PoP ]],WWWW[[#This Row],['#_of water points in TLS/CFS]]*500)</f>
        <v>0</v>
      </c>
      <c r="CN185" s="424">
        <f>IF(WWWW[[#This Row],['#_of water points in THF]]*500&gt;WWWW[[#This Row],[Total PoP ]],WWWW[[#This Row],[Total PoP ]],WWWW[[#This Row],['#_of water points in THF]]*500)</f>
        <v>0</v>
      </c>
      <c r="CO18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8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85" s="733">
        <f>IF(WWWW[[#This Row],[Location Type 1]]="Village",WWWW[[#This Row],[Access to safe drinking water for Village]],WWWW[[#This Row],[Access to safe drinking water for Camp]])</f>
        <v>0</v>
      </c>
      <c r="CR185" s="731">
        <f>WWWW[[#This Row],[%Equitable and continuous access to sufficient quantity of safe drinking water]]*WWWW[[#This Row],[Total PoP ]]</f>
        <v>0</v>
      </c>
      <c r="CS185" s="733">
        <f>IF((WWWW[[#This Row],['#_Constructed/Existing protected/fenced ponds]]*250)/WWWW[[#This Row],[Total PoP ]]&gt;1,1,(WWWW[[#This Row],['#_Constructed/Existing protected/fenced ponds]]*250)/WWWW[[#This Row],[Total PoP ]])</f>
        <v>0</v>
      </c>
      <c r="CT185" s="731">
        <f>WWWW[[#This Row],[% Access to unimproved water points]]*WWWW[[#This Row],[Total PoP ]]</f>
        <v>0</v>
      </c>
      <c r="CU18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8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85" s="731">
        <f>WWWW[[#This Row],[HRP1]]/500</f>
        <v>0</v>
      </c>
      <c r="CX185" s="736">
        <f>1-WWWW[[#This Row],[% Equitable and continuous access to sufficient quantity of domestic water]]</f>
        <v>1</v>
      </c>
      <c r="CY185" s="731">
        <f>WWWW[[#This Row],[%equitable and continuous access to sufficient quantity of safe drinking and domestic water''s GAP]]*WWWW[[#This Row],[Total PoP ]]</f>
        <v>91</v>
      </c>
      <c r="CZ185" s="734">
        <f>IF(WWWW[[#This Row],[Total required water points]]-WWWW[[#This Row],['#Water points coverage]]&lt;0,0,WWWW[[#This Row],[Total required water points]]-WWWW[[#This Row],['#Water points coverage]])</f>
        <v>1</v>
      </c>
      <c r="DA185" s="734">
        <f>ROUND(IF(WWWW[[#This Row],[Total PoP ]]&lt;500,1,WWWW[[#This Row],[Total PoP ]]/500),0)</f>
        <v>1</v>
      </c>
      <c r="DB185" s="734">
        <f>(WWWW[[#This Row],['#_Constructed latrines_by_WASHAgencies]]+WWWW[[#This Row],['#_Non Cluster partner latrines]])-WWWW[[#This Row],['#_Non-functional latrines]]</f>
        <v>0</v>
      </c>
      <c r="DC185" s="631">
        <f>WWWW[[#This Row],[HRP2]]/WWWW[[#This Row],[Total PoP ]]</f>
        <v>0</v>
      </c>
      <c r="DD18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8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5" s="424">
        <f>IF(WWWW[[#This Row],['# of functional latrines in THF supported by WASH partners during the reporting period2]]="",0,WWWW[[#This Row],['# of functional latrines in THF supported by WASH partners during the reporting period2]]*50)</f>
        <v>0</v>
      </c>
      <c r="DH185" s="734">
        <f>ROUND(IF(WWWW[[#This Row],[Location Type 1]]="camp",WWWW[[#This Row],[Total PoP ]]/20,IF(WWWW[[#This Row],[Location Type 1]]="Temporary Location",WWWW[[#This Row],[Total PoP ]]/50,(WWWW[[#This Row],[Total PoP ]]/6))),0)</f>
        <v>5</v>
      </c>
      <c r="DI185" s="734">
        <f>IF(WWWW[[#This Row],[Total required Latrines]]-(WWWW[[#This Row],['#_Constructed latrines_by_WASHAgencies]]+WWWW[[#This Row],['#_Non Cluster partner latrines]])&lt;0,0,WWWW[[#This Row],[Total required Latrines]]-(WWWW[[#This Row],['#_Constructed latrines_by_WASHAgencies]]+WWWW[[#This Row],['#_Non Cluster partner latrines]]))</f>
        <v>5</v>
      </c>
      <c r="DJ185" s="736">
        <f>1-WWWW[[#This Row],[% people access to functioning Latrine]]</f>
        <v>1</v>
      </c>
      <c r="DK185" s="735">
        <f>IF(OR(WWWW[[#This Row],['#_Non-functional latrines]]="",WWWW[[#This Row],['#_Non-functional latrines]]=0),0,WWWW[[#This Row],['#_Non-functional latrines]]/(WWWW[[#This Row],['#_Constructed latrines_by_WASHAgencies]]+WWWW[[#This Row],['#_Non Cluster partner latrines]]))</f>
        <v>0</v>
      </c>
      <c r="DL185" s="731">
        <f>IF(500*(WWWW[[#This Row],['#_male hygiene promoters]]+WWWW[[#This Row],['#_female hygiene promoters]])&gt;WWWW[[#This Row],[Total PoP ]],WWWW[[#This Row],[Total PoP ]],500*(WWWW[[#This Row],['#_male hygiene promoters]]+WWWW[[#This Row],['#_female hygiene promoters]]))</f>
        <v>0</v>
      </c>
      <c r="DM18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91</v>
      </c>
      <c r="DN18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91</v>
      </c>
      <c r="DO185" s="734">
        <f>IF(WWWW[[#This Row],['# People with access to soap]]&gt;WWWW[[#This Row],['# People with access to Sanity Pads]],WWWW[[#This Row],['# People with access to soap]],WWWW[[#This Row],['# People with access to Sanity Pads]])</f>
        <v>91</v>
      </c>
      <c r="DP185" s="734">
        <f>IF(WWWW[[#This Row],['# people reached by regular dedicated hygiene promotion_5]]&gt;WWWW[[#This Row],['# People received regular supply of hygiene items_6]],WWWW[[#This Row],['# people reached by regular dedicated hygiene promotion_5]],WWWW[[#This Row],['# People received regular supply of hygiene items_6]])</f>
        <v>91</v>
      </c>
      <c r="DQ185" s="736">
        <f>IF(WWWW[[#This Row],[HRP3]]/WWWW[[#This Row],[Total PoP ]]&gt;1,1,WWWW[[#This Row],[HRP3]]/WWWW[[#This Row],[Total PoP ]])</f>
        <v>1</v>
      </c>
      <c r="DR185" s="735">
        <f>1-WWWW[[#This Row],[Hygiene Coverage%]]</f>
        <v>0</v>
      </c>
      <c r="DS185" s="733">
        <f>WWWW[[#This Row],['# people reached by regular dedicated hygiene promotion_5]]/WWWW[[#This Row],[Total PoP ]]</f>
        <v>0</v>
      </c>
      <c r="DT18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5" s="734">
        <f>WWWW[[#This Row],['#_Constructed/Existing hand washing stations]]-WWWW[[#This Row],['#_Non-Functional_hand_washing_stations]]</f>
        <v>8</v>
      </c>
      <c r="DW185" s="731">
        <f>IF(WWWW[[#This Row],['# Functional hand washing stations during reporting period]]*20&gt;WWWW[[#This Row],[Total HH]],WWWW[[#This Row],[Total HH]],WWWW[[#This Row],['# Functional hand washing stations during reporting period]]*20)</f>
        <v>16</v>
      </c>
      <c r="DX185" s="731">
        <f>IF(WWWW[[#This Row],[Is sufficient soap available for TLS? (Yes/No)]]="yes",WWWW[[#This Row],['#_Constructed/Existing hand washing stations at TLS/CFS/THF]],0)</f>
        <v>0</v>
      </c>
      <c r="DY185" s="428">
        <f>IF(WWWW[[#This Row],['# Functional hand washing stations during reporting period]]*100&gt;WWWW[[#This Row],[Total PoP ]],WWWW[[#This Row],[Total PoP ]],WWWW[[#This Row],['# Functional hand washing stations during reporting period]]*100)</f>
        <v>91</v>
      </c>
      <c r="DZ185" s="428" t="str">
        <f>IF(OR(WWWW[[#This Row],['#_students at TLS_CFS]]="",WWWW[[#This Row],['#_students at TLS_CFS]]=0),"No","Yes")</f>
        <v>No</v>
      </c>
      <c r="EA18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5" s="727">
        <f>VLOOKUP(WWWW[[#This Row],[Site Name]],SiteDB6[[Site Name]:[CCCM Management]],6,FALSE)</f>
        <v>0</v>
      </c>
      <c r="EF185" s="727">
        <f>VLOOKUP(WWWW[[#This Row],[Site Name]],SiteDB6[[Site Name]:[CCCM Focal Agency]],7,FALSE)</f>
        <v>0</v>
      </c>
      <c r="EG185" s="727" t="str">
        <f>VLOOKUP(WWWW[[#This Row],[Site Name]],SiteDB6[[Site Name]:[Location Type 1]],9,FALSE)</f>
        <v>Camp</v>
      </c>
      <c r="EH185" s="727" t="str">
        <f>VLOOKUP(WWWW[[#This Row],[Site Name]],SiteDB6[[Site Name]:[Type of Accommodation]],10,FALSE)</f>
        <v>IDPs in host</v>
      </c>
      <c r="EI185" s="727" t="str">
        <f>VLOOKUP(WWWW[[#This Row],[Site Name]],SiteDB6[[Site Name]:[Ethnic or GCA/NGCA]],11,FALSE)</f>
        <v>GCA</v>
      </c>
      <c r="EJ185" s="727">
        <f>VLOOKUP(WWWW[[#This Row],[Site Name]],SiteDB6[[Site Name]:[Lat]],12,FALSE)</f>
        <v>23.963060379028299</v>
      </c>
      <c r="EK185" s="727">
        <f>VLOOKUP(WWWW[[#This Row],[Site Name]],SiteDB6[[Site Name]:[Long]],13,FALSE)</f>
        <v>98.127189636230497</v>
      </c>
      <c r="EL185" s="727" t="str">
        <f>VLOOKUP(WWWW[[#This Row],[Site Name]],SiteDB6[[Site Name]:[Pcode]],3,FALSE)</f>
        <v>MMR015CMP076</v>
      </c>
      <c r="EM185" s="732" t="str">
        <f t="shared" si="2"/>
        <v>Notcovered</v>
      </c>
      <c r="EN185" s="732"/>
      <c r="EO185" s="727">
        <f>VLOOKUP(WWWW[[#This Row],[Site Name]],SiteDB6[[Site Name]:[Pop
(Kachin/Shan-CCCM as of July 2021)]],16,FALSE)</f>
        <v>19</v>
      </c>
      <c r="EP185" s="727">
        <f>VLOOKUP(WWWW[[#This Row],[Site Name]],SiteDB6[[Site Name]:[Pop
(Kachin/Shan-CCCM as of July 2021)]],17,FALSE)</f>
        <v>60</v>
      </c>
    </row>
    <row r="186" spans="1:146" hidden="1">
      <c r="A186" s="725" t="s">
        <v>2763</v>
      </c>
      <c r="B186" s="725" t="s">
        <v>192</v>
      </c>
      <c r="C186" s="726" t="s">
        <v>192</v>
      </c>
      <c r="D186" s="726" t="s">
        <v>2673</v>
      </c>
      <c r="E186" s="726" t="s">
        <v>515</v>
      </c>
      <c r="F186" s="726" t="s">
        <v>519</v>
      </c>
      <c r="G186" s="591" t="str">
        <f>VLOOKUP(WWWW[[#This Row],[Site Name]],SiteDB6[[Site Name]:[Location Type]],8,FALSE)</f>
        <v>Camp</v>
      </c>
      <c r="H186" s="726" t="s">
        <v>1617</v>
      </c>
      <c r="I186" s="728">
        <v>64</v>
      </c>
      <c r="J186" s="728">
        <v>251</v>
      </c>
      <c r="K186" s="729" t="s">
        <v>2767</v>
      </c>
      <c r="L186" s="730" t="s">
        <v>2768</v>
      </c>
      <c r="M186" s="728"/>
      <c r="N186" s="728">
        <v>1</v>
      </c>
      <c r="O186" s="728"/>
      <c r="P186" s="728"/>
      <c r="Q186" s="731" t="s">
        <v>41</v>
      </c>
      <c r="R186" s="728">
        <v>4</v>
      </c>
      <c r="S186" s="728">
        <v>5</v>
      </c>
      <c r="T186" s="448"/>
      <c r="U186" s="728"/>
      <c r="V186" s="728"/>
      <c r="W186" s="728"/>
      <c r="X186" s="728"/>
      <c r="Y186" s="728"/>
      <c r="Z186" s="728"/>
      <c r="AA186" s="728">
        <v>14</v>
      </c>
      <c r="AB186" s="728"/>
      <c r="AC186" s="728"/>
      <c r="AD186" s="728"/>
      <c r="AE186" s="728"/>
      <c r="AF186" s="728"/>
      <c r="AG186" s="728"/>
      <c r="AH186" s="728">
        <v>1</v>
      </c>
      <c r="AI186" s="728"/>
      <c r="AJ186" s="728"/>
      <c r="AK186" s="728"/>
      <c r="AL186" s="728"/>
      <c r="AM186" s="728">
        <v>3</v>
      </c>
      <c r="AN186" s="728"/>
      <c r="AO186" s="728"/>
      <c r="AP186" s="732"/>
      <c r="AQ186" s="728">
        <v>71</v>
      </c>
      <c r="AR186" s="728"/>
      <c r="AS186" s="733"/>
      <c r="AT186" s="728"/>
      <c r="AU186" s="728"/>
      <c r="AV186" s="728"/>
      <c r="AW186" s="728"/>
      <c r="AX186" s="728"/>
      <c r="AY186" s="727" t="s">
        <v>136</v>
      </c>
      <c r="AZ186" s="732" t="s">
        <v>904</v>
      </c>
      <c r="BA186" s="728"/>
      <c r="BB186" s="728"/>
      <c r="BC186" s="728">
        <v>4</v>
      </c>
      <c r="BD186" s="448"/>
      <c r="BE186" s="448"/>
      <c r="BF186" s="727"/>
      <c r="BG186" s="728">
        <v>3</v>
      </c>
      <c r="BH186" s="728"/>
      <c r="BI186" s="728"/>
      <c r="BJ186" s="728">
        <v>2</v>
      </c>
      <c r="BK186" s="728"/>
      <c r="BL186" s="728">
        <v>1</v>
      </c>
      <c r="BM186" s="728"/>
      <c r="BN186" s="728">
        <v>10</v>
      </c>
      <c r="BO186" s="728">
        <v>18</v>
      </c>
      <c r="BP186" s="727"/>
      <c r="BQ186" s="734"/>
      <c r="BR186" s="733"/>
      <c r="BS186" s="727"/>
      <c r="BT186" s="423"/>
      <c r="BU186" s="423"/>
      <c r="BV186" s="425"/>
      <c r="BW186" s="423"/>
      <c r="BX186" s="448"/>
      <c r="BY186" s="448"/>
      <c r="BZ186" s="448"/>
      <c r="CA186" s="448"/>
      <c r="CB186" s="448"/>
      <c r="CC186" s="777"/>
      <c r="CD186" s="448"/>
      <c r="CE186" s="735" t="str">
        <f>IFERROR(WWWW[[#This Row],['#_Water sources passed]]/WWWW[[#This Row],['#_Water sources tested for fecal coliform ]],"no test")</f>
        <v>no test</v>
      </c>
      <c r="CF186" s="733" t="str">
        <f>IFERROR(WWWW[[#This Row],['#_Household passed]]/WWWW[[#This Row],['#_Household water samples tested for fecal coliform]],"no test")</f>
        <v>no test</v>
      </c>
      <c r="CG186" s="734" t="str">
        <f>IF(AND(WWWW[[#This Row],[% of water sources passed]]="no test",WWWW[[#This Row],[% Household passed]]="no test"),"No Test","Tested")</f>
        <v>No Test</v>
      </c>
      <c r="CH186" s="734">
        <f>WWWW[[#This Row],['#_Constructed/existing protected hand dug well]]-WWWW[[#This Row],['#_Non-functional protected hand dug well]]</f>
        <v>0</v>
      </c>
      <c r="CI186" s="734">
        <f>(WWWW[[#This Row],['#_Constructed/Existing tube wells/boreholes/handpumps_WASH_agency]]+WWWW[[#This Row],['#_Non-Cluster partner water tube-wells/boreholes/handpumps]])-WWWW[[#This Row],['#_Non-functional tube wells/boreholes/handpumps]]</f>
        <v>0</v>
      </c>
      <c r="CJ186" s="734">
        <f>WWWW[[#This Row],['#_Constructed/Existingwater storage tank with gravity fed reticulation system]]-WWWW[[#This Row],['#_Non-functional storage tank gravity fed reticulation system]]</f>
        <v>14</v>
      </c>
      <c r="CK186" s="734">
        <f>(WWWW[[#This Row],['#_Water_Liters_supplied_by_Water boating or water trucking]]/90)/15</f>
        <v>0</v>
      </c>
      <c r="CL186" s="734">
        <f>WWWW[[#This Row],['#_Water_Liters_from_Constructed/Existing water distribution system from river or natural spring]]/90/15</f>
        <v>0</v>
      </c>
      <c r="CM186" s="424">
        <f>IF(WWWW[[#This Row],['#_of water points in TLS/CFS]]*500&gt;WWWW[[#This Row],[Total PoP ]],WWWW[[#This Row],[Total PoP ]],WWWW[[#This Row],['#_of water points in TLS/CFS]]*500)</f>
        <v>0</v>
      </c>
      <c r="CN186" s="424">
        <f>IF(WWWW[[#This Row],['#_of water points in THF]]*500&gt;WWWW[[#This Row],[Total PoP ]],WWWW[[#This Row],[Total PoP ]],WWWW[[#This Row],['#_of water points in THF]]*500)</f>
        <v>0</v>
      </c>
      <c r="CO18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6" s="733">
        <f>IF(WWWW[[#This Row],[Location Type 1]]="Village",WWWW[[#This Row],[Access to safe drinking water for Village]],WWWW[[#This Row],[Access to safe drinking water for Camp]])</f>
        <v>1</v>
      </c>
      <c r="CR186" s="731">
        <f>WWWW[[#This Row],[%Equitable and continuous access to sufficient quantity of safe drinking water]]*WWWW[[#This Row],[Total PoP ]]</f>
        <v>251</v>
      </c>
      <c r="CS186" s="733">
        <f>IF((WWWW[[#This Row],['#_Constructed/Existing protected/fenced ponds]]*250)/WWWW[[#This Row],[Total PoP ]]&gt;1,1,(WWWW[[#This Row],['#_Constructed/Existing protected/fenced ponds]]*250)/WWWW[[#This Row],[Total PoP ]])</f>
        <v>0</v>
      </c>
      <c r="CT186" s="731">
        <f>WWWW[[#This Row],[% Access to unimproved water points]]*WWWW[[#This Row],[Total PoP ]]</f>
        <v>0</v>
      </c>
      <c r="CU18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CW186" s="731">
        <f>WWWW[[#This Row],[HRP1]]/500</f>
        <v>0.502</v>
      </c>
      <c r="CX186" s="736">
        <f>1-WWWW[[#This Row],[% Equitable and continuous access to sufficient quantity of domestic water]]</f>
        <v>0</v>
      </c>
      <c r="CY186" s="731">
        <f>WWWW[[#This Row],[%equitable and continuous access to sufficient quantity of safe drinking and domestic water''s GAP]]*WWWW[[#This Row],[Total PoP ]]</f>
        <v>0</v>
      </c>
      <c r="CZ186" s="734">
        <f>IF(WWWW[[#This Row],[Total required water points]]-WWWW[[#This Row],['#Water points coverage]]&lt;0,0,WWWW[[#This Row],[Total required water points]]-WWWW[[#This Row],['#Water points coverage]])</f>
        <v>0.498</v>
      </c>
      <c r="DA186" s="734">
        <f>ROUND(IF(WWWW[[#This Row],[Total PoP ]]&lt;500,1,WWWW[[#This Row],[Total PoP ]]/500),0)</f>
        <v>1</v>
      </c>
      <c r="DB186" s="734">
        <f>(WWWW[[#This Row],['#_Constructed latrines_by_WASHAgencies]]+WWWW[[#This Row],['#_Non Cluster partner latrines]])-WWWW[[#This Row],['#_Non-functional latrines]]</f>
        <v>71</v>
      </c>
      <c r="DC186" s="631">
        <f>WWWW[[#This Row],[HRP2]]/WWWW[[#This Row],[Total PoP ]]</f>
        <v>1</v>
      </c>
      <c r="DD18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251</v>
      </c>
      <c r="DE18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6" s="424">
        <f>IF(WWWW[[#This Row],['# of functional latrines in THF supported by WASH partners during the reporting period2]]="",0,WWWW[[#This Row],['# of functional latrines in THF supported by WASH partners during the reporting period2]]*50)</f>
        <v>0</v>
      </c>
      <c r="DH186" s="734">
        <f>ROUND(IF(WWWW[[#This Row],[Location Type 1]]="camp",WWWW[[#This Row],[Total PoP ]]/20,IF(WWWW[[#This Row],[Location Type 1]]="Temporary Location",WWWW[[#This Row],[Total PoP ]]/50,(WWWW[[#This Row],[Total PoP ]]/6))),0)</f>
        <v>42</v>
      </c>
      <c r="DI186" s="734">
        <f>IF(WWWW[[#This Row],[Total required Latrines]]-(WWWW[[#This Row],['#_Constructed latrines_by_WASHAgencies]]+WWWW[[#This Row],['#_Non Cluster partner latrines]])&lt;0,0,WWWW[[#This Row],[Total required Latrines]]-(WWWW[[#This Row],['#_Constructed latrines_by_WASHAgencies]]+WWWW[[#This Row],['#_Non Cluster partner latrines]]))</f>
        <v>0</v>
      </c>
      <c r="DJ186" s="736">
        <f>1-WWWW[[#This Row],[% people access to functioning Latrine]]</f>
        <v>0</v>
      </c>
      <c r="DK186" s="735">
        <f>IF(OR(WWWW[[#This Row],['#_Non-functional latrines]]="",WWWW[[#This Row],['#_Non-functional latrines]]=0),0,WWWW[[#This Row],['#_Non-functional latrines]]/(WWWW[[#This Row],['#_Constructed latrines_by_WASHAgencies]]+WWWW[[#This Row],['#_Non Cluster partner latrines]]))</f>
        <v>0</v>
      </c>
      <c r="DL186" s="731">
        <f>IF(500*(WWWW[[#This Row],['#_male hygiene promoters]]+WWWW[[#This Row],['#_female hygiene promoters]])&gt;WWWW[[#This Row],[Total PoP ]],WWWW[[#This Row],[Total PoP ]],500*(WWWW[[#This Row],['#_male hygiene promoters]]+WWWW[[#This Row],['#_female hygiene promoters]]))</f>
        <v>251</v>
      </c>
      <c r="DM18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8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86" s="734">
        <f>IF(WWWW[[#This Row],['# People with access to soap]]&gt;WWWW[[#This Row],['# People with access to Sanity Pads]],WWWW[[#This Row],['# People with access to soap]],WWWW[[#This Row],['# People with access to Sanity Pads]])</f>
        <v>50</v>
      </c>
      <c r="DP186" s="734">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Q186" s="736">
        <f>IF(WWWW[[#This Row],[HRP3]]/WWWW[[#This Row],[Total PoP ]]&gt;1,1,WWWW[[#This Row],[HRP3]]/WWWW[[#This Row],[Total PoP ]])</f>
        <v>1</v>
      </c>
      <c r="DR186" s="735">
        <f>1-WWWW[[#This Row],[Hygiene Coverage%]]</f>
        <v>0</v>
      </c>
      <c r="DS186" s="733">
        <f>WWWW[[#This Row],['# people reached by regular dedicated hygiene promotion_5]]/WWWW[[#This Row],[Total PoP ]]</f>
        <v>1</v>
      </c>
      <c r="DT18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0.625</v>
      </c>
      <c r="DU18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0.28125</v>
      </c>
      <c r="DV186" s="734">
        <f>WWWW[[#This Row],['#_Constructed/Existing hand washing stations]]-WWWW[[#This Row],['#_Non-Functional_hand_washing_stations]]</f>
        <v>3</v>
      </c>
      <c r="DW186" s="731">
        <f>IF(WWWW[[#This Row],['# Functional hand washing stations during reporting period]]*20&gt;WWWW[[#This Row],[Total HH]],WWWW[[#This Row],[Total HH]],WWWW[[#This Row],['# Functional hand washing stations during reporting period]]*20)</f>
        <v>60</v>
      </c>
      <c r="DX186" s="731">
        <f>IF(WWWW[[#This Row],[Is sufficient soap available for TLS? (Yes/No)]]="yes",WWWW[[#This Row],['#_Constructed/Existing hand washing stations at TLS/CFS/THF]],0)</f>
        <v>0</v>
      </c>
      <c r="DY186" s="428">
        <f>IF(WWWW[[#This Row],['# Functional hand washing stations during reporting period]]*100&gt;WWWW[[#This Row],[Total PoP ]],WWWW[[#This Row],[Total PoP ]],WWWW[[#This Row],['# Functional hand washing stations during reporting period]]*100)</f>
        <v>251</v>
      </c>
      <c r="DZ186" s="428" t="str">
        <f>IF(OR(WWWW[[#This Row],['#_students at TLS_CFS]]="",WWWW[[#This Row],['#_students at TLS_CFS]]=0),"No","Yes")</f>
        <v>No</v>
      </c>
      <c r="EA18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6" s="727" t="str">
        <f>VLOOKUP(WWWW[[#This Row],[Site Name]],SiteDB6[[Site Name]:[CCCM Management]],6,FALSE)</f>
        <v>Yes</v>
      </c>
      <c r="EF186" s="727" t="str">
        <f>VLOOKUP(WWWW[[#This Row],[Site Name]],SiteDB6[[Site Name]:[CCCM Focal Agency]],7,FALSE)</f>
        <v>KMSS-LSO</v>
      </c>
      <c r="EG186" s="727" t="str">
        <f>VLOOKUP(WWWW[[#This Row],[Site Name]],SiteDB6[[Site Name]:[Location Type 1]],9,FALSE)</f>
        <v>Village Type Camp</v>
      </c>
      <c r="EH186" s="727" t="str">
        <f>VLOOKUP(WWWW[[#This Row],[Site Name]],SiteDB6[[Site Name]:[Type of Accommodation]],10,FALSE)</f>
        <v>Camp</v>
      </c>
      <c r="EI186" s="727" t="str">
        <f>VLOOKUP(WWWW[[#This Row],[Site Name]],SiteDB6[[Site Name]:[Ethnic or GCA/NGCA]],11,FALSE)</f>
        <v>GCA</v>
      </c>
      <c r="EJ186" s="727">
        <f>VLOOKUP(WWWW[[#This Row],[Site Name]],SiteDB6[[Site Name]:[Lat]],12,FALSE)</f>
        <v>23.588920000000002</v>
      </c>
      <c r="EK186" s="727">
        <f>VLOOKUP(WWWW[[#This Row],[Site Name]],SiteDB6[[Site Name]:[Long]],13,FALSE)</f>
        <v>97.793019999999999</v>
      </c>
      <c r="EL186" s="727" t="str">
        <f>VLOOKUP(WWWW[[#This Row],[Site Name]],SiteDB6[[Site Name]:[Pcode]],3,FALSE)</f>
        <v>MMR015CMP018</v>
      </c>
      <c r="EM186" s="732" t="str">
        <f t="shared" si="2"/>
        <v>Covered</v>
      </c>
      <c r="EN186" s="732"/>
      <c r="EO186" s="727">
        <f>VLOOKUP(WWWW[[#This Row],[Site Name]],SiteDB6[[Site Name]:[Pop
(Kachin/Shan-CCCM as of July 2021)]],16,FALSE)</f>
        <v>66</v>
      </c>
      <c r="EP186" s="727">
        <f>VLOOKUP(WWWW[[#This Row],[Site Name]],SiteDB6[[Site Name]:[Pop
(Kachin/Shan-CCCM as of July 2021)]],17,FALSE)</f>
        <v>248</v>
      </c>
    </row>
    <row r="187" spans="1:146" hidden="1">
      <c r="A187" s="725" t="s">
        <v>2763</v>
      </c>
      <c r="B187" s="725" t="s">
        <v>192</v>
      </c>
      <c r="C187" s="726" t="s">
        <v>192</v>
      </c>
      <c r="D187" s="726" t="s">
        <v>2673</v>
      </c>
      <c r="E187" s="726" t="s">
        <v>515</v>
      </c>
      <c r="F187" s="726" t="s">
        <v>516</v>
      </c>
      <c r="G187" s="591" t="str">
        <f>VLOOKUP(WWWW[[#This Row],[Site Name]],SiteDB6[[Site Name]:[Location Type]],8,FALSE)</f>
        <v>Relocated</v>
      </c>
      <c r="H187" s="726" t="s">
        <v>2953</v>
      </c>
      <c r="I187" s="728">
        <v>64</v>
      </c>
      <c r="J187" s="728">
        <v>292</v>
      </c>
      <c r="K187" s="588" t="s">
        <v>2767</v>
      </c>
      <c r="L187" s="589" t="s">
        <v>2768</v>
      </c>
      <c r="M187" s="728"/>
      <c r="N187" s="728"/>
      <c r="O187" s="728"/>
      <c r="P187" s="728"/>
      <c r="Q187" s="731"/>
      <c r="R187" s="728">
        <v>4</v>
      </c>
      <c r="S187" s="728">
        <v>5</v>
      </c>
      <c r="T187" s="448"/>
      <c r="U187" s="728"/>
      <c r="V187" s="728"/>
      <c r="W187" s="728"/>
      <c r="X187" s="728"/>
      <c r="Y187" s="728"/>
      <c r="Z187" s="728"/>
      <c r="AA187" s="728">
        <v>8</v>
      </c>
      <c r="AB187" s="728"/>
      <c r="AC187" s="728"/>
      <c r="AD187" s="728"/>
      <c r="AE187" s="728"/>
      <c r="AF187" s="728"/>
      <c r="AG187" s="728"/>
      <c r="AH187" s="728"/>
      <c r="AI187" s="728"/>
      <c r="AJ187" s="728"/>
      <c r="AK187" s="728"/>
      <c r="AL187" s="728"/>
      <c r="AM187" s="728"/>
      <c r="AN187" s="728"/>
      <c r="AO187" s="728"/>
      <c r="AP187" s="732"/>
      <c r="AQ187" s="728">
        <v>25</v>
      </c>
      <c r="AR187" s="728"/>
      <c r="AS187" s="733"/>
      <c r="AT187" s="728"/>
      <c r="AU187" s="728"/>
      <c r="AV187" s="728"/>
      <c r="AW187" s="728"/>
      <c r="AX187" s="728">
        <v>25</v>
      </c>
      <c r="AY187" s="727" t="s">
        <v>41</v>
      </c>
      <c r="AZ187" s="732" t="s">
        <v>137</v>
      </c>
      <c r="BA187" s="728"/>
      <c r="BB187" s="728"/>
      <c r="BC187" s="728"/>
      <c r="BD187" s="448"/>
      <c r="BE187" s="448"/>
      <c r="BF187" s="727"/>
      <c r="BG187" s="728">
        <v>1</v>
      </c>
      <c r="BH187" s="728"/>
      <c r="BI187" s="728"/>
      <c r="BJ187" s="728">
        <v>1</v>
      </c>
      <c r="BK187" s="728"/>
      <c r="BL187" s="728"/>
      <c r="BM187" s="728">
        <v>1</v>
      </c>
      <c r="BN187" s="728">
        <v>6</v>
      </c>
      <c r="BO187" s="728">
        <v>5</v>
      </c>
      <c r="BP187" s="727"/>
      <c r="BQ187" s="734"/>
      <c r="BR187" s="733"/>
      <c r="BS187" s="727"/>
      <c r="BT187" s="423"/>
      <c r="BU187" s="423"/>
      <c r="BV187" s="425"/>
      <c r="BW187" s="423"/>
      <c r="BX187" s="448"/>
      <c r="BY187" s="448"/>
      <c r="BZ187" s="448"/>
      <c r="CA187" s="448"/>
      <c r="CB187" s="448"/>
      <c r="CC187" s="777"/>
      <c r="CD187" s="448"/>
      <c r="CE187" s="735" t="str">
        <f>IFERROR(WWWW[[#This Row],['#_Water sources passed]]/WWWW[[#This Row],['#_Water sources tested for fecal coliform ]],"no test")</f>
        <v>no test</v>
      </c>
      <c r="CF187" s="733" t="str">
        <f>IFERROR(WWWW[[#This Row],['#_Household passed]]/WWWW[[#This Row],['#_Household water samples tested for fecal coliform]],"no test")</f>
        <v>no test</v>
      </c>
      <c r="CG187" s="734" t="str">
        <f>IF(AND(WWWW[[#This Row],[% of water sources passed]]="no test",WWWW[[#This Row],[% Household passed]]="no test"),"No Test","Tested")</f>
        <v>No Test</v>
      </c>
      <c r="CH187" s="734">
        <f>WWWW[[#This Row],['#_Constructed/existing protected hand dug well]]-WWWW[[#This Row],['#_Non-functional protected hand dug well]]</f>
        <v>0</v>
      </c>
      <c r="CI187" s="734">
        <f>(WWWW[[#This Row],['#_Constructed/Existing tube wells/boreholes/handpumps_WASH_agency]]+WWWW[[#This Row],['#_Non-Cluster partner water tube-wells/boreholes/handpumps]])-WWWW[[#This Row],['#_Non-functional tube wells/boreholes/handpumps]]</f>
        <v>0</v>
      </c>
      <c r="CJ187" s="734">
        <f>WWWW[[#This Row],['#_Constructed/Existingwater storage tank with gravity fed reticulation system]]-WWWW[[#This Row],['#_Non-functional storage tank gravity fed reticulation system]]</f>
        <v>8</v>
      </c>
      <c r="CK187" s="734">
        <f>(WWWW[[#This Row],['#_Water_Liters_supplied_by_Water boating or water trucking]]/90)/15</f>
        <v>0</v>
      </c>
      <c r="CL187" s="734">
        <f>WWWW[[#This Row],['#_Water_Liters_from_Constructed/Existing water distribution system from river or natural spring]]/90/15</f>
        <v>0</v>
      </c>
      <c r="CM187" s="424">
        <f>IF(WWWW[[#This Row],['#_of water points in TLS/CFS]]*500&gt;WWWW[[#This Row],[Total PoP ]],WWWW[[#This Row],[Total PoP ]],WWWW[[#This Row],['#_of water points in TLS/CFS]]*500)</f>
        <v>0</v>
      </c>
      <c r="CN187" s="424">
        <f>IF(WWWW[[#This Row],['#_of water points in THF]]*500&gt;WWWW[[#This Row],[Total PoP ]],WWWW[[#This Row],[Total PoP ]],WWWW[[#This Row],['#_of water points in THF]]*500)</f>
        <v>0</v>
      </c>
      <c r="CO18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7" s="733">
        <f>IF(WWWW[[#This Row],[Location Type 1]]="Village",WWWW[[#This Row],[Access to safe drinking water for Village]],WWWW[[#This Row],[Access to safe drinking water for Camp]])</f>
        <v>1</v>
      </c>
      <c r="CR187" s="731">
        <f>WWWW[[#This Row],[%Equitable and continuous access to sufficient quantity of safe drinking water]]*WWWW[[#This Row],[Total PoP ]]</f>
        <v>292</v>
      </c>
      <c r="CS187" s="733">
        <f>IF((WWWW[[#This Row],['#_Constructed/Existing protected/fenced ponds]]*250)/WWWW[[#This Row],[Total PoP ]]&gt;1,1,(WWWW[[#This Row],['#_Constructed/Existing protected/fenced ponds]]*250)/WWWW[[#This Row],[Total PoP ]])</f>
        <v>0</v>
      </c>
      <c r="CT187" s="731">
        <f>WWWW[[#This Row],[% Access to unimproved water points]]*WWWW[[#This Row],[Total PoP ]]</f>
        <v>0</v>
      </c>
      <c r="CU18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CW187" s="731">
        <f>WWWW[[#This Row],[HRP1]]/500</f>
        <v>0.58399999999999996</v>
      </c>
      <c r="CX187" s="736">
        <f>1-WWWW[[#This Row],[% Equitable and continuous access to sufficient quantity of domestic water]]</f>
        <v>0</v>
      </c>
      <c r="CY187" s="731">
        <f>WWWW[[#This Row],[%equitable and continuous access to sufficient quantity of safe drinking and domestic water''s GAP]]*WWWW[[#This Row],[Total PoP ]]</f>
        <v>0</v>
      </c>
      <c r="CZ187" s="734">
        <f>IF(WWWW[[#This Row],[Total required water points]]-WWWW[[#This Row],['#Water points coverage]]&lt;0,0,WWWW[[#This Row],[Total required water points]]-WWWW[[#This Row],['#Water points coverage]])</f>
        <v>0.41600000000000004</v>
      </c>
      <c r="DA187" s="734">
        <f>ROUND(IF(WWWW[[#This Row],[Total PoP ]]&lt;500,1,WWWW[[#This Row],[Total PoP ]]/500),0)</f>
        <v>1</v>
      </c>
      <c r="DB187" s="734">
        <f>(WWWW[[#This Row],['#_Constructed latrines_by_WASHAgencies]]+WWWW[[#This Row],['#_Non Cluster partner latrines]])-WWWW[[#This Row],['#_Non-functional latrines]]</f>
        <v>25</v>
      </c>
      <c r="DC187" s="631">
        <f>WWWW[[#This Row],[HRP2]]/WWWW[[#This Row],[Total PoP ]]</f>
        <v>0.42808219178082191</v>
      </c>
      <c r="DD18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125</v>
      </c>
      <c r="DE18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7" s="424">
        <f>IF(WWWW[[#This Row],['# of functional latrines in THF supported by WASH partners during the reporting period2]]="",0,WWWW[[#This Row],['# of functional latrines in THF supported by WASH partners during the reporting period2]]*50)</f>
        <v>0</v>
      </c>
      <c r="DH187" s="734">
        <f>ROUND(IF(WWWW[[#This Row],[Location Type 1]]="camp",WWWW[[#This Row],[Total PoP ]]/20,IF(WWWW[[#This Row],[Location Type 1]]="Temporary Location",WWWW[[#This Row],[Total PoP ]]/50,(WWWW[[#This Row],[Total PoP ]]/6))),0)</f>
        <v>49</v>
      </c>
      <c r="DI187" s="734">
        <f>IF(WWWW[[#This Row],[Total required Latrines]]-(WWWW[[#This Row],['#_Constructed latrines_by_WASHAgencies]]+WWWW[[#This Row],['#_Non Cluster partner latrines]])&lt;0,0,WWWW[[#This Row],[Total required Latrines]]-(WWWW[[#This Row],['#_Constructed latrines_by_WASHAgencies]]+WWWW[[#This Row],['#_Non Cluster partner latrines]]))</f>
        <v>24</v>
      </c>
      <c r="DJ187" s="736">
        <f>1-WWWW[[#This Row],[% people access to functioning Latrine]]</f>
        <v>0.57191780821917804</v>
      </c>
      <c r="DK187" s="735">
        <f>IF(OR(WWWW[[#This Row],['#_Non-functional latrines]]="",WWWW[[#This Row],['#_Non-functional latrines]]=0),0,WWWW[[#This Row],['#_Non-functional latrines]]/(WWWW[[#This Row],['#_Constructed latrines_by_WASHAgencies]]+WWWW[[#This Row],['#_Non Cluster partner latrines]]))</f>
        <v>0</v>
      </c>
      <c r="DL187" s="731">
        <f>IF(500*(WWWW[[#This Row],['#_male hygiene promoters]]+WWWW[[#This Row],['#_female hygiene promoters]])&gt;WWWW[[#This Row],[Total PoP ]],WWWW[[#This Row],[Total PoP ]],500*(WWWW[[#This Row],['#_male hygiene promoters]]+WWWW[[#This Row],['#_female hygiene promoters]]))</f>
        <v>292</v>
      </c>
      <c r="DM18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8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87" s="734">
        <f>IF(WWWW[[#This Row],['# People with access to soap]]&gt;WWWW[[#This Row],['# People with access to Sanity Pads]],WWWW[[#This Row],['# People with access to soap]],WWWW[[#This Row],['# People with access to Sanity Pads]])</f>
        <v>30</v>
      </c>
      <c r="DP187" s="734">
        <f>IF(WWWW[[#This Row],['# people reached by regular dedicated hygiene promotion_5]]&gt;WWWW[[#This Row],['# People received regular supply of hygiene items_6]],WWWW[[#This Row],['# people reached by regular dedicated hygiene promotion_5]],WWWW[[#This Row],['# People received regular supply of hygiene items_6]])</f>
        <v>292</v>
      </c>
      <c r="DQ187" s="736">
        <f>IF(WWWW[[#This Row],[HRP3]]/WWWW[[#This Row],[Total PoP ]]&gt;1,1,WWWW[[#This Row],[HRP3]]/WWWW[[#This Row],[Total PoP ]])</f>
        <v>1</v>
      </c>
      <c r="DR187" s="735">
        <f>1-WWWW[[#This Row],[Hygiene Coverage%]]</f>
        <v>0</v>
      </c>
      <c r="DS187" s="733">
        <f>WWWW[[#This Row],['# people reached by regular dedicated hygiene promotion_5]]/WWWW[[#This Row],[Total PoP ]]</f>
        <v>1</v>
      </c>
      <c r="DT18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0.375</v>
      </c>
      <c r="DU18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7.8125E-2</v>
      </c>
      <c r="DV187" s="734">
        <f>WWWW[[#This Row],['#_Constructed/Existing hand washing stations]]-WWWW[[#This Row],['#_Non-Functional_hand_washing_stations]]</f>
        <v>1</v>
      </c>
      <c r="DW187" s="731">
        <f>IF(WWWW[[#This Row],['# Functional hand washing stations during reporting period]]*20&gt;WWWW[[#This Row],[Total HH]],WWWW[[#This Row],[Total HH]],WWWW[[#This Row],['# Functional hand washing stations during reporting period]]*20)</f>
        <v>20</v>
      </c>
      <c r="DX187" s="731">
        <f>IF(WWWW[[#This Row],[Is sufficient soap available for TLS? (Yes/No)]]="yes",WWWW[[#This Row],['#_Constructed/Existing hand washing stations at TLS/CFS/THF]],0)</f>
        <v>0</v>
      </c>
      <c r="DY187" s="428">
        <f>IF(WWWW[[#This Row],['# Functional hand washing stations during reporting period]]*100&gt;WWWW[[#This Row],[Total PoP ]],WWWW[[#This Row],[Total PoP ]],WWWW[[#This Row],['# Functional hand washing stations during reporting period]]*100)</f>
        <v>100</v>
      </c>
      <c r="DZ187" s="428" t="str">
        <f>IF(OR(WWWW[[#This Row],['#_students at TLS_CFS]]="",WWWW[[#This Row],['#_students at TLS_CFS]]=0),"No","Yes")</f>
        <v>No</v>
      </c>
      <c r="EA18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7" s="727">
        <f>VLOOKUP(WWWW[[#This Row],[Site Name]],SiteDB6[[Site Name]:[CCCM Management]],6,FALSE)</f>
        <v>0</v>
      </c>
      <c r="EF187" s="727" t="str">
        <f>VLOOKUP(WWWW[[#This Row],[Site Name]],SiteDB6[[Site Name]:[CCCM Focal Agency]],7,FALSE)</f>
        <v>uncovered</v>
      </c>
      <c r="EG187" s="727" t="str">
        <f>VLOOKUP(WWWW[[#This Row],[Site Name]],SiteDB6[[Site Name]:[Location Type 1]],9,FALSE)</f>
        <v>Relocated</v>
      </c>
      <c r="EH187" s="727" t="str">
        <f>VLOOKUP(WWWW[[#This Row],[Site Name]],SiteDB6[[Site Name]:[Type of Accommodation]],10,FALSE)</f>
        <v>Closed Camp</v>
      </c>
      <c r="EI187" s="727" t="str">
        <f>VLOOKUP(WWWW[[#This Row],[Site Name]],SiteDB6[[Site Name]:[Ethnic or GCA/NGCA]],11,FALSE)</f>
        <v>GCA</v>
      </c>
      <c r="EJ187" s="727">
        <f>VLOOKUP(WWWW[[#This Row],[Site Name]],SiteDB6[[Site Name]:[Lat]],12,FALSE)</f>
        <v>23.611999999999998</v>
      </c>
      <c r="EK187" s="727">
        <f>VLOOKUP(WWWW[[#This Row],[Site Name]],SiteDB6[[Site Name]:[Long]],13,FALSE)</f>
        <v>97.506</v>
      </c>
      <c r="EL187" s="727" t="str">
        <f>VLOOKUP(WWWW[[#This Row],[Site Name]],SiteDB6[[Site Name]:[Pcode]],3,FALSE)</f>
        <v>MMR015CMP042</v>
      </c>
      <c r="EM187" s="732" t="str">
        <f t="shared" si="2"/>
        <v>Covered</v>
      </c>
      <c r="EN187" s="732"/>
      <c r="EO187" s="727">
        <f>VLOOKUP(WWWW[[#This Row],[Site Name]],SiteDB6[[Site Name]:[Pop
(Kachin/Shan-CCCM as of July 2021)]],16,FALSE)</f>
        <v>67</v>
      </c>
      <c r="EP187" s="727">
        <f>VLOOKUP(WWWW[[#This Row],[Site Name]],SiteDB6[[Site Name]:[Pop
(Kachin/Shan-CCCM as of July 2021)]],17,FALSE)</f>
        <v>307</v>
      </c>
    </row>
    <row r="188" spans="1:146" hidden="1">
      <c r="A188" s="725" t="s">
        <v>2763</v>
      </c>
      <c r="B188" s="725" t="s">
        <v>192</v>
      </c>
      <c r="C188" s="726" t="s">
        <v>192</v>
      </c>
      <c r="D188" s="726" t="s">
        <v>2673</v>
      </c>
      <c r="E188" s="726" t="s">
        <v>515</v>
      </c>
      <c r="F188" s="726" t="s">
        <v>519</v>
      </c>
      <c r="G188" s="591" t="str">
        <f>VLOOKUP(WWWW[[#This Row],[Site Name]],SiteDB6[[Site Name]:[Location Type]],8,FALSE)</f>
        <v>Camp</v>
      </c>
      <c r="H188" s="726" t="s">
        <v>545</v>
      </c>
      <c r="I188" s="728">
        <v>31</v>
      </c>
      <c r="J188" s="728">
        <v>176</v>
      </c>
      <c r="K188" s="729" t="s">
        <v>2767</v>
      </c>
      <c r="L188" s="730" t="s">
        <v>2768</v>
      </c>
      <c r="M188" s="728"/>
      <c r="N188" s="728"/>
      <c r="O188" s="728"/>
      <c r="P188" s="728"/>
      <c r="Q188" s="731"/>
      <c r="R188" s="728">
        <v>5</v>
      </c>
      <c r="S188" s="728">
        <v>4</v>
      </c>
      <c r="T188" s="448"/>
      <c r="U188" s="728"/>
      <c r="V188" s="728"/>
      <c r="W188" s="728"/>
      <c r="X188" s="728"/>
      <c r="Y188" s="728"/>
      <c r="Z188" s="728"/>
      <c r="AA188" s="728">
        <v>14</v>
      </c>
      <c r="AB188" s="728"/>
      <c r="AC188" s="728"/>
      <c r="AD188" s="728"/>
      <c r="AE188" s="728"/>
      <c r="AF188" s="728"/>
      <c r="AG188" s="728"/>
      <c r="AH188" s="728"/>
      <c r="AI188" s="728"/>
      <c r="AJ188" s="728"/>
      <c r="AK188" s="728"/>
      <c r="AL188" s="728"/>
      <c r="AM188" s="728"/>
      <c r="AN188" s="728"/>
      <c r="AO188" s="728"/>
      <c r="AP188" s="732"/>
      <c r="AQ188" s="728">
        <v>34</v>
      </c>
      <c r="AR188" s="728"/>
      <c r="AS188" s="733"/>
      <c r="AT188" s="728"/>
      <c r="AU188" s="728"/>
      <c r="AV188" s="728"/>
      <c r="AW188" s="728"/>
      <c r="AX188" s="728"/>
      <c r="AY188" s="727" t="s">
        <v>41</v>
      </c>
      <c r="AZ188" s="732" t="s">
        <v>137</v>
      </c>
      <c r="BA188" s="728"/>
      <c r="BB188" s="728"/>
      <c r="BC188" s="728">
        <v>2</v>
      </c>
      <c r="BD188" s="448"/>
      <c r="BE188" s="448"/>
      <c r="BF188" s="727"/>
      <c r="BG188" s="728">
        <v>8</v>
      </c>
      <c r="BH188" s="728"/>
      <c r="BI188" s="728"/>
      <c r="BJ188" s="728">
        <v>3</v>
      </c>
      <c r="BK188" s="728"/>
      <c r="BL188" s="728"/>
      <c r="BM188" s="728">
        <v>1</v>
      </c>
      <c r="BN188" s="728">
        <v>91</v>
      </c>
      <c r="BO188" s="728">
        <v>124</v>
      </c>
      <c r="BP188" s="727"/>
      <c r="BQ188" s="734"/>
      <c r="BR188" s="733"/>
      <c r="BS188" s="727"/>
      <c r="BT188" s="423"/>
      <c r="BU188" s="423"/>
      <c r="BV188" s="425"/>
      <c r="BW188" s="423"/>
      <c r="BX188" s="448"/>
      <c r="BY188" s="448"/>
      <c r="BZ188" s="448"/>
      <c r="CA188" s="448"/>
      <c r="CB188" s="448"/>
      <c r="CC188" s="777"/>
      <c r="CD188" s="448"/>
      <c r="CE188" s="735" t="str">
        <f>IFERROR(WWWW[[#This Row],['#_Water sources passed]]/WWWW[[#This Row],['#_Water sources tested for fecal coliform ]],"no test")</f>
        <v>no test</v>
      </c>
      <c r="CF188" s="733" t="str">
        <f>IFERROR(WWWW[[#This Row],['#_Household passed]]/WWWW[[#This Row],['#_Household water samples tested for fecal coliform]],"no test")</f>
        <v>no test</v>
      </c>
      <c r="CG188" s="734" t="str">
        <f>IF(AND(WWWW[[#This Row],[% of water sources passed]]="no test",WWWW[[#This Row],[% Household passed]]="no test"),"No Test","Tested")</f>
        <v>No Test</v>
      </c>
      <c r="CH188" s="734">
        <f>WWWW[[#This Row],['#_Constructed/existing protected hand dug well]]-WWWW[[#This Row],['#_Non-functional protected hand dug well]]</f>
        <v>0</v>
      </c>
      <c r="CI188" s="734">
        <f>(WWWW[[#This Row],['#_Constructed/Existing tube wells/boreholes/handpumps_WASH_agency]]+WWWW[[#This Row],['#_Non-Cluster partner water tube-wells/boreholes/handpumps]])-WWWW[[#This Row],['#_Non-functional tube wells/boreholes/handpumps]]</f>
        <v>0</v>
      </c>
      <c r="CJ188" s="734">
        <f>WWWW[[#This Row],['#_Constructed/Existingwater storage tank with gravity fed reticulation system]]-WWWW[[#This Row],['#_Non-functional storage tank gravity fed reticulation system]]</f>
        <v>14</v>
      </c>
      <c r="CK188" s="734">
        <f>(WWWW[[#This Row],['#_Water_Liters_supplied_by_Water boating or water trucking]]/90)/15</f>
        <v>0</v>
      </c>
      <c r="CL188" s="734">
        <f>WWWW[[#This Row],['#_Water_Liters_from_Constructed/Existing water distribution system from river or natural spring]]/90/15</f>
        <v>0</v>
      </c>
      <c r="CM188" s="424">
        <f>IF(WWWW[[#This Row],['#_of water points in TLS/CFS]]*500&gt;WWWW[[#This Row],[Total PoP ]],WWWW[[#This Row],[Total PoP ]],WWWW[[#This Row],['#_of water points in TLS/CFS]]*500)</f>
        <v>0</v>
      </c>
      <c r="CN188" s="424">
        <f>IF(WWWW[[#This Row],['#_of water points in THF]]*500&gt;WWWW[[#This Row],[Total PoP ]],WWWW[[#This Row],[Total PoP ]],WWWW[[#This Row],['#_of water points in THF]]*500)</f>
        <v>0</v>
      </c>
      <c r="CO18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8" s="733">
        <f>IF(WWWW[[#This Row],[Location Type 1]]="Village",WWWW[[#This Row],[Access to safe drinking water for Village]],WWWW[[#This Row],[Access to safe drinking water for Camp]])</f>
        <v>1</v>
      </c>
      <c r="CR188" s="731">
        <f>WWWW[[#This Row],[%Equitable and continuous access to sufficient quantity of safe drinking water]]*WWWW[[#This Row],[Total PoP ]]</f>
        <v>176</v>
      </c>
      <c r="CS188" s="733">
        <f>IF((WWWW[[#This Row],['#_Constructed/Existing protected/fenced ponds]]*250)/WWWW[[#This Row],[Total PoP ]]&gt;1,1,(WWWW[[#This Row],['#_Constructed/Existing protected/fenced ponds]]*250)/WWWW[[#This Row],[Total PoP ]])</f>
        <v>0</v>
      </c>
      <c r="CT188" s="731">
        <f>WWWW[[#This Row],[% Access to unimproved water points]]*WWWW[[#This Row],[Total PoP ]]</f>
        <v>0</v>
      </c>
      <c r="CU18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W188" s="731">
        <f>WWWW[[#This Row],[HRP1]]/500</f>
        <v>0.35199999999999998</v>
      </c>
      <c r="CX188" s="736">
        <f>1-WWWW[[#This Row],[% Equitable and continuous access to sufficient quantity of domestic water]]</f>
        <v>0</v>
      </c>
      <c r="CY188" s="731">
        <f>WWWW[[#This Row],[%equitable and continuous access to sufficient quantity of safe drinking and domestic water''s GAP]]*WWWW[[#This Row],[Total PoP ]]</f>
        <v>0</v>
      </c>
      <c r="CZ188" s="734">
        <f>IF(WWWW[[#This Row],[Total required water points]]-WWWW[[#This Row],['#Water points coverage]]&lt;0,0,WWWW[[#This Row],[Total required water points]]-WWWW[[#This Row],['#Water points coverage]])</f>
        <v>0.64800000000000002</v>
      </c>
      <c r="DA188" s="734">
        <f>ROUND(IF(WWWW[[#This Row],[Total PoP ]]&lt;500,1,WWWW[[#This Row],[Total PoP ]]/500),0)</f>
        <v>1</v>
      </c>
      <c r="DB188" s="734">
        <f>(WWWW[[#This Row],['#_Constructed latrines_by_WASHAgencies]]+WWWW[[#This Row],['#_Non Cluster partner latrines]])-WWWW[[#This Row],['#_Non-functional latrines]]</f>
        <v>34</v>
      </c>
      <c r="DC188" s="631">
        <f>WWWW[[#This Row],[HRP2]]/WWWW[[#This Row],[Total PoP ]]</f>
        <v>1</v>
      </c>
      <c r="DD18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176</v>
      </c>
      <c r="DE18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8" s="424">
        <f>IF(WWWW[[#This Row],['# of functional latrines in THF supported by WASH partners during the reporting period2]]="",0,WWWW[[#This Row],['# of functional latrines in THF supported by WASH partners during the reporting period2]]*50)</f>
        <v>0</v>
      </c>
      <c r="DH188" s="734">
        <f>ROUND(IF(WWWW[[#This Row],[Location Type 1]]="camp",WWWW[[#This Row],[Total PoP ]]/20,IF(WWWW[[#This Row],[Location Type 1]]="Temporary Location",WWWW[[#This Row],[Total PoP ]]/50,(WWWW[[#This Row],[Total PoP ]]/6))),0)</f>
        <v>9</v>
      </c>
      <c r="DI188" s="734">
        <f>IF(WWWW[[#This Row],[Total required Latrines]]-(WWWW[[#This Row],['#_Constructed latrines_by_WASHAgencies]]+WWWW[[#This Row],['#_Non Cluster partner latrines]])&lt;0,0,WWWW[[#This Row],[Total required Latrines]]-(WWWW[[#This Row],['#_Constructed latrines_by_WASHAgencies]]+WWWW[[#This Row],['#_Non Cluster partner latrines]]))</f>
        <v>0</v>
      </c>
      <c r="DJ188" s="736">
        <f>1-WWWW[[#This Row],[% people access to functioning Latrine]]</f>
        <v>0</v>
      </c>
      <c r="DK188" s="735">
        <f>IF(OR(WWWW[[#This Row],['#_Non-functional latrines]]="",WWWW[[#This Row],['#_Non-functional latrines]]=0),0,WWWW[[#This Row],['#_Non-functional latrines]]/(WWWW[[#This Row],['#_Constructed latrines_by_WASHAgencies]]+WWWW[[#This Row],['#_Non Cluster partner latrines]]))</f>
        <v>0</v>
      </c>
      <c r="DL188" s="731">
        <f>IF(500*(WWWW[[#This Row],['#_male hygiene promoters]]+WWWW[[#This Row],['#_female hygiene promoters]])&gt;WWWW[[#This Row],[Total PoP ]],WWWW[[#This Row],[Total PoP ]],500*(WWWW[[#This Row],['#_male hygiene promoters]]+WWWW[[#This Row],['#_female hygiene promoters]]))</f>
        <v>176</v>
      </c>
      <c r="DM18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176</v>
      </c>
      <c r="DN18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88" s="734">
        <f>IF(WWWW[[#This Row],['# People with access to soap]]&gt;WWWW[[#This Row],['# People with access to Sanity Pads]],WWWW[[#This Row],['# People with access to soap]],WWWW[[#This Row],['# People with access to Sanity Pads]])</f>
        <v>176</v>
      </c>
      <c r="DP188" s="734">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Q188" s="736">
        <f>IF(WWWW[[#This Row],[HRP3]]/WWWW[[#This Row],[Total PoP ]]&gt;1,1,WWWW[[#This Row],[HRP3]]/WWWW[[#This Row],[Total PoP ]])</f>
        <v>1</v>
      </c>
      <c r="DR188" s="735">
        <f>1-WWWW[[#This Row],[Hygiene Coverage%]]</f>
        <v>0</v>
      </c>
      <c r="DS188" s="733">
        <f>WWWW[[#This Row],['# people reached by regular dedicated hygiene promotion_5]]/WWWW[[#This Row],[Total PoP ]]</f>
        <v>1</v>
      </c>
      <c r="DT18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8" s="734">
        <f>WWWW[[#This Row],['#_Constructed/Existing hand washing stations]]-WWWW[[#This Row],['#_Non-Functional_hand_washing_stations]]</f>
        <v>8</v>
      </c>
      <c r="DW188" s="731">
        <f>IF(WWWW[[#This Row],['# Functional hand washing stations during reporting period]]*20&gt;WWWW[[#This Row],[Total HH]],WWWW[[#This Row],[Total HH]],WWWW[[#This Row],['# Functional hand washing stations during reporting period]]*20)</f>
        <v>31</v>
      </c>
      <c r="DX188" s="731">
        <f>IF(WWWW[[#This Row],[Is sufficient soap available for TLS? (Yes/No)]]="yes",WWWW[[#This Row],['#_Constructed/Existing hand washing stations at TLS/CFS/THF]],0)</f>
        <v>0</v>
      </c>
      <c r="DY188" s="428">
        <f>IF(WWWW[[#This Row],['# Functional hand washing stations during reporting period]]*100&gt;WWWW[[#This Row],[Total PoP ]],WWWW[[#This Row],[Total PoP ]],WWWW[[#This Row],['# Functional hand washing stations during reporting period]]*100)</f>
        <v>176</v>
      </c>
      <c r="DZ188" s="428" t="str">
        <f>IF(OR(WWWW[[#This Row],['#_students at TLS_CFS]]="",WWWW[[#This Row],['#_students at TLS_CFS]]=0),"No","Yes")</f>
        <v>No</v>
      </c>
      <c r="EA18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8" s="727">
        <f>VLOOKUP(WWWW[[#This Row],[Site Name]],SiteDB6[[Site Name]:[CCCM Management]],6,FALSE)</f>
        <v>0</v>
      </c>
      <c r="EF188" s="727" t="str">
        <f>VLOOKUP(WWWW[[#This Row],[Site Name]],SiteDB6[[Site Name]:[CCCM Focal Agency]],7,FALSE)</f>
        <v>uncovered</v>
      </c>
      <c r="EG188" s="727" t="str">
        <f>VLOOKUP(WWWW[[#This Row],[Site Name]],SiteDB6[[Site Name]:[Location Type 1]],9,FALSE)</f>
        <v>Camp</v>
      </c>
      <c r="EH188" s="727" t="str">
        <f>VLOOKUP(WWWW[[#This Row],[Site Name]],SiteDB6[[Site Name]:[Type of Accommodation]],10,FALSE)</f>
        <v>Camp like setting</v>
      </c>
      <c r="EI188" s="727" t="str">
        <f>VLOOKUP(WWWW[[#This Row],[Site Name]],SiteDB6[[Site Name]:[Ethnic or GCA/NGCA]],11,FALSE)</f>
        <v>GCA</v>
      </c>
      <c r="EJ188" s="727">
        <f>VLOOKUP(WWWW[[#This Row],[Site Name]],SiteDB6[[Site Name]:[Lat]],12,FALSE)</f>
        <v>23.850999999999999</v>
      </c>
      <c r="EK188" s="727">
        <f>VLOOKUP(WWWW[[#This Row],[Site Name]],SiteDB6[[Site Name]:[Long]],13,FALSE)</f>
        <v>98.337999999999994</v>
      </c>
      <c r="EL188" s="727" t="str">
        <f>VLOOKUP(WWWW[[#This Row],[Site Name]],SiteDB6[[Site Name]:[Pcode]],3,FALSE)</f>
        <v>MMR015CMP045</v>
      </c>
      <c r="EM188" s="732" t="str">
        <f t="shared" si="2"/>
        <v>Covered</v>
      </c>
      <c r="EN188" s="732"/>
      <c r="EO188" s="727">
        <f>VLOOKUP(WWWW[[#This Row],[Site Name]],SiteDB6[[Site Name]:[Pop
(Kachin/Shan-CCCM as of July 2021)]],16,FALSE)</f>
        <v>30</v>
      </c>
      <c r="EP188" s="727">
        <f>VLOOKUP(WWWW[[#This Row],[Site Name]],SiteDB6[[Site Name]:[Pop
(Kachin/Shan-CCCM as of July 2021)]],17,FALSE)</f>
        <v>170</v>
      </c>
    </row>
    <row r="189" spans="1:146" hidden="1">
      <c r="A189" s="725" t="s">
        <v>2763</v>
      </c>
      <c r="B189" s="725" t="s">
        <v>2359</v>
      </c>
      <c r="C189" s="726" t="s">
        <v>2359</v>
      </c>
      <c r="D189" s="726" t="s">
        <v>2673</v>
      </c>
      <c r="E189" s="726" t="s">
        <v>515</v>
      </c>
      <c r="F189" s="726" t="s">
        <v>516</v>
      </c>
      <c r="G189" s="591" t="str">
        <f>VLOOKUP(WWWW[[#This Row],[Site Name]],SiteDB6[[Site Name]:[Location Type]],8,FALSE)</f>
        <v>Camp</v>
      </c>
      <c r="H189" s="726" t="s">
        <v>527</v>
      </c>
      <c r="I189" s="728">
        <v>85</v>
      </c>
      <c r="J189" s="728">
        <v>396</v>
      </c>
      <c r="K189" s="588" t="s">
        <v>2767</v>
      </c>
      <c r="L189" s="589" t="s">
        <v>2768</v>
      </c>
      <c r="M189" s="728"/>
      <c r="N189" s="728">
        <v>2</v>
      </c>
      <c r="O189" s="728"/>
      <c r="P189" s="728"/>
      <c r="Q189" s="731" t="s">
        <v>41</v>
      </c>
      <c r="R189" s="728">
        <v>7</v>
      </c>
      <c r="S189" s="728">
        <v>9</v>
      </c>
      <c r="T189" s="448"/>
      <c r="U189" s="728"/>
      <c r="V189" s="728"/>
      <c r="W189" s="728"/>
      <c r="X189" s="728">
        <v>1</v>
      </c>
      <c r="Y189" s="728"/>
      <c r="Z189" s="728"/>
      <c r="AA189" s="728">
        <v>1</v>
      </c>
      <c r="AB189" s="728"/>
      <c r="AC189" s="728"/>
      <c r="AD189" s="728"/>
      <c r="AE189" s="728"/>
      <c r="AF189" s="728"/>
      <c r="AG189" s="728"/>
      <c r="AH189" s="728">
        <v>2</v>
      </c>
      <c r="AI189" s="728"/>
      <c r="AJ189" s="728"/>
      <c r="AK189" s="728"/>
      <c r="AL189" s="728"/>
      <c r="AM189" s="728">
        <v>8</v>
      </c>
      <c r="AN189" s="728"/>
      <c r="AO189" s="728"/>
      <c r="AP189" s="732"/>
      <c r="AQ189" s="728">
        <v>14</v>
      </c>
      <c r="AR189" s="728">
        <v>6</v>
      </c>
      <c r="AS189" s="733"/>
      <c r="AT189" s="728"/>
      <c r="AU189" s="728"/>
      <c r="AV189" s="728"/>
      <c r="AW189" s="728"/>
      <c r="AX189" s="728">
        <v>14</v>
      </c>
      <c r="AY189" s="727" t="s">
        <v>41</v>
      </c>
      <c r="AZ189" s="732" t="s">
        <v>137</v>
      </c>
      <c r="BA189" s="728"/>
      <c r="BB189" s="728"/>
      <c r="BC189" s="728"/>
      <c r="BD189" s="448"/>
      <c r="BE189" s="448"/>
      <c r="BF189" s="727"/>
      <c r="BG189" s="728">
        <v>3</v>
      </c>
      <c r="BH189" s="728"/>
      <c r="BI189" s="728"/>
      <c r="BJ189" s="728">
        <v>2</v>
      </c>
      <c r="BK189" s="728"/>
      <c r="BL189" s="728">
        <v>1</v>
      </c>
      <c r="BM189" s="728">
        <v>1</v>
      </c>
      <c r="BN189" s="728">
        <v>88</v>
      </c>
      <c r="BO189" s="728">
        <v>100</v>
      </c>
      <c r="BP189" s="727"/>
      <c r="BQ189" s="734"/>
      <c r="BR189" s="733"/>
      <c r="BS189" s="727"/>
      <c r="BT189" s="423"/>
      <c r="BU189" s="423"/>
      <c r="BV189" s="425"/>
      <c r="BW189" s="423"/>
      <c r="BX189" s="448"/>
      <c r="BY189" s="448"/>
      <c r="BZ189" s="448"/>
      <c r="CA189" s="448"/>
      <c r="CB189" s="448"/>
      <c r="CC189" s="777"/>
      <c r="CD189" s="448"/>
      <c r="CE189" s="735" t="str">
        <f>IFERROR(WWWW[[#This Row],['#_Water sources passed]]/WWWW[[#This Row],['#_Water sources tested for fecal coliform ]],"no test")</f>
        <v>no test</v>
      </c>
      <c r="CF189" s="733" t="str">
        <f>IFERROR(WWWW[[#This Row],['#_Household passed]]/WWWW[[#This Row],['#_Household water samples tested for fecal coliform]],"no test")</f>
        <v>no test</v>
      </c>
      <c r="CG189" s="734" t="str">
        <f>IF(AND(WWWW[[#This Row],[% of water sources passed]]="no test",WWWW[[#This Row],[% Household passed]]="no test"),"No Test","Tested")</f>
        <v>No Test</v>
      </c>
      <c r="CH189" s="734">
        <f>WWWW[[#This Row],['#_Constructed/existing protected hand dug well]]-WWWW[[#This Row],['#_Non-functional protected hand dug well]]</f>
        <v>0</v>
      </c>
      <c r="CI189" s="734">
        <f>(WWWW[[#This Row],['#_Constructed/Existing tube wells/boreholes/handpumps_WASH_agency]]+WWWW[[#This Row],['#_Non-Cluster partner water tube-wells/boreholes/handpumps]])-WWWW[[#This Row],['#_Non-functional tube wells/boreholes/handpumps]]</f>
        <v>1</v>
      </c>
      <c r="CJ189" s="734">
        <f>WWWW[[#This Row],['#_Constructed/Existingwater storage tank with gravity fed reticulation system]]-WWWW[[#This Row],['#_Non-functional storage tank gravity fed reticulation system]]</f>
        <v>1</v>
      </c>
      <c r="CK189" s="734">
        <f>(WWWW[[#This Row],['#_Water_Liters_supplied_by_Water boating or water trucking]]/90)/15</f>
        <v>0</v>
      </c>
      <c r="CL189" s="734">
        <f>WWWW[[#This Row],['#_Water_Liters_from_Constructed/Existing water distribution system from river or natural spring]]/90/15</f>
        <v>0</v>
      </c>
      <c r="CM189" s="424">
        <f>IF(WWWW[[#This Row],['#_of water points in TLS/CFS]]*500&gt;WWWW[[#This Row],[Total PoP ]],WWWW[[#This Row],[Total PoP ]],WWWW[[#This Row],['#_of water points in TLS/CFS]]*500)</f>
        <v>0</v>
      </c>
      <c r="CN189" s="424">
        <f>IF(WWWW[[#This Row],['#_of water points in THF]]*500&gt;WWWW[[#This Row],[Total PoP ]],WWWW[[#This Row],[Total PoP ]],WWWW[[#This Row],['#_of water points in THF]]*500)</f>
        <v>0</v>
      </c>
      <c r="CO18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0.79966329966329974</v>
      </c>
      <c r="CQ189" s="733">
        <f>IF(WWWW[[#This Row],[Location Type 1]]="Village",WWWW[[#This Row],[Access to safe drinking water for Village]],WWWW[[#This Row],[Access to safe drinking water for Camp]])</f>
        <v>1</v>
      </c>
      <c r="CR189" s="731">
        <f>WWWW[[#This Row],[%Equitable and continuous access to sufficient quantity of safe drinking water]]*WWWW[[#This Row],[Total PoP ]]</f>
        <v>396</v>
      </c>
      <c r="CS189" s="733">
        <f>IF((WWWW[[#This Row],['#_Constructed/Existing protected/fenced ponds]]*250)/WWWW[[#This Row],[Total PoP ]]&gt;1,1,(WWWW[[#This Row],['#_Constructed/Existing protected/fenced ponds]]*250)/WWWW[[#This Row],[Total PoP ]])</f>
        <v>0</v>
      </c>
      <c r="CT189" s="731">
        <f>WWWW[[#This Row],[% Access to unimproved water points]]*WWWW[[#This Row],[Total PoP ]]</f>
        <v>0</v>
      </c>
      <c r="CU18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W189" s="731">
        <f>WWWW[[#This Row],[HRP1]]/500</f>
        <v>0.79200000000000004</v>
      </c>
      <c r="CX189" s="736">
        <f>1-WWWW[[#This Row],[% Equitable and continuous access to sufficient quantity of domestic water]]</f>
        <v>0</v>
      </c>
      <c r="CY189" s="731">
        <f>WWWW[[#This Row],[%equitable and continuous access to sufficient quantity of safe drinking and domestic water''s GAP]]*WWWW[[#This Row],[Total PoP ]]</f>
        <v>0</v>
      </c>
      <c r="CZ189" s="734">
        <f>IF(WWWW[[#This Row],[Total required water points]]-WWWW[[#This Row],['#Water points coverage]]&lt;0,0,WWWW[[#This Row],[Total required water points]]-WWWW[[#This Row],['#Water points coverage]])</f>
        <v>0.20799999999999996</v>
      </c>
      <c r="DA189" s="734">
        <f>ROUND(IF(WWWW[[#This Row],[Total PoP ]]&lt;500,1,WWWW[[#This Row],[Total PoP ]]/500),0)</f>
        <v>1</v>
      </c>
      <c r="DB189" s="734">
        <f>(WWWW[[#This Row],['#_Constructed latrines_by_WASHAgencies]]+WWWW[[#This Row],['#_Non Cluster partner latrines]])-WWWW[[#This Row],['#_Non-functional latrines]]</f>
        <v>20</v>
      </c>
      <c r="DC189" s="631">
        <f>WWWW[[#This Row],[HRP2]]/WWWW[[#This Row],[Total PoP ]]</f>
        <v>1</v>
      </c>
      <c r="DD18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396</v>
      </c>
      <c r="DE18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9" s="424">
        <f>IF(WWWW[[#This Row],['# of functional latrines in THF supported by WASH partners during the reporting period2]]="",0,WWWW[[#This Row],['# of functional latrines in THF supported by WASH partners during the reporting period2]]*50)</f>
        <v>0</v>
      </c>
      <c r="DH189" s="734">
        <f>ROUND(IF(WWWW[[#This Row],[Location Type 1]]="camp",WWWW[[#This Row],[Total PoP ]]/20,IF(WWWW[[#This Row],[Location Type 1]]="Temporary Location",WWWW[[#This Row],[Total PoP ]]/50,(WWWW[[#This Row],[Total PoP ]]/6))),0)</f>
        <v>20</v>
      </c>
      <c r="DI189" s="734">
        <f>IF(WWWW[[#This Row],[Total required Latrines]]-(WWWW[[#This Row],['#_Constructed latrines_by_WASHAgencies]]+WWWW[[#This Row],['#_Non Cluster partner latrines]])&lt;0,0,WWWW[[#This Row],[Total required Latrines]]-(WWWW[[#This Row],['#_Constructed latrines_by_WASHAgencies]]+WWWW[[#This Row],['#_Non Cluster partner latrines]]))</f>
        <v>0</v>
      </c>
      <c r="DJ189" s="736">
        <f>1-WWWW[[#This Row],[% people access to functioning Latrine]]</f>
        <v>0</v>
      </c>
      <c r="DK189" s="735">
        <f>IF(OR(WWWW[[#This Row],['#_Non-functional latrines]]="",WWWW[[#This Row],['#_Non-functional latrines]]=0),0,WWWW[[#This Row],['#_Non-functional latrines]]/(WWWW[[#This Row],['#_Constructed latrines_by_WASHAgencies]]+WWWW[[#This Row],['#_Non Cluster partner latrines]]))</f>
        <v>0</v>
      </c>
      <c r="DL189" s="731">
        <f>IF(500*(WWWW[[#This Row],['#_male hygiene promoters]]+WWWW[[#This Row],['#_female hygiene promoters]])&gt;WWWW[[#This Row],[Total PoP ]],WWWW[[#This Row],[Total PoP ]],500*(WWWW[[#This Row],['#_male hygiene promoters]]+WWWW[[#This Row],['#_female hygiene promoters]]))</f>
        <v>396</v>
      </c>
      <c r="DM18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396</v>
      </c>
      <c r="DN18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89" s="734">
        <f>IF(WWWW[[#This Row],['# People with access to soap]]&gt;WWWW[[#This Row],['# People with access to Sanity Pads]],WWWW[[#This Row],['# People with access to soap]],WWWW[[#This Row],['# People with access to Sanity Pads]])</f>
        <v>396</v>
      </c>
      <c r="DP189" s="734">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Q189" s="736">
        <f>IF(WWWW[[#This Row],[HRP3]]/WWWW[[#This Row],[Total PoP ]]&gt;1,1,WWWW[[#This Row],[HRP3]]/WWWW[[#This Row],[Total PoP ]])</f>
        <v>1</v>
      </c>
      <c r="DR189" s="735">
        <f>1-WWWW[[#This Row],[Hygiene Coverage%]]</f>
        <v>0</v>
      </c>
      <c r="DS189" s="733">
        <f>WWWW[[#This Row],['# people reached by regular dedicated hygiene promotion_5]]/WWWW[[#This Row],[Total PoP ]]</f>
        <v>1</v>
      </c>
      <c r="DT18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9" s="734">
        <f>WWWW[[#This Row],['#_Constructed/Existing hand washing stations]]-WWWW[[#This Row],['#_Non-Functional_hand_washing_stations]]</f>
        <v>3</v>
      </c>
      <c r="DW189" s="731">
        <f>IF(WWWW[[#This Row],['# Functional hand washing stations during reporting period]]*20&gt;WWWW[[#This Row],[Total HH]],WWWW[[#This Row],[Total HH]],WWWW[[#This Row],['# Functional hand washing stations during reporting period]]*20)</f>
        <v>60</v>
      </c>
      <c r="DX189" s="731">
        <f>IF(WWWW[[#This Row],[Is sufficient soap available for TLS? (Yes/No)]]="yes",WWWW[[#This Row],['#_Constructed/Existing hand washing stations at TLS/CFS/THF]],0)</f>
        <v>0</v>
      </c>
      <c r="DY189" s="428">
        <f>IF(WWWW[[#This Row],['# Functional hand washing stations during reporting period]]*100&gt;WWWW[[#This Row],[Total PoP ]],WWWW[[#This Row],[Total PoP ]],WWWW[[#This Row],['# Functional hand washing stations during reporting period]]*100)</f>
        <v>300</v>
      </c>
      <c r="DZ189" s="428" t="str">
        <f>IF(OR(WWWW[[#This Row],['#_students at TLS_CFS]]="",WWWW[[#This Row],['#_students at TLS_CFS]]=0),"No","Yes")</f>
        <v>No</v>
      </c>
      <c r="EA18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9" s="727" t="str">
        <f>VLOOKUP(WWWW[[#This Row],[Site Name]],SiteDB6[[Site Name]:[CCCM Management]],6,FALSE)</f>
        <v>Yes</v>
      </c>
      <c r="EF189" s="727" t="str">
        <f>VLOOKUP(WWWW[[#This Row],[Site Name]],SiteDB6[[Site Name]:[CCCM Focal Agency]],7,FALSE)</f>
        <v>KBC-NSS</v>
      </c>
      <c r="EG189" s="727" t="str">
        <f>VLOOKUP(WWWW[[#This Row],[Site Name]],SiteDB6[[Site Name]:[Location Type 1]],9,FALSE)</f>
        <v>Camp</v>
      </c>
      <c r="EH189" s="727" t="str">
        <f>VLOOKUP(WWWW[[#This Row],[Site Name]],SiteDB6[[Site Name]:[Type of Accommodation]],10,FALSE)</f>
        <v>Camp</v>
      </c>
      <c r="EI189" s="727" t="str">
        <f>VLOOKUP(WWWW[[#This Row],[Site Name]],SiteDB6[[Site Name]:[Ethnic or GCA/NGCA]],11,FALSE)</f>
        <v>GCA</v>
      </c>
      <c r="EJ189" s="727">
        <f>VLOOKUP(WWWW[[#This Row],[Site Name]],SiteDB6[[Site Name]:[Lat]],12,FALSE)</f>
        <v>23.821380000000001</v>
      </c>
      <c r="EK189" s="727">
        <f>VLOOKUP(WWWW[[#This Row],[Site Name]],SiteDB6[[Site Name]:[Long]],13,FALSE)</f>
        <v>97.681970000000007</v>
      </c>
      <c r="EL189" s="727" t="str">
        <f>VLOOKUP(WWWW[[#This Row],[Site Name]],SiteDB6[[Site Name]:[Pcode]],3,FALSE)</f>
        <v>MMR015CMP004</v>
      </c>
      <c r="EM189" s="732" t="str">
        <f t="shared" si="2"/>
        <v>Covered</v>
      </c>
      <c r="EN189" s="732"/>
      <c r="EO189" s="727">
        <f>VLOOKUP(WWWW[[#This Row],[Site Name]],SiteDB6[[Site Name]:[Pop
(Kachin/Shan-CCCM as of July 2021)]],16,FALSE)</f>
        <v>89</v>
      </c>
      <c r="EP189" s="727">
        <f>VLOOKUP(WWWW[[#This Row],[Site Name]],SiteDB6[[Site Name]:[Pop
(Kachin/Shan-CCCM as of July 2021)]],17,FALSE)</f>
        <v>401</v>
      </c>
    </row>
    <row r="190" spans="1:146" hidden="1">
      <c r="A190" s="725" t="s">
        <v>2763</v>
      </c>
      <c r="B190" s="725" t="s">
        <v>192</v>
      </c>
      <c r="C190" s="726" t="s">
        <v>192</v>
      </c>
      <c r="D190" s="726" t="s">
        <v>2673</v>
      </c>
      <c r="E190" s="726" t="s">
        <v>515</v>
      </c>
      <c r="F190" s="726" t="s">
        <v>516</v>
      </c>
      <c r="G190" s="591" t="str">
        <f>VLOOKUP(WWWW[[#This Row],[Site Name]],SiteDB6[[Site Name]:[Location Type]],8,FALSE)</f>
        <v>Camp</v>
      </c>
      <c r="H190" s="726" t="s">
        <v>562</v>
      </c>
      <c r="I190" s="728">
        <v>64</v>
      </c>
      <c r="J190" s="728">
        <v>323</v>
      </c>
      <c r="K190" s="588" t="s">
        <v>2767</v>
      </c>
      <c r="L190" s="589" t="s">
        <v>2768</v>
      </c>
      <c r="M190" s="728"/>
      <c r="N190" s="728">
        <v>1</v>
      </c>
      <c r="O190" s="728">
        <v>1</v>
      </c>
      <c r="P190" s="728"/>
      <c r="Q190" s="731" t="s">
        <v>41</v>
      </c>
      <c r="R190" s="728"/>
      <c r="S190" s="728"/>
      <c r="T190" s="448"/>
      <c r="U190" s="728"/>
      <c r="V190" s="728"/>
      <c r="W190" s="728"/>
      <c r="X190" s="728">
        <v>1</v>
      </c>
      <c r="Y190" s="728"/>
      <c r="Z190" s="728"/>
      <c r="AA190" s="728"/>
      <c r="AB190" s="728"/>
      <c r="AC190" s="728"/>
      <c r="AD190" s="728"/>
      <c r="AE190" s="728"/>
      <c r="AF190" s="728"/>
      <c r="AG190" s="728"/>
      <c r="AH190" s="728"/>
      <c r="AI190" s="728"/>
      <c r="AJ190" s="728"/>
      <c r="AK190" s="728"/>
      <c r="AL190" s="728"/>
      <c r="AM190" s="728"/>
      <c r="AN190" s="728"/>
      <c r="AO190" s="728"/>
      <c r="AP190" s="732"/>
      <c r="AQ190" s="728">
        <v>10</v>
      </c>
      <c r="AR190" s="728"/>
      <c r="AS190" s="733"/>
      <c r="AT190" s="728"/>
      <c r="AU190" s="728"/>
      <c r="AV190" s="728"/>
      <c r="AW190" s="728"/>
      <c r="AX190" s="728"/>
      <c r="AY190" s="727" t="s">
        <v>140</v>
      </c>
      <c r="AZ190" s="732" t="s">
        <v>140</v>
      </c>
      <c r="BA190" s="728"/>
      <c r="BB190" s="728"/>
      <c r="BC190" s="728"/>
      <c r="BD190" s="448"/>
      <c r="BE190" s="448"/>
      <c r="BF190" s="727"/>
      <c r="BG190" s="728">
        <v>7</v>
      </c>
      <c r="BH190" s="728"/>
      <c r="BI190" s="728"/>
      <c r="BJ190" s="728">
        <v>7</v>
      </c>
      <c r="BK190" s="728"/>
      <c r="BL190" s="728"/>
      <c r="BM190" s="728"/>
      <c r="BN190" s="728">
        <v>104</v>
      </c>
      <c r="BO190" s="728">
        <v>148</v>
      </c>
      <c r="BP190" s="727"/>
      <c r="BQ190" s="734"/>
      <c r="BR190" s="733"/>
      <c r="BS190" s="727"/>
      <c r="BT190" s="423"/>
      <c r="BU190" s="423"/>
      <c r="BV190" s="425"/>
      <c r="BW190" s="423"/>
      <c r="BX190" s="448"/>
      <c r="BY190" s="448"/>
      <c r="BZ190" s="448"/>
      <c r="CA190" s="448"/>
      <c r="CB190" s="448"/>
      <c r="CC190" s="777"/>
      <c r="CD190" s="448"/>
      <c r="CE190" s="735" t="str">
        <f>IFERROR(WWWW[[#This Row],['#_Water sources passed]]/WWWW[[#This Row],['#_Water sources tested for fecal coliform ]],"no test")</f>
        <v>no test</v>
      </c>
      <c r="CF190" s="733" t="str">
        <f>IFERROR(WWWW[[#This Row],['#_Household passed]]/WWWW[[#This Row],['#_Household water samples tested for fecal coliform]],"no test")</f>
        <v>no test</v>
      </c>
      <c r="CG190" s="734" t="str">
        <f>IF(AND(WWWW[[#This Row],[% of water sources passed]]="no test",WWWW[[#This Row],[% Household passed]]="no test"),"No Test","Tested")</f>
        <v>No Test</v>
      </c>
      <c r="CH190" s="734">
        <f>WWWW[[#This Row],['#_Constructed/existing protected hand dug well]]-WWWW[[#This Row],['#_Non-functional protected hand dug well]]</f>
        <v>0</v>
      </c>
      <c r="CI190" s="734">
        <f>(WWWW[[#This Row],['#_Constructed/Existing tube wells/boreholes/handpumps_WASH_agency]]+WWWW[[#This Row],['#_Non-Cluster partner water tube-wells/boreholes/handpumps]])-WWWW[[#This Row],['#_Non-functional tube wells/boreholes/handpumps]]</f>
        <v>1</v>
      </c>
      <c r="CJ190" s="734">
        <f>WWWW[[#This Row],['#_Constructed/Existingwater storage tank with gravity fed reticulation system]]-WWWW[[#This Row],['#_Non-functional storage tank gravity fed reticulation system]]</f>
        <v>0</v>
      </c>
      <c r="CK190" s="734">
        <f>(WWWW[[#This Row],['#_Water_Liters_supplied_by_Water boating or water trucking]]/90)/15</f>
        <v>0</v>
      </c>
      <c r="CL190" s="734">
        <f>WWWW[[#This Row],['#_Water_Liters_from_Constructed/Existing water distribution system from river or natural spring]]/90/15</f>
        <v>0</v>
      </c>
      <c r="CM190" s="424">
        <f>IF(WWWW[[#This Row],['#_of water points in TLS/CFS]]*500&gt;WWWW[[#This Row],[Total PoP ]],WWWW[[#This Row],[Total PoP ]],WWWW[[#This Row],['#_of water points in TLS/CFS]]*500)</f>
        <v>0</v>
      </c>
      <c r="CN190" s="424">
        <f>IF(WWWW[[#This Row],['#_of water points in THF]]*500&gt;WWWW[[#This Row],[Total PoP ]],WWWW[[#This Row],[Total PoP ]],WWWW[[#This Row],['#_of water points in THF]]*500)</f>
        <v>0</v>
      </c>
      <c r="CO19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Q190" s="733">
        <f>IF(WWWW[[#This Row],[Location Type 1]]="Village",WWWW[[#This Row],[Access to safe drinking water for Village]],WWWW[[#This Row],[Access to safe drinking water for Camp]])</f>
        <v>1</v>
      </c>
      <c r="CR190" s="731">
        <f>WWWW[[#This Row],[%Equitable and continuous access to sufficient quantity of safe drinking water]]*WWWW[[#This Row],[Total PoP ]]</f>
        <v>323</v>
      </c>
      <c r="CS190" s="733">
        <f>IF((WWWW[[#This Row],['#_Constructed/Existing protected/fenced ponds]]*250)/WWWW[[#This Row],[Total PoP ]]&gt;1,1,(WWWW[[#This Row],['#_Constructed/Existing protected/fenced ponds]]*250)/WWWW[[#This Row],[Total PoP ]])</f>
        <v>0</v>
      </c>
      <c r="CT190" s="731">
        <f>WWWW[[#This Row],[% Access to unimproved water points]]*WWWW[[#This Row],[Total PoP ]]</f>
        <v>0</v>
      </c>
      <c r="CU19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190" s="731">
        <f>WWWW[[#This Row],[HRP1]]/500</f>
        <v>0.64600000000000002</v>
      </c>
      <c r="CX190" s="736">
        <f>1-WWWW[[#This Row],[% Equitable and continuous access to sufficient quantity of domestic water]]</f>
        <v>0</v>
      </c>
      <c r="CY190" s="731">
        <f>WWWW[[#This Row],[%equitable and continuous access to sufficient quantity of safe drinking and domestic water''s GAP]]*WWWW[[#This Row],[Total PoP ]]</f>
        <v>0</v>
      </c>
      <c r="CZ190" s="734">
        <f>IF(WWWW[[#This Row],[Total required water points]]-WWWW[[#This Row],['#Water points coverage]]&lt;0,0,WWWW[[#This Row],[Total required water points]]-WWWW[[#This Row],['#Water points coverage]])</f>
        <v>0.35399999999999998</v>
      </c>
      <c r="DA190" s="734">
        <f>ROUND(IF(WWWW[[#This Row],[Total PoP ]]&lt;500,1,WWWW[[#This Row],[Total PoP ]]/500),0)</f>
        <v>1</v>
      </c>
      <c r="DB190" s="734">
        <f>(WWWW[[#This Row],['#_Constructed latrines_by_WASHAgencies]]+WWWW[[#This Row],['#_Non Cluster partner latrines]])-WWWW[[#This Row],['#_Non-functional latrines]]</f>
        <v>10</v>
      </c>
      <c r="DC190" s="631">
        <f>WWWW[[#This Row],[HRP2]]/WWWW[[#This Row],[Total PoP ]]</f>
        <v>0.61919504643962853</v>
      </c>
      <c r="DD19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19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0" s="424">
        <f>IF(WWWW[[#This Row],['# of functional latrines in THF supported by WASH partners during the reporting period2]]="",0,WWWW[[#This Row],['# of functional latrines in THF supported by WASH partners during the reporting period2]]*50)</f>
        <v>0</v>
      </c>
      <c r="DH190" s="734">
        <f>ROUND(IF(WWWW[[#This Row],[Location Type 1]]="camp",WWWW[[#This Row],[Total PoP ]]/20,IF(WWWW[[#This Row],[Location Type 1]]="Temporary Location",WWWW[[#This Row],[Total PoP ]]/50,(WWWW[[#This Row],[Total PoP ]]/6))),0)</f>
        <v>16</v>
      </c>
      <c r="DI190" s="734">
        <f>IF(WWWW[[#This Row],[Total required Latrines]]-(WWWW[[#This Row],['#_Constructed latrines_by_WASHAgencies]]+WWWW[[#This Row],['#_Non Cluster partner latrines]])&lt;0,0,WWWW[[#This Row],[Total required Latrines]]-(WWWW[[#This Row],['#_Constructed latrines_by_WASHAgencies]]+WWWW[[#This Row],['#_Non Cluster partner latrines]]))</f>
        <v>6</v>
      </c>
      <c r="DJ190" s="736">
        <f>1-WWWW[[#This Row],[% people access to functioning Latrine]]</f>
        <v>0.38080495356037147</v>
      </c>
      <c r="DK190" s="735">
        <f>IF(OR(WWWW[[#This Row],['#_Non-functional latrines]]="",WWWW[[#This Row],['#_Non-functional latrines]]=0),0,WWWW[[#This Row],['#_Non-functional latrines]]/(WWWW[[#This Row],['#_Constructed latrines_by_WASHAgencies]]+WWWW[[#This Row],['#_Non Cluster partner latrines]]))</f>
        <v>0</v>
      </c>
      <c r="DL190" s="731">
        <f>IF(500*(WWWW[[#This Row],['#_male hygiene promoters]]+WWWW[[#This Row],['#_female hygiene promoters]])&gt;WWWW[[#This Row],[Total PoP ]],WWWW[[#This Row],[Total PoP ]],500*(WWWW[[#This Row],['#_male hygiene promoters]]+WWWW[[#This Row],['#_female hygiene promoters]]))</f>
        <v>0</v>
      </c>
      <c r="DM19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323</v>
      </c>
      <c r="DN19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90" s="734">
        <f>IF(WWWW[[#This Row],['# People with access to soap]]&gt;WWWW[[#This Row],['# People with access to Sanity Pads]],WWWW[[#This Row],['# People with access to soap]],WWWW[[#This Row],['# People with access to Sanity Pads]])</f>
        <v>323</v>
      </c>
      <c r="DP190" s="734">
        <f>IF(WWWW[[#This Row],['# people reached by regular dedicated hygiene promotion_5]]&gt;WWWW[[#This Row],['# People received regular supply of hygiene items_6]],WWWW[[#This Row],['# people reached by regular dedicated hygiene promotion_5]],WWWW[[#This Row],['# People received regular supply of hygiene items_6]])</f>
        <v>323</v>
      </c>
      <c r="DQ190" s="736">
        <f>IF(WWWW[[#This Row],[HRP3]]/WWWW[[#This Row],[Total PoP ]]&gt;1,1,WWWW[[#This Row],[HRP3]]/WWWW[[#This Row],[Total PoP ]])</f>
        <v>1</v>
      </c>
      <c r="DR190" s="735">
        <f>1-WWWW[[#This Row],[Hygiene Coverage%]]</f>
        <v>0</v>
      </c>
      <c r="DS190" s="733">
        <f>WWWW[[#This Row],['# people reached by regular dedicated hygiene promotion_5]]/WWWW[[#This Row],[Total PoP ]]</f>
        <v>0</v>
      </c>
      <c r="DT19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0" s="734">
        <f>WWWW[[#This Row],['#_Constructed/Existing hand washing stations]]-WWWW[[#This Row],['#_Non-Functional_hand_washing_stations]]</f>
        <v>7</v>
      </c>
      <c r="DW190" s="731">
        <f>IF(WWWW[[#This Row],['# Functional hand washing stations during reporting period]]*20&gt;WWWW[[#This Row],[Total HH]],WWWW[[#This Row],[Total HH]],WWWW[[#This Row],['# Functional hand washing stations during reporting period]]*20)</f>
        <v>64</v>
      </c>
      <c r="DX190" s="731">
        <f>IF(WWWW[[#This Row],[Is sufficient soap available for TLS? (Yes/No)]]="yes",WWWW[[#This Row],['#_Constructed/Existing hand washing stations at TLS/CFS/THF]],0)</f>
        <v>0</v>
      </c>
      <c r="DY190" s="428">
        <f>IF(WWWW[[#This Row],['# Functional hand washing stations during reporting period]]*100&gt;WWWW[[#This Row],[Total PoP ]],WWWW[[#This Row],[Total PoP ]],WWWW[[#This Row],['# Functional hand washing stations during reporting period]]*100)</f>
        <v>323</v>
      </c>
      <c r="DZ190" s="428" t="str">
        <f>IF(OR(WWWW[[#This Row],['#_students at TLS_CFS]]="",WWWW[[#This Row],['#_students at TLS_CFS]]=0),"No","Yes")</f>
        <v>No</v>
      </c>
      <c r="EA19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0" s="727" t="str">
        <f>VLOOKUP(WWWW[[#This Row],[Site Name]],SiteDB6[[Site Name]:[CCCM Management]],6,FALSE)</f>
        <v>Yes</v>
      </c>
      <c r="EF190" s="727" t="str">
        <f>VLOOKUP(WWWW[[#This Row],[Site Name]],SiteDB6[[Site Name]:[CCCM Focal Agency]],7,FALSE)</f>
        <v>KBC-NSS</v>
      </c>
      <c r="EG190" s="727" t="str">
        <f>VLOOKUP(WWWW[[#This Row],[Site Name]],SiteDB6[[Site Name]:[Location Type 1]],9,FALSE)</f>
        <v>Camp</v>
      </c>
      <c r="EH190" s="727" t="str">
        <f>VLOOKUP(WWWW[[#This Row],[Site Name]],SiteDB6[[Site Name]:[Type of Accommodation]],10,FALSE)</f>
        <v>Camp</v>
      </c>
      <c r="EI190" s="727" t="str">
        <f>VLOOKUP(WWWW[[#This Row],[Site Name]],SiteDB6[[Site Name]:[Ethnic or GCA/NGCA]],11,FALSE)</f>
        <v>GCA</v>
      </c>
      <c r="EJ190" s="727">
        <f>VLOOKUP(WWWW[[#This Row],[Site Name]],SiteDB6[[Site Name]:[Lat]],12,FALSE)</f>
        <v>23.828520000000001</v>
      </c>
      <c r="EK190" s="727">
        <f>VLOOKUP(WWWW[[#This Row],[Site Name]],SiteDB6[[Site Name]:[Long]],13,FALSE)</f>
        <v>97.669557999999995</v>
      </c>
      <c r="EL190" s="727" t="str">
        <f>VLOOKUP(WWWW[[#This Row],[Site Name]],SiteDB6[[Site Name]:[Pcode]],3,FALSE)</f>
        <v>MMR015CMP001</v>
      </c>
      <c r="EM190" s="732" t="str">
        <f t="shared" si="2"/>
        <v>Covered</v>
      </c>
      <c r="EN190" s="732"/>
      <c r="EO190" s="727">
        <f>VLOOKUP(WWWW[[#This Row],[Site Name]],SiteDB6[[Site Name]:[Pop
(Kachin/Shan-CCCM as of July 2021)]],16,FALSE)</f>
        <v>66</v>
      </c>
      <c r="EP190" s="727">
        <f>VLOOKUP(WWWW[[#This Row],[Site Name]],SiteDB6[[Site Name]:[Pop
(Kachin/Shan-CCCM as of July 2021)]],17,FALSE)</f>
        <v>333</v>
      </c>
    </row>
    <row r="191" spans="1:146" hidden="1">
      <c r="A191" s="725" t="s">
        <v>2763</v>
      </c>
      <c r="B191" s="725" t="s">
        <v>192</v>
      </c>
      <c r="C191" s="726" t="s">
        <v>192</v>
      </c>
      <c r="D191" s="726" t="s">
        <v>2673</v>
      </c>
      <c r="E191" s="726" t="s">
        <v>515</v>
      </c>
      <c r="F191" s="726" t="s">
        <v>516</v>
      </c>
      <c r="G191" s="591" t="str">
        <f>VLOOKUP(WWWW[[#This Row],[Site Name]],SiteDB6[[Site Name]:[Location Type]],8,FALSE)</f>
        <v>Camp</v>
      </c>
      <c r="H191" s="726" t="s">
        <v>551</v>
      </c>
      <c r="I191" s="728">
        <v>6</v>
      </c>
      <c r="J191" s="728">
        <v>31</v>
      </c>
      <c r="K191" s="588" t="s">
        <v>2767</v>
      </c>
      <c r="L191" s="589" t="s">
        <v>2768</v>
      </c>
      <c r="M191" s="728"/>
      <c r="N191" s="728"/>
      <c r="O191" s="728">
        <v>1</v>
      </c>
      <c r="P191" s="728"/>
      <c r="Q191" s="731"/>
      <c r="R191" s="728"/>
      <c r="S191" s="728"/>
      <c r="T191" s="448"/>
      <c r="U191" s="728"/>
      <c r="V191" s="728"/>
      <c r="W191" s="728"/>
      <c r="X191" s="728">
        <v>1</v>
      </c>
      <c r="Y191" s="728"/>
      <c r="Z191" s="728"/>
      <c r="AA191" s="728"/>
      <c r="AB191" s="728"/>
      <c r="AC191" s="728"/>
      <c r="AD191" s="728"/>
      <c r="AE191" s="728"/>
      <c r="AF191" s="728"/>
      <c r="AG191" s="728"/>
      <c r="AH191" s="728"/>
      <c r="AI191" s="728"/>
      <c r="AJ191" s="728"/>
      <c r="AK191" s="728"/>
      <c r="AL191" s="728"/>
      <c r="AM191" s="728"/>
      <c r="AN191" s="728"/>
      <c r="AO191" s="728"/>
      <c r="AP191" s="732"/>
      <c r="AQ191" s="728"/>
      <c r="AR191" s="728">
        <v>10</v>
      </c>
      <c r="AS191" s="733"/>
      <c r="AT191" s="728"/>
      <c r="AU191" s="728"/>
      <c r="AV191" s="728"/>
      <c r="AW191" s="728"/>
      <c r="AX191" s="728"/>
      <c r="AY191" s="727" t="s">
        <v>140</v>
      </c>
      <c r="AZ191" s="732" t="s">
        <v>140</v>
      </c>
      <c r="BA191" s="728"/>
      <c r="BB191" s="728"/>
      <c r="BC191" s="728"/>
      <c r="BD191" s="448"/>
      <c r="BE191" s="448"/>
      <c r="BF191" s="727"/>
      <c r="BG191" s="728">
        <v>7</v>
      </c>
      <c r="BH191" s="728"/>
      <c r="BI191" s="728"/>
      <c r="BJ191" s="728">
        <v>4</v>
      </c>
      <c r="BK191" s="728"/>
      <c r="BL191" s="728"/>
      <c r="BM191" s="728">
        <v>1</v>
      </c>
      <c r="BN191" s="728">
        <v>124</v>
      </c>
      <c r="BO191" s="728">
        <v>198</v>
      </c>
      <c r="BP191" s="727"/>
      <c r="BQ191" s="734"/>
      <c r="BR191" s="733"/>
      <c r="BS191" s="727"/>
      <c r="BT191" s="423"/>
      <c r="BU191" s="423"/>
      <c r="BV191" s="425"/>
      <c r="BW191" s="423"/>
      <c r="BX191" s="448"/>
      <c r="BY191" s="448"/>
      <c r="BZ191" s="448"/>
      <c r="CA191" s="448"/>
      <c r="CB191" s="448"/>
      <c r="CC191" s="777"/>
      <c r="CD191" s="448"/>
      <c r="CE191" s="735" t="str">
        <f>IFERROR(WWWW[[#This Row],['#_Water sources passed]]/WWWW[[#This Row],['#_Water sources tested for fecal coliform ]],"no test")</f>
        <v>no test</v>
      </c>
      <c r="CF191" s="733" t="str">
        <f>IFERROR(WWWW[[#This Row],['#_Household passed]]/WWWW[[#This Row],['#_Household water samples tested for fecal coliform]],"no test")</f>
        <v>no test</v>
      </c>
      <c r="CG191" s="734" t="str">
        <f>IF(AND(WWWW[[#This Row],[% of water sources passed]]="no test",WWWW[[#This Row],[% Household passed]]="no test"),"No Test","Tested")</f>
        <v>No Test</v>
      </c>
      <c r="CH191" s="734">
        <f>WWWW[[#This Row],['#_Constructed/existing protected hand dug well]]-WWWW[[#This Row],['#_Non-functional protected hand dug well]]</f>
        <v>0</v>
      </c>
      <c r="CI191" s="734">
        <f>(WWWW[[#This Row],['#_Constructed/Existing tube wells/boreholes/handpumps_WASH_agency]]+WWWW[[#This Row],['#_Non-Cluster partner water tube-wells/boreholes/handpumps]])-WWWW[[#This Row],['#_Non-functional tube wells/boreholes/handpumps]]</f>
        <v>1</v>
      </c>
      <c r="CJ191" s="734">
        <f>WWWW[[#This Row],['#_Constructed/Existingwater storage tank with gravity fed reticulation system]]-WWWW[[#This Row],['#_Non-functional storage tank gravity fed reticulation system]]</f>
        <v>0</v>
      </c>
      <c r="CK191" s="734">
        <f>(WWWW[[#This Row],['#_Water_Liters_supplied_by_Water boating or water trucking]]/90)/15</f>
        <v>0</v>
      </c>
      <c r="CL191" s="734">
        <f>WWWW[[#This Row],['#_Water_Liters_from_Constructed/Existing water distribution system from river or natural spring]]/90/15</f>
        <v>0</v>
      </c>
      <c r="CM191" s="424">
        <f>IF(WWWW[[#This Row],['#_of water points in TLS/CFS]]*500&gt;WWWW[[#This Row],[Total PoP ]],WWWW[[#This Row],[Total PoP ]],WWWW[[#This Row],['#_of water points in TLS/CFS]]*500)</f>
        <v>0</v>
      </c>
      <c r="CN191" s="424">
        <f>IF(WWWW[[#This Row],['#_of water points in THF]]*500&gt;WWWW[[#This Row],[Total PoP ]],WWWW[[#This Row],[Total PoP ]],WWWW[[#This Row],['#_of water points in THF]]*500)</f>
        <v>0</v>
      </c>
      <c r="CO19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1" s="733">
        <f>IF(WWWW[[#This Row],[Location Type 1]]="Village",WWWW[[#This Row],[Access to safe drinking water for Village]],WWWW[[#This Row],[Access to safe drinking water for Camp]])</f>
        <v>1</v>
      </c>
      <c r="CR191" s="731">
        <f>WWWW[[#This Row],[%Equitable and continuous access to sufficient quantity of safe drinking water]]*WWWW[[#This Row],[Total PoP ]]</f>
        <v>31</v>
      </c>
      <c r="CS191" s="733">
        <f>IF((WWWW[[#This Row],['#_Constructed/Existing protected/fenced ponds]]*250)/WWWW[[#This Row],[Total PoP ]]&gt;1,1,(WWWW[[#This Row],['#_Constructed/Existing protected/fenced ponds]]*250)/WWWW[[#This Row],[Total PoP ]])</f>
        <v>0</v>
      </c>
      <c r="CT191" s="731">
        <f>WWWW[[#This Row],[% Access to unimproved water points]]*WWWW[[#This Row],[Total PoP ]]</f>
        <v>0</v>
      </c>
      <c r="CU19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v>
      </c>
      <c r="CW191" s="731">
        <f>WWWW[[#This Row],[HRP1]]/500</f>
        <v>6.2E-2</v>
      </c>
      <c r="CX191" s="736">
        <f>1-WWWW[[#This Row],[% Equitable and continuous access to sufficient quantity of domestic water]]</f>
        <v>0</v>
      </c>
      <c r="CY191" s="731">
        <f>WWWW[[#This Row],[%equitable and continuous access to sufficient quantity of safe drinking and domestic water''s GAP]]*WWWW[[#This Row],[Total PoP ]]</f>
        <v>0</v>
      </c>
      <c r="CZ191" s="734">
        <f>IF(WWWW[[#This Row],[Total required water points]]-WWWW[[#This Row],['#Water points coverage]]&lt;0,0,WWWW[[#This Row],[Total required water points]]-WWWW[[#This Row],['#Water points coverage]])</f>
        <v>0.93799999999999994</v>
      </c>
      <c r="DA191" s="734">
        <f>ROUND(IF(WWWW[[#This Row],[Total PoP ]]&lt;500,1,WWWW[[#This Row],[Total PoP ]]/500),0)</f>
        <v>1</v>
      </c>
      <c r="DB191" s="734">
        <f>(WWWW[[#This Row],['#_Constructed latrines_by_WASHAgencies]]+WWWW[[#This Row],['#_Non Cluster partner latrines]])-WWWW[[#This Row],['#_Non-functional latrines]]</f>
        <v>10</v>
      </c>
      <c r="DC191" s="631">
        <f>WWWW[[#This Row],[HRP2]]/WWWW[[#This Row],[Total PoP ]]</f>
        <v>1</v>
      </c>
      <c r="DD19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DE19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1" s="424">
        <f>IF(WWWW[[#This Row],['# of functional latrines in THF supported by WASH partners during the reporting period2]]="",0,WWWW[[#This Row],['# of functional latrines in THF supported by WASH partners during the reporting period2]]*50)</f>
        <v>0</v>
      </c>
      <c r="DH191" s="734">
        <f>ROUND(IF(WWWW[[#This Row],[Location Type 1]]="camp",WWWW[[#This Row],[Total PoP ]]/20,IF(WWWW[[#This Row],[Location Type 1]]="Temporary Location",WWWW[[#This Row],[Total PoP ]]/50,(WWWW[[#This Row],[Total PoP ]]/6))),0)</f>
        <v>2</v>
      </c>
      <c r="DI191" s="734">
        <f>IF(WWWW[[#This Row],[Total required Latrines]]-(WWWW[[#This Row],['#_Constructed latrines_by_WASHAgencies]]+WWWW[[#This Row],['#_Non Cluster partner latrines]])&lt;0,0,WWWW[[#This Row],[Total required Latrines]]-(WWWW[[#This Row],['#_Constructed latrines_by_WASHAgencies]]+WWWW[[#This Row],['#_Non Cluster partner latrines]]))</f>
        <v>0</v>
      </c>
      <c r="DJ191" s="736">
        <f>1-WWWW[[#This Row],[% people access to functioning Latrine]]</f>
        <v>0</v>
      </c>
      <c r="DK191" s="735">
        <f>IF(OR(WWWW[[#This Row],['#_Non-functional latrines]]="",WWWW[[#This Row],['#_Non-functional latrines]]=0),0,WWWW[[#This Row],['#_Non-functional latrines]]/(WWWW[[#This Row],['#_Constructed latrines_by_WASHAgencies]]+WWWW[[#This Row],['#_Non Cluster partner latrines]]))</f>
        <v>0</v>
      </c>
      <c r="DL191" s="731">
        <f>IF(500*(WWWW[[#This Row],['#_male hygiene promoters]]+WWWW[[#This Row],['#_female hygiene promoters]])&gt;WWWW[[#This Row],[Total PoP ]],WWWW[[#This Row],[Total PoP ]],500*(WWWW[[#This Row],['#_male hygiene promoters]]+WWWW[[#This Row],['#_female hygiene promoters]]))</f>
        <v>31</v>
      </c>
      <c r="DM19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v>
      </c>
      <c r="DN19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31</v>
      </c>
      <c r="DO191" s="734">
        <f>IF(WWWW[[#This Row],['# People with access to soap]]&gt;WWWW[[#This Row],['# People with access to Sanity Pads]],WWWW[[#This Row],['# People with access to soap]],WWWW[[#This Row],['# People with access to Sanity Pads]])</f>
        <v>31</v>
      </c>
      <c r="DP191" s="734">
        <f>IF(WWWW[[#This Row],['# people reached by regular dedicated hygiene promotion_5]]&gt;WWWW[[#This Row],['# People received regular supply of hygiene items_6]],WWWW[[#This Row],['# people reached by regular dedicated hygiene promotion_5]],WWWW[[#This Row],['# People received regular supply of hygiene items_6]])</f>
        <v>31</v>
      </c>
      <c r="DQ191" s="736">
        <f>IF(WWWW[[#This Row],[HRP3]]/WWWW[[#This Row],[Total PoP ]]&gt;1,1,WWWW[[#This Row],[HRP3]]/WWWW[[#This Row],[Total PoP ]])</f>
        <v>1</v>
      </c>
      <c r="DR191" s="735">
        <f>1-WWWW[[#This Row],[Hygiene Coverage%]]</f>
        <v>0</v>
      </c>
      <c r="DS191" s="733">
        <f>WWWW[[#This Row],['# people reached by regular dedicated hygiene promotion_5]]/WWWW[[#This Row],[Total PoP ]]</f>
        <v>1</v>
      </c>
      <c r="DT19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1" s="734">
        <f>WWWW[[#This Row],['#_Constructed/Existing hand washing stations]]-WWWW[[#This Row],['#_Non-Functional_hand_washing_stations]]</f>
        <v>7</v>
      </c>
      <c r="DW191" s="731">
        <f>IF(WWWW[[#This Row],['# Functional hand washing stations during reporting period]]*20&gt;WWWW[[#This Row],[Total HH]],WWWW[[#This Row],[Total HH]],WWWW[[#This Row],['# Functional hand washing stations during reporting period]]*20)</f>
        <v>6</v>
      </c>
      <c r="DX191" s="731">
        <f>IF(WWWW[[#This Row],[Is sufficient soap available for TLS? (Yes/No)]]="yes",WWWW[[#This Row],['#_Constructed/Existing hand washing stations at TLS/CFS/THF]],0)</f>
        <v>0</v>
      </c>
      <c r="DY191" s="428">
        <f>IF(WWWW[[#This Row],['# Functional hand washing stations during reporting period]]*100&gt;WWWW[[#This Row],[Total PoP ]],WWWW[[#This Row],[Total PoP ]],WWWW[[#This Row],['# Functional hand washing stations during reporting period]]*100)</f>
        <v>31</v>
      </c>
      <c r="DZ191" s="428" t="str">
        <f>IF(OR(WWWW[[#This Row],['#_students at TLS_CFS]]="",WWWW[[#This Row],['#_students at TLS_CFS]]=0),"No","Yes")</f>
        <v>No</v>
      </c>
      <c r="EA19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1" s="727" t="str">
        <f>VLOOKUP(WWWW[[#This Row],[Site Name]],SiteDB6[[Site Name]:[CCCM Management]],6,FALSE)</f>
        <v>Yes</v>
      </c>
      <c r="EF191" s="727" t="str">
        <f>VLOOKUP(WWWW[[#This Row],[Site Name]],SiteDB6[[Site Name]:[CCCM Focal Agency]],7,FALSE)</f>
        <v>KBC-NSS</v>
      </c>
      <c r="EG191" s="727" t="str">
        <f>VLOOKUP(WWWW[[#This Row],[Site Name]],SiteDB6[[Site Name]:[Location Type 1]],9,FALSE)</f>
        <v>Camp</v>
      </c>
      <c r="EH191" s="727" t="str">
        <f>VLOOKUP(WWWW[[#This Row],[Site Name]],SiteDB6[[Site Name]:[Type of Accommodation]],10,FALSE)</f>
        <v>Closed Camp</v>
      </c>
      <c r="EI191" s="727" t="str">
        <f>VLOOKUP(WWWW[[#This Row],[Site Name]],SiteDB6[[Site Name]:[Ethnic or GCA/NGCA]],11,FALSE)</f>
        <v>GCA</v>
      </c>
      <c r="EJ191" s="727">
        <f>VLOOKUP(WWWW[[#This Row],[Site Name]],SiteDB6[[Site Name]:[Lat]],12,FALSE)</f>
        <v>23.841646999999998</v>
      </c>
      <c r="EK191" s="727">
        <f>VLOOKUP(WWWW[[#This Row],[Site Name]],SiteDB6[[Site Name]:[Long]],13,FALSE)</f>
        <v>97.700940000000003</v>
      </c>
      <c r="EL191" s="727" t="str">
        <f>VLOOKUP(WWWW[[#This Row],[Site Name]],SiteDB6[[Site Name]:[Pcode]],3,FALSE)</f>
        <v>MMR015CMP214</v>
      </c>
      <c r="EM191" s="732" t="str">
        <f t="shared" si="2"/>
        <v>Covered</v>
      </c>
      <c r="EN191" s="732"/>
      <c r="EO191" s="727">
        <f>VLOOKUP(WWWW[[#This Row],[Site Name]],SiteDB6[[Site Name]:[Pop
(Kachin/Shan-CCCM as of July 2021)]],16,FALSE)</f>
        <v>7</v>
      </c>
      <c r="EP191" s="727">
        <f>VLOOKUP(WWWW[[#This Row],[Site Name]],SiteDB6[[Site Name]:[Pop
(Kachin/Shan-CCCM as of July 2021)]],17,FALSE)</f>
        <v>32</v>
      </c>
    </row>
    <row r="192" spans="1:146" hidden="1">
      <c r="A192" s="725" t="s">
        <v>2763</v>
      </c>
      <c r="B192" s="725" t="s">
        <v>2359</v>
      </c>
      <c r="C192" s="726" t="s">
        <v>2359</v>
      </c>
      <c r="D192" s="726" t="s">
        <v>2673</v>
      </c>
      <c r="E192" s="726" t="s">
        <v>515</v>
      </c>
      <c r="F192" s="726" t="s">
        <v>516</v>
      </c>
      <c r="G192" s="591" t="str">
        <f>VLOOKUP(WWWW[[#This Row],[Site Name]],SiteDB6[[Site Name]:[Location Type]],8,FALSE)</f>
        <v>Camp</v>
      </c>
      <c r="H192" s="726" t="s">
        <v>517</v>
      </c>
      <c r="I192" s="728">
        <v>44</v>
      </c>
      <c r="J192" s="728">
        <v>213</v>
      </c>
      <c r="K192" s="588" t="s">
        <v>2767</v>
      </c>
      <c r="L192" s="589" t="s">
        <v>2768</v>
      </c>
      <c r="M192" s="728"/>
      <c r="N192" s="728">
        <v>2</v>
      </c>
      <c r="O192" s="728"/>
      <c r="P192" s="728"/>
      <c r="Q192" s="731" t="s">
        <v>41</v>
      </c>
      <c r="R192" s="728">
        <v>3</v>
      </c>
      <c r="S192" s="728">
        <v>9</v>
      </c>
      <c r="T192" s="448">
        <v>1</v>
      </c>
      <c r="U192" s="728"/>
      <c r="V192" s="728"/>
      <c r="W192" s="728"/>
      <c r="X192" s="728">
        <v>2</v>
      </c>
      <c r="Y192" s="728"/>
      <c r="Z192" s="728"/>
      <c r="AA192" s="728"/>
      <c r="AB192" s="728"/>
      <c r="AC192" s="728"/>
      <c r="AD192" s="728"/>
      <c r="AE192" s="728">
        <v>1</v>
      </c>
      <c r="AF192" s="728"/>
      <c r="AG192" s="728"/>
      <c r="AH192" s="728">
        <v>2</v>
      </c>
      <c r="AI192" s="728"/>
      <c r="AJ192" s="728"/>
      <c r="AK192" s="728"/>
      <c r="AL192" s="728"/>
      <c r="AM192" s="728">
        <v>3</v>
      </c>
      <c r="AN192" s="728"/>
      <c r="AO192" s="728"/>
      <c r="AP192" s="732"/>
      <c r="AQ192" s="728">
        <v>14</v>
      </c>
      <c r="AR192" s="728"/>
      <c r="AS192" s="733"/>
      <c r="AT192" s="728"/>
      <c r="AU192" s="728"/>
      <c r="AV192" s="728"/>
      <c r="AW192" s="728"/>
      <c r="AX192" s="728">
        <v>14</v>
      </c>
      <c r="AY192" s="727" t="s">
        <v>41</v>
      </c>
      <c r="AZ192" s="732" t="s">
        <v>137</v>
      </c>
      <c r="BA192" s="728"/>
      <c r="BB192" s="728"/>
      <c r="BC192" s="728"/>
      <c r="BD192" s="448"/>
      <c r="BE192" s="448"/>
      <c r="BF192" s="727"/>
      <c r="BG192" s="728">
        <v>3</v>
      </c>
      <c r="BH192" s="728"/>
      <c r="BI192" s="728"/>
      <c r="BJ192" s="728">
        <v>2</v>
      </c>
      <c r="BK192" s="728"/>
      <c r="BL192" s="728">
        <v>1</v>
      </c>
      <c r="BM192" s="728">
        <v>1</v>
      </c>
      <c r="BN192" s="728">
        <v>10</v>
      </c>
      <c r="BO192" s="728">
        <v>18</v>
      </c>
      <c r="BP192" s="727"/>
      <c r="BQ192" s="734"/>
      <c r="BR192" s="733"/>
      <c r="BS192" s="727"/>
      <c r="BT192" s="423"/>
      <c r="BU192" s="423"/>
      <c r="BV192" s="425"/>
      <c r="BW192" s="423"/>
      <c r="BX192" s="448"/>
      <c r="BY192" s="448"/>
      <c r="BZ192" s="448"/>
      <c r="CA192" s="448"/>
      <c r="CB192" s="448"/>
      <c r="CC192" s="777"/>
      <c r="CD192" s="448"/>
      <c r="CE192" s="735" t="str">
        <f>IFERROR(WWWW[[#This Row],['#_Water sources passed]]/WWWW[[#This Row],['#_Water sources tested for fecal coliform ]],"no test")</f>
        <v>no test</v>
      </c>
      <c r="CF192" s="733" t="str">
        <f>IFERROR(WWWW[[#This Row],['#_Household passed]]/WWWW[[#This Row],['#_Household water samples tested for fecal coliform]],"no test")</f>
        <v>no test</v>
      </c>
      <c r="CG192" s="734" t="str">
        <f>IF(AND(WWWW[[#This Row],[% of water sources passed]]="no test",WWWW[[#This Row],[% Household passed]]="no test"),"No Test","Tested")</f>
        <v>No Test</v>
      </c>
      <c r="CH192" s="734">
        <f>WWWW[[#This Row],['#_Constructed/existing protected hand dug well]]-WWWW[[#This Row],['#_Non-functional protected hand dug well]]</f>
        <v>1</v>
      </c>
      <c r="CI192" s="734">
        <f>(WWWW[[#This Row],['#_Constructed/Existing tube wells/boreholes/handpumps_WASH_agency]]+WWWW[[#This Row],['#_Non-Cluster partner water tube-wells/boreholes/handpumps]])-WWWW[[#This Row],['#_Non-functional tube wells/boreholes/handpumps]]</f>
        <v>2</v>
      </c>
      <c r="CJ192" s="734">
        <f>WWWW[[#This Row],['#_Constructed/Existingwater storage tank with gravity fed reticulation system]]-WWWW[[#This Row],['#_Non-functional storage tank gravity fed reticulation system]]</f>
        <v>0</v>
      </c>
      <c r="CK192" s="734">
        <f>(WWWW[[#This Row],['#_Water_Liters_supplied_by_Water boating or water trucking]]/90)/15</f>
        <v>0</v>
      </c>
      <c r="CL192" s="734">
        <f>WWWW[[#This Row],['#_Water_Liters_from_Constructed/Existing water distribution system from river or natural spring]]/90/15</f>
        <v>0</v>
      </c>
      <c r="CM192" s="424">
        <f>IF(WWWW[[#This Row],['#_of water points in TLS/CFS]]*500&gt;WWWW[[#This Row],[Total PoP ]],WWWW[[#This Row],[Total PoP ]],WWWW[[#This Row],['#_of water points in TLS/CFS]]*500)</f>
        <v>0</v>
      </c>
      <c r="CN192" s="424">
        <f>IF(WWWW[[#This Row],['#_of water points in THF]]*500&gt;WWWW[[#This Row],[Total PoP ]],WWWW[[#This Row],[Total PoP ]],WWWW[[#This Row],['#_of water points in THF]]*500)</f>
        <v>0</v>
      </c>
      <c r="CO19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2" s="733">
        <f>IF(WWWW[[#This Row],[Location Type 1]]="Village",WWWW[[#This Row],[Access to safe drinking water for Village]],WWWW[[#This Row],[Access to safe drinking water for Camp]])</f>
        <v>1</v>
      </c>
      <c r="CR192" s="731">
        <f>WWWW[[#This Row],[%Equitable and continuous access to sufficient quantity of safe drinking water]]*WWWW[[#This Row],[Total PoP ]]</f>
        <v>213</v>
      </c>
      <c r="CS192" s="733">
        <f>IF((WWWW[[#This Row],['#_Constructed/Existing protected/fenced ponds]]*250)/WWWW[[#This Row],[Total PoP ]]&gt;1,1,(WWWW[[#This Row],['#_Constructed/Existing protected/fenced ponds]]*250)/WWWW[[#This Row],[Total PoP ]])</f>
        <v>1</v>
      </c>
      <c r="CT192" s="731">
        <f>WWWW[[#This Row],[% Access to unimproved water points]]*WWWW[[#This Row],[Total PoP ]]</f>
        <v>213</v>
      </c>
      <c r="CU19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W192" s="731">
        <f>WWWW[[#This Row],[HRP1]]/500</f>
        <v>0.42599999999999999</v>
      </c>
      <c r="CX192" s="736">
        <f>1-WWWW[[#This Row],[% Equitable and continuous access to sufficient quantity of domestic water]]</f>
        <v>0</v>
      </c>
      <c r="CY192" s="731">
        <f>WWWW[[#This Row],[%equitable and continuous access to sufficient quantity of safe drinking and domestic water''s GAP]]*WWWW[[#This Row],[Total PoP ]]</f>
        <v>0</v>
      </c>
      <c r="CZ192" s="734">
        <f>IF(WWWW[[#This Row],[Total required water points]]-WWWW[[#This Row],['#Water points coverage]]&lt;0,0,WWWW[[#This Row],[Total required water points]]-WWWW[[#This Row],['#Water points coverage]])</f>
        <v>0.57400000000000007</v>
      </c>
      <c r="DA192" s="734">
        <f>ROUND(IF(WWWW[[#This Row],[Total PoP ]]&lt;500,1,WWWW[[#This Row],[Total PoP ]]/500),0)</f>
        <v>1</v>
      </c>
      <c r="DB192" s="734">
        <f>(WWWW[[#This Row],['#_Constructed latrines_by_WASHAgencies]]+WWWW[[#This Row],['#_Non Cluster partner latrines]])-WWWW[[#This Row],['#_Non-functional latrines]]</f>
        <v>14</v>
      </c>
      <c r="DC192" s="631">
        <f>WWWW[[#This Row],[HRP2]]/WWWW[[#This Row],[Total PoP ]]</f>
        <v>1</v>
      </c>
      <c r="DD19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213</v>
      </c>
      <c r="DE19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2" s="424">
        <f>IF(WWWW[[#This Row],['# of functional latrines in THF supported by WASH partners during the reporting period2]]="",0,WWWW[[#This Row],['# of functional latrines in THF supported by WASH partners during the reporting period2]]*50)</f>
        <v>0</v>
      </c>
      <c r="DH192" s="734">
        <f>ROUND(IF(WWWW[[#This Row],[Location Type 1]]="camp",WWWW[[#This Row],[Total PoP ]]/20,IF(WWWW[[#This Row],[Location Type 1]]="Temporary Location",WWWW[[#This Row],[Total PoP ]]/50,(WWWW[[#This Row],[Total PoP ]]/6))),0)</f>
        <v>11</v>
      </c>
      <c r="DI192" s="734">
        <f>IF(WWWW[[#This Row],[Total required Latrines]]-(WWWW[[#This Row],['#_Constructed latrines_by_WASHAgencies]]+WWWW[[#This Row],['#_Non Cluster partner latrines]])&lt;0,0,WWWW[[#This Row],[Total required Latrines]]-(WWWW[[#This Row],['#_Constructed latrines_by_WASHAgencies]]+WWWW[[#This Row],['#_Non Cluster partner latrines]]))</f>
        <v>0</v>
      </c>
      <c r="DJ192" s="736">
        <f>1-WWWW[[#This Row],[% people access to functioning Latrine]]</f>
        <v>0</v>
      </c>
      <c r="DK192" s="735">
        <f>IF(OR(WWWW[[#This Row],['#_Non-functional latrines]]="",WWWW[[#This Row],['#_Non-functional latrines]]=0),0,WWWW[[#This Row],['#_Non-functional latrines]]/(WWWW[[#This Row],['#_Constructed latrines_by_WASHAgencies]]+WWWW[[#This Row],['#_Non Cluster partner latrines]]))</f>
        <v>0</v>
      </c>
      <c r="DL192" s="731">
        <f>IF(500*(WWWW[[#This Row],['#_male hygiene promoters]]+WWWW[[#This Row],['#_female hygiene promoters]])&gt;WWWW[[#This Row],[Total PoP ]],WWWW[[#This Row],[Total PoP ]],500*(WWWW[[#This Row],['#_male hygiene promoters]]+WWWW[[#This Row],['#_female hygiene promoters]]))</f>
        <v>213</v>
      </c>
      <c r="DM19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9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92" s="734">
        <f>IF(WWWW[[#This Row],['# People with access to soap]]&gt;WWWW[[#This Row],['# People with access to Sanity Pads]],WWWW[[#This Row],['# People with access to soap]],WWWW[[#This Row],['# People with access to Sanity Pads]])</f>
        <v>50</v>
      </c>
      <c r="DP192" s="734">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Q192" s="736">
        <f>IF(WWWW[[#This Row],[HRP3]]/WWWW[[#This Row],[Total PoP ]]&gt;1,1,WWWW[[#This Row],[HRP3]]/WWWW[[#This Row],[Total PoP ]])</f>
        <v>1</v>
      </c>
      <c r="DR192" s="735">
        <f>1-WWWW[[#This Row],[Hygiene Coverage%]]</f>
        <v>0</v>
      </c>
      <c r="DS192" s="733">
        <f>WWWW[[#This Row],['# people reached by regular dedicated hygiene promotion_5]]/WWWW[[#This Row],[Total PoP ]]</f>
        <v>1</v>
      </c>
      <c r="DT19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0.90909090909090906</v>
      </c>
      <c r="DU19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0.40909090909090912</v>
      </c>
      <c r="DV192" s="734">
        <f>WWWW[[#This Row],['#_Constructed/Existing hand washing stations]]-WWWW[[#This Row],['#_Non-Functional_hand_washing_stations]]</f>
        <v>3</v>
      </c>
      <c r="DW192" s="731">
        <f>IF(WWWW[[#This Row],['# Functional hand washing stations during reporting period]]*20&gt;WWWW[[#This Row],[Total HH]],WWWW[[#This Row],[Total HH]],WWWW[[#This Row],['# Functional hand washing stations during reporting period]]*20)</f>
        <v>44</v>
      </c>
      <c r="DX192" s="731">
        <f>IF(WWWW[[#This Row],[Is sufficient soap available for TLS? (Yes/No)]]="yes",WWWW[[#This Row],['#_Constructed/Existing hand washing stations at TLS/CFS/THF]],0)</f>
        <v>0</v>
      </c>
      <c r="DY192" s="428">
        <f>IF(WWWW[[#This Row],['# Functional hand washing stations during reporting period]]*100&gt;WWWW[[#This Row],[Total PoP ]],WWWW[[#This Row],[Total PoP ]],WWWW[[#This Row],['# Functional hand washing stations during reporting period]]*100)</f>
        <v>213</v>
      </c>
      <c r="DZ192" s="428" t="str">
        <f>IF(OR(WWWW[[#This Row],['#_students at TLS_CFS]]="",WWWW[[#This Row],['#_students at TLS_CFS]]=0),"No","Yes")</f>
        <v>No</v>
      </c>
      <c r="EA19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2" s="727" t="str">
        <f>VLOOKUP(WWWW[[#This Row],[Site Name]],SiteDB6[[Site Name]:[CCCM Management]],6,FALSE)</f>
        <v>Yes</v>
      </c>
      <c r="EF192" s="727" t="str">
        <f>VLOOKUP(WWWW[[#This Row],[Site Name]],SiteDB6[[Site Name]:[CCCM Focal Agency]],7,FALSE)</f>
        <v>KMSS-LSO</v>
      </c>
      <c r="EG192" s="727" t="str">
        <f>VLOOKUP(WWWW[[#This Row],[Site Name]],SiteDB6[[Site Name]:[Location Type 1]],9,FALSE)</f>
        <v>Camp</v>
      </c>
      <c r="EH192" s="727" t="str">
        <f>VLOOKUP(WWWW[[#This Row],[Site Name]],SiteDB6[[Site Name]:[Type of Accommodation]],10,FALSE)</f>
        <v>Camp</v>
      </c>
      <c r="EI192" s="727" t="str">
        <f>VLOOKUP(WWWW[[#This Row],[Site Name]],SiteDB6[[Site Name]:[Ethnic or GCA/NGCA]],11,FALSE)</f>
        <v>GCA</v>
      </c>
      <c r="EJ192" s="727">
        <f>VLOOKUP(WWWW[[#This Row],[Site Name]],SiteDB6[[Site Name]:[Lat]],12,FALSE)</f>
        <v>23.828150000000001</v>
      </c>
      <c r="EK192" s="727">
        <f>VLOOKUP(WWWW[[#This Row],[Site Name]],SiteDB6[[Site Name]:[Long]],13,FALSE)</f>
        <v>97.670360000000002</v>
      </c>
      <c r="EL192" s="727" t="str">
        <f>VLOOKUP(WWWW[[#This Row],[Site Name]],SiteDB6[[Site Name]:[Pcode]],3,FALSE)</f>
        <v>MMR015CMP003</v>
      </c>
      <c r="EM192" s="732" t="str">
        <f t="shared" si="2"/>
        <v>Covered</v>
      </c>
      <c r="EN192" s="732"/>
      <c r="EO192" s="727">
        <f>VLOOKUP(WWWW[[#This Row],[Site Name]],SiteDB6[[Site Name]:[Pop
(Kachin/Shan-CCCM as of July 2021)]],16,FALSE)</f>
        <v>44</v>
      </c>
      <c r="EP192" s="727">
        <f>VLOOKUP(WWWW[[#This Row],[Site Name]],SiteDB6[[Site Name]:[Pop
(Kachin/Shan-CCCM as of July 2021)]],17,FALSE)</f>
        <v>217</v>
      </c>
    </row>
    <row r="193" spans="1:146" hidden="1">
      <c r="A193" s="725" t="s">
        <v>2763</v>
      </c>
      <c r="B193" s="725" t="s">
        <v>192</v>
      </c>
      <c r="C193" s="726" t="s">
        <v>192</v>
      </c>
      <c r="D193" s="726" t="s">
        <v>2673</v>
      </c>
      <c r="E193" s="726" t="s">
        <v>515</v>
      </c>
      <c r="F193" s="726" t="s">
        <v>519</v>
      </c>
      <c r="G193" s="591" t="str">
        <f>VLOOKUP(WWWW[[#This Row],[Site Name]],SiteDB6[[Site Name]:[Location Type]],8,FALSE)</f>
        <v>Camp</v>
      </c>
      <c r="H193" s="726" t="s">
        <v>531</v>
      </c>
      <c r="I193" s="728">
        <v>54</v>
      </c>
      <c r="J193" s="728">
        <v>250</v>
      </c>
      <c r="K193" s="729" t="s">
        <v>2767</v>
      </c>
      <c r="L193" s="730" t="s">
        <v>2768</v>
      </c>
      <c r="M193" s="728"/>
      <c r="N193" s="728">
        <v>1</v>
      </c>
      <c r="O193" s="728"/>
      <c r="P193" s="728"/>
      <c r="Q193" s="731" t="s">
        <v>41</v>
      </c>
      <c r="R193" s="728">
        <v>5</v>
      </c>
      <c r="S193" s="728">
        <v>4</v>
      </c>
      <c r="T193" s="448"/>
      <c r="U193" s="728"/>
      <c r="V193" s="728"/>
      <c r="W193" s="728"/>
      <c r="X193" s="728"/>
      <c r="Y193" s="728"/>
      <c r="Z193" s="728"/>
      <c r="AA193" s="728">
        <v>12</v>
      </c>
      <c r="AB193" s="728"/>
      <c r="AC193" s="728"/>
      <c r="AD193" s="728"/>
      <c r="AE193" s="728"/>
      <c r="AF193" s="728"/>
      <c r="AG193" s="728"/>
      <c r="AH193" s="728">
        <v>1</v>
      </c>
      <c r="AI193" s="728"/>
      <c r="AJ193" s="728"/>
      <c r="AK193" s="728"/>
      <c r="AL193" s="728"/>
      <c r="AM193" s="728"/>
      <c r="AN193" s="728"/>
      <c r="AO193" s="728"/>
      <c r="AP193" s="732"/>
      <c r="AQ193" s="728">
        <v>18</v>
      </c>
      <c r="AR193" s="728"/>
      <c r="AS193" s="733"/>
      <c r="AT193" s="728"/>
      <c r="AU193" s="728"/>
      <c r="AV193" s="728"/>
      <c r="AW193" s="728"/>
      <c r="AX193" s="728"/>
      <c r="AY193" s="727" t="s">
        <v>41</v>
      </c>
      <c r="AZ193" s="732" t="s">
        <v>137</v>
      </c>
      <c r="BA193" s="728"/>
      <c r="BB193" s="728"/>
      <c r="BC193" s="728"/>
      <c r="BD193" s="448"/>
      <c r="BE193" s="448"/>
      <c r="BF193" s="727"/>
      <c r="BG193" s="728">
        <v>3</v>
      </c>
      <c r="BH193" s="728"/>
      <c r="BI193" s="728"/>
      <c r="BJ193" s="728">
        <v>2</v>
      </c>
      <c r="BK193" s="728"/>
      <c r="BL193" s="728"/>
      <c r="BM193" s="728">
        <v>2</v>
      </c>
      <c r="BN193" s="728">
        <v>88</v>
      </c>
      <c r="BO193" s="728">
        <v>100</v>
      </c>
      <c r="BP193" s="727"/>
      <c r="BQ193" s="734"/>
      <c r="BR193" s="733"/>
      <c r="BS193" s="727"/>
      <c r="BT193" s="423"/>
      <c r="BU193" s="423"/>
      <c r="BV193" s="425"/>
      <c r="BW193" s="423"/>
      <c r="BX193" s="448"/>
      <c r="BY193" s="448"/>
      <c r="BZ193" s="448"/>
      <c r="CA193" s="448"/>
      <c r="CB193" s="448"/>
      <c r="CC193" s="777"/>
      <c r="CD193" s="448"/>
      <c r="CE193" s="735" t="str">
        <f>IFERROR(WWWW[[#This Row],['#_Water sources passed]]/WWWW[[#This Row],['#_Water sources tested for fecal coliform ]],"no test")</f>
        <v>no test</v>
      </c>
      <c r="CF193" s="733" t="str">
        <f>IFERROR(WWWW[[#This Row],['#_Household passed]]/WWWW[[#This Row],['#_Household water samples tested for fecal coliform]],"no test")</f>
        <v>no test</v>
      </c>
      <c r="CG193" s="734" t="str">
        <f>IF(AND(WWWW[[#This Row],[% of water sources passed]]="no test",WWWW[[#This Row],[% Household passed]]="no test"),"No Test","Tested")</f>
        <v>No Test</v>
      </c>
      <c r="CH193" s="734">
        <f>WWWW[[#This Row],['#_Constructed/existing protected hand dug well]]-WWWW[[#This Row],['#_Non-functional protected hand dug well]]</f>
        <v>0</v>
      </c>
      <c r="CI193" s="734">
        <f>(WWWW[[#This Row],['#_Constructed/Existing tube wells/boreholes/handpumps_WASH_agency]]+WWWW[[#This Row],['#_Non-Cluster partner water tube-wells/boreholes/handpumps]])-WWWW[[#This Row],['#_Non-functional tube wells/boreholes/handpumps]]</f>
        <v>0</v>
      </c>
      <c r="CJ193" s="734">
        <f>WWWW[[#This Row],['#_Constructed/Existingwater storage tank with gravity fed reticulation system]]-WWWW[[#This Row],['#_Non-functional storage tank gravity fed reticulation system]]</f>
        <v>12</v>
      </c>
      <c r="CK193" s="734">
        <f>(WWWW[[#This Row],['#_Water_Liters_supplied_by_Water boating or water trucking]]/90)/15</f>
        <v>0</v>
      </c>
      <c r="CL193" s="734">
        <f>WWWW[[#This Row],['#_Water_Liters_from_Constructed/Existing water distribution system from river or natural spring]]/90/15</f>
        <v>0</v>
      </c>
      <c r="CM193" s="424">
        <f>IF(WWWW[[#This Row],['#_of water points in TLS/CFS]]*500&gt;WWWW[[#This Row],[Total PoP ]],WWWW[[#This Row],[Total PoP ]],WWWW[[#This Row],['#_of water points in TLS/CFS]]*500)</f>
        <v>0</v>
      </c>
      <c r="CN193" s="424">
        <f>IF(WWWW[[#This Row],['#_of water points in THF]]*500&gt;WWWW[[#This Row],[Total PoP ]],WWWW[[#This Row],[Total PoP ]],WWWW[[#This Row],['#_of water points in THF]]*500)</f>
        <v>0</v>
      </c>
      <c r="CO193"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3"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3" s="733">
        <f>IF(WWWW[[#This Row],[Location Type 1]]="Village",WWWW[[#This Row],[Access to safe drinking water for Village]],WWWW[[#This Row],[Access to safe drinking water for Camp]])</f>
        <v>1</v>
      </c>
      <c r="CR193" s="731">
        <f>WWWW[[#This Row],[%Equitable and continuous access to sufficient quantity of safe drinking water]]*WWWW[[#This Row],[Total PoP ]]</f>
        <v>250</v>
      </c>
      <c r="CS193" s="733">
        <f>IF((WWWW[[#This Row],['#_Constructed/Existing protected/fenced ponds]]*250)/WWWW[[#This Row],[Total PoP ]]&gt;1,1,(WWWW[[#This Row],['#_Constructed/Existing protected/fenced ponds]]*250)/WWWW[[#This Row],[Total PoP ]])</f>
        <v>0</v>
      </c>
      <c r="CT193" s="731">
        <f>WWWW[[#This Row],[% Access to unimproved water points]]*WWWW[[#This Row],[Total PoP ]]</f>
        <v>0</v>
      </c>
      <c r="CU193"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3"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193" s="731">
        <f>WWWW[[#This Row],[HRP1]]/500</f>
        <v>0.5</v>
      </c>
      <c r="CX193" s="736">
        <f>1-WWWW[[#This Row],[% Equitable and continuous access to sufficient quantity of domestic water]]</f>
        <v>0</v>
      </c>
      <c r="CY193" s="731">
        <f>WWWW[[#This Row],[%equitable and continuous access to sufficient quantity of safe drinking and domestic water''s GAP]]*WWWW[[#This Row],[Total PoP ]]</f>
        <v>0</v>
      </c>
      <c r="CZ193" s="734">
        <f>IF(WWWW[[#This Row],[Total required water points]]-WWWW[[#This Row],['#Water points coverage]]&lt;0,0,WWWW[[#This Row],[Total required water points]]-WWWW[[#This Row],['#Water points coverage]])</f>
        <v>0.5</v>
      </c>
      <c r="DA193" s="734">
        <f>ROUND(IF(WWWW[[#This Row],[Total PoP ]]&lt;500,1,WWWW[[#This Row],[Total PoP ]]/500),0)</f>
        <v>1</v>
      </c>
      <c r="DB193" s="734">
        <f>(WWWW[[#This Row],['#_Constructed latrines_by_WASHAgencies]]+WWWW[[#This Row],['#_Non Cluster partner latrines]])-WWWW[[#This Row],['#_Non-functional latrines]]</f>
        <v>18</v>
      </c>
      <c r="DC193" s="631">
        <f>WWWW[[#This Row],[HRP2]]/WWWW[[#This Row],[Total PoP ]]</f>
        <v>1</v>
      </c>
      <c r="DD193"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v>
      </c>
      <c r="DE193"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3"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3" s="424">
        <f>IF(WWWW[[#This Row],['# of functional latrines in THF supported by WASH partners during the reporting period2]]="",0,WWWW[[#This Row],['# of functional latrines in THF supported by WASH partners during the reporting period2]]*50)</f>
        <v>0</v>
      </c>
      <c r="DH193" s="734">
        <f>ROUND(IF(WWWW[[#This Row],[Location Type 1]]="camp",WWWW[[#This Row],[Total PoP ]]/20,IF(WWWW[[#This Row],[Location Type 1]]="Temporary Location",WWWW[[#This Row],[Total PoP ]]/50,(WWWW[[#This Row],[Total PoP ]]/6))),0)</f>
        <v>13</v>
      </c>
      <c r="DI193" s="734">
        <f>IF(WWWW[[#This Row],[Total required Latrines]]-(WWWW[[#This Row],['#_Constructed latrines_by_WASHAgencies]]+WWWW[[#This Row],['#_Non Cluster partner latrines]])&lt;0,0,WWWW[[#This Row],[Total required Latrines]]-(WWWW[[#This Row],['#_Constructed latrines_by_WASHAgencies]]+WWWW[[#This Row],['#_Non Cluster partner latrines]]))</f>
        <v>0</v>
      </c>
      <c r="DJ193" s="736">
        <f>1-WWWW[[#This Row],[% people access to functioning Latrine]]</f>
        <v>0</v>
      </c>
      <c r="DK193" s="735">
        <f>IF(OR(WWWW[[#This Row],['#_Non-functional latrines]]="",WWWW[[#This Row],['#_Non-functional latrines]]=0),0,WWWW[[#This Row],['#_Non-functional latrines]]/(WWWW[[#This Row],['#_Constructed latrines_by_WASHAgencies]]+WWWW[[#This Row],['#_Non Cluster partner latrines]]))</f>
        <v>0</v>
      </c>
      <c r="DL193" s="731">
        <f>IF(500*(WWWW[[#This Row],['#_male hygiene promoters]]+WWWW[[#This Row],['#_female hygiene promoters]])&gt;WWWW[[#This Row],[Total PoP ]],WWWW[[#This Row],[Total PoP ]],500*(WWWW[[#This Row],['#_male hygiene promoters]]+WWWW[[#This Row],['#_female hygiene promoters]]))</f>
        <v>250</v>
      </c>
      <c r="DM193"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193"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93" s="734">
        <f>IF(WWWW[[#This Row],['# People with access to soap]]&gt;WWWW[[#This Row],['# People with access to Sanity Pads]],WWWW[[#This Row],['# People with access to soap]],WWWW[[#This Row],['# People with access to Sanity Pads]])</f>
        <v>250</v>
      </c>
      <c r="DP193" s="734">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193" s="736">
        <f>IF(WWWW[[#This Row],[HRP3]]/WWWW[[#This Row],[Total PoP ]]&gt;1,1,WWWW[[#This Row],[HRP3]]/WWWW[[#This Row],[Total PoP ]])</f>
        <v>1</v>
      </c>
      <c r="DR193" s="735">
        <f>1-WWWW[[#This Row],[Hygiene Coverage%]]</f>
        <v>0</v>
      </c>
      <c r="DS193" s="733">
        <f>WWWW[[#This Row],['# people reached by regular dedicated hygiene promotion_5]]/WWWW[[#This Row],[Total PoP ]]</f>
        <v>1</v>
      </c>
      <c r="DT193"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3"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3" s="734">
        <f>WWWW[[#This Row],['#_Constructed/Existing hand washing stations]]-WWWW[[#This Row],['#_Non-Functional_hand_washing_stations]]</f>
        <v>3</v>
      </c>
      <c r="DW193" s="731">
        <f>IF(WWWW[[#This Row],['# Functional hand washing stations during reporting period]]*20&gt;WWWW[[#This Row],[Total HH]],WWWW[[#This Row],[Total HH]],WWWW[[#This Row],['# Functional hand washing stations during reporting period]]*20)</f>
        <v>54</v>
      </c>
      <c r="DX193" s="731">
        <f>IF(WWWW[[#This Row],[Is sufficient soap available for TLS? (Yes/No)]]="yes",WWWW[[#This Row],['#_Constructed/Existing hand washing stations at TLS/CFS/THF]],0)</f>
        <v>0</v>
      </c>
      <c r="DY193" s="428">
        <f>IF(WWWW[[#This Row],['# Functional hand washing stations during reporting period]]*100&gt;WWWW[[#This Row],[Total PoP ]],WWWW[[#This Row],[Total PoP ]],WWWW[[#This Row],['# Functional hand washing stations during reporting period]]*100)</f>
        <v>250</v>
      </c>
      <c r="DZ193" s="428" t="str">
        <f>IF(OR(WWWW[[#This Row],['#_students at TLS_CFS]]="",WWWW[[#This Row],['#_students at TLS_CFS]]=0),"No","Yes")</f>
        <v>No</v>
      </c>
      <c r="EA19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3" s="727" t="str">
        <f>VLOOKUP(WWWW[[#This Row],[Site Name]],SiteDB6[[Site Name]:[CCCM Management]],6,FALSE)</f>
        <v>Yes</v>
      </c>
      <c r="EF193" s="727" t="str">
        <f>VLOOKUP(WWWW[[#This Row],[Site Name]],SiteDB6[[Site Name]:[CCCM Focal Agency]],7,FALSE)</f>
        <v>KBC-NSS</v>
      </c>
      <c r="EG193" s="727" t="str">
        <f>VLOOKUP(WWWW[[#This Row],[Site Name]],SiteDB6[[Site Name]:[Location Type 1]],9,FALSE)</f>
        <v>Camp</v>
      </c>
      <c r="EH193" s="727" t="str">
        <f>VLOOKUP(WWWW[[#This Row],[Site Name]],SiteDB6[[Site Name]:[Type of Accommodation]],10,FALSE)</f>
        <v>Camp</v>
      </c>
      <c r="EI193" s="727" t="str">
        <f>VLOOKUP(WWWW[[#This Row],[Site Name]],SiteDB6[[Site Name]:[Ethnic or GCA/NGCA]],11,FALSE)</f>
        <v>GCA</v>
      </c>
      <c r="EJ193" s="727">
        <f>VLOOKUP(WWWW[[#This Row],[Site Name]],SiteDB6[[Site Name]:[Lat]],12,FALSE)</f>
        <v>23.694130000000001</v>
      </c>
      <c r="EK193" s="727">
        <f>VLOOKUP(WWWW[[#This Row],[Site Name]],SiteDB6[[Site Name]:[Long]],13,FALSE)</f>
        <v>97.818979999999996</v>
      </c>
      <c r="EL193" s="727" t="str">
        <f>VLOOKUP(WWWW[[#This Row],[Site Name]],SiteDB6[[Site Name]:[Pcode]],3,FALSE)</f>
        <v>MMR015CMP007</v>
      </c>
      <c r="EM193" s="732" t="str">
        <f t="shared" si="2"/>
        <v>Covered</v>
      </c>
      <c r="EN193" s="732"/>
      <c r="EO193" s="727">
        <f>VLOOKUP(WWWW[[#This Row],[Site Name]],SiteDB6[[Site Name]:[Pop
(Kachin/Shan-CCCM as of July 2021)]],16,FALSE)</f>
        <v>54</v>
      </c>
      <c r="EP193" s="727">
        <f>VLOOKUP(WWWW[[#This Row],[Site Name]],SiteDB6[[Site Name]:[Pop
(Kachin/Shan-CCCM as of July 2021)]],17,FALSE)</f>
        <v>279</v>
      </c>
    </row>
    <row r="194" spans="1:146" hidden="1">
      <c r="A194" s="725" t="s">
        <v>2763</v>
      </c>
      <c r="B194" s="725" t="s">
        <v>192</v>
      </c>
      <c r="C194" s="726" t="s">
        <v>192</v>
      </c>
      <c r="D194" s="726" t="s">
        <v>2673</v>
      </c>
      <c r="E194" s="726" t="s">
        <v>515</v>
      </c>
      <c r="F194" s="726" t="s">
        <v>519</v>
      </c>
      <c r="G194" s="591" t="str">
        <f>VLOOKUP(WWWW[[#This Row],[Site Name]],SiteDB6[[Site Name]:[Location Type]],8,FALSE)</f>
        <v>Camp</v>
      </c>
      <c r="H194" s="726" t="s">
        <v>1618</v>
      </c>
      <c r="I194" s="728">
        <v>35</v>
      </c>
      <c r="J194" s="728">
        <v>158</v>
      </c>
      <c r="K194" s="729" t="s">
        <v>2767</v>
      </c>
      <c r="L194" s="730" t="s">
        <v>2768</v>
      </c>
      <c r="M194" s="728"/>
      <c r="N194" s="728">
        <v>1</v>
      </c>
      <c r="O194" s="728"/>
      <c r="P194" s="728"/>
      <c r="Q194" s="731" t="s">
        <v>41</v>
      </c>
      <c r="R194" s="728">
        <v>5</v>
      </c>
      <c r="S194" s="728">
        <v>4</v>
      </c>
      <c r="T194" s="448"/>
      <c r="U194" s="728"/>
      <c r="V194" s="728"/>
      <c r="W194" s="728">
        <v>2</v>
      </c>
      <c r="X194" s="728"/>
      <c r="Y194" s="728"/>
      <c r="Z194" s="728"/>
      <c r="AA194" s="728"/>
      <c r="AB194" s="728"/>
      <c r="AC194" s="728"/>
      <c r="AD194" s="728"/>
      <c r="AE194" s="728"/>
      <c r="AF194" s="728"/>
      <c r="AG194" s="728"/>
      <c r="AH194" s="728">
        <v>1</v>
      </c>
      <c r="AI194" s="728"/>
      <c r="AJ194" s="728"/>
      <c r="AK194" s="728"/>
      <c r="AL194" s="728"/>
      <c r="AM194" s="728"/>
      <c r="AN194" s="728"/>
      <c r="AO194" s="728"/>
      <c r="AP194" s="732"/>
      <c r="AQ194" s="728">
        <v>8</v>
      </c>
      <c r="AR194" s="728"/>
      <c r="AS194" s="733"/>
      <c r="AT194" s="728"/>
      <c r="AU194" s="728"/>
      <c r="AV194" s="728"/>
      <c r="AW194" s="728"/>
      <c r="AX194" s="728"/>
      <c r="AY194" s="727" t="s">
        <v>41</v>
      </c>
      <c r="AZ194" s="732" t="s">
        <v>136</v>
      </c>
      <c r="BA194" s="728"/>
      <c r="BB194" s="728"/>
      <c r="BC194" s="728"/>
      <c r="BD194" s="448"/>
      <c r="BE194" s="448"/>
      <c r="BF194" s="727"/>
      <c r="BG194" s="728">
        <v>3</v>
      </c>
      <c r="BH194" s="728"/>
      <c r="BI194" s="728"/>
      <c r="BJ194" s="728">
        <v>2</v>
      </c>
      <c r="BK194" s="728"/>
      <c r="BL194" s="728"/>
      <c r="BM194" s="728">
        <v>2</v>
      </c>
      <c r="BN194" s="728">
        <v>10</v>
      </c>
      <c r="BO194" s="728">
        <v>18</v>
      </c>
      <c r="BP194" s="727"/>
      <c r="BQ194" s="734"/>
      <c r="BR194" s="733"/>
      <c r="BS194" s="727"/>
      <c r="BT194" s="423"/>
      <c r="BU194" s="423"/>
      <c r="BV194" s="425"/>
      <c r="BW194" s="423"/>
      <c r="BX194" s="448"/>
      <c r="BY194" s="448"/>
      <c r="BZ194" s="448"/>
      <c r="CA194" s="448"/>
      <c r="CB194" s="448"/>
      <c r="CC194" s="777"/>
      <c r="CD194" s="448"/>
      <c r="CE194" s="735" t="str">
        <f>IFERROR(WWWW[[#This Row],['#_Water sources passed]]/WWWW[[#This Row],['#_Water sources tested for fecal coliform ]],"no test")</f>
        <v>no test</v>
      </c>
      <c r="CF194" s="733" t="str">
        <f>IFERROR(WWWW[[#This Row],['#_Household passed]]/WWWW[[#This Row],['#_Household water samples tested for fecal coliform]],"no test")</f>
        <v>no test</v>
      </c>
      <c r="CG194" s="734" t="str">
        <f>IF(AND(WWWW[[#This Row],[% of water sources passed]]="no test",WWWW[[#This Row],[% Household passed]]="no test"),"No Test","Tested")</f>
        <v>No Test</v>
      </c>
      <c r="CH194" s="734">
        <f>WWWW[[#This Row],['#_Constructed/existing protected hand dug well]]-WWWW[[#This Row],['#_Non-functional protected hand dug well]]</f>
        <v>0</v>
      </c>
      <c r="CI194" s="734">
        <f>(WWWW[[#This Row],['#_Constructed/Existing tube wells/boreholes/handpumps_WASH_agency]]+WWWW[[#This Row],['#_Non-Cluster partner water tube-wells/boreholes/handpumps]])-WWWW[[#This Row],['#_Non-functional tube wells/boreholes/handpumps]]</f>
        <v>2</v>
      </c>
      <c r="CJ194" s="734">
        <f>WWWW[[#This Row],['#_Constructed/Existingwater storage tank with gravity fed reticulation system]]-WWWW[[#This Row],['#_Non-functional storage tank gravity fed reticulation system]]</f>
        <v>0</v>
      </c>
      <c r="CK194" s="734">
        <f>(WWWW[[#This Row],['#_Water_Liters_supplied_by_Water boating or water trucking]]/90)/15</f>
        <v>0</v>
      </c>
      <c r="CL194" s="734">
        <f>WWWW[[#This Row],['#_Water_Liters_from_Constructed/Existing water distribution system from river or natural spring]]/90/15</f>
        <v>0</v>
      </c>
      <c r="CM194" s="424">
        <f>IF(WWWW[[#This Row],['#_of water points in TLS/CFS]]*500&gt;WWWW[[#This Row],[Total PoP ]],WWWW[[#This Row],[Total PoP ]],WWWW[[#This Row],['#_of water points in TLS/CFS]]*500)</f>
        <v>0</v>
      </c>
      <c r="CN194" s="424">
        <f>IF(WWWW[[#This Row],['#_of water points in THF]]*500&gt;WWWW[[#This Row],[Total PoP ]],WWWW[[#This Row],[Total PoP ]],WWWW[[#This Row],['#_of water points in THF]]*500)</f>
        <v>0</v>
      </c>
      <c r="CO194"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4"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4" s="733">
        <f>IF(WWWW[[#This Row],[Location Type 1]]="Village",WWWW[[#This Row],[Access to safe drinking water for Village]],WWWW[[#This Row],[Access to safe drinking water for Camp]])</f>
        <v>1</v>
      </c>
      <c r="CR194" s="731">
        <f>WWWW[[#This Row],[%Equitable and continuous access to sufficient quantity of safe drinking water]]*WWWW[[#This Row],[Total PoP ]]</f>
        <v>158</v>
      </c>
      <c r="CS194" s="733">
        <f>IF((WWWW[[#This Row],['#_Constructed/Existing protected/fenced ponds]]*250)/WWWW[[#This Row],[Total PoP ]]&gt;1,1,(WWWW[[#This Row],['#_Constructed/Existing protected/fenced ponds]]*250)/WWWW[[#This Row],[Total PoP ]])</f>
        <v>0</v>
      </c>
      <c r="CT194" s="731">
        <f>WWWW[[#This Row],[% Access to unimproved water points]]*WWWW[[#This Row],[Total PoP ]]</f>
        <v>0</v>
      </c>
      <c r="CU194"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4"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158</v>
      </c>
      <c r="CW194" s="731">
        <f>WWWW[[#This Row],[HRP1]]/500</f>
        <v>0.316</v>
      </c>
      <c r="CX194" s="736">
        <f>1-WWWW[[#This Row],[% Equitable and continuous access to sufficient quantity of domestic water]]</f>
        <v>0</v>
      </c>
      <c r="CY194" s="731">
        <f>WWWW[[#This Row],[%equitable and continuous access to sufficient quantity of safe drinking and domestic water''s GAP]]*WWWW[[#This Row],[Total PoP ]]</f>
        <v>0</v>
      </c>
      <c r="CZ194" s="734">
        <f>IF(WWWW[[#This Row],[Total required water points]]-WWWW[[#This Row],['#Water points coverage]]&lt;0,0,WWWW[[#This Row],[Total required water points]]-WWWW[[#This Row],['#Water points coverage]])</f>
        <v>0.68399999999999994</v>
      </c>
      <c r="DA194" s="734">
        <f>ROUND(IF(WWWW[[#This Row],[Total PoP ]]&lt;500,1,WWWW[[#This Row],[Total PoP ]]/500),0)</f>
        <v>1</v>
      </c>
      <c r="DB194" s="734">
        <f>(WWWW[[#This Row],['#_Constructed latrines_by_WASHAgencies]]+WWWW[[#This Row],['#_Non Cluster partner latrines]])-WWWW[[#This Row],['#_Non-functional latrines]]</f>
        <v>8</v>
      </c>
      <c r="DC194" s="631">
        <f>WWWW[[#This Row],[HRP2]]/WWWW[[#This Row],[Total PoP ]]</f>
        <v>1</v>
      </c>
      <c r="DD194"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158</v>
      </c>
      <c r="DE194"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4"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4" s="424">
        <f>IF(WWWW[[#This Row],['# of functional latrines in THF supported by WASH partners during the reporting period2]]="",0,WWWW[[#This Row],['# of functional latrines in THF supported by WASH partners during the reporting period2]]*50)</f>
        <v>0</v>
      </c>
      <c r="DH194" s="734">
        <f>ROUND(IF(WWWW[[#This Row],[Location Type 1]]="camp",WWWW[[#This Row],[Total PoP ]]/20,IF(WWWW[[#This Row],[Location Type 1]]="Temporary Location",WWWW[[#This Row],[Total PoP ]]/50,(WWWW[[#This Row],[Total PoP ]]/6))),0)</f>
        <v>8</v>
      </c>
      <c r="DI194" s="734">
        <f>IF(WWWW[[#This Row],[Total required Latrines]]-(WWWW[[#This Row],['#_Constructed latrines_by_WASHAgencies]]+WWWW[[#This Row],['#_Non Cluster partner latrines]])&lt;0,0,WWWW[[#This Row],[Total required Latrines]]-(WWWW[[#This Row],['#_Constructed latrines_by_WASHAgencies]]+WWWW[[#This Row],['#_Non Cluster partner latrines]]))</f>
        <v>0</v>
      </c>
      <c r="DJ194" s="736">
        <f>1-WWWW[[#This Row],[% people access to functioning Latrine]]</f>
        <v>0</v>
      </c>
      <c r="DK194" s="735">
        <f>IF(OR(WWWW[[#This Row],['#_Non-functional latrines]]="",WWWW[[#This Row],['#_Non-functional latrines]]=0),0,WWWW[[#This Row],['#_Non-functional latrines]]/(WWWW[[#This Row],['#_Constructed latrines_by_WASHAgencies]]+WWWW[[#This Row],['#_Non Cluster partner latrines]]))</f>
        <v>0</v>
      </c>
      <c r="DL194" s="731">
        <f>IF(500*(WWWW[[#This Row],['#_male hygiene promoters]]+WWWW[[#This Row],['#_female hygiene promoters]])&gt;WWWW[[#This Row],[Total PoP ]],WWWW[[#This Row],[Total PoP ]],500*(WWWW[[#This Row],['#_male hygiene promoters]]+WWWW[[#This Row],['#_female hygiene promoters]]))</f>
        <v>158</v>
      </c>
      <c r="DM194"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94"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94" s="734">
        <f>IF(WWWW[[#This Row],['# People with access to soap]]&gt;WWWW[[#This Row],['# People with access to Sanity Pads]],WWWW[[#This Row],['# People with access to soap]],WWWW[[#This Row],['# People with access to Sanity Pads]])</f>
        <v>50</v>
      </c>
      <c r="DP194" s="734">
        <f>IF(WWWW[[#This Row],['# people reached by regular dedicated hygiene promotion_5]]&gt;WWWW[[#This Row],['# People received regular supply of hygiene items_6]],WWWW[[#This Row],['# people reached by regular dedicated hygiene promotion_5]],WWWW[[#This Row],['# People received regular supply of hygiene items_6]])</f>
        <v>158</v>
      </c>
      <c r="DQ194" s="736">
        <f>IF(WWWW[[#This Row],[HRP3]]/WWWW[[#This Row],[Total PoP ]]&gt;1,1,WWWW[[#This Row],[HRP3]]/WWWW[[#This Row],[Total PoP ]])</f>
        <v>1</v>
      </c>
      <c r="DR194" s="735">
        <f>1-WWWW[[#This Row],[Hygiene Coverage%]]</f>
        <v>0</v>
      </c>
      <c r="DS194" s="733">
        <f>WWWW[[#This Row],['# people reached by regular dedicated hygiene promotion_5]]/WWWW[[#This Row],[Total PoP ]]</f>
        <v>1</v>
      </c>
      <c r="DT194"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4"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0.51428571428571423</v>
      </c>
      <c r="DV194" s="734">
        <f>WWWW[[#This Row],['#_Constructed/Existing hand washing stations]]-WWWW[[#This Row],['#_Non-Functional_hand_washing_stations]]</f>
        <v>3</v>
      </c>
      <c r="DW194" s="731">
        <f>IF(WWWW[[#This Row],['# Functional hand washing stations during reporting period]]*20&gt;WWWW[[#This Row],[Total HH]],WWWW[[#This Row],[Total HH]],WWWW[[#This Row],['# Functional hand washing stations during reporting period]]*20)</f>
        <v>35</v>
      </c>
      <c r="DX194" s="731">
        <f>IF(WWWW[[#This Row],[Is sufficient soap available for TLS? (Yes/No)]]="yes",WWWW[[#This Row],['#_Constructed/Existing hand washing stations at TLS/CFS/THF]],0)</f>
        <v>0</v>
      </c>
      <c r="DY194" s="428">
        <f>IF(WWWW[[#This Row],['# Functional hand washing stations during reporting period]]*100&gt;WWWW[[#This Row],[Total PoP ]],WWWW[[#This Row],[Total PoP ]],WWWW[[#This Row],['# Functional hand washing stations during reporting period]]*100)</f>
        <v>158</v>
      </c>
      <c r="DZ194" s="428" t="str">
        <f>IF(OR(WWWW[[#This Row],['#_students at TLS_CFS]]="",WWWW[[#This Row],['#_students at TLS_CFS]]=0),"No","Yes")</f>
        <v>No</v>
      </c>
      <c r="EA19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4" s="727" t="str">
        <f>VLOOKUP(WWWW[[#This Row],[Site Name]],SiteDB6[[Site Name]:[CCCM Management]],6,FALSE)</f>
        <v>Yes</v>
      </c>
      <c r="EF194" s="727" t="str">
        <f>VLOOKUP(WWWW[[#This Row],[Site Name]],SiteDB6[[Site Name]:[CCCM Focal Agency]],7,FALSE)</f>
        <v>KMSS-LSO</v>
      </c>
      <c r="EG194" s="727" t="str">
        <f>VLOOKUP(WWWW[[#This Row],[Site Name]],SiteDB6[[Site Name]:[Location Type 1]],9,FALSE)</f>
        <v>Camp</v>
      </c>
      <c r="EH194" s="727" t="str">
        <f>VLOOKUP(WWWW[[#This Row],[Site Name]],SiteDB6[[Site Name]:[Type of Accommodation]],10,FALSE)</f>
        <v>Camp</v>
      </c>
      <c r="EI194" s="727" t="str">
        <f>VLOOKUP(WWWW[[#This Row],[Site Name]],SiteDB6[[Site Name]:[Ethnic or GCA/NGCA]],11,FALSE)</f>
        <v>GCA</v>
      </c>
      <c r="EJ194" s="727">
        <f>VLOOKUP(WWWW[[#This Row],[Site Name]],SiteDB6[[Site Name]:[Lat]],12,FALSE)</f>
        <v>23.682887999999998</v>
      </c>
      <c r="EK194" s="727">
        <f>VLOOKUP(WWWW[[#This Row],[Site Name]],SiteDB6[[Site Name]:[Long]],13,FALSE)</f>
        <v>97.810101000000003</v>
      </c>
      <c r="EL194" s="727" t="str">
        <f>VLOOKUP(WWWW[[#This Row],[Site Name]],SiteDB6[[Site Name]:[Pcode]],3,FALSE)</f>
        <v>MMR015CMP043</v>
      </c>
      <c r="EM194" s="732" t="str">
        <f t="shared" si="2"/>
        <v>Covered</v>
      </c>
      <c r="EN194" s="732"/>
      <c r="EO194" s="727">
        <f>VLOOKUP(WWWW[[#This Row],[Site Name]],SiteDB6[[Site Name]:[Pop
(Kachin/Shan-CCCM as of July 2021)]],16,FALSE)</f>
        <v>34</v>
      </c>
      <c r="EP194" s="727">
        <f>VLOOKUP(WWWW[[#This Row],[Site Name]],SiteDB6[[Site Name]:[Pop
(Kachin/Shan-CCCM as of July 2021)]],17,FALSE)</f>
        <v>144</v>
      </c>
    </row>
    <row r="195" spans="1:146" hidden="1">
      <c r="A195" s="725" t="s">
        <v>2763</v>
      </c>
      <c r="B195" s="725" t="s">
        <v>192</v>
      </c>
      <c r="C195" s="726" t="s">
        <v>192</v>
      </c>
      <c r="D195" s="726" t="s">
        <v>2673</v>
      </c>
      <c r="E195" s="726" t="s">
        <v>515</v>
      </c>
      <c r="F195" s="726" t="s">
        <v>534</v>
      </c>
      <c r="G195" s="591" t="str">
        <f>VLOOKUP(WWWW[[#This Row],[Site Name]],SiteDB6[[Site Name]:[Location Type]],8,FALSE)</f>
        <v>Camp</v>
      </c>
      <c r="H195" s="726" t="s">
        <v>535</v>
      </c>
      <c r="I195" s="728">
        <v>40</v>
      </c>
      <c r="J195" s="728">
        <v>206</v>
      </c>
      <c r="K195" s="588" t="s">
        <v>2767</v>
      </c>
      <c r="L195" s="589" t="s">
        <v>2768</v>
      </c>
      <c r="M195" s="728"/>
      <c r="N195" s="728"/>
      <c r="O195" s="728">
        <v>1</v>
      </c>
      <c r="P195" s="728"/>
      <c r="Q195" s="731" t="s">
        <v>41</v>
      </c>
      <c r="R195" s="728"/>
      <c r="S195" s="728">
        <v>5</v>
      </c>
      <c r="T195" s="448">
        <v>4</v>
      </c>
      <c r="U195" s="728"/>
      <c r="V195" s="728"/>
      <c r="W195" s="728">
        <v>1</v>
      </c>
      <c r="X195" s="728"/>
      <c r="Y195" s="728"/>
      <c r="Z195" s="728"/>
      <c r="AA195" s="728"/>
      <c r="AB195" s="728"/>
      <c r="AC195" s="728"/>
      <c r="AD195" s="728"/>
      <c r="AE195" s="728"/>
      <c r="AF195" s="728"/>
      <c r="AG195" s="728"/>
      <c r="AH195" s="728"/>
      <c r="AI195" s="728"/>
      <c r="AJ195" s="728"/>
      <c r="AK195" s="728"/>
      <c r="AL195" s="728"/>
      <c r="AM195" s="728"/>
      <c r="AN195" s="728"/>
      <c r="AO195" s="728"/>
      <c r="AP195" s="732"/>
      <c r="AQ195" s="728"/>
      <c r="AR195" s="728">
        <v>10</v>
      </c>
      <c r="AS195" s="733"/>
      <c r="AT195" s="728"/>
      <c r="AU195" s="728"/>
      <c r="AV195" s="728"/>
      <c r="AW195" s="728"/>
      <c r="AX195" s="728"/>
      <c r="AY195" s="727" t="s">
        <v>41</v>
      </c>
      <c r="AZ195" s="732" t="s">
        <v>137</v>
      </c>
      <c r="BA195" s="728"/>
      <c r="BB195" s="728"/>
      <c r="BC195" s="728"/>
      <c r="BD195" s="448"/>
      <c r="BE195" s="448"/>
      <c r="BF195" s="727"/>
      <c r="BG195" s="728">
        <v>1</v>
      </c>
      <c r="BH195" s="728"/>
      <c r="BI195" s="728"/>
      <c r="BJ195" s="728">
        <v>3</v>
      </c>
      <c r="BK195" s="728"/>
      <c r="BL195" s="728"/>
      <c r="BM195" s="728">
        <v>1</v>
      </c>
      <c r="BN195" s="728">
        <v>41</v>
      </c>
      <c r="BO195" s="728">
        <v>85</v>
      </c>
      <c r="BP195" s="727"/>
      <c r="BQ195" s="734"/>
      <c r="BR195" s="733"/>
      <c r="BS195" s="727"/>
      <c r="BT195" s="423"/>
      <c r="BU195" s="423"/>
      <c r="BV195" s="425"/>
      <c r="BW195" s="423"/>
      <c r="BX195" s="448"/>
      <c r="BY195" s="448"/>
      <c r="BZ195" s="448"/>
      <c r="CA195" s="448"/>
      <c r="CB195" s="448"/>
      <c r="CC195" s="777"/>
      <c r="CD195" s="448"/>
      <c r="CE195" s="735" t="str">
        <f>IFERROR(WWWW[[#This Row],['#_Water sources passed]]/WWWW[[#This Row],['#_Water sources tested for fecal coliform ]],"no test")</f>
        <v>no test</v>
      </c>
      <c r="CF195" s="733" t="str">
        <f>IFERROR(WWWW[[#This Row],['#_Household passed]]/WWWW[[#This Row],['#_Household water samples tested for fecal coliform]],"no test")</f>
        <v>no test</v>
      </c>
      <c r="CG195" s="734" t="str">
        <f>IF(AND(WWWW[[#This Row],[% of water sources passed]]="no test",WWWW[[#This Row],[% Household passed]]="no test"),"No Test","Tested")</f>
        <v>No Test</v>
      </c>
      <c r="CH195" s="734">
        <f>WWWW[[#This Row],['#_Constructed/existing protected hand dug well]]-WWWW[[#This Row],['#_Non-functional protected hand dug well]]</f>
        <v>4</v>
      </c>
      <c r="CI195" s="734">
        <f>(WWWW[[#This Row],['#_Constructed/Existing tube wells/boreholes/handpumps_WASH_agency]]+WWWW[[#This Row],['#_Non-Cluster partner water tube-wells/boreholes/handpumps]])-WWWW[[#This Row],['#_Non-functional tube wells/boreholes/handpumps]]</f>
        <v>1</v>
      </c>
      <c r="CJ195" s="734">
        <f>WWWW[[#This Row],['#_Constructed/Existingwater storage tank with gravity fed reticulation system]]-WWWW[[#This Row],['#_Non-functional storage tank gravity fed reticulation system]]</f>
        <v>0</v>
      </c>
      <c r="CK195" s="734">
        <f>(WWWW[[#This Row],['#_Water_Liters_supplied_by_Water boating or water trucking]]/90)/15</f>
        <v>0</v>
      </c>
      <c r="CL195" s="734">
        <f>WWWW[[#This Row],['#_Water_Liters_from_Constructed/Existing water distribution system from river or natural spring]]/90/15</f>
        <v>0</v>
      </c>
      <c r="CM195" s="424">
        <f>IF(WWWW[[#This Row],['#_of water points in TLS/CFS]]*500&gt;WWWW[[#This Row],[Total PoP ]],WWWW[[#This Row],[Total PoP ]],WWWW[[#This Row],['#_of water points in TLS/CFS]]*500)</f>
        <v>0</v>
      </c>
      <c r="CN195" s="424">
        <f>IF(WWWW[[#This Row],['#_of water points in THF]]*500&gt;WWWW[[#This Row],[Total PoP ]],WWWW[[#This Row],[Total PoP ]],WWWW[[#This Row],['#_of water points in THF]]*500)</f>
        <v>0</v>
      </c>
      <c r="CO195"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5"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5" s="733">
        <f>IF(WWWW[[#This Row],[Location Type 1]]="Village",WWWW[[#This Row],[Access to safe drinking water for Village]],WWWW[[#This Row],[Access to safe drinking water for Camp]])</f>
        <v>1</v>
      </c>
      <c r="CR195" s="731">
        <f>WWWW[[#This Row],[%Equitable and continuous access to sufficient quantity of safe drinking water]]*WWWW[[#This Row],[Total PoP ]]</f>
        <v>206</v>
      </c>
      <c r="CS195" s="733">
        <f>IF((WWWW[[#This Row],['#_Constructed/Existing protected/fenced ponds]]*250)/WWWW[[#This Row],[Total PoP ]]&gt;1,1,(WWWW[[#This Row],['#_Constructed/Existing protected/fenced ponds]]*250)/WWWW[[#This Row],[Total PoP ]])</f>
        <v>0</v>
      </c>
      <c r="CT195" s="731">
        <f>WWWW[[#This Row],[% Access to unimproved water points]]*WWWW[[#This Row],[Total PoP ]]</f>
        <v>0</v>
      </c>
      <c r="CU195"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5"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W195" s="731">
        <f>WWWW[[#This Row],[HRP1]]/500</f>
        <v>0.41199999999999998</v>
      </c>
      <c r="CX195" s="736">
        <f>1-WWWW[[#This Row],[% Equitable and continuous access to sufficient quantity of domestic water]]</f>
        <v>0</v>
      </c>
      <c r="CY195" s="731">
        <f>WWWW[[#This Row],[%equitable and continuous access to sufficient quantity of safe drinking and domestic water''s GAP]]*WWWW[[#This Row],[Total PoP ]]</f>
        <v>0</v>
      </c>
      <c r="CZ195" s="734">
        <f>IF(WWWW[[#This Row],[Total required water points]]-WWWW[[#This Row],['#Water points coverage]]&lt;0,0,WWWW[[#This Row],[Total required water points]]-WWWW[[#This Row],['#Water points coverage]])</f>
        <v>0.58800000000000008</v>
      </c>
      <c r="DA195" s="734">
        <f>ROUND(IF(WWWW[[#This Row],[Total PoP ]]&lt;500,1,WWWW[[#This Row],[Total PoP ]]/500),0)</f>
        <v>1</v>
      </c>
      <c r="DB195" s="734">
        <f>(WWWW[[#This Row],['#_Constructed latrines_by_WASHAgencies]]+WWWW[[#This Row],['#_Non Cluster partner latrines]])-WWWW[[#This Row],['#_Non-functional latrines]]</f>
        <v>10</v>
      </c>
      <c r="DC195" s="631">
        <f>WWWW[[#This Row],[HRP2]]/WWWW[[#This Row],[Total PoP ]]</f>
        <v>0.970873786407767</v>
      </c>
      <c r="DD195"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195"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5"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5" s="424">
        <f>IF(WWWW[[#This Row],['# of functional latrines in THF supported by WASH partners during the reporting period2]]="",0,WWWW[[#This Row],['# of functional latrines in THF supported by WASH partners during the reporting period2]]*50)</f>
        <v>0</v>
      </c>
      <c r="DH195" s="734">
        <f>ROUND(IF(WWWW[[#This Row],[Location Type 1]]="camp",WWWW[[#This Row],[Total PoP ]]/20,IF(WWWW[[#This Row],[Location Type 1]]="Temporary Location",WWWW[[#This Row],[Total PoP ]]/50,(WWWW[[#This Row],[Total PoP ]]/6))),0)</f>
        <v>10</v>
      </c>
      <c r="DI195" s="734">
        <f>IF(WWWW[[#This Row],[Total required Latrines]]-(WWWW[[#This Row],['#_Constructed latrines_by_WASHAgencies]]+WWWW[[#This Row],['#_Non Cluster partner latrines]])&lt;0,0,WWWW[[#This Row],[Total required Latrines]]-(WWWW[[#This Row],['#_Constructed latrines_by_WASHAgencies]]+WWWW[[#This Row],['#_Non Cluster partner latrines]]))</f>
        <v>0</v>
      </c>
      <c r="DJ195" s="736">
        <f>1-WWWW[[#This Row],[% people access to functioning Latrine]]</f>
        <v>2.9126213592232997E-2</v>
      </c>
      <c r="DK195" s="735">
        <f>IF(OR(WWWW[[#This Row],['#_Non-functional latrines]]="",WWWW[[#This Row],['#_Non-functional latrines]]=0),0,WWWW[[#This Row],['#_Non-functional latrines]]/(WWWW[[#This Row],['#_Constructed latrines_by_WASHAgencies]]+WWWW[[#This Row],['#_Non Cluster partner latrines]]))</f>
        <v>0</v>
      </c>
      <c r="DL195" s="731">
        <f>IF(500*(WWWW[[#This Row],['#_male hygiene promoters]]+WWWW[[#This Row],['#_female hygiene promoters]])&gt;WWWW[[#This Row],[Total PoP ]],WWWW[[#This Row],[Total PoP ]],500*(WWWW[[#This Row],['#_male hygiene promoters]]+WWWW[[#This Row],['#_female hygiene promoters]]))</f>
        <v>206</v>
      </c>
      <c r="DM195"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95"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95" s="734">
        <f>IF(WWWW[[#This Row],['# People with access to soap]]&gt;WWWW[[#This Row],['# People with access to Sanity Pads]],WWWW[[#This Row],['# People with access to soap]],WWWW[[#This Row],['# People with access to Sanity Pads]])</f>
        <v>205</v>
      </c>
      <c r="DP195" s="734">
        <f>IF(WWWW[[#This Row],['# people reached by regular dedicated hygiene promotion_5]]&gt;WWWW[[#This Row],['# People received regular supply of hygiene items_6]],WWWW[[#This Row],['# people reached by regular dedicated hygiene promotion_5]],WWWW[[#This Row],['# People received regular supply of hygiene items_6]])</f>
        <v>206</v>
      </c>
      <c r="DQ195" s="736">
        <f>IF(WWWW[[#This Row],[HRP3]]/WWWW[[#This Row],[Total PoP ]]&gt;1,1,WWWW[[#This Row],[HRP3]]/WWWW[[#This Row],[Total PoP ]])</f>
        <v>1</v>
      </c>
      <c r="DR195" s="735">
        <f>1-WWWW[[#This Row],[Hygiene Coverage%]]</f>
        <v>0</v>
      </c>
      <c r="DS195" s="733">
        <f>WWWW[[#This Row],['# people reached by regular dedicated hygiene promotion_5]]/WWWW[[#This Row],[Total PoP ]]</f>
        <v>1</v>
      </c>
      <c r="DT195"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5"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5" s="734">
        <f>WWWW[[#This Row],['#_Constructed/Existing hand washing stations]]-WWWW[[#This Row],['#_Non-Functional_hand_washing_stations]]</f>
        <v>1</v>
      </c>
      <c r="DW195" s="731">
        <f>IF(WWWW[[#This Row],['# Functional hand washing stations during reporting period]]*20&gt;WWWW[[#This Row],[Total HH]],WWWW[[#This Row],[Total HH]],WWWW[[#This Row],['# Functional hand washing stations during reporting period]]*20)</f>
        <v>20</v>
      </c>
      <c r="DX195" s="731">
        <f>IF(WWWW[[#This Row],[Is sufficient soap available for TLS? (Yes/No)]]="yes",WWWW[[#This Row],['#_Constructed/Existing hand washing stations at TLS/CFS/THF]],0)</f>
        <v>0</v>
      </c>
      <c r="DY195" s="428">
        <f>IF(WWWW[[#This Row],['# Functional hand washing stations during reporting period]]*100&gt;WWWW[[#This Row],[Total PoP ]],WWWW[[#This Row],[Total PoP ]],WWWW[[#This Row],['# Functional hand washing stations during reporting period]]*100)</f>
        <v>100</v>
      </c>
      <c r="DZ195" s="428" t="str">
        <f>IF(OR(WWWW[[#This Row],['#_students at TLS_CFS]]="",WWWW[[#This Row],['#_students at TLS_CFS]]=0),"No","Yes")</f>
        <v>No</v>
      </c>
      <c r="EA19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5" s="727" t="str">
        <f>VLOOKUP(WWWW[[#This Row],[Site Name]],SiteDB6[[Site Name]:[CCCM Management]],6,FALSE)</f>
        <v>Yes</v>
      </c>
      <c r="EF195" s="727" t="str">
        <f>VLOOKUP(WWWW[[#This Row],[Site Name]],SiteDB6[[Site Name]:[CCCM Focal Agency]],7,FALSE)</f>
        <v>KBC-NSS</v>
      </c>
      <c r="EG195" s="727" t="str">
        <f>VLOOKUP(WWWW[[#This Row],[Site Name]],SiteDB6[[Site Name]:[Location Type 1]],9,FALSE)</f>
        <v>Camp</v>
      </c>
      <c r="EH195" s="727" t="str">
        <f>VLOOKUP(WWWW[[#This Row],[Site Name]],SiteDB6[[Site Name]:[Type of Accommodation]],10,FALSE)</f>
        <v>Camp</v>
      </c>
      <c r="EI195" s="727" t="str">
        <f>VLOOKUP(WWWW[[#This Row],[Site Name]],SiteDB6[[Site Name]:[Ethnic or GCA/NGCA]],11,FALSE)</f>
        <v>GCA</v>
      </c>
      <c r="EJ195" s="727">
        <f>VLOOKUP(WWWW[[#This Row],[Site Name]],SiteDB6[[Site Name]:[Lat]],12,FALSE)</f>
        <v>23.354268999999999</v>
      </c>
      <c r="EK195" s="727">
        <f>VLOOKUP(WWWW[[#This Row],[Site Name]],SiteDB6[[Site Name]:[Long]],13,FALSE)</f>
        <v>98.218626999999998</v>
      </c>
      <c r="EL195" s="727" t="str">
        <f>VLOOKUP(WWWW[[#This Row],[Site Name]],SiteDB6[[Site Name]:[Pcode]],3,FALSE)</f>
        <v>MMR015CMP036</v>
      </c>
      <c r="EM195" s="732" t="str">
        <f t="shared" si="2"/>
        <v>Covered</v>
      </c>
      <c r="EN195" s="732"/>
      <c r="EO195" s="727">
        <f>VLOOKUP(WWWW[[#This Row],[Site Name]],SiteDB6[[Site Name]:[Pop
(Kachin/Shan-CCCM as of July 2021)]],16,FALSE)</f>
        <v>36</v>
      </c>
      <c r="EP195" s="727">
        <f>VLOOKUP(WWWW[[#This Row],[Site Name]],SiteDB6[[Site Name]:[Pop
(Kachin/Shan-CCCM as of July 2021)]],17,FALSE)</f>
        <v>180</v>
      </c>
    </row>
    <row r="196" spans="1:146" hidden="1">
      <c r="A196" s="725" t="s">
        <v>2763</v>
      </c>
      <c r="B196" s="725" t="s">
        <v>192</v>
      </c>
      <c r="C196" s="726" t="s">
        <v>192</v>
      </c>
      <c r="D196" s="726" t="s">
        <v>2673</v>
      </c>
      <c r="E196" s="726" t="s">
        <v>515</v>
      </c>
      <c r="F196" s="726" t="s">
        <v>536</v>
      </c>
      <c r="G196" s="591" t="str">
        <f>VLOOKUP(WWWW[[#This Row],[Site Name]],SiteDB6[[Site Name]:[Location Type]],8,FALSE)</f>
        <v>Camp</v>
      </c>
      <c r="H196" s="726" t="s">
        <v>547</v>
      </c>
      <c r="I196" s="448">
        <v>32</v>
      </c>
      <c r="J196" s="448">
        <v>141</v>
      </c>
      <c r="K196" s="588" t="s">
        <v>2767</v>
      </c>
      <c r="L196" s="589" t="s">
        <v>2768</v>
      </c>
      <c r="M196" s="728"/>
      <c r="N196" s="728"/>
      <c r="O196" s="728">
        <v>1</v>
      </c>
      <c r="P196" s="728"/>
      <c r="Q196" s="731" t="s">
        <v>41</v>
      </c>
      <c r="R196" s="728">
        <v>3</v>
      </c>
      <c r="S196" s="728">
        <v>3</v>
      </c>
      <c r="T196" s="448"/>
      <c r="U196" s="728"/>
      <c r="V196" s="728"/>
      <c r="W196" s="728"/>
      <c r="X196" s="728"/>
      <c r="Y196" s="728"/>
      <c r="Z196" s="728"/>
      <c r="AA196" s="728">
        <v>1</v>
      </c>
      <c r="AB196" s="728"/>
      <c r="AC196" s="728"/>
      <c r="AD196" s="728"/>
      <c r="AE196" s="728"/>
      <c r="AF196" s="728"/>
      <c r="AG196" s="728"/>
      <c r="AH196" s="728"/>
      <c r="AI196" s="728"/>
      <c r="AJ196" s="728"/>
      <c r="AK196" s="728"/>
      <c r="AL196" s="728"/>
      <c r="AM196" s="728"/>
      <c r="AN196" s="728"/>
      <c r="AO196" s="728"/>
      <c r="AP196" s="732"/>
      <c r="AQ196" s="728">
        <v>8</v>
      </c>
      <c r="AR196" s="728"/>
      <c r="AS196" s="733"/>
      <c r="AT196" s="728"/>
      <c r="AU196" s="728"/>
      <c r="AV196" s="728"/>
      <c r="AW196" s="728"/>
      <c r="AX196" s="728"/>
      <c r="AY196" s="727" t="s">
        <v>41</v>
      </c>
      <c r="AZ196" s="732" t="s">
        <v>137</v>
      </c>
      <c r="BA196" s="728"/>
      <c r="BB196" s="728"/>
      <c r="BC196" s="728"/>
      <c r="BD196" s="448"/>
      <c r="BE196" s="448"/>
      <c r="BF196" s="727"/>
      <c r="BG196" s="728">
        <v>1</v>
      </c>
      <c r="BH196" s="728"/>
      <c r="BI196" s="728"/>
      <c r="BJ196" s="728">
        <v>1</v>
      </c>
      <c r="BK196" s="728"/>
      <c r="BL196" s="728"/>
      <c r="BM196" s="728">
        <v>1</v>
      </c>
      <c r="BN196" s="728">
        <v>6</v>
      </c>
      <c r="BO196" s="728">
        <v>5</v>
      </c>
      <c r="BP196" s="727"/>
      <c r="BQ196" s="734"/>
      <c r="BR196" s="733"/>
      <c r="BS196" s="727"/>
      <c r="BT196" s="423"/>
      <c r="BU196" s="423"/>
      <c r="BV196" s="425"/>
      <c r="BW196" s="423"/>
      <c r="BX196" s="448"/>
      <c r="BY196" s="448"/>
      <c r="BZ196" s="448"/>
      <c r="CA196" s="448"/>
      <c r="CB196" s="448"/>
      <c r="CC196" s="777"/>
      <c r="CD196" s="448"/>
      <c r="CE196" s="735" t="str">
        <f>IFERROR(WWWW[[#This Row],['#_Water sources passed]]/WWWW[[#This Row],['#_Water sources tested for fecal coliform ]],"no test")</f>
        <v>no test</v>
      </c>
      <c r="CF196" s="733" t="str">
        <f>IFERROR(WWWW[[#This Row],['#_Household passed]]/WWWW[[#This Row],['#_Household water samples tested for fecal coliform]],"no test")</f>
        <v>no test</v>
      </c>
      <c r="CG196" s="734" t="str">
        <f>IF(AND(WWWW[[#This Row],[% of water sources passed]]="no test",WWWW[[#This Row],[% Household passed]]="no test"),"No Test","Tested")</f>
        <v>No Test</v>
      </c>
      <c r="CH196" s="734">
        <f>WWWW[[#This Row],['#_Constructed/existing protected hand dug well]]-WWWW[[#This Row],['#_Non-functional protected hand dug well]]</f>
        <v>0</v>
      </c>
      <c r="CI196" s="734">
        <f>(WWWW[[#This Row],['#_Constructed/Existing tube wells/boreholes/handpumps_WASH_agency]]+WWWW[[#This Row],['#_Non-Cluster partner water tube-wells/boreholes/handpumps]])-WWWW[[#This Row],['#_Non-functional tube wells/boreholes/handpumps]]</f>
        <v>0</v>
      </c>
      <c r="CJ196" s="734">
        <f>WWWW[[#This Row],['#_Constructed/Existingwater storage tank with gravity fed reticulation system]]-WWWW[[#This Row],['#_Non-functional storage tank gravity fed reticulation system]]</f>
        <v>1</v>
      </c>
      <c r="CK196" s="734">
        <f>(WWWW[[#This Row],['#_Water_Liters_supplied_by_Water boating or water trucking]]/90)/15</f>
        <v>0</v>
      </c>
      <c r="CL196" s="734">
        <f>WWWW[[#This Row],['#_Water_Liters_from_Constructed/Existing water distribution system from river or natural spring]]/90/15</f>
        <v>0</v>
      </c>
      <c r="CM196" s="424">
        <f>IF(WWWW[[#This Row],['#_of water points in TLS/CFS]]*500&gt;WWWW[[#This Row],[Total PoP ]],WWWW[[#This Row],[Total PoP ]],WWWW[[#This Row],['#_of water points in TLS/CFS]]*500)</f>
        <v>0</v>
      </c>
      <c r="CN196" s="424">
        <f>IF(WWWW[[#This Row],['#_of water points in THF]]*500&gt;WWWW[[#This Row],[Total PoP ]],WWWW[[#This Row],[Total PoP ]],WWWW[[#This Row],['#_of water points in THF]]*500)</f>
        <v>0</v>
      </c>
      <c r="CO196"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0.4728132387706856</v>
      </c>
      <c r="CP196"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0.4728132387706856</v>
      </c>
      <c r="CQ196" s="733">
        <f>IF(WWWW[[#This Row],[Location Type 1]]="Village",WWWW[[#This Row],[Access to safe drinking water for Village]],WWWW[[#This Row],[Access to safe drinking water for Camp]])</f>
        <v>0.4728132387706856</v>
      </c>
      <c r="CR196" s="731">
        <f>WWWW[[#This Row],[%Equitable and continuous access to sufficient quantity of safe drinking water]]*WWWW[[#This Row],[Total PoP ]]</f>
        <v>66.666666666666671</v>
      </c>
      <c r="CS196" s="733">
        <f>IF((WWWW[[#This Row],['#_Constructed/Existing protected/fenced ponds]]*250)/WWWW[[#This Row],[Total PoP ]]&gt;1,1,(WWWW[[#This Row],['#_Constructed/Existing protected/fenced ponds]]*250)/WWWW[[#This Row],[Total PoP ]])</f>
        <v>0</v>
      </c>
      <c r="CT196" s="731">
        <f>WWWW[[#This Row],[% Access to unimproved water points]]*WWWW[[#This Row],[Total PoP ]]</f>
        <v>0</v>
      </c>
      <c r="CU196"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0.4728132387706856</v>
      </c>
      <c r="CV196"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W196" s="731">
        <f>WWWW[[#This Row],[HRP1]]/500</f>
        <v>0.13333333333333333</v>
      </c>
      <c r="CX196" s="736">
        <f>1-WWWW[[#This Row],[% Equitable and continuous access to sufficient quantity of domestic water]]</f>
        <v>0.5271867612293144</v>
      </c>
      <c r="CY196" s="731">
        <f>WWWW[[#This Row],[%equitable and continuous access to sufficient quantity of safe drinking and domestic water''s GAP]]*WWWW[[#This Row],[Total PoP ]]</f>
        <v>74.333333333333329</v>
      </c>
      <c r="CZ196" s="734">
        <f>IF(WWWW[[#This Row],[Total required water points]]-WWWW[[#This Row],['#Water points coverage]]&lt;0,0,WWWW[[#This Row],[Total required water points]]-WWWW[[#This Row],['#Water points coverage]])</f>
        <v>0.8666666666666667</v>
      </c>
      <c r="DA196" s="734">
        <f>ROUND(IF(WWWW[[#This Row],[Total PoP ]]&lt;500,1,WWWW[[#This Row],[Total PoP ]]/500),0)</f>
        <v>1</v>
      </c>
      <c r="DB196" s="734">
        <f>(WWWW[[#This Row],['#_Constructed latrines_by_WASHAgencies]]+WWWW[[#This Row],['#_Non Cluster partner latrines]])-WWWW[[#This Row],['#_Non-functional latrines]]</f>
        <v>8</v>
      </c>
      <c r="DC196" s="631">
        <f>WWWW[[#This Row],[HRP2]]/WWWW[[#This Row],[Total PoP ]]</f>
        <v>1</v>
      </c>
      <c r="DD196"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141</v>
      </c>
      <c r="DE196"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6"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6" s="424">
        <f>IF(WWWW[[#This Row],['# of functional latrines in THF supported by WASH partners during the reporting period2]]="",0,WWWW[[#This Row],['# of functional latrines in THF supported by WASH partners during the reporting period2]]*50)</f>
        <v>0</v>
      </c>
      <c r="DH196" s="734">
        <f>ROUND(IF(WWWW[[#This Row],[Location Type 1]]="camp",WWWW[[#This Row],[Total PoP ]]/20,IF(WWWW[[#This Row],[Location Type 1]]="Temporary Location",WWWW[[#This Row],[Total PoP ]]/50,(WWWW[[#This Row],[Total PoP ]]/6))),0)</f>
        <v>7</v>
      </c>
      <c r="DI196" s="734">
        <f>IF(WWWW[[#This Row],[Total required Latrines]]-(WWWW[[#This Row],['#_Constructed latrines_by_WASHAgencies]]+WWWW[[#This Row],['#_Non Cluster partner latrines]])&lt;0,0,WWWW[[#This Row],[Total required Latrines]]-(WWWW[[#This Row],['#_Constructed latrines_by_WASHAgencies]]+WWWW[[#This Row],['#_Non Cluster partner latrines]]))</f>
        <v>0</v>
      </c>
      <c r="DJ196" s="736">
        <f>1-WWWW[[#This Row],[% people access to functioning Latrine]]</f>
        <v>0</v>
      </c>
      <c r="DK196" s="735">
        <f>IF(OR(WWWW[[#This Row],['#_Non-functional latrines]]="",WWWW[[#This Row],['#_Non-functional latrines]]=0),0,WWWW[[#This Row],['#_Non-functional latrines]]/(WWWW[[#This Row],['#_Constructed latrines_by_WASHAgencies]]+WWWW[[#This Row],['#_Non Cluster partner latrines]]))</f>
        <v>0</v>
      </c>
      <c r="DL196" s="731">
        <f>IF(500*(WWWW[[#This Row],['#_male hygiene promoters]]+WWWW[[#This Row],['#_female hygiene promoters]])&gt;WWWW[[#This Row],[Total PoP ]],WWWW[[#This Row],[Total PoP ]],500*(WWWW[[#This Row],['#_male hygiene promoters]]+WWWW[[#This Row],['#_female hygiene promoters]]))</f>
        <v>141</v>
      </c>
      <c r="DM196"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96"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96" s="734">
        <f>IF(WWWW[[#This Row],['# People with access to soap]]&gt;WWWW[[#This Row],['# People with access to Sanity Pads]],WWWW[[#This Row],['# People with access to soap]],WWWW[[#This Row],['# People with access to Sanity Pads]])</f>
        <v>30</v>
      </c>
      <c r="DP196" s="734">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Q196" s="736">
        <f>IF(WWWW[[#This Row],[HRP3]]/WWWW[[#This Row],[Total PoP ]]&gt;1,1,WWWW[[#This Row],[HRP3]]/WWWW[[#This Row],[Total PoP ]])</f>
        <v>1</v>
      </c>
      <c r="DR196" s="735">
        <f>1-WWWW[[#This Row],[Hygiene Coverage%]]</f>
        <v>0</v>
      </c>
      <c r="DS196" s="733">
        <f>WWWW[[#This Row],['# people reached by regular dedicated hygiene promotion_5]]/WWWW[[#This Row],[Total PoP ]]</f>
        <v>1</v>
      </c>
      <c r="DT196"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0.75</v>
      </c>
      <c r="DU196"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0.15625</v>
      </c>
      <c r="DV196" s="734">
        <f>WWWW[[#This Row],['#_Constructed/Existing hand washing stations]]-WWWW[[#This Row],['#_Non-Functional_hand_washing_stations]]</f>
        <v>1</v>
      </c>
      <c r="DW196" s="731">
        <f>IF(WWWW[[#This Row],['# Functional hand washing stations during reporting period]]*20&gt;WWWW[[#This Row],[Total HH]],WWWW[[#This Row],[Total HH]],WWWW[[#This Row],['# Functional hand washing stations during reporting period]]*20)</f>
        <v>20</v>
      </c>
      <c r="DX196" s="731">
        <f>IF(WWWW[[#This Row],[Is sufficient soap available for TLS? (Yes/No)]]="yes",WWWW[[#This Row],['#_Constructed/Existing hand washing stations at TLS/CFS/THF]],0)</f>
        <v>0</v>
      </c>
      <c r="DY196" s="428">
        <f>IF(WWWW[[#This Row],['# Functional hand washing stations during reporting period]]*100&gt;WWWW[[#This Row],[Total PoP ]],WWWW[[#This Row],[Total PoP ]],WWWW[[#This Row],['# Functional hand washing stations during reporting period]]*100)</f>
        <v>100</v>
      </c>
      <c r="DZ196" s="428" t="str">
        <f>IF(OR(WWWW[[#This Row],['#_students at TLS_CFS]]="",WWWW[[#This Row],['#_students at TLS_CFS]]=0),"No","Yes")</f>
        <v>No</v>
      </c>
      <c r="EA19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6" s="727" t="str">
        <f>VLOOKUP(WWWW[[#This Row],[Site Name]],SiteDB6[[Site Name]:[CCCM Management]],6,FALSE)</f>
        <v>Yes</v>
      </c>
      <c r="EF196" s="727" t="str">
        <f>VLOOKUP(WWWW[[#This Row],[Site Name]],SiteDB6[[Site Name]:[CCCM Focal Agency]],7,FALSE)</f>
        <v>KBC-NSS</v>
      </c>
      <c r="EG196" s="727" t="str">
        <f>VLOOKUP(WWWW[[#This Row],[Site Name]],SiteDB6[[Site Name]:[Location Type 1]],9,FALSE)</f>
        <v>Camp</v>
      </c>
      <c r="EH196" s="727" t="str">
        <f>VLOOKUP(WWWW[[#This Row],[Site Name]],SiteDB6[[Site Name]:[Type of Accommodation]],10,FALSE)</f>
        <v>Camp</v>
      </c>
      <c r="EI196" s="727" t="str">
        <f>VLOOKUP(WWWW[[#This Row],[Site Name]],SiteDB6[[Site Name]:[Ethnic or GCA/NGCA]],11,FALSE)</f>
        <v>GCA</v>
      </c>
      <c r="EJ196" s="727">
        <f>VLOOKUP(WWWW[[#This Row],[Site Name]],SiteDB6[[Site Name]:[Lat]],12,FALSE)</f>
        <v>23.094290000000001</v>
      </c>
      <c r="EK196" s="727">
        <f>VLOOKUP(WWWW[[#This Row],[Site Name]],SiteDB6[[Site Name]:[Long]],13,FALSE)</f>
        <v>97.404089999999997</v>
      </c>
      <c r="EL196" s="727" t="str">
        <f>VLOOKUP(WWWW[[#This Row],[Site Name]],SiteDB6[[Site Name]:[Pcode]],3,FALSE)</f>
        <v>MMR015CMP014</v>
      </c>
      <c r="EM196" s="732" t="str">
        <f t="shared" si="2"/>
        <v>Covered</v>
      </c>
      <c r="EN196" s="732"/>
      <c r="EO196" s="727">
        <f>VLOOKUP(WWWW[[#This Row],[Site Name]],SiteDB6[[Site Name]:[Pop
(Kachin/Shan-CCCM as of July 2021)]],16,FALSE)</f>
        <v>30</v>
      </c>
      <c r="EP196" s="727">
        <f>VLOOKUP(WWWW[[#This Row],[Site Name]],SiteDB6[[Site Name]:[Pop
(Kachin/Shan-CCCM as of July 2021)]],17,FALSE)</f>
        <v>126</v>
      </c>
    </row>
    <row r="197" spans="1:146" hidden="1">
      <c r="A197" s="725" t="s">
        <v>2763</v>
      </c>
      <c r="B197" s="725" t="s">
        <v>192</v>
      </c>
      <c r="C197" s="726" t="s">
        <v>192</v>
      </c>
      <c r="D197" s="726" t="s">
        <v>2673</v>
      </c>
      <c r="E197" s="726" t="s">
        <v>515</v>
      </c>
      <c r="F197" s="726" t="s">
        <v>519</v>
      </c>
      <c r="G197" s="591" t="str">
        <f>VLOOKUP(WWWW[[#This Row],[Site Name]],SiteDB6[[Site Name]:[Location Type]],8,FALSE)</f>
        <v>Camp</v>
      </c>
      <c r="H197" s="726" t="s">
        <v>542</v>
      </c>
      <c r="I197" s="728">
        <v>121</v>
      </c>
      <c r="J197" s="728">
        <v>664</v>
      </c>
      <c r="K197" s="729" t="s">
        <v>2767</v>
      </c>
      <c r="L197" s="730" t="s">
        <v>2768</v>
      </c>
      <c r="M197" s="728"/>
      <c r="N197" s="728">
        <v>1</v>
      </c>
      <c r="O197" s="728"/>
      <c r="P197" s="728"/>
      <c r="Q197" s="731" t="s">
        <v>41</v>
      </c>
      <c r="R197" s="728">
        <v>4</v>
      </c>
      <c r="S197" s="728">
        <v>5</v>
      </c>
      <c r="T197" s="448"/>
      <c r="U197" s="728"/>
      <c r="V197" s="728"/>
      <c r="W197" s="728"/>
      <c r="X197" s="728"/>
      <c r="Y197" s="728"/>
      <c r="Z197" s="728"/>
      <c r="AA197" s="728">
        <v>8</v>
      </c>
      <c r="AB197" s="728"/>
      <c r="AC197" s="728"/>
      <c r="AD197" s="728"/>
      <c r="AE197" s="728"/>
      <c r="AF197" s="728"/>
      <c r="AG197" s="728"/>
      <c r="AH197" s="728"/>
      <c r="AI197" s="728"/>
      <c r="AJ197" s="728"/>
      <c r="AK197" s="728"/>
      <c r="AL197" s="728"/>
      <c r="AM197" s="728">
        <v>1</v>
      </c>
      <c r="AN197" s="728"/>
      <c r="AO197" s="728"/>
      <c r="AP197" s="732"/>
      <c r="AQ197" s="728">
        <v>105</v>
      </c>
      <c r="AR197" s="728"/>
      <c r="AS197" s="733"/>
      <c r="AT197" s="728"/>
      <c r="AU197" s="728"/>
      <c r="AV197" s="728"/>
      <c r="AW197" s="728"/>
      <c r="AX197" s="728"/>
      <c r="AY197" s="727" t="s">
        <v>41</v>
      </c>
      <c r="AZ197" s="732" t="s">
        <v>137</v>
      </c>
      <c r="BA197" s="728"/>
      <c r="BB197" s="728"/>
      <c r="BC197" s="728"/>
      <c r="BD197" s="448"/>
      <c r="BE197" s="448"/>
      <c r="BF197" s="727"/>
      <c r="BG197" s="728">
        <v>8</v>
      </c>
      <c r="BH197" s="728"/>
      <c r="BI197" s="728"/>
      <c r="BJ197" s="728">
        <v>3</v>
      </c>
      <c r="BK197" s="728"/>
      <c r="BL197" s="728"/>
      <c r="BM197" s="728">
        <v>1</v>
      </c>
      <c r="BN197" s="728">
        <v>91</v>
      </c>
      <c r="BO197" s="728">
        <v>124</v>
      </c>
      <c r="BP197" s="727"/>
      <c r="BQ197" s="734"/>
      <c r="BR197" s="733"/>
      <c r="BS197" s="727"/>
      <c r="BT197" s="423"/>
      <c r="BU197" s="423"/>
      <c r="BV197" s="425"/>
      <c r="BW197" s="423"/>
      <c r="BX197" s="448"/>
      <c r="BY197" s="448"/>
      <c r="BZ197" s="448"/>
      <c r="CA197" s="448"/>
      <c r="CB197" s="448"/>
      <c r="CC197" s="777"/>
      <c r="CD197" s="448"/>
      <c r="CE197" s="735" t="str">
        <f>IFERROR(WWWW[[#This Row],['#_Water sources passed]]/WWWW[[#This Row],['#_Water sources tested for fecal coliform ]],"no test")</f>
        <v>no test</v>
      </c>
      <c r="CF197" s="733" t="str">
        <f>IFERROR(WWWW[[#This Row],['#_Household passed]]/WWWW[[#This Row],['#_Household water samples tested for fecal coliform]],"no test")</f>
        <v>no test</v>
      </c>
      <c r="CG197" s="734" t="str">
        <f>IF(AND(WWWW[[#This Row],[% of water sources passed]]="no test",WWWW[[#This Row],[% Household passed]]="no test"),"No Test","Tested")</f>
        <v>No Test</v>
      </c>
      <c r="CH197" s="734">
        <f>WWWW[[#This Row],['#_Constructed/existing protected hand dug well]]-WWWW[[#This Row],['#_Non-functional protected hand dug well]]</f>
        <v>0</v>
      </c>
      <c r="CI197" s="734">
        <f>(WWWW[[#This Row],['#_Constructed/Existing tube wells/boreholes/handpumps_WASH_agency]]+WWWW[[#This Row],['#_Non-Cluster partner water tube-wells/boreholes/handpumps]])-WWWW[[#This Row],['#_Non-functional tube wells/boreholes/handpumps]]</f>
        <v>0</v>
      </c>
      <c r="CJ197" s="734">
        <f>WWWW[[#This Row],['#_Constructed/Existingwater storage tank with gravity fed reticulation system]]-WWWW[[#This Row],['#_Non-functional storage tank gravity fed reticulation system]]</f>
        <v>8</v>
      </c>
      <c r="CK197" s="734">
        <f>(WWWW[[#This Row],['#_Water_Liters_supplied_by_Water boating or water trucking]]/90)/15</f>
        <v>0</v>
      </c>
      <c r="CL197" s="734">
        <f>WWWW[[#This Row],['#_Water_Liters_from_Constructed/Existing water distribution system from river or natural spring]]/90/15</f>
        <v>0</v>
      </c>
      <c r="CM197" s="424">
        <f>IF(WWWW[[#This Row],['#_of water points in TLS/CFS]]*500&gt;WWWW[[#This Row],[Total PoP ]],WWWW[[#This Row],[Total PoP ]],WWWW[[#This Row],['#_of water points in TLS/CFS]]*500)</f>
        <v>0</v>
      </c>
      <c r="CN197" s="424">
        <f>IF(WWWW[[#This Row],['#_of water points in THF]]*500&gt;WWWW[[#This Row],[Total PoP ]],WWWW[[#This Row],[Total PoP ]],WWWW[[#This Row],['#_of water points in THF]]*500)</f>
        <v>0</v>
      </c>
      <c r="CO197"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P197"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Q197" s="733">
        <f>IF(WWWW[[#This Row],[Location Type 1]]="Village",WWWW[[#This Row],[Access to safe drinking water for Village]],WWWW[[#This Row],[Access to safe drinking water for Camp]])</f>
        <v>0.8032128514056226</v>
      </c>
      <c r="CR197" s="731">
        <f>WWWW[[#This Row],[%Equitable and continuous access to sufficient quantity of safe drinking water]]*WWWW[[#This Row],[Total PoP ]]</f>
        <v>533.33333333333337</v>
      </c>
      <c r="CS197" s="733">
        <f>IF((WWWW[[#This Row],['#_Constructed/Existing protected/fenced ponds]]*250)/WWWW[[#This Row],[Total PoP ]]&gt;1,1,(WWWW[[#This Row],['#_Constructed/Existing protected/fenced ponds]]*250)/WWWW[[#This Row],[Total PoP ]])</f>
        <v>0</v>
      </c>
      <c r="CT197" s="731">
        <f>WWWW[[#This Row],[% Access to unimproved water points]]*WWWW[[#This Row],[Total PoP ]]</f>
        <v>0</v>
      </c>
      <c r="CU197"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V197"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W197" s="731">
        <f>WWWW[[#This Row],[HRP1]]/500</f>
        <v>1.0666666666666667</v>
      </c>
      <c r="CX197" s="736">
        <f>1-WWWW[[#This Row],[% Equitable and continuous access to sufficient quantity of domestic water]]</f>
        <v>0.1967871485943774</v>
      </c>
      <c r="CY197" s="731">
        <f>WWWW[[#This Row],[%equitable and continuous access to sufficient quantity of safe drinking and domestic water''s GAP]]*WWWW[[#This Row],[Total PoP ]]</f>
        <v>130.6666666666666</v>
      </c>
      <c r="CZ197" s="734">
        <f>IF(WWWW[[#This Row],[Total required water points]]-WWWW[[#This Row],['#Water points coverage]]&lt;0,0,WWWW[[#This Row],[Total required water points]]-WWWW[[#This Row],['#Water points coverage]])</f>
        <v>0</v>
      </c>
      <c r="DA197" s="734">
        <f>ROUND(IF(WWWW[[#This Row],[Total PoP ]]&lt;500,1,WWWW[[#This Row],[Total PoP ]]/500),0)</f>
        <v>1</v>
      </c>
      <c r="DB197" s="734">
        <f>(WWWW[[#This Row],['#_Constructed latrines_by_WASHAgencies]]+WWWW[[#This Row],['#_Non Cluster partner latrines]])-WWWW[[#This Row],['#_Non-functional latrines]]</f>
        <v>105</v>
      </c>
      <c r="DC197" s="631">
        <f>WWWW[[#This Row],[HRP2]]/WWWW[[#This Row],[Total PoP ]]</f>
        <v>0.79066265060240959</v>
      </c>
      <c r="DD197"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525</v>
      </c>
      <c r="DE197"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7"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7" s="424">
        <f>IF(WWWW[[#This Row],['# of functional latrines in THF supported by WASH partners during the reporting period2]]="",0,WWWW[[#This Row],['# of functional latrines in THF supported by WASH partners during the reporting period2]]*50)</f>
        <v>0</v>
      </c>
      <c r="DH197" s="734">
        <f>ROUND(IF(WWWW[[#This Row],[Location Type 1]]="camp",WWWW[[#This Row],[Total PoP ]]/20,IF(WWWW[[#This Row],[Location Type 1]]="Temporary Location",WWWW[[#This Row],[Total PoP ]]/50,(WWWW[[#This Row],[Total PoP ]]/6))),0)</f>
        <v>111</v>
      </c>
      <c r="DI197" s="734">
        <f>IF(WWWW[[#This Row],[Total required Latrines]]-(WWWW[[#This Row],['#_Constructed latrines_by_WASHAgencies]]+WWWW[[#This Row],['#_Non Cluster partner latrines]])&lt;0,0,WWWW[[#This Row],[Total required Latrines]]-(WWWW[[#This Row],['#_Constructed latrines_by_WASHAgencies]]+WWWW[[#This Row],['#_Non Cluster partner latrines]]))</f>
        <v>6</v>
      </c>
      <c r="DJ197" s="736">
        <f>1-WWWW[[#This Row],[% people access to functioning Latrine]]</f>
        <v>0.20933734939759041</v>
      </c>
      <c r="DK197" s="735">
        <f>IF(OR(WWWW[[#This Row],['#_Non-functional latrines]]="",WWWW[[#This Row],['#_Non-functional latrines]]=0),0,WWWW[[#This Row],['#_Non-functional latrines]]/(WWWW[[#This Row],['#_Constructed latrines_by_WASHAgencies]]+WWWW[[#This Row],['#_Non Cluster partner latrines]]))</f>
        <v>0</v>
      </c>
      <c r="DL197" s="731">
        <f>IF(500*(WWWW[[#This Row],['#_male hygiene promoters]]+WWWW[[#This Row],['#_female hygiene promoters]])&gt;WWWW[[#This Row],[Total PoP ]],WWWW[[#This Row],[Total PoP ]],500*(WWWW[[#This Row],['#_male hygiene promoters]]+WWWW[[#This Row],['#_female hygiene promoters]]))</f>
        <v>500</v>
      </c>
      <c r="DM197"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97"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97" s="734">
        <f>IF(WWWW[[#This Row],['# People with access to soap]]&gt;WWWW[[#This Row],['# People with access to Sanity Pads]],WWWW[[#This Row],['# People with access to soap]],WWWW[[#This Row],['# People with access to Sanity Pads]])</f>
        <v>455</v>
      </c>
      <c r="DP197" s="73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97" s="736">
        <f>IF(WWWW[[#This Row],[HRP3]]/WWWW[[#This Row],[Total PoP ]]&gt;1,1,WWWW[[#This Row],[HRP3]]/WWWW[[#This Row],[Total PoP ]])</f>
        <v>0.75301204819277112</v>
      </c>
      <c r="DR197" s="735">
        <f>1-WWWW[[#This Row],[Hygiene Coverage%]]</f>
        <v>0.24698795180722888</v>
      </c>
      <c r="DS197" s="733">
        <f>WWWW[[#This Row],['# people reached by regular dedicated hygiene promotion_5]]/WWWW[[#This Row],[Total PoP ]]</f>
        <v>0.75301204819277112</v>
      </c>
      <c r="DT197"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7"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7" s="734">
        <f>WWWW[[#This Row],['#_Constructed/Existing hand washing stations]]-WWWW[[#This Row],['#_Non-Functional_hand_washing_stations]]</f>
        <v>8</v>
      </c>
      <c r="DW197" s="731">
        <f>IF(WWWW[[#This Row],['# Functional hand washing stations during reporting period]]*20&gt;WWWW[[#This Row],[Total HH]],WWWW[[#This Row],[Total HH]],WWWW[[#This Row],['# Functional hand washing stations during reporting period]]*20)</f>
        <v>121</v>
      </c>
      <c r="DX197" s="731">
        <f>IF(WWWW[[#This Row],[Is sufficient soap available for TLS? (Yes/No)]]="yes",WWWW[[#This Row],['#_Constructed/Existing hand washing stations at TLS/CFS/THF]],0)</f>
        <v>0</v>
      </c>
      <c r="DY197" s="428">
        <f>IF(WWWW[[#This Row],['# Functional hand washing stations during reporting period]]*100&gt;WWWW[[#This Row],[Total PoP ]],WWWW[[#This Row],[Total PoP ]],WWWW[[#This Row],['# Functional hand washing stations during reporting period]]*100)</f>
        <v>664</v>
      </c>
      <c r="DZ197" s="428" t="str">
        <f>IF(OR(WWWW[[#This Row],['#_students at TLS_CFS]]="",WWWW[[#This Row],['#_students at TLS_CFS]]=0),"No","Yes")</f>
        <v>No</v>
      </c>
      <c r="EA19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7" s="727" t="str">
        <f>VLOOKUP(WWWW[[#This Row],[Site Name]],SiteDB6[[Site Name]:[CCCM Management]],6,FALSE)</f>
        <v>Yes</v>
      </c>
      <c r="EF197" s="727" t="str">
        <f>VLOOKUP(WWWW[[#This Row],[Site Name]],SiteDB6[[Site Name]:[CCCM Focal Agency]],7,FALSE)</f>
        <v>KMSS-LSO</v>
      </c>
      <c r="EG197" s="727" t="str">
        <f>VLOOKUP(WWWW[[#This Row],[Site Name]],SiteDB6[[Site Name]:[Location Type 1]],9,FALSE)</f>
        <v>Village Type Camp</v>
      </c>
      <c r="EH197" s="727" t="str">
        <f>VLOOKUP(WWWW[[#This Row],[Site Name]],SiteDB6[[Site Name]:[Type of Accommodation]],10,FALSE)</f>
        <v>Camp</v>
      </c>
      <c r="EI197" s="727" t="str">
        <f>VLOOKUP(WWWW[[#This Row],[Site Name]],SiteDB6[[Site Name]:[Ethnic or GCA/NGCA]],11,FALSE)</f>
        <v>GCA</v>
      </c>
      <c r="EJ197" s="727">
        <f>VLOOKUP(WWWW[[#This Row],[Site Name]],SiteDB6[[Site Name]:[Lat]],12,FALSE)</f>
        <v>23.447111</v>
      </c>
      <c r="EK197" s="727">
        <f>VLOOKUP(WWWW[[#This Row],[Site Name]],SiteDB6[[Site Name]:[Long]],13,FALSE)</f>
        <v>97.868876999999998</v>
      </c>
      <c r="EL197" s="727" t="str">
        <f>VLOOKUP(WWWW[[#This Row],[Site Name]],SiteDB6[[Site Name]:[Pcode]],3,FALSE)</f>
        <v>MMR015CMP037</v>
      </c>
      <c r="EM197" s="732" t="str">
        <f t="shared" si="2"/>
        <v>Covered</v>
      </c>
      <c r="EN197" s="732"/>
      <c r="EO197" s="727">
        <f>VLOOKUP(WWWW[[#This Row],[Site Name]],SiteDB6[[Site Name]:[Pop
(Kachin/Shan-CCCM as of July 2021)]],16,FALSE)</f>
        <v>123</v>
      </c>
      <c r="EP197" s="727">
        <f>VLOOKUP(WWWW[[#This Row],[Site Name]],SiteDB6[[Site Name]:[Pop
(Kachin/Shan-CCCM as of July 2021)]],17,FALSE)</f>
        <v>706</v>
      </c>
    </row>
    <row r="198" spans="1:146" hidden="1">
      <c r="A198" s="725" t="s">
        <v>2763</v>
      </c>
      <c r="B198" s="725" t="s">
        <v>192</v>
      </c>
      <c r="C198" s="726" t="s">
        <v>192</v>
      </c>
      <c r="D198" s="726" t="s">
        <v>2673</v>
      </c>
      <c r="E198" s="726" t="s">
        <v>515</v>
      </c>
      <c r="F198" s="726" t="s">
        <v>519</v>
      </c>
      <c r="G198" s="591" t="str">
        <f>VLOOKUP(WWWW[[#This Row],[Site Name]],SiteDB6[[Site Name]:[Location Type]],8,FALSE)</f>
        <v>Camp</v>
      </c>
      <c r="H198" s="726" t="s">
        <v>561</v>
      </c>
      <c r="I198" s="728">
        <v>45</v>
      </c>
      <c r="J198" s="728">
        <v>221</v>
      </c>
      <c r="K198" s="729" t="s">
        <v>2767</v>
      </c>
      <c r="L198" s="730" t="s">
        <v>2768</v>
      </c>
      <c r="M198" s="728"/>
      <c r="N198" s="728"/>
      <c r="O198" s="728"/>
      <c r="P198" s="728"/>
      <c r="Q198" s="731"/>
      <c r="R198" s="728">
        <v>5</v>
      </c>
      <c r="S198" s="728">
        <v>4</v>
      </c>
      <c r="T198" s="448"/>
      <c r="U198" s="728"/>
      <c r="V198" s="728"/>
      <c r="W198" s="728"/>
      <c r="X198" s="728"/>
      <c r="Y198" s="728"/>
      <c r="Z198" s="728"/>
      <c r="AA198" s="728">
        <v>8</v>
      </c>
      <c r="AB198" s="728"/>
      <c r="AC198" s="728"/>
      <c r="AD198" s="728"/>
      <c r="AE198" s="728"/>
      <c r="AF198" s="728"/>
      <c r="AG198" s="728"/>
      <c r="AH198" s="728">
        <v>1</v>
      </c>
      <c r="AI198" s="728"/>
      <c r="AJ198" s="728"/>
      <c r="AK198" s="728"/>
      <c r="AL198" s="728"/>
      <c r="AM198" s="728">
        <v>2</v>
      </c>
      <c r="AN198" s="728">
        <v>1</v>
      </c>
      <c r="AO198" s="728"/>
      <c r="AP198" s="732"/>
      <c r="AQ198" s="728">
        <v>37</v>
      </c>
      <c r="AR198" s="728"/>
      <c r="AS198" s="733"/>
      <c r="AT198" s="728"/>
      <c r="AU198" s="728"/>
      <c r="AV198" s="728"/>
      <c r="AW198" s="728"/>
      <c r="AX198" s="728">
        <v>3</v>
      </c>
      <c r="AY198" s="727" t="s">
        <v>136</v>
      </c>
      <c r="AZ198" s="732" t="s">
        <v>904</v>
      </c>
      <c r="BA198" s="728"/>
      <c r="BB198" s="728"/>
      <c r="BC198" s="728">
        <v>2</v>
      </c>
      <c r="BD198" s="448"/>
      <c r="BE198" s="448"/>
      <c r="BF198" s="727"/>
      <c r="BG198" s="728">
        <v>7</v>
      </c>
      <c r="BH198" s="728"/>
      <c r="BI198" s="728"/>
      <c r="BJ198" s="728">
        <v>7</v>
      </c>
      <c r="BK198" s="728"/>
      <c r="BL198" s="728"/>
      <c r="BM198" s="728">
        <v>1</v>
      </c>
      <c r="BN198" s="728">
        <v>104</v>
      </c>
      <c r="BO198" s="728">
        <v>148</v>
      </c>
      <c r="BP198" s="727"/>
      <c r="BQ198" s="734"/>
      <c r="BR198" s="733"/>
      <c r="BS198" s="727"/>
      <c r="BT198" s="423"/>
      <c r="BU198" s="423"/>
      <c r="BV198" s="425"/>
      <c r="BW198" s="423"/>
      <c r="BX198" s="448"/>
      <c r="BY198" s="448"/>
      <c r="BZ198" s="448"/>
      <c r="CA198" s="448"/>
      <c r="CB198" s="448"/>
      <c r="CC198" s="777"/>
      <c r="CD198" s="448"/>
      <c r="CE198" s="735" t="str">
        <f>IFERROR(WWWW[[#This Row],['#_Water sources passed]]/WWWW[[#This Row],['#_Water sources tested for fecal coliform ]],"no test")</f>
        <v>no test</v>
      </c>
      <c r="CF198" s="733" t="str">
        <f>IFERROR(WWWW[[#This Row],['#_Household passed]]/WWWW[[#This Row],['#_Household water samples tested for fecal coliform]],"no test")</f>
        <v>no test</v>
      </c>
      <c r="CG198" s="734" t="str">
        <f>IF(AND(WWWW[[#This Row],[% of water sources passed]]="no test",WWWW[[#This Row],[% Household passed]]="no test"),"No Test","Tested")</f>
        <v>No Test</v>
      </c>
      <c r="CH198" s="734">
        <f>WWWW[[#This Row],['#_Constructed/existing protected hand dug well]]-WWWW[[#This Row],['#_Non-functional protected hand dug well]]</f>
        <v>0</v>
      </c>
      <c r="CI198" s="734">
        <f>(WWWW[[#This Row],['#_Constructed/Existing tube wells/boreholes/handpumps_WASH_agency]]+WWWW[[#This Row],['#_Non-Cluster partner water tube-wells/boreholes/handpumps]])-WWWW[[#This Row],['#_Non-functional tube wells/boreholes/handpumps]]</f>
        <v>0</v>
      </c>
      <c r="CJ198" s="734">
        <f>WWWW[[#This Row],['#_Constructed/Existingwater storage tank with gravity fed reticulation system]]-WWWW[[#This Row],['#_Non-functional storage tank gravity fed reticulation system]]</f>
        <v>8</v>
      </c>
      <c r="CK198" s="734">
        <f>(WWWW[[#This Row],['#_Water_Liters_supplied_by_Water boating or water trucking]]/90)/15</f>
        <v>0</v>
      </c>
      <c r="CL198" s="734">
        <f>WWWW[[#This Row],['#_Water_Liters_from_Constructed/Existing water distribution system from river or natural spring]]/90/15</f>
        <v>0</v>
      </c>
      <c r="CM198" s="424">
        <f>IF(WWWW[[#This Row],['#_of water points in TLS/CFS]]*500&gt;WWWW[[#This Row],[Total PoP ]],WWWW[[#This Row],[Total PoP ]],WWWW[[#This Row],['#_of water points in TLS/CFS]]*500)</f>
        <v>221</v>
      </c>
      <c r="CN198" s="424">
        <f>IF(WWWW[[#This Row],['#_of water points in THF]]*500&gt;WWWW[[#This Row],[Total PoP ]],WWWW[[#This Row],[Total PoP ]],WWWW[[#This Row],['#_of water points in THF]]*500)</f>
        <v>0</v>
      </c>
      <c r="CO198"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8"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8" s="733">
        <f>IF(WWWW[[#This Row],[Location Type 1]]="Village",WWWW[[#This Row],[Access to safe drinking water for Village]],WWWW[[#This Row],[Access to safe drinking water for Camp]])</f>
        <v>1</v>
      </c>
      <c r="CR198" s="731">
        <f>WWWW[[#This Row],[%Equitable and continuous access to sufficient quantity of safe drinking water]]*WWWW[[#This Row],[Total PoP ]]</f>
        <v>221</v>
      </c>
      <c r="CS198" s="733">
        <f>IF((WWWW[[#This Row],['#_Constructed/Existing protected/fenced ponds]]*250)/WWWW[[#This Row],[Total PoP ]]&gt;1,1,(WWWW[[#This Row],['#_Constructed/Existing protected/fenced ponds]]*250)/WWWW[[#This Row],[Total PoP ]])</f>
        <v>0</v>
      </c>
      <c r="CT198" s="731">
        <f>WWWW[[#This Row],[% Access to unimproved water points]]*WWWW[[#This Row],[Total PoP ]]</f>
        <v>0</v>
      </c>
      <c r="CU198"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8"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198" s="731">
        <f>WWWW[[#This Row],[HRP1]]/500</f>
        <v>0.442</v>
      </c>
      <c r="CX198" s="736">
        <f>1-WWWW[[#This Row],[% Equitable and continuous access to sufficient quantity of domestic water]]</f>
        <v>0</v>
      </c>
      <c r="CY198" s="731">
        <f>WWWW[[#This Row],[%equitable and continuous access to sufficient quantity of safe drinking and domestic water''s GAP]]*WWWW[[#This Row],[Total PoP ]]</f>
        <v>0</v>
      </c>
      <c r="CZ198" s="734">
        <f>IF(WWWW[[#This Row],[Total required water points]]-WWWW[[#This Row],['#Water points coverage]]&lt;0,0,WWWW[[#This Row],[Total required water points]]-WWWW[[#This Row],['#Water points coverage]])</f>
        <v>0.55800000000000005</v>
      </c>
      <c r="DA198" s="734">
        <f>ROUND(IF(WWWW[[#This Row],[Total PoP ]]&lt;500,1,WWWW[[#This Row],[Total PoP ]]/500),0)</f>
        <v>1</v>
      </c>
      <c r="DB198" s="734">
        <f>(WWWW[[#This Row],['#_Constructed latrines_by_WASHAgencies]]+WWWW[[#This Row],['#_Non Cluster partner latrines]])-WWWW[[#This Row],['#_Non-functional latrines]]</f>
        <v>37</v>
      </c>
      <c r="DC198" s="631">
        <f>WWWW[[#This Row],[HRP2]]/WWWW[[#This Row],[Total PoP ]]</f>
        <v>1</v>
      </c>
      <c r="DD198"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221</v>
      </c>
      <c r="DE198"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8"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8" s="424">
        <f>IF(WWWW[[#This Row],['# of functional latrines in THF supported by WASH partners during the reporting period2]]="",0,WWWW[[#This Row],['# of functional latrines in THF supported by WASH partners during the reporting period2]]*50)</f>
        <v>0</v>
      </c>
      <c r="DH198" s="734">
        <f>ROUND(IF(WWWW[[#This Row],[Location Type 1]]="camp",WWWW[[#This Row],[Total PoP ]]/20,IF(WWWW[[#This Row],[Location Type 1]]="Temporary Location",WWWW[[#This Row],[Total PoP ]]/50,(WWWW[[#This Row],[Total PoP ]]/6))),0)</f>
        <v>11</v>
      </c>
      <c r="DI198" s="734">
        <f>IF(WWWW[[#This Row],[Total required Latrines]]-(WWWW[[#This Row],['#_Constructed latrines_by_WASHAgencies]]+WWWW[[#This Row],['#_Non Cluster partner latrines]])&lt;0,0,WWWW[[#This Row],[Total required Latrines]]-(WWWW[[#This Row],['#_Constructed latrines_by_WASHAgencies]]+WWWW[[#This Row],['#_Non Cluster partner latrines]]))</f>
        <v>0</v>
      </c>
      <c r="DJ198" s="736">
        <f>1-WWWW[[#This Row],[% people access to functioning Latrine]]</f>
        <v>0</v>
      </c>
      <c r="DK198" s="735">
        <f>IF(OR(WWWW[[#This Row],['#_Non-functional latrines]]="",WWWW[[#This Row],['#_Non-functional latrines]]=0),0,WWWW[[#This Row],['#_Non-functional latrines]]/(WWWW[[#This Row],['#_Constructed latrines_by_WASHAgencies]]+WWWW[[#This Row],['#_Non Cluster partner latrines]]))</f>
        <v>0</v>
      </c>
      <c r="DL198" s="731">
        <f>IF(500*(WWWW[[#This Row],['#_male hygiene promoters]]+WWWW[[#This Row],['#_female hygiene promoters]])&gt;WWWW[[#This Row],[Total PoP ]],WWWW[[#This Row],[Total PoP ]],500*(WWWW[[#This Row],['#_male hygiene promoters]]+WWWW[[#This Row],['#_female hygiene promoters]]))</f>
        <v>221</v>
      </c>
      <c r="DM198"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N198"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98" s="734">
        <f>IF(WWWW[[#This Row],['# People with access to soap]]&gt;WWWW[[#This Row],['# People with access to Sanity Pads]],WWWW[[#This Row],['# People with access to soap]],WWWW[[#This Row],['# People with access to Sanity Pads]])</f>
        <v>221</v>
      </c>
      <c r="DP198" s="734">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Q198" s="736">
        <f>IF(WWWW[[#This Row],[HRP3]]/WWWW[[#This Row],[Total PoP ]]&gt;1,1,WWWW[[#This Row],[HRP3]]/WWWW[[#This Row],[Total PoP ]])</f>
        <v>1</v>
      </c>
      <c r="DR198" s="735">
        <f>1-WWWW[[#This Row],[Hygiene Coverage%]]</f>
        <v>0</v>
      </c>
      <c r="DS198" s="733">
        <f>WWWW[[#This Row],['# people reached by regular dedicated hygiene promotion_5]]/WWWW[[#This Row],[Total PoP ]]</f>
        <v>1</v>
      </c>
      <c r="DT198"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8"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8" s="734">
        <f>WWWW[[#This Row],['#_Constructed/Existing hand washing stations]]-WWWW[[#This Row],['#_Non-Functional_hand_washing_stations]]</f>
        <v>7</v>
      </c>
      <c r="DW198" s="731">
        <f>IF(WWWW[[#This Row],['# Functional hand washing stations during reporting period]]*20&gt;WWWW[[#This Row],[Total HH]],WWWW[[#This Row],[Total HH]],WWWW[[#This Row],['# Functional hand washing stations during reporting period]]*20)</f>
        <v>45</v>
      </c>
      <c r="DX198" s="731">
        <f>IF(WWWW[[#This Row],[Is sufficient soap available for TLS? (Yes/No)]]="yes",WWWW[[#This Row],['#_Constructed/Existing hand washing stations at TLS/CFS/THF]],0)</f>
        <v>0</v>
      </c>
      <c r="DY198" s="428">
        <f>IF(WWWW[[#This Row],['# Functional hand washing stations during reporting period]]*100&gt;WWWW[[#This Row],[Total PoP ]],WWWW[[#This Row],[Total PoP ]],WWWW[[#This Row],['# Functional hand washing stations during reporting period]]*100)</f>
        <v>221</v>
      </c>
      <c r="DZ198" s="428" t="str">
        <f>IF(OR(WWWW[[#This Row],['#_students at TLS_CFS]]="",WWWW[[#This Row],['#_students at TLS_CFS]]=0),"No","Yes")</f>
        <v>No</v>
      </c>
      <c r="EA19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D19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8" s="727" t="str">
        <f>VLOOKUP(WWWW[[#This Row],[Site Name]],SiteDB6[[Site Name]:[CCCM Management]],6,FALSE)</f>
        <v>Yes</v>
      </c>
      <c r="EF198" s="727" t="str">
        <f>VLOOKUP(WWWW[[#This Row],[Site Name]],SiteDB6[[Site Name]:[CCCM Focal Agency]],7,FALSE)</f>
        <v>KMSS-LSO</v>
      </c>
      <c r="EG198" s="727" t="str">
        <f>VLOOKUP(WWWW[[#This Row],[Site Name]],SiteDB6[[Site Name]:[Location Type 1]],9,FALSE)</f>
        <v>Camp</v>
      </c>
      <c r="EH198" s="727" t="str">
        <f>VLOOKUP(WWWW[[#This Row],[Site Name]],SiteDB6[[Site Name]:[Type of Accommodation]],10,FALSE)</f>
        <v>Camp</v>
      </c>
      <c r="EI198" s="727" t="str">
        <f>VLOOKUP(WWWW[[#This Row],[Site Name]],SiteDB6[[Site Name]:[Ethnic or GCA/NGCA]],11,FALSE)</f>
        <v>GCA</v>
      </c>
      <c r="EJ198" s="727">
        <f>VLOOKUP(WWWW[[#This Row],[Site Name]],SiteDB6[[Site Name]:[Lat]],12,FALSE)</f>
        <v>23.59</v>
      </c>
      <c r="EK198" s="727">
        <f>VLOOKUP(WWWW[[#This Row],[Site Name]],SiteDB6[[Site Name]:[Long]],13,FALSE)</f>
        <v>97.805999999999997</v>
      </c>
      <c r="EL198" s="727" t="str">
        <f>VLOOKUP(WWWW[[#This Row],[Site Name]],SiteDB6[[Site Name]:[Pcode]],3,FALSE)</f>
        <v>MMR015CMP067</v>
      </c>
      <c r="EM198" s="732" t="str">
        <f t="shared" si="2"/>
        <v>Covered</v>
      </c>
      <c r="EN198" s="732"/>
      <c r="EO198" s="727">
        <f>VLOOKUP(WWWW[[#This Row],[Site Name]],SiteDB6[[Site Name]:[Pop
(Kachin/Shan-CCCM as of July 2021)]],16,FALSE)</f>
        <v>47</v>
      </c>
      <c r="EP198" s="727">
        <f>VLOOKUP(WWWW[[#This Row],[Site Name]],SiteDB6[[Site Name]:[Pop
(Kachin/Shan-CCCM as of July 2021)]],17,FALSE)</f>
        <v>230</v>
      </c>
    </row>
    <row r="199" spans="1:146" hidden="1">
      <c r="A199" s="725" t="s">
        <v>2763</v>
      </c>
      <c r="B199" s="725" t="s">
        <v>192</v>
      </c>
      <c r="C199" s="726" t="s">
        <v>192</v>
      </c>
      <c r="D199" s="726" t="s">
        <v>2673</v>
      </c>
      <c r="E199" s="726" t="s">
        <v>515</v>
      </c>
      <c r="F199" s="726" t="s">
        <v>536</v>
      </c>
      <c r="G199" s="591" t="str">
        <f>VLOOKUP(WWWW[[#This Row],[Site Name]],SiteDB6[[Site Name]:[Location Type]],8,FALSE)</f>
        <v>Camp</v>
      </c>
      <c r="H199" s="726" t="s">
        <v>537</v>
      </c>
      <c r="I199" s="728">
        <v>16</v>
      </c>
      <c r="J199" s="728">
        <v>91</v>
      </c>
      <c r="K199" s="729" t="s">
        <v>2667</v>
      </c>
      <c r="L199" s="730" t="s">
        <v>2674</v>
      </c>
      <c r="M199" s="728"/>
      <c r="N199" s="728"/>
      <c r="O199" s="728"/>
      <c r="P199" s="728"/>
      <c r="Q199" s="731"/>
      <c r="R199" s="728"/>
      <c r="S199" s="728"/>
      <c r="T199" s="448"/>
      <c r="U199" s="728"/>
      <c r="V199" s="728"/>
      <c r="W199" s="728">
        <v>1</v>
      </c>
      <c r="X199" s="728"/>
      <c r="Y199" s="728"/>
      <c r="Z199" s="728"/>
      <c r="AA199" s="728"/>
      <c r="AB199" s="728"/>
      <c r="AC199" s="728"/>
      <c r="AD199" s="728"/>
      <c r="AE199" s="728"/>
      <c r="AF199" s="728"/>
      <c r="AG199" s="728"/>
      <c r="AH199" s="728"/>
      <c r="AI199" s="728"/>
      <c r="AJ199" s="728"/>
      <c r="AK199" s="728"/>
      <c r="AL199" s="728"/>
      <c r="AM199" s="728"/>
      <c r="AN199" s="728"/>
      <c r="AO199" s="728"/>
      <c r="AP199" s="732"/>
      <c r="AQ199" s="728">
        <v>6</v>
      </c>
      <c r="AR199" s="728"/>
      <c r="AS199" s="733"/>
      <c r="AT199" s="728"/>
      <c r="AU199" s="728"/>
      <c r="AV199" s="728"/>
      <c r="AW199" s="728"/>
      <c r="AX199" s="728"/>
      <c r="AY199" s="727" t="s">
        <v>136</v>
      </c>
      <c r="AZ199" s="732" t="s">
        <v>904</v>
      </c>
      <c r="BA199" s="728"/>
      <c r="BB199" s="728"/>
      <c r="BC199" s="728"/>
      <c r="BD199" s="448"/>
      <c r="BE199" s="448"/>
      <c r="BF199" s="727"/>
      <c r="BG199" s="728">
        <v>7</v>
      </c>
      <c r="BH199" s="728"/>
      <c r="BI199" s="728"/>
      <c r="BJ199" s="728">
        <v>4</v>
      </c>
      <c r="BK199" s="728"/>
      <c r="BL199" s="728"/>
      <c r="BM199" s="728"/>
      <c r="BN199" s="728">
        <v>124</v>
      </c>
      <c r="BO199" s="728">
        <v>198</v>
      </c>
      <c r="BP199" s="727"/>
      <c r="BQ199" s="734"/>
      <c r="BR199" s="733"/>
      <c r="BS199" s="727"/>
      <c r="BT199" s="423"/>
      <c r="BU199" s="423"/>
      <c r="BV199" s="425"/>
      <c r="BW199" s="423"/>
      <c r="BX199" s="448"/>
      <c r="BY199" s="448"/>
      <c r="BZ199" s="448"/>
      <c r="CA199" s="448"/>
      <c r="CB199" s="448"/>
      <c r="CC199" s="777"/>
      <c r="CD199" s="448"/>
      <c r="CE199" s="735" t="str">
        <f>IFERROR(WWWW[[#This Row],['#_Water sources passed]]/WWWW[[#This Row],['#_Water sources tested for fecal coliform ]],"no test")</f>
        <v>no test</v>
      </c>
      <c r="CF199" s="733" t="str">
        <f>IFERROR(WWWW[[#This Row],['#_Household passed]]/WWWW[[#This Row],['#_Household water samples tested for fecal coliform]],"no test")</f>
        <v>no test</v>
      </c>
      <c r="CG199" s="734" t="str">
        <f>IF(AND(WWWW[[#This Row],[% of water sources passed]]="no test",WWWW[[#This Row],[% Household passed]]="no test"),"No Test","Tested")</f>
        <v>No Test</v>
      </c>
      <c r="CH199" s="734">
        <f>WWWW[[#This Row],['#_Constructed/existing protected hand dug well]]-WWWW[[#This Row],['#_Non-functional protected hand dug well]]</f>
        <v>0</v>
      </c>
      <c r="CI199" s="734">
        <f>(WWWW[[#This Row],['#_Constructed/Existing tube wells/boreholes/handpumps_WASH_agency]]+WWWW[[#This Row],['#_Non-Cluster partner water tube-wells/boreholes/handpumps]])-WWWW[[#This Row],['#_Non-functional tube wells/boreholes/handpumps]]</f>
        <v>1</v>
      </c>
      <c r="CJ199" s="734">
        <f>WWWW[[#This Row],['#_Constructed/Existingwater storage tank with gravity fed reticulation system]]-WWWW[[#This Row],['#_Non-functional storage tank gravity fed reticulation system]]</f>
        <v>0</v>
      </c>
      <c r="CK199" s="734">
        <f>(WWWW[[#This Row],['#_Water_Liters_supplied_by_Water boating or water trucking]]/90)/15</f>
        <v>0</v>
      </c>
      <c r="CL199" s="734">
        <f>WWWW[[#This Row],['#_Water_Liters_from_Constructed/Existing water distribution system from river or natural spring]]/90/15</f>
        <v>0</v>
      </c>
      <c r="CM199" s="424">
        <f>IF(WWWW[[#This Row],['#_of water points in TLS/CFS]]*500&gt;WWWW[[#This Row],[Total PoP ]],WWWW[[#This Row],[Total PoP ]],WWWW[[#This Row],['#_of water points in TLS/CFS]]*500)</f>
        <v>0</v>
      </c>
      <c r="CN199" s="424">
        <f>IF(WWWW[[#This Row],['#_of water points in THF]]*500&gt;WWWW[[#This Row],[Total PoP ]],WWWW[[#This Row],[Total PoP ]],WWWW[[#This Row],['#_of water points in THF]]*500)</f>
        <v>0</v>
      </c>
      <c r="CO199"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9"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9" s="733">
        <f>IF(WWWW[[#This Row],[Location Type 1]]="Village",WWWW[[#This Row],[Access to safe drinking water for Village]],WWWW[[#This Row],[Access to safe drinking water for Camp]])</f>
        <v>1</v>
      </c>
      <c r="CR199" s="731">
        <f>WWWW[[#This Row],[%Equitable and continuous access to sufficient quantity of safe drinking water]]*WWWW[[#This Row],[Total PoP ]]</f>
        <v>91</v>
      </c>
      <c r="CS199" s="733">
        <f>IF((WWWW[[#This Row],['#_Constructed/Existing protected/fenced ponds]]*250)/WWWW[[#This Row],[Total PoP ]]&gt;1,1,(WWWW[[#This Row],['#_Constructed/Existing protected/fenced ponds]]*250)/WWWW[[#This Row],[Total PoP ]])</f>
        <v>0</v>
      </c>
      <c r="CT199" s="731">
        <f>WWWW[[#This Row],[% Access to unimproved water points]]*WWWW[[#This Row],[Total PoP ]]</f>
        <v>0</v>
      </c>
      <c r="CU199"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9"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v>
      </c>
      <c r="CW199" s="731">
        <f>WWWW[[#This Row],[HRP1]]/500</f>
        <v>0.182</v>
      </c>
      <c r="CX199" s="736">
        <f>1-WWWW[[#This Row],[% Equitable and continuous access to sufficient quantity of domestic water]]</f>
        <v>0</v>
      </c>
      <c r="CY199" s="731">
        <f>WWWW[[#This Row],[%equitable and continuous access to sufficient quantity of safe drinking and domestic water''s GAP]]*WWWW[[#This Row],[Total PoP ]]</f>
        <v>0</v>
      </c>
      <c r="CZ199" s="734">
        <f>IF(WWWW[[#This Row],[Total required water points]]-WWWW[[#This Row],['#Water points coverage]]&lt;0,0,WWWW[[#This Row],[Total required water points]]-WWWW[[#This Row],['#Water points coverage]])</f>
        <v>0.81800000000000006</v>
      </c>
      <c r="DA199" s="734">
        <f>ROUND(IF(WWWW[[#This Row],[Total PoP ]]&lt;500,1,WWWW[[#This Row],[Total PoP ]]/500),0)</f>
        <v>1</v>
      </c>
      <c r="DB199" s="734">
        <f>(WWWW[[#This Row],['#_Constructed latrines_by_WASHAgencies]]+WWWW[[#This Row],['#_Non Cluster partner latrines]])-WWWW[[#This Row],['#_Non-functional latrines]]</f>
        <v>6</v>
      </c>
      <c r="DC199" s="631">
        <f>WWWW[[#This Row],[HRP2]]/WWWW[[#This Row],[Total PoP ]]</f>
        <v>1</v>
      </c>
      <c r="DD199"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91</v>
      </c>
      <c r="DE199"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9"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9" s="424">
        <f>IF(WWWW[[#This Row],['# of functional latrines in THF supported by WASH partners during the reporting period2]]="",0,WWWW[[#This Row],['# of functional latrines in THF supported by WASH partners during the reporting period2]]*50)</f>
        <v>0</v>
      </c>
      <c r="DH199" s="734">
        <f>ROUND(IF(WWWW[[#This Row],[Location Type 1]]="camp",WWWW[[#This Row],[Total PoP ]]/20,IF(WWWW[[#This Row],[Location Type 1]]="Temporary Location",WWWW[[#This Row],[Total PoP ]]/50,(WWWW[[#This Row],[Total PoP ]]/6))),0)</f>
        <v>5</v>
      </c>
      <c r="DI199" s="734">
        <f>IF(WWWW[[#This Row],[Total required Latrines]]-(WWWW[[#This Row],['#_Constructed latrines_by_WASHAgencies]]+WWWW[[#This Row],['#_Non Cluster partner latrines]])&lt;0,0,WWWW[[#This Row],[Total required Latrines]]-(WWWW[[#This Row],['#_Constructed latrines_by_WASHAgencies]]+WWWW[[#This Row],['#_Non Cluster partner latrines]]))</f>
        <v>0</v>
      </c>
      <c r="DJ199" s="736">
        <f>1-WWWW[[#This Row],[% people access to functioning Latrine]]</f>
        <v>0</v>
      </c>
      <c r="DK199" s="735">
        <f>IF(OR(WWWW[[#This Row],['#_Non-functional latrines]]="",WWWW[[#This Row],['#_Non-functional latrines]]=0),0,WWWW[[#This Row],['#_Non-functional latrines]]/(WWWW[[#This Row],['#_Constructed latrines_by_WASHAgencies]]+WWWW[[#This Row],['#_Non Cluster partner latrines]]))</f>
        <v>0</v>
      </c>
      <c r="DL199" s="731">
        <f>IF(500*(WWWW[[#This Row],['#_male hygiene promoters]]+WWWW[[#This Row],['#_female hygiene promoters]])&gt;WWWW[[#This Row],[Total PoP ]],WWWW[[#This Row],[Total PoP ]],500*(WWWW[[#This Row],['#_male hygiene promoters]]+WWWW[[#This Row],['#_female hygiene promoters]]))</f>
        <v>0</v>
      </c>
      <c r="DM199"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91</v>
      </c>
      <c r="DN199"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91</v>
      </c>
      <c r="DO199" s="734">
        <f>IF(WWWW[[#This Row],['# People with access to soap]]&gt;WWWW[[#This Row],['# People with access to Sanity Pads]],WWWW[[#This Row],['# People with access to soap]],WWWW[[#This Row],['# People with access to Sanity Pads]])</f>
        <v>91</v>
      </c>
      <c r="DP199" s="734">
        <f>IF(WWWW[[#This Row],['# people reached by regular dedicated hygiene promotion_5]]&gt;WWWW[[#This Row],['# People received regular supply of hygiene items_6]],WWWW[[#This Row],['# people reached by regular dedicated hygiene promotion_5]],WWWW[[#This Row],['# People received regular supply of hygiene items_6]])</f>
        <v>91</v>
      </c>
      <c r="DQ199" s="736">
        <f>IF(WWWW[[#This Row],[HRP3]]/WWWW[[#This Row],[Total PoP ]]&gt;1,1,WWWW[[#This Row],[HRP3]]/WWWW[[#This Row],[Total PoP ]])</f>
        <v>1</v>
      </c>
      <c r="DR199" s="735">
        <f>1-WWWW[[#This Row],[Hygiene Coverage%]]</f>
        <v>0</v>
      </c>
      <c r="DS199" s="733">
        <f>WWWW[[#This Row],['# people reached by regular dedicated hygiene promotion_5]]/WWWW[[#This Row],[Total PoP ]]</f>
        <v>0</v>
      </c>
      <c r="DT199"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9"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9" s="734">
        <f>WWWW[[#This Row],['#_Constructed/Existing hand washing stations]]-WWWW[[#This Row],['#_Non-Functional_hand_washing_stations]]</f>
        <v>7</v>
      </c>
      <c r="DW199" s="731">
        <f>IF(WWWW[[#This Row],['# Functional hand washing stations during reporting period]]*20&gt;WWWW[[#This Row],[Total HH]],WWWW[[#This Row],[Total HH]],WWWW[[#This Row],['# Functional hand washing stations during reporting period]]*20)</f>
        <v>16</v>
      </c>
      <c r="DX199" s="731">
        <f>IF(WWWW[[#This Row],[Is sufficient soap available for TLS? (Yes/No)]]="yes",WWWW[[#This Row],['#_Constructed/Existing hand washing stations at TLS/CFS/THF]],0)</f>
        <v>0</v>
      </c>
      <c r="DY199" s="428">
        <f>IF(WWWW[[#This Row],['# Functional hand washing stations during reporting period]]*100&gt;WWWW[[#This Row],[Total PoP ]],WWWW[[#This Row],[Total PoP ]],WWWW[[#This Row],['# Functional hand washing stations during reporting period]]*100)</f>
        <v>91</v>
      </c>
      <c r="DZ199" s="428" t="str">
        <f>IF(OR(WWWW[[#This Row],['#_students at TLS_CFS]]="",WWWW[[#This Row],['#_students at TLS_CFS]]=0),"No","Yes")</f>
        <v>No</v>
      </c>
      <c r="EA19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9" s="727">
        <f>VLOOKUP(WWWW[[#This Row],[Site Name]],SiteDB6[[Site Name]:[CCCM Management]],6,FALSE)</f>
        <v>0</v>
      </c>
      <c r="EF199" s="727" t="str">
        <f>VLOOKUP(WWWW[[#This Row],[Site Name]],SiteDB6[[Site Name]:[CCCM Focal Agency]],7,FALSE)</f>
        <v>uncovered</v>
      </c>
      <c r="EG199" s="727" t="str">
        <f>VLOOKUP(WWWW[[#This Row],[Site Name]],SiteDB6[[Site Name]:[Location Type 1]],9,FALSE)</f>
        <v>Camp</v>
      </c>
      <c r="EH199" s="727" t="str">
        <f>VLOOKUP(WWWW[[#This Row],[Site Name]],SiteDB6[[Site Name]:[Type of Accommodation]],10,FALSE)</f>
        <v>Closed Camp</v>
      </c>
      <c r="EI199" s="727" t="str">
        <f>VLOOKUP(WWWW[[#This Row],[Site Name]],SiteDB6[[Site Name]:[Ethnic or GCA/NGCA]],11,FALSE)</f>
        <v>GCA</v>
      </c>
      <c r="EJ199" s="727">
        <f>VLOOKUP(WWWW[[#This Row],[Site Name]],SiteDB6[[Site Name]:[Lat]],12,FALSE)</f>
        <v>22.765999999999998</v>
      </c>
      <c r="EK199" s="727">
        <f>VLOOKUP(WWWW[[#This Row],[Site Name]],SiteDB6[[Site Name]:[Long]],13,FALSE)</f>
        <v>97.358999999999995</v>
      </c>
      <c r="EL199" s="727" t="str">
        <f>VLOOKUP(WWWW[[#This Row],[Site Name]],SiteDB6[[Site Name]:[Pcode]],3,FALSE)</f>
        <v>MMR015CMP221</v>
      </c>
      <c r="EM199" s="732" t="str">
        <f t="shared" ref="EM199:EM262" si="3">IF(C199="none","Notcovered","Covered")</f>
        <v>Covered</v>
      </c>
      <c r="EN199" s="732"/>
      <c r="EO199" s="727">
        <f>VLOOKUP(WWWW[[#This Row],[Site Name]],SiteDB6[[Site Name]:[Pop
(Kachin/Shan-CCCM as of July 2021)]],16,FALSE)</f>
        <v>3</v>
      </c>
      <c r="EP199" s="727">
        <f>VLOOKUP(WWWW[[#This Row],[Site Name]],SiteDB6[[Site Name]:[Pop
(Kachin/Shan-CCCM as of July 2021)]],17,FALSE)</f>
        <v>17</v>
      </c>
    </row>
    <row r="200" spans="1:146" hidden="1">
      <c r="A200" s="725" t="s">
        <v>2763</v>
      </c>
      <c r="B200" s="725" t="s">
        <v>2161</v>
      </c>
      <c r="C200" s="726" t="s">
        <v>2161</v>
      </c>
      <c r="D200" s="726" t="s">
        <v>241</v>
      </c>
      <c r="E200" s="726" t="s">
        <v>515</v>
      </c>
      <c r="F200" s="726" t="s">
        <v>963</v>
      </c>
      <c r="G200" s="591" t="str">
        <f>VLOOKUP(WWWW[[#This Row],[Site Name]],SiteDB6[[Site Name]:[Location Type]],8,FALSE)</f>
        <v>Camp</v>
      </c>
      <c r="H200" s="726" t="s">
        <v>2603</v>
      </c>
      <c r="I200" s="728">
        <v>627</v>
      </c>
      <c r="J200" s="728">
        <v>3469</v>
      </c>
      <c r="K200" s="729">
        <v>44488</v>
      </c>
      <c r="L200" s="589">
        <v>44852</v>
      </c>
      <c r="M200" s="728"/>
      <c r="N200" s="728"/>
      <c r="O200" s="728"/>
      <c r="P200" s="728"/>
      <c r="Q200" s="731" t="s">
        <v>41</v>
      </c>
      <c r="R200" s="728">
        <v>5</v>
      </c>
      <c r="S200" s="728">
        <v>4</v>
      </c>
      <c r="T200" s="448"/>
      <c r="U200" s="728"/>
      <c r="V200" s="728"/>
      <c r="W200" s="728"/>
      <c r="X200" s="728"/>
      <c r="Y200" s="728"/>
      <c r="Z200" s="728"/>
      <c r="AA200" s="728"/>
      <c r="AB200" s="728"/>
      <c r="AC200" s="728"/>
      <c r="AD200" s="728"/>
      <c r="AE200" s="728"/>
      <c r="AF200" s="728"/>
      <c r="AG200" s="728"/>
      <c r="AH200" s="728"/>
      <c r="AI200" s="728"/>
      <c r="AJ200" s="728"/>
      <c r="AK200" s="728"/>
      <c r="AL200" s="728"/>
      <c r="AM200" s="728"/>
      <c r="AN200" s="728"/>
      <c r="AO200" s="728"/>
      <c r="AP200" s="732"/>
      <c r="AQ200" s="728"/>
      <c r="AR200" s="448">
        <v>627</v>
      </c>
      <c r="AS200" s="733"/>
      <c r="AT200" s="728"/>
      <c r="AU200" s="728"/>
      <c r="AV200" s="728"/>
      <c r="AW200" s="728"/>
      <c r="AX200" s="728"/>
      <c r="AY200" s="425" t="s">
        <v>136</v>
      </c>
      <c r="AZ200" s="590" t="s">
        <v>136</v>
      </c>
      <c r="BA200" s="728"/>
      <c r="BB200" s="728"/>
      <c r="BC200" s="728"/>
      <c r="BD200" s="448"/>
      <c r="BE200" s="448"/>
      <c r="BF200" s="727"/>
      <c r="BG200" s="728">
        <v>3</v>
      </c>
      <c r="BH200" s="728"/>
      <c r="BI200" s="728"/>
      <c r="BJ200" s="728">
        <v>2</v>
      </c>
      <c r="BK200" s="728"/>
      <c r="BL200" s="728"/>
      <c r="BM200" s="728"/>
      <c r="BN200" s="728">
        <v>10</v>
      </c>
      <c r="BO200" s="728">
        <v>18</v>
      </c>
      <c r="BP200" s="727"/>
      <c r="BQ200" s="734"/>
      <c r="BR200" s="733"/>
      <c r="BS200" s="727"/>
      <c r="BT200" s="423"/>
      <c r="BU200" s="423"/>
      <c r="BV200" s="425"/>
      <c r="BW200" s="423"/>
      <c r="BX200" s="448"/>
      <c r="BY200" s="448"/>
      <c r="BZ200" s="448"/>
      <c r="CA200" s="448"/>
      <c r="CB200" s="448"/>
      <c r="CC200" s="777"/>
      <c r="CD200" s="448"/>
      <c r="CE200" s="735" t="str">
        <f>IFERROR(WWWW[[#This Row],['#_Water sources passed]]/WWWW[[#This Row],['#_Water sources tested for fecal coliform ]],"no test")</f>
        <v>no test</v>
      </c>
      <c r="CF200" s="733" t="str">
        <f>IFERROR(WWWW[[#This Row],['#_Household passed]]/WWWW[[#This Row],['#_Household water samples tested for fecal coliform]],"no test")</f>
        <v>no test</v>
      </c>
      <c r="CG200" s="734" t="str">
        <f>IF(AND(WWWW[[#This Row],[% of water sources passed]]="no test",WWWW[[#This Row],[% Household passed]]="no test"),"No Test","Tested")</f>
        <v>No Test</v>
      </c>
      <c r="CH200" s="734">
        <f>WWWW[[#This Row],['#_Constructed/existing protected hand dug well]]-WWWW[[#This Row],['#_Non-functional protected hand dug well]]</f>
        <v>0</v>
      </c>
      <c r="CI200" s="734">
        <f>(WWWW[[#This Row],['#_Constructed/Existing tube wells/boreholes/handpumps_WASH_agency]]+WWWW[[#This Row],['#_Non-Cluster partner water tube-wells/boreholes/handpumps]])-WWWW[[#This Row],['#_Non-functional tube wells/boreholes/handpumps]]</f>
        <v>0</v>
      </c>
      <c r="CJ200" s="734">
        <f>WWWW[[#This Row],['#_Constructed/Existingwater storage tank with gravity fed reticulation system]]-WWWW[[#This Row],['#_Non-functional storage tank gravity fed reticulation system]]</f>
        <v>0</v>
      </c>
      <c r="CK200" s="734">
        <f>(WWWW[[#This Row],['#_Water_Liters_supplied_by_Water boating or water trucking]]/90)/15</f>
        <v>0</v>
      </c>
      <c r="CL200" s="734">
        <f>WWWW[[#This Row],['#_Water_Liters_from_Constructed/Existing water distribution system from river or natural spring]]/90/15</f>
        <v>0</v>
      </c>
      <c r="CM200" s="424">
        <f>IF(WWWW[[#This Row],['#_of water points in TLS/CFS]]*500&gt;WWWW[[#This Row],[Total PoP ]],WWWW[[#This Row],[Total PoP ]],WWWW[[#This Row],['#_of water points in TLS/CFS]]*500)</f>
        <v>0</v>
      </c>
      <c r="CN200" s="424">
        <f>IF(WWWW[[#This Row],['#_of water points in THF]]*500&gt;WWWW[[#This Row],[Total PoP ]],WWWW[[#This Row],[Total PoP ]],WWWW[[#This Row],['#_of water points in THF]]*500)</f>
        <v>0</v>
      </c>
      <c r="CO200"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00"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00" s="733">
        <f>IF(WWWW[[#This Row],[Location Type 1]]="Village",WWWW[[#This Row],[Access to safe drinking water for Village]],WWWW[[#This Row],[Access to safe drinking water for Camp]])</f>
        <v>0</v>
      </c>
      <c r="CR200" s="731">
        <f>WWWW[[#This Row],[%Equitable and continuous access to sufficient quantity of safe drinking water]]*WWWW[[#This Row],[Total PoP ]]</f>
        <v>0</v>
      </c>
      <c r="CS200" s="733">
        <f>IF((WWWW[[#This Row],['#_Constructed/Existing protected/fenced ponds]]*250)/WWWW[[#This Row],[Total PoP ]]&gt;1,1,(WWWW[[#This Row],['#_Constructed/Existing protected/fenced ponds]]*250)/WWWW[[#This Row],[Total PoP ]])</f>
        <v>0</v>
      </c>
      <c r="CT200" s="731">
        <f>WWWW[[#This Row],[% Access to unimproved water points]]*WWWW[[#This Row],[Total PoP ]]</f>
        <v>0</v>
      </c>
      <c r="CU200"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00"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00" s="731">
        <f>WWWW[[#This Row],[HRP1]]/500</f>
        <v>0</v>
      </c>
      <c r="CX200" s="736">
        <f>1-WWWW[[#This Row],[% Equitable and continuous access to sufficient quantity of domestic water]]</f>
        <v>1</v>
      </c>
      <c r="CY200" s="731">
        <f>WWWW[[#This Row],[%equitable and continuous access to sufficient quantity of safe drinking and domestic water''s GAP]]*WWWW[[#This Row],[Total PoP ]]</f>
        <v>3469</v>
      </c>
      <c r="CZ200" s="734">
        <f>IF(WWWW[[#This Row],[Total required water points]]-WWWW[[#This Row],['#Water points coverage]]&lt;0,0,WWWW[[#This Row],[Total required water points]]-WWWW[[#This Row],['#Water points coverage]])</f>
        <v>7</v>
      </c>
      <c r="DA200" s="734">
        <f>ROUND(IF(WWWW[[#This Row],[Total PoP ]]&lt;500,1,WWWW[[#This Row],[Total PoP ]]/500),0)</f>
        <v>7</v>
      </c>
      <c r="DB200" s="734">
        <f>(WWWW[[#This Row],['#_Constructed latrines_by_WASHAgencies]]+WWWW[[#This Row],['#_Non Cluster partner latrines]])-WWWW[[#This Row],['#_Non-functional latrines]]</f>
        <v>627</v>
      </c>
      <c r="DC200" s="631">
        <f>WWWW[[#This Row],[HRP2]]/WWWW[[#This Row],[Total PoP ]]</f>
        <v>1</v>
      </c>
      <c r="DD200"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3469</v>
      </c>
      <c r="DE200"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0"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0" s="424">
        <f>IF(WWWW[[#This Row],['# of functional latrines in THF supported by WASH partners during the reporting period2]]="",0,WWWW[[#This Row],['# of functional latrines in THF supported by WASH partners during the reporting period2]]*50)</f>
        <v>0</v>
      </c>
      <c r="DH200" s="734">
        <f>ROUND(IF(WWWW[[#This Row],[Location Type 1]]="camp",WWWW[[#This Row],[Total PoP ]]/20,IF(WWWW[[#This Row],[Location Type 1]]="Temporary Location",WWWW[[#This Row],[Total PoP ]]/50,(WWWW[[#This Row],[Total PoP ]]/6))),0)</f>
        <v>173</v>
      </c>
      <c r="DI200" s="734">
        <f>IF(WWWW[[#This Row],[Total required Latrines]]-(WWWW[[#This Row],['#_Constructed latrines_by_WASHAgencies]]+WWWW[[#This Row],['#_Non Cluster partner latrines]])&lt;0,0,WWWW[[#This Row],[Total required Latrines]]-(WWWW[[#This Row],['#_Constructed latrines_by_WASHAgencies]]+WWWW[[#This Row],['#_Non Cluster partner latrines]]))</f>
        <v>0</v>
      </c>
      <c r="DJ200" s="736">
        <f>1-WWWW[[#This Row],[% people access to functioning Latrine]]</f>
        <v>0</v>
      </c>
      <c r="DK200" s="735">
        <f>IF(OR(WWWW[[#This Row],['#_Non-functional latrines]]="",WWWW[[#This Row],['#_Non-functional latrines]]=0),0,WWWW[[#This Row],['#_Non-functional latrines]]/(WWWW[[#This Row],['#_Constructed latrines_by_WASHAgencies]]+WWWW[[#This Row],['#_Non Cluster partner latrines]]))</f>
        <v>0</v>
      </c>
      <c r="DL200" s="731">
        <f>IF(500*(WWWW[[#This Row],['#_male hygiene promoters]]+WWWW[[#This Row],['#_female hygiene promoters]])&gt;WWWW[[#This Row],[Total PoP ]],WWWW[[#This Row],[Total PoP ]],500*(WWWW[[#This Row],['#_male hygiene promoters]]+WWWW[[#This Row],['#_female hygiene promoters]]))</f>
        <v>0</v>
      </c>
      <c r="DM200"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200"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200" s="734">
        <f>IF(WWWW[[#This Row],['# People with access to soap]]&gt;WWWW[[#This Row],['# People with access to Sanity Pads]],WWWW[[#This Row],['# People with access to soap]],WWWW[[#This Row],['# People with access to Sanity Pads]])</f>
        <v>50</v>
      </c>
      <c r="DP200" s="734">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200" s="736">
        <f>IF(WWWW[[#This Row],[HRP3]]/WWWW[[#This Row],[Total PoP ]]&gt;1,1,WWWW[[#This Row],[HRP3]]/WWWW[[#This Row],[Total PoP ]])</f>
        <v>1.4413375612568464E-2</v>
      </c>
      <c r="DR200" s="735">
        <f>1-WWWW[[#This Row],[Hygiene Coverage%]]</f>
        <v>0.9855866243874315</v>
      </c>
      <c r="DS200" s="733">
        <f>WWWW[[#This Row],['# people reached by regular dedicated hygiene promotion_5]]/WWWW[[#This Row],[Total PoP ]]</f>
        <v>0</v>
      </c>
      <c r="DT200"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6.3795853269537475E-2</v>
      </c>
      <c r="DU200"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2.8708133971291867E-2</v>
      </c>
      <c r="DV200" s="734">
        <f>WWWW[[#This Row],['#_Constructed/Existing hand washing stations]]-WWWW[[#This Row],['#_Non-Functional_hand_washing_stations]]</f>
        <v>3</v>
      </c>
      <c r="DW200" s="731">
        <f>IF(WWWW[[#This Row],['# Functional hand washing stations during reporting period]]*20&gt;WWWW[[#This Row],[Total HH]],WWWW[[#This Row],[Total HH]],WWWW[[#This Row],['# Functional hand washing stations during reporting period]]*20)</f>
        <v>60</v>
      </c>
      <c r="DX200" s="731">
        <f>IF(WWWW[[#This Row],[Is sufficient soap available for TLS? (Yes/No)]]="yes",WWWW[[#This Row],['#_Constructed/Existing hand washing stations at TLS/CFS/THF]],0)</f>
        <v>0</v>
      </c>
      <c r="DY200" s="428">
        <f>IF(WWWW[[#This Row],['# Functional hand washing stations during reporting period]]*100&gt;WWWW[[#This Row],[Total PoP ]],WWWW[[#This Row],[Total PoP ]],WWWW[[#This Row],['# Functional hand washing stations during reporting period]]*100)</f>
        <v>300</v>
      </c>
      <c r="DZ200" s="428" t="str">
        <f>IF(OR(WWWW[[#This Row],['#_students at TLS_CFS]]="",WWWW[[#This Row],['#_students at TLS_CFS]]=0),"No","Yes")</f>
        <v>No</v>
      </c>
      <c r="EA20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0" s="727">
        <f>VLOOKUP(WWWW[[#This Row],[Site Name]],SiteDB6[[Site Name]:[CCCM Management]],6,FALSE)</f>
        <v>0</v>
      </c>
      <c r="EF200" s="727">
        <f>VLOOKUP(WWWW[[#This Row],[Site Name]],SiteDB6[[Site Name]:[CCCM Focal Agency]],7,FALSE)</f>
        <v>0</v>
      </c>
      <c r="EG200" s="727" t="str">
        <f>VLOOKUP(WWWW[[#This Row],[Site Name]],SiteDB6[[Site Name]:[Location Type 1]],9,FALSE)</f>
        <v>Camp</v>
      </c>
      <c r="EH200" s="727" t="str">
        <f>VLOOKUP(WWWW[[#This Row],[Site Name]],SiteDB6[[Site Name]:[Type of Accommodation]],10,FALSE)</f>
        <v>Camp Like setting</v>
      </c>
      <c r="EI200" s="727" t="str">
        <f>VLOOKUP(WWWW[[#This Row],[Site Name]],SiteDB6[[Site Name]:[Ethnic or GCA/NGCA]],11,FALSE)</f>
        <v>GCA</v>
      </c>
      <c r="EJ200" s="727">
        <f>VLOOKUP(WWWW[[#This Row],[Site Name]],SiteDB6[[Site Name]:[Lat]],12,FALSE)</f>
        <v>23.729893000000001</v>
      </c>
      <c r="EK200" s="727">
        <f>VLOOKUP(WWWW[[#This Row],[Site Name]],SiteDB6[[Site Name]:[Long]],13,FALSE)</f>
        <v>98.779853500000002</v>
      </c>
      <c r="EL200" s="727" t="str">
        <f>VLOOKUP(WWWW[[#This Row],[Site Name]],SiteDB6[[Site Name]:[Pcode]],3,FALSE)</f>
        <v>MMR015CMP070</v>
      </c>
      <c r="EM200" s="732" t="str">
        <f t="shared" si="3"/>
        <v>Covered</v>
      </c>
      <c r="EN200" s="732"/>
      <c r="EO200" s="727">
        <f>VLOOKUP(WWWW[[#This Row],[Site Name]],SiteDB6[[Site Name]:[Pop
(Kachin/Shan-CCCM as of July 2021)]],16,FALSE)</f>
        <v>34</v>
      </c>
      <c r="EP200" s="727">
        <f>VLOOKUP(WWWW[[#This Row],[Site Name]],SiteDB6[[Site Name]:[Pop
(Kachin/Shan-CCCM as of July 2021)]],17,FALSE)</f>
        <v>170</v>
      </c>
    </row>
    <row r="201" spans="1:146" hidden="1">
      <c r="A201" s="725" t="s">
        <v>2763</v>
      </c>
      <c r="B201" s="725" t="s">
        <v>192</v>
      </c>
      <c r="C201" s="726" t="s">
        <v>192</v>
      </c>
      <c r="D201" s="726" t="s">
        <v>2673</v>
      </c>
      <c r="E201" s="726" t="s">
        <v>515</v>
      </c>
      <c r="F201" s="726" t="s">
        <v>534</v>
      </c>
      <c r="G201" s="591" t="str">
        <f>VLOOKUP(WWWW[[#This Row],[Site Name]],SiteDB6[[Site Name]:[Location Type]],8,FALSE)</f>
        <v>Camp</v>
      </c>
      <c r="H201" s="726" t="s">
        <v>563</v>
      </c>
      <c r="I201" s="728">
        <v>42</v>
      </c>
      <c r="J201" s="728">
        <v>195</v>
      </c>
      <c r="K201" s="588" t="s">
        <v>2767</v>
      </c>
      <c r="L201" s="589" t="s">
        <v>2768</v>
      </c>
      <c r="M201" s="728"/>
      <c r="N201" s="728"/>
      <c r="O201" s="728"/>
      <c r="P201" s="728"/>
      <c r="Q201" s="731"/>
      <c r="R201" s="728">
        <v>4</v>
      </c>
      <c r="S201" s="728">
        <v>4</v>
      </c>
      <c r="T201" s="448"/>
      <c r="U201" s="728"/>
      <c r="V201" s="728"/>
      <c r="W201" s="728">
        <v>1</v>
      </c>
      <c r="X201" s="728"/>
      <c r="Y201" s="728"/>
      <c r="Z201" s="728"/>
      <c r="AA201" s="728">
        <v>1</v>
      </c>
      <c r="AB201" s="728"/>
      <c r="AC201" s="728"/>
      <c r="AD201" s="728"/>
      <c r="AE201" s="728"/>
      <c r="AF201" s="728"/>
      <c r="AG201" s="728"/>
      <c r="AH201" s="728">
        <v>1</v>
      </c>
      <c r="AI201" s="728"/>
      <c r="AJ201" s="728"/>
      <c r="AK201" s="728"/>
      <c r="AL201" s="728"/>
      <c r="AM201" s="728">
        <v>1</v>
      </c>
      <c r="AN201" s="728"/>
      <c r="AO201" s="728"/>
      <c r="AP201" s="732"/>
      <c r="AQ201" s="728">
        <v>38</v>
      </c>
      <c r="AR201" s="728"/>
      <c r="AS201" s="733"/>
      <c r="AT201" s="728"/>
      <c r="AU201" s="728"/>
      <c r="AV201" s="728"/>
      <c r="AW201" s="728"/>
      <c r="AX201" s="728"/>
      <c r="AY201" s="727" t="s">
        <v>136</v>
      </c>
      <c r="AZ201" s="732" t="s">
        <v>136</v>
      </c>
      <c r="BA201" s="728"/>
      <c r="BB201" s="728"/>
      <c r="BC201" s="728"/>
      <c r="BD201" s="448"/>
      <c r="BE201" s="448"/>
      <c r="BF201" s="727"/>
      <c r="BG201" s="728">
        <v>1</v>
      </c>
      <c r="BH201" s="728"/>
      <c r="BI201" s="728"/>
      <c r="BJ201" s="728">
        <v>3</v>
      </c>
      <c r="BK201" s="728"/>
      <c r="BL201" s="728"/>
      <c r="BM201" s="728">
        <v>1</v>
      </c>
      <c r="BN201" s="728">
        <v>41</v>
      </c>
      <c r="BO201" s="728">
        <v>85</v>
      </c>
      <c r="BP201" s="727"/>
      <c r="BQ201" s="734"/>
      <c r="BR201" s="733"/>
      <c r="BS201" s="727"/>
      <c r="BT201" s="423"/>
      <c r="BU201" s="423"/>
      <c r="BV201" s="425"/>
      <c r="BW201" s="423"/>
      <c r="BX201" s="448"/>
      <c r="BY201" s="448"/>
      <c r="BZ201" s="448"/>
      <c r="CA201" s="448"/>
      <c r="CB201" s="448"/>
      <c r="CC201" s="777"/>
      <c r="CD201" s="448"/>
      <c r="CE201" s="735" t="str">
        <f>IFERROR(WWWW[[#This Row],['#_Water sources passed]]/WWWW[[#This Row],['#_Water sources tested for fecal coliform ]],"no test")</f>
        <v>no test</v>
      </c>
      <c r="CF201" s="733" t="str">
        <f>IFERROR(WWWW[[#This Row],['#_Household passed]]/WWWW[[#This Row],['#_Household water samples tested for fecal coliform]],"no test")</f>
        <v>no test</v>
      </c>
      <c r="CG201" s="734" t="str">
        <f>IF(AND(WWWW[[#This Row],[% of water sources passed]]="no test",WWWW[[#This Row],[% Household passed]]="no test"),"No Test","Tested")</f>
        <v>No Test</v>
      </c>
      <c r="CH201" s="734">
        <f>WWWW[[#This Row],['#_Constructed/existing protected hand dug well]]-WWWW[[#This Row],['#_Non-functional protected hand dug well]]</f>
        <v>0</v>
      </c>
      <c r="CI201" s="734">
        <f>(WWWW[[#This Row],['#_Constructed/Existing tube wells/boreholes/handpumps_WASH_agency]]+WWWW[[#This Row],['#_Non-Cluster partner water tube-wells/boreholes/handpumps]])-WWWW[[#This Row],['#_Non-functional tube wells/boreholes/handpumps]]</f>
        <v>1</v>
      </c>
      <c r="CJ201" s="734">
        <f>WWWW[[#This Row],['#_Constructed/Existingwater storage tank with gravity fed reticulation system]]-WWWW[[#This Row],['#_Non-functional storage tank gravity fed reticulation system]]</f>
        <v>1</v>
      </c>
      <c r="CK201" s="734">
        <f>(WWWW[[#This Row],['#_Water_Liters_supplied_by_Water boating or water trucking]]/90)/15</f>
        <v>0</v>
      </c>
      <c r="CL201" s="734">
        <f>WWWW[[#This Row],['#_Water_Liters_from_Constructed/Existing water distribution system from river or natural spring]]/90/15</f>
        <v>0</v>
      </c>
      <c r="CM201" s="424">
        <f>IF(WWWW[[#This Row],['#_of water points in TLS/CFS]]*500&gt;WWWW[[#This Row],[Total PoP ]],WWWW[[#This Row],[Total PoP ]],WWWW[[#This Row],['#_of water points in TLS/CFS]]*500)</f>
        <v>0</v>
      </c>
      <c r="CN201" s="424">
        <f>IF(WWWW[[#This Row],['#_of water points in THF]]*500&gt;WWWW[[#This Row],[Total PoP ]],WWWW[[#This Row],[Total PoP ]],WWWW[[#This Row],['#_of water points in THF]]*500)</f>
        <v>0</v>
      </c>
      <c r="CO201"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1"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1" s="733">
        <f>IF(WWWW[[#This Row],[Location Type 1]]="Village",WWWW[[#This Row],[Access to safe drinking water for Village]],WWWW[[#This Row],[Access to safe drinking water for Camp]])</f>
        <v>1</v>
      </c>
      <c r="CR201" s="731">
        <f>WWWW[[#This Row],[%Equitable and continuous access to sufficient quantity of safe drinking water]]*WWWW[[#This Row],[Total PoP ]]</f>
        <v>195</v>
      </c>
      <c r="CS201" s="733">
        <f>IF((WWWW[[#This Row],['#_Constructed/Existing protected/fenced ponds]]*250)/WWWW[[#This Row],[Total PoP ]]&gt;1,1,(WWWW[[#This Row],['#_Constructed/Existing protected/fenced ponds]]*250)/WWWW[[#This Row],[Total PoP ]])</f>
        <v>0</v>
      </c>
      <c r="CT201" s="731">
        <f>WWWW[[#This Row],[% Access to unimproved water points]]*WWWW[[#This Row],[Total PoP ]]</f>
        <v>0</v>
      </c>
      <c r="CU201"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1"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195</v>
      </c>
      <c r="CW201" s="731">
        <f>WWWW[[#This Row],[HRP1]]/500</f>
        <v>0.39</v>
      </c>
      <c r="CX201" s="736">
        <f>1-WWWW[[#This Row],[% Equitable and continuous access to sufficient quantity of domestic water]]</f>
        <v>0</v>
      </c>
      <c r="CY201" s="731">
        <f>WWWW[[#This Row],[%equitable and continuous access to sufficient quantity of safe drinking and domestic water''s GAP]]*WWWW[[#This Row],[Total PoP ]]</f>
        <v>0</v>
      </c>
      <c r="CZ201" s="734">
        <f>IF(WWWW[[#This Row],[Total required water points]]-WWWW[[#This Row],['#Water points coverage]]&lt;0,0,WWWW[[#This Row],[Total required water points]]-WWWW[[#This Row],['#Water points coverage]])</f>
        <v>0.61</v>
      </c>
      <c r="DA201" s="734">
        <f>ROUND(IF(WWWW[[#This Row],[Total PoP ]]&lt;500,1,WWWW[[#This Row],[Total PoP ]]/500),0)</f>
        <v>1</v>
      </c>
      <c r="DB201" s="734">
        <f>(WWWW[[#This Row],['#_Constructed latrines_by_WASHAgencies]]+WWWW[[#This Row],['#_Non Cluster partner latrines]])-WWWW[[#This Row],['#_Non-functional latrines]]</f>
        <v>38</v>
      </c>
      <c r="DC201" s="631">
        <f>WWWW[[#This Row],[HRP2]]/WWWW[[#This Row],[Total PoP ]]</f>
        <v>1</v>
      </c>
      <c r="DD201"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195</v>
      </c>
      <c r="DE201"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1"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1" s="424">
        <f>IF(WWWW[[#This Row],['# of functional latrines in THF supported by WASH partners during the reporting period2]]="",0,WWWW[[#This Row],['# of functional latrines in THF supported by WASH partners during the reporting period2]]*50)</f>
        <v>0</v>
      </c>
      <c r="DH201" s="734">
        <f>ROUND(IF(WWWW[[#This Row],[Location Type 1]]="camp",WWWW[[#This Row],[Total PoP ]]/20,IF(WWWW[[#This Row],[Location Type 1]]="Temporary Location",WWWW[[#This Row],[Total PoP ]]/50,(WWWW[[#This Row],[Total PoP ]]/6))),0)</f>
        <v>10</v>
      </c>
      <c r="DI201" s="734">
        <f>IF(WWWW[[#This Row],[Total required Latrines]]-(WWWW[[#This Row],['#_Constructed latrines_by_WASHAgencies]]+WWWW[[#This Row],['#_Non Cluster partner latrines]])&lt;0,0,WWWW[[#This Row],[Total required Latrines]]-(WWWW[[#This Row],['#_Constructed latrines_by_WASHAgencies]]+WWWW[[#This Row],['#_Non Cluster partner latrines]]))</f>
        <v>0</v>
      </c>
      <c r="DJ201" s="736">
        <f>1-WWWW[[#This Row],[% people access to functioning Latrine]]</f>
        <v>0</v>
      </c>
      <c r="DK201" s="735">
        <f>IF(OR(WWWW[[#This Row],['#_Non-functional latrines]]="",WWWW[[#This Row],['#_Non-functional latrines]]=0),0,WWWW[[#This Row],['#_Non-functional latrines]]/(WWWW[[#This Row],['#_Constructed latrines_by_WASHAgencies]]+WWWW[[#This Row],['#_Non Cluster partner latrines]]))</f>
        <v>0</v>
      </c>
      <c r="DL201" s="731">
        <f>IF(500*(WWWW[[#This Row],['#_male hygiene promoters]]+WWWW[[#This Row],['#_female hygiene promoters]])&gt;WWWW[[#This Row],[Total PoP ]],WWWW[[#This Row],[Total PoP ]],500*(WWWW[[#This Row],['#_male hygiene promoters]]+WWWW[[#This Row],['#_female hygiene promoters]]))</f>
        <v>195</v>
      </c>
      <c r="DM201"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195</v>
      </c>
      <c r="DN201"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201" s="734">
        <f>IF(WWWW[[#This Row],['# People with access to soap]]&gt;WWWW[[#This Row],['# People with access to Sanity Pads]],WWWW[[#This Row],['# People with access to soap]],WWWW[[#This Row],['# People with access to Sanity Pads]])</f>
        <v>195</v>
      </c>
      <c r="DP201" s="734">
        <f>IF(WWWW[[#This Row],['# people reached by regular dedicated hygiene promotion_5]]&gt;WWWW[[#This Row],['# People received regular supply of hygiene items_6]],WWWW[[#This Row],['# people reached by regular dedicated hygiene promotion_5]],WWWW[[#This Row],['# People received regular supply of hygiene items_6]])</f>
        <v>195</v>
      </c>
      <c r="DQ201" s="736">
        <f>IF(WWWW[[#This Row],[HRP3]]/WWWW[[#This Row],[Total PoP ]]&gt;1,1,WWWW[[#This Row],[HRP3]]/WWWW[[#This Row],[Total PoP ]])</f>
        <v>1</v>
      </c>
      <c r="DR201" s="735">
        <f>1-WWWW[[#This Row],[Hygiene Coverage%]]</f>
        <v>0</v>
      </c>
      <c r="DS201" s="733">
        <f>WWWW[[#This Row],['# people reached by regular dedicated hygiene promotion_5]]/WWWW[[#This Row],[Total PoP ]]</f>
        <v>1</v>
      </c>
      <c r="DT201"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01"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01" s="734">
        <f>WWWW[[#This Row],['#_Constructed/Existing hand washing stations]]-WWWW[[#This Row],['#_Non-Functional_hand_washing_stations]]</f>
        <v>1</v>
      </c>
      <c r="DW201" s="731">
        <f>IF(WWWW[[#This Row],['# Functional hand washing stations during reporting period]]*20&gt;WWWW[[#This Row],[Total HH]],WWWW[[#This Row],[Total HH]],WWWW[[#This Row],['# Functional hand washing stations during reporting period]]*20)</f>
        <v>20</v>
      </c>
      <c r="DX201" s="731">
        <f>IF(WWWW[[#This Row],[Is sufficient soap available for TLS? (Yes/No)]]="yes",WWWW[[#This Row],['#_Constructed/Existing hand washing stations at TLS/CFS/THF]],0)</f>
        <v>0</v>
      </c>
      <c r="DY201" s="428">
        <f>IF(WWWW[[#This Row],['# Functional hand washing stations during reporting period]]*100&gt;WWWW[[#This Row],[Total PoP ]],WWWW[[#This Row],[Total PoP ]],WWWW[[#This Row],['# Functional hand washing stations during reporting period]]*100)</f>
        <v>100</v>
      </c>
      <c r="DZ201" s="428" t="str">
        <f>IF(OR(WWWW[[#This Row],['#_students at TLS_CFS]]="",WWWW[[#This Row],['#_students at TLS_CFS]]=0),"No","Yes")</f>
        <v>No</v>
      </c>
      <c r="EA20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1" s="727">
        <f>VLOOKUP(WWWW[[#This Row],[Site Name]],SiteDB6[[Site Name]:[CCCM Management]],6,FALSE)</f>
        <v>0</v>
      </c>
      <c r="EF201" s="727">
        <f>VLOOKUP(WWWW[[#This Row],[Site Name]],SiteDB6[[Site Name]:[CCCM Focal Agency]],7,FALSE)</f>
        <v>0</v>
      </c>
      <c r="EG201" s="727" t="str">
        <f>VLOOKUP(WWWW[[#This Row],[Site Name]],SiteDB6[[Site Name]:[Location Type 1]],9,FALSE)</f>
        <v>Camp</v>
      </c>
      <c r="EH201" s="727" t="str">
        <f>VLOOKUP(WWWW[[#This Row],[Site Name]],SiteDB6[[Site Name]:[Type of Accommodation]],10,FALSE)</f>
        <v>Closed Camp</v>
      </c>
      <c r="EI201" s="727" t="str">
        <f>VLOOKUP(WWWW[[#This Row],[Site Name]],SiteDB6[[Site Name]:[Ethnic or GCA/NGCA]],11,FALSE)</f>
        <v>GCA</v>
      </c>
      <c r="EJ201" s="727">
        <f>VLOOKUP(WWWW[[#This Row],[Site Name]],SiteDB6[[Site Name]:[Lat]],12,FALSE)</f>
        <v>23.353999999999999</v>
      </c>
      <c r="EK201" s="727">
        <f>VLOOKUP(WWWW[[#This Row],[Site Name]],SiteDB6[[Site Name]:[Long]],13,FALSE)</f>
        <v>98.221000000000004</v>
      </c>
      <c r="EL201" s="727" t="str">
        <f>VLOOKUP(WWWW[[#This Row],[Site Name]],SiteDB6[[Site Name]:[Pcode]],3,FALSE)</f>
        <v>MMR015CMP226</v>
      </c>
      <c r="EM201" s="732" t="str">
        <f t="shared" si="3"/>
        <v>Covered</v>
      </c>
      <c r="EN201" s="732"/>
      <c r="EO201" s="727">
        <f>VLOOKUP(WWWW[[#This Row],[Site Name]],SiteDB6[[Site Name]:[Pop
(Kachin/Shan-CCCM as of July 2021)]],16,FALSE)</f>
        <v>0</v>
      </c>
      <c r="EP201" s="727">
        <f>VLOOKUP(WWWW[[#This Row],[Site Name]],SiteDB6[[Site Name]:[Pop
(Kachin/Shan-CCCM as of July 2021)]],17,FALSE)</f>
        <v>0</v>
      </c>
    </row>
    <row r="202" spans="1:146" hidden="1">
      <c r="A202" s="725" t="s">
        <v>2763</v>
      </c>
      <c r="B202" s="725" t="s">
        <v>192</v>
      </c>
      <c r="C202" s="726" t="s">
        <v>192</v>
      </c>
      <c r="D202" s="726" t="s">
        <v>2673</v>
      </c>
      <c r="E202" s="726" t="s">
        <v>515</v>
      </c>
      <c r="F202" s="726" t="s">
        <v>519</v>
      </c>
      <c r="G202" s="591" t="str">
        <f>VLOOKUP(WWWW[[#This Row],[Site Name]],SiteDB6[[Site Name]:[Location Type]],8,FALSE)</f>
        <v>Camp</v>
      </c>
      <c r="H202" s="979" t="s">
        <v>538</v>
      </c>
      <c r="I202" s="728">
        <v>209</v>
      </c>
      <c r="J202" s="728">
        <v>1101</v>
      </c>
      <c r="K202" s="729" t="s">
        <v>2767</v>
      </c>
      <c r="L202" s="730" t="s">
        <v>2768</v>
      </c>
      <c r="M202" s="728"/>
      <c r="N202" s="728">
        <v>2</v>
      </c>
      <c r="O202" s="728"/>
      <c r="P202" s="728"/>
      <c r="Q202" s="731" t="s">
        <v>41</v>
      </c>
      <c r="R202" s="728">
        <v>5</v>
      </c>
      <c r="S202" s="728">
        <v>4</v>
      </c>
      <c r="T202" s="448">
        <v>2</v>
      </c>
      <c r="U202" s="728"/>
      <c r="V202" s="728"/>
      <c r="W202" s="728">
        <v>1</v>
      </c>
      <c r="X202" s="728"/>
      <c r="Y202" s="728"/>
      <c r="Z202" s="728"/>
      <c r="AA202" s="728">
        <v>48</v>
      </c>
      <c r="AB202" s="728"/>
      <c r="AC202" s="728"/>
      <c r="AD202" s="728"/>
      <c r="AE202" s="728"/>
      <c r="AF202" s="728"/>
      <c r="AG202" s="728"/>
      <c r="AH202" s="728">
        <v>1</v>
      </c>
      <c r="AI202" s="728"/>
      <c r="AJ202" s="728"/>
      <c r="AK202" s="728"/>
      <c r="AL202" s="728"/>
      <c r="AM202" s="728"/>
      <c r="AN202" s="728">
        <v>2</v>
      </c>
      <c r="AO202" s="728"/>
      <c r="AP202" s="732"/>
      <c r="AQ202" s="728">
        <v>200</v>
      </c>
      <c r="AR202" s="728">
        <v>5</v>
      </c>
      <c r="AS202" s="733"/>
      <c r="AT202" s="728"/>
      <c r="AU202" s="728"/>
      <c r="AV202" s="728"/>
      <c r="AW202" s="728"/>
      <c r="AX202" s="728">
        <v>18</v>
      </c>
      <c r="AY202" s="727" t="s">
        <v>136</v>
      </c>
      <c r="AZ202" s="732" t="s">
        <v>136</v>
      </c>
      <c r="BA202" s="728"/>
      <c r="BB202" s="728"/>
      <c r="BC202" s="728">
        <v>2</v>
      </c>
      <c r="BD202" s="448"/>
      <c r="BE202" s="448"/>
      <c r="BF202" s="727"/>
      <c r="BG202" s="728">
        <v>7</v>
      </c>
      <c r="BH202" s="728"/>
      <c r="BI202" s="728"/>
      <c r="BJ202" s="728">
        <v>4</v>
      </c>
      <c r="BK202" s="728"/>
      <c r="BL202" s="728"/>
      <c r="BM202" s="728">
        <v>1</v>
      </c>
      <c r="BN202" s="728">
        <v>124</v>
      </c>
      <c r="BO202" s="728">
        <v>198</v>
      </c>
      <c r="BP202" s="727"/>
      <c r="BQ202" s="734"/>
      <c r="BR202" s="733"/>
      <c r="BS202" s="727"/>
      <c r="BT202" s="423"/>
      <c r="BU202" s="423"/>
      <c r="BV202" s="425"/>
      <c r="BW202" s="423"/>
      <c r="BX202" s="448"/>
      <c r="BY202" s="448"/>
      <c r="BZ202" s="448"/>
      <c r="CA202" s="448"/>
      <c r="CB202" s="448"/>
      <c r="CC202" s="777"/>
      <c r="CD202" s="448"/>
      <c r="CE202" s="735" t="str">
        <f>IFERROR(WWWW[[#This Row],['#_Water sources passed]]/WWWW[[#This Row],['#_Water sources tested for fecal coliform ]],"no test")</f>
        <v>no test</v>
      </c>
      <c r="CF202" s="733" t="str">
        <f>IFERROR(WWWW[[#This Row],['#_Household passed]]/WWWW[[#This Row],['#_Household water samples tested for fecal coliform]],"no test")</f>
        <v>no test</v>
      </c>
      <c r="CG202" s="734" t="str">
        <f>IF(AND(WWWW[[#This Row],[% of water sources passed]]="no test",WWWW[[#This Row],[% Household passed]]="no test"),"No Test","Tested")</f>
        <v>No Test</v>
      </c>
      <c r="CH202" s="734">
        <f>WWWW[[#This Row],['#_Constructed/existing protected hand dug well]]-WWWW[[#This Row],['#_Non-functional protected hand dug well]]</f>
        <v>2</v>
      </c>
      <c r="CI202" s="734">
        <f>(WWWW[[#This Row],['#_Constructed/Existing tube wells/boreholes/handpumps_WASH_agency]]+WWWW[[#This Row],['#_Non-Cluster partner water tube-wells/boreholes/handpumps]])-WWWW[[#This Row],['#_Non-functional tube wells/boreholes/handpumps]]</f>
        <v>1</v>
      </c>
      <c r="CJ202" s="734">
        <f>WWWW[[#This Row],['#_Constructed/Existingwater storage tank with gravity fed reticulation system]]-WWWW[[#This Row],['#_Non-functional storage tank gravity fed reticulation system]]</f>
        <v>48</v>
      </c>
      <c r="CK202" s="734">
        <f>(WWWW[[#This Row],['#_Water_Liters_supplied_by_Water boating or water trucking]]/90)/15</f>
        <v>0</v>
      </c>
      <c r="CL202" s="734">
        <f>WWWW[[#This Row],['#_Water_Liters_from_Constructed/Existing water distribution system from river or natural spring]]/90/15</f>
        <v>0</v>
      </c>
      <c r="CM202" s="424">
        <f>IF(WWWW[[#This Row],['#_of water points in TLS/CFS]]*500&gt;WWWW[[#This Row],[Total PoP ]],WWWW[[#This Row],[Total PoP ]],WWWW[[#This Row],['#_of water points in TLS/CFS]]*500)</f>
        <v>1000</v>
      </c>
      <c r="CN202" s="424">
        <f>IF(WWWW[[#This Row],['#_of water points in THF]]*500&gt;WWWW[[#This Row],[Total PoP ]],WWWW[[#This Row],[Total PoP ]],WWWW[[#This Row],['#_of water points in THF]]*500)</f>
        <v>0</v>
      </c>
      <c r="CO202" s="73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2" s="73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2" s="733">
        <f>IF(WWWW[[#This Row],[Location Type 1]]="Village",WWWW[[#This Row],[Access to safe drinking water for Village]],WWWW[[#This Row],[Access to safe drinking water for Camp]])</f>
        <v>1</v>
      </c>
      <c r="CR202" s="731">
        <f>WWWW[[#This Row],[%Equitable and continuous access to sufficient quantity of safe drinking water]]*WWWW[[#This Row],[Total PoP ]]</f>
        <v>1101</v>
      </c>
      <c r="CS202" s="733">
        <f>IF((WWWW[[#This Row],['#_Constructed/Existing protected/fenced ponds]]*250)/WWWW[[#This Row],[Total PoP ]]&gt;1,1,(WWWW[[#This Row],['#_Constructed/Existing protected/fenced ponds]]*250)/WWWW[[#This Row],[Total PoP ]])</f>
        <v>0</v>
      </c>
      <c r="CT202" s="731">
        <f>WWWW[[#This Row],[% Access to unimproved water points]]*WWWW[[#This Row],[Total PoP ]]</f>
        <v>0</v>
      </c>
      <c r="CU202" s="73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2" s="73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W202" s="731">
        <f>WWWW[[#This Row],[HRP1]]/500</f>
        <v>2.202</v>
      </c>
      <c r="CX202" s="736">
        <f>1-WWWW[[#This Row],[% Equitable and continuous access to sufficient quantity of domestic water]]</f>
        <v>0</v>
      </c>
      <c r="CY202" s="731">
        <f>WWWW[[#This Row],[%equitable and continuous access to sufficient quantity of safe drinking and domestic water''s GAP]]*WWWW[[#This Row],[Total PoP ]]</f>
        <v>0</v>
      </c>
      <c r="CZ202" s="734">
        <f>IF(WWWW[[#This Row],[Total required water points]]-WWWW[[#This Row],['#Water points coverage]]&lt;0,0,WWWW[[#This Row],[Total required water points]]-WWWW[[#This Row],['#Water points coverage]])</f>
        <v>0</v>
      </c>
      <c r="DA202" s="734">
        <f>ROUND(IF(WWWW[[#This Row],[Total PoP ]]&lt;500,1,WWWW[[#This Row],[Total PoP ]]/500),0)</f>
        <v>2</v>
      </c>
      <c r="DB202" s="734">
        <f>(WWWW[[#This Row],['#_Constructed latrines_by_WASHAgencies]]+WWWW[[#This Row],['#_Non Cluster partner latrines]])-WWWW[[#This Row],['#_Non-functional latrines]]</f>
        <v>205</v>
      </c>
      <c r="DC202" s="631">
        <f>WWWW[[#This Row],[HRP2]]/WWWW[[#This Row],[Total PoP ]]</f>
        <v>0.93097184377838327</v>
      </c>
      <c r="DD202" s="73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1025</v>
      </c>
      <c r="DE202" s="73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2" s="73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2" s="424">
        <f>IF(WWWW[[#This Row],['# of functional latrines in THF supported by WASH partners during the reporting period2]]="",0,WWWW[[#This Row],['# of functional latrines in THF supported by WASH partners during the reporting period2]]*50)</f>
        <v>0</v>
      </c>
      <c r="DH202" s="734">
        <f>ROUND(IF(WWWW[[#This Row],[Location Type 1]]="camp",WWWW[[#This Row],[Total PoP ]]/20,IF(WWWW[[#This Row],[Location Type 1]]="Temporary Location",WWWW[[#This Row],[Total PoP ]]/50,(WWWW[[#This Row],[Total PoP ]]/6))),0)</f>
        <v>184</v>
      </c>
      <c r="DI202" s="734">
        <f>IF(WWWW[[#This Row],[Total required Latrines]]-(WWWW[[#This Row],['#_Constructed latrines_by_WASHAgencies]]+WWWW[[#This Row],['#_Non Cluster partner latrines]])&lt;0,0,WWWW[[#This Row],[Total required Latrines]]-(WWWW[[#This Row],['#_Constructed latrines_by_WASHAgencies]]+WWWW[[#This Row],['#_Non Cluster partner latrines]]))</f>
        <v>0</v>
      </c>
      <c r="DJ202" s="736">
        <f>1-WWWW[[#This Row],[% people access to functioning Latrine]]</f>
        <v>6.9028156221616732E-2</v>
      </c>
      <c r="DK202" s="735">
        <f>IF(OR(WWWW[[#This Row],['#_Non-functional latrines]]="",WWWW[[#This Row],['#_Non-functional latrines]]=0),0,WWWW[[#This Row],['#_Non-functional latrines]]/(WWWW[[#This Row],['#_Constructed latrines_by_WASHAgencies]]+WWWW[[#This Row],['#_Non Cluster partner latrines]]))</f>
        <v>0</v>
      </c>
      <c r="DL202" s="731">
        <f>IF(500*(WWWW[[#This Row],['#_male hygiene promoters]]+WWWW[[#This Row],['#_female hygiene promoters]])&gt;WWWW[[#This Row],[Total PoP ]],WWWW[[#This Row],[Total PoP ]],500*(WWWW[[#This Row],['#_male hygiene promoters]]+WWWW[[#This Row],['#_female hygiene promoters]]))</f>
        <v>500</v>
      </c>
      <c r="DM202" s="73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620</v>
      </c>
      <c r="DN202" s="73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202" s="734">
        <f>IF(WWWW[[#This Row],['# People with access to soap]]&gt;WWWW[[#This Row],['# People with access to Sanity Pads]],WWWW[[#This Row],['# People with access to soap]],WWWW[[#This Row],['# People with access to Sanity Pads]])</f>
        <v>620</v>
      </c>
      <c r="DP202" s="734">
        <f>IF(WWWW[[#This Row],['# people reached by regular dedicated hygiene promotion_5]]&gt;WWWW[[#This Row],['# People received regular supply of hygiene items_6]],WWWW[[#This Row],['# people reached by regular dedicated hygiene promotion_5]],WWWW[[#This Row],['# People received regular supply of hygiene items_6]])</f>
        <v>620</v>
      </c>
      <c r="DQ202" s="736">
        <f>IF(WWWW[[#This Row],[HRP3]]/WWWW[[#This Row],[Total PoP ]]&gt;1,1,WWWW[[#This Row],[HRP3]]/WWWW[[#This Row],[Total PoP ]])</f>
        <v>0.56312443233424159</v>
      </c>
      <c r="DR202" s="735">
        <f>1-WWWW[[#This Row],[Hygiene Coverage%]]</f>
        <v>0.43687556766575841</v>
      </c>
      <c r="DS202" s="733">
        <f>WWWW[[#This Row],['# people reached by regular dedicated hygiene promotion_5]]/WWWW[[#This Row],[Total PoP ]]</f>
        <v>0.45413260672116257</v>
      </c>
      <c r="DT202" s="73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02" s="73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0.94736842105263153</v>
      </c>
      <c r="DV202" s="734">
        <f>WWWW[[#This Row],['#_Constructed/Existing hand washing stations]]-WWWW[[#This Row],['#_Non-Functional_hand_washing_stations]]</f>
        <v>7</v>
      </c>
      <c r="DW202" s="731">
        <f>IF(WWWW[[#This Row],['# Functional hand washing stations during reporting period]]*20&gt;WWWW[[#This Row],[Total HH]],WWWW[[#This Row],[Total HH]],WWWW[[#This Row],['# Functional hand washing stations during reporting period]]*20)</f>
        <v>140</v>
      </c>
      <c r="DX202" s="731">
        <f>IF(WWWW[[#This Row],[Is sufficient soap available for TLS? (Yes/No)]]="yes",WWWW[[#This Row],['#_Constructed/Existing hand washing stations at TLS/CFS/THF]],0)</f>
        <v>0</v>
      </c>
      <c r="DY202" s="428">
        <f>IF(WWWW[[#This Row],['# Functional hand washing stations during reporting period]]*100&gt;WWWW[[#This Row],[Total PoP ]],WWWW[[#This Row],[Total PoP ]],WWWW[[#This Row],['# Functional hand washing stations during reporting period]]*100)</f>
        <v>700</v>
      </c>
      <c r="DZ202" s="428" t="str">
        <f>IF(OR(WWWW[[#This Row],['#_students at TLS_CFS]]="",WWWW[[#This Row],['#_students at TLS_CFS]]=0),"No","Yes")</f>
        <v>No</v>
      </c>
      <c r="EA20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20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2" s="727" t="str">
        <f>VLOOKUP(WWWW[[#This Row],[Site Name]],SiteDB6[[Site Name]:[CCCM Management]],6,FALSE)</f>
        <v>Yes</v>
      </c>
      <c r="EF202" s="727" t="str">
        <f>VLOOKUP(WWWW[[#This Row],[Site Name]],SiteDB6[[Site Name]:[CCCM Focal Agency]],7,FALSE)</f>
        <v>KBC-NSS</v>
      </c>
      <c r="EG202" s="727" t="str">
        <f>VLOOKUP(WWWW[[#This Row],[Site Name]],SiteDB6[[Site Name]:[Location Type 1]],9,FALSE)</f>
        <v>Village Type Camp</v>
      </c>
      <c r="EH202" s="727" t="str">
        <f>VLOOKUP(WWWW[[#This Row],[Site Name]],SiteDB6[[Site Name]:[Type of Accommodation]],10,FALSE)</f>
        <v>Camp</v>
      </c>
      <c r="EI202" s="727" t="str">
        <f>VLOOKUP(WWWW[[#This Row],[Site Name]],SiteDB6[[Site Name]:[Ethnic or GCA/NGCA]],11,FALSE)</f>
        <v>GCA</v>
      </c>
      <c r="EJ202" s="727">
        <f>VLOOKUP(WWWW[[#This Row],[Site Name]],SiteDB6[[Site Name]:[Lat]],12,FALSE)</f>
        <v>23.38503</v>
      </c>
      <c r="EK202" s="727">
        <f>VLOOKUP(WWWW[[#This Row],[Site Name]],SiteDB6[[Site Name]:[Long]],13,FALSE)</f>
        <v>97.837040000000002</v>
      </c>
      <c r="EL202" s="727" t="str">
        <f>VLOOKUP(WWWW[[#This Row],[Site Name]],SiteDB6[[Site Name]:[Pcode]],3,FALSE)</f>
        <v>MMR015CMP020</v>
      </c>
      <c r="EM202" s="732" t="str">
        <f t="shared" si="3"/>
        <v>Covered</v>
      </c>
      <c r="EN202" s="732"/>
      <c r="EO202" s="727">
        <f>VLOOKUP(WWWW[[#This Row],[Site Name]],SiteDB6[[Site Name]:[Pop
(Kachin/Shan-CCCM as of July 2021)]],16,FALSE)</f>
        <v>209</v>
      </c>
      <c r="EP202" s="727">
        <f>VLOOKUP(WWWW[[#This Row],[Site Name]],SiteDB6[[Site Name]:[Pop
(Kachin/Shan-CCCM as of July 2021)]],17,FALSE)</f>
        <v>1084</v>
      </c>
    </row>
    <row r="203" spans="1:146" hidden="1">
      <c r="A203" s="884" t="s">
        <v>2764</v>
      </c>
      <c r="B203" s="884" t="s">
        <v>309</v>
      </c>
      <c r="C203" s="885" t="s">
        <v>309</v>
      </c>
      <c r="D203" s="885"/>
      <c r="E203" s="885" t="s">
        <v>37</v>
      </c>
      <c r="F203" s="885" t="s">
        <v>195</v>
      </c>
      <c r="G203" s="591" t="str">
        <f>VLOOKUP(WWWW[[#This Row],[Site Name]],SiteDB6[[Site Name]:[Location Type]],8,FALSE)</f>
        <v>Camp</v>
      </c>
      <c r="H203" s="726" t="s">
        <v>3030</v>
      </c>
      <c r="I203" s="887">
        <v>12</v>
      </c>
      <c r="J203" s="887">
        <v>60</v>
      </c>
      <c r="K203" s="888"/>
      <c r="L203" s="889"/>
      <c r="M203" s="887"/>
      <c r="N203" s="887"/>
      <c r="O203" s="887"/>
      <c r="P203" s="887"/>
      <c r="Q203" s="890"/>
      <c r="R203" s="887"/>
      <c r="S203" s="887"/>
      <c r="T203" s="448"/>
      <c r="U203" s="887"/>
      <c r="V203" s="887"/>
      <c r="W203" s="887"/>
      <c r="X203" s="887"/>
      <c r="Y203" s="887"/>
      <c r="Z203" s="887"/>
      <c r="AA203" s="887"/>
      <c r="AB203" s="887"/>
      <c r="AC203" s="887"/>
      <c r="AD203" s="887"/>
      <c r="AE203" s="887"/>
      <c r="AF203" s="887"/>
      <c r="AG203" s="887"/>
      <c r="AH203" s="887"/>
      <c r="AI203" s="887"/>
      <c r="AJ203" s="887"/>
      <c r="AK203" s="887"/>
      <c r="AL203" s="887"/>
      <c r="AM203" s="887"/>
      <c r="AN203" s="887"/>
      <c r="AO203" s="448"/>
      <c r="AP203" s="891"/>
      <c r="AQ203" s="887"/>
      <c r="AR203" s="887"/>
      <c r="AS203" s="892"/>
      <c r="AT203" s="887"/>
      <c r="AU203" s="887"/>
      <c r="AV203" s="887"/>
      <c r="AW203" s="887"/>
      <c r="AX203" s="887"/>
      <c r="AY203" s="886" t="s">
        <v>140</v>
      </c>
      <c r="AZ203" s="891" t="s">
        <v>140</v>
      </c>
      <c r="BA203" s="887"/>
      <c r="BB203" s="887"/>
      <c r="BC203" s="887"/>
      <c r="BD203" s="448"/>
      <c r="BE203" s="448"/>
      <c r="BF203" s="886"/>
      <c r="BG203" s="887">
        <v>1</v>
      </c>
      <c r="BH203" s="887"/>
      <c r="BI203" s="887"/>
      <c r="BJ203" s="887">
        <v>1</v>
      </c>
      <c r="BK203" s="887"/>
      <c r="BL203" s="887"/>
      <c r="BM203" s="887"/>
      <c r="BN203" s="887"/>
      <c r="BO203" s="887"/>
      <c r="BP203" s="886"/>
      <c r="BQ203" s="893"/>
      <c r="BR203" s="892"/>
      <c r="BS203" s="886"/>
      <c r="BT203" s="423"/>
      <c r="BU203" s="423"/>
      <c r="BV203" s="425"/>
      <c r="BW203" s="423"/>
      <c r="BX203" s="448"/>
      <c r="BY203" s="448"/>
      <c r="BZ203" s="448"/>
      <c r="CA203" s="448"/>
      <c r="CB203" s="448"/>
      <c r="CC203" s="777"/>
      <c r="CD203" s="448"/>
      <c r="CE203" s="894" t="str">
        <f>IFERROR(WWWW[[#This Row],['#_Water sources passed]]/WWWW[[#This Row],['#_Water sources tested for fecal coliform ]],"no test")</f>
        <v>no test</v>
      </c>
      <c r="CF203" s="892" t="str">
        <f>IFERROR(WWWW[[#This Row],['#_Household passed]]/WWWW[[#This Row],['#_Household water samples tested for fecal coliform]],"no test")</f>
        <v>no test</v>
      </c>
      <c r="CG203" s="893" t="str">
        <f>IF(AND(WWWW[[#This Row],[% of water sources passed]]="no test",WWWW[[#This Row],[% Household passed]]="no test"),"No Test","Tested")</f>
        <v>No Test</v>
      </c>
      <c r="CH203" s="893">
        <f>WWWW[[#This Row],['#_Constructed/existing protected hand dug well]]-WWWW[[#This Row],['#_Non-functional protected hand dug well]]</f>
        <v>0</v>
      </c>
      <c r="CI203" s="893">
        <f>(WWWW[[#This Row],['#_Constructed/Existing tube wells/boreholes/handpumps_WASH_agency]]+WWWW[[#This Row],['#_Non-Cluster partner water tube-wells/boreholes/handpumps]])-WWWW[[#This Row],['#_Non-functional tube wells/boreholes/handpumps]]</f>
        <v>0</v>
      </c>
      <c r="CJ203" s="893">
        <f>WWWW[[#This Row],['#_Constructed/Existingwater storage tank with gravity fed reticulation system]]-WWWW[[#This Row],['#_Non-functional storage tank gravity fed reticulation system]]</f>
        <v>0</v>
      </c>
      <c r="CK203" s="893">
        <f>(WWWW[[#This Row],['#_Water_Liters_supplied_by_Water boating or water trucking]]/90)/15</f>
        <v>0</v>
      </c>
      <c r="CL203" s="893">
        <f>WWWW[[#This Row],['#_Water_Liters_from_Constructed/Existing water distribution system from river or natural spring]]/90/15</f>
        <v>0</v>
      </c>
      <c r="CM203" s="424">
        <f>IF(WWWW[[#This Row],['#_of water points in TLS/CFS]]*500&gt;WWWW[[#This Row],[Total PoP ]],WWWW[[#This Row],[Total PoP ]],WWWW[[#This Row],['#_of water points in TLS/CFS]]*500)</f>
        <v>0</v>
      </c>
      <c r="CN203" s="424">
        <f>IF(WWWW[[#This Row],['#_of water points in THF]]*500&gt;WWWW[[#This Row],[Total PoP ]],WWWW[[#This Row],[Total PoP ]],WWWW[[#This Row],['#_of water points in THF]]*500)</f>
        <v>0</v>
      </c>
      <c r="CO20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0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03" s="892">
        <f>IF(WWWW[[#This Row],[Location Type 1]]="Village",WWWW[[#This Row],[Access to safe drinking water for Village]],WWWW[[#This Row],[Access to safe drinking water for Camp]])</f>
        <v>0</v>
      </c>
      <c r="CR203" s="890">
        <f>WWWW[[#This Row],[%Equitable and continuous access to sufficient quantity of safe drinking water]]*WWWW[[#This Row],[Total PoP ]]</f>
        <v>0</v>
      </c>
      <c r="CS203" s="892">
        <f>IF((WWWW[[#This Row],['#_Constructed/Existing protected/fenced ponds]]*250)/WWWW[[#This Row],[Total PoP ]]&gt;1,1,(WWWW[[#This Row],['#_Constructed/Existing protected/fenced ponds]]*250)/WWWW[[#This Row],[Total PoP ]])</f>
        <v>0</v>
      </c>
      <c r="CT203" s="890">
        <f>WWWW[[#This Row],[% Access to unimproved water points]]*WWWW[[#This Row],[Total PoP ]]</f>
        <v>0</v>
      </c>
      <c r="CU20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0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03" s="890">
        <f>WWWW[[#This Row],[HRP1]]/500</f>
        <v>0</v>
      </c>
      <c r="CX203" s="895">
        <f>1-WWWW[[#This Row],[% Equitable and continuous access to sufficient quantity of domestic water]]</f>
        <v>1</v>
      </c>
      <c r="CY203" s="890">
        <f>WWWW[[#This Row],[%equitable and continuous access to sufficient quantity of safe drinking and domestic water''s GAP]]*WWWW[[#This Row],[Total PoP ]]</f>
        <v>60</v>
      </c>
      <c r="CZ203" s="893">
        <f>IF(WWWW[[#This Row],[Total required water points]]-WWWW[[#This Row],['#Water points coverage]]&lt;0,0,WWWW[[#This Row],[Total required water points]]-WWWW[[#This Row],['#Water points coverage]])</f>
        <v>1</v>
      </c>
      <c r="DA203" s="893">
        <f>ROUND(IF(WWWW[[#This Row],[Total PoP ]]&lt;500,1,WWWW[[#This Row],[Total PoP ]]/500),0)</f>
        <v>1</v>
      </c>
      <c r="DB203" s="893">
        <f>(WWWW[[#This Row],['#_Constructed latrines_by_WASHAgencies]]+WWWW[[#This Row],['#_Non Cluster partner latrines]])-WWWW[[#This Row],['#_Non-functional latrines]]</f>
        <v>0</v>
      </c>
      <c r="DC203" s="631">
        <f>WWWW[[#This Row],[HRP2]]/WWWW[[#This Row],[Total PoP ]]</f>
        <v>0</v>
      </c>
      <c r="DD20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0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3" s="424">
        <f>IF(WWWW[[#This Row],['# of functional latrines in THF supported by WASH partners during the reporting period2]]="",0,WWWW[[#This Row],['# of functional latrines in THF supported by WASH partners during the reporting period2]]*50)</f>
        <v>0</v>
      </c>
      <c r="DH203" s="893">
        <f>ROUND(IF(WWWW[[#This Row],[Location Type 1]]="camp",WWWW[[#This Row],[Total PoP ]]/20,IF(WWWW[[#This Row],[Location Type 1]]="Temporary Location",WWWW[[#This Row],[Total PoP ]]/50,(WWWW[[#This Row],[Total PoP ]]/6))),0)</f>
        <v>3</v>
      </c>
      <c r="DI203" s="893">
        <f>IF(WWWW[[#This Row],[Total required Latrines]]-(WWWW[[#This Row],['#_Constructed latrines_by_WASHAgencies]]+WWWW[[#This Row],['#_Non Cluster partner latrines]])&lt;0,0,WWWW[[#This Row],[Total required Latrines]]-(WWWW[[#This Row],['#_Constructed latrines_by_WASHAgencies]]+WWWW[[#This Row],['#_Non Cluster partner latrines]]))</f>
        <v>3</v>
      </c>
      <c r="DJ203" s="895">
        <f>1-WWWW[[#This Row],[% people access to functioning Latrine]]</f>
        <v>1</v>
      </c>
      <c r="DK203" s="894">
        <f>IF(OR(WWWW[[#This Row],['#_Non-functional latrines]]="",WWWW[[#This Row],['#_Non-functional latrines]]=0),0,WWWW[[#This Row],['#_Non-functional latrines]]/(WWWW[[#This Row],['#_Constructed latrines_by_WASHAgencies]]+WWWW[[#This Row],['#_Non Cluster partner latrines]]))</f>
        <v>0</v>
      </c>
      <c r="DL203" s="890">
        <f>IF(500*(WWWW[[#This Row],['#_male hygiene promoters]]+WWWW[[#This Row],['#_female hygiene promoters]])&gt;WWWW[[#This Row],[Total PoP ]],WWWW[[#This Row],[Total PoP ]],500*(WWWW[[#This Row],['#_male hygiene promoters]]+WWWW[[#This Row],['#_female hygiene promoters]]))</f>
        <v>0</v>
      </c>
      <c r="DM20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0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3" s="893">
        <f>IF(WWWW[[#This Row],['# People with access to soap]]&gt;WWWW[[#This Row],['# People with access to Sanity Pads]],WWWW[[#This Row],['# People with access to soap]],WWWW[[#This Row],['# People with access to Sanity Pads]])</f>
        <v>0</v>
      </c>
      <c r="DP203"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03" s="895">
        <f>IF(WWWW[[#This Row],[HRP3]]/WWWW[[#This Row],[Total PoP ]]&gt;1,1,WWWW[[#This Row],[HRP3]]/WWWW[[#This Row],[Total PoP ]])</f>
        <v>0</v>
      </c>
      <c r="DR203" s="894">
        <f>1-WWWW[[#This Row],[Hygiene Coverage%]]</f>
        <v>1</v>
      </c>
      <c r="DS203" s="892">
        <f>WWWW[[#This Row],['# people reached by regular dedicated hygiene promotion_5]]/WWWW[[#This Row],[Total PoP ]]</f>
        <v>0</v>
      </c>
      <c r="DT20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0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3" s="893">
        <f>WWWW[[#This Row],['#_Constructed/Existing hand washing stations]]-WWWW[[#This Row],['#_Non-Functional_hand_washing_stations]]</f>
        <v>1</v>
      </c>
      <c r="DW203" s="890">
        <f>IF(WWWW[[#This Row],['# Functional hand washing stations during reporting period]]*20&gt;WWWW[[#This Row],[Total HH]],WWWW[[#This Row],[Total HH]],WWWW[[#This Row],['# Functional hand washing stations during reporting period]]*20)</f>
        <v>12</v>
      </c>
      <c r="DX203" s="890">
        <f>IF(WWWW[[#This Row],[Is sufficient soap available for TLS? (Yes/No)]]="yes",WWWW[[#This Row],['#_Constructed/Existing hand washing stations at TLS/CFS/THF]],0)</f>
        <v>0</v>
      </c>
      <c r="DY203" s="428">
        <f>IF(WWWW[[#This Row],['# Functional hand washing stations during reporting period]]*100&gt;WWWW[[#This Row],[Total PoP ]],WWWW[[#This Row],[Total PoP ]],WWWW[[#This Row],['# Functional hand washing stations during reporting period]]*100)</f>
        <v>60</v>
      </c>
      <c r="DZ203" s="428" t="str">
        <f>IF(OR(WWWW[[#This Row],['#_students at TLS_CFS]]="",WWWW[[#This Row],['#_students at TLS_CFS]]=0),"No","Yes")</f>
        <v>No</v>
      </c>
      <c r="EA20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3" s="886" t="str">
        <f>VLOOKUP(WWWW[[#This Row],[Site Name]],SiteDB6[[Site Name]:[CCCM Management]],6,FALSE)</f>
        <v>Yes</v>
      </c>
      <c r="EF203" s="886" t="str">
        <f>VLOOKUP(WWWW[[#This Row],[Site Name]],SiteDB6[[Site Name]:[CCCM Focal Agency]],7,FALSE)</f>
        <v>Shalom</v>
      </c>
      <c r="EG203" s="886" t="str">
        <f>VLOOKUP(WWWW[[#This Row],[Site Name]],SiteDB6[[Site Name]:[Location Type 1]],9,FALSE)</f>
        <v>Camp</v>
      </c>
      <c r="EH203" s="886" t="str">
        <f>VLOOKUP(WWWW[[#This Row],[Site Name]],SiteDB6[[Site Name]:[Type of Accommodation]],10,FALSE)</f>
        <v>Camp</v>
      </c>
      <c r="EI203" s="886" t="str">
        <f>VLOOKUP(WWWW[[#This Row],[Site Name]],SiteDB6[[Site Name]:[Ethnic or GCA/NGCA]],11,FALSE)</f>
        <v>GCA</v>
      </c>
      <c r="EJ203" s="886">
        <f>VLOOKUP(WWWW[[#This Row],[Site Name]],SiteDB6[[Site Name]:[Lat]],12,FALSE)</f>
        <v>24.154199999999999</v>
      </c>
      <c r="EK203" s="886">
        <f>VLOOKUP(WWWW[[#This Row],[Site Name]],SiteDB6[[Site Name]:[Long]],13,FALSE)</f>
        <v>97.160600000000002</v>
      </c>
      <c r="EL203" s="886" t="str">
        <f>VLOOKUP(WWWW[[#This Row],[Site Name]],SiteDB6[[Site Name]:[Pcode]],3,FALSE)</f>
        <v>MMR001CMP281</v>
      </c>
      <c r="EM203" s="891" t="str">
        <f t="shared" si="3"/>
        <v>Notcovered</v>
      </c>
      <c r="EN203" s="891"/>
      <c r="EO203" s="886">
        <f>VLOOKUP(WWWW[[#This Row],[Site Name]],SiteDB6[[Site Name]:[Pop
(Kachin/Shan-CCCM as of July 2021)]],16,FALSE)</f>
        <v>97</v>
      </c>
      <c r="EP203" s="886">
        <f>VLOOKUP(WWWW[[#This Row],[Site Name]],SiteDB6[[Site Name]:[Pop
(Kachin/Shan-CCCM as of July 2021)]],17,FALSE)</f>
        <v>480</v>
      </c>
    </row>
    <row r="204" spans="1:146" hidden="1">
      <c r="A204" s="884" t="s">
        <v>2764</v>
      </c>
      <c r="B204" s="707" t="s">
        <v>276</v>
      </c>
      <c r="C204" s="369" t="s">
        <v>276</v>
      </c>
      <c r="D204" s="369" t="s">
        <v>3037</v>
      </c>
      <c r="E204" s="885" t="s">
        <v>37</v>
      </c>
      <c r="F204" s="885" t="s">
        <v>195</v>
      </c>
      <c r="G204" s="591" t="str">
        <f>VLOOKUP(WWWW[[#This Row],[Site Name]],SiteDB6[[Site Name]:[Location Type]],8,FALSE)</f>
        <v>Camp</v>
      </c>
      <c r="H204" s="885" t="s">
        <v>277</v>
      </c>
      <c r="I204" s="887">
        <v>260</v>
      </c>
      <c r="J204" s="887">
        <v>1278</v>
      </c>
      <c r="K204" s="888">
        <v>44652</v>
      </c>
      <c r="L204" s="889">
        <v>44895</v>
      </c>
      <c r="M204" s="887"/>
      <c r="N204" s="887"/>
      <c r="O204" s="887"/>
      <c r="P204" s="887"/>
      <c r="Q204" s="890" t="s">
        <v>41</v>
      </c>
      <c r="R204" s="887">
        <v>7</v>
      </c>
      <c r="S204" s="887">
        <v>5</v>
      </c>
      <c r="T204" s="448">
        <v>2</v>
      </c>
      <c r="U204" s="887"/>
      <c r="V204" s="887"/>
      <c r="W204" s="887">
        <v>8</v>
      </c>
      <c r="X204" s="887"/>
      <c r="Y204" s="887"/>
      <c r="Z204" s="887"/>
      <c r="AA204" s="887"/>
      <c r="AB204" s="887"/>
      <c r="AC204" s="887"/>
      <c r="AD204" s="887"/>
      <c r="AE204" s="887"/>
      <c r="AF204" s="887"/>
      <c r="AG204" s="887"/>
      <c r="AH204" s="887"/>
      <c r="AI204" s="887">
        <v>5</v>
      </c>
      <c r="AJ204" s="887">
        <v>5</v>
      </c>
      <c r="AK204" s="887">
        <v>21</v>
      </c>
      <c r="AL204" s="887">
        <v>20</v>
      </c>
      <c r="AM204" s="887"/>
      <c r="AN204" s="887"/>
      <c r="AO204" s="448"/>
      <c r="AP204" s="891"/>
      <c r="AQ204" s="887">
        <v>52</v>
      </c>
      <c r="AR204" s="887"/>
      <c r="AS204" s="892"/>
      <c r="AT204" s="887"/>
      <c r="AU204" s="887"/>
      <c r="AV204" s="887">
        <v>53</v>
      </c>
      <c r="AW204" s="887">
        <v>80</v>
      </c>
      <c r="AX204" s="887"/>
      <c r="AY204" s="886" t="s">
        <v>41</v>
      </c>
      <c r="AZ204" s="891" t="s">
        <v>137</v>
      </c>
      <c r="BA204" s="887"/>
      <c r="BB204" s="887">
        <v>2</v>
      </c>
      <c r="BC204" s="887"/>
      <c r="BD204" s="448"/>
      <c r="BE204" s="448">
        <v>9</v>
      </c>
      <c r="BF204" s="886"/>
      <c r="BG204" s="887">
        <v>12</v>
      </c>
      <c r="BH204" s="887"/>
      <c r="BI204" s="887"/>
      <c r="BJ204" s="887">
        <v>5</v>
      </c>
      <c r="BK204" s="887"/>
      <c r="BL204" s="887"/>
      <c r="BM204" s="887">
        <v>3</v>
      </c>
      <c r="BN204" s="887">
        <v>260</v>
      </c>
      <c r="BO204" s="887">
        <v>447</v>
      </c>
      <c r="BP204" s="886"/>
      <c r="BQ204" s="893"/>
      <c r="BR204" s="892"/>
      <c r="BS204" s="886"/>
      <c r="BT204" s="423">
        <v>1</v>
      </c>
      <c r="BU204" s="423">
        <v>1</v>
      </c>
      <c r="BV204" s="425">
        <v>26</v>
      </c>
      <c r="BW204" s="423">
        <v>1</v>
      </c>
      <c r="BX204" s="448"/>
      <c r="BY204" s="448">
        <v>52</v>
      </c>
      <c r="BZ204" s="448">
        <v>5</v>
      </c>
      <c r="CA204" s="448"/>
      <c r="CB204" s="448"/>
      <c r="CC204" s="777"/>
      <c r="CD204" s="448"/>
      <c r="CE204" s="894">
        <f>IFERROR(WWWW[[#This Row],['#_Water sources passed]]/WWWW[[#This Row],['#_Water sources tested for fecal coliform ]],"no test")</f>
        <v>1</v>
      </c>
      <c r="CF204" s="892">
        <f>IFERROR(WWWW[[#This Row],['#_Household passed]]/WWWW[[#This Row],['#_Household water samples tested for fecal coliform]],"no test")</f>
        <v>0.95238095238095233</v>
      </c>
      <c r="CG204" s="893" t="str">
        <f>IF(AND(WWWW[[#This Row],[% of water sources passed]]="no test",WWWW[[#This Row],[% Household passed]]="no test"),"No Test","Tested")</f>
        <v>Tested</v>
      </c>
      <c r="CH204" s="893">
        <f>WWWW[[#This Row],['#_Constructed/existing protected hand dug well]]-WWWW[[#This Row],['#_Non-functional protected hand dug well]]</f>
        <v>2</v>
      </c>
      <c r="CI204" s="893">
        <f>(WWWW[[#This Row],['#_Constructed/Existing tube wells/boreholes/handpumps_WASH_agency]]+WWWW[[#This Row],['#_Non-Cluster partner water tube-wells/boreholes/handpumps]])-WWWW[[#This Row],['#_Non-functional tube wells/boreholes/handpumps]]</f>
        <v>8</v>
      </c>
      <c r="CJ204" s="893">
        <f>WWWW[[#This Row],['#_Constructed/Existingwater storage tank with gravity fed reticulation system]]-WWWW[[#This Row],['#_Non-functional storage tank gravity fed reticulation system]]</f>
        <v>0</v>
      </c>
      <c r="CK204" s="893">
        <f>(WWWW[[#This Row],['#_Water_Liters_supplied_by_Water boating or water trucking]]/90)/15</f>
        <v>0</v>
      </c>
      <c r="CL204" s="893">
        <f>WWWW[[#This Row],['#_Water_Liters_from_Constructed/Existing water distribution system from river or natural spring]]/90/15</f>
        <v>0</v>
      </c>
      <c r="CM204" s="424">
        <f>IF(WWWW[[#This Row],['#_of water points in TLS/CFS]]*500&gt;WWWW[[#This Row],[Total PoP ]],WWWW[[#This Row],[Total PoP ]],WWWW[[#This Row],['#_of water points in TLS/CFS]]*500)</f>
        <v>0</v>
      </c>
      <c r="CN204" s="424">
        <f>IF(WWWW[[#This Row],['#_of water points in THF]]*500&gt;WWWW[[#This Row],[Total PoP ]],WWWW[[#This Row],[Total PoP ]],WWWW[[#This Row],['#_of water points in THF]]*500)</f>
        <v>0</v>
      </c>
      <c r="CO20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4" s="892">
        <f>IF(WWWW[[#This Row],[Location Type 1]]="Village",WWWW[[#This Row],[Access to safe drinking water for Village]],WWWW[[#This Row],[Access to safe drinking water for Camp]])</f>
        <v>1</v>
      </c>
      <c r="CR204" s="890">
        <f>WWWW[[#This Row],[%Equitable and continuous access to sufficient quantity of safe drinking water]]*WWWW[[#This Row],[Total PoP ]]</f>
        <v>1278</v>
      </c>
      <c r="CS204" s="892">
        <f>IF((WWWW[[#This Row],['#_Constructed/Existing protected/fenced ponds]]*250)/WWWW[[#This Row],[Total PoP ]]&gt;1,1,(WWWW[[#This Row],['#_Constructed/Existing protected/fenced ponds]]*250)/WWWW[[#This Row],[Total PoP ]])</f>
        <v>0</v>
      </c>
      <c r="CT204" s="890">
        <f>WWWW[[#This Row],[% Access to unimproved water points]]*WWWW[[#This Row],[Total PoP ]]</f>
        <v>0</v>
      </c>
      <c r="CU20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1278</v>
      </c>
      <c r="CW204" s="890">
        <f>WWWW[[#This Row],[HRP1]]/500</f>
        <v>2.556</v>
      </c>
      <c r="CX204" s="895">
        <f>1-WWWW[[#This Row],[% Equitable and continuous access to sufficient quantity of domestic water]]</f>
        <v>0</v>
      </c>
      <c r="CY204" s="890">
        <f>WWWW[[#This Row],[%equitable and continuous access to sufficient quantity of safe drinking and domestic water''s GAP]]*WWWW[[#This Row],[Total PoP ]]</f>
        <v>0</v>
      </c>
      <c r="CZ204" s="893">
        <f>IF(WWWW[[#This Row],[Total required water points]]-WWWW[[#This Row],['#Water points coverage]]&lt;0,0,WWWW[[#This Row],[Total required water points]]-WWWW[[#This Row],['#Water points coverage]])</f>
        <v>0.44399999999999995</v>
      </c>
      <c r="DA204" s="893">
        <f>ROUND(IF(WWWW[[#This Row],[Total PoP ]]&lt;500,1,WWWW[[#This Row],[Total PoP ]]/500),0)</f>
        <v>3</v>
      </c>
      <c r="DB204" s="893">
        <f>(WWWW[[#This Row],['#_Constructed latrines_by_WASHAgencies]]+WWWW[[#This Row],['#_Non Cluster partner latrines]])-WWWW[[#This Row],['#_Non-functional latrines]]</f>
        <v>52</v>
      </c>
      <c r="DC204" s="631">
        <f>WWWW[[#This Row],[HRP2]]/WWWW[[#This Row],[Total PoP ]]</f>
        <v>0.82081377151799684</v>
      </c>
      <c r="DD20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1049</v>
      </c>
      <c r="DE20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1060</v>
      </c>
      <c r="DF20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4" s="424">
        <f>IF(WWWW[[#This Row],['# of functional latrines in THF supported by WASH partners during the reporting period2]]="",0,WWWW[[#This Row],['# of functional latrines in THF supported by WASH partners during the reporting period2]]*50)</f>
        <v>0</v>
      </c>
      <c r="DH204" s="893">
        <f>ROUND(IF(WWWW[[#This Row],[Location Type 1]]="camp",WWWW[[#This Row],[Total PoP ]]/20,IF(WWWW[[#This Row],[Location Type 1]]="Temporary Location",WWWW[[#This Row],[Total PoP ]]/50,(WWWW[[#This Row],[Total PoP ]]/6))),0)</f>
        <v>64</v>
      </c>
      <c r="DI204" s="893">
        <f>IF(WWWW[[#This Row],[Total required Latrines]]-(WWWW[[#This Row],['#_Constructed latrines_by_WASHAgencies]]+WWWW[[#This Row],['#_Non Cluster partner latrines]])&lt;0,0,WWWW[[#This Row],[Total required Latrines]]-(WWWW[[#This Row],['#_Constructed latrines_by_WASHAgencies]]+WWWW[[#This Row],['#_Non Cluster partner latrines]]))</f>
        <v>12</v>
      </c>
      <c r="DJ204" s="895">
        <f>1-WWWW[[#This Row],[% people access to functioning Latrine]]</f>
        <v>0.17918622848200316</v>
      </c>
      <c r="DK204" s="894">
        <f>IF(OR(WWWW[[#This Row],['#_Non-functional latrines]]="",WWWW[[#This Row],['#_Non-functional latrines]]=0),0,WWWW[[#This Row],['#_Non-functional latrines]]/(WWWW[[#This Row],['#_Constructed latrines_by_WASHAgencies]]+WWWW[[#This Row],['#_Non Cluster partner latrines]]))</f>
        <v>0</v>
      </c>
      <c r="DL204" s="890">
        <f>IF(500*(WWWW[[#This Row],['#_male hygiene promoters]]+WWWW[[#This Row],['#_female hygiene promoters]])&gt;WWWW[[#This Row],[Total PoP ]],WWWW[[#This Row],[Total PoP ]],500*(WWWW[[#This Row],['#_male hygiene promoters]]+WWWW[[#This Row],['#_female hygiene promoters]]))</f>
        <v>1278</v>
      </c>
      <c r="DM20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1278</v>
      </c>
      <c r="DN20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447</v>
      </c>
      <c r="DO204" s="893">
        <f>IF(WWWW[[#This Row],['# People with access to soap]]&gt;WWWW[[#This Row],['# People with access to Sanity Pads]],WWWW[[#This Row],['# People with access to soap]],WWWW[[#This Row],['# People with access to Sanity Pads]])</f>
        <v>1278</v>
      </c>
      <c r="DP204" s="893">
        <f>IF(WWWW[[#This Row],['# people reached by regular dedicated hygiene promotion_5]]&gt;WWWW[[#This Row],['# People received regular supply of hygiene items_6]],WWWW[[#This Row],['# people reached by regular dedicated hygiene promotion_5]],WWWW[[#This Row],['# People received regular supply of hygiene items_6]])</f>
        <v>1278</v>
      </c>
      <c r="DQ204" s="895">
        <f>IF(WWWW[[#This Row],[HRP3]]/WWWW[[#This Row],[Total PoP ]]&gt;1,1,WWWW[[#This Row],[HRP3]]/WWWW[[#This Row],[Total PoP ]])</f>
        <v>1</v>
      </c>
      <c r="DR204" s="894">
        <f>1-WWWW[[#This Row],[Hygiene Coverage%]]</f>
        <v>0</v>
      </c>
      <c r="DS204" s="892">
        <f>WWWW[[#This Row],['# people reached by regular dedicated hygiene promotion_5]]/WWWW[[#This Row],[Total PoP ]]</f>
        <v>1</v>
      </c>
      <c r="DT20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0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04" s="893">
        <f>WWWW[[#This Row],['#_Constructed/Existing hand washing stations]]-WWWW[[#This Row],['#_Non-Functional_hand_washing_stations]]</f>
        <v>12</v>
      </c>
      <c r="DW204" s="890">
        <f>IF(WWWW[[#This Row],['# Functional hand washing stations during reporting period]]*20&gt;WWWW[[#This Row],[Total HH]],WWWW[[#This Row],[Total HH]],WWWW[[#This Row],['# Functional hand washing stations during reporting period]]*20)</f>
        <v>240</v>
      </c>
      <c r="DX204" s="890">
        <f>IF(WWWW[[#This Row],[Is sufficient soap available for TLS? (Yes/No)]]="yes",WWWW[[#This Row],['#_Constructed/Existing hand washing stations at TLS/CFS/THF]],0)</f>
        <v>0</v>
      </c>
      <c r="DY204" s="428">
        <f>IF(WWWW[[#This Row],['# Functional hand washing stations during reporting period]]*100&gt;WWWW[[#This Row],[Total PoP ]],WWWW[[#This Row],[Total PoP ]],WWWW[[#This Row],['# Functional hand washing stations during reporting period]]*100)</f>
        <v>1200</v>
      </c>
      <c r="DZ204" s="428" t="str">
        <f>IF(OR(WWWW[[#This Row],['#_students at TLS_CFS]]="",WWWW[[#This Row],['#_students at TLS_CFS]]=0),"No","Yes")</f>
        <v>No</v>
      </c>
      <c r="EA204" s="631">
        <f>IF(WWWW[[#This Row],['#_of_affected_people_surveyed_who_report_feeling_informed_about_the_different_WASH_services_available_to_them]]="","",WWWW[[#This Row],['#_of_affected_people_surveyed_who_report_feeling_informed_about_the_different_WASH_services_available_to_them]]/WWWW[[#This Row],[Total PoP ]])</f>
        <v>2.0344287949921751E-2</v>
      </c>
      <c r="EB20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57</v>
      </c>
      <c r="EC20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4" s="886" t="str">
        <f>VLOOKUP(WWWW[[#This Row],[Site Name]],SiteDB6[[Site Name]:[CCCM Management]],6,FALSE)</f>
        <v>Yes</v>
      </c>
      <c r="EF204" s="886" t="str">
        <f>VLOOKUP(WWWW[[#This Row],[Site Name]],SiteDB6[[Site Name]:[CCCM Focal Agency]],7,FALSE)</f>
        <v>KMSS-BMO</v>
      </c>
      <c r="EG204" s="886" t="str">
        <f>VLOOKUP(WWWW[[#This Row],[Site Name]],SiteDB6[[Site Name]:[Location Type 1]],9,FALSE)</f>
        <v>Camp</v>
      </c>
      <c r="EH204" s="886" t="str">
        <f>VLOOKUP(WWWW[[#This Row],[Site Name]],SiteDB6[[Site Name]:[Type of Accommodation]],10,FALSE)</f>
        <v>Camp</v>
      </c>
      <c r="EI204" s="886" t="str">
        <f>VLOOKUP(WWWW[[#This Row],[Site Name]],SiteDB6[[Site Name]:[Ethnic or GCA/NGCA]],11,FALSE)</f>
        <v>GCA</v>
      </c>
      <c r="EJ204" s="886">
        <f>VLOOKUP(WWWW[[#This Row],[Site Name]],SiteDB6[[Site Name]:[Lat]],12,FALSE)</f>
        <v>24.260719999999999</v>
      </c>
      <c r="EK204" s="886">
        <f>VLOOKUP(WWWW[[#This Row],[Site Name]],SiteDB6[[Site Name]:[Long]],13,FALSE)</f>
        <v>97.238829999999993</v>
      </c>
      <c r="EL204" s="886" t="str">
        <f>VLOOKUP(WWWW[[#This Row],[Site Name]],SiteDB6[[Site Name]:[Pcode]],3,FALSE)</f>
        <v>MMR001CMP050</v>
      </c>
      <c r="EM204" s="891" t="str">
        <f t="shared" si="3"/>
        <v>Covered</v>
      </c>
      <c r="EN204" s="891"/>
      <c r="EO204" s="886">
        <f>VLOOKUP(WWWW[[#This Row],[Site Name]],SiteDB6[[Site Name]:[Pop
(Kachin/Shan-CCCM as of July 2021)]],16,FALSE)</f>
        <v>222</v>
      </c>
      <c r="EP204" s="886">
        <f>VLOOKUP(WWWW[[#This Row],[Site Name]],SiteDB6[[Site Name]:[Pop
(Kachin/Shan-CCCM as of July 2021)]],17,FALSE)</f>
        <v>1055</v>
      </c>
    </row>
    <row r="205" spans="1:146" hidden="1">
      <c r="A205" s="884" t="s">
        <v>2764</v>
      </c>
      <c r="B205" s="884" t="s">
        <v>242</v>
      </c>
      <c r="C205" s="885" t="s">
        <v>242</v>
      </c>
      <c r="D205" s="885" t="s">
        <v>299</v>
      </c>
      <c r="E205" s="885" t="s">
        <v>37</v>
      </c>
      <c r="F205" s="885" t="s">
        <v>148</v>
      </c>
      <c r="G205" s="591" t="str">
        <f>VLOOKUP(WWWW[[#This Row],[Site Name]],SiteDB6[[Site Name]:[Location Type]],8,FALSE)</f>
        <v>Camp</v>
      </c>
      <c r="H205" s="885" t="s">
        <v>248</v>
      </c>
      <c r="I205" s="887">
        <v>95</v>
      </c>
      <c r="J205" s="887">
        <v>440</v>
      </c>
      <c r="K205" s="888">
        <v>44562</v>
      </c>
      <c r="L205" s="889">
        <v>44926</v>
      </c>
      <c r="M205" s="887">
        <v>15</v>
      </c>
      <c r="N205" s="887">
        <v>1</v>
      </c>
      <c r="O205" s="887"/>
      <c r="P205" s="887"/>
      <c r="Q205" s="890" t="s">
        <v>41</v>
      </c>
      <c r="R205" s="887">
        <v>6</v>
      </c>
      <c r="S205" s="887">
        <v>5</v>
      </c>
      <c r="T205" s="448">
        <v>1</v>
      </c>
      <c r="U205" s="887"/>
      <c r="V205" s="887"/>
      <c r="W205" s="887"/>
      <c r="X205" s="887"/>
      <c r="Y205" s="887"/>
      <c r="Z205" s="887"/>
      <c r="AA205" s="887"/>
      <c r="AB205" s="887"/>
      <c r="AC205" s="887"/>
      <c r="AD205" s="887"/>
      <c r="AE205" s="887">
        <v>4</v>
      </c>
      <c r="AF205" s="887">
        <v>3000</v>
      </c>
      <c r="AG205" s="887">
        <v>1</v>
      </c>
      <c r="AH205" s="887"/>
      <c r="AI205" s="887"/>
      <c r="AJ205" s="887"/>
      <c r="AK205" s="887"/>
      <c r="AL205" s="887"/>
      <c r="AM205" s="887">
        <v>3</v>
      </c>
      <c r="AN205" s="887"/>
      <c r="AO205" s="448"/>
      <c r="AP205" s="891"/>
      <c r="AQ205" s="887">
        <v>6</v>
      </c>
      <c r="AR205" s="887">
        <v>5</v>
      </c>
      <c r="AS205" s="892" t="s">
        <v>2135</v>
      </c>
      <c r="AT205" s="887"/>
      <c r="AU205" s="887"/>
      <c r="AV205" s="887"/>
      <c r="AW205" s="887"/>
      <c r="AX205" s="887">
        <v>5</v>
      </c>
      <c r="AY205" s="886" t="s">
        <v>41</v>
      </c>
      <c r="AZ205" s="891" t="s">
        <v>137</v>
      </c>
      <c r="BA205" s="887"/>
      <c r="BB205" s="887"/>
      <c r="BC205" s="887"/>
      <c r="BD205" s="448"/>
      <c r="BE205" s="448"/>
      <c r="BF205" s="886" t="s">
        <v>3060</v>
      </c>
      <c r="BG205" s="887">
        <v>3</v>
      </c>
      <c r="BH205" s="887"/>
      <c r="BI205" s="887"/>
      <c r="BJ205" s="887">
        <v>3</v>
      </c>
      <c r="BK205" s="887"/>
      <c r="BL205" s="887"/>
      <c r="BM205" s="887">
        <v>1</v>
      </c>
      <c r="BN205" s="887"/>
      <c r="BO205" s="887"/>
      <c r="BP205" s="886"/>
      <c r="BQ205" s="893"/>
      <c r="BR205" s="892"/>
      <c r="BS205" s="886" t="s">
        <v>3061</v>
      </c>
      <c r="BT205" s="423">
        <v>0.1</v>
      </c>
      <c r="BU205" s="423">
        <v>0.1</v>
      </c>
      <c r="BV205" s="425"/>
      <c r="BW205" s="423">
        <v>0.1</v>
      </c>
      <c r="BX205" s="448"/>
      <c r="BY205" s="448"/>
      <c r="BZ205" s="448"/>
      <c r="CA205" s="448"/>
      <c r="CB205" s="448"/>
      <c r="CC205" s="777"/>
      <c r="CD205" s="448"/>
      <c r="CE205" s="894" t="str">
        <f>IFERROR(WWWW[[#This Row],['#_Water sources passed]]/WWWW[[#This Row],['#_Water sources tested for fecal coliform ]],"no test")</f>
        <v>no test</v>
      </c>
      <c r="CF205" s="892" t="str">
        <f>IFERROR(WWWW[[#This Row],['#_Household passed]]/WWWW[[#This Row],['#_Household water samples tested for fecal coliform]],"no test")</f>
        <v>no test</v>
      </c>
      <c r="CG205" s="893" t="str">
        <f>IF(AND(WWWW[[#This Row],[% of water sources passed]]="no test",WWWW[[#This Row],[% Household passed]]="no test"),"No Test","Tested")</f>
        <v>No Test</v>
      </c>
      <c r="CH205" s="893">
        <f>WWWW[[#This Row],['#_Constructed/existing protected hand dug well]]-WWWW[[#This Row],['#_Non-functional protected hand dug well]]</f>
        <v>1</v>
      </c>
      <c r="CI205" s="893">
        <f>(WWWW[[#This Row],['#_Constructed/Existing tube wells/boreholes/handpumps_WASH_agency]]+WWWW[[#This Row],['#_Non-Cluster partner water tube-wells/boreholes/handpumps]])-WWWW[[#This Row],['#_Non-functional tube wells/boreholes/handpumps]]</f>
        <v>0</v>
      </c>
      <c r="CJ205" s="893">
        <f>WWWW[[#This Row],['#_Constructed/Existingwater storage tank with gravity fed reticulation system]]-WWWW[[#This Row],['#_Non-functional storage tank gravity fed reticulation system]]</f>
        <v>0</v>
      </c>
      <c r="CK205" s="893">
        <f>(WWWW[[#This Row],['#_Water_Liters_supplied_by_Water boating or water trucking]]/90)/15</f>
        <v>0</v>
      </c>
      <c r="CL205" s="893">
        <f>WWWW[[#This Row],['#_Water_Liters_from_Constructed/Existing water distribution system from river or natural spring]]/90/15</f>
        <v>2.2222222222222223</v>
      </c>
      <c r="CM205" s="424">
        <f>IF(WWWW[[#This Row],['#_of water points in TLS/CFS]]*500&gt;WWWW[[#This Row],[Total PoP ]],WWWW[[#This Row],[Total PoP ]],WWWW[[#This Row],['#_of water points in TLS/CFS]]*500)</f>
        <v>0</v>
      </c>
      <c r="CN205" s="424">
        <f>IF(WWWW[[#This Row],['#_of water points in THF]]*500&gt;WWWW[[#This Row],[Total PoP ]],WWWW[[#This Row],[Total PoP ]],WWWW[[#This Row],['#_of water points in THF]]*500)</f>
        <v>0</v>
      </c>
      <c r="CO20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0.91414141414141414</v>
      </c>
      <c r="CP20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0.5732323232323232</v>
      </c>
      <c r="CQ205" s="892">
        <f>IF(WWWW[[#This Row],[Location Type 1]]="Village",WWWW[[#This Row],[Access to safe drinking water for Village]],WWWW[[#This Row],[Access to safe drinking water for Camp]])</f>
        <v>0.91414141414141414</v>
      </c>
      <c r="CR205" s="890">
        <f>WWWW[[#This Row],[%Equitable and continuous access to sufficient quantity of safe drinking water]]*WWWW[[#This Row],[Total PoP ]]</f>
        <v>402.22222222222223</v>
      </c>
      <c r="CS205" s="892">
        <f>IF((WWWW[[#This Row],['#_Constructed/Existing protected/fenced ponds]]*250)/WWWW[[#This Row],[Total PoP ]]&gt;1,1,(WWWW[[#This Row],['#_Constructed/Existing protected/fenced ponds]]*250)/WWWW[[#This Row],[Total PoP ]])</f>
        <v>1</v>
      </c>
      <c r="CT205" s="890">
        <f>WWWW[[#This Row],[% Access to unimproved water points]]*WWWW[[#This Row],[Total PoP ]]</f>
        <v>440</v>
      </c>
      <c r="CU20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440</v>
      </c>
      <c r="CW205" s="890">
        <f>WWWW[[#This Row],[HRP1]]/500</f>
        <v>0.88</v>
      </c>
      <c r="CX205" s="895">
        <f>1-WWWW[[#This Row],[% Equitable and continuous access to sufficient quantity of domestic water]]</f>
        <v>0</v>
      </c>
      <c r="CY205" s="890">
        <f>WWWW[[#This Row],[%equitable and continuous access to sufficient quantity of safe drinking and domestic water''s GAP]]*WWWW[[#This Row],[Total PoP ]]</f>
        <v>0</v>
      </c>
      <c r="CZ205" s="893">
        <f>IF(WWWW[[#This Row],[Total required water points]]-WWWW[[#This Row],['#Water points coverage]]&lt;0,0,WWWW[[#This Row],[Total required water points]]-WWWW[[#This Row],['#Water points coverage]])</f>
        <v>0.12</v>
      </c>
      <c r="DA205" s="893">
        <f>ROUND(IF(WWWW[[#This Row],[Total PoP ]]&lt;500,1,WWWW[[#This Row],[Total PoP ]]/500),0)</f>
        <v>1</v>
      </c>
      <c r="DB205" s="893">
        <f>(WWWW[[#This Row],['#_Constructed latrines_by_WASHAgencies]]+WWWW[[#This Row],['#_Non Cluster partner latrines]])-WWWW[[#This Row],['#_Non-functional latrines]]</f>
        <v>11</v>
      </c>
      <c r="DC205" s="631">
        <f>WWWW[[#This Row],[HRP2]]/WWWW[[#This Row],[Total PoP ]]</f>
        <v>0.5</v>
      </c>
      <c r="DD20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20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5" s="424">
        <f>IF(WWWW[[#This Row],['# of functional latrines in THF supported by WASH partners during the reporting period2]]="",0,WWWW[[#This Row],['# of functional latrines in THF supported by WASH partners during the reporting period2]]*50)</f>
        <v>0</v>
      </c>
      <c r="DH205" s="893">
        <f>ROUND(IF(WWWW[[#This Row],[Location Type 1]]="camp",WWWW[[#This Row],[Total PoP ]]/20,IF(WWWW[[#This Row],[Location Type 1]]="Temporary Location",WWWW[[#This Row],[Total PoP ]]/50,(WWWW[[#This Row],[Total PoP ]]/6))),0)</f>
        <v>22</v>
      </c>
      <c r="DI205" s="893">
        <f>IF(WWWW[[#This Row],[Total required Latrines]]-(WWWW[[#This Row],['#_Constructed latrines_by_WASHAgencies]]+WWWW[[#This Row],['#_Non Cluster partner latrines]])&lt;0,0,WWWW[[#This Row],[Total required Latrines]]-(WWWW[[#This Row],['#_Constructed latrines_by_WASHAgencies]]+WWWW[[#This Row],['#_Non Cluster partner latrines]]))</f>
        <v>11</v>
      </c>
      <c r="DJ205" s="895">
        <f>1-WWWW[[#This Row],[% people access to functioning Latrine]]</f>
        <v>0.5</v>
      </c>
      <c r="DK205" s="894">
        <f>IF(OR(WWWW[[#This Row],['#_Non-functional latrines]]="",WWWW[[#This Row],['#_Non-functional latrines]]=0),0,WWWW[[#This Row],['#_Non-functional latrines]]/(WWWW[[#This Row],['#_Constructed latrines_by_WASHAgencies]]+WWWW[[#This Row],['#_Non Cluster partner latrines]]))</f>
        <v>0</v>
      </c>
      <c r="DL205" s="890">
        <f>IF(500*(WWWW[[#This Row],['#_male hygiene promoters]]+WWWW[[#This Row],['#_female hygiene promoters]])&gt;WWWW[[#This Row],[Total PoP ]],WWWW[[#This Row],[Total PoP ]],500*(WWWW[[#This Row],['#_male hygiene promoters]]+WWWW[[#This Row],['#_female hygiene promoters]]))</f>
        <v>440</v>
      </c>
      <c r="DM20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0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5" s="893">
        <f>IF(WWWW[[#This Row],['# People with access to soap]]&gt;WWWW[[#This Row],['# People with access to Sanity Pads]],WWWW[[#This Row],['# People with access to soap]],WWWW[[#This Row],['# People with access to Sanity Pads]])</f>
        <v>0</v>
      </c>
      <c r="DP205" s="893">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205" s="895">
        <f>IF(WWWW[[#This Row],[HRP3]]/WWWW[[#This Row],[Total PoP ]]&gt;1,1,WWWW[[#This Row],[HRP3]]/WWWW[[#This Row],[Total PoP ]])</f>
        <v>1</v>
      </c>
      <c r="DR205" s="894">
        <f>1-WWWW[[#This Row],[Hygiene Coverage%]]</f>
        <v>0</v>
      </c>
      <c r="DS205" s="892">
        <f>WWWW[[#This Row],['# people reached by regular dedicated hygiene promotion_5]]/WWWW[[#This Row],[Total PoP ]]</f>
        <v>1</v>
      </c>
      <c r="DT20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0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5" s="893">
        <f>WWWW[[#This Row],['#_Constructed/Existing hand washing stations]]-WWWW[[#This Row],['#_Non-Functional_hand_washing_stations]]</f>
        <v>3</v>
      </c>
      <c r="DW205" s="890">
        <f>IF(WWWW[[#This Row],['# Functional hand washing stations during reporting period]]*20&gt;WWWW[[#This Row],[Total HH]],WWWW[[#This Row],[Total HH]],WWWW[[#This Row],['# Functional hand washing stations during reporting period]]*20)</f>
        <v>60</v>
      </c>
      <c r="DX205" s="890">
        <f>IF(WWWW[[#This Row],[Is sufficient soap available for TLS? (Yes/No)]]="yes",WWWW[[#This Row],['#_Constructed/Existing hand washing stations at TLS/CFS/THF]],0)</f>
        <v>0</v>
      </c>
      <c r="DY205" s="428">
        <f>IF(WWWW[[#This Row],['# Functional hand washing stations during reporting period]]*100&gt;WWWW[[#This Row],[Total PoP ]],WWWW[[#This Row],[Total PoP ]],WWWW[[#This Row],['# Functional hand washing stations during reporting period]]*100)</f>
        <v>300</v>
      </c>
      <c r="DZ205" s="428" t="str">
        <f>IF(OR(WWWW[[#This Row],['#_students at TLS_CFS]]="",WWWW[[#This Row],['#_students at TLS_CFS]]=0),"No","Yes")</f>
        <v>Yes</v>
      </c>
      <c r="EA20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5" s="886" t="str">
        <f>VLOOKUP(WWWW[[#This Row],[Site Name]],SiteDB6[[Site Name]:[CCCM Management]],6,FALSE)</f>
        <v>Yes</v>
      </c>
      <c r="EF205" s="886" t="str">
        <f>VLOOKUP(WWWW[[#This Row],[Site Name]],SiteDB6[[Site Name]:[CCCM Focal Agency]],7,FALSE)</f>
        <v>Shalom</v>
      </c>
      <c r="EG205" s="886" t="str">
        <f>VLOOKUP(WWWW[[#This Row],[Site Name]],SiteDB6[[Site Name]:[Location Type 1]],9,FALSE)</f>
        <v>Camp</v>
      </c>
      <c r="EH205" s="886" t="str">
        <f>VLOOKUP(WWWW[[#This Row],[Site Name]],SiteDB6[[Site Name]:[Type of Accommodation]],10,FALSE)</f>
        <v>Camp</v>
      </c>
      <c r="EI205" s="886" t="str">
        <f>VLOOKUP(WWWW[[#This Row],[Site Name]],SiteDB6[[Site Name]:[Ethnic or GCA/NGCA]],11,FALSE)</f>
        <v>GCA</v>
      </c>
      <c r="EJ205" s="886">
        <f>VLOOKUP(WWWW[[#This Row],[Site Name]],SiteDB6[[Site Name]:[Lat]],12,FALSE)</f>
        <v>25.635300000000001</v>
      </c>
      <c r="EK205" s="886">
        <f>VLOOKUP(WWWW[[#This Row],[Site Name]],SiteDB6[[Site Name]:[Long]],13,FALSE)</f>
        <v>96.345569999999995</v>
      </c>
      <c r="EL205" s="886" t="str">
        <f>VLOOKUP(WWWW[[#This Row],[Site Name]],SiteDB6[[Site Name]:[Pcode]],3,FALSE)</f>
        <v>MMR001CMP176</v>
      </c>
      <c r="EM205" s="891" t="str">
        <f t="shared" si="3"/>
        <v>Covered</v>
      </c>
      <c r="EN205" s="891"/>
      <c r="EO205" s="886">
        <f>VLOOKUP(WWWW[[#This Row],[Site Name]],SiteDB6[[Site Name]:[Pop
(Kachin/Shan-CCCM as of July 2021)]],16,FALSE)</f>
        <v>94</v>
      </c>
      <c r="EP205" s="886">
        <f>VLOOKUP(WWWW[[#This Row],[Site Name]],SiteDB6[[Site Name]:[Pop
(Kachin/Shan-CCCM as of July 2021)]],17,FALSE)</f>
        <v>438</v>
      </c>
    </row>
    <row r="206" spans="1:146" hidden="1">
      <c r="A206" s="884" t="s">
        <v>2764</v>
      </c>
      <c r="B206" s="884" t="s">
        <v>242</v>
      </c>
      <c r="C206" s="885" t="s">
        <v>242</v>
      </c>
      <c r="D206" s="885" t="s">
        <v>299</v>
      </c>
      <c r="E206" s="885" t="s">
        <v>37</v>
      </c>
      <c r="F206" s="885" t="s">
        <v>148</v>
      </c>
      <c r="G206" s="591" t="str">
        <f>VLOOKUP(WWWW[[#This Row],[Site Name]],SiteDB6[[Site Name]:[Location Type]],8,FALSE)</f>
        <v>Camp</v>
      </c>
      <c r="H206" s="885" t="s">
        <v>249</v>
      </c>
      <c r="I206" s="887">
        <v>13</v>
      </c>
      <c r="J206" s="887">
        <v>72</v>
      </c>
      <c r="K206" s="888">
        <v>44562</v>
      </c>
      <c r="L206" s="889">
        <v>44926</v>
      </c>
      <c r="M206" s="887"/>
      <c r="N206" s="887">
        <v>1</v>
      </c>
      <c r="O206" s="887"/>
      <c r="P206" s="887"/>
      <c r="Q206" s="890" t="s">
        <v>41</v>
      </c>
      <c r="R206" s="887">
        <v>1</v>
      </c>
      <c r="S206" s="887">
        <v>4</v>
      </c>
      <c r="T206" s="448">
        <v>1</v>
      </c>
      <c r="U206" s="887"/>
      <c r="V206" s="887"/>
      <c r="W206" s="887"/>
      <c r="X206" s="887"/>
      <c r="Y206" s="887"/>
      <c r="Z206" s="887">
        <v>1</v>
      </c>
      <c r="AA206" s="887"/>
      <c r="AB206" s="887"/>
      <c r="AC206" s="887"/>
      <c r="AD206" s="887"/>
      <c r="AE206" s="887"/>
      <c r="AF206" s="887">
        <v>1000</v>
      </c>
      <c r="AG206" s="887">
        <v>2</v>
      </c>
      <c r="AH206" s="887"/>
      <c r="AI206" s="887"/>
      <c r="AJ206" s="887"/>
      <c r="AK206" s="887"/>
      <c r="AL206" s="887"/>
      <c r="AM206" s="887">
        <v>1</v>
      </c>
      <c r="AN206" s="887"/>
      <c r="AO206" s="448"/>
      <c r="AP206" s="891"/>
      <c r="AQ206" s="887">
        <v>5</v>
      </c>
      <c r="AR206" s="887"/>
      <c r="AS206" s="892"/>
      <c r="AT206" s="887"/>
      <c r="AU206" s="887"/>
      <c r="AV206" s="887"/>
      <c r="AW206" s="887"/>
      <c r="AX206" s="887"/>
      <c r="AY206" s="886" t="s">
        <v>41</v>
      </c>
      <c r="AZ206" s="891" t="s">
        <v>137</v>
      </c>
      <c r="BA206" s="887"/>
      <c r="BB206" s="887">
        <v>2</v>
      </c>
      <c r="BC206" s="887"/>
      <c r="BD206" s="448"/>
      <c r="BE206" s="448"/>
      <c r="BF206" s="886"/>
      <c r="BG206" s="887">
        <v>5</v>
      </c>
      <c r="BH206" s="887"/>
      <c r="BI206" s="887"/>
      <c r="BJ206" s="887">
        <v>1</v>
      </c>
      <c r="BK206" s="887"/>
      <c r="BL206" s="887"/>
      <c r="BM206" s="887">
        <v>1</v>
      </c>
      <c r="BN206" s="887"/>
      <c r="BO206" s="887"/>
      <c r="BP206" s="886"/>
      <c r="BQ206" s="893"/>
      <c r="BR206" s="892">
        <v>0.8</v>
      </c>
      <c r="BS206" s="886"/>
      <c r="BT206" s="423">
        <v>0.5</v>
      </c>
      <c r="BU206" s="423">
        <v>0.5</v>
      </c>
      <c r="BV206" s="425">
        <v>58</v>
      </c>
      <c r="BW206" s="423">
        <v>0.5</v>
      </c>
      <c r="BX206" s="448"/>
      <c r="BY206" s="448"/>
      <c r="BZ206" s="448"/>
      <c r="CA206" s="448"/>
      <c r="CB206" s="448"/>
      <c r="CC206" s="777"/>
      <c r="CD206" s="448"/>
      <c r="CE206" s="894" t="str">
        <f>IFERROR(WWWW[[#This Row],['#_Water sources passed]]/WWWW[[#This Row],['#_Water sources tested for fecal coliform ]],"no test")</f>
        <v>no test</v>
      </c>
      <c r="CF206" s="892" t="str">
        <f>IFERROR(WWWW[[#This Row],['#_Household passed]]/WWWW[[#This Row],['#_Household water samples tested for fecal coliform]],"no test")</f>
        <v>no test</v>
      </c>
      <c r="CG206" s="893" t="str">
        <f>IF(AND(WWWW[[#This Row],[% of water sources passed]]="no test",WWWW[[#This Row],[% Household passed]]="no test"),"No Test","Tested")</f>
        <v>No Test</v>
      </c>
      <c r="CH206" s="893">
        <f>WWWW[[#This Row],['#_Constructed/existing protected hand dug well]]-WWWW[[#This Row],['#_Non-functional protected hand dug well]]</f>
        <v>1</v>
      </c>
      <c r="CI206" s="893">
        <f>(WWWW[[#This Row],['#_Constructed/Existing tube wells/boreholes/handpumps_WASH_agency]]+WWWW[[#This Row],['#_Non-Cluster partner water tube-wells/boreholes/handpumps]])-WWWW[[#This Row],['#_Non-functional tube wells/boreholes/handpumps]]</f>
        <v>0</v>
      </c>
      <c r="CJ206" s="893">
        <f>WWWW[[#This Row],['#_Constructed/Existingwater storage tank with gravity fed reticulation system]]-WWWW[[#This Row],['#_Non-functional storage tank gravity fed reticulation system]]</f>
        <v>0</v>
      </c>
      <c r="CK206" s="893">
        <f>(WWWW[[#This Row],['#_Water_Liters_supplied_by_Water boating or water trucking]]/90)/15</f>
        <v>0</v>
      </c>
      <c r="CL206" s="893">
        <f>WWWW[[#This Row],['#_Water_Liters_from_Constructed/Existing water distribution system from river or natural spring]]/90/15</f>
        <v>0.7407407407407407</v>
      </c>
      <c r="CM206" s="424">
        <f>IF(WWWW[[#This Row],['#_of water points in TLS/CFS]]*500&gt;WWWW[[#This Row],[Total PoP ]],WWWW[[#This Row],[Total PoP ]],WWWW[[#This Row],['#_of water points in TLS/CFS]]*500)</f>
        <v>0</v>
      </c>
      <c r="CN206" s="424">
        <f>IF(WWWW[[#This Row],['#_of water points in THF]]*500&gt;WWWW[[#This Row],[Total PoP ]],WWWW[[#This Row],[Total PoP ]],WWWW[[#This Row],['#_of water points in THF]]*500)</f>
        <v>0</v>
      </c>
      <c r="CO20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6" s="892">
        <f>IF(WWWW[[#This Row],[Location Type 1]]="Village",WWWW[[#This Row],[Access to safe drinking water for Village]],WWWW[[#This Row],[Access to safe drinking water for Camp]])</f>
        <v>1</v>
      </c>
      <c r="CR206" s="890">
        <f>WWWW[[#This Row],[%Equitable and continuous access to sufficient quantity of safe drinking water]]*WWWW[[#This Row],[Total PoP ]]</f>
        <v>72</v>
      </c>
      <c r="CS206" s="892">
        <f>IF((WWWW[[#This Row],['#_Constructed/Existing protected/fenced ponds]]*250)/WWWW[[#This Row],[Total PoP ]]&gt;1,1,(WWWW[[#This Row],['#_Constructed/Existing protected/fenced ponds]]*250)/WWWW[[#This Row],[Total PoP ]])</f>
        <v>0</v>
      </c>
      <c r="CT206" s="890">
        <f>WWWW[[#This Row],[% Access to unimproved water points]]*WWWW[[#This Row],[Total PoP ]]</f>
        <v>0</v>
      </c>
      <c r="CU20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v>
      </c>
      <c r="CW206" s="890">
        <f>WWWW[[#This Row],[HRP1]]/500</f>
        <v>0.14399999999999999</v>
      </c>
      <c r="CX206" s="895">
        <f>1-WWWW[[#This Row],[% Equitable and continuous access to sufficient quantity of domestic water]]</f>
        <v>0</v>
      </c>
      <c r="CY206" s="890">
        <f>WWWW[[#This Row],[%equitable and continuous access to sufficient quantity of safe drinking and domestic water''s GAP]]*WWWW[[#This Row],[Total PoP ]]</f>
        <v>0</v>
      </c>
      <c r="CZ206" s="893">
        <f>IF(WWWW[[#This Row],[Total required water points]]-WWWW[[#This Row],['#Water points coverage]]&lt;0,0,WWWW[[#This Row],[Total required water points]]-WWWW[[#This Row],['#Water points coverage]])</f>
        <v>0.85599999999999998</v>
      </c>
      <c r="DA206" s="893">
        <f>ROUND(IF(WWWW[[#This Row],[Total PoP ]]&lt;500,1,WWWW[[#This Row],[Total PoP ]]/500),0)</f>
        <v>1</v>
      </c>
      <c r="DB206" s="893">
        <f>(WWWW[[#This Row],['#_Constructed latrines_by_WASHAgencies]]+WWWW[[#This Row],['#_Non Cluster partner latrines]])-WWWW[[#This Row],['#_Non-functional latrines]]</f>
        <v>5</v>
      </c>
      <c r="DC206" s="631">
        <f>WWWW[[#This Row],[HRP2]]/WWWW[[#This Row],[Total PoP ]]</f>
        <v>1</v>
      </c>
      <c r="DD20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v>
      </c>
      <c r="DE20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6" s="424">
        <f>IF(WWWW[[#This Row],['# of functional latrines in THF supported by WASH partners during the reporting period2]]="",0,WWWW[[#This Row],['# of functional latrines in THF supported by WASH partners during the reporting period2]]*50)</f>
        <v>0</v>
      </c>
      <c r="DH206" s="893">
        <f>ROUND(IF(WWWW[[#This Row],[Location Type 1]]="camp",WWWW[[#This Row],[Total PoP ]]/20,IF(WWWW[[#This Row],[Location Type 1]]="Temporary Location",WWWW[[#This Row],[Total PoP ]]/50,(WWWW[[#This Row],[Total PoP ]]/6))),0)</f>
        <v>4</v>
      </c>
      <c r="DI206" s="893">
        <f>IF(WWWW[[#This Row],[Total required Latrines]]-(WWWW[[#This Row],['#_Constructed latrines_by_WASHAgencies]]+WWWW[[#This Row],['#_Non Cluster partner latrines]])&lt;0,0,WWWW[[#This Row],[Total required Latrines]]-(WWWW[[#This Row],['#_Constructed latrines_by_WASHAgencies]]+WWWW[[#This Row],['#_Non Cluster partner latrines]]))</f>
        <v>0</v>
      </c>
      <c r="DJ206" s="895">
        <f>1-WWWW[[#This Row],[% people access to functioning Latrine]]</f>
        <v>0</v>
      </c>
      <c r="DK206" s="894">
        <f>IF(OR(WWWW[[#This Row],['#_Non-functional latrines]]="",WWWW[[#This Row],['#_Non-functional latrines]]=0),0,WWWW[[#This Row],['#_Non-functional latrines]]/(WWWW[[#This Row],['#_Constructed latrines_by_WASHAgencies]]+WWWW[[#This Row],['#_Non Cluster partner latrines]]))</f>
        <v>0</v>
      </c>
      <c r="DL206" s="890">
        <f>IF(500*(WWWW[[#This Row],['#_male hygiene promoters]]+WWWW[[#This Row],['#_female hygiene promoters]])&gt;WWWW[[#This Row],[Total PoP ]],WWWW[[#This Row],[Total PoP ]],500*(WWWW[[#This Row],['#_male hygiene promoters]]+WWWW[[#This Row],['#_female hygiene promoters]]))</f>
        <v>72</v>
      </c>
      <c r="DM20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0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6" s="893">
        <f>IF(WWWW[[#This Row],['# People with access to soap]]&gt;WWWW[[#This Row],['# People with access to Sanity Pads]],WWWW[[#This Row],['# People with access to soap]],WWWW[[#This Row],['# People with access to Sanity Pads]])</f>
        <v>0</v>
      </c>
      <c r="DP206" s="893">
        <f>IF(WWWW[[#This Row],['# people reached by regular dedicated hygiene promotion_5]]&gt;WWWW[[#This Row],['# People received regular supply of hygiene items_6]],WWWW[[#This Row],['# people reached by regular dedicated hygiene promotion_5]],WWWW[[#This Row],['# People received regular supply of hygiene items_6]])</f>
        <v>72</v>
      </c>
      <c r="DQ206" s="895">
        <f>IF(WWWW[[#This Row],[HRP3]]/WWWW[[#This Row],[Total PoP ]]&gt;1,1,WWWW[[#This Row],[HRP3]]/WWWW[[#This Row],[Total PoP ]])</f>
        <v>1</v>
      </c>
      <c r="DR206" s="894">
        <f>1-WWWW[[#This Row],[Hygiene Coverage%]]</f>
        <v>0</v>
      </c>
      <c r="DS206" s="892">
        <f>WWWW[[#This Row],['# people reached by regular dedicated hygiene promotion_5]]/WWWW[[#This Row],[Total PoP ]]</f>
        <v>1</v>
      </c>
      <c r="DT20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0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6" s="893">
        <f>WWWW[[#This Row],['#_Constructed/Existing hand washing stations]]-WWWW[[#This Row],['#_Non-Functional_hand_washing_stations]]</f>
        <v>5</v>
      </c>
      <c r="DW206" s="890">
        <f>IF(WWWW[[#This Row],['# Functional hand washing stations during reporting period]]*20&gt;WWWW[[#This Row],[Total HH]],WWWW[[#This Row],[Total HH]],WWWW[[#This Row],['# Functional hand washing stations during reporting period]]*20)</f>
        <v>13</v>
      </c>
      <c r="DX206" s="890">
        <f>IF(WWWW[[#This Row],[Is sufficient soap available for TLS? (Yes/No)]]="yes",WWWW[[#This Row],['#_Constructed/Existing hand washing stations at TLS/CFS/THF]],0)</f>
        <v>0</v>
      </c>
      <c r="DY206" s="428">
        <f>IF(WWWW[[#This Row],['# Functional hand washing stations during reporting period]]*100&gt;WWWW[[#This Row],[Total PoP ]],WWWW[[#This Row],[Total PoP ]],WWWW[[#This Row],['# Functional hand washing stations during reporting period]]*100)</f>
        <v>72</v>
      </c>
      <c r="DZ206" s="428" t="str">
        <f>IF(OR(WWWW[[#This Row],['#_students at TLS_CFS]]="",WWWW[[#This Row],['#_students at TLS_CFS]]=0),"No","Yes")</f>
        <v>No</v>
      </c>
      <c r="EA206" s="631">
        <f>IF(WWWW[[#This Row],['#_of_affected_people_surveyed_who_report_feeling_informed_about_the_different_WASH_services_available_to_them]]="","",WWWW[[#This Row],['#_of_affected_people_surveyed_who_report_feeling_informed_about_the_different_WASH_services_available_to_them]]/WWWW[[#This Row],[Total PoP ]])</f>
        <v>0.80555555555555558</v>
      </c>
      <c r="EB20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6" s="886" t="str">
        <f>VLOOKUP(WWWW[[#This Row],[Site Name]],SiteDB6[[Site Name]:[CCCM Management]],6,FALSE)</f>
        <v>Yes</v>
      </c>
      <c r="EF206" s="886" t="str">
        <f>VLOOKUP(WWWW[[#This Row],[Site Name]],SiteDB6[[Site Name]:[CCCM Focal Agency]],7,FALSE)</f>
        <v>Shalom</v>
      </c>
      <c r="EG206" s="886" t="str">
        <f>VLOOKUP(WWWW[[#This Row],[Site Name]],SiteDB6[[Site Name]:[Location Type 1]],9,FALSE)</f>
        <v>Camp</v>
      </c>
      <c r="EH206" s="886" t="str">
        <f>VLOOKUP(WWWW[[#This Row],[Site Name]],SiteDB6[[Site Name]:[Type of Accommodation]],10,FALSE)</f>
        <v>Camp</v>
      </c>
      <c r="EI206" s="886" t="str">
        <f>VLOOKUP(WWWW[[#This Row],[Site Name]],SiteDB6[[Site Name]:[Ethnic or GCA/NGCA]],11,FALSE)</f>
        <v>GCA</v>
      </c>
      <c r="EJ206" s="886">
        <f>VLOOKUP(WWWW[[#This Row],[Site Name]],SiteDB6[[Site Name]:[Lat]],12,FALSE)</f>
        <v>25.616509000000001</v>
      </c>
      <c r="EK206" s="886">
        <f>VLOOKUP(WWWW[[#This Row],[Site Name]],SiteDB6[[Site Name]:[Long]],13,FALSE)</f>
        <v>96.317350000000005</v>
      </c>
      <c r="EL206" s="886" t="str">
        <f>VLOOKUP(WWWW[[#This Row],[Site Name]],SiteDB6[[Site Name]:[Pcode]],3,FALSE)</f>
        <v>MMR001CMP190</v>
      </c>
      <c r="EM206" s="891" t="str">
        <f t="shared" si="3"/>
        <v>Covered</v>
      </c>
      <c r="EN206" s="891"/>
      <c r="EO206" s="886">
        <f>VLOOKUP(WWWW[[#This Row],[Site Name]],SiteDB6[[Site Name]:[Pop
(Kachin/Shan-CCCM as of July 2021)]],16,FALSE)</f>
        <v>14</v>
      </c>
      <c r="EP206" s="886">
        <f>VLOOKUP(WWWW[[#This Row],[Site Name]],SiteDB6[[Site Name]:[Pop
(Kachin/Shan-CCCM as of July 2021)]],17,FALSE)</f>
        <v>72</v>
      </c>
    </row>
    <row r="207" spans="1:146" hidden="1">
      <c r="A207" s="884" t="s">
        <v>2764</v>
      </c>
      <c r="B207" s="884" t="s">
        <v>276</v>
      </c>
      <c r="C207" s="885" t="s">
        <v>276</v>
      </c>
      <c r="D207" s="885" t="s">
        <v>3037</v>
      </c>
      <c r="E207" s="885" t="s">
        <v>37</v>
      </c>
      <c r="F207" s="885" t="s">
        <v>205</v>
      </c>
      <c r="G207" s="591" t="str">
        <f>VLOOKUP(WWWW[[#This Row],[Site Name]],SiteDB6[[Site Name]:[Location Type]],8,FALSE)</f>
        <v>Camp_not registered</v>
      </c>
      <c r="H207" s="885" t="s">
        <v>206</v>
      </c>
      <c r="I207" s="887">
        <v>11</v>
      </c>
      <c r="J207" s="887">
        <v>32</v>
      </c>
      <c r="K207" s="888">
        <v>44652</v>
      </c>
      <c r="L207" s="889">
        <v>44895</v>
      </c>
      <c r="M207" s="887"/>
      <c r="N207" s="887"/>
      <c r="O207" s="887"/>
      <c r="P207" s="887"/>
      <c r="Q207" s="890" t="s">
        <v>41</v>
      </c>
      <c r="R207" s="887">
        <v>2</v>
      </c>
      <c r="S207" s="887">
        <v>3</v>
      </c>
      <c r="T207" s="448">
        <v>3</v>
      </c>
      <c r="U207" s="887"/>
      <c r="V207" s="887"/>
      <c r="W207" s="887">
        <v>1</v>
      </c>
      <c r="X207" s="887"/>
      <c r="Y207" s="887"/>
      <c r="Z207" s="887"/>
      <c r="AA207" s="887"/>
      <c r="AB207" s="887"/>
      <c r="AC207" s="887"/>
      <c r="AD207" s="887"/>
      <c r="AE207" s="887"/>
      <c r="AF207" s="887"/>
      <c r="AG207" s="887"/>
      <c r="AH207" s="887"/>
      <c r="AI207" s="887">
        <v>3</v>
      </c>
      <c r="AJ207" s="887">
        <v>1</v>
      </c>
      <c r="AK207" s="887"/>
      <c r="AL207" s="887"/>
      <c r="AM207" s="887"/>
      <c r="AN207" s="887"/>
      <c r="AO207" s="448"/>
      <c r="AP207" s="891" t="s">
        <v>3039</v>
      </c>
      <c r="AQ207" s="887">
        <v>31</v>
      </c>
      <c r="AR207" s="887"/>
      <c r="AS207" s="892"/>
      <c r="AT207" s="887"/>
      <c r="AU207" s="887"/>
      <c r="AV207" s="887">
        <v>31</v>
      </c>
      <c r="AW207" s="887">
        <v>9</v>
      </c>
      <c r="AX207" s="887"/>
      <c r="AY207" s="886" t="s">
        <v>41</v>
      </c>
      <c r="AZ207" s="891" t="s">
        <v>137</v>
      </c>
      <c r="BA207" s="887"/>
      <c r="BB207" s="887"/>
      <c r="BC207" s="887">
        <v>3</v>
      </c>
      <c r="BD207" s="448"/>
      <c r="BE207" s="448"/>
      <c r="BF207" s="886"/>
      <c r="BG207" s="887">
        <v>11</v>
      </c>
      <c r="BH207" s="887"/>
      <c r="BI207" s="887"/>
      <c r="BJ207" s="887">
        <v>3</v>
      </c>
      <c r="BK207" s="887"/>
      <c r="BL207" s="887"/>
      <c r="BM207" s="887"/>
      <c r="BN207" s="887"/>
      <c r="BO207" s="887"/>
      <c r="BP207" s="886"/>
      <c r="BQ207" s="893"/>
      <c r="BR207" s="892"/>
      <c r="BS207" s="886"/>
      <c r="BT207" s="423"/>
      <c r="BU207" s="423"/>
      <c r="BV207" s="425"/>
      <c r="BW207" s="423">
        <v>0</v>
      </c>
      <c r="BX207" s="448"/>
      <c r="BY207" s="448">
        <v>31</v>
      </c>
      <c r="BZ207" s="448">
        <v>3</v>
      </c>
      <c r="CA207" s="448"/>
      <c r="CB207" s="448"/>
      <c r="CC207" s="777"/>
      <c r="CD207" s="448"/>
      <c r="CE207" s="894">
        <f>IFERROR(WWWW[[#This Row],['#_Water sources passed]]/WWWW[[#This Row],['#_Water sources tested for fecal coliform ]],"no test")</f>
        <v>0.33333333333333331</v>
      </c>
      <c r="CF207" s="892" t="str">
        <f>IFERROR(WWWW[[#This Row],['#_Household passed]]/WWWW[[#This Row],['#_Household water samples tested for fecal coliform]],"no test")</f>
        <v>no test</v>
      </c>
      <c r="CG207" s="893" t="str">
        <f>IF(AND(WWWW[[#This Row],[% of water sources passed]]="no test",WWWW[[#This Row],[% Household passed]]="no test"),"No Test","Tested")</f>
        <v>Tested</v>
      </c>
      <c r="CH207" s="893">
        <f>WWWW[[#This Row],['#_Constructed/existing protected hand dug well]]-WWWW[[#This Row],['#_Non-functional protected hand dug well]]</f>
        <v>3</v>
      </c>
      <c r="CI207" s="893">
        <f>(WWWW[[#This Row],['#_Constructed/Existing tube wells/boreholes/handpumps_WASH_agency]]+WWWW[[#This Row],['#_Non-Cluster partner water tube-wells/boreholes/handpumps]])-WWWW[[#This Row],['#_Non-functional tube wells/boreholes/handpumps]]</f>
        <v>1</v>
      </c>
      <c r="CJ207" s="893">
        <f>WWWW[[#This Row],['#_Constructed/Existingwater storage tank with gravity fed reticulation system]]-WWWW[[#This Row],['#_Non-functional storage tank gravity fed reticulation system]]</f>
        <v>0</v>
      </c>
      <c r="CK207" s="893">
        <f>(WWWW[[#This Row],['#_Water_Liters_supplied_by_Water boating or water trucking]]/90)/15</f>
        <v>0</v>
      </c>
      <c r="CL207" s="893">
        <f>WWWW[[#This Row],['#_Water_Liters_from_Constructed/Existing water distribution system from river or natural spring]]/90/15</f>
        <v>0</v>
      </c>
      <c r="CM207" s="424">
        <f>IF(WWWW[[#This Row],['#_of water points in TLS/CFS]]*500&gt;WWWW[[#This Row],[Total PoP ]],WWWW[[#This Row],[Total PoP ]],WWWW[[#This Row],['#_of water points in TLS/CFS]]*500)</f>
        <v>0</v>
      </c>
      <c r="CN207" s="424">
        <f>IF(WWWW[[#This Row],['#_of water points in THF]]*500&gt;WWWW[[#This Row],[Total PoP ]],WWWW[[#This Row],[Total PoP ]],WWWW[[#This Row],['#_of water points in THF]]*500)</f>
        <v>0</v>
      </c>
      <c r="CO20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7" s="892">
        <f>IF(WWWW[[#This Row],[Location Type 1]]="Village",WWWW[[#This Row],[Access to safe drinking water for Village]],WWWW[[#This Row],[Access to safe drinking water for Camp]])</f>
        <v>1</v>
      </c>
      <c r="CR207" s="890">
        <f>WWWW[[#This Row],[%Equitable and continuous access to sufficient quantity of safe drinking water]]*WWWW[[#This Row],[Total PoP ]]</f>
        <v>32</v>
      </c>
      <c r="CS207" s="892">
        <f>IF((WWWW[[#This Row],['#_Constructed/Existing protected/fenced ponds]]*250)/WWWW[[#This Row],[Total PoP ]]&gt;1,1,(WWWW[[#This Row],['#_Constructed/Existing protected/fenced ponds]]*250)/WWWW[[#This Row],[Total PoP ]])</f>
        <v>0</v>
      </c>
      <c r="CT207" s="890">
        <f>WWWW[[#This Row],[% Access to unimproved water points]]*WWWW[[#This Row],[Total PoP ]]</f>
        <v>0</v>
      </c>
      <c r="CU20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W207" s="890">
        <f>WWWW[[#This Row],[HRP1]]/500</f>
        <v>6.4000000000000001E-2</v>
      </c>
      <c r="CX207" s="895">
        <f>1-WWWW[[#This Row],[% Equitable and continuous access to sufficient quantity of domestic water]]</f>
        <v>0</v>
      </c>
      <c r="CY207" s="890">
        <f>WWWW[[#This Row],[%equitable and continuous access to sufficient quantity of safe drinking and domestic water''s GAP]]*WWWW[[#This Row],[Total PoP ]]</f>
        <v>0</v>
      </c>
      <c r="CZ207" s="893">
        <f>IF(WWWW[[#This Row],[Total required water points]]-WWWW[[#This Row],['#Water points coverage]]&lt;0,0,WWWW[[#This Row],[Total required water points]]-WWWW[[#This Row],['#Water points coverage]])</f>
        <v>0.93599999999999994</v>
      </c>
      <c r="DA207" s="893">
        <f>ROUND(IF(WWWW[[#This Row],[Total PoP ]]&lt;500,1,WWWW[[#This Row],[Total PoP ]]/500),0)</f>
        <v>1</v>
      </c>
      <c r="DB207" s="893">
        <f>(WWWW[[#This Row],['#_Constructed latrines_by_WASHAgencies]]+WWWW[[#This Row],['#_Non Cluster partner latrines]])-WWWW[[#This Row],['#_Non-functional latrines]]</f>
        <v>31</v>
      </c>
      <c r="DC207" s="631">
        <f>WWWW[[#This Row],[HRP2]]/WWWW[[#This Row],[Total PoP ]]</f>
        <v>1</v>
      </c>
      <c r="DD20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v>
      </c>
      <c r="DE20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32</v>
      </c>
      <c r="DF20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7" s="424">
        <f>IF(WWWW[[#This Row],['# of functional latrines in THF supported by WASH partners during the reporting period2]]="",0,WWWW[[#This Row],['# of functional latrines in THF supported by WASH partners during the reporting period2]]*50)</f>
        <v>0</v>
      </c>
      <c r="DH207" s="893">
        <f>ROUND(IF(WWWW[[#This Row],[Location Type 1]]="camp",WWWW[[#This Row],[Total PoP ]]/20,IF(WWWW[[#This Row],[Location Type 1]]="Temporary Location",WWWW[[#This Row],[Total PoP ]]/50,(WWWW[[#This Row],[Total PoP ]]/6))),0)</f>
        <v>2</v>
      </c>
      <c r="DI207" s="893">
        <f>IF(WWWW[[#This Row],[Total required Latrines]]-(WWWW[[#This Row],['#_Constructed latrines_by_WASHAgencies]]+WWWW[[#This Row],['#_Non Cluster partner latrines]])&lt;0,0,WWWW[[#This Row],[Total required Latrines]]-(WWWW[[#This Row],['#_Constructed latrines_by_WASHAgencies]]+WWWW[[#This Row],['#_Non Cluster partner latrines]]))</f>
        <v>0</v>
      </c>
      <c r="DJ207" s="895">
        <f>1-WWWW[[#This Row],[% people access to functioning Latrine]]</f>
        <v>0</v>
      </c>
      <c r="DK207" s="894">
        <f>IF(OR(WWWW[[#This Row],['#_Non-functional latrines]]="",WWWW[[#This Row],['#_Non-functional latrines]]=0),0,WWWW[[#This Row],['#_Non-functional latrines]]/(WWWW[[#This Row],['#_Constructed latrines_by_WASHAgencies]]+WWWW[[#This Row],['#_Non Cluster partner latrines]]))</f>
        <v>0</v>
      </c>
      <c r="DL207" s="890">
        <f>IF(500*(WWWW[[#This Row],['#_male hygiene promoters]]+WWWW[[#This Row],['#_female hygiene promoters]])&gt;WWWW[[#This Row],[Total PoP ]],WWWW[[#This Row],[Total PoP ]],500*(WWWW[[#This Row],['#_male hygiene promoters]]+WWWW[[#This Row],['#_female hygiene promoters]]))</f>
        <v>0</v>
      </c>
      <c r="DM20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0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7" s="893">
        <f>IF(WWWW[[#This Row],['# People with access to soap]]&gt;WWWW[[#This Row],['# People with access to Sanity Pads]],WWWW[[#This Row],['# People with access to soap]],WWWW[[#This Row],['# People with access to Sanity Pads]])</f>
        <v>0</v>
      </c>
      <c r="DP207"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07" s="895">
        <f>IF(WWWW[[#This Row],[HRP3]]/WWWW[[#This Row],[Total PoP ]]&gt;1,1,WWWW[[#This Row],[HRP3]]/WWWW[[#This Row],[Total PoP ]])</f>
        <v>0</v>
      </c>
      <c r="DR207" s="894">
        <f>1-WWWW[[#This Row],[Hygiene Coverage%]]</f>
        <v>1</v>
      </c>
      <c r="DS207" s="892">
        <f>WWWW[[#This Row],['# people reached by regular dedicated hygiene promotion_5]]/WWWW[[#This Row],[Total PoP ]]</f>
        <v>0</v>
      </c>
      <c r="DT20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0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7" s="893">
        <f>WWWW[[#This Row],['#_Constructed/Existing hand washing stations]]-WWWW[[#This Row],['#_Non-Functional_hand_washing_stations]]</f>
        <v>11</v>
      </c>
      <c r="DW207" s="890">
        <f>IF(WWWW[[#This Row],['# Functional hand washing stations during reporting period]]*20&gt;WWWW[[#This Row],[Total HH]],WWWW[[#This Row],[Total HH]],WWWW[[#This Row],['# Functional hand washing stations during reporting period]]*20)</f>
        <v>11</v>
      </c>
      <c r="DX207" s="890">
        <f>IF(WWWW[[#This Row],[Is sufficient soap available for TLS? (Yes/No)]]="yes",WWWW[[#This Row],['#_Constructed/Existing hand washing stations at TLS/CFS/THF]],0)</f>
        <v>0</v>
      </c>
      <c r="DY207" s="428">
        <f>IF(WWWW[[#This Row],['# Functional hand washing stations during reporting period]]*100&gt;WWWW[[#This Row],[Total PoP ]],WWWW[[#This Row],[Total PoP ]],WWWW[[#This Row],['# Functional hand washing stations during reporting period]]*100)</f>
        <v>32</v>
      </c>
      <c r="DZ207" s="428" t="str">
        <f>IF(OR(WWWW[[#This Row],['#_students at TLS_CFS]]="",WWWW[[#This Row],['#_students at TLS_CFS]]=0),"No","Yes")</f>
        <v>No</v>
      </c>
      <c r="EA20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34</v>
      </c>
      <c r="EC20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7" s="886">
        <f>VLOOKUP(WWWW[[#This Row],[Site Name]],SiteDB6[[Site Name]:[CCCM Management]],6,FALSE)</f>
        <v>0</v>
      </c>
      <c r="EF207" s="886">
        <f>VLOOKUP(WWWW[[#This Row],[Site Name]],SiteDB6[[Site Name]:[CCCM Focal Agency]],7,FALSE)</f>
        <v>0</v>
      </c>
      <c r="EG207" s="886" t="str">
        <f>VLOOKUP(WWWW[[#This Row],[Site Name]],SiteDB6[[Site Name]:[Location Type 1]],9,FALSE)</f>
        <v>Camp</v>
      </c>
      <c r="EH207" s="886" t="str">
        <f>VLOOKUP(WWWW[[#This Row],[Site Name]],SiteDB6[[Site Name]:[Type of Accommodation]],10,FALSE)</f>
        <v>Camp</v>
      </c>
      <c r="EI207" s="886" t="str">
        <f>VLOOKUP(WWWW[[#This Row],[Site Name]],SiteDB6[[Site Name]:[Ethnic or GCA/NGCA]],11,FALSE)</f>
        <v>GCA</v>
      </c>
      <c r="EJ207" s="886">
        <f>VLOOKUP(WWWW[[#This Row],[Site Name]],SiteDB6[[Site Name]:[Lat]],12,FALSE)</f>
        <v>0</v>
      </c>
      <c r="EK207" s="886">
        <f>VLOOKUP(WWWW[[#This Row],[Site Name]],SiteDB6[[Site Name]:[Long]],13,FALSE)</f>
        <v>0</v>
      </c>
      <c r="EL207" s="886">
        <f>VLOOKUP(WWWW[[#This Row],[Site Name]],SiteDB6[[Site Name]:[Pcode]],3,FALSE)</f>
        <v>0</v>
      </c>
      <c r="EM207" s="891" t="str">
        <f t="shared" si="3"/>
        <v>Covered</v>
      </c>
      <c r="EN207" s="891"/>
      <c r="EO207" s="886">
        <f>VLOOKUP(WWWW[[#This Row],[Site Name]],SiteDB6[[Site Name]:[Pop
(Kachin/Shan-CCCM as of July 2021)]],16,FALSE)</f>
        <v>0</v>
      </c>
      <c r="EP207" s="886">
        <f>VLOOKUP(WWWW[[#This Row],[Site Name]],SiteDB6[[Site Name]:[Pop
(Kachin/Shan-CCCM as of July 2021)]],17,FALSE)</f>
        <v>0</v>
      </c>
    </row>
    <row r="208" spans="1:146" hidden="1">
      <c r="A208" s="884" t="s">
        <v>2764</v>
      </c>
      <c r="B208" s="884" t="s">
        <v>276</v>
      </c>
      <c r="C208" s="885" t="s">
        <v>276</v>
      </c>
      <c r="D208" s="885" t="s">
        <v>3037</v>
      </c>
      <c r="E208" s="885" t="s">
        <v>37</v>
      </c>
      <c r="F208" s="885" t="s">
        <v>195</v>
      </c>
      <c r="G208" s="591" t="str">
        <f>VLOOKUP(WWWW[[#This Row],[Site Name]],SiteDB6[[Site Name]:[Location Type]],8,FALSE)</f>
        <v>Camp</v>
      </c>
      <c r="H208" s="885" t="s">
        <v>196</v>
      </c>
      <c r="I208" s="887">
        <v>36</v>
      </c>
      <c r="J208" s="887">
        <v>222</v>
      </c>
      <c r="K208" s="888">
        <v>44652</v>
      </c>
      <c r="L208" s="889">
        <v>44895</v>
      </c>
      <c r="M208" s="887"/>
      <c r="N208" s="887"/>
      <c r="O208" s="887"/>
      <c r="P208" s="887"/>
      <c r="Q208" s="890" t="s">
        <v>41</v>
      </c>
      <c r="R208" s="887">
        <v>1</v>
      </c>
      <c r="S208" s="887">
        <v>1</v>
      </c>
      <c r="T208" s="448">
        <v>1</v>
      </c>
      <c r="U208" s="887"/>
      <c r="V208" s="887"/>
      <c r="W208" s="887">
        <v>1</v>
      </c>
      <c r="X208" s="887"/>
      <c r="Y208" s="887"/>
      <c r="Z208" s="887"/>
      <c r="AA208" s="887"/>
      <c r="AB208" s="887"/>
      <c r="AC208" s="887"/>
      <c r="AD208" s="887"/>
      <c r="AE208" s="887"/>
      <c r="AF208" s="887"/>
      <c r="AG208" s="887"/>
      <c r="AH208" s="887"/>
      <c r="AI208" s="887"/>
      <c r="AJ208" s="887"/>
      <c r="AK208" s="887"/>
      <c r="AL208" s="887"/>
      <c r="AM208" s="887"/>
      <c r="AN208" s="887"/>
      <c r="AO208" s="448"/>
      <c r="AP208" s="891"/>
      <c r="AQ208" s="887">
        <v>2</v>
      </c>
      <c r="AR208" s="887"/>
      <c r="AS208" s="892"/>
      <c r="AT208" s="887"/>
      <c r="AU208" s="887"/>
      <c r="AV208" s="887"/>
      <c r="AW208" s="887"/>
      <c r="AX208" s="887"/>
      <c r="AY208" s="886" t="s">
        <v>41</v>
      </c>
      <c r="AZ208" s="891" t="s">
        <v>137</v>
      </c>
      <c r="BA208" s="887"/>
      <c r="BB208" s="887"/>
      <c r="BC208" s="887"/>
      <c r="BD208" s="448"/>
      <c r="BE208" s="448"/>
      <c r="BF208" s="886"/>
      <c r="BG208" s="887"/>
      <c r="BH208" s="887"/>
      <c r="BI208" s="887">
        <v>3</v>
      </c>
      <c r="BJ208" s="887"/>
      <c r="BK208" s="887"/>
      <c r="BL208" s="887"/>
      <c r="BM208" s="887"/>
      <c r="BN208" s="887"/>
      <c r="BO208" s="887"/>
      <c r="BP208" s="886"/>
      <c r="BQ208" s="893"/>
      <c r="BR208" s="892"/>
      <c r="BS208" s="886"/>
      <c r="BT208" s="423"/>
      <c r="BU208" s="423"/>
      <c r="BV208" s="425"/>
      <c r="BW208" s="423">
        <v>0</v>
      </c>
      <c r="BX208" s="448"/>
      <c r="BY208" s="448">
        <v>2</v>
      </c>
      <c r="BZ208" s="448">
        <v>3</v>
      </c>
      <c r="CA208" s="448"/>
      <c r="CB208" s="448"/>
      <c r="CC208" s="777"/>
      <c r="CD208" s="448"/>
      <c r="CE208" s="894" t="str">
        <f>IFERROR(WWWW[[#This Row],['#_Water sources passed]]/WWWW[[#This Row],['#_Water sources tested for fecal coliform ]],"no test")</f>
        <v>no test</v>
      </c>
      <c r="CF208" s="892" t="str">
        <f>IFERROR(WWWW[[#This Row],['#_Household passed]]/WWWW[[#This Row],['#_Household water samples tested for fecal coliform]],"no test")</f>
        <v>no test</v>
      </c>
      <c r="CG208" s="893" t="str">
        <f>IF(AND(WWWW[[#This Row],[% of water sources passed]]="no test",WWWW[[#This Row],[% Household passed]]="no test"),"No Test","Tested")</f>
        <v>No Test</v>
      </c>
      <c r="CH208" s="893">
        <f>WWWW[[#This Row],['#_Constructed/existing protected hand dug well]]-WWWW[[#This Row],['#_Non-functional protected hand dug well]]</f>
        <v>1</v>
      </c>
      <c r="CI208" s="893">
        <f>(WWWW[[#This Row],['#_Constructed/Existing tube wells/boreholes/handpumps_WASH_agency]]+WWWW[[#This Row],['#_Non-Cluster partner water tube-wells/boreholes/handpumps]])-WWWW[[#This Row],['#_Non-functional tube wells/boreholes/handpumps]]</f>
        <v>1</v>
      </c>
      <c r="CJ208" s="893">
        <f>WWWW[[#This Row],['#_Constructed/Existingwater storage tank with gravity fed reticulation system]]-WWWW[[#This Row],['#_Non-functional storage tank gravity fed reticulation system]]</f>
        <v>0</v>
      </c>
      <c r="CK208" s="893">
        <f>(WWWW[[#This Row],['#_Water_Liters_supplied_by_Water boating or water trucking]]/90)/15</f>
        <v>0</v>
      </c>
      <c r="CL208" s="893">
        <f>WWWW[[#This Row],['#_Water_Liters_from_Constructed/Existing water distribution system from river or natural spring]]/90/15</f>
        <v>0</v>
      </c>
      <c r="CM208" s="424">
        <f>IF(WWWW[[#This Row],['#_of water points in TLS/CFS]]*500&gt;WWWW[[#This Row],[Total PoP ]],WWWW[[#This Row],[Total PoP ]],WWWW[[#This Row],['#_of water points in TLS/CFS]]*500)</f>
        <v>0</v>
      </c>
      <c r="CN208" s="424">
        <f>IF(WWWW[[#This Row],['#_of water points in THF]]*500&gt;WWWW[[#This Row],[Total PoP ]],WWWW[[#This Row],[Total PoP ]],WWWW[[#This Row],['#_of water points in THF]]*500)</f>
        <v>0</v>
      </c>
      <c r="CO20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8" s="892">
        <f>IF(WWWW[[#This Row],[Location Type 1]]="Village",WWWW[[#This Row],[Access to safe drinking water for Village]],WWWW[[#This Row],[Access to safe drinking water for Camp]])</f>
        <v>1</v>
      </c>
      <c r="CR208" s="890">
        <f>WWWW[[#This Row],[%Equitable and continuous access to sufficient quantity of safe drinking water]]*WWWW[[#This Row],[Total PoP ]]</f>
        <v>222</v>
      </c>
      <c r="CS208" s="892">
        <f>IF((WWWW[[#This Row],['#_Constructed/Existing protected/fenced ponds]]*250)/WWWW[[#This Row],[Total PoP ]]&gt;1,1,(WWWW[[#This Row],['#_Constructed/Existing protected/fenced ponds]]*250)/WWWW[[#This Row],[Total PoP ]])</f>
        <v>0</v>
      </c>
      <c r="CT208" s="890">
        <f>WWWW[[#This Row],[% Access to unimproved water points]]*WWWW[[#This Row],[Total PoP ]]</f>
        <v>0</v>
      </c>
      <c r="CU20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W208" s="890">
        <f>WWWW[[#This Row],[HRP1]]/500</f>
        <v>0.44400000000000001</v>
      </c>
      <c r="CX208" s="895">
        <f>1-WWWW[[#This Row],[% Equitable and continuous access to sufficient quantity of domestic water]]</f>
        <v>0</v>
      </c>
      <c r="CY208" s="890">
        <f>WWWW[[#This Row],[%equitable and continuous access to sufficient quantity of safe drinking and domestic water''s GAP]]*WWWW[[#This Row],[Total PoP ]]</f>
        <v>0</v>
      </c>
      <c r="CZ208" s="893">
        <f>IF(WWWW[[#This Row],[Total required water points]]-WWWW[[#This Row],['#Water points coverage]]&lt;0,0,WWWW[[#This Row],[Total required water points]]-WWWW[[#This Row],['#Water points coverage]])</f>
        <v>0.55600000000000005</v>
      </c>
      <c r="DA208" s="893">
        <f>ROUND(IF(WWWW[[#This Row],[Total PoP ]]&lt;500,1,WWWW[[#This Row],[Total PoP ]]/500),0)</f>
        <v>1</v>
      </c>
      <c r="DB208" s="893">
        <f>(WWWW[[#This Row],['#_Constructed latrines_by_WASHAgencies]]+WWWW[[#This Row],['#_Non Cluster partner latrines]])-WWWW[[#This Row],['#_Non-functional latrines]]</f>
        <v>2</v>
      </c>
      <c r="DC208" s="631">
        <f>WWWW[[#This Row],[HRP2]]/WWWW[[#This Row],[Total PoP ]]</f>
        <v>0.18018018018018017</v>
      </c>
      <c r="DD20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20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8" s="424">
        <f>IF(WWWW[[#This Row],['# of functional latrines in THF supported by WASH partners during the reporting period2]]="",0,WWWW[[#This Row],['# of functional latrines in THF supported by WASH partners during the reporting period2]]*50)</f>
        <v>0</v>
      </c>
      <c r="DH208" s="893">
        <f>ROUND(IF(WWWW[[#This Row],[Location Type 1]]="camp",WWWW[[#This Row],[Total PoP ]]/20,IF(WWWW[[#This Row],[Location Type 1]]="Temporary Location",WWWW[[#This Row],[Total PoP ]]/50,(WWWW[[#This Row],[Total PoP ]]/6))),0)</f>
        <v>11</v>
      </c>
      <c r="DI208" s="893">
        <f>IF(WWWW[[#This Row],[Total required Latrines]]-(WWWW[[#This Row],['#_Constructed latrines_by_WASHAgencies]]+WWWW[[#This Row],['#_Non Cluster partner latrines]])&lt;0,0,WWWW[[#This Row],[Total required Latrines]]-(WWWW[[#This Row],['#_Constructed latrines_by_WASHAgencies]]+WWWW[[#This Row],['#_Non Cluster partner latrines]]))</f>
        <v>9</v>
      </c>
      <c r="DJ208" s="895">
        <f>1-WWWW[[#This Row],[% people access to functioning Latrine]]</f>
        <v>0.81981981981981988</v>
      </c>
      <c r="DK208" s="894">
        <f>IF(OR(WWWW[[#This Row],['#_Non-functional latrines]]="",WWWW[[#This Row],['#_Non-functional latrines]]=0),0,WWWW[[#This Row],['#_Non-functional latrines]]/(WWWW[[#This Row],['#_Constructed latrines_by_WASHAgencies]]+WWWW[[#This Row],['#_Non Cluster partner latrines]]))</f>
        <v>0</v>
      </c>
      <c r="DL208" s="890">
        <f>IF(500*(WWWW[[#This Row],['#_male hygiene promoters]]+WWWW[[#This Row],['#_female hygiene promoters]])&gt;WWWW[[#This Row],[Total PoP ]],WWWW[[#This Row],[Total PoP ]],500*(WWWW[[#This Row],['#_male hygiene promoters]]+WWWW[[#This Row],['#_female hygiene promoters]]))</f>
        <v>0</v>
      </c>
      <c r="DM20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0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8" s="893">
        <f>IF(WWWW[[#This Row],['# People with access to soap]]&gt;WWWW[[#This Row],['# People with access to Sanity Pads]],WWWW[[#This Row],['# People with access to soap]],WWWW[[#This Row],['# People with access to Sanity Pads]])</f>
        <v>0</v>
      </c>
      <c r="DP208"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08" s="895">
        <f>IF(WWWW[[#This Row],[HRP3]]/WWWW[[#This Row],[Total PoP ]]&gt;1,1,WWWW[[#This Row],[HRP3]]/WWWW[[#This Row],[Total PoP ]])</f>
        <v>0</v>
      </c>
      <c r="DR208" s="894">
        <f>1-WWWW[[#This Row],[Hygiene Coverage%]]</f>
        <v>1</v>
      </c>
      <c r="DS208" s="892">
        <f>WWWW[[#This Row],['# people reached by regular dedicated hygiene promotion_5]]/WWWW[[#This Row],[Total PoP ]]</f>
        <v>0</v>
      </c>
      <c r="DT20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0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8" s="893">
        <f>WWWW[[#This Row],['#_Constructed/Existing hand washing stations]]-WWWW[[#This Row],['#_Non-Functional_hand_washing_stations]]</f>
        <v>0</v>
      </c>
      <c r="DW208" s="890">
        <f>IF(WWWW[[#This Row],['# Functional hand washing stations during reporting period]]*20&gt;WWWW[[#This Row],[Total HH]],WWWW[[#This Row],[Total HH]],WWWW[[#This Row],['# Functional hand washing stations during reporting period]]*20)</f>
        <v>0</v>
      </c>
      <c r="DX208" s="890">
        <f>IF(WWWW[[#This Row],[Is sufficient soap available for TLS? (Yes/No)]]="yes",WWWW[[#This Row],['#_Constructed/Existing hand washing stations at TLS/CFS/THF]],0)</f>
        <v>0</v>
      </c>
      <c r="DY208" s="428">
        <f>IF(WWWW[[#This Row],['# Functional hand washing stations during reporting period]]*100&gt;WWWW[[#This Row],[Total PoP ]],WWWW[[#This Row],[Total PoP ]],WWWW[[#This Row],['# Functional hand washing stations during reporting period]]*100)</f>
        <v>0</v>
      </c>
      <c r="DZ208" s="428" t="str">
        <f>IF(OR(WWWW[[#This Row],['#_students at TLS_CFS]]="",WWWW[[#This Row],['#_students at TLS_CFS]]=0),"No","Yes")</f>
        <v>No</v>
      </c>
      <c r="EA20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v>
      </c>
      <c r="EC20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8" s="886" t="str">
        <f>VLOOKUP(WWWW[[#This Row],[Site Name]],SiteDB6[[Site Name]:[CCCM Management]],6,FALSE)</f>
        <v>Yes</v>
      </c>
      <c r="EF208" s="886" t="str">
        <f>VLOOKUP(WWWW[[#This Row],[Site Name]],SiteDB6[[Site Name]:[CCCM Focal Agency]],7,FALSE)</f>
        <v>KBC-BMO</v>
      </c>
      <c r="EG208" s="886" t="str">
        <f>VLOOKUP(WWWW[[#This Row],[Site Name]],SiteDB6[[Site Name]:[Location Type 1]],9,FALSE)</f>
        <v>Camp</v>
      </c>
      <c r="EH208" s="886" t="str">
        <f>VLOOKUP(WWWW[[#This Row],[Site Name]],SiteDB6[[Site Name]:[Type of Accommodation]],10,FALSE)</f>
        <v>Camp</v>
      </c>
      <c r="EI208" s="886" t="str">
        <f>VLOOKUP(WWWW[[#This Row],[Site Name]],SiteDB6[[Site Name]:[Ethnic or GCA/NGCA]],11,FALSE)</f>
        <v>GCA</v>
      </c>
      <c r="EJ208" s="886">
        <f>VLOOKUP(WWWW[[#This Row],[Site Name]],SiteDB6[[Site Name]:[Lat]],12,FALSE)</f>
        <v>24.260466999999998</v>
      </c>
      <c r="EK208" s="886">
        <f>VLOOKUP(WWWW[[#This Row],[Site Name]],SiteDB6[[Site Name]:[Long]],13,FALSE)</f>
        <v>97.252650000000003</v>
      </c>
      <c r="EL208" s="886" t="str">
        <f>VLOOKUP(WWWW[[#This Row],[Site Name]],SiteDB6[[Site Name]:[Pcode]],3,FALSE)</f>
        <v>MMR001CMP194</v>
      </c>
      <c r="EM208" s="891" t="str">
        <f t="shared" si="3"/>
        <v>Covered</v>
      </c>
      <c r="EN208" s="891"/>
      <c r="EO208" s="886">
        <f>VLOOKUP(WWWW[[#This Row],[Site Name]],SiteDB6[[Site Name]:[Pop
(Kachin/Shan-CCCM as of July 2021)]],16,FALSE)</f>
        <v>9</v>
      </c>
      <c r="EP208" s="886">
        <f>VLOOKUP(WWWW[[#This Row],[Site Name]],SiteDB6[[Site Name]:[Pop
(Kachin/Shan-CCCM as of July 2021)]],17,FALSE)</f>
        <v>37</v>
      </c>
    </row>
    <row r="209" spans="1:146" hidden="1">
      <c r="A209" s="884" t="s">
        <v>2764</v>
      </c>
      <c r="B209" s="884" t="s">
        <v>242</v>
      </c>
      <c r="C209" s="885" t="s">
        <v>242</v>
      </c>
      <c r="D209" s="885" t="s">
        <v>299</v>
      </c>
      <c r="E209" s="885" t="s">
        <v>37</v>
      </c>
      <c r="F209" s="885" t="s">
        <v>148</v>
      </c>
      <c r="G209" s="591" t="str">
        <f>VLOOKUP(WWWW[[#This Row],[Site Name]],SiteDB6[[Site Name]:[Location Type]],8,FALSE)</f>
        <v>Camp</v>
      </c>
      <c r="H209" s="885" t="s">
        <v>250</v>
      </c>
      <c r="I209" s="887">
        <v>41</v>
      </c>
      <c r="J209" s="887">
        <v>250</v>
      </c>
      <c r="K209" s="888">
        <v>44562</v>
      </c>
      <c r="L209" s="889">
        <v>44926</v>
      </c>
      <c r="M209" s="887">
        <v>30</v>
      </c>
      <c r="N209" s="887">
        <v>1</v>
      </c>
      <c r="O209" s="887"/>
      <c r="P209" s="887"/>
      <c r="Q209" s="890" t="s">
        <v>41</v>
      </c>
      <c r="R209" s="887"/>
      <c r="S209" s="887">
        <v>5</v>
      </c>
      <c r="T209" s="448">
        <v>2</v>
      </c>
      <c r="U209" s="887"/>
      <c r="V209" s="887"/>
      <c r="W209" s="887"/>
      <c r="X209" s="887"/>
      <c r="Y209" s="887"/>
      <c r="Z209" s="887"/>
      <c r="AA209" s="887"/>
      <c r="AB209" s="887"/>
      <c r="AC209" s="887"/>
      <c r="AD209" s="887"/>
      <c r="AE209" s="887">
        <v>1</v>
      </c>
      <c r="AF209" s="887">
        <v>10000</v>
      </c>
      <c r="AG209" s="887">
        <v>1</v>
      </c>
      <c r="AH209" s="887"/>
      <c r="AI209" s="887"/>
      <c r="AJ209" s="887"/>
      <c r="AK209" s="887"/>
      <c r="AL209" s="887"/>
      <c r="AM209" s="887"/>
      <c r="AN209" s="887"/>
      <c r="AO209" s="448"/>
      <c r="AP209" s="891"/>
      <c r="AQ209" s="887">
        <v>10</v>
      </c>
      <c r="AR209" s="887"/>
      <c r="AS209" s="892"/>
      <c r="AT209" s="887"/>
      <c r="AU209" s="887"/>
      <c r="AV209" s="887"/>
      <c r="AW209" s="887"/>
      <c r="AX209" s="887"/>
      <c r="AY209" s="886" t="s">
        <v>136</v>
      </c>
      <c r="AZ209" s="891" t="s">
        <v>137</v>
      </c>
      <c r="BA209" s="887"/>
      <c r="BB209" s="887"/>
      <c r="BC209" s="887"/>
      <c r="BD209" s="448"/>
      <c r="BE209" s="448"/>
      <c r="BF209" s="886"/>
      <c r="BG209" s="887">
        <v>2</v>
      </c>
      <c r="BH209" s="887"/>
      <c r="BI209" s="887">
        <v>1</v>
      </c>
      <c r="BJ209" s="887">
        <v>2</v>
      </c>
      <c r="BK209" s="887"/>
      <c r="BL209" s="887"/>
      <c r="BM209" s="887">
        <v>1</v>
      </c>
      <c r="BN209" s="887">
        <v>41</v>
      </c>
      <c r="BO209" s="887"/>
      <c r="BP209" s="886"/>
      <c r="BQ209" s="893"/>
      <c r="BR209" s="892"/>
      <c r="BS209" s="886" t="s">
        <v>3062</v>
      </c>
      <c r="BT209" s="423">
        <v>0.5</v>
      </c>
      <c r="BU209" s="423">
        <v>0.9</v>
      </c>
      <c r="BV209" s="425">
        <v>15</v>
      </c>
      <c r="BW209" s="423"/>
      <c r="BX209" s="448"/>
      <c r="BY209" s="448"/>
      <c r="BZ209" s="448"/>
      <c r="CA209" s="448"/>
      <c r="CB209" s="448"/>
      <c r="CC209" s="777"/>
      <c r="CD209" s="448"/>
      <c r="CE209" s="894" t="str">
        <f>IFERROR(WWWW[[#This Row],['#_Water sources passed]]/WWWW[[#This Row],['#_Water sources tested for fecal coliform ]],"no test")</f>
        <v>no test</v>
      </c>
      <c r="CF209" s="892" t="str">
        <f>IFERROR(WWWW[[#This Row],['#_Household passed]]/WWWW[[#This Row],['#_Household water samples tested for fecal coliform]],"no test")</f>
        <v>no test</v>
      </c>
      <c r="CG209" s="893" t="str">
        <f>IF(AND(WWWW[[#This Row],[% of water sources passed]]="no test",WWWW[[#This Row],[% Household passed]]="no test"),"No Test","Tested")</f>
        <v>No Test</v>
      </c>
      <c r="CH209" s="893">
        <f>WWWW[[#This Row],['#_Constructed/existing protected hand dug well]]-WWWW[[#This Row],['#_Non-functional protected hand dug well]]</f>
        <v>2</v>
      </c>
      <c r="CI209" s="893">
        <f>(WWWW[[#This Row],['#_Constructed/Existing tube wells/boreholes/handpumps_WASH_agency]]+WWWW[[#This Row],['#_Non-Cluster partner water tube-wells/boreholes/handpumps]])-WWWW[[#This Row],['#_Non-functional tube wells/boreholes/handpumps]]</f>
        <v>0</v>
      </c>
      <c r="CJ209" s="893">
        <f>WWWW[[#This Row],['#_Constructed/Existingwater storage tank with gravity fed reticulation system]]-WWWW[[#This Row],['#_Non-functional storage tank gravity fed reticulation system]]</f>
        <v>0</v>
      </c>
      <c r="CK209" s="893">
        <f>(WWWW[[#This Row],['#_Water_Liters_supplied_by_Water boating or water trucking]]/90)/15</f>
        <v>0</v>
      </c>
      <c r="CL209" s="893">
        <f>WWWW[[#This Row],['#_Water_Liters_from_Constructed/Existing water distribution system from river or natural spring]]/90/15</f>
        <v>7.4074074074074074</v>
      </c>
      <c r="CM209" s="424">
        <f>IF(WWWW[[#This Row],['#_of water points in TLS/CFS]]*500&gt;WWWW[[#This Row],[Total PoP ]],WWWW[[#This Row],[Total PoP ]],WWWW[[#This Row],['#_of water points in TLS/CFS]]*500)</f>
        <v>0</v>
      </c>
      <c r="CN209" s="424">
        <f>IF(WWWW[[#This Row],['#_of water points in THF]]*500&gt;WWWW[[#This Row],[Total PoP ]],WWWW[[#This Row],[Total PoP ]],WWWW[[#This Row],['#_of water points in THF]]*500)</f>
        <v>0</v>
      </c>
      <c r="CO20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9" s="892">
        <f>IF(WWWW[[#This Row],[Location Type 1]]="Village",WWWW[[#This Row],[Access to safe drinking water for Village]],WWWW[[#This Row],[Access to safe drinking water for Camp]])</f>
        <v>1</v>
      </c>
      <c r="CR209" s="890">
        <f>WWWW[[#This Row],[%Equitable and continuous access to sufficient quantity of safe drinking water]]*WWWW[[#This Row],[Total PoP ]]</f>
        <v>250</v>
      </c>
      <c r="CS209" s="892">
        <f>IF((WWWW[[#This Row],['#_Constructed/Existing protected/fenced ponds]]*250)/WWWW[[#This Row],[Total PoP ]]&gt;1,1,(WWWW[[#This Row],['#_Constructed/Existing protected/fenced ponds]]*250)/WWWW[[#This Row],[Total PoP ]])</f>
        <v>1</v>
      </c>
      <c r="CT209" s="890">
        <f>WWWW[[#This Row],[% Access to unimproved water points]]*WWWW[[#This Row],[Total PoP ]]</f>
        <v>250</v>
      </c>
      <c r="CU20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209" s="890">
        <f>WWWW[[#This Row],[HRP1]]/500</f>
        <v>0.5</v>
      </c>
      <c r="CX209" s="895">
        <f>1-WWWW[[#This Row],[% Equitable and continuous access to sufficient quantity of domestic water]]</f>
        <v>0</v>
      </c>
      <c r="CY209" s="890">
        <f>WWWW[[#This Row],[%equitable and continuous access to sufficient quantity of safe drinking and domestic water''s GAP]]*WWWW[[#This Row],[Total PoP ]]</f>
        <v>0</v>
      </c>
      <c r="CZ209" s="893">
        <f>IF(WWWW[[#This Row],[Total required water points]]-WWWW[[#This Row],['#Water points coverage]]&lt;0,0,WWWW[[#This Row],[Total required water points]]-WWWW[[#This Row],['#Water points coverage]])</f>
        <v>0.5</v>
      </c>
      <c r="DA209" s="893">
        <f>ROUND(IF(WWWW[[#This Row],[Total PoP ]]&lt;500,1,WWWW[[#This Row],[Total PoP ]]/500),0)</f>
        <v>1</v>
      </c>
      <c r="DB209" s="893">
        <f>(WWWW[[#This Row],['#_Constructed latrines_by_WASHAgencies]]+WWWW[[#This Row],['#_Non Cluster partner latrines]])-WWWW[[#This Row],['#_Non-functional latrines]]</f>
        <v>10</v>
      </c>
      <c r="DC209" s="631">
        <f>WWWW[[#This Row],[HRP2]]/WWWW[[#This Row],[Total PoP ]]</f>
        <v>0.8</v>
      </c>
      <c r="DD20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20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9" s="424">
        <f>IF(WWWW[[#This Row],['# of functional latrines in THF supported by WASH partners during the reporting period2]]="",0,WWWW[[#This Row],['# of functional latrines in THF supported by WASH partners during the reporting period2]]*50)</f>
        <v>0</v>
      </c>
      <c r="DH209" s="893">
        <f>ROUND(IF(WWWW[[#This Row],[Location Type 1]]="camp",WWWW[[#This Row],[Total PoP ]]/20,IF(WWWW[[#This Row],[Location Type 1]]="Temporary Location",WWWW[[#This Row],[Total PoP ]]/50,(WWWW[[#This Row],[Total PoP ]]/6))),0)</f>
        <v>13</v>
      </c>
      <c r="DI209" s="893">
        <f>IF(WWWW[[#This Row],[Total required Latrines]]-(WWWW[[#This Row],['#_Constructed latrines_by_WASHAgencies]]+WWWW[[#This Row],['#_Non Cluster partner latrines]])&lt;0,0,WWWW[[#This Row],[Total required Latrines]]-(WWWW[[#This Row],['#_Constructed latrines_by_WASHAgencies]]+WWWW[[#This Row],['#_Non Cluster partner latrines]]))</f>
        <v>3</v>
      </c>
      <c r="DJ209" s="895">
        <f>1-WWWW[[#This Row],[% people access to functioning Latrine]]</f>
        <v>0.19999999999999996</v>
      </c>
      <c r="DK209" s="894">
        <f>IF(OR(WWWW[[#This Row],['#_Non-functional latrines]]="",WWWW[[#This Row],['#_Non-functional latrines]]=0),0,WWWW[[#This Row],['#_Non-functional latrines]]/(WWWW[[#This Row],['#_Constructed latrines_by_WASHAgencies]]+WWWW[[#This Row],['#_Non Cluster partner latrines]]))</f>
        <v>0</v>
      </c>
      <c r="DL209" s="890">
        <f>IF(500*(WWWW[[#This Row],['#_male hygiene promoters]]+WWWW[[#This Row],['#_female hygiene promoters]])&gt;WWWW[[#This Row],[Total PoP ]],WWWW[[#This Row],[Total PoP ]],500*(WWWW[[#This Row],['#_male hygiene promoters]]+WWWW[[#This Row],['#_female hygiene promoters]]))</f>
        <v>250</v>
      </c>
      <c r="DM20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20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9" s="893">
        <f>IF(WWWW[[#This Row],['# People with access to soap]]&gt;WWWW[[#This Row],['# People with access to Sanity Pads]],WWWW[[#This Row],['# People with access to soap]],WWWW[[#This Row],['# People with access to Sanity Pads]])</f>
        <v>250</v>
      </c>
      <c r="DP209" s="893">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209" s="895">
        <f>IF(WWWW[[#This Row],[HRP3]]/WWWW[[#This Row],[Total PoP ]]&gt;1,1,WWWW[[#This Row],[HRP3]]/WWWW[[#This Row],[Total PoP ]])</f>
        <v>1</v>
      </c>
      <c r="DR209" s="894">
        <f>1-WWWW[[#This Row],[Hygiene Coverage%]]</f>
        <v>0</v>
      </c>
      <c r="DS209" s="892">
        <f>WWWW[[#This Row],['# people reached by regular dedicated hygiene promotion_5]]/WWWW[[#This Row],[Total PoP ]]</f>
        <v>1</v>
      </c>
      <c r="DT20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0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9" s="893">
        <f>WWWW[[#This Row],['#_Constructed/Existing hand washing stations]]-WWWW[[#This Row],['#_Non-Functional_hand_washing_stations]]</f>
        <v>2</v>
      </c>
      <c r="DW209" s="890">
        <f>IF(WWWW[[#This Row],['# Functional hand washing stations during reporting period]]*20&gt;WWWW[[#This Row],[Total HH]],WWWW[[#This Row],[Total HH]],WWWW[[#This Row],['# Functional hand washing stations during reporting period]]*20)</f>
        <v>40</v>
      </c>
      <c r="DX209" s="890">
        <f>IF(WWWW[[#This Row],[Is sufficient soap available for TLS? (Yes/No)]]="yes",WWWW[[#This Row],['#_Constructed/Existing hand washing stations at TLS/CFS/THF]],0)</f>
        <v>0</v>
      </c>
      <c r="DY209" s="428">
        <f>IF(WWWW[[#This Row],['# Functional hand washing stations during reporting period]]*100&gt;WWWW[[#This Row],[Total PoP ]],WWWW[[#This Row],[Total PoP ]],WWWW[[#This Row],['# Functional hand washing stations during reporting period]]*100)</f>
        <v>200</v>
      </c>
      <c r="DZ209" s="428" t="str">
        <f>IF(OR(WWWW[[#This Row],['#_students at TLS_CFS]]="",WWWW[[#This Row],['#_students at TLS_CFS]]=0),"No","Yes")</f>
        <v>Yes</v>
      </c>
      <c r="EA209" s="631">
        <f>IF(WWWW[[#This Row],['#_of_affected_people_surveyed_who_report_feeling_informed_about_the_different_WASH_services_available_to_them]]="","",WWWW[[#This Row],['#_of_affected_people_surveyed_who_report_feeling_informed_about_the_different_WASH_services_available_to_them]]/WWWW[[#This Row],[Total PoP ]])</f>
        <v>0.06</v>
      </c>
      <c r="EB20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9" s="886" t="str">
        <f>VLOOKUP(WWWW[[#This Row],[Site Name]],SiteDB6[[Site Name]:[CCCM Management]],6,FALSE)</f>
        <v>Yes</v>
      </c>
      <c r="EF209" s="886" t="str">
        <f>VLOOKUP(WWWW[[#This Row],[Site Name]],SiteDB6[[Site Name]:[CCCM Focal Agency]],7,FALSE)</f>
        <v>KBC-MYT</v>
      </c>
      <c r="EG209" s="886" t="str">
        <f>VLOOKUP(WWWW[[#This Row],[Site Name]],SiteDB6[[Site Name]:[Location Type 1]],9,FALSE)</f>
        <v>Camp</v>
      </c>
      <c r="EH209" s="886" t="str">
        <f>VLOOKUP(WWWW[[#This Row],[Site Name]],SiteDB6[[Site Name]:[Type of Accommodation]],10,FALSE)</f>
        <v>Camp</v>
      </c>
      <c r="EI209" s="886" t="str">
        <f>VLOOKUP(WWWW[[#This Row],[Site Name]],SiteDB6[[Site Name]:[Ethnic or GCA/NGCA]],11,FALSE)</f>
        <v>GCA</v>
      </c>
      <c r="EJ209" s="886">
        <f>VLOOKUP(WWWW[[#This Row],[Site Name]],SiteDB6[[Site Name]:[Lat]],12,FALSE)</f>
        <v>25.647649999999999</v>
      </c>
      <c r="EK209" s="886">
        <f>VLOOKUP(WWWW[[#This Row],[Site Name]],SiteDB6[[Site Name]:[Long]],13,FALSE)</f>
        <v>96.346469999999997</v>
      </c>
      <c r="EL209" s="886" t="str">
        <f>VLOOKUP(WWWW[[#This Row],[Site Name]],SiteDB6[[Site Name]:[Pcode]],3,FALSE)</f>
        <v>MMR001CMP169</v>
      </c>
      <c r="EM209" s="891" t="str">
        <f t="shared" si="3"/>
        <v>Covered</v>
      </c>
      <c r="EN209" s="891"/>
      <c r="EO209" s="886">
        <f>VLOOKUP(WWWW[[#This Row],[Site Name]],SiteDB6[[Site Name]:[Pop
(Kachin/Shan-CCCM as of July 2021)]],16,FALSE)</f>
        <v>41</v>
      </c>
      <c r="EP209" s="886">
        <f>VLOOKUP(WWWW[[#This Row],[Site Name]],SiteDB6[[Site Name]:[Pop
(Kachin/Shan-CCCM as of July 2021)]],17,FALSE)</f>
        <v>249</v>
      </c>
    </row>
    <row r="210" spans="1:146" hidden="1">
      <c r="A210" s="884" t="s">
        <v>2764</v>
      </c>
      <c r="B210" s="884" t="s">
        <v>309</v>
      </c>
      <c r="C210" s="885" t="s">
        <v>309</v>
      </c>
      <c r="D210" s="885"/>
      <c r="E210" s="885" t="s">
        <v>37</v>
      </c>
      <c r="F210" s="885" t="s">
        <v>195</v>
      </c>
      <c r="G210" s="591" t="str">
        <f>VLOOKUP(WWWW[[#This Row],[Site Name]],SiteDB6[[Site Name]:[Location Type]],8,FALSE)</f>
        <v>Camp</v>
      </c>
      <c r="H210" s="726" t="s">
        <v>3020</v>
      </c>
      <c r="I210" s="887">
        <v>181</v>
      </c>
      <c r="J210" s="887">
        <v>906</v>
      </c>
      <c r="K210" s="888" t="s">
        <v>2650</v>
      </c>
      <c r="L210" s="889" t="s">
        <v>2651</v>
      </c>
      <c r="M210" s="887"/>
      <c r="N210" s="887"/>
      <c r="O210" s="887"/>
      <c r="P210" s="887"/>
      <c r="Q210" s="890"/>
      <c r="R210" s="887"/>
      <c r="S210" s="887">
        <v>4</v>
      </c>
      <c r="T210" s="448"/>
      <c r="U210" s="887"/>
      <c r="V210" s="887"/>
      <c r="W210" s="887"/>
      <c r="X210" s="887"/>
      <c r="Y210" s="887"/>
      <c r="Z210" s="887"/>
      <c r="AA210" s="887"/>
      <c r="AB210" s="887"/>
      <c r="AC210" s="887"/>
      <c r="AD210" s="887"/>
      <c r="AE210" s="887"/>
      <c r="AF210" s="887"/>
      <c r="AG210" s="887"/>
      <c r="AH210" s="887"/>
      <c r="AI210" s="887"/>
      <c r="AJ210" s="887"/>
      <c r="AK210" s="887"/>
      <c r="AL210" s="887"/>
      <c r="AM210" s="887"/>
      <c r="AN210" s="887"/>
      <c r="AO210" s="448"/>
      <c r="AP210" s="891"/>
      <c r="AQ210" s="887"/>
      <c r="AR210" s="887"/>
      <c r="AS210" s="892"/>
      <c r="AT210" s="887"/>
      <c r="AU210" s="887"/>
      <c r="AV210" s="887"/>
      <c r="AW210" s="887"/>
      <c r="AX210" s="887"/>
      <c r="AY210" s="886" t="s">
        <v>140</v>
      </c>
      <c r="AZ210" s="891" t="s">
        <v>140</v>
      </c>
      <c r="BA210" s="887"/>
      <c r="BB210" s="887"/>
      <c r="BC210" s="887"/>
      <c r="BD210" s="448"/>
      <c r="BE210" s="448"/>
      <c r="BF210" s="886"/>
      <c r="BG210" s="887">
        <v>7</v>
      </c>
      <c r="BH210" s="887"/>
      <c r="BI210" s="887"/>
      <c r="BJ210" s="887">
        <v>7</v>
      </c>
      <c r="BK210" s="887"/>
      <c r="BL210" s="887"/>
      <c r="BM210" s="887"/>
      <c r="BN210" s="887"/>
      <c r="BO210" s="887"/>
      <c r="BP210" s="886"/>
      <c r="BQ210" s="893"/>
      <c r="BR210" s="892"/>
      <c r="BS210" s="886"/>
      <c r="BT210" s="423"/>
      <c r="BU210" s="423"/>
      <c r="BV210" s="425"/>
      <c r="BW210" s="423"/>
      <c r="BX210" s="448"/>
      <c r="BY210" s="448"/>
      <c r="BZ210" s="448"/>
      <c r="CA210" s="448"/>
      <c r="CB210" s="448"/>
      <c r="CC210" s="777"/>
      <c r="CD210" s="448"/>
      <c r="CE210" s="894" t="str">
        <f>IFERROR(WWWW[[#This Row],['#_Water sources passed]]/WWWW[[#This Row],['#_Water sources tested for fecal coliform ]],"no test")</f>
        <v>no test</v>
      </c>
      <c r="CF210" s="892" t="str">
        <f>IFERROR(WWWW[[#This Row],['#_Household passed]]/WWWW[[#This Row],['#_Household water samples tested for fecal coliform]],"no test")</f>
        <v>no test</v>
      </c>
      <c r="CG210" s="893" t="str">
        <f>IF(AND(WWWW[[#This Row],[% of water sources passed]]="no test",WWWW[[#This Row],[% Household passed]]="no test"),"No Test","Tested")</f>
        <v>No Test</v>
      </c>
      <c r="CH210" s="893">
        <f>WWWW[[#This Row],['#_Constructed/existing protected hand dug well]]-WWWW[[#This Row],['#_Non-functional protected hand dug well]]</f>
        <v>0</v>
      </c>
      <c r="CI210" s="893">
        <f>(WWWW[[#This Row],['#_Constructed/Existing tube wells/boreholes/handpumps_WASH_agency]]+WWWW[[#This Row],['#_Non-Cluster partner water tube-wells/boreholes/handpumps]])-WWWW[[#This Row],['#_Non-functional tube wells/boreholes/handpumps]]</f>
        <v>0</v>
      </c>
      <c r="CJ210" s="893">
        <f>WWWW[[#This Row],['#_Constructed/Existingwater storage tank with gravity fed reticulation system]]-WWWW[[#This Row],['#_Non-functional storage tank gravity fed reticulation system]]</f>
        <v>0</v>
      </c>
      <c r="CK210" s="893">
        <f>(WWWW[[#This Row],['#_Water_Liters_supplied_by_Water boating or water trucking]]/90)/15</f>
        <v>0</v>
      </c>
      <c r="CL210" s="893">
        <f>WWWW[[#This Row],['#_Water_Liters_from_Constructed/Existing water distribution system from river or natural spring]]/90/15</f>
        <v>0</v>
      </c>
      <c r="CM210" s="424">
        <f>IF(WWWW[[#This Row],['#_of water points in TLS/CFS]]*500&gt;WWWW[[#This Row],[Total PoP ]],WWWW[[#This Row],[Total PoP ]],WWWW[[#This Row],['#_of water points in TLS/CFS]]*500)</f>
        <v>0</v>
      </c>
      <c r="CN210" s="424">
        <f>IF(WWWW[[#This Row],['#_of water points in THF]]*500&gt;WWWW[[#This Row],[Total PoP ]],WWWW[[#This Row],[Total PoP ]],WWWW[[#This Row],['#_of water points in THF]]*500)</f>
        <v>0</v>
      </c>
      <c r="CO21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1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10" s="892">
        <f>IF(WWWW[[#This Row],[Location Type 1]]="Village",WWWW[[#This Row],[Access to safe drinking water for Village]],WWWW[[#This Row],[Access to safe drinking water for Camp]])</f>
        <v>0</v>
      </c>
      <c r="CR210" s="890">
        <f>WWWW[[#This Row],[%Equitable and continuous access to sufficient quantity of safe drinking water]]*WWWW[[#This Row],[Total PoP ]]</f>
        <v>0</v>
      </c>
      <c r="CS210" s="892">
        <f>IF((WWWW[[#This Row],['#_Constructed/Existing protected/fenced ponds]]*250)/WWWW[[#This Row],[Total PoP ]]&gt;1,1,(WWWW[[#This Row],['#_Constructed/Existing protected/fenced ponds]]*250)/WWWW[[#This Row],[Total PoP ]])</f>
        <v>0</v>
      </c>
      <c r="CT210" s="890">
        <f>WWWW[[#This Row],[% Access to unimproved water points]]*WWWW[[#This Row],[Total PoP ]]</f>
        <v>0</v>
      </c>
      <c r="CU21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1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10" s="890">
        <f>WWWW[[#This Row],[HRP1]]/500</f>
        <v>0</v>
      </c>
      <c r="CX210" s="895">
        <f>1-WWWW[[#This Row],[% Equitable and continuous access to sufficient quantity of domestic water]]</f>
        <v>1</v>
      </c>
      <c r="CY210" s="890">
        <f>WWWW[[#This Row],[%equitable and continuous access to sufficient quantity of safe drinking and domestic water''s GAP]]*WWWW[[#This Row],[Total PoP ]]</f>
        <v>906</v>
      </c>
      <c r="CZ210" s="893">
        <f>IF(WWWW[[#This Row],[Total required water points]]-WWWW[[#This Row],['#Water points coverage]]&lt;0,0,WWWW[[#This Row],[Total required water points]]-WWWW[[#This Row],['#Water points coverage]])</f>
        <v>2</v>
      </c>
      <c r="DA210" s="893">
        <f>ROUND(IF(WWWW[[#This Row],[Total PoP ]]&lt;500,1,WWWW[[#This Row],[Total PoP ]]/500),0)</f>
        <v>2</v>
      </c>
      <c r="DB210" s="893">
        <f>(WWWW[[#This Row],['#_Constructed latrines_by_WASHAgencies]]+WWWW[[#This Row],['#_Non Cluster partner latrines]])-WWWW[[#This Row],['#_Non-functional latrines]]</f>
        <v>0</v>
      </c>
      <c r="DC210" s="631">
        <f>WWWW[[#This Row],[HRP2]]/WWWW[[#This Row],[Total PoP ]]</f>
        <v>0</v>
      </c>
      <c r="DD21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1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0" s="424">
        <f>IF(WWWW[[#This Row],['# of functional latrines in THF supported by WASH partners during the reporting period2]]="",0,WWWW[[#This Row],['# of functional latrines in THF supported by WASH partners during the reporting period2]]*50)</f>
        <v>0</v>
      </c>
      <c r="DH210" s="893">
        <f>ROUND(IF(WWWW[[#This Row],[Location Type 1]]="camp",WWWW[[#This Row],[Total PoP ]]/20,IF(WWWW[[#This Row],[Location Type 1]]="Temporary Location",WWWW[[#This Row],[Total PoP ]]/50,(WWWW[[#This Row],[Total PoP ]]/6))),0)</f>
        <v>45</v>
      </c>
      <c r="DI210" s="893">
        <f>IF(WWWW[[#This Row],[Total required Latrines]]-(WWWW[[#This Row],['#_Constructed latrines_by_WASHAgencies]]+WWWW[[#This Row],['#_Non Cluster partner latrines]])&lt;0,0,WWWW[[#This Row],[Total required Latrines]]-(WWWW[[#This Row],['#_Constructed latrines_by_WASHAgencies]]+WWWW[[#This Row],['#_Non Cluster partner latrines]]))</f>
        <v>45</v>
      </c>
      <c r="DJ210" s="895">
        <f>1-WWWW[[#This Row],[% people access to functioning Latrine]]</f>
        <v>1</v>
      </c>
      <c r="DK210" s="894">
        <f>IF(OR(WWWW[[#This Row],['#_Non-functional latrines]]="",WWWW[[#This Row],['#_Non-functional latrines]]=0),0,WWWW[[#This Row],['#_Non-functional latrines]]/(WWWW[[#This Row],['#_Constructed latrines_by_WASHAgencies]]+WWWW[[#This Row],['#_Non Cluster partner latrines]]))</f>
        <v>0</v>
      </c>
      <c r="DL210" s="890">
        <f>IF(500*(WWWW[[#This Row],['#_male hygiene promoters]]+WWWW[[#This Row],['#_female hygiene promoters]])&gt;WWWW[[#This Row],[Total PoP ]],WWWW[[#This Row],[Total PoP ]],500*(WWWW[[#This Row],['#_male hygiene promoters]]+WWWW[[#This Row],['#_female hygiene promoters]]))</f>
        <v>0</v>
      </c>
      <c r="DM21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0" s="893">
        <f>IF(WWWW[[#This Row],['# People with access to soap]]&gt;WWWW[[#This Row],['# People with access to Sanity Pads]],WWWW[[#This Row],['# People with access to soap]],WWWW[[#This Row],['# People with access to Sanity Pads]])</f>
        <v>0</v>
      </c>
      <c r="DP210"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10" s="895">
        <f>IF(WWWW[[#This Row],[HRP3]]/WWWW[[#This Row],[Total PoP ]]&gt;1,1,WWWW[[#This Row],[HRP3]]/WWWW[[#This Row],[Total PoP ]])</f>
        <v>0</v>
      </c>
      <c r="DR210" s="894">
        <f>1-WWWW[[#This Row],[Hygiene Coverage%]]</f>
        <v>1</v>
      </c>
      <c r="DS210" s="892">
        <f>WWWW[[#This Row],['# people reached by regular dedicated hygiene promotion_5]]/WWWW[[#This Row],[Total PoP ]]</f>
        <v>0</v>
      </c>
      <c r="DT21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0" s="893">
        <f>WWWW[[#This Row],['#_Constructed/Existing hand washing stations]]-WWWW[[#This Row],['#_Non-Functional_hand_washing_stations]]</f>
        <v>7</v>
      </c>
      <c r="DW210" s="890">
        <f>IF(WWWW[[#This Row],['# Functional hand washing stations during reporting period]]*20&gt;WWWW[[#This Row],[Total HH]],WWWW[[#This Row],[Total HH]],WWWW[[#This Row],['# Functional hand washing stations during reporting period]]*20)</f>
        <v>140</v>
      </c>
      <c r="DX210" s="890">
        <f>IF(WWWW[[#This Row],[Is sufficient soap available for TLS? (Yes/No)]]="yes",WWWW[[#This Row],['#_Constructed/Existing hand washing stations at TLS/CFS/THF]],0)</f>
        <v>0</v>
      </c>
      <c r="DY210" s="428">
        <f>IF(WWWW[[#This Row],['# Functional hand washing stations during reporting period]]*100&gt;WWWW[[#This Row],[Total PoP ]],WWWW[[#This Row],[Total PoP ]],WWWW[[#This Row],['# Functional hand washing stations during reporting period]]*100)</f>
        <v>700</v>
      </c>
      <c r="DZ210" s="428" t="str">
        <f>IF(OR(WWWW[[#This Row],['#_students at TLS_CFS]]="",WWWW[[#This Row],['#_students at TLS_CFS]]=0),"No","Yes")</f>
        <v>No</v>
      </c>
      <c r="EA21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0" s="886">
        <f>VLOOKUP(WWWW[[#This Row],[Site Name]],SiteDB6[[Site Name]:[CCCM Management]],6,FALSE)</f>
        <v>0</v>
      </c>
      <c r="EF210" s="886" t="str">
        <f>VLOOKUP(WWWW[[#This Row],[Site Name]],SiteDB6[[Site Name]:[CCCM Focal Agency]],7,FALSE)</f>
        <v>uncovered</v>
      </c>
      <c r="EG210" s="886" t="str">
        <f>VLOOKUP(WWWW[[#This Row],[Site Name]],SiteDB6[[Site Name]:[Location Type 1]],9,FALSE)</f>
        <v>Camp</v>
      </c>
      <c r="EH210" s="886" t="str">
        <f>VLOOKUP(WWWW[[#This Row],[Site Name]],SiteDB6[[Site Name]:[Type of Accommodation]],10,FALSE)</f>
        <v>IDPs in host</v>
      </c>
      <c r="EI210" s="886" t="str">
        <f>VLOOKUP(WWWW[[#This Row],[Site Name]],SiteDB6[[Site Name]:[Ethnic or GCA/NGCA]],11,FALSE)</f>
        <v>GCA</v>
      </c>
      <c r="EJ210" s="886">
        <f>VLOOKUP(WWWW[[#This Row],[Site Name]],SiteDB6[[Site Name]:[Lat]],12,FALSE)</f>
        <v>24.263786</v>
      </c>
      <c r="EK210" s="886">
        <f>VLOOKUP(WWWW[[#This Row],[Site Name]],SiteDB6[[Site Name]:[Long]],13,FALSE)</f>
        <v>97.228835000000004</v>
      </c>
      <c r="EL210" s="886" t="str">
        <f>VLOOKUP(WWWW[[#This Row],[Site Name]],SiteDB6[[Site Name]:[Pcode]],3,FALSE)</f>
        <v>MMR001CMP163</v>
      </c>
      <c r="EM210" s="891" t="str">
        <f t="shared" si="3"/>
        <v>Notcovered</v>
      </c>
      <c r="EN210" s="891"/>
      <c r="EO210" s="886">
        <f>VLOOKUP(WWWW[[#This Row],[Site Name]],SiteDB6[[Site Name]:[Pop
(Kachin/Shan-CCCM as of July 2021)]],16,FALSE)</f>
        <v>65</v>
      </c>
      <c r="EP210" s="886">
        <f>VLOOKUP(WWWW[[#This Row],[Site Name]],SiteDB6[[Site Name]:[Pop
(Kachin/Shan-CCCM as of July 2021)]],17,FALSE)</f>
        <v>337</v>
      </c>
    </row>
    <row r="211" spans="1:146" hidden="1">
      <c r="A211" s="884" t="s">
        <v>2764</v>
      </c>
      <c r="B211" s="884" t="s">
        <v>36</v>
      </c>
      <c r="C211" s="885" t="s">
        <v>36</v>
      </c>
      <c r="D211" s="885" t="s">
        <v>241</v>
      </c>
      <c r="E211" s="885" t="s">
        <v>37</v>
      </c>
      <c r="F211" s="885" t="s">
        <v>142</v>
      </c>
      <c r="G211" s="591" t="str">
        <f>VLOOKUP(WWWW[[#This Row],[Site Name]],SiteDB6[[Site Name]:[Location Type]],8,FALSE)</f>
        <v>Camp</v>
      </c>
      <c r="H211" s="885" t="s">
        <v>236</v>
      </c>
      <c r="I211" s="887">
        <v>118</v>
      </c>
      <c r="J211" s="887">
        <v>420</v>
      </c>
      <c r="K211" s="888">
        <v>44414</v>
      </c>
      <c r="L211" s="889">
        <v>44778</v>
      </c>
      <c r="M211" s="887"/>
      <c r="N211" s="887">
        <v>3</v>
      </c>
      <c r="O211" s="887"/>
      <c r="P211" s="887"/>
      <c r="Q211" s="890" t="s">
        <v>41</v>
      </c>
      <c r="R211" s="887">
        <v>4</v>
      </c>
      <c r="S211" s="887">
        <v>3</v>
      </c>
      <c r="T211" s="448">
        <v>3</v>
      </c>
      <c r="U211" s="887">
        <v>0</v>
      </c>
      <c r="V211" s="887"/>
      <c r="W211" s="887">
        <v>2</v>
      </c>
      <c r="X211" s="887"/>
      <c r="Y211" s="887"/>
      <c r="Z211" s="887"/>
      <c r="AA211" s="887">
        <v>1</v>
      </c>
      <c r="AB211" s="887"/>
      <c r="AC211" s="887"/>
      <c r="AD211" s="887"/>
      <c r="AE211" s="887"/>
      <c r="AF211" s="887"/>
      <c r="AG211" s="887"/>
      <c r="AH211" s="887"/>
      <c r="AI211" s="887"/>
      <c r="AJ211" s="887"/>
      <c r="AK211" s="887"/>
      <c r="AL211" s="887"/>
      <c r="AM211" s="887">
        <v>4</v>
      </c>
      <c r="AN211" s="887"/>
      <c r="AO211" s="448"/>
      <c r="AP211" s="891"/>
      <c r="AQ211" s="887">
        <v>90</v>
      </c>
      <c r="AR211" s="887"/>
      <c r="AS211" s="892"/>
      <c r="AT211" s="887">
        <v>2</v>
      </c>
      <c r="AU211" s="887"/>
      <c r="AV211" s="887"/>
      <c r="AW211" s="887"/>
      <c r="AX211" s="887"/>
      <c r="AY211" s="886" t="s">
        <v>41</v>
      </c>
      <c r="AZ211" s="891" t="s">
        <v>137</v>
      </c>
      <c r="BA211" s="887"/>
      <c r="BB211" s="887"/>
      <c r="BC211" s="887"/>
      <c r="BD211" s="448"/>
      <c r="BE211" s="448"/>
      <c r="BF211" s="886"/>
      <c r="BG211" s="887">
        <v>2</v>
      </c>
      <c r="BH211" s="887"/>
      <c r="BI211" s="887"/>
      <c r="BJ211" s="887">
        <v>3</v>
      </c>
      <c r="BK211" s="887"/>
      <c r="BL211" s="887"/>
      <c r="BM211" s="887">
        <v>2</v>
      </c>
      <c r="BN211" s="887">
        <v>118</v>
      </c>
      <c r="BO211" s="887">
        <v>90.09</v>
      </c>
      <c r="BP211" s="886" t="s">
        <v>41</v>
      </c>
      <c r="BQ211" s="893">
        <v>100</v>
      </c>
      <c r="BR211" s="892"/>
      <c r="BS211" s="886" t="s">
        <v>3036</v>
      </c>
      <c r="BT211" s="423"/>
      <c r="BU211" s="423"/>
      <c r="BV211" s="425"/>
      <c r="BW211" s="423">
        <v>0.01</v>
      </c>
      <c r="BX211" s="448"/>
      <c r="BY211" s="448"/>
      <c r="BZ211" s="448"/>
      <c r="CA211" s="448"/>
      <c r="CB211" s="448"/>
      <c r="CC211" s="777"/>
      <c r="CD211" s="448"/>
      <c r="CE211" s="894" t="str">
        <f>IFERROR(WWWW[[#This Row],['#_Water sources passed]]/WWWW[[#This Row],['#_Water sources tested for fecal coliform ]],"no test")</f>
        <v>no test</v>
      </c>
      <c r="CF211" s="892" t="str">
        <f>IFERROR(WWWW[[#This Row],['#_Household passed]]/WWWW[[#This Row],['#_Household water samples tested for fecal coliform]],"no test")</f>
        <v>no test</v>
      </c>
      <c r="CG211" s="893" t="str">
        <f>IF(AND(WWWW[[#This Row],[% of water sources passed]]="no test",WWWW[[#This Row],[% Household passed]]="no test"),"No Test","Tested")</f>
        <v>No Test</v>
      </c>
      <c r="CH211" s="893">
        <f>WWWW[[#This Row],['#_Constructed/existing protected hand dug well]]-WWWW[[#This Row],['#_Non-functional protected hand dug well]]</f>
        <v>3</v>
      </c>
      <c r="CI211" s="893">
        <f>(WWWW[[#This Row],['#_Constructed/Existing tube wells/boreholes/handpumps_WASH_agency]]+WWWW[[#This Row],['#_Non-Cluster partner water tube-wells/boreholes/handpumps]])-WWWW[[#This Row],['#_Non-functional tube wells/boreholes/handpumps]]</f>
        <v>2</v>
      </c>
      <c r="CJ211" s="893">
        <f>WWWW[[#This Row],['#_Constructed/Existingwater storage tank with gravity fed reticulation system]]-WWWW[[#This Row],['#_Non-functional storage tank gravity fed reticulation system]]</f>
        <v>1</v>
      </c>
      <c r="CK211" s="893">
        <f>(WWWW[[#This Row],['#_Water_Liters_supplied_by_Water boating or water trucking]]/90)/15</f>
        <v>0</v>
      </c>
      <c r="CL211" s="893">
        <f>WWWW[[#This Row],['#_Water_Liters_from_Constructed/Existing water distribution system from river or natural spring]]/90/15</f>
        <v>0</v>
      </c>
      <c r="CM211" s="424">
        <f>IF(WWWW[[#This Row],['#_of water points in TLS/CFS]]*500&gt;WWWW[[#This Row],[Total PoP ]],WWWW[[#This Row],[Total PoP ]],WWWW[[#This Row],['#_of water points in TLS/CFS]]*500)</f>
        <v>0</v>
      </c>
      <c r="CN211" s="424">
        <f>IF(WWWW[[#This Row],['#_of water points in THF]]*500&gt;WWWW[[#This Row],[Total PoP ]],WWWW[[#This Row],[Total PoP ]],WWWW[[#This Row],['#_of water points in THF]]*500)</f>
        <v>0</v>
      </c>
      <c r="CO21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1" s="892">
        <f>IF(WWWW[[#This Row],[Location Type 1]]="Village",WWWW[[#This Row],[Access to safe drinking water for Village]],WWWW[[#This Row],[Access to safe drinking water for Camp]])</f>
        <v>1</v>
      </c>
      <c r="CR211" s="890">
        <f>WWWW[[#This Row],[%Equitable and continuous access to sufficient quantity of safe drinking water]]*WWWW[[#This Row],[Total PoP ]]</f>
        <v>420</v>
      </c>
      <c r="CS211" s="892">
        <f>IF((WWWW[[#This Row],['#_Constructed/Existing protected/fenced ponds]]*250)/WWWW[[#This Row],[Total PoP ]]&gt;1,1,(WWWW[[#This Row],['#_Constructed/Existing protected/fenced ponds]]*250)/WWWW[[#This Row],[Total PoP ]])</f>
        <v>0</v>
      </c>
      <c r="CT211" s="890">
        <f>WWWW[[#This Row],[% Access to unimproved water points]]*WWWW[[#This Row],[Total PoP ]]</f>
        <v>0</v>
      </c>
      <c r="CU21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420</v>
      </c>
      <c r="CW211" s="890">
        <f>WWWW[[#This Row],[HRP1]]/500</f>
        <v>0.84</v>
      </c>
      <c r="CX211" s="895">
        <f>1-WWWW[[#This Row],[% Equitable and continuous access to sufficient quantity of domestic water]]</f>
        <v>0</v>
      </c>
      <c r="CY211" s="890">
        <f>WWWW[[#This Row],[%equitable and continuous access to sufficient quantity of safe drinking and domestic water''s GAP]]*WWWW[[#This Row],[Total PoP ]]</f>
        <v>0</v>
      </c>
      <c r="CZ211" s="893">
        <f>IF(WWWW[[#This Row],[Total required water points]]-WWWW[[#This Row],['#Water points coverage]]&lt;0,0,WWWW[[#This Row],[Total required water points]]-WWWW[[#This Row],['#Water points coverage]])</f>
        <v>0.16000000000000003</v>
      </c>
      <c r="DA211" s="893">
        <f>ROUND(IF(WWWW[[#This Row],[Total PoP ]]&lt;500,1,WWWW[[#This Row],[Total PoP ]]/500),0)</f>
        <v>1</v>
      </c>
      <c r="DB211" s="893">
        <f>(WWWW[[#This Row],['#_Constructed latrines_by_WASHAgencies]]+WWWW[[#This Row],['#_Non Cluster partner latrines]])-WWWW[[#This Row],['#_Non-functional latrines]]</f>
        <v>88</v>
      </c>
      <c r="DC211" s="631">
        <f>WWWW[[#This Row],[HRP2]]/WWWW[[#This Row],[Total PoP ]]</f>
        <v>1</v>
      </c>
      <c r="DD21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DE21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1" s="424">
        <f>IF(WWWW[[#This Row],['# of functional latrines in THF supported by WASH partners during the reporting period2]]="",0,WWWW[[#This Row],['# of functional latrines in THF supported by WASH partners during the reporting period2]]*50)</f>
        <v>0</v>
      </c>
      <c r="DH211" s="893">
        <f>ROUND(IF(WWWW[[#This Row],[Location Type 1]]="camp",WWWW[[#This Row],[Total PoP ]]/20,IF(WWWW[[#This Row],[Location Type 1]]="Temporary Location",WWWW[[#This Row],[Total PoP ]]/50,(WWWW[[#This Row],[Total PoP ]]/6))),0)</f>
        <v>21</v>
      </c>
      <c r="DI211" s="893">
        <f>IF(WWWW[[#This Row],[Total required Latrines]]-(WWWW[[#This Row],['#_Constructed latrines_by_WASHAgencies]]+WWWW[[#This Row],['#_Non Cluster partner latrines]])&lt;0,0,WWWW[[#This Row],[Total required Latrines]]-(WWWW[[#This Row],['#_Constructed latrines_by_WASHAgencies]]+WWWW[[#This Row],['#_Non Cluster partner latrines]]))</f>
        <v>0</v>
      </c>
      <c r="DJ211" s="895">
        <f>1-WWWW[[#This Row],[% people access to functioning Latrine]]</f>
        <v>0</v>
      </c>
      <c r="DK211" s="894">
        <f>IF(OR(WWWW[[#This Row],['#_Non-functional latrines]]="",WWWW[[#This Row],['#_Non-functional latrines]]=0),0,WWWW[[#This Row],['#_Non-functional latrines]]/(WWWW[[#This Row],['#_Constructed latrines_by_WASHAgencies]]+WWWW[[#This Row],['#_Non Cluster partner latrines]]))</f>
        <v>2.2222222222222223E-2</v>
      </c>
      <c r="DL211" s="890">
        <f>IF(500*(WWWW[[#This Row],['#_male hygiene promoters]]+WWWW[[#This Row],['#_female hygiene promoters]])&gt;WWWW[[#This Row],[Total PoP ]],WWWW[[#This Row],[Total PoP ]],500*(WWWW[[#This Row],['#_male hygiene promoters]]+WWWW[[#This Row],['#_female hygiene promoters]]))</f>
        <v>420</v>
      </c>
      <c r="DM21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420</v>
      </c>
      <c r="DN21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90.09</v>
      </c>
      <c r="DO211" s="893">
        <f>IF(WWWW[[#This Row],['# People with access to soap]]&gt;WWWW[[#This Row],['# People with access to Sanity Pads]],WWWW[[#This Row],['# People with access to soap]],WWWW[[#This Row],['# People with access to Sanity Pads]])</f>
        <v>420</v>
      </c>
      <c r="DP211" s="893">
        <f>IF(WWWW[[#This Row],['# people reached by regular dedicated hygiene promotion_5]]&gt;WWWW[[#This Row],['# People received regular supply of hygiene items_6]],WWWW[[#This Row],['# people reached by regular dedicated hygiene promotion_5]],WWWW[[#This Row],['# People received regular supply of hygiene items_6]])</f>
        <v>420</v>
      </c>
      <c r="DQ211" s="895">
        <f>IF(WWWW[[#This Row],[HRP3]]/WWWW[[#This Row],[Total PoP ]]&gt;1,1,WWWW[[#This Row],[HRP3]]/WWWW[[#This Row],[Total PoP ]])</f>
        <v>1</v>
      </c>
      <c r="DR211" s="894">
        <f>1-WWWW[[#This Row],[Hygiene Coverage%]]</f>
        <v>0</v>
      </c>
      <c r="DS211" s="892">
        <f>WWWW[[#This Row],['# people reached by regular dedicated hygiene promotion_5]]/WWWW[[#This Row],[Total PoP ]]</f>
        <v>1</v>
      </c>
      <c r="DT21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1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0.76347457627118642</v>
      </c>
      <c r="DV211" s="893">
        <f>WWWW[[#This Row],['#_Constructed/Existing hand washing stations]]-WWWW[[#This Row],['#_Non-Functional_hand_washing_stations]]</f>
        <v>2</v>
      </c>
      <c r="DW211" s="890">
        <f>IF(WWWW[[#This Row],['# Functional hand washing stations during reporting period]]*20&gt;WWWW[[#This Row],[Total HH]],WWWW[[#This Row],[Total HH]],WWWW[[#This Row],['# Functional hand washing stations during reporting period]]*20)</f>
        <v>40</v>
      </c>
      <c r="DX211" s="890">
        <f>IF(WWWW[[#This Row],[Is sufficient soap available for TLS? (Yes/No)]]="yes",WWWW[[#This Row],['#_Constructed/Existing hand washing stations at TLS/CFS/THF]],0)</f>
        <v>4</v>
      </c>
      <c r="DY211" s="428">
        <f>IF(WWWW[[#This Row],['# Functional hand washing stations during reporting period]]*100&gt;WWWW[[#This Row],[Total PoP ]],WWWW[[#This Row],[Total PoP ]],WWWW[[#This Row],['# Functional hand washing stations during reporting period]]*100)</f>
        <v>200</v>
      </c>
      <c r="DZ211" s="428" t="str">
        <f>IF(OR(WWWW[[#This Row],['#_students at TLS_CFS]]="",WWWW[[#This Row],['#_students at TLS_CFS]]=0),"No","Yes")</f>
        <v>No</v>
      </c>
      <c r="EA21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1" s="886" t="str">
        <f>VLOOKUP(WWWW[[#This Row],[Site Name]],SiteDB6[[Site Name]:[CCCM Management]],6,FALSE)</f>
        <v>Yes</v>
      </c>
      <c r="EF211" s="886" t="str">
        <f>VLOOKUP(WWWW[[#This Row],[Site Name]],SiteDB6[[Site Name]:[CCCM Focal Agency]],7,FALSE)</f>
        <v>KMSS-MYT</v>
      </c>
      <c r="EG211" s="886" t="str">
        <f>VLOOKUP(WWWW[[#This Row],[Site Name]],SiteDB6[[Site Name]:[Location Type 1]],9,FALSE)</f>
        <v>Camp</v>
      </c>
      <c r="EH211" s="886" t="str">
        <f>VLOOKUP(WWWW[[#This Row],[Site Name]],SiteDB6[[Site Name]:[Type of Accommodation]],10,FALSE)</f>
        <v>Camp</v>
      </c>
      <c r="EI211" s="886" t="str">
        <f>VLOOKUP(WWWW[[#This Row],[Site Name]],SiteDB6[[Site Name]:[Ethnic or GCA/NGCA]],11,FALSE)</f>
        <v>NGCA</v>
      </c>
      <c r="EJ211" s="886">
        <f>VLOOKUP(WWWW[[#This Row],[Site Name]],SiteDB6[[Site Name]:[Lat]],12,FALSE)</f>
        <v>25.220278</v>
      </c>
      <c r="EK211" s="886">
        <f>VLOOKUP(WWWW[[#This Row],[Site Name]],SiteDB6[[Site Name]:[Long]],13,FALSE)</f>
        <v>97.915833000000006</v>
      </c>
      <c r="EL211" s="886" t="str">
        <f>VLOOKUP(WWWW[[#This Row],[Site Name]],SiteDB6[[Site Name]:[Pcode]],3,FALSE)</f>
        <v>MMR001CMP113</v>
      </c>
      <c r="EM211" s="891" t="str">
        <f t="shared" si="3"/>
        <v>Covered</v>
      </c>
      <c r="EN211" s="891"/>
      <c r="EO211" s="886">
        <f>VLOOKUP(WWWW[[#This Row],[Site Name]],SiteDB6[[Site Name]:[Pop
(Kachin/Shan-CCCM as of July 2021)]],16,FALSE)</f>
        <v>118</v>
      </c>
      <c r="EP211" s="886">
        <f>VLOOKUP(WWWW[[#This Row],[Site Name]],SiteDB6[[Site Name]:[Pop
(Kachin/Shan-CCCM as of July 2021)]],17,FALSE)</f>
        <v>419</v>
      </c>
    </row>
    <row r="212" spans="1:146" hidden="1">
      <c r="A212" s="884" t="s">
        <v>2764</v>
      </c>
      <c r="B212" s="884" t="s">
        <v>2675</v>
      </c>
      <c r="C212" s="885" t="s">
        <v>2675</v>
      </c>
      <c r="D212" s="885" t="s">
        <v>2719</v>
      </c>
      <c r="E212" s="885" t="s">
        <v>37</v>
      </c>
      <c r="F212" s="885" t="s">
        <v>587</v>
      </c>
      <c r="G212" s="591" t="str">
        <f>VLOOKUP(WWWW[[#This Row],[Site Name]],SiteDB6[[Site Name]:[Location Type]],8,FALSE)</f>
        <v>Camp</v>
      </c>
      <c r="H212" s="885" t="s">
        <v>2693</v>
      </c>
      <c r="I212" s="887">
        <v>126</v>
      </c>
      <c r="J212" s="887">
        <v>591</v>
      </c>
      <c r="K212" s="888">
        <v>44562</v>
      </c>
      <c r="L212" s="889">
        <v>44926</v>
      </c>
      <c r="M212" s="887"/>
      <c r="N212" s="887"/>
      <c r="O212" s="887"/>
      <c r="P212" s="887"/>
      <c r="Q212" s="890" t="s">
        <v>41</v>
      </c>
      <c r="R212" s="887">
        <v>4</v>
      </c>
      <c r="S212" s="887">
        <v>3</v>
      </c>
      <c r="T212" s="448">
        <v>1</v>
      </c>
      <c r="U212" s="887"/>
      <c r="V212" s="887"/>
      <c r="W212" s="887">
        <v>2</v>
      </c>
      <c r="X212" s="887"/>
      <c r="Y212" s="887"/>
      <c r="Z212" s="887"/>
      <c r="AA212" s="887">
        <v>1</v>
      </c>
      <c r="AB212" s="887"/>
      <c r="AC212" s="887"/>
      <c r="AD212" s="887"/>
      <c r="AE212" s="887"/>
      <c r="AF212" s="887"/>
      <c r="AG212" s="887"/>
      <c r="AH212" s="887"/>
      <c r="AI212" s="887"/>
      <c r="AJ212" s="887"/>
      <c r="AK212" s="887"/>
      <c r="AL212" s="887"/>
      <c r="AM212" s="887"/>
      <c r="AN212" s="887"/>
      <c r="AO212" s="448"/>
      <c r="AP212" s="891" t="s">
        <v>3046</v>
      </c>
      <c r="AQ212" s="887">
        <v>48</v>
      </c>
      <c r="AR212" s="887">
        <v>12</v>
      </c>
      <c r="AS212" s="892" t="s">
        <v>192</v>
      </c>
      <c r="AT212" s="887"/>
      <c r="AU212" s="887"/>
      <c r="AV212" s="887"/>
      <c r="AW212" s="887"/>
      <c r="AX212" s="887"/>
      <c r="AY212" s="886" t="s">
        <v>41</v>
      </c>
      <c r="AZ212" s="891" t="s">
        <v>137</v>
      </c>
      <c r="BA212" s="887"/>
      <c r="BB212" s="887"/>
      <c r="BC212" s="887"/>
      <c r="BD212" s="448"/>
      <c r="BE212" s="448"/>
      <c r="BF212" s="886" t="s">
        <v>3047</v>
      </c>
      <c r="BG212" s="887">
        <v>60</v>
      </c>
      <c r="BH212" s="887"/>
      <c r="BI212" s="887">
        <v>108</v>
      </c>
      <c r="BJ212" s="887">
        <v>1</v>
      </c>
      <c r="BK212" s="887"/>
      <c r="BL212" s="887">
        <v>1</v>
      </c>
      <c r="BM212" s="887">
        <v>1</v>
      </c>
      <c r="BN212" s="887">
        <v>126</v>
      </c>
      <c r="BO212" s="887">
        <v>489</v>
      </c>
      <c r="BP212" s="886" t="s">
        <v>136</v>
      </c>
      <c r="BQ212" s="893"/>
      <c r="BR212" s="892">
        <v>0.4</v>
      </c>
      <c r="BS212" s="886" t="s">
        <v>3049</v>
      </c>
      <c r="BT212" s="423"/>
      <c r="BU212" s="423">
        <v>0.5</v>
      </c>
      <c r="BV212" s="425">
        <v>7</v>
      </c>
      <c r="BW212" s="423">
        <v>0.2</v>
      </c>
      <c r="BX212" s="448">
        <v>48</v>
      </c>
      <c r="BY212" s="448">
        <v>9</v>
      </c>
      <c r="BZ212" s="448">
        <v>1</v>
      </c>
      <c r="CA212" s="448"/>
      <c r="CB212" s="448"/>
      <c r="CC212" s="777"/>
      <c r="CD212" s="448"/>
      <c r="CE212" s="894" t="str">
        <f>IFERROR(WWWW[[#This Row],['#_Water sources passed]]/WWWW[[#This Row],['#_Water sources tested for fecal coliform ]],"no test")</f>
        <v>no test</v>
      </c>
      <c r="CF212" s="892" t="str">
        <f>IFERROR(WWWW[[#This Row],['#_Household passed]]/WWWW[[#This Row],['#_Household water samples tested for fecal coliform]],"no test")</f>
        <v>no test</v>
      </c>
      <c r="CG212" s="893" t="str">
        <f>IF(AND(WWWW[[#This Row],[% of water sources passed]]="no test",WWWW[[#This Row],[% Household passed]]="no test"),"No Test","Tested")</f>
        <v>No Test</v>
      </c>
      <c r="CH212" s="893">
        <f>WWWW[[#This Row],['#_Constructed/existing protected hand dug well]]-WWWW[[#This Row],['#_Non-functional protected hand dug well]]</f>
        <v>1</v>
      </c>
      <c r="CI212" s="893">
        <f>(WWWW[[#This Row],['#_Constructed/Existing tube wells/boreholes/handpumps_WASH_agency]]+WWWW[[#This Row],['#_Non-Cluster partner water tube-wells/boreholes/handpumps]])-WWWW[[#This Row],['#_Non-functional tube wells/boreholes/handpumps]]</f>
        <v>2</v>
      </c>
      <c r="CJ212" s="893">
        <f>WWWW[[#This Row],['#_Constructed/Existingwater storage tank with gravity fed reticulation system]]-WWWW[[#This Row],['#_Non-functional storage tank gravity fed reticulation system]]</f>
        <v>1</v>
      </c>
      <c r="CK212" s="893">
        <f>(WWWW[[#This Row],['#_Water_Liters_supplied_by_Water boating or water trucking]]/90)/15</f>
        <v>0</v>
      </c>
      <c r="CL212" s="893">
        <f>WWWW[[#This Row],['#_Water_Liters_from_Constructed/Existing water distribution system from river or natural spring]]/90/15</f>
        <v>0</v>
      </c>
      <c r="CM212" s="424">
        <f>IF(WWWW[[#This Row],['#_of water points in TLS/CFS]]*500&gt;WWWW[[#This Row],[Total PoP ]],WWWW[[#This Row],[Total PoP ]],WWWW[[#This Row],['#_of water points in TLS/CFS]]*500)</f>
        <v>0</v>
      </c>
      <c r="CN212" s="424">
        <f>IF(WWWW[[#This Row],['#_of water points in THF]]*500&gt;WWWW[[#This Row],[Total PoP ]],WWWW[[#This Row],[Total PoP ]],WWWW[[#This Row],['#_of water points in THF]]*500)</f>
        <v>0</v>
      </c>
      <c r="CO21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2" s="892">
        <f>IF(WWWW[[#This Row],[Location Type 1]]="Village",WWWW[[#This Row],[Access to safe drinking water for Village]],WWWW[[#This Row],[Access to safe drinking water for Camp]])</f>
        <v>1</v>
      </c>
      <c r="CR212" s="890">
        <f>WWWW[[#This Row],[%Equitable and continuous access to sufficient quantity of safe drinking water]]*WWWW[[#This Row],[Total PoP ]]</f>
        <v>591</v>
      </c>
      <c r="CS212" s="892">
        <f>IF((WWWW[[#This Row],['#_Constructed/Existing protected/fenced ponds]]*250)/WWWW[[#This Row],[Total PoP ]]&gt;1,1,(WWWW[[#This Row],['#_Constructed/Existing protected/fenced ponds]]*250)/WWWW[[#This Row],[Total PoP ]])</f>
        <v>0</v>
      </c>
      <c r="CT212" s="890">
        <f>WWWW[[#This Row],[% Access to unimproved water points]]*WWWW[[#This Row],[Total PoP ]]</f>
        <v>0</v>
      </c>
      <c r="CU21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591</v>
      </c>
      <c r="CW212" s="890">
        <f>WWWW[[#This Row],[HRP1]]/500</f>
        <v>1.1819999999999999</v>
      </c>
      <c r="CX212" s="895">
        <f>1-WWWW[[#This Row],[% Equitable and continuous access to sufficient quantity of domestic water]]</f>
        <v>0</v>
      </c>
      <c r="CY212" s="890">
        <f>WWWW[[#This Row],[%equitable and continuous access to sufficient quantity of safe drinking and domestic water''s GAP]]*WWWW[[#This Row],[Total PoP ]]</f>
        <v>0</v>
      </c>
      <c r="CZ212" s="893">
        <f>IF(WWWW[[#This Row],[Total required water points]]-WWWW[[#This Row],['#Water points coverage]]&lt;0,0,WWWW[[#This Row],[Total required water points]]-WWWW[[#This Row],['#Water points coverage]])</f>
        <v>0</v>
      </c>
      <c r="DA212" s="893">
        <f>ROUND(IF(WWWW[[#This Row],[Total PoP ]]&lt;500,1,WWWW[[#This Row],[Total PoP ]]/500),0)</f>
        <v>1</v>
      </c>
      <c r="DB212" s="893">
        <f>(WWWW[[#This Row],['#_Constructed latrines_by_WASHAgencies]]+WWWW[[#This Row],['#_Non Cluster partner latrines]])-WWWW[[#This Row],['#_Non-functional latrines]]</f>
        <v>60</v>
      </c>
      <c r="DC212" s="631">
        <f>WWWW[[#This Row],[HRP2]]/WWWW[[#This Row],[Total PoP ]]</f>
        <v>1</v>
      </c>
      <c r="DD21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591</v>
      </c>
      <c r="DE21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2" s="424">
        <f>IF(WWWW[[#This Row],['# of functional latrines in THF supported by WASH partners during the reporting period2]]="",0,WWWW[[#This Row],['# of functional latrines in THF supported by WASH partners during the reporting period2]]*50)</f>
        <v>0</v>
      </c>
      <c r="DH212" s="893">
        <f>ROUND(IF(WWWW[[#This Row],[Location Type 1]]="camp",WWWW[[#This Row],[Total PoP ]]/20,IF(WWWW[[#This Row],[Location Type 1]]="Temporary Location",WWWW[[#This Row],[Total PoP ]]/50,(WWWW[[#This Row],[Total PoP ]]/6))),0)</f>
        <v>30</v>
      </c>
      <c r="DI212" s="893">
        <f>IF(WWWW[[#This Row],[Total required Latrines]]-(WWWW[[#This Row],['#_Constructed latrines_by_WASHAgencies]]+WWWW[[#This Row],['#_Non Cluster partner latrines]])&lt;0,0,WWWW[[#This Row],[Total required Latrines]]-(WWWW[[#This Row],['#_Constructed latrines_by_WASHAgencies]]+WWWW[[#This Row],['#_Non Cluster partner latrines]]))</f>
        <v>0</v>
      </c>
      <c r="DJ212" s="895">
        <f>1-WWWW[[#This Row],[% people access to functioning Latrine]]</f>
        <v>0</v>
      </c>
      <c r="DK212" s="894">
        <f>IF(OR(WWWW[[#This Row],['#_Non-functional latrines]]="",WWWW[[#This Row],['#_Non-functional latrines]]=0),0,WWWW[[#This Row],['#_Non-functional latrines]]/(WWWW[[#This Row],['#_Constructed latrines_by_WASHAgencies]]+WWWW[[#This Row],['#_Non Cluster partner latrines]]))</f>
        <v>0</v>
      </c>
      <c r="DL212" s="890">
        <f>IF(500*(WWWW[[#This Row],['#_male hygiene promoters]]+WWWW[[#This Row],['#_female hygiene promoters]])&gt;WWWW[[#This Row],[Total PoP ]],WWWW[[#This Row],[Total PoP ]],500*(WWWW[[#This Row],['#_male hygiene promoters]]+WWWW[[#This Row],['#_female hygiene promoters]]))</f>
        <v>591</v>
      </c>
      <c r="DM21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591</v>
      </c>
      <c r="DN21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489</v>
      </c>
      <c r="DO212" s="893">
        <f>IF(WWWW[[#This Row],['# People with access to soap]]&gt;WWWW[[#This Row],['# People with access to Sanity Pads]],WWWW[[#This Row],['# People with access to soap]],WWWW[[#This Row],['# People with access to Sanity Pads]])</f>
        <v>591</v>
      </c>
      <c r="DP212" s="893">
        <f>IF(WWWW[[#This Row],['# people reached by regular dedicated hygiene promotion_5]]&gt;WWWW[[#This Row],['# People received regular supply of hygiene items_6]],WWWW[[#This Row],['# people reached by regular dedicated hygiene promotion_5]],WWWW[[#This Row],['# People received regular supply of hygiene items_6]])</f>
        <v>591</v>
      </c>
      <c r="DQ212" s="895">
        <f>IF(WWWW[[#This Row],[HRP3]]/WWWW[[#This Row],[Total PoP ]]&gt;1,1,WWWW[[#This Row],[HRP3]]/WWWW[[#This Row],[Total PoP ]])</f>
        <v>1</v>
      </c>
      <c r="DR212" s="894">
        <f>1-WWWW[[#This Row],[Hygiene Coverage%]]</f>
        <v>0</v>
      </c>
      <c r="DS212" s="892">
        <f>WWWW[[#This Row],['# people reached by regular dedicated hygiene promotion_5]]/WWWW[[#This Row],[Total PoP ]]</f>
        <v>1</v>
      </c>
      <c r="DT21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1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12" s="893">
        <f>WWWW[[#This Row],['#_Constructed/Existing hand washing stations]]-WWWW[[#This Row],['#_Non-Functional_hand_washing_stations]]</f>
        <v>60</v>
      </c>
      <c r="DW212" s="890">
        <f>IF(WWWW[[#This Row],['# Functional hand washing stations during reporting period]]*20&gt;WWWW[[#This Row],[Total HH]],WWWW[[#This Row],[Total HH]],WWWW[[#This Row],['# Functional hand washing stations during reporting period]]*20)</f>
        <v>126</v>
      </c>
      <c r="DX212" s="890">
        <f>IF(WWWW[[#This Row],[Is sufficient soap available for TLS? (Yes/No)]]="yes",WWWW[[#This Row],['#_Constructed/Existing hand washing stations at TLS/CFS/THF]],0)</f>
        <v>0</v>
      </c>
      <c r="DY212" s="428">
        <f>IF(WWWW[[#This Row],['# Functional hand washing stations during reporting period]]*100&gt;WWWW[[#This Row],[Total PoP ]],WWWW[[#This Row],[Total PoP ]],WWWW[[#This Row],['# Functional hand washing stations during reporting period]]*100)</f>
        <v>591</v>
      </c>
      <c r="DZ212" s="428" t="str">
        <f>IF(OR(WWWW[[#This Row],['#_students at TLS_CFS]]="",WWWW[[#This Row],['#_students at TLS_CFS]]=0),"No","Yes")</f>
        <v>No</v>
      </c>
      <c r="EA212" s="631">
        <f>IF(WWWW[[#This Row],['#_of_affected_people_surveyed_who_report_feeling_informed_about_the_different_WASH_services_available_to_them]]="","",WWWW[[#This Row],['#_of_affected_people_surveyed_who_report_feeling_informed_about_the_different_WASH_services_available_to_them]]/WWWW[[#This Row],[Total PoP ]])</f>
        <v>1.1844331641285956E-2</v>
      </c>
      <c r="EB21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58</v>
      </c>
      <c r="EC21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2" s="886" t="str">
        <f>VLOOKUP(WWWW[[#This Row],[Site Name]],SiteDB6[[Site Name]:[CCCM Management]],6,FALSE)</f>
        <v>Yes</v>
      </c>
      <c r="EF212" s="886" t="str">
        <f>VLOOKUP(WWWW[[#This Row],[Site Name]],SiteDB6[[Site Name]:[CCCM Focal Agency]],7,FALSE)</f>
        <v>STW/KMSS-MYT</v>
      </c>
      <c r="EG212" s="886" t="str">
        <f>VLOOKUP(WWWW[[#This Row],[Site Name]],SiteDB6[[Site Name]:[Location Type 1]],9,FALSE)</f>
        <v>Camp</v>
      </c>
      <c r="EH212" s="886" t="str">
        <f>VLOOKUP(WWWW[[#This Row],[Site Name]],SiteDB6[[Site Name]:[Type of Accommodation]],10,FALSE)</f>
        <v>Camp</v>
      </c>
      <c r="EI212" s="886" t="str">
        <f>VLOOKUP(WWWW[[#This Row],[Site Name]],SiteDB6[[Site Name]:[Ethnic or GCA/NGCA]],11,FALSE)</f>
        <v>NGCA</v>
      </c>
      <c r="EJ212" s="886">
        <f>VLOOKUP(WWWW[[#This Row],[Site Name]],SiteDB6[[Site Name]:[Lat]],12,FALSE)</f>
        <v>26.007408000000002</v>
      </c>
      <c r="EK212" s="886">
        <f>VLOOKUP(WWWW[[#This Row],[Site Name]],SiteDB6[[Site Name]:[Long]],13,FALSE)</f>
        <v>97.823777000000007</v>
      </c>
      <c r="EL212" s="886" t="str">
        <f>VLOOKUP(WWWW[[#This Row],[Site Name]],SiteDB6[[Site Name]:[Pcode]],3,FALSE)</f>
        <v>MMR001CMP280</v>
      </c>
      <c r="EM212" s="891" t="str">
        <f t="shared" si="3"/>
        <v>Covered</v>
      </c>
      <c r="EN212" s="891"/>
      <c r="EO212" s="886">
        <f>VLOOKUP(WWWW[[#This Row],[Site Name]],SiteDB6[[Site Name]:[Pop
(Kachin/Shan-CCCM as of July 2021)]],16,FALSE)</f>
        <v>140</v>
      </c>
      <c r="EP212" s="886">
        <f>VLOOKUP(WWWW[[#This Row],[Site Name]],SiteDB6[[Site Name]:[Pop
(Kachin/Shan-CCCM as of July 2021)]],17,FALSE)</f>
        <v>659</v>
      </c>
    </row>
    <row r="213" spans="1:146" hidden="1">
      <c r="A213" s="884" t="s">
        <v>2764</v>
      </c>
      <c r="B213" s="884" t="s">
        <v>291</v>
      </c>
      <c r="C213" s="885" t="s">
        <v>291</v>
      </c>
      <c r="D213" s="885" t="s">
        <v>2626</v>
      </c>
      <c r="E213" s="885" t="s">
        <v>37</v>
      </c>
      <c r="F213" s="885" t="s">
        <v>38</v>
      </c>
      <c r="G213" s="591" t="str">
        <f>VLOOKUP(WWWW[[#This Row],[Site Name]],SiteDB6[[Site Name]:[Location Type]],8,FALSE)</f>
        <v>Camp</v>
      </c>
      <c r="H213" s="885" t="s">
        <v>1490</v>
      </c>
      <c r="I213" s="887">
        <v>388</v>
      </c>
      <c r="J213" s="887">
        <v>1900</v>
      </c>
      <c r="K213" s="888">
        <v>44652</v>
      </c>
      <c r="L213" s="889">
        <v>44926</v>
      </c>
      <c r="M213" s="887"/>
      <c r="N213" s="887"/>
      <c r="O213" s="887"/>
      <c r="P213" s="887"/>
      <c r="Q213" s="890" t="s">
        <v>41</v>
      </c>
      <c r="R213" s="887">
        <v>5</v>
      </c>
      <c r="S213" s="887">
        <v>6</v>
      </c>
      <c r="T213" s="448">
        <v>4</v>
      </c>
      <c r="U213" s="887"/>
      <c r="V213" s="887"/>
      <c r="W213" s="887">
        <v>1</v>
      </c>
      <c r="X213" s="887"/>
      <c r="Y213" s="887"/>
      <c r="Z213" s="887"/>
      <c r="AA213" s="887">
        <v>1</v>
      </c>
      <c r="AB213" s="887"/>
      <c r="AC213" s="887"/>
      <c r="AD213" s="887"/>
      <c r="AE213" s="887">
        <v>5</v>
      </c>
      <c r="AF213" s="887"/>
      <c r="AG213" s="887"/>
      <c r="AH213" s="887">
        <v>5</v>
      </c>
      <c r="AI213" s="887"/>
      <c r="AJ213" s="887"/>
      <c r="AK213" s="887"/>
      <c r="AL213" s="887"/>
      <c r="AM213" s="887">
        <v>0</v>
      </c>
      <c r="AN213" s="887">
        <v>5</v>
      </c>
      <c r="AO213" s="448"/>
      <c r="AP213" s="891"/>
      <c r="AQ213" s="887">
        <v>185</v>
      </c>
      <c r="AR213" s="887"/>
      <c r="AS213" s="892"/>
      <c r="AT213" s="887"/>
      <c r="AU213" s="887"/>
      <c r="AV213" s="887"/>
      <c r="AW213" s="887"/>
      <c r="AX213" s="887">
        <v>73</v>
      </c>
      <c r="AY213" s="886" t="s">
        <v>136</v>
      </c>
      <c r="AZ213" s="891" t="s">
        <v>137</v>
      </c>
      <c r="BA213" s="887">
        <v>4</v>
      </c>
      <c r="BB213" s="887">
        <v>60</v>
      </c>
      <c r="BC213" s="887">
        <v>15</v>
      </c>
      <c r="BD213" s="448">
        <v>2</v>
      </c>
      <c r="BE213" s="448">
        <v>6</v>
      </c>
      <c r="BF213" s="886"/>
      <c r="BG213" s="887">
        <v>3</v>
      </c>
      <c r="BH213" s="887"/>
      <c r="BI213" s="887">
        <v>60</v>
      </c>
      <c r="BJ213" s="887">
        <v>2</v>
      </c>
      <c r="BK213" s="887"/>
      <c r="BL213" s="887"/>
      <c r="BM213" s="887">
        <v>6</v>
      </c>
      <c r="BN213" s="887"/>
      <c r="BO213" s="887"/>
      <c r="BP213" s="886"/>
      <c r="BQ213" s="893"/>
      <c r="BR213" s="892"/>
      <c r="BS213" s="886"/>
      <c r="BT213" s="423"/>
      <c r="BU213" s="423"/>
      <c r="BV213" s="425"/>
      <c r="BW213" s="423"/>
      <c r="BX213" s="448"/>
      <c r="BY213" s="448"/>
      <c r="BZ213" s="448"/>
      <c r="CA213" s="448"/>
      <c r="CB213" s="448"/>
      <c r="CC213" s="777"/>
      <c r="CD213" s="448"/>
      <c r="CE213" s="894" t="str">
        <f>IFERROR(WWWW[[#This Row],['#_Water sources passed]]/WWWW[[#This Row],['#_Water sources tested for fecal coliform ]],"no test")</f>
        <v>no test</v>
      </c>
      <c r="CF213" s="892" t="str">
        <f>IFERROR(WWWW[[#This Row],['#_Household passed]]/WWWW[[#This Row],['#_Household water samples tested for fecal coliform]],"no test")</f>
        <v>no test</v>
      </c>
      <c r="CG213" s="893" t="str">
        <f>IF(AND(WWWW[[#This Row],[% of water sources passed]]="no test",WWWW[[#This Row],[% Household passed]]="no test"),"No Test","Tested")</f>
        <v>No Test</v>
      </c>
      <c r="CH213" s="893">
        <f>WWWW[[#This Row],['#_Constructed/existing protected hand dug well]]-WWWW[[#This Row],['#_Non-functional protected hand dug well]]</f>
        <v>4</v>
      </c>
      <c r="CI213" s="893">
        <f>(WWWW[[#This Row],['#_Constructed/Existing tube wells/boreholes/handpumps_WASH_agency]]+WWWW[[#This Row],['#_Non-Cluster partner water tube-wells/boreholes/handpumps]])-WWWW[[#This Row],['#_Non-functional tube wells/boreholes/handpumps]]</f>
        <v>1</v>
      </c>
      <c r="CJ213" s="893">
        <f>WWWW[[#This Row],['#_Constructed/Existingwater storage tank with gravity fed reticulation system]]-WWWW[[#This Row],['#_Non-functional storage tank gravity fed reticulation system]]</f>
        <v>1</v>
      </c>
      <c r="CK213" s="893">
        <f>(WWWW[[#This Row],['#_Water_Liters_supplied_by_Water boating or water trucking]]/90)/15</f>
        <v>0</v>
      </c>
      <c r="CL213" s="893">
        <f>WWWW[[#This Row],['#_Water_Liters_from_Constructed/Existing water distribution system from river or natural spring]]/90/15</f>
        <v>0</v>
      </c>
      <c r="CM213" s="424">
        <f>IF(WWWW[[#This Row],['#_of water points in TLS/CFS]]*500&gt;WWWW[[#This Row],[Total PoP ]],WWWW[[#This Row],[Total PoP ]],WWWW[[#This Row],['#_of water points in TLS/CFS]]*500)</f>
        <v>1900</v>
      </c>
      <c r="CN213" s="424">
        <f>IF(WWWW[[#This Row],['#_of water points in THF]]*500&gt;WWWW[[#This Row],[Total PoP ]],WWWW[[#This Row],[Total PoP ]],WWWW[[#This Row],['#_of water points in THF]]*500)</f>
        <v>0</v>
      </c>
      <c r="CO21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0.69298245614035092</v>
      </c>
      <c r="CQ213" s="892">
        <f>IF(WWWW[[#This Row],[Location Type 1]]="Village",WWWW[[#This Row],[Access to safe drinking water for Village]],WWWW[[#This Row],[Access to safe drinking water for Camp]])</f>
        <v>1</v>
      </c>
      <c r="CR213" s="890">
        <f>WWWW[[#This Row],[%Equitable and continuous access to sufficient quantity of safe drinking water]]*WWWW[[#This Row],[Total PoP ]]</f>
        <v>1900</v>
      </c>
      <c r="CS213" s="892">
        <f>IF((WWWW[[#This Row],['#_Constructed/Existing protected/fenced ponds]]*250)/WWWW[[#This Row],[Total PoP ]]&gt;1,1,(WWWW[[#This Row],['#_Constructed/Existing protected/fenced ponds]]*250)/WWWW[[#This Row],[Total PoP ]])</f>
        <v>0.65789473684210531</v>
      </c>
      <c r="CT213" s="890">
        <f>WWWW[[#This Row],[% Access to unimproved water points]]*WWWW[[#This Row],[Total PoP ]]</f>
        <v>1250</v>
      </c>
      <c r="CU21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W213" s="890">
        <f>WWWW[[#This Row],[HRP1]]/500</f>
        <v>3.8</v>
      </c>
      <c r="CX213" s="895">
        <f>1-WWWW[[#This Row],[% Equitable and continuous access to sufficient quantity of domestic water]]</f>
        <v>0</v>
      </c>
      <c r="CY213" s="890">
        <f>WWWW[[#This Row],[%equitable and continuous access to sufficient quantity of safe drinking and domestic water''s GAP]]*WWWW[[#This Row],[Total PoP ]]</f>
        <v>0</v>
      </c>
      <c r="CZ213" s="893">
        <f>IF(WWWW[[#This Row],[Total required water points]]-WWWW[[#This Row],['#Water points coverage]]&lt;0,0,WWWW[[#This Row],[Total required water points]]-WWWW[[#This Row],['#Water points coverage]])</f>
        <v>0.20000000000000018</v>
      </c>
      <c r="DA213" s="893">
        <f>ROUND(IF(WWWW[[#This Row],[Total PoP ]]&lt;500,1,WWWW[[#This Row],[Total PoP ]]/500),0)</f>
        <v>4</v>
      </c>
      <c r="DB213" s="893">
        <f>(WWWW[[#This Row],['#_Constructed latrines_by_WASHAgencies]]+WWWW[[#This Row],['#_Non Cluster partner latrines]])-WWWW[[#This Row],['#_Non-functional latrines]]</f>
        <v>185</v>
      </c>
      <c r="DC213" s="631">
        <f>WWWW[[#This Row],[HRP2]]/WWWW[[#This Row],[Total PoP ]]</f>
        <v>1</v>
      </c>
      <c r="DD21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1900</v>
      </c>
      <c r="DE21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3" s="424">
        <f>IF(WWWW[[#This Row],['# of functional latrines in THF supported by WASH partners during the reporting period2]]="",0,WWWW[[#This Row],['# of functional latrines in THF supported by WASH partners during the reporting period2]]*50)</f>
        <v>100</v>
      </c>
      <c r="DH213" s="893">
        <f>ROUND(IF(WWWW[[#This Row],[Location Type 1]]="camp",WWWW[[#This Row],[Total PoP ]]/20,IF(WWWW[[#This Row],[Location Type 1]]="Temporary Location",WWWW[[#This Row],[Total PoP ]]/50,(WWWW[[#This Row],[Total PoP ]]/6))),0)</f>
        <v>95</v>
      </c>
      <c r="DI213" s="893">
        <f>IF(WWWW[[#This Row],[Total required Latrines]]-(WWWW[[#This Row],['#_Constructed latrines_by_WASHAgencies]]+WWWW[[#This Row],['#_Non Cluster partner latrines]])&lt;0,0,WWWW[[#This Row],[Total required Latrines]]-(WWWW[[#This Row],['#_Constructed latrines_by_WASHAgencies]]+WWWW[[#This Row],['#_Non Cluster partner latrines]]))</f>
        <v>0</v>
      </c>
      <c r="DJ213" s="895">
        <f>1-WWWW[[#This Row],[% people access to functioning Latrine]]</f>
        <v>0</v>
      </c>
      <c r="DK213" s="894">
        <f>IF(OR(WWWW[[#This Row],['#_Non-functional latrines]]="",WWWW[[#This Row],['#_Non-functional latrines]]=0),0,WWWW[[#This Row],['#_Non-functional latrines]]/(WWWW[[#This Row],['#_Constructed latrines_by_WASHAgencies]]+WWWW[[#This Row],['#_Non Cluster partner latrines]]))</f>
        <v>0</v>
      </c>
      <c r="DL213" s="890">
        <f>IF(500*(WWWW[[#This Row],['#_male hygiene promoters]]+WWWW[[#This Row],['#_female hygiene promoters]])&gt;WWWW[[#This Row],[Total PoP ]],WWWW[[#This Row],[Total PoP ]],500*(WWWW[[#This Row],['#_male hygiene promoters]]+WWWW[[#This Row],['#_female hygiene promoters]]))</f>
        <v>1900</v>
      </c>
      <c r="DM21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3" s="893">
        <f>IF(WWWW[[#This Row],['# People with access to soap]]&gt;WWWW[[#This Row],['# People with access to Sanity Pads]],WWWW[[#This Row],['# People with access to soap]],WWWW[[#This Row],['# People with access to Sanity Pads]])</f>
        <v>0</v>
      </c>
      <c r="DP213" s="893">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Q213" s="895">
        <f>IF(WWWW[[#This Row],[HRP3]]/WWWW[[#This Row],[Total PoP ]]&gt;1,1,WWWW[[#This Row],[HRP3]]/WWWW[[#This Row],[Total PoP ]])</f>
        <v>1</v>
      </c>
      <c r="DR213" s="894">
        <f>1-WWWW[[#This Row],[Hygiene Coverage%]]</f>
        <v>0</v>
      </c>
      <c r="DS213" s="892">
        <f>WWWW[[#This Row],['# people reached by regular dedicated hygiene promotion_5]]/WWWW[[#This Row],[Total PoP ]]</f>
        <v>1</v>
      </c>
      <c r="DT21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3" s="893">
        <f>WWWW[[#This Row],['#_Constructed/Existing hand washing stations]]-WWWW[[#This Row],['#_Non-Functional_hand_washing_stations]]</f>
        <v>3</v>
      </c>
      <c r="DW213" s="890">
        <f>IF(WWWW[[#This Row],['# Functional hand washing stations during reporting period]]*20&gt;WWWW[[#This Row],[Total HH]],WWWW[[#This Row],[Total HH]],WWWW[[#This Row],['# Functional hand washing stations during reporting period]]*20)</f>
        <v>60</v>
      </c>
      <c r="DX213" s="890">
        <f>IF(WWWW[[#This Row],[Is sufficient soap available for TLS? (Yes/No)]]="yes",WWWW[[#This Row],['#_Constructed/Existing hand washing stations at TLS/CFS/THF]],0)</f>
        <v>0</v>
      </c>
      <c r="DY213" s="428">
        <f>IF(WWWW[[#This Row],['# Functional hand washing stations during reporting period]]*100&gt;WWWW[[#This Row],[Total PoP ]],WWWW[[#This Row],[Total PoP ]],WWWW[[#This Row],['# Functional hand washing stations during reporting period]]*100)</f>
        <v>300</v>
      </c>
      <c r="DZ213" s="428" t="str">
        <f>IF(OR(WWWW[[#This Row],['#_students at TLS_CFS]]="",WWWW[[#This Row],['#_students at TLS_CFS]]=0),"No","Yes")</f>
        <v>No</v>
      </c>
      <c r="EA21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1900</v>
      </c>
      <c r="ED21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213" s="886" t="str">
        <f>VLOOKUP(WWWW[[#This Row],[Site Name]],SiteDB6[[Site Name]:[CCCM Management]],6,FALSE)</f>
        <v>Yes</v>
      </c>
      <c r="EF213" s="886" t="str">
        <f>VLOOKUP(WWWW[[#This Row],[Site Name]],SiteDB6[[Site Name]:[CCCM Focal Agency]],7,FALSE)</f>
        <v>KMSS-BMO</v>
      </c>
      <c r="EG213" s="886" t="str">
        <f>VLOOKUP(WWWW[[#This Row],[Site Name]],SiteDB6[[Site Name]:[Location Type 1]],9,FALSE)</f>
        <v>Camp</v>
      </c>
      <c r="EH213" s="886" t="str">
        <f>VLOOKUP(WWWW[[#This Row],[Site Name]],SiteDB6[[Site Name]:[Type of Accommodation]],10,FALSE)</f>
        <v>Camp</v>
      </c>
      <c r="EI213" s="886" t="str">
        <f>VLOOKUP(WWWW[[#This Row],[Site Name]],SiteDB6[[Site Name]:[Ethnic or GCA/NGCA]],11,FALSE)</f>
        <v>NGCA</v>
      </c>
      <c r="EJ213" s="886">
        <f>VLOOKUP(WWWW[[#This Row],[Site Name]],SiteDB6[[Site Name]:[Lat]],12,FALSE)</f>
        <v>24.002433</v>
      </c>
      <c r="EK213" s="886">
        <f>VLOOKUP(WWWW[[#This Row],[Site Name]],SiteDB6[[Site Name]:[Long]],13,FALSE)</f>
        <v>97.609832999999995</v>
      </c>
      <c r="EL213" s="886" t="str">
        <f>VLOOKUP(WWWW[[#This Row],[Site Name]],SiteDB6[[Site Name]:[Pcode]],3,FALSE)</f>
        <v>MMR001CMP129</v>
      </c>
      <c r="EM213" s="891" t="str">
        <f t="shared" si="3"/>
        <v>Covered</v>
      </c>
      <c r="EN213" s="891"/>
      <c r="EO213" s="886">
        <f>VLOOKUP(WWWW[[#This Row],[Site Name]],SiteDB6[[Site Name]:[Pop
(Kachin/Shan-CCCM as of July 2021)]],16,FALSE)</f>
        <v>388</v>
      </c>
      <c r="EP213" s="886">
        <f>VLOOKUP(WWWW[[#This Row],[Site Name]],SiteDB6[[Site Name]:[Pop
(Kachin/Shan-CCCM as of July 2021)]],17,FALSE)</f>
        <v>1900</v>
      </c>
    </row>
    <row r="214" spans="1:146" hidden="1">
      <c r="A214" s="884" t="s">
        <v>2764</v>
      </c>
      <c r="B214" s="884" t="s">
        <v>242</v>
      </c>
      <c r="C214" s="885" t="s">
        <v>242</v>
      </c>
      <c r="D214" s="885" t="s">
        <v>299</v>
      </c>
      <c r="E214" s="885" t="s">
        <v>37</v>
      </c>
      <c r="F214" s="885" t="s">
        <v>148</v>
      </c>
      <c r="G214" s="591" t="str">
        <f>VLOOKUP(WWWW[[#This Row],[Site Name]],SiteDB6[[Site Name]:[Location Type]],8,FALSE)</f>
        <v>Camp</v>
      </c>
      <c r="H214" s="885" t="s">
        <v>251</v>
      </c>
      <c r="I214" s="887">
        <v>5</v>
      </c>
      <c r="J214" s="887">
        <v>24</v>
      </c>
      <c r="K214" s="888">
        <v>44562</v>
      </c>
      <c r="L214" s="889">
        <v>44926</v>
      </c>
      <c r="M214" s="887"/>
      <c r="N214" s="887"/>
      <c r="O214" s="887"/>
      <c r="P214" s="887"/>
      <c r="Q214" s="890" t="s">
        <v>41</v>
      </c>
      <c r="R214" s="887">
        <v>2</v>
      </c>
      <c r="S214" s="887">
        <v>2</v>
      </c>
      <c r="T214" s="448">
        <v>0</v>
      </c>
      <c r="U214" s="887"/>
      <c r="V214" s="887"/>
      <c r="W214" s="887"/>
      <c r="X214" s="887"/>
      <c r="Y214" s="887"/>
      <c r="Z214" s="887"/>
      <c r="AA214" s="887">
        <v>4</v>
      </c>
      <c r="AB214" s="887"/>
      <c r="AC214" s="887"/>
      <c r="AD214" s="887"/>
      <c r="AE214" s="887"/>
      <c r="AF214" s="887"/>
      <c r="AG214" s="887">
        <v>1</v>
      </c>
      <c r="AH214" s="887"/>
      <c r="AI214" s="887"/>
      <c r="AJ214" s="887"/>
      <c r="AK214" s="887"/>
      <c r="AL214" s="887"/>
      <c r="AM214" s="887"/>
      <c r="AN214" s="887"/>
      <c r="AO214" s="448"/>
      <c r="AP214" s="891"/>
      <c r="AQ214" s="887">
        <v>2</v>
      </c>
      <c r="AR214" s="887"/>
      <c r="AS214" s="892"/>
      <c r="AT214" s="887"/>
      <c r="AU214" s="887"/>
      <c r="AV214" s="887"/>
      <c r="AW214" s="887"/>
      <c r="AX214" s="887"/>
      <c r="AY214" s="886" t="s">
        <v>41</v>
      </c>
      <c r="AZ214" s="891" t="s">
        <v>137</v>
      </c>
      <c r="BA214" s="887"/>
      <c r="BB214" s="887"/>
      <c r="BC214" s="887"/>
      <c r="BD214" s="448"/>
      <c r="BE214" s="448"/>
      <c r="BF214" s="886" t="s">
        <v>3063</v>
      </c>
      <c r="BG214" s="887">
        <v>2</v>
      </c>
      <c r="BH214" s="887">
        <v>1</v>
      </c>
      <c r="BI214" s="887"/>
      <c r="BJ214" s="887">
        <v>1</v>
      </c>
      <c r="BK214" s="887"/>
      <c r="BL214" s="887"/>
      <c r="BM214" s="887">
        <v>1</v>
      </c>
      <c r="BN214" s="887">
        <v>5</v>
      </c>
      <c r="BO214" s="887"/>
      <c r="BP214" s="886"/>
      <c r="BQ214" s="893"/>
      <c r="BR214" s="892"/>
      <c r="BS214" s="886" t="s">
        <v>3061</v>
      </c>
      <c r="BT214" s="423">
        <v>0.8</v>
      </c>
      <c r="BU214" s="423">
        <v>0.5</v>
      </c>
      <c r="BV214" s="425">
        <v>5</v>
      </c>
      <c r="BW214" s="423">
        <v>0.7</v>
      </c>
      <c r="BX214" s="448"/>
      <c r="BY214" s="448"/>
      <c r="BZ214" s="448"/>
      <c r="CA214" s="448"/>
      <c r="CB214" s="448"/>
      <c r="CC214" s="777"/>
      <c r="CD214" s="448"/>
      <c r="CE214" s="894" t="str">
        <f>IFERROR(WWWW[[#This Row],['#_Water sources passed]]/WWWW[[#This Row],['#_Water sources tested for fecal coliform ]],"no test")</f>
        <v>no test</v>
      </c>
      <c r="CF214" s="892" t="str">
        <f>IFERROR(WWWW[[#This Row],['#_Household passed]]/WWWW[[#This Row],['#_Household water samples tested for fecal coliform]],"no test")</f>
        <v>no test</v>
      </c>
      <c r="CG214" s="893" t="str">
        <f>IF(AND(WWWW[[#This Row],[% of water sources passed]]="no test",WWWW[[#This Row],[% Household passed]]="no test"),"No Test","Tested")</f>
        <v>No Test</v>
      </c>
      <c r="CH214" s="893">
        <f>WWWW[[#This Row],['#_Constructed/existing protected hand dug well]]-WWWW[[#This Row],['#_Non-functional protected hand dug well]]</f>
        <v>0</v>
      </c>
      <c r="CI214" s="893">
        <f>(WWWW[[#This Row],['#_Constructed/Existing tube wells/boreholes/handpumps_WASH_agency]]+WWWW[[#This Row],['#_Non-Cluster partner water tube-wells/boreholes/handpumps]])-WWWW[[#This Row],['#_Non-functional tube wells/boreholes/handpumps]]</f>
        <v>0</v>
      </c>
      <c r="CJ214" s="893">
        <f>WWWW[[#This Row],['#_Constructed/Existingwater storage tank with gravity fed reticulation system]]-WWWW[[#This Row],['#_Non-functional storage tank gravity fed reticulation system]]</f>
        <v>4</v>
      </c>
      <c r="CK214" s="893">
        <f>(WWWW[[#This Row],['#_Water_Liters_supplied_by_Water boating or water trucking]]/90)/15</f>
        <v>0</v>
      </c>
      <c r="CL214" s="893">
        <f>WWWW[[#This Row],['#_Water_Liters_from_Constructed/Existing water distribution system from river or natural spring]]/90/15</f>
        <v>0</v>
      </c>
      <c r="CM214" s="424">
        <f>IF(WWWW[[#This Row],['#_of water points in TLS/CFS]]*500&gt;WWWW[[#This Row],[Total PoP ]],WWWW[[#This Row],[Total PoP ]],WWWW[[#This Row],['#_of water points in TLS/CFS]]*500)</f>
        <v>0</v>
      </c>
      <c r="CN214" s="424">
        <f>IF(WWWW[[#This Row],['#_of water points in THF]]*500&gt;WWWW[[#This Row],[Total PoP ]],WWWW[[#This Row],[Total PoP ]],WWWW[[#This Row],['#_of water points in THF]]*500)</f>
        <v>0</v>
      </c>
      <c r="CO21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4" s="892">
        <f>IF(WWWW[[#This Row],[Location Type 1]]="Village",WWWW[[#This Row],[Access to safe drinking water for Village]],WWWW[[#This Row],[Access to safe drinking water for Camp]])</f>
        <v>1</v>
      </c>
      <c r="CR214" s="890">
        <f>WWWW[[#This Row],[%Equitable and continuous access to sufficient quantity of safe drinking water]]*WWWW[[#This Row],[Total PoP ]]</f>
        <v>24</v>
      </c>
      <c r="CS214" s="892">
        <f>IF((WWWW[[#This Row],['#_Constructed/Existing protected/fenced ponds]]*250)/WWWW[[#This Row],[Total PoP ]]&gt;1,1,(WWWW[[#This Row],['#_Constructed/Existing protected/fenced ponds]]*250)/WWWW[[#This Row],[Total PoP ]])</f>
        <v>0</v>
      </c>
      <c r="CT214" s="890">
        <f>WWWW[[#This Row],[% Access to unimproved water points]]*WWWW[[#This Row],[Total PoP ]]</f>
        <v>0</v>
      </c>
      <c r="CU21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W214" s="890">
        <f>WWWW[[#This Row],[HRP1]]/500</f>
        <v>4.8000000000000001E-2</v>
      </c>
      <c r="CX214" s="895">
        <f>1-WWWW[[#This Row],[% Equitable and continuous access to sufficient quantity of domestic water]]</f>
        <v>0</v>
      </c>
      <c r="CY214" s="890">
        <f>WWWW[[#This Row],[%equitable and continuous access to sufficient quantity of safe drinking and domestic water''s GAP]]*WWWW[[#This Row],[Total PoP ]]</f>
        <v>0</v>
      </c>
      <c r="CZ214" s="893">
        <f>IF(WWWW[[#This Row],[Total required water points]]-WWWW[[#This Row],['#Water points coverage]]&lt;0,0,WWWW[[#This Row],[Total required water points]]-WWWW[[#This Row],['#Water points coverage]])</f>
        <v>0.95199999999999996</v>
      </c>
      <c r="DA214" s="893">
        <f>ROUND(IF(WWWW[[#This Row],[Total PoP ]]&lt;500,1,WWWW[[#This Row],[Total PoP ]]/500),0)</f>
        <v>1</v>
      </c>
      <c r="DB214" s="893">
        <f>(WWWW[[#This Row],['#_Constructed latrines_by_WASHAgencies]]+WWWW[[#This Row],['#_Non Cluster partner latrines]])-WWWW[[#This Row],['#_Non-functional latrines]]</f>
        <v>2</v>
      </c>
      <c r="DC214" s="631">
        <f>WWWW[[#This Row],[HRP2]]/WWWW[[#This Row],[Total PoP ]]</f>
        <v>1</v>
      </c>
      <c r="DD21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21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4" s="424">
        <f>IF(WWWW[[#This Row],['# of functional latrines in THF supported by WASH partners during the reporting period2]]="",0,WWWW[[#This Row],['# of functional latrines in THF supported by WASH partners during the reporting period2]]*50)</f>
        <v>0</v>
      </c>
      <c r="DH214" s="893">
        <f>ROUND(IF(WWWW[[#This Row],[Location Type 1]]="camp",WWWW[[#This Row],[Total PoP ]]/20,IF(WWWW[[#This Row],[Location Type 1]]="Temporary Location",WWWW[[#This Row],[Total PoP ]]/50,(WWWW[[#This Row],[Total PoP ]]/6))),0)</f>
        <v>1</v>
      </c>
      <c r="DI214" s="893">
        <f>IF(WWWW[[#This Row],[Total required Latrines]]-(WWWW[[#This Row],['#_Constructed latrines_by_WASHAgencies]]+WWWW[[#This Row],['#_Non Cluster partner latrines]])&lt;0,0,WWWW[[#This Row],[Total required Latrines]]-(WWWW[[#This Row],['#_Constructed latrines_by_WASHAgencies]]+WWWW[[#This Row],['#_Non Cluster partner latrines]]))</f>
        <v>0</v>
      </c>
      <c r="DJ214" s="895">
        <f>1-WWWW[[#This Row],[% people access to functioning Latrine]]</f>
        <v>0</v>
      </c>
      <c r="DK214" s="894">
        <f>IF(OR(WWWW[[#This Row],['#_Non-functional latrines]]="",WWWW[[#This Row],['#_Non-functional latrines]]=0),0,WWWW[[#This Row],['#_Non-functional latrines]]/(WWWW[[#This Row],['#_Constructed latrines_by_WASHAgencies]]+WWWW[[#This Row],['#_Non Cluster partner latrines]]))</f>
        <v>0</v>
      </c>
      <c r="DL214" s="890">
        <f>IF(500*(WWWW[[#This Row],['#_male hygiene promoters]]+WWWW[[#This Row],['#_female hygiene promoters]])&gt;WWWW[[#This Row],[Total PoP ]],WWWW[[#This Row],[Total PoP ]],500*(WWWW[[#This Row],['#_male hygiene promoters]]+WWWW[[#This Row],['#_female hygiene promoters]]))</f>
        <v>24</v>
      </c>
      <c r="DM21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N21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4" s="893">
        <f>IF(WWWW[[#This Row],['# People with access to soap]]&gt;WWWW[[#This Row],['# People with access to Sanity Pads]],WWWW[[#This Row],['# People with access to soap]],WWWW[[#This Row],['# People with access to Sanity Pads]])</f>
        <v>24</v>
      </c>
      <c r="DP214" s="893">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214" s="895">
        <f>IF(WWWW[[#This Row],[HRP3]]/WWWW[[#This Row],[Total PoP ]]&gt;1,1,WWWW[[#This Row],[HRP3]]/WWWW[[#This Row],[Total PoP ]])</f>
        <v>1</v>
      </c>
      <c r="DR214" s="894">
        <f>1-WWWW[[#This Row],[Hygiene Coverage%]]</f>
        <v>0</v>
      </c>
      <c r="DS214" s="892">
        <f>WWWW[[#This Row],['# people reached by regular dedicated hygiene promotion_5]]/WWWW[[#This Row],[Total PoP ]]</f>
        <v>1</v>
      </c>
      <c r="DT21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1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4" s="893">
        <f>WWWW[[#This Row],['#_Constructed/Existing hand washing stations]]-WWWW[[#This Row],['#_Non-Functional_hand_washing_stations]]</f>
        <v>1</v>
      </c>
      <c r="DW214" s="890">
        <f>IF(WWWW[[#This Row],['# Functional hand washing stations during reporting period]]*20&gt;WWWW[[#This Row],[Total HH]],WWWW[[#This Row],[Total HH]],WWWW[[#This Row],['# Functional hand washing stations during reporting period]]*20)</f>
        <v>5</v>
      </c>
      <c r="DX214" s="890">
        <f>IF(WWWW[[#This Row],[Is sufficient soap available for TLS? (Yes/No)]]="yes",WWWW[[#This Row],['#_Constructed/Existing hand washing stations at TLS/CFS/THF]],0)</f>
        <v>0</v>
      </c>
      <c r="DY214" s="428">
        <f>IF(WWWW[[#This Row],['# Functional hand washing stations during reporting period]]*100&gt;WWWW[[#This Row],[Total PoP ]],WWWW[[#This Row],[Total PoP ]],WWWW[[#This Row],['# Functional hand washing stations during reporting period]]*100)</f>
        <v>24</v>
      </c>
      <c r="DZ214" s="428" t="str">
        <f>IF(OR(WWWW[[#This Row],['#_students at TLS_CFS]]="",WWWW[[#This Row],['#_students at TLS_CFS]]=0),"No","Yes")</f>
        <v>No</v>
      </c>
      <c r="EA214" s="631">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21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4" s="886" t="str">
        <f>VLOOKUP(WWWW[[#This Row],[Site Name]],SiteDB6[[Site Name]:[CCCM Management]],6,FALSE)</f>
        <v>Yes</v>
      </c>
      <c r="EF214" s="886" t="str">
        <f>VLOOKUP(WWWW[[#This Row],[Site Name]],SiteDB6[[Site Name]:[CCCM Focal Agency]],7,FALSE)</f>
        <v>Shalom</v>
      </c>
      <c r="EG214" s="886" t="str">
        <f>VLOOKUP(WWWW[[#This Row],[Site Name]],SiteDB6[[Site Name]:[Location Type 1]],9,FALSE)</f>
        <v>Camp</v>
      </c>
      <c r="EH214" s="886" t="str">
        <f>VLOOKUP(WWWW[[#This Row],[Site Name]],SiteDB6[[Site Name]:[Type of Accommodation]],10,FALSE)</f>
        <v>Camp like setting</v>
      </c>
      <c r="EI214" s="886" t="str">
        <f>VLOOKUP(WWWW[[#This Row],[Site Name]],SiteDB6[[Site Name]:[Ethnic or GCA/NGCA]],11,FALSE)</f>
        <v>GCA</v>
      </c>
      <c r="EJ214" s="886">
        <f>VLOOKUP(WWWW[[#This Row],[Site Name]],SiteDB6[[Site Name]:[Lat]],12,FALSE)</f>
        <v>25.582065</v>
      </c>
      <c r="EK214" s="886">
        <f>VLOOKUP(WWWW[[#This Row],[Site Name]],SiteDB6[[Site Name]:[Long]],13,FALSE)</f>
        <v>96.283377000000002</v>
      </c>
      <c r="EL214" s="886" t="str">
        <f>VLOOKUP(WWWW[[#This Row],[Site Name]],SiteDB6[[Site Name]:[Pcode]],3,FALSE)</f>
        <v>MMR001CMP109</v>
      </c>
      <c r="EM214" s="891" t="str">
        <f t="shared" si="3"/>
        <v>Covered</v>
      </c>
      <c r="EN214" s="891"/>
      <c r="EO214" s="886">
        <f>VLOOKUP(WWWW[[#This Row],[Site Name]],SiteDB6[[Site Name]:[Pop
(Kachin/Shan-CCCM as of July 2021)]],16,FALSE)</f>
        <v>5</v>
      </c>
      <c r="EP214" s="886">
        <f>VLOOKUP(WWWW[[#This Row],[Site Name]],SiteDB6[[Site Name]:[Pop
(Kachin/Shan-CCCM as of July 2021)]],17,FALSE)</f>
        <v>24</v>
      </c>
    </row>
    <row r="215" spans="1:146" hidden="1">
      <c r="A215" s="884" t="s">
        <v>2764</v>
      </c>
      <c r="B215" s="884" t="s">
        <v>242</v>
      </c>
      <c r="C215" s="885" t="s">
        <v>242</v>
      </c>
      <c r="D215" s="885" t="s">
        <v>299</v>
      </c>
      <c r="E215" s="885" t="s">
        <v>37</v>
      </c>
      <c r="F215" s="885" t="s">
        <v>146</v>
      </c>
      <c r="G215" s="591" t="str">
        <f>VLOOKUP(WWWW[[#This Row],[Site Name]],SiteDB6[[Site Name]:[Location Type]],8,FALSE)</f>
        <v>Camp</v>
      </c>
      <c r="H215" s="885" t="s">
        <v>245</v>
      </c>
      <c r="I215" s="887">
        <v>138</v>
      </c>
      <c r="J215" s="887">
        <v>706</v>
      </c>
      <c r="K215" s="888">
        <v>44562</v>
      </c>
      <c r="L215" s="889">
        <v>44926</v>
      </c>
      <c r="M215" s="887"/>
      <c r="N215" s="887">
        <v>1</v>
      </c>
      <c r="O215" s="887">
        <v>1</v>
      </c>
      <c r="P215" s="887"/>
      <c r="Q215" s="890" t="s">
        <v>41</v>
      </c>
      <c r="R215" s="887">
        <v>2</v>
      </c>
      <c r="S215" s="887">
        <v>6</v>
      </c>
      <c r="T215" s="448"/>
      <c r="U215" s="887"/>
      <c r="V215" s="887"/>
      <c r="W215" s="887"/>
      <c r="X215" s="887"/>
      <c r="Y215" s="887"/>
      <c r="Z215" s="887"/>
      <c r="AA215" s="887">
        <v>12</v>
      </c>
      <c r="AB215" s="887"/>
      <c r="AC215" s="887">
        <v>1</v>
      </c>
      <c r="AD215" s="887"/>
      <c r="AE215" s="887">
        <v>3</v>
      </c>
      <c r="AF215" s="887"/>
      <c r="AG215" s="887">
        <v>1</v>
      </c>
      <c r="AH215" s="887"/>
      <c r="AI215" s="887"/>
      <c r="AJ215" s="887"/>
      <c r="AK215" s="887"/>
      <c r="AL215" s="887"/>
      <c r="AM215" s="887"/>
      <c r="AN215" s="887"/>
      <c r="AO215" s="448"/>
      <c r="AP215" s="891"/>
      <c r="AQ215" s="887">
        <v>15</v>
      </c>
      <c r="AR215" s="887"/>
      <c r="AS215" s="892"/>
      <c r="AT215" s="887">
        <v>4</v>
      </c>
      <c r="AU215" s="887">
        <v>1</v>
      </c>
      <c r="AV215" s="887">
        <v>6</v>
      </c>
      <c r="AW215" s="887"/>
      <c r="AX215" s="887">
        <v>0</v>
      </c>
      <c r="AY215" s="886" t="s">
        <v>41</v>
      </c>
      <c r="AZ215" s="891" t="s">
        <v>137</v>
      </c>
      <c r="BA215" s="887"/>
      <c r="BB215" s="887"/>
      <c r="BC215" s="887"/>
      <c r="BD215" s="448"/>
      <c r="BE215" s="448"/>
      <c r="BF215" s="886"/>
      <c r="BG215" s="887">
        <v>2</v>
      </c>
      <c r="BH215" s="887"/>
      <c r="BI215" s="887"/>
      <c r="BJ215" s="887">
        <v>1</v>
      </c>
      <c r="BK215" s="887"/>
      <c r="BL215" s="887"/>
      <c r="BM215" s="887">
        <v>1</v>
      </c>
      <c r="BN215" s="887"/>
      <c r="BO215" s="887"/>
      <c r="BP215" s="886"/>
      <c r="BQ215" s="893"/>
      <c r="BR215" s="892"/>
      <c r="BS215" s="886"/>
      <c r="BT215" s="423">
        <v>0.8</v>
      </c>
      <c r="BU215" s="423">
        <v>0.3</v>
      </c>
      <c r="BV215" s="425"/>
      <c r="BW215" s="423">
        <v>0.9</v>
      </c>
      <c r="BX215" s="448"/>
      <c r="BY215" s="448"/>
      <c r="BZ215" s="448"/>
      <c r="CA215" s="448"/>
      <c r="CB215" s="448"/>
      <c r="CC215" s="777"/>
      <c r="CD215" s="448"/>
      <c r="CE215" s="894" t="str">
        <f>IFERROR(WWWW[[#This Row],['#_Water sources passed]]/WWWW[[#This Row],['#_Water sources tested for fecal coliform ]],"no test")</f>
        <v>no test</v>
      </c>
      <c r="CF215" s="892" t="str">
        <f>IFERROR(WWWW[[#This Row],['#_Household passed]]/WWWW[[#This Row],['#_Household water samples tested for fecal coliform]],"no test")</f>
        <v>no test</v>
      </c>
      <c r="CG215" s="893" t="str">
        <f>IF(AND(WWWW[[#This Row],[% of water sources passed]]="no test",WWWW[[#This Row],[% Household passed]]="no test"),"No Test","Tested")</f>
        <v>No Test</v>
      </c>
      <c r="CH215" s="893">
        <f>WWWW[[#This Row],['#_Constructed/existing protected hand dug well]]-WWWW[[#This Row],['#_Non-functional protected hand dug well]]</f>
        <v>0</v>
      </c>
      <c r="CI215" s="893">
        <f>(WWWW[[#This Row],['#_Constructed/Existing tube wells/boreholes/handpumps_WASH_agency]]+WWWW[[#This Row],['#_Non-Cluster partner water tube-wells/boreholes/handpumps]])-WWWW[[#This Row],['#_Non-functional tube wells/boreholes/handpumps]]</f>
        <v>0</v>
      </c>
      <c r="CJ215" s="893">
        <f>WWWW[[#This Row],['#_Constructed/Existingwater storage tank with gravity fed reticulation system]]-WWWW[[#This Row],['#_Non-functional storage tank gravity fed reticulation system]]</f>
        <v>12</v>
      </c>
      <c r="CK215" s="893">
        <f>(WWWW[[#This Row],['#_Water_Liters_supplied_by_Water boating or water trucking]]/90)/15</f>
        <v>0</v>
      </c>
      <c r="CL215" s="893">
        <f>WWWW[[#This Row],['#_Water_Liters_from_Constructed/Existing water distribution system from river or natural spring]]/90/15</f>
        <v>0</v>
      </c>
      <c r="CM215" s="424">
        <f>IF(WWWW[[#This Row],['#_of water points in TLS/CFS]]*500&gt;WWWW[[#This Row],[Total PoP ]],WWWW[[#This Row],[Total PoP ]],WWWW[[#This Row],['#_of water points in TLS/CFS]]*500)</f>
        <v>0</v>
      </c>
      <c r="CN215" s="424">
        <f>IF(WWWW[[#This Row],['#_of water points in THF]]*500&gt;WWWW[[#This Row],[Total PoP ]],WWWW[[#This Row],[Total PoP ]],WWWW[[#This Row],['#_of water points in THF]]*500)</f>
        <v>0</v>
      </c>
      <c r="CO21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5" s="892">
        <f>IF(WWWW[[#This Row],[Location Type 1]]="Village",WWWW[[#This Row],[Access to safe drinking water for Village]],WWWW[[#This Row],[Access to safe drinking water for Camp]])</f>
        <v>1</v>
      </c>
      <c r="CR215" s="890">
        <f>WWWW[[#This Row],[%Equitable and continuous access to sufficient quantity of safe drinking water]]*WWWW[[#This Row],[Total PoP ]]</f>
        <v>706</v>
      </c>
      <c r="CS215" s="892">
        <f>IF((WWWW[[#This Row],['#_Constructed/Existing protected/fenced ponds]]*250)/WWWW[[#This Row],[Total PoP ]]&gt;1,1,(WWWW[[#This Row],['#_Constructed/Existing protected/fenced ponds]]*250)/WWWW[[#This Row],[Total PoP ]])</f>
        <v>1</v>
      </c>
      <c r="CT215" s="890">
        <f>WWWW[[#This Row],[% Access to unimproved water points]]*WWWW[[#This Row],[Total PoP ]]</f>
        <v>706</v>
      </c>
      <c r="CU21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706</v>
      </c>
      <c r="CW215" s="890">
        <f>WWWW[[#This Row],[HRP1]]/500</f>
        <v>1.4119999999999999</v>
      </c>
      <c r="CX215" s="895">
        <f>1-WWWW[[#This Row],[% Equitable and continuous access to sufficient quantity of domestic water]]</f>
        <v>0</v>
      </c>
      <c r="CY215" s="890">
        <f>WWWW[[#This Row],[%equitable and continuous access to sufficient quantity of safe drinking and domestic water''s GAP]]*WWWW[[#This Row],[Total PoP ]]</f>
        <v>0</v>
      </c>
      <c r="CZ215" s="893">
        <f>IF(WWWW[[#This Row],[Total required water points]]-WWWW[[#This Row],['#Water points coverage]]&lt;0,0,WWWW[[#This Row],[Total required water points]]-WWWW[[#This Row],['#Water points coverage]])</f>
        <v>0</v>
      </c>
      <c r="DA215" s="893">
        <f>ROUND(IF(WWWW[[#This Row],[Total PoP ]]&lt;500,1,WWWW[[#This Row],[Total PoP ]]/500),0)</f>
        <v>1</v>
      </c>
      <c r="DB215" s="893">
        <f>(WWWW[[#This Row],['#_Constructed latrines_by_WASHAgencies]]+WWWW[[#This Row],['#_Non Cluster partner latrines]])-WWWW[[#This Row],['#_Non-functional latrines]]</f>
        <v>11</v>
      </c>
      <c r="DC215" s="631">
        <f>WWWW[[#This Row],[HRP2]]/WWWW[[#This Row],[Total PoP ]]</f>
        <v>0.31161473087818697</v>
      </c>
      <c r="DD21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21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21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5" s="424">
        <f>IF(WWWW[[#This Row],['# of functional latrines in THF supported by WASH partners during the reporting period2]]="",0,WWWW[[#This Row],['# of functional latrines in THF supported by WASH partners during the reporting period2]]*50)</f>
        <v>0</v>
      </c>
      <c r="DH215" s="893">
        <f>ROUND(IF(WWWW[[#This Row],[Location Type 1]]="camp",WWWW[[#This Row],[Total PoP ]]/20,IF(WWWW[[#This Row],[Location Type 1]]="Temporary Location",WWWW[[#This Row],[Total PoP ]]/50,(WWWW[[#This Row],[Total PoP ]]/6))),0)</f>
        <v>35</v>
      </c>
      <c r="DI215" s="893">
        <f>IF(WWWW[[#This Row],[Total required Latrines]]-(WWWW[[#This Row],['#_Constructed latrines_by_WASHAgencies]]+WWWW[[#This Row],['#_Non Cluster partner latrines]])&lt;0,0,WWWW[[#This Row],[Total required Latrines]]-(WWWW[[#This Row],['#_Constructed latrines_by_WASHAgencies]]+WWWW[[#This Row],['#_Non Cluster partner latrines]]))</f>
        <v>20</v>
      </c>
      <c r="DJ215" s="895">
        <f>1-WWWW[[#This Row],[% people access to functioning Latrine]]</f>
        <v>0.68838526912181308</v>
      </c>
      <c r="DK215" s="894">
        <f>IF(OR(WWWW[[#This Row],['#_Non-functional latrines]]="",WWWW[[#This Row],['#_Non-functional latrines]]=0),0,WWWW[[#This Row],['#_Non-functional latrines]]/(WWWW[[#This Row],['#_Constructed latrines_by_WASHAgencies]]+WWWW[[#This Row],['#_Non Cluster partner latrines]]))</f>
        <v>0.26666666666666666</v>
      </c>
      <c r="DL215" s="890">
        <f>IF(500*(WWWW[[#This Row],['#_male hygiene promoters]]+WWWW[[#This Row],['#_female hygiene promoters]])&gt;WWWW[[#This Row],[Total PoP ]],WWWW[[#This Row],[Total PoP ]],500*(WWWW[[#This Row],['#_male hygiene promoters]]+WWWW[[#This Row],['#_female hygiene promoters]]))</f>
        <v>500</v>
      </c>
      <c r="DM21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5" s="893">
        <f>IF(WWWW[[#This Row],['# People with access to soap]]&gt;WWWW[[#This Row],['# People with access to Sanity Pads]],WWWW[[#This Row],['# People with access to soap]],WWWW[[#This Row],['# People with access to Sanity Pads]])</f>
        <v>0</v>
      </c>
      <c r="DP215" s="89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15" s="895">
        <f>IF(WWWW[[#This Row],[HRP3]]/WWWW[[#This Row],[Total PoP ]]&gt;1,1,WWWW[[#This Row],[HRP3]]/WWWW[[#This Row],[Total PoP ]])</f>
        <v>0.70821529745042489</v>
      </c>
      <c r="DR215" s="894">
        <f>1-WWWW[[#This Row],[Hygiene Coverage%]]</f>
        <v>0.29178470254957511</v>
      </c>
      <c r="DS215" s="892">
        <f>WWWW[[#This Row],['# people reached by regular dedicated hygiene promotion_5]]/WWWW[[#This Row],[Total PoP ]]</f>
        <v>0.70821529745042489</v>
      </c>
      <c r="DT21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5" s="893">
        <f>WWWW[[#This Row],['#_Constructed/Existing hand washing stations]]-WWWW[[#This Row],['#_Non-Functional_hand_washing_stations]]</f>
        <v>2</v>
      </c>
      <c r="DW215" s="890">
        <f>IF(WWWW[[#This Row],['# Functional hand washing stations during reporting period]]*20&gt;WWWW[[#This Row],[Total HH]],WWWW[[#This Row],[Total HH]],WWWW[[#This Row],['# Functional hand washing stations during reporting period]]*20)</f>
        <v>40</v>
      </c>
      <c r="DX215" s="890">
        <f>IF(WWWW[[#This Row],[Is sufficient soap available for TLS? (Yes/No)]]="yes",WWWW[[#This Row],['#_Constructed/Existing hand washing stations at TLS/CFS/THF]],0)</f>
        <v>0</v>
      </c>
      <c r="DY215" s="428">
        <f>IF(WWWW[[#This Row],['# Functional hand washing stations during reporting period]]*100&gt;WWWW[[#This Row],[Total PoP ]],WWWW[[#This Row],[Total PoP ]],WWWW[[#This Row],['# Functional hand washing stations during reporting period]]*100)</f>
        <v>200</v>
      </c>
      <c r="DZ215" s="428" t="str">
        <f>IF(OR(WWWW[[#This Row],['#_students at TLS_CFS]]="",WWWW[[#This Row],['#_students at TLS_CFS]]=0),"No","Yes")</f>
        <v>No</v>
      </c>
      <c r="EA21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5" s="886" t="str">
        <f>VLOOKUP(WWWW[[#This Row],[Site Name]],SiteDB6[[Site Name]:[CCCM Management]],6,FALSE)</f>
        <v>Yes</v>
      </c>
      <c r="EF215" s="886" t="str">
        <f>VLOOKUP(WWWW[[#This Row],[Site Name]],SiteDB6[[Site Name]:[CCCM Focal Agency]],7,FALSE)</f>
        <v>Shalom</v>
      </c>
      <c r="EG215" s="886" t="str">
        <f>VLOOKUP(WWWW[[#This Row],[Site Name]],SiteDB6[[Site Name]:[Location Type 1]],9,FALSE)</f>
        <v>Camp</v>
      </c>
      <c r="EH215" s="886" t="str">
        <f>VLOOKUP(WWWW[[#This Row],[Site Name]],SiteDB6[[Site Name]:[Type of Accommodation]],10,FALSE)</f>
        <v>Camp</v>
      </c>
      <c r="EI215" s="886" t="str">
        <f>VLOOKUP(WWWW[[#This Row],[Site Name]],SiteDB6[[Site Name]:[Ethnic or GCA/NGCA]],11,FALSE)</f>
        <v>GCA</v>
      </c>
      <c r="EJ215" s="886">
        <f>VLOOKUP(WWWW[[#This Row],[Site Name]],SiteDB6[[Site Name]:[Lat]],12,FALSE)</f>
        <v>25.889410000000002</v>
      </c>
      <c r="EK215" s="886">
        <f>VLOOKUP(WWWW[[#This Row],[Site Name]],SiteDB6[[Site Name]:[Long]],13,FALSE)</f>
        <v>98.131550000000004</v>
      </c>
      <c r="EL215" s="886" t="str">
        <f>VLOOKUP(WWWW[[#This Row],[Site Name]],SiteDB6[[Site Name]:[Pcode]],3,FALSE)</f>
        <v>MMR001CMP042</v>
      </c>
      <c r="EM215" s="891" t="str">
        <f t="shared" si="3"/>
        <v>Covered</v>
      </c>
      <c r="EN215" s="891"/>
      <c r="EO215" s="886">
        <f>VLOOKUP(WWWW[[#This Row],[Site Name]],SiteDB6[[Site Name]:[Pop
(Kachin/Shan-CCCM as of July 2021)]],16,FALSE)</f>
        <v>138</v>
      </c>
      <c r="EP215" s="886">
        <f>VLOOKUP(WWWW[[#This Row],[Site Name]],SiteDB6[[Site Name]:[Pop
(Kachin/Shan-CCCM as of July 2021)]],17,FALSE)</f>
        <v>706</v>
      </c>
    </row>
    <row r="216" spans="1:146" hidden="1">
      <c r="A216" s="884" t="s">
        <v>2764</v>
      </c>
      <c r="B216" s="884" t="s">
        <v>309</v>
      </c>
      <c r="C216" s="885" t="s">
        <v>309</v>
      </c>
      <c r="D216" s="885"/>
      <c r="E216" s="885" t="s">
        <v>37</v>
      </c>
      <c r="F216" s="885" t="s">
        <v>146</v>
      </c>
      <c r="G216" s="591" t="str">
        <f>VLOOKUP(WWWW[[#This Row],[Site Name]],SiteDB6[[Site Name]:[Location Type]],8,FALSE)</f>
        <v>Camp</v>
      </c>
      <c r="H216" s="726" t="s">
        <v>3023</v>
      </c>
      <c r="I216" s="887">
        <v>57</v>
      </c>
      <c r="J216" s="887">
        <v>264</v>
      </c>
      <c r="K216" s="888"/>
      <c r="L216" s="889"/>
      <c r="M216" s="887"/>
      <c r="N216" s="887"/>
      <c r="O216" s="887"/>
      <c r="P216" s="887"/>
      <c r="Q216" s="890" t="s">
        <v>41</v>
      </c>
      <c r="R216" s="887"/>
      <c r="S216" s="887"/>
      <c r="T216" s="448"/>
      <c r="U216" s="887"/>
      <c r="V216" s="887"/>
      <c r="W216" s="887"/>
      <c r="X216" s="887"/>
      <c r="Y216" s="887"/>
      <c r="Z216" s="887"/>
      <c r="AA216" s="887"/>
      <c r="AB216" s="887"/>
      <c r="AC216" s="887"/>
      <c r="AD216" s="887"/>
      <c r="AE216" s="887"/>
      <c r="AF216" s="887"/>
      <c r="AG216" s="887"/>
      <c r="AH216" s="887"/>
      <c r="AI216" s="887"/>
      <c r="AJ216" s="887"/>
      <c r="AK216" s="887"/>
      <c r="AL216" s="887"/>
      <c r="AM216" s="887"/>
      <c r="AN216" s="887"/>
      <c r="AO216" s="448"/>
      <c r="AP216" s="891"/>
      <c r="AQ216" s="887">
        <v>28</v>
      </c>
      <c r="AR216" s="887"/>
      <c r="AS216" s="892"/>
      <c r="AT216" s="887"/>
      <c r="AU216" s="887"/>
      <c r="AV216" s="887"/>
      <c r="AW216" s="887"/>
      <c r="AX216" s="887"/>
      <c r="AY216" s="886" t="s">
        <v>41</v>
      </c>
      <c r="AZ216" s="891" t="s">
        <v>137</v>
      </c>
      <c r="BA216" s="887">
        <v>2</v>
      </c>
      <c r="BB216" s="887"/>
      <c r="BC216" s="887"/>
      <c r="BD216" s="448"/>
      <c r="BE216" s="448"/>
      <c r="BF216" s="886"/>
      <c r="BG216" s="887">
        <v>3</v>
      </c>
      <c r="BH216" s="887"/>
      <c r="BI216" s="887"/>
      <c r="BJ216" s="887">
        <v>2</v>
      </c>
      <c r="BK216" s="887"/>
      <c r="BL216" s="887"/>
      <c r="BM216" s="887"/>
      <c r="BN216" s="887"/>
      <c r="BO216" s="887"/>
      <c r="BP216" s="886"/>
      <c r="BQ216" s="893"/>
      <c r="BR216" s="892"/>
      <c r="BS216" s="886"/>
      <c r="BT216" s="423"/>
      <c r="BU216" s="423"/>
      <c r="BV216" s="425"/>
      <c r="BW216" s="423"/>
      <c r="BX216" s="448"/>
      <c r="BY216" s="448"/>
      <c r="BZ216" s="448"/>
      <c r="CA216" s="448"/>
      <c r="CB216" s="448"/>
      <c r="CC216" s="777"/>
      <c r="CD216" s="448"/>
      <c r="CE216" s="894" t="str">
        <f>IFERROR(WWWW[[#This Row],['#_Water sources passed]]/WWWW[[#This Row],['#_Water sources tested for fecal coliform ]],"no test")</f>
        <v>no test</v>
      </c>
      <c r="CF216" s="892" t="str">
        <f>IFERROR(WWWW[[#This Row],['#_Household passed]]/WWWW[[#This Row],['#_Household water samples tested for fecal coliform]],"no test")</f>
        <v>no test</v>
      </c>
      <c r="CG216" s="893" t="str">
        <f>IF(AND(WWWW[[#This Row],[% of water sources passed]]="no test",WWWW[[#This Row],[% Household passed]]="no test"),"No Test","Tested")</f>
        <v>No Test</v>
      </c>
      <c r="CH216" s="893">
        <f>WWWW[[#This Row],['#_Constructed/existing protected hand dug well]]-WWWW[[#This Row],['#_Non-functional protected hand dug well]]</f>
        <v>0</v>
      </c>
      <c r="CI216" s="893">
        <f>(WWWW[[#This Row],['#_Constructed/Existing tube wells/boreholes/handpumps_WASH_agency]]+WWWW[[#This Row],['#_Non-Cluster partner water tube-wells/boreholes/handpumps]])-WWWW[[#This Row],['#_Non-functional tube wells/boreholes/handpumps]]</f>
        <v>0</v>
      </c>
      <c r="CJ216" s="893">
        <f>WWWW[[#This Row],['#_Constructed/Existingwater storage tank with gravity fed reticulation system]]-WWWW[[#This Row],['#_Non-functional storage tank gravity fed reticulation system]]</f>
        <v>0</v>
      </c>
      <c r="CK216" s="893">
        <f>(WWWW[[#This Row],['#_Water_Liters_supplied_by_Water boating or water trucking]]/90)/15</f>
        <v>0</v>
      </c>
      <c r="CL216" s="893">
        <f>WWWW[[#This Row],['#_Water_Liters_from_Constructed/Existing water distribution system from river or natural spring]]/90/15</f>
        <v>0</v>
      </c>
      <c r="CM216" s="424">
        <f>IF(WWWW[[#This Row],['#_of water points in TLS/CFS]]*500&gt;WWWW[[#This Row],[Total PoP ]],WWWW[[#This Row],[Total PoP ]],WWWW[[#This Row],['#_of water points in TLS/CFS]]*500)</f>
        <v>0</v>
      </c>
      <c r="CN216" s="424">
        <f>IF(WWWW[[#This Row],['#_of water points in THF]]*500&gt;WWWW[[#This Row],[Total PoP ]],WWWW[[#This Row],[Total PoP ]],WWWW[[#This Row],['#_of water points in THF]]*500)</f>
        <v>0</v>
      </c>
      <c r="CO21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1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16" s="892">
        <f>IF(WWWW[[#This Row],[Location Type 1]]="Village",WWWW[[#This Row],[Access to safe drinking water for Village]],WWWW[[#This Row],[Access to safe drinking water for Camp]])</f>
        <v>0</v>
      </c>
      <c r="CR216" s="890">
        <f>WWWW[[#This Row],[%Equitable and continuous access to sufficient quantity of safe drinking water]]*WWWW[[#This Row],[Total PoP ]]</f>
        <v>0</v>
      </c>
      <c r="CS216" s="892">
        <f>IF((WWWW[[#This Row],['#_Constructed/Existing protected/fenced ponds]]*250)/WWWW[[#This Row],[Total PoP ]]&gt;1,1,(WWWW[[#This Row],['#_Constructed/Existing protected/fenced ponds]]*250)/WWWW[[#This Row],[Total PoP ]])</f>
        <v>0</v>
      </c>
      <c r="CT216" s="890">
        <f>WWWW[[#This Row],[% Access to unimproved water points]]*WWWW[[#This Row],[Total PoP ]]</f>
        <v>0</v>
      </c>
      <c r="CU21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1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16" s="890">
        <f>WWWW[[#This Row],[HRP1]]/500</f>
        <v>0</v>
      </c>
      <c r="CX216" s="895">
        <f>1-WWWW[[#This Row],[% Equitable and continuous access to sufficient quantity of domestic water]]</f>
        <v>1</v>
      </c>
      <c r="CY216" s="890">
        <f>WWWW[[#This Row],[%equitable and continuous access to sufficient quantity of safe drinking and domestic water''s GAP]]*WWWW[[#This Row],[Total PoP ]]</f>
        <v>264</v>
      </c>
      <c r="CZ216" s="893">
        <f>IF(WWWW[[#This Row],[Total required water points]]-WWWW[[#This Row],['#Water points coverage]]&lt;0,0,WWWW[[#This Row],[Total required water points]]-WWWW[[#This Row],['#Water points coverage]])</f>
        <v>1</v>
      </c>
      <c r="DA216" s="893">
        <f>ROUND(IF(WWWW[[#This Row],[Total PoP ]]&lt;500,1,WWWW[[#This Row],[Total PoP ]]/500),0)</f>
        <v>1</v>
      </c>
      <c r="DB216" s="893">
        <f>(WWWW[[#This Row],['#_Constructed latrines_by_WASHAgencies]]+WWWW[[#This Row],['#_Non Cluster partner latrines]])-WWWW[[#This Row],['#_Non-functional latrines]]</f>
        <v>28</v>
      </c>
      <c r="DC216" s="631">
        <f>WWWW[[#This Row],[HRP2]]/WWWW[[#This Row],[Total PoP ]]</f>
        <v>1</v>
      </c>
      <c r="DD21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DE21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6" s="424">
        <f>IF(WWWW[[#This Row],['# of functional latrines in THF supported by WASH partners during the reporting period2]]="",0,WWWW[[#This Row],['# of functional latrines in THF supported by WASH partners during the reporting period2]]*50)</f>
        <v>0</v>
      </c>
      <c r="DH216" s="893">
        <f>ROUND(IF(WWWW[[#This Row],[Location Type 1]]="camp",WWWW[[#This Row],[Total PoP ]]/20,IF(WWWW[[#This Row],[Location Type 1]]="Temporary Location",WWWW[[#This Row],[Total PoP ]]/50,(WWWW[[#This Row],[Total PoP ]]/6))),0)</f>
        <v>13</v>
      </c>
      <c r="DI216" s="893">
        <f>IF(WWWW[[#This Row],[Total required Latrines]]-(WWWW[[#This Row],['#_Constructed latrines_by_WASHAgencies]]+WWWW[[#This Row],['#_Non Cluster partner latrines]])&lt;0,0,WWWW[[#This Row],[Total required Latrines]]-(WWWW[[#This Row],['#_Constructed latrines_by_WASHAgencies]]+WWWW[[#This Row],['#_Non Cluster partner latrines]]))</f>
        <v>0</v>
      </c>
      <c r="DJ216" s="895">
        <f>1-WWWW[[#This Row],[% people access to functioning Latrine]]</f>
        <v>0</v>
      </c>
      <c r="DK216" s="894">
        <f>IF(OR(WWWW[[#This Row],['#_Non-functional latrines]]="",WWWW[[#This Row],['#_Non-functional latrines]]=0),0,WWWW[[#This Row],['#_Non-functional latrines]]/(WWWW[[#This Row],['#_Constructed latrines_by_WASHAgencies]]+WWWW[[#This Row],['#_Non Cluster partner latrines]]))</f>
        <v>0</v>
      </c>
      <c r="DL216" s="890">
        <f>IF(500*(WWWW[[#This Row],['#_male hygiene promoters]]+WWWW[[#This Row],['#_female hygiene promoters]])&gt;WWWW[[#This Row],[Total PoP ]],WWWW[[#This Row],[Total PoP ]],500*(WWWW[[#This Row],['#_male hygiene promoters]]+WWWW[[#This Row],['#_female hygiene promoters]]))</f>
        <v>0</v>
      </c>
      <c r="DM21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6" s="893">
        <f>IF(WWWW[[#This Row],['# People with access to soap]]&gt;WWWW[[#This Row],['# People with access to Sanity Pads]],WWWW[[#This Row],['# People with access to soap]],WWWW[[#This Row],['# People with access to Sanity Pads]])</f>
        <v>0</v>
      </c>
      <c r="DP216"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16" s="895">
        <f>IF(WWWW[[#This Row],[HRP3]]/WWWW[[#This Row],[Total PoP ]]&gt;1,1,WWWW[[#This Row],[HRP3]]/WWWW[[#This Row],[Total PoP ]])</f>
        <v>0</v>
      </c>
      <c r="DR216" s="894">
        <f>1-WWWW[[#This Row],[Hygiene Coverage%]]</f>
        <v>1</v>
      </c>
      <c r="DS216" s="892">
        <f>WWWW[[#This Row],['# people reached by regular dedicated hygiene promotion_5]]/WWWW[[#This Row],[Total PoP ]]</f>
        <v>0</v>
      </c>
      <c r="DT21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6" s="893">
        <f>WWWW[[#This Row],['#_Constructed/Existing hand washing stations]]-WWWW[[#This Row],['#_Non-Functional_hand_washing_stations]]</f>
        <v>3</v>
      </c>
      <c r="DW216" s="890">
        <f>IF(WWWW[[#This Row],['# Functional hand washing stations during reporting period]]*20&gt;WWWW[[#This Row],[Total HH]],WWWW[[#This Row],[Total HH]],WWWW[[#This Row],['# Functional hand washing stations during reporting period]]*20)</f>
        <v>57</v>
      </c>
      <c r="DX216" s="890">
        <f>IF(WWWW[[#This Row],[Is sufficient soap available for TLS? (Yes/No)]]="yes",WWWW[[#This Row],['#_Constructed/Existing hand washing stations at TLS/CFS/THF]],0)</f>
        <v>0</v>
      </c>
      <c r="DY216" s="428">
        <f>IF(WWWW[[#This Row],['# Functional hand washing stations during reporting period]]*100&gt;WWWW[[#This Row],[Total PoP ]],WWWW[[#This Row],[Total PoP ]],WWWW[[#This Row],['# Functional hand washing stations during reporting period]]*100)</f>
        <v>264</v>
      </c>
      <c r="DZ216" s="428" t="str">
        <f>IF(OR(WWWW[[#This Row],['#_students at TLS_CFS]]="",WWWW[[#This Row],['#_students at TLS_CFS]]=0),"No","Yes")</f>
        <v>No</v>
      </c>
      <c r="EA21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6" s="886" t="str">
        <f>VLOOKUP(WWWW[[#This Row],[Site Name]],SiteDB6[[Site Name]:[CCCM Management]],6,FALSE)</f>
        <v>Yes</v>
      </c>
      <c r="EF216" s="886" t="str">
        <f>VLOOKUP(WWWW[[#This Row],[Site Name]],SiteDB6[[Site Name]:[CCCM Focal Agency]],7,FALSE)</f>
        <v>KMSS-MYT</v>
      </c>
      <c r="EG216" s="886" t="str">
        <f>VLOOKUP(WWWW[[#This Row],[Site Name]],SiteDB6[[Site Name]:[Location Type 1]],9,FALSE)</f>
        <v>Camp</v>
      </c>
      <c r="EH216" s="886" t="str">
        <f>VLOOKUP(WWWW[[#This Row],[Site Name]],SiteDB6[[Site Name]:[Type of Accommodation]],10,FALSE)</f>
        <v>IDPs in host</v>
      </c>
      <c r="EI216" s="886" t="str">
        <f>VLOOKUP(WWWW[[#This Row],[Site Name]],SiteDB6[[Site Name]:[Ethnic or GCA/NGCA]],11,FALSE)</f>
        <v>GCA</v>
      </c>
      <c r="EJ216" s="886">
        <f>VLOOKUP(WWWW[[#This Row],[Site Name]],SiteDB6[[Site Name]:[Lat]],12,FALSE)</f>
        <v>25.60867</v>
      </c>
      <c r="EK216" s="886">
        <f>VLOOKUP(WWWW[[#This Row],[Site Name]],SiteDB6[[Site Name]:[Long]],13,FALSE)</f>
        <v>98.377780000000001</v>
      </c>
      <c r="EL216" s="886" t="str">
        <f>VLOOKUP(WWWW[[#This Row],[Site Name]],SiteDB6[[Site Name]:[Pcode]],3,FALSE)</f>
        <v>MMR001CMP210</v>
      </c>
      <c r="EM216" s="891" t="str">
        <f t="shared" si="3"/>
        <v>Notcovered</v>
      </c>
      <c r="EN216" s="891"/>
      <c r="EO216" s="886">
        <f>VLOOKUP(WWWW[[#This Row],[Site Name]],SiteDB6[[Site Name]:[Pop
(Kachin/Shan-CCCM as of July 2021)]],16,FALSE)</f>
        <v>4</v>
      </c>
      <c r="EP216" s="886">
        <f>VLOOKUP(WWWW[[#This Row],[Site Name]],SiteDB6[[Site Name]:[Pop
(Kachin/Shan-CCCM as of July 2021)]],17,FALSE)</f>
        <v>20</v>
      </c>
    </row>
    <row r="217" spans="1:146" hidden="1">
      <c r="A217" s="884" t="s">
        <v>2764</v>
      </c>
      <c r="B217" s="884" t="s">
        <v>242</v>
      </c>
      <c r="C217" s="885" t="s">
        <v>242</v>
      </c>
      <c r="D217" s="885" t="s">
        <v>299</v>
      </c>
      <c r="E217" s="885" t="s">
        <v>37</v>
      </c>
      <c r="F217" s="885" t="s">
        <v>148</v>
      </c>
      <c r="G217" s="591" t="str">
        <f>VLOOKUP(WWWW[[#This Row],[Site Name]],SiteDB6[[Site Name]:[Location Type]],8,FALSE)</f>
        <v>Camp</v>
      </c>
      <c r="H217" s="885" t="s">
        <v>252</v>
      </c>
      <c r="I217" s="887">
        <v>91</v>
      </c>
      <c r="J217" s="887">
        <v>443</v>
      </c>
      <c r="K217" s="888">
        <v>44562</v>
      </c>
      <c r="L217" s="889">
        <v>44926</v>
      </c>
      <c r="M217" s="887">
        <v>240</v>
      </c>
      <c r="N217" s="887">
        <v>1</v>
      </c>
      <c r="O217" s="887"/>
      <c r="P217" s="887"/>
      <c r="Q217" s="890" t="s">
        <v>41</v>
      </c>
      <c r="R217" s="887">
        <v>4</v>
      </c>
      <c r="S217" s="887">
        <v>5</v>
      </c>
      <c r="T217" s="448"/>
      <c r="U217" s="887"/>
      <c r="V217" s="887"/>
      <c r="W217" s="887">
        <v>1</v>
      </c>
      <c r="X217" s="887"/>
      <c r="Y217" s="887"/>
      <c r="Z217" s="887"/>
      <c r="AA217" s="887"/>
      <c r="AB217" s="887"/>
      <c r="AC217" s="887"/>
      <c r="AD217" s="887"/>
      <c r="AE217" s="887">
        <v>2</v>
      </c>
      <c r="AF217" s="887"/>
      <c r="AG217" s="887">
        <v>2</v>
      </c>
      <c r="AH217" s="887"/>
      <c r="AI217" s="887"/>
      <c r="AJ217" s="887"/>
      <c r="AK217" s="887"/>
      <c r="AL217" s="887"/>
      <c r="AM217" s="887">
        <v>1</v>
      </c>
      <c r="AN217" s="887">
        <v>1</v>
      </c>
      <c r="AO217" s="448"/>
      <c r="AP217" s="891" t="s">
        <v>3054</v>
      </c>
      <c r="AQ217" s="887">
        <v>23</v>
      </c>
      <c r="AR217" s="887">
        <v>23</v>
      </c>
      <c r="AS217" s="892"/>
      <c r="AT217" s="887"/>
      <c r="AU217" s="887">
        <v>19</v>
      </c>
      <c r="AV217" s="887"/>
      <c r="AW217" s="887"/>
      <c r="AX217" s="887"/>
      <c r="AY217" s="886" t="s">
        <v>41</v>
      </c>
      <c r="AZ217" s="891" t="s">
        <v>137</v>
      </c>
      <c r="BA217" s="887"/>
      <c r="BB217" s="887">
        <v>1</v>
      </c>
      <c r="BC217" s="887"/>
      <c r="BD217" s="448"/>
      <c r="BE217" s="448">
        <v>8</v>
      </c>
      <c r="BF217" s="886"/>
      <c r="BG217" s="887">
        <v>8</v>
      </c>
      <c r="BH217" s="887">
        <v>4</v>
      </c>
      <c r="BI217" s="887"/>
      <c r="BJ217" s="887">
        <v>3</v>
      </c>
      <c r="BK217" s="887"/>
      <c r="BL217" s="887"/>
      <c r="BM217" s="887">
        <v>1</v>
      </c>
      <c r="BN217" s="887">
        <v>91</v>
      </c>
      <c r="BO217" s="887">
        <v>148</v>
      </c>
      <c r="BP217" s="886" t="s">
        <v>41</v>
      </c>
      <c r="BQ217" s="893">
        <v>4</v>
      </c>
      <c r="BR217" s="892">
        <v>0.3</v>
      </c>
      <c r="BS217" s="886" t="s">
        <v>3064</v>
      </c>
      <c r="BT217" s="423">
        <v>0.7</v>
      </c>
      <c r="BU217" s="423">
        <v>0.5</v>
      </c>
      <c r="BV217" s="425"/>
      <c r="BW217" s="423">
        <v>0.2</v>
      </c>
      <c r="BX217" s="448"/>
      <c r="BY217" s="448"/>
      <c r="BZ217" s="448"/>
      <c r="CA217" s="448"/>
      <c r="CB217" s="448"/>
      <c r="CC217" s="777"/>
      <c r="CD217" s="448"/>
      <c r="CE217" s="894" t="str">
        <f>IFERROR(WWWW[[#This Row],['#_Water sources passed]]/WWWW[[#This Row],['#_Water sources tested for fecal coliform ]],"no test")</f>
        <v>no test</v>
      </c>
      <c r="CF217" s="892" t="str">
        <f>IFERROR(WWWW[[#This Row],['#_Household passed]]/WWWW[[#This Row],['#_Household water samples tested for fecal coliform]],"no test")</f>
        <v>no test</v>
      </c>
      <c r="CG217" s="893" t="str">
        <f>IF(AND(WWWW[[#This Row],[% of water sources passed]]="no test",WWWW[[#This Row],[% Household passed]]="no test"),"No Test","Tested")</f>
        <v>No Test</v>
      </c>
      <c r="CH217" s="893">
        <f>WWWW[[#This Row],['#_Constructed/existing protected hand dug well]]-WWWW[[#This Row],['#_Non-functional protected hand dug well]]</f>
        <v>0</v>
      </c>
      <c r="CI217" s="893">
        <f>(WWWW[[#This Row],['#_Constructed/Existing tube wells/boreholes/handpumps_WASH_agency]]+WWWW[[#This Row],['#_Non-Cluster partner water tube-wells/boreholes/handpumps]])-WWWW[[#This Row],['#_Non-functional tube wells/boreholes/handpumps]]</f>
        <v>1</v>
      </c>
      <c r="CJ217" s="893">
        <f>WWWW[[#This Row],['#_Constructed/Existingwater storage tank with gravity fed reticulation system]]-WWWW[[#This Row],['#_Non-functional storage tank gravity fed reticulation system]]</f>
        <v>0</v>
      </c>
      <c r="CK217" s="893">
        <f>(WWWW[[#This Row],['#_Water_Liters_supplied_by_Water boating or water trucking]]/90)/15</f>
        <v>0</v>
      </c>
      <c r="CL217" s="893">
        <f>WWWW[[#This Row],['#_Water_Liters_from_Constructed/Existing water distribution system from river or natural spring]]/90/15</f>
        <v>0</v>
      </c>
      <c r="CM217" s="424">
        <f>IF(WWWW[[#This Row],['#_of water points in TLS/CFS]]*500&gt;WWWW[[#This Row],[Total PoP ]],WWWW[[#This Row],[Total PoP ]],WWWW[[#This Row],['#_of water points in TLS/CFS]]*500)</f>
        <v>443</v>
      </c>
      <c r="CN217" s="424">
        <f>IF(WWWW[[#This Row],['#_of water points in THF]]*500&gt;WWWW[[#This Row],[Total PoP ]],WWWW[[#This Row],[Total PoP ]],WWWW[[#This Row],['#_of water points in THF]]*500)</f>
        <v>0</v>
      </c>
      <c r="CO21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0.56433408577878108</v>
      </c>
      <c r="CQ217" s="892">
        <f>IF(WWWW[[#This Row],[Location Type 1]]="Village",WWWW[[#This Row],[Access to safe drinking water for Village]],WWWW[[#This Row],[Access to safe drinking water for Camp]])</f>
        <v>1</v>
      </c>
      <c r="CR217" s="890">
        <f>WWWW[[#This Row],[%Equitable and continuous access to sufficient quantity of safe drinking water]]*WWWW[[#This Row],[Total PoP ]]</f>
        <v>443</v>
      </c>
      <c r="CS217" s="892">
        <f>IF((WWWW[[#This Row],['#_Constructed/Existing protected/fenced ponds]]*250)/WWWW[[#This Row],[Total PoP ]]&gt;1,1,(WWWW[[#This Row],['#_Constructed/Existing protected/fenced ponds]]*250)/WWWW[[#This Row],[Total PoP ]])</f>
        <v>1</v>
      </c>
      <c r="CT217" s="890">
        <f>WWWW[[#This Row],[% Access to unimproved water points]]*WWWW[[#This Row],[Total PoP ]]</f>
        <v>443</v>
      </c>
      <c r="CU21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443</v>
      </c>
      <c r="CW217" s="890">
        <f>WWWW[[#This Row],[HRP1]]/500</f>
        <v>0.88600000000000001</v>
      </c>
      <c r="CX217" s="895">
        <f>1-WWWW[[#This Row],[% Equitable and continuous access to sufficient quantity of domestic water]]</f>
        <v>0</v>
      </c>
      <c r="CY217" s="890">
        <f>WWWW[[#This Row],[%equitable and continuous access to sufficient quantity of safe drinking and domestic water''s GAP]]*WWWW[[#This Row],[Total PoP ]]</f>
        <v>0</v>
      </c>
      <c r="CZ217" s="893">
        <f>IF(WWWW[[#This Row],[Total required water points]]-WWWW[[#This Row],['#Water points coverage]]&lt;0,0,WWWW[[#This Row],[Total required water points]]-WWWW[[#This Row],['#Water points coverage]])</f>
        <v>0.11399999999999999</v>
      </c>
      <c r="DA217" s="893">
        <f>ROUND(IF(WWWW[[#This Row],[Total PoP ]]&lt;500,1,WWWW[[#This Row],[Total PoP ]]/500),0)</f>
        <v>1</v>
      </c>
      <c r="DB217" s="893">
        <f>(WWWW[[#This Row],['#_Constructed latrines_by_WASHAgencies]]+WWWW[[#This Row],['#_Non Cluster partner latrines]])-WWWW[[#This Row],['#_Non-functional latrines]]</f>
        <v>46</v>
      </c>
      <c r="DC217" s="631">
        <f>WWWW[[#This Row],[HRP2]]/WWWW[[#This Row],[Total PoP ]]</f>
        <v>1</v>
      </c>
      <c r="DD21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443</v>
      </c>
      <c r="DE21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7" s="424">
        <f>IF(WWWW[[#This Row],['# of functional latrines in THF supported by WASH partners during the reporting period2]]="",0,WWWW[[#This Row],['# of functional latrines in THF supported by WASH partners during the reporting period2]]*50)</f>
        <v>0</v>
      </c>
      <c r="DH217" s="893">
        <f>ROUND(IF(WWWW[[#This Row],[Location Type 1]]="camp",WWWW[[#This Row],[Total PoP ]]/20,IF(WWWW[[#This Row],[Location Type 1]]="Temporary Location",WWWW[[#This Row],[Total PoP ]]/50,(WWWW[[#This Row],[Total PoP ]]/6))),0)</f>
        <v>22</v>
      </c>
      <c r="DI217" s="893">
        <f>IF(WWWW[[#This Row],[Total required Latrines]]-(WWWW[[#This Row],['#_Constructed latrines_by_WASHAgencies]]+WWWW[[#This Row],['#_Non Cluster partner latrines]])&lt;0,0,WWWW[[#This Row],[Total required Latrines]]-(WWWW[[#This Row],['#_Constructed latrines_by_WASHAgencies]]+WWWW[[#This Row],['#_Non Cluster partner latrines]]))</f>
        <v>0</v>
      </c>
      <c r="DJ217" s="895">
        <f>1-WWWW[[#This Row],[% people access to functioning Latrine]]</f>
        <v>0</v>
      </c>
      <c r="DK217" s="894">
        <f>IF(OR(WWWW[[#This Row],['#_Non-functional latrines]]="",WWWW[[#This Row],['#_Non-functional latrines]]=0),0,WWWW[[#This Row],['#_Non-functional latrines]]/(WWWW[[#This Row],['#_Constructed latrines_by_WASHAgencies]]+WWWW[[#This Row],['#_Non Cluster partner latrines]]))</f>
        <v>0</v>
      </c>
      <c r="DL217" s="890">
        <f>IF(500*(WWWW[[#This Row],['#_male hygiene promoters]]+WWWW[[#This Row],['#_female hygiene promoters]])&gt;WWWW[[#This Row],[Total PoP ]],WWWW[[#This Row],[Total PoP ]],500*(WWWW[[#This Row],['#_male hygiene promoters]]+WWWW[[#This Row],['#_female hygiene promoters]]))</f>
        <v>443</v>
      </c>
      <c r="DM21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443</v>
      </c>
      <c r="DN21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217" s="893">
        <f>IF(WWWW[[#This Row],['# People with access to soap]]&gt;WWWW[[#This Row],['# People with access to Sanity Pads]],WWWW[[#This Row],['# People with access to soap]],WWWW[[#This Row],['# People with access to Sanity Pads]])</f>
        <v>443</v>
      </c>
      <c r="DP217" s="893">
        <f>IF(WWWW[[#This Row],['# people reached by regular dedicated hygiene promotion_5]]&gt;WWWW[[#This Row],['# People received regular supply of hygiene items_6]],WWWW[[#This Row],['# people reached by regular dedicated hygiene promotion_5]],WWWW[[#This Row],['# People received regular supply of hygiene items_6]])</f>
        <v>443</v>
      </c>
      <c r="DQ217" s="895">
        <f>IF(WWWW[[#This Row],[HRP3]]/WWWW[[#This Row],[Total PoP ]]&gt;1,1,WWWW[[#This Row],[HRP3]]/WWWW[[#This Row],[Total PoP ]])</f>
        <v>1</v>
      </c>
      <c r="DR217" s="894">
        <f>1-WWWW[[#This Row],[Hygiene Coverage%]]</f>
        <v>0</v>
      </c>
      <c r="DS217" s="892">
        <f>WWWW[[#This Row],['# people reached by regular dedicated hygiene promotion_5]]/WWWW[[#This Row],[Total PoP ]]</f>
        <v>1</v>
      </c>
      <c r="DT21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1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17" s="893">
        <f>WWWW[[#This Row],['#_Constructed/Existing hand washing stations]]-WWWW[[#This Row],['#_Non-Functional_hand_washing_stations]]</f>
        <v>4</v>
      </c>
      <c r="DW217" s="890">
        <f>IF(WWWW[[#This Row],['# Functional hand washing stations during reporting period]]*20&gt;WWWW[[#This Row],[Total HH]],WWWW[[#This Row],[Total HH]],WWWW[[#This Row],['# Functional hand washing stations during reporting period]]*20)</f>
        <v>80</v>
      </c>
      <c r="DX217" s="890">
        <f>IF(WWWW[[#This Row],[Is sufficient soap available for TLS? (Yes/No)]]="yes",WWWW[[#This Row],['#_Constructed/Existing hand washing stations at TLS/CFS/THF]],0)</f>
        <v>1</v>
      </c>
      <c r="DY217" s="428">
        <f>IF(WWWW[[#This Row],['# Functional hand washing stations during reporting period]]*100&gt;WWWW[[#This Row],[Total PoP ]],WWWW[[#This Row],[Total PoP ]],WWWW[[#This Row],['# Functional hand washing stations during reporting period]]*100)</f>
        <v>400</v>
      </c>
      <c r="DZ217" s="428" t="str">
        <f>IF(OR(WWWW[[#This Row],['#_students at TLS_CFS]]="",WWWW[[#This Row],['#_students at TLS_CFS]]=0),"No","Yes")</f>
        <v>Yes</v>
      </c>
      <c r="EA21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443</v>
      </c>
      <c r="ED21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7" s="886" t="str">
        <f>VLOOKUP(WWWW[[#This Row],[Site Name]],SiteDB6[[Site Name]:[CCCM Management]],6,FALSE)</f>
        <v>Yes</v>
      </c>
      <c r="EF217" s="886" t="str">
        <f>VLOOKUP(WWWW[[#This Row],[Site Name]],SiteDB6[[Site Name]:[CCCM Focal Agency]],7,FALSE)</f>
        <v>Shalom</v>
      </c>
      <c r="EG217" s="886" t="str">
        <f>VLOOKUP(WWWW[[#This Row],[Site Name]],SiteDB6[[Site Name]:[Location Type 1]],9,FALSE)</f>
        <v>Camp</v>
      </c>
      <c r="EH217" s="886" t="str">
        <f>VLOOKUP(WWWW[[#This Row],[Site Name]],SiteDB6[[Site Name]:[Type of Accommodation]],10,FALSE)</f>
        <v>Camp</v>
      </c>
      <c r="EI217" s="886" t="str">
        <f>VLOOKUP(WWWW[[#This Row],[Site Name]],SiteDB6[[Site Name]:[Ethnic or GCA/NGCA]],11,FALSE)</f>
        <v>GCA</v>
      </c>
      <c r="EJ217" s="886">
        <f>VLOOKUP(WWWW[[#This Row],[Site Name]],SiteDB6[[Site Name]:[Lat]],12,FALSE)</f>
        <v>25.637309999999999</v>
      </c>
      <c r="EK217" s="886">
        <f>VLOOKUP(WWWW[[#This Row],[Site Name]],SiteDB6[[Site Name]:[Long]],13,FALSE)</f>
        <v>96.35257</v>
      </c>
      <c r="EL217" s="886" t="str">
        <f>VLOOKUP(WWWW[[#This Row],[Site Name]],SiteDB6[[Site Name]:[Pcode]],3,FALSE)</f>
        <v>MMR001CMP174</v>
      </c>
      <c r="EM217" s="891" t="str">
        <f t="shared" si="3"/>
        <v>Covered</v>
      </c>
      <c r="EN217" s="891"/>
      <c r="EO217" s="886">
        <f>VLOOKUP(WWWW[[#This Row],[Site Name]],SiteDB6[[Site Name]:[Pop
(Kachin/Shan-CCCM as of July 2021)]],16,FALSE)</f>
        <v>91</v>
      </c>
      <c r="EP217" s="886">
        <f>VLOOKUP(WWWW[[#This Row],[Site Name]],SiteDB6[[Site Name]:[Pop
(Kachin/Shan-CCCM as of July 2021)]],17,FALSE)</f>
        <v>442</v>
      </c>
    </row>
    <row r="218" spans="1:146" hidden="1">
      <c r="A218" s="884" t="s">
        <v>2764</v>
      </c>
      <c r="B218" s="884" t="s">
        <v>309</v>
      </c>
      <c r="C218" s="885" t="s">
        <v>309</v>
      </c>
      <c r="D218" s="885"/>
      <c r="E218" s="885" t="s">
        <v>37</v>
      </c>
      <c r="F218" s="885" t="s">
        <v>142</v>
      </c>
      <c r="G218" s="591" t="str">
        <f>VLOOKUP(WWWW[[#This Row],[Site Name]],SiteDB6[[Site Name]:[Location Type]],8,FALSE)</f>
        <v>Camp</v>
      </c>
      <c r="H218" s="885" t="s">
        <v>2781</v>
      </c>
      <c r="I218" s="887">
        <v>48</v>
      </c>
      <c r="J218" s="887">
        <v>240</v>
      </c>
      <c r="K218" s="888"/>
      <c r="L218" s="889"/>
      <c r="M218" s="887"/>
      <c r="N218" s="887"/>
      <c r="O218" s="887"/>
      <c r="P218" s="887"/>
      <c r="Q218" s="890"/>
      <c r="R218" s="887"/>
      <c r="S218" s="887"/>
      <c r="T218" s="448"/>
      <c r="U218" s="887"/>
      <c r="V218" s="887"/>
      <c r="W218" s="887"/>
      <c r="X218" s="887"/>
      <c r="Y218" s="887"/>
      <c r="Z218" s="887"/>
      <c r="AA218" s="887"/>
      <c r="AB218" s="887"/>
      <c r="AC218" s="887"/>
      <c r="AD218" s="887"/>
      <c r="AE218" s="887"/>
      <c r="AF218" s="887"/>
      <c r="AG218" s="887"/>
      <c r="AH218" s="887"/>
      <c r="AI218" s="887"/>
      <c r="AJ218" s="887"/>
      <c r="AK218" s="887"/>
      <c r="AL218" s="887"/>
      <c r="AM218" s="887"/>
      <c r="AN218" s="887"/>
      <c r="AO218" s="448"/>
      <c r="AP218" s="891"/>
      <c r="AQ218" s="887"/>
      <c r="AR218" s="887"/>
      <c r="AS218" s="892"/>
      <c r="AT218" s="887"/>
      <c r="AU218" s="887"/>
      <c r="AV218" s="887"/>
      <c r="AW218" s="887"/>
      <c r="AX218" s="887"/>
      <c r="AY218" s="886" t="s">
        <v>140</v>
      </c>
      <c r="AZ218" s="891" t="s">
        <v>140</v>
      </c>
      <c r="BA218" s="887"/>
      <c r="BB218" s="887"/>
      <c r="BC218" s="887"/>
      <c r="BD218" s="448"/>
      <c r="BE218" s="448"/>
      <c r="BF218" s="886"/>
      <c r="BG218" s="887">
        <v>7</v>
      </c>
      <c r="BH218" s="887"/>
      <c r="BI218" s="887"/>
      <c r="BJ218" s="887">
        <v>4</v>
      </c>
      <c r="BK218" s="887"/>
      <c r="BL218" s="887"/>
      <c r="BM218" s="887"/>
      <c r="BN218" s="887"/>
      <c r="BO218" s="887"/>
      <c r="BP218" s="886"/>
      <c r="BQ218" s="893"/>
      <c r="BR218" s="892"/>
      <c r="BS218" s="886"/>
      <c r="BT218" s="423"/>
      <c r="BU218" s="423"/>
      <c r="BV218" s="425"/>
      <c r="BW218" s="423"/>
      <c r="BX218" s="448"/>
      <c r="BY218" s="448"/>
      <c r="BZ218" s="448"/>
      <c r="CA218" s="448"/>
      <c r="CB218" s="448"/>
      <c r="CC218" s="777"/>
      <c r="CD218" s="448"/>
      <c r="CE218" s="894" t="str">
        <f>IFERROR(WWWW[[#This Row],['#_Water sources passed]]/WWWW[[#This Row],['#_Water sources tested for fecal coliform ]],"no test")</f>
        <v>no test</v>
      </c>
      <c r="CF218" s="892" t="str">
        <f>IFERROR(WWWW[[#This Row],['#_Household passed]]/WWWW[[#This Row],['#_Household water samples tested for fecal coliform]],"no test")</f>
        <v>no test</v>
      </c>
      <c r="CG218" s="893" t="str">
        <f>IF(AND(WWWW[[#This Row],[% of water sources passed]]="no test",WWWW[[#This Row],[% Household passed]]="no test"),"No Test","Tested")</f>
        <v>No Test</v>
      </c>
      <c r="CH218" s="893">
        <f>WWWW[[#This Row],['#_Constructed/existing protected hand dug well]]-WWWW[[#This Row],['#_Non-functional protected hand dug well]]</f>
        <v>0</v>
      </c>
      <c r="CI218" s="893">
        <f>(WWWW[[#This Row],['#_Constructed/Existing tube wells/boreholes/handpumps_WASH_agency]]+WWWW[[#This Row],['#_Non-Cluster partner water tube-wells/boreholes/handpumps]])-WWWW[[#This Row],['#_Non-functional tube wells/boreholes/handpumps]]</f>
        <v>0</v>
      </c>
      <c r="CJ218" s="893">
        <f>WWWW[[#This Row],['#_Constructed/Existingwater storage tank with gravity fed reticulation system]]-WWWW[[#This Row],['#_Non-functional storage tank gravity fed reticulation system]]</f>
        <v>0</v>
      </c>
      <c r="CK218" s="893">
        <f>(WWWW[[#This Row],['#_Water_Liters_supplied_by_Water boating or water trucking]]/90)/15</f>
        <v>0</v>
      </c>
      <c r="CL218" s="893">
        <f>WWWW[[#This Row],['#_Water_Liters_from_Constructed/Existing water distribution system from river or natural spring]]/90/15</f>
        <v>0</v>
      </c>
      <c r="CM218" s="424">
        <f>IF(WWWW[[#This Row],['#_of water points in TLS/CFS]]*500&gt;WWWW[[#This Row],[Total PoP ]],WWWW[[#This Row],[Total PoP ]],WWWW[[#This Row],['#_of water points in TLS/CFS]]*500)</f>
        <v>0</v>
      </c>
      <c r="CN218" s="424">
        <f>IF(WWWW[[#This Row],['#_of water points in THF]]*500&gt;WWWW[[#This Row],[Total PoP ]],WWWW[[#This Row],[Total PoP ]],WWWW[[#This Row],['#_of water points in THF]]*500)</f>
        <v>0</v>
      </c>
      <c r="CO21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1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18" s="892">
        <f>IF(WWWW[[#This Row],[Location Type 1]]="Village",WWWW[[#This Row],[Access to safe drinking water for Village]],WWWW[[#This Row],[Access to safe drinking water for Camp]])</f>
        <v>0</v>
      </c>
      <c r="CR218" s="890">
        <f>WWWW[[#This Row],[%Equitable and continuous access to sufficient quantity of safe drinking water]]*WWWW[[#This Row],[Total PoP ]]</f>
        <v>0</v>
      </c>
      <c r="CS218" s="892">
        <f>IF((WWWW[[#This Row],['#_Constructed/Existing protected/fenced ponds]]*250)/WWWW[[#This Row],[Total PoP ]]&gt;1,1,(WWWW[[#This Row],['#_Constructed/Existing protected/fenced ponds]]*250)/WWWW[[#This Row],[Total PoP ]])</f>
        <v>0</v>
      </c>
      <c r="CT218" s="890">
        <f>WWWW[[#This Row],[% Access to unimproved water points]]*WWWW[[#This Row],[Total PoP ]]</f>
        <v>0</v>
      </c>
      <c r="CU21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1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18" s="890">
        <f>WWWW[[#This Row],[HRP1]]/500</f>
        <v>0</v>
      </c>
      <c r="CX218" s="895">
        <f>1-WWWW[[#This Row],[% Equitable and continuous access to sufficient quantity of domestic water]]</f>
        <v>1</v>
      </c>
      <c r="CY218" s="890">
        <f>WWWW[[#This Row],[%equitable and continuous access to sufficient quantity of safe drinking and domestic water''s GAP]]*WWWW[[#This Row],[Total PoP ]]</f>
        <v>240</v>
      </c>
      <c r="CZ218" s="893">
        <f>IF(WWWW[[#This Row],[Total required water points]]-WWWW[[#This Row],['#Water points coverage]]&lt;0,0,WWWW[[#This Row],[Total required water points]]-WWWW[[#This Row],['#Water points coverage]])</f>
        <v>1</v>
      </c>
      <c r="DA218" s="893">
        <f>ROUND(IF(WWWW[[#This Row],[Total PoP ]]&lt;500,1,WWWW[[#This Row],[Total PoP ]]/500),0)</f>
        <v>1</v>
      </c>
      <c r="DB218" s="893">
        <f>(WWWW[[#This Row],['#_Constructed latrines_by_WASHAgencies]]+WWWW[[#This Row],['#_Non Cluster partner latrines]])-WWWW[[#This Row],['#_Non-functional latrines]]</f>
        <v>0</v>
      </c>
      <c r="DC218" s="631">
        <f>WWWW[[#This Row],[HRP2]]/WWWW[[#This Row],[Total PoP ]]</f>
        <v>0</v>
      </c>
      <c r="DD21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1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8" s="424">
        <f>IF(WWWW[[#This Row],['# of functional latrines in THF supported by WASH partners during the reporting period2]]="",0,WWWW[[#This Row],['# of functional latrines in THF supported by WASH partners during the reporting period2]]*50)</f>
        <v>0</v>
      </c>
      <c r="DH218" s="893">
        <f>ROUND(IF(WWWW[[#This Row],[Location Type 1]]="camp",WWWW[[#This Row],[Total PoP ]]/20,IF(WWWW[[#This Row],[Location Type 1]]="Temporary Location",WWWW[[#This Row],[Total PoP ]]/50,(WWWW[[#This Row],[Total PoP ]]/6))),0)</f>
        <v>12</v>
      </c>
      <c r="DI218" s="893">
        <f>IF(WWWW[[#This Row],[Total required Latrines]]-(WWWW[[#This Row],['#_Constructed latrines_by_WASHAgencies]]+WWWW[[#This Row],['#_Non Cluster partner latrines]])&lt;0,0,WWWW[[#This Row],[Total required Latrines]]-(WWWW[[#This Row],['#_Constructed latrines_by_WASHAgencies]]+WWWW[[#This Row],['#_Non Cluster partner latrines]]))</f>
        <v>12</v>
      </c>
      <c r="DJ218" s="895">
        <f>1-WWWW[[#This Row],[% people access to functioning Latrine]]</f>
        <v>1</v>
      </c>
      <c r="DK218" s="894">
        <f>IF(OR(WWWW[[#This Row],['#_Non-functional latrines]]="",WWWW[[#This Row],['#_Non-functional latrines]]=0),0,WWWW[[#This Row],['#_Non-functional latrines]]/(WWWW[[#This Row],['#_Constructed latrines_by_WASHAgencies]]+WWWW[[#This Row],['#_Non Cluster partner latrines]]))</f>
        <v>0</v>
      </c>
      <c r="DL218" s="890">
        <f>IF(500*(WWWW[[#This Row],['#_male hygiene promoters]]+WWWW[[#This Row],['#_female hygiene promoters]])&gt;WWWW[[#This Row],[Total PoP ]],WWWW[[#This Row],[Total PoP ]],500*(WWWW[[#This Row],['#_male hygiene promoters]]+WWWW[[#This Row],['#_female hygiene promoters]]))</f>
        <v>0</v>
      </c>
      <c r="DM21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8" s="893">
        <f>IF(WWWW[[#This Row],['# People with access to soap]]&gt;WWWW[[#This Row],['# People with access to Sanity Pads]],WWWW[[#This Row],['# People with access to soap]],WWWW[[#This Row],['# People with access to Sanity Pads]])</f>
        <v>0</v>
      </c>
      <c r="DP218"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18" s="895">
        <f>IF(WWWW[[#This Row],[HRP3]]/WWWW[[#This Row],[Total PoP ]]&gt;1,1,WWWW[[#This Row],[HRP3]]/WWWW[[#This Row],[Total PoP ]])</f>
        <v>0</v>
      </c>
      <c r="DR218" s="894">
        <f>1-WWWW[[#This Row],[Hygiene Coverage%]]</f>
        <v>1</v>
      </c>
      <c r="DS218" s="892">
        <f>WWWW[[#This Row],['# people reached by regular dedicated hygiene promotion_5]]/WWWW[[#This Row],[Total PoP ]]</f>
        <v>0</v>
      </c>
      <c r="DT21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8" s="893">
        <f>WWWW[[#This Row],['#_Constructed/Existing hand washing stations]]-WWWW[[#This Row],['#_Non-Functional_hand_washing_stations]]</f>
        <v>7</v>
      </c>
      <c r="DW218" s="890">
        <f>IF(WWWW[[#This Row],['# Functional hand washing stations during reporting period]]*20&gt;WWWW[[#This Row],[Total HH]],WWWW[[#This Row],[Total HH]],WWWW[[#This Row],['# Functional hand washing stations during reporting period]]*20)</f>
        <v>48</v>
      </c>
      <c r="DX218" s="890">
        <f>IF(WWWW[[#This Row],[Is sufficient soap available for TLS? (Yes/No)]]="yes",WWWW[[#This Row],['#_Constructed/Existing hand washing stations at TLS/CFS/THF]],0)</f>
        <v>0</v>
      </c>
      <c r="DY218" s="428">
        <f>IF(WWWW[[#This Row],['# Functional hand washing stations during reporting period]]*100&gt;WWWW[[#This Row],[Total PoP ]],WWWW[[#This Row],[Total PoP ]],WWWW[[#This Row],['# Functional hand washing stations during reporting period]]*100)</f>
        <v>240</v>
      </c>
      <c r="DZ218" s="428" t="str">
        <f>IF(OR(WWWW[[#This Row],['#_students at TLS_CFS]]="",WWWW[[#This Row],['#_students at TLS_CFS]]=0),"No","Yes")</f>
        <v>No</v>
      </c>
      <c r="EA21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8" s="886">
        <f>VLOOKUP(WWWW[[#This Row],[Site Name]],SiteDB6[[Site Name]:[CCCM Management]],6,FALSE)</f>
        <v>0</v>
      </c>
      <c r="EF218" s="886" t="str">
        <f>VLOOKUP(WWWW[[#This Row],[Site Name]],SiteDB6[[Site Name]:[CCCM Focal Agency]],7,FALSE)</f>
        <v xml:space="preserve">Uncovered  </v>
      </c>
      <c r="EG218" s="886" t="str">
        <f>VLOOKUP(WWWW[[#This Row],[Site Name]],SiteDB6[[Site Name]:[Location Type 1]],9,FALSE)</f>
        <v>Camp</v>
      </c>
      <c r="EH218" s="886" t="str">
        <f>VLOOKUP(WWWW[[#This Row],[Site Name]],SiteDB6[[Site Name]:[Type of Accommodation]],10,FALSE)</f>
        <v>Camp like setting</v>
      </c>
      <c r="EI218" s="886" t="str">
        <f>VLOOKUP(WWWW[[#This Row],[Site Name]],SiteDB6[[Site Name]:[Ethnic or GCA/NGCA]],11,FALSE)</f>
        <v>GCA</v>
      </c>
      <c r="EJ218" s="886">
        <f>VLOOKUP(WWWW[[#This Row],[Site Name]],SiteDB6[[Site Name]:[Lat]],12,FALSE)</f>
        <v>0</v>
      </c>
      <c r="EK218" s="886">
        <f>VLOOKUP(WWWW[[#This Row],[Site Name]],SiteDB6[[Site Name]:[Long]],13,FALSE)</f>
        <v>0</v>
      </c>
      <c r="EL218" s="886" t="str">
        <f>VLOOKUP(WWWW[[#This Row],[Site Name]],SiteDB6[[Site Name]:[Pcode]],3,FALSE)</f>
        <v>MMR001CMP293</v>
      </c>
      <c r="EM218" s="891" t="str">
        <f t="shared" si="3"/>
        <v>Notcovered</v>
      </c>
      <c r="EN218" s="891"/>
      <c r="EO218" s="886">
        <f>VLOOKUP(WWWW[[#This Row],[Site Name]],SiteDB6[[Site Name]:[Pop
(Kachin/Shan-CCCM as of July 2021)]],16,FALSE)</f>
        <v>48</v>
      </c>
      <c r="EP218" s="886">
        <f>VLOOKUP(WWWW[[#This Row],[Site Name]],SiteDB6[[Site Name]:[Pop
(Kachin/Shan-CCCM as of July 2021)]],17,FALSE)</f>
        <v>240</v>
      </c>
    </row>
    <row r="219" spans="1:146" hidden="1">
      <c r="A219" s="884" t="s">
        <v>2764</v>
      </c>
      <c r="B219" s="884" t="s">
        <v>309</v>
      </c>
      <c r="C219" s="885" t="s">
        <v>309</v>
      </c>
      <c r="D219" s="885"/>
      <c r="E219" s="885" t="s">
        <v>37</v>
      </c>
      <c r="F219" s="885" t="s">
        <v>142</v>
      </c>
      <c r="G219" s="591" t="str">
        <f>VLOOKUP(WWWW[[#This Row],[Site Name]],SiteDB6[[Site Name]:[Location Type]],8,FALSE)</f>
        <v>Camp</v>
      </c>
      <c r="H219" s="885" t="s">
        <v>2782</v>
      </c>
      <c r="I219" s="887">
        <v>34</v>
      </c>
      <c r="J219" s="887">
        <v>189</v>
      </c>
      <c r="K219" s="888"/>
      <c r="L219" s="889"/>
      <c r="M219" s="887"/>
      <c r="N219" s="887"/>
      <c r="O219" s="887"/>
      <c r="P219" s="887"/>
      <c r="Q219" s="890"/>
      <c r="R219" s="887"/>
      <c r="S219" s="887"/>
      <c r="T219" s="448"/>
      <c r="U219" s="887"/>
      <c r="V219" s="887"/>
      <c r="W219" s="887"/>
      <c r="X219" s="887"/>
      <c r="Y219" s="887"/>
      <c r="Z219" s="887"/>
      <c r="AA219" s="887"/>
      <c r="AB219" s="887"/>
      <c r="AC219" s="887"/>
      <c r="AD219" s="887"/>
      <c r="AE219" s="887"/>
      <c r="AF219" s="887"/>
      <c r="AG219" s="887"/>
      <c r="AH219" s="887"/>
      <c r="AI219" s="887"/>
      <c r="AJ219" s="887"/>
      <c r="AK219" s="887"/>
      <c r="AL219" s="887"/>
      <c r="AM219" s="887"/>
      <c r="AN219" s="887"/>
      <c r="AO219" s="448"/>
      <c r="AP219" s="891"/>
      <c r="AQ219" s="887"/>
      <c r="AR219" s="887"/>
      <c r="AS219" s="892"/>
      <c r="AT219" s="887"/>
      <c r="AU219" s="887"/>
      <c r="AV219" s="887"/>
      <c r="AW219" s="887"/>
      <c r="AX219" s="887"/>
      <c r="AY219" s="886" t="s">
        <v>140</v>
      </c>
      <c r="AZ219" s="891" t="s">
        <v>140</v>
      </c>
      <c r="BA219" s="887"/>
      <c r="BB219" s="887"/>
      <c r="BC219" s="887"/>
      <c r="BD219" s="448"/>
      <c r="BE219" s="448"/>
      <c r="BF219" s="886"/>
      <c r="BG219" s="887">
        <v>3</v>
      </c>
      <c r="BH219" s="887"/>
      <c r="BI219" s="887"/>
      <c r="BJ219" s="887">
        <v>2</v>
      </c>
      <c r="BK219" s="887"/>
      <c r="BL219" s="887"/>
      <c r="BM219" s="887"/>
      <c r="BN219" s="887"/>
      <c r="BO219" s="887"/>
      <c r="BP219" s="886"/>
      <c r="BQ219" s="893"/>
      <c r="BR219" s="892"/>
      <c r="BS219" s="886"/>
      <c r="BT219" s="423"/>
      <c r="BU219" s="423"/>
      <c r="BV219" s="425"/>
      <c r="BW219" s="423"/>
      <c r="BX219" s="448"/>
      <c r="BY219" s="448"/>
      <c r="BZ219" s="448"/>
      <c r="CA219" s="448"/>
      <c r="CB219" s="448"/>
      <c r="CC219" s="777"/>
      <c r="CD219" s="448"/>
      <c r="CE219" s="894" t="str">
        <f>IFERROR(WWWW[[#This Row],['#_Water sources passed]]/WWWW[[#This Row],['#_Water sources tested for fecal coliform ]],"no test")</f>
        <v>no test</v>
      </c>
      <c r="CF219" s="892" t="str">
        <f>IFERROR(WWWW[[#This Row],['#_Household passed]]/WWWW[[#This Row],['#_Household water samples tested for fecal coliform]],"no test")</f>
        <v>no test</v>
      </c>
      <c r="CG219" s="893" t="str">
        <f>IF(AND(WWWW[[#This Row],[% of water sources passed]]="no test",WWWW[[#This Row],[% Household passed]]="no test"),"No Test","Tested")</f>
        <v>No Test</v>
      </c>
      <c r="CH219" s="893">
        <f>WWWW[[#This Row],['#_Constructed/existing protected hand dug well]]-WWWW[[#This Row],['#_Non-functional protected hand dug well]]</f>
        <v>0</v>
      </c>
      <c r="CI219" s="893">
        <f>(WWWW[[#This Row],['#_Constructed/Existing tube wells/boreholes/handpumps_WASH_agency]]+WWWW[[#This Row],['#_Non-Cluster partner water tube-wells/boreholes/handpumps]])-WWWW[[#This Row],['#_Non-functional tube wells/boreholes/handpumps]]</f>
        <v>0</v>
      </c>
      <c r="CJ219" s="893">
        <f>WWWW[[#This Row],['#_Constructed/Existingwater storage tank with gravity fed reticulation system]]-WWWW[[#This Row],['#_Non-functional storage tank gravity fed reticulation system]]</f>
        <v>0</v>
      </c>
      <c r="CK219" s="893">
        <f>(WWWW[[#This Row],['#_Water_Liters_supplied_by_Water boating or water trucking]]/90)/15</f>
        <v>0</v>
      </c>
      <c r="CL219" s="893">
        <f>WWWW[[#This Row],['#_Water_Liters_from_Constructed/Existing water distribution system from river or natural spring]]/90/15</f>
        <v>0</v>
      </c>
      <c r="CM219" s="424">
        <f>IF(WWWW[[#This Row],['#_of water points in TLS/CFS]]*500&gt;WWWW[[#This Row],[Total PoP ]],WWWW[[#This Row],[Total PoP ]],WWWW[[#This Row],['#_of water points in TLS/CFS]]*500)</f>
        <v>0</v>
      </c>
      <c r="CN219" s="424">
        <f>IF(WWWW[[#This Row],['#_of water points in THF]]*500&gt;WWWW[[#This Row],[Total PoP ]],WWWW[[#This Row],[Total PoP ]],WWWW[[#This Row],['#_of water points in THF]]*500)</f>
        <v>0</v>
      </c>
      <c r="CO21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1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19" s="892">
        <f>IF(WWWW[[#This Row],[Location Type 1]]="Village",WWWW[[#This Row],[Access to safe drinking water for Village]],WWWW[[#This Row],[Access to safe drinking water for Camp]])</f>
        <v>0</v>
      </c>
      <c r="CR219" s="890">
        <f>WWWW[[#This Row],[%Equitable and continuous access to sufficient quantity of safe drinking water]]*WWWW[[#This Row],[Total PoP ]]</f>
        <v>0</v>
      </c>
      <c r="CS219" s="892">
        <f>IF((WWWW[[#This Row],['#_Constructed/Existing protected/fenced ponds]]*250)/WWWW[[#This Row],[Total PoP ]]&gt;1,1,(WWWW[[#This Row],['#_Constructed/Existing protected/fenced ponds]]*250)/WWWW[[#This Row],[Total PoP ]])</f>
        <v>0</v>
      </c>
      <c r="CT219" s="890">
        <f>WWWW[[#This Row],[% Access to unimproved water points]]*WWWW[[#This Row],[Total PoP ]]</f>
        <v>0</v>
      </c>
      <c r="CU21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1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19" s="890">
        <f>WWWW[[#This Row],[HRP1]]/500</f>
        <v>0</v>
      </c>
      <c r="CX219" s="895">
        <f>1-WWWW[[#This Row],[% Equitable and continuous access to sufficient quantity of domestic water]]</f>
        <v>1</v>
      </c>
      <c r="CY219" s="890">
        <f>WWWW[[#This Row],[%equitable and continuous access to sufficient quantity of safe drinking and domestic water''s GAP]]*WWWW[[#This Row],[Total PoP ]]</f>
        <v>189</v>
      </c>
      <c r="CZ219" s="893">
        <f>IF(WWWW[[#This Row],[Total required water points]]-WWWW[[#This Row],['#Water points coverage]]&lt;0,0,WWWW[[#This Row],[Total required water points]]-WWWW[[#This Row],['#Water points coverage]])</f>
        <v>1</v>
      </c>
      <c r="DA219" s="893">
        <f>ROUND(IF(WWWW[[#This Row],[Total PoP ]]&lt;500,1,WWWW[[#This Row],[Total PoP ]]/500),0)</f>
        <v>1</v>
      </c>
      <c r="DB219" s="893">
        <f>(WWWW[[#This Row],['#_Constructed latrines_by_WASHAgencies]]+WWWW[[#This Row],['#_Non Cluster partner latrines]])-WWWW[[#This Row],['#_Non-functional latrines]]</f>
        <v>0</v>
      </c>
      <c r="DC219" s="631">
        <f>WWWW[[#This Row],[HRP2]]/WWWW[[#This Row],[Total PoP ]]</f>
        <v>0</v>
      </c>
      <c r="DD21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1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9" s="424">
        <f>IF(WWWW[[#This Row],['# of functional latrines in THF supported by WASH partners during the reporting period2]]="",0,WWWW[[#This Row],['# of functional latrines in THF supported by WASH partners during the reporting period2]]*50)</f>
        <v>0</v>
      </c>
      <c r="DH219" s="893">
        <f>ROUND(IF(WWWW[[#This Row],[Location Type 1]]="camp",WWWW[[#This Row],[Total PoP ]]/20,IF(WWWW[[#This Row],[Location Type 1]]="Temporary Location",WWWW[[#This Row],[Total PoP ]]/50,(WWWW[[#This Row],[Total PoP ]]/6))),0)</f>
        <v>9</v>
      </c>
      <c r="DI219" s="893">
        <f>IF(WWWW[[#This Row],[Total required Latrines]]-(WWWW[[#This Row],['#_Constructed latrines_by_WASHAgencies]]+WWWW[[#This Row],['#_Non Cluster partner latrines]])&lt;0,0,WWWW[[#This Row],[Total required Latrines]]-(WWWW[[#This Row],['#_Constructed latrines_by_WASHAgencies]]+WWWW[[#This Row],['#_Non Cluster partner latrines]]))</f>
        <v>9</v>
      </c>
      <c r="DJ219" s="895">
        <f>1-WWWW[[#This Row],[% people access to functioning Latrine]]</f>
        <v>1</v>
      </c>
      <c r="DK219" s="894">
        <f>IF(OR(WWWW[[#This Row],['#_Non-functional latrines]]="",WWWW[[#This Row],['#_Non-functional latrines]]=0),0,WWWW[[#This Row],['#_Non-functional latrines]]/(WWWW[[#This Row],['#_Constructed latrines_by_WASHAgencies]]+WWWW[[#This Row],['#_Non Cluster partner latrines]]))</f>
        <v>0</v>
      </c>
      <c r="DL219" s="890">
        <f>IF(500*(WWWW[[#This Row],['#_male hygiene promoters]]+WWWW[[#This Row],['#_female hygiene promoters]])&gt;WWWW[[#This Row],[Total PoP ]],WWWW[[#This Row],[Total PoP ]],500*(WWWW[[#This Row],['#_male hygiene promoters]]+WWWW[[#This Row],['#_female hygiene promoters]]))</f>
        <v>0</v>
      </c>
      <c r="DM21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9" s="893">
        <f>IF(WWWW[[#This Row],['# People with access to soap]]&gt;WWWW[[#This Row],['# People with access to Sanity Pads]],WWWW[[#This Row],['# People with access to soap]],WWWW[[#This Row],['# People with access to Sanity Pads]])</f>
        <v>0</v>
      </c>
      <c r="DP219"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19" s="895">
        <f>IF(WWWW[[#This Row],[HRP3]]/WWWW[[#This Row],[Total PoP ]]&gt;1,1,WWWW[[#This Row],[HRP3]]/WWWW[[#This Row],[Total PoP ]])</f>
        <v>0</v>
      </c>
      <c r="DR219" s="894">
        <f>1-WWWW[[#This Row],[Hygiene Coverage%]]</f>
        <v>1</v>
      </c>
      <c r="DS219" s="892">
        <f>WWWW[[#This Row],['# people reached by regular dedicated hygiene promotion_5]]/WWWW[[#This Row],[Total PoP ]]</f>
        <v>0</v>
      </c>
      <c r="DT21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9" s="893">
        <f>WWWW[[#This Row],['#_Constructed/Existing hand washing stations]]-WWWW[[#This Row],['#_Non-Functional_hand_washing_stations]]</f>
        <v>3</v>
      </c>
      <c r="DW219" s="890">
        <f>IF(WWWW[[#This Row],['# Functional hand washing stations during reporting period]]*20&gt;WWWW[[#This Row],[Total HH]],WWWW[[#This Row],[Total HH]],WWWW[[#This Row],['# Functional hand washing stations during reporting period]]*20)</f>
        <v>34</v>
      </c>
      <c r="DX219" s="890">
        <f>IF(WWWW[[#This Row],[Is sufficient soap available for TLS? (Yes/No)]]="yes",WWWW[[#This Row],['#_Constructed/Existing hand washing stations at TLS/CFS/THF]],0)</f>
        <v>0</v>
      </c>
      <c r="DY219" s="428">
        <f>IF(WWWW[[#This Row],['# Functional hand washing stations during reporting period]]*100&gt;WWWW[[#This Row],[Total PoP ]],WWWW[[#This Row],[Total PoP ]],WWWW[[#This Row],['# Functional hand washing stations during reporting period]]*100)</f>
        <v>189</v>
      </c>
      <c r="DZ219" s="428" t="str">
        <f>IF(OR(WWWW[[#This Row],['#_students at TLS_CFS]]="",WWWW[[#This Row],['#_students at TLS_CFS]]=0),"No","Yes")</f>
        <v>No</v>
      </c>
      <c r="EA21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9" s="886">
        <f>VLOOKUP(WWWW[[#This Row],[Site Name]],SiteDB6[[Site Name]:[CCCM Management]],6,FALSE)</f>
        <v>0</v>
      </c>
      <c r="EF219" s="886" t="str">
        <f>VLOOKUP(WWWW[[#This Row],[Site Name]],SiteDB6[[Site Name]:[CCCM Focal Agency]],7,FALSE)</f>
        <v xml:space="preserve">Uncovered  </v>
      </c>
      <c r="EG219" s="886" t="str">
        <f>VLOOKUP(WWWW[[#This Row],[Site Name]],SiteDB6[[Site Name]:[Location Type 1]],9,FALSE)</f>
        <v>Camp</v>
      </c>
      <c r="EH219" s="886" t="str">
        <f>VLOOKUP(WWWW[[#This Row],[Site Name]],SiteDB6[[Site Name]:[Type of Accommodation]],10,FALSE)</f>
        <v>Camp like setting</v>
      </c>
      <c r="EI219" s="886" t="str">
        <f>VLOOKUP(WWWW[[#This Row],[Site Name]],SiteDB6[[Site Name]:[Ethnic or GCA/NGCA]],11,FALSE)</f>
        <v>GCA</v>
      </c>
      <c r="EJ219" s="886">
        <f>VLOOKUP(WWWW[[#This Row],[Site Name]],SiteDB6[[Site Name]:[Lat]],12,FALSE)</f>
        <v>0</v>
      </c>
      <c r="EK219" s="886">
        <f>VLOOKUP(WWWW[[#This Row],[Site Name]],SiteDB6[[Site Name]:[Long]],13,FALSE)</f>
        <v>0</v>
      </c>
      <c r="EL219" s="886" t="str">
        <f>VLOOKUP(WWWW[[#This Row],[Site Name]],SiteDB6[[Site Name]:[Pcode]],3,FALSE)</f>
        <v>MMR001CMP294</v>
      </c>
      <c r="EM219" s="891" t="str">
        <f t="shared" si="3"/>
        <v>Notcovered</v>
      </c>
      <c r="EN219" s="891"/>
      <c r="EO219" s="886">
        <f>VLOOKUP(WWWW[[#This Row],[Site Name]],SiteDB6[[Site Name]:[Pop
(Kachin/Shan-CCCM as of July 2021)]],16,FALSE)</f>
        <v>34</v>
      </c>
      <c r="EP219" s="886">
        <f>VLOOKUP(WWWW[[#This Row],[Site Name]],SiteDB6[[Site Name]:[Pop
(Kachin/Shan-CCCM as of July 2021)]],17,FALSE)</f>
        <v>189</v>
      </c>
    </row>
    <row r="220" spans="1:146" hidden="1">
      <c r="A220" s="884" t="s">
        <v>2764</v>
      </c>
      <c r="B220" s="884" t="s">
        <v>3073</v>
      </c>
      <c r="C220" s="885" t="s">
        <v>141</v>
      </c>
      <c r="D220" s="885" t="s">
        <v>3081</v>
      </c>
      <c r="E220" s="885" t="s">
        <v>37</v>
      </c>
      <c r="F220" s="885" t="s">
        <v>159</v>
      </c>
      <c r="G220" s="591" t="str">
        <f>VLOOKUP(WWWW[[#This Row],[Site Name]],SiteDB6[[Site Name]:[Location Type]],8,FALSE)</f>
        <v>Camp</v>
      </c>
      <c r="H220" s="885" t="s">
        <v>160</v>
      </c>
      <c r="I220" s="887">
        <v>43</v>
      </c>
      <c r="J220" s="887">
        <v>193</v>
      </c>
      <c r="K220" s="888">
        <v>44682</v>
      </c>
      <c r="L220" s="889">
        <v>44865</v>
      </c>
      <c r="M220" s="887"/>
      <c r="N220" s="887">
        <v>1</v>
      </c>
      <c r="O220" s="887"/>
      <c r="P220" s="887"/>
      <c r="Q220" s="890" t="s">
        <v>41</v>
      </c>
      <c r="R220" s="887">
        <v>2</v>
      </c>
      <c r="S220" s="887">
        <v>2</v>
      </c>
      <c r="T220" s="448">
        <v>3</v>
      </c>
      <c r="U220" s="887">
        <v>1</v>
      </c>
      <c r="V220" s="887"/>
      <c r="W220" s="887">
        <v>3</v>
      </c>
      <c r="X220" s="887"/>
      <c r="Y220" s="887"/>
      <c r="Z220" s="887"/>
      <c r="AA220" s="887"/>
      <c r="AB220" s="887"/>
      <c r="AC220" s="887"/>
      <c r="AD220" s="887"/>
      <c r="AE220" s="887">
        <v>3</v>
      </c>
      <c r="AF220" s="887"/>
      <c r="AG220" s="887"/>
      <c r="AH220" s="887">
        <v>3</v>
      </c>
      <c r="AI220" s="887"/>
      <c r="AJ220" s="887"/>
      <c r="AK220" s="887"/>
      <c r="AL220" s="887"/>
      <c r="AM220" s="887"/>
      <c r="AN220" s="887"/>
      <c r="AO220" s="448"/>
      <c r="AP220" s="891"/>
      <c r="AQ220" s="887">
        <v>6</v>
      </c>
      <c r="AR220" s="887"/>
      <c r="AS220" s="892"/>
      <c r="AT220" s="887">
        <v>1</v>
      </c>
      <c r="AU220" s="887"/>
      <c r="AV220" s="887"/>
      <c r="AW220" s="887"/>
      <c r="AX220" s="887">
        <v>6</v>
      </c>
      <c r="AY220" s="886" t="s">
        <v>41</v>
      </c>
      <c r="AZ220" s="891" t="s">
        <v>137</v>
      </c>
      <c r="BA220" s="887"/>
      <c r="BB220" s="887"/>
      <c r="BC220" s="887"/>
      <c r="BD220" s="448"/>
      <c r="BE220" s="448"/>
      <c r="BF220" s="886"/>
      <c r="BG220" s="887">
        <v>5</v>
      </c>
      <c r="BH220" s="887"/>
      <c r="BI220" s="887"/>
      <c r="BJ220" s="887">
        <v>3</v>
      </c>
      <c r="BK220" s="887"/>
      <c r="BL220" s="887">
        <v>1</v>
      </c>
      <c r="BM220" s="887"/>
      <c r="BN220" s="887"/>
      <c r="BO220" s="887"/>
      <c r="BP220" s="886"/>
      <c r="BQ220" s="893"/>
      <c r="BR220" s="892"/>
      <c r="BS220" s="886"/>
      <c r="BT220" s="423"/>
      <c r="BU220" s="423"/>
      <c r="BV220" s="425"/>
      <c r="BW220" s="423"/>
      <c r="BX220" s="448"/>
      <c r="BY220" s="448"/>
      <c r="BZ220" s="448"/>
      <c r="CA220" s="448"/>
      <c r="CB220" s="448"/>
      <c r="CC220" s="777"/>
      <c r="CD220" s="448"/>
      <c r="CE220" s="894" t="str">
        <f>IFERROR(WWWW[[#This Row],['#_Water sources passed]]/WWWW[[#This Row],['#_Water sources tested for fecal coliform ]],"no test")</f>
        <v>no test</v>
      </c>
      <c r="CF220" s="892" t="str">
        <f>IFERROR(WWWW[[#This Row],['#_Household passed]]/WWWW[[#This Row],['#_Household water samples tested for fecal coliform]],"no test")</f>
        <v>no test</v>
      </c>
      <c r="CG220" s="893" t="str">
        <f>IF(AND(WWWW[[#This Row],[% of water sources passed]]="no test",WWWW[[#This Row],[% Household passed]]="no test"),"No Test","Tested")</f>
        <v>No Test</v>
      </c>
      <c r="CH220" s="893">
        <f>WWWW[[#This Row],['#_Constructed/existing protected hand dug well]]-WWWW[[#This Row],['#_Non-functional protected hand dug well]]</f>
        <v>2</v>
      </c>
      <c r="CI220" s="893">
        <f>(WWWW[[#This Row],['#_Constructed/Existing tube wells/boreholes/handpumps_WASH_agency]]+WWWW[[#This Row],['#_Non-Cluster partner water tube-wells/boreholes/handpumps]])-WWWW[[#This Row],['#_Non-functional tube wells/boreholes/handpumps]]</f>
        <v>3</v>
      </c>
      <c r="CJ220" s="893">
        <f>WWWW[[#This Row],['#_Constructed/Existingwater storage tank with gravity fed reticulation system]]-WWWW[[#This Row],['#_Non-functional storage tank gravity fed reticulation system]]</f>
        <v>0</v>
      </c>
      <c r="CK220" s="893">
        <f>(WWWW[[#This Row],['#_Water_Liters_supplied_by_Water boating or water trucking]]/90)/15</f>
        <v>0</v>
      </c>
      <c r="CL220" s="893">
        <f>WWWW[[#This Row],['#_Water_Liters_from_Constructed/Existing water distribution system from river or natural spring]]/90/15</f>
        <v>0</v>
      </c>
      <c r="CM220" s="424">
        <f>IF(WWWW[[#This Row],['#_of water points in TLS/CFS]]*500&gt;WWWW[[#This Row],[Total PoP ]],WWWW[[#This Row],[Total PoP ]],WWWW[[#This Row],['#_of water points in TLS/CFS]]*500)</f>
        <v>0</v>
      </c>
      <c r="CN220" s="424">
        <f>IF(WWWW[[#This Row],['#_of water points in THF]]*500&gt;WWWW[[#This Row],[Total PoP ]],WWWW[[#This Row],[Total PoP ]],WWWW[[#This Row],['#_of water points in THF]]*500)</f>
        <v>0</v>
      </c>
      <c r="CO22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0" s="892">
        <f>IF(WWWW[[#This Row],[Location Type 1]]="Village",WWWW[[#This Row],[Access to safe drinking water for Village]],WWWW[[#This Row],[Access to safe drinking water for Camp]])</f>
        <v>1</v>
      </c>
      <c r="CR220" s="890">
        <f>WWWW[[#This Row],[%Equitable and continuous access to sufficient quantity of safe drinking water]]*WWWW[[#This Row],[Total PoP ]]</f>
        <v>193</v>
      </c>
      <c r="CS220" s="892">
        <f>IF((WWWW[[#This Row],['#_Constructed/Existing protected/fenced ponds]]*250)/WWWW[[#This Row],[Total PoP ]]&gt;1,1,(WWWW[[#This Row],['#_Constructed/Existing protected/fenced ponds]]*250)/WWWW[[#This Row],[Total PoP ]])</f>
        <v>1</v>
      </c>
      <c r="CT220" s="890">
        <f>WWWW[[#This Row],[% Access to unimproved water points]]*WWWW[[#This Row],[Total PoP ]]</f>
        <v>193</v>
      </c>
      <c r="CU22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v>
      </c>
      <c r="CW220" s="890">
        <f>WWWW[[#This Row],[HRP1]]/500</f>
        <v>0.38600000000000001</v>
      </c>
      <c r="CX220" s="895">
        <f>1-WWWW[[#This Row],[% Equitable and continuous access to sufficient quantity of domestic water]]</f>
        <v>0</v>
      </c>
      <c r="CY220" s="890">
        <f>WWWW[[#This Row],[%equitable and continuous access to sufficient quantity of safe drinking and domestic water''s GAP]]*WWWW[[#This Row],[Total PoP ]]</f>
        <v>0</v>
      </c>
      <c r="CZ220" s="893">
        <f>IF(WWWW[[#This Row],[Total required water points]]-WWWW[[#This Row],['#Water points coverage]]&lt;0,0,WWWW[[#This Row],[Total required water points]]-WWWW[[#This Row],['#Water points coverage]])</f>
        <v>0.61399999999999999</v>
      </c>
      <c r="DA220" s="893">
        <f>ROUND(IF(WWWW[[#This Row],[Total PoP ]]&lt;500,1,WWWW[[#This Row],[Total PoP ]]/500),0)</f>
        <v>1</v>
      </c>
      <c r="DB220" s="893">
        <f>(WWWW[[#This Row],['#_Constructed latrines_by_WASHAgencies]]+WWWW[[#This Row],['#_Non Cluster partner latrines]])-WWWW[[#This Row],['#_Non-functional latrines]]</f>
        <v>5</v>
      </c>
      <c r="DC220" s="631">
        <f>WWWW[[#This Row],[HRP2]]/WWWW[[#This Row],[Total PoP ]]</f>
        <v>0.51813471502590669</v>
      </c>
      <c r="DD22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22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0" s="424">
        <f>IF(WWWW[[#This Row],['# of functional latrines in THF supported by WASH partners during the reporting period2]]="",0,WWWW[[#This Row],['# of functional latrines in THF supported by WASH partners during the reporting period2]]*50)</f>
        <v>0</v>
      </c>
      <c r="DH220" s="893">
        <f>ROUND(IF(WWWW[[#This Row],[Location Type 1]]="camp",WWWW[[#This Row],[Total PoP ]]/20,IF(WWWW[[#This Row],[Location Type 1]]="Temporary Location",WWWW[[#This Row],[Total PoP ]]/50,(WWWW[[#This Row],[Total PoP ]]/6))),0)</f>
        <v>10</v>
      </c>
      <c r="DI220" s="893">
        <f>IF(WWWW[[#This Row],[Total required Latrines]]-(WWWW[[#This Row],['#_Constructed latrines_by_WASHAgencies]]+WWWW[[#This Row],['#_Non Cluster partner latrines]])&lt;0,0,WWWW[[#This Row],[Total required Latrines]]-(WWWW[[#This Row],['#_Constructed latrines_by_WASHAgencies]]+WWWW[[#This Row],['#_Non Cluster partner latrines]]))</f>
        <v>4</v>
      </c>
      <c r="DJ220" s="895">
        <f>1-WWWW[[#This Row],[% people access to functioning Latrine]]</f>
        <v>0.48186528497409331</v>
      </c>
      <c r="DK220" s="894">
        <f>IF(OR(WWWW[[#This Row],['#_Non-functional latrines]]="",WWWW[[#This Row],['#_Non-functional latrines]]=0),0,WWWW[[#This Row],['#_Non-functional latrines]]/(WWWW[[#This Row],['#_Constructed latrines_by_WASHAgencies]]+WWWW[[#This Row],['#_Non Cluster partner latrines]]))</f>
        <v>0.16666666666666666</v>
      </c>
      <c r="DL220" s="890">
        <f>IF(500*(WWWW[[#This Row],['#_male hygiene promoters]]+WWWW[[#This Row],['#_female hygiene promoters]])&gt;WWWW[[#This Row],[Total PoP ]],WWWW[[#This Row],[Total PoP ]],500*(WWWW[[#This Row],['#_male hygiene promoters]]+WWWW[[#This Row],['#_female hygiene promoters]]))</f>
        <v>193</v>
      </c>
      <c r="DM22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0" s="893">
        <f>IF(WWWW[[#This Row],['# People with access to soap]]&gt;WWWW[[#This Row],['# People with access to Sanity Pads]],WWWW[[#This Row],['# People with access to soap]],WWWW[[#This Row],['# People with access to Sanity Pads]])</f>
        <v>0</v>
      </c>
      <c r="DP220" s="893">
        <f>IF(WWWW[[#This Row],['# people reached by regular dedicated hygiene promotion_5]]&gt;WWWW[[#This Row],['# People received regular supply of hygiene items_6]],WWWW[[#This Row],['# people reached by regular dedicated hygiene promotion_5]],WWWW[[#This Row],['# People received regular supply of hygiene items_6]])</f>
        <v>193</v>
      </c>
      <c r="DQ220" s="895">
        <f>IF(WWWW[[#This Row],[HRP3]]/WWWW[[#This Row],[Total PoP ]]&gt;1,1,WWWW[[#This Row],[HRP3]]/WWWW[[#This Row],[Total PoP ]])</f>
        <v>1</v>
      </c>
      <c r="DR220" s="894">
        <f>1-WWWW[[#This Row],[Hygiene Coverage%]]</f>
        <v>0</v>
      </c>
      <c r="DS220" s="892">
        <f>WWWW[[#This Row],['# people reached by regular dedicated hygiene promotion_5]]/WWWW[[#This Row],[Total PoP ]]</f>
        <v>1</v>
      </c>
      <c r="DT22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0" s="893">
        <f>WWWW[[#This Row],['#_Constructed/Existing hand washing stations]]-WWWW[[#This Row],['#_Non-Functional_hand_washing_stations]]</f>
        <v>5</v>
      </c>
      <c r="DW220" s="890">
        <f>IF(WWWW[[#This Row],['# Functional hand washing stations during reporting period]]*20&gt;WWWW[[#This Row],[Total HH]],WWWW[[#This Row],[Total HH]],WWWW[[#This Row],['# Functional hand washing stations during reporting period]]*20)</f>
        <v>43</v>
      </c>
      <c r="DX220" s="890">
        <f>IF(WWWW[[#This Row],[Is sufficient soap available for TLS? (Yes/No)]]="yes",WWWW[[#This Row],['#_Constructed/Existing hand washing stations at TLS/CFS/THF]],0)</f>
        <v>0</v>
      </c>
      <c r="DY220" s="428">
        <f>IF(WWWW[[#This Row],['# Functional hand washing stations during reporting period]]*100&gt;WWWW[[#This Row],[Total PoP ]],WWWW[[#This Row],[Total PoP ]],WWWW[[#This Row],['# Functional hand washing stations during reporting period]]*100)</f>
        <v>193</v>
      </c>
      <c r="DZ220" s="428" t="str">
        <f>IF(OR(WWWW[[#This Row],['#_students at TLS_CFS]]="",WWWW[[#This Row],['#_students at TLS_CFS]]=0),"No","Yes")</f>
        <v>No</v>
      </c>
      <c r="EA22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0" s="886" t="str">
        <f>VLOOKUP(WWWW[[#This Row],[Site Name]],SiteDB6[[Site Name]:[CCCM Management]],6,FALSE)</f>
        <v>Yes</v>
      </c>
      <c r="EF220" s="886" t="str">
        <f>VLOOKUP(WWWW[[#This Row],[Site Name]],SiteDB6[[Site Name]:[CCCM Focal Agency]],7,FALSE)</f>
        <v>KBC-MYT</v>
      </c>
      <c r="EG220" s="886" t="str">
        <f>VLOOKUP(WWWW[[#This Row],[Site Name]],SiteDB6[[Site Name]:[Location Type 1]],9,FALSE)</f>
        <v>Camp</v>
      </c>
      <c r="EH220" s="886" t="str">
        <f>VLOOKUP(WWWW[[#This Row],[Site Name]],SiteDB6[[Site Name]:[Type of Accommodation]],10,FALSE)</f>
        <v>Camp</v>
      </c>
      <c r="EI220" s="886" t="str">
        <f>VLOOKUP(WWWW[[#This Row],[Site Name]],SiteDB6[[Site Name]:[Ethnic or GCA/NGCA]],11,FALSE)</f>
        <v>GCA</v>
      </c>
      <c r="EJ220" s="886">
        <f>VLOOKUP(WWWW[[#This Row],[Site Name]],SiteDB6[[Site Name]:[Lat]],12,FALSE)</f>
        <v>25.3959740909091</v>
      </c>
      <c r="EK220" s="886">
        <f>VLOOKUP(WWWW[[#This Row],[Site Name]],SiteDB6[[Site Name]:[Long]],13,FALSE)</f>
        <v>97.382997575757599</v>
      </c>
      <c r="EL220" s="886" t="str">
        <f>VLOOKUP(WWWW[[#This Row],[Site Name]],SiteDB6[[Site Name]:[Pcode]],3,FALSE)</f>
        <v>MMR001CMP010</v>
      </c>
      <c r="EM220" s="891" t="str">
        <f t="shared" si="3"/>
        <v>Covered</v>
      </c>
      <c r="EN220" s="891"/>
      <c r="EO220" s="886">
        <f>VLOOKUP(WWWW[[#This Row],[Site Name]],SiteDB6[[Site Name]:[Pop
(Kachin/Shan-CCCM as of July 2021)]],16,FALSE)</f>
        <v>44</v>
      </c>
      <c r="EP220" s="886">
        <f>VLOOKUP(WWWW[[#This Row],[Site Name]],SiteDB6[[Site Name]:[Pop
(Kachin/Shan-CCCM as of July 2021)]],17,FALSE)</f>
        <v>196</v>
      </c>
    </row>
    <row r="221" spans="1:146" hidden="1">
      <c r="A221" s="884" t="s">
        <v>2764</v>
      </c>
      <c r="B221" s="884" t="s">
        <v>36</v>
      </c>
      <c r="C221" s="885" t="s">
        <v>36</v>
      </c>
      <c r="D221" s="885" t="s">
        <v>241</v>
      </c>
      <c r="E221" s="885" t="s">
        <v>37</v>
      </c>
      <c r="F221" s="885" t="s">
        <v>205</v>
      </c>
      <c r="G221" s="591" t="str">
        <f>VLOOKUP(WWWW[[#This Row],[Site Name]],SiteDB6[[Site Name]:[Location Type]],8,FALSE)</f>
        <v>Camp</v>
      </c>
      <c r="H221" s="885" t="s">
        <v>232</v>
      </c>
      <c r="I221" s="887">
        <v>72</v>
      </c>
      <c r="J221" s="887">
        <v>406</v>
      </c>
      <c r="K221" s="888">
        <v>44414</v>
      </c>
      <c r="L221" s="889">
        <v>44778</v>
      </c>
      <c r="M221" s="887"/>
      <c r="N221" s="887">
        <v>2</v>
      </c>
      <c r="O221" s="887"/>
      <c r="P221" s="887"/>
      <c r="Q221" s="890" t="s">
        <v>41</v>
      </c>
      <c r="R221" s="887">
        <v>3</v>
      </c>
      <c r="S221" s="887">
        <v>3</v>
      </c>
      <c r="T221" s="448">
        <v>3</v>
      </c>
      <c r="U221" s="887">
        <v>1</v>
      </c>
      <c r="V221" s="887">
        <v>1</v>
      </c>
      <c r="W221" s="887">
        <v>1</v>
      </c>
      <c r="X221" s="887"/>
      <c r="Y221" s="887"/>
      <c r="Z221" s="887"/>
      <c r="AA221" s="887">
        <v>1</v>
      </c>
      <c r="AB221" s="887"/>
      <c r="AC221" s="887"/>
      <c r="AD221" s="887"/>
      <c r="AE221" s="887"/>
      <c r="AF221" s="887"/>
      <c r="AG221" s="887"/>
      <c r="AH221" s="887"/>
      <c r="AI221" s="887"/>
      <c r="AJ221" s="887"/>
      <c r="AK221" s="887"/>
      <c r="AL221" s="887"/>
      <c r="AM221" s="887">
        <v>4</v>
      </c>
      <c r="AN221" s="887"/>
      <c r="AO221" s="448"/>
      <c r="AP221" s="891"/>
      <c r="AQ221" s="887">
        <v>20</v>
      </c>
      <c r="AR221" s="887"/>
      <c r="AS221" s="892"/>
      <c r="AT221" s="887">
        <v>1</v>
      </c>
      <c r="AU221" s="887"/>
      <c r="AV221" s="887"/>
      <c r="AW221" s="887"/>
      <c r="AX221" s="887"/>
      <c r="AY221" s="886" t="s">
        <v>41</v>
      </c>
      <c r="AZ221" s="891" t="s">
        <v>137</v>
      </c>
      <c r="BA221" s="887">
        <v>1</v>
      </c>
      <c r="BB221" s="887"/>
      <c r="BC221" s="887"/>
      <c r="BD221" s="448"/>
      <c r="BE221" s="448"/>
      <c r="BF221" s="886"/>
      <c r="BG221" s="887">
        <v>0</v>
      </c>
      <c r="BH221" s="887"/>
      <c r="BI221" s="887"/>
      <c r="BJ221" s="887">
        <v>3</v>
      </c>
      <c r="BK221" s="887">
        <v>1</v>
      </c>
      <c r="BL221" s="887"/>
      <c r="BM221" s="887">
        <v>2</v>
      </c>
      <c r="BN221" s="887">
        <v>72</v>
      </c>
      <c r="BO221" s="887">
        <v>87.087000000000018</v>
      </c>
      <c r="BP221" s="886" t="s">
        <v>41</v>
      </c>
      <c r="BQ221" s="893">
        <v>100</v>
      </c>
      <c r="BR221" s="892"/>
      <c r="BS221" s="886" t="s">
        <v>3035</v>
      </c>
      <c r="BT221" s="423"/>
      <c r="BU221" s="423"/>
      <c r="BV221" s="425"/>
      <c r="BW221" s="423">
        <v>0.01</v>
      </c>
      <c r="BX221" s="448"/>
      <c r="BY221" s="448"/>
      <c r="BZ221" s="448"/>
      <c r="CA221" s="448"/>
      <c r="CB221" s="448"/>
      <c r="CC221" s="777"/>
      <c r="CD221" s="448"/>
      <c r="CE221" s="894" t="str">
        <f>IFERROR(WWWW[[#This Row],['#_Water sources passed]]/WWWW[[#This Row],['#_Water sources tested for fecal coliform ]],"no test")</f>
        <v>no test</v>
      </c>
      <c r="CF221" s="892" t="str">
        <f>IFERROR(WWWW[[#This Row],['#_Household passed]]/WWWW[[#This Row],['#_Household water samples tested for fecal coliform]],"no test")</f>
        <v>no test</v>
      </c>
      <c r="CG221" s="893" t="str">
        <f>IF(AND(WWWW[[#This Row],[% of water sources passed]]="no test",WWWW[[#This Row],[% Household passed]]="no test"),"No Test","Tested")</f>
        <v>No Test</v>
      </c>
      <c r="CH221" s="893">
        <f>WWWW[[#This Row],['#_Constructed/existing protected hand dug well]]-WWWW[[#This Row],['#_Non-functional protected hand dug well]]</f>
        <v>2</v>
      </c>
      <c r="CI221" s="893">
        <f>(WWWW[[#This Row],['#_Constructed/Existing tube wells/boreholes/handpumps_WASH_agency]]+WWWW[[#This Row],['#_Non-Cluster partner water tube-wells/boreholes/handpumps]])-WWWW[[#This Row],['#_Non-functional tube wells/boreholes/handpumps]]</f>
        <v>1</v>
      </c>
      <c r="CJ221" s="893">
        <f>WWWW[[#This Row],['#_Constructed/Existingwater storage tank with gravity fed reticulation system]]-WWWW[[#This Row],['#_Non-functional storage tank gravity fed reticulation system]]</f>
        <v>1</v>
      </c>
      <c r="CK221" s="893">
        <f>(WWWW[[#This Row],['#_Water_Liters_supplied_by_Water boating or water trucking]]/90)/15</f>
        <v>0</v>
      </c>
      <c r="CL221" s="893">
        <f>WWWW[[#This Row],['#_Water_Liters_from_Constructed/Existing water distribution system from river or natural spring]]/90/15</f>
        <v>0</v>
      </c>
      <c r="CM221" s="424">
        <f>IF(WWWW[[#This Row],['#_of water points in TLS/CFS]]*500&gt;WWWW[[#This Row],[Total PoP ]],WWWW[[#This Row],[Total PoP ]],WWWW[[#This Row],['#_of water points in TLS/CFS]]*500)</f>
        <v>0</v>
      </c>
      <c r="CN221" s="424">
        <f>IF(WWWW[[#This Row],['#_of water points in THF]]*500&gt;WWWW[[#This Row],[Total PoP ]],WWWW[[#This Row],[Total PoP ]],WWWW[[#This Row],['#_of water points in THF]]*500)</f>
        <v>0</v>
      </c>
      <c r="CO22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1" s="892">
        <f>IF(WWWW[[#This Row],[Location Type 1]]="Village",WWWW[[#This Row],[Access to safe drinking water for Village]],WWWW[[#This Row],[Access to safe drinking water for Camp]])</f>
        <v>1</v>
      </c>
      <c r="CR221" s="890">
        <f>WWWW[[#This Row],[%Equitable and continuous access to sufficient quantity of safe drinking water]]*WWWW[[#This Row],[Total PoP ]]</f>
        <v>406</v>
      </c>
      <c r="CS221" s="892">
        <f>IF((WWWW[[#This Row],['#_Constructed/Existing protected/fenced ponds]]*250)/WWWW[[#This Row],[Total PoP ]]&gt;1,1,(WWWW[[#This Row],['#_Constructed/Existing protected/fenced ponds]]*250)/WWWW[[#This Row],[Total PoP ]])</f>
        <v>0</v>
      </c>
      <c r="CT221" s="890">
        <f>WWWW[[#This Row],[% Access to unimproved water points]]*WWWW[[#This Row],[Total PoP ]]</f>
        <v>0</v>
      </c>
      <c r="CU22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406</v>
      </c>
      <c r="CW221" s="890">
        <f>WWWW[[#This Row],[HRP1]]/500</f>
        <v>0.81200000000000006</v>
      </c>
      <c r="CX221" s="895">
        <f>1-WWWW[[#This Row],[% Equitable and continuous access to sufficient quantity of domestic water]]</f>
        <v>0</v>
      </c>
      <c r="CY221" s="890">
        <f>WWWW[[#This Row],[%equitable and continuous access to sufficient quantity of safe drinking and domestic water''s GAP]]*WWWW[[#This Row],[Total PoP ]]</f>
        <v>0</v>
      </c>
      <c r="CZ221" s="893">
        <f>IF(WWWW[[#This Row],[Total required water points]]-WWWW[[#This Row],['#Water points coverage]]&lt;0,0,WWWW[[#This Row],[Total required water points]]-WWWW[[#This Row],['#Water points coverage]])</f>
        <v>0.18799999999999994</v>
      </c>
      <c r="DA221" s="893">
        <f>ROUND(IF(WWWW[[#This Row],[Total PoP ]]&lt;500,1,WWWW[[#This Row],[Total PoP ]]/500),0)</f>
        <v>1</v>
      </c>
      <c r="DB221" s="893">
        <f>(WWWW[[#This Row],['#_Constructed latrines_by_WASHAgencies]]+WWWW[[#This Row],['#_Non Cluster partner latrines]])-WWWW[[#This Row],['#_Non-functional latrines]]</f>
        <v>19</v>
      </c>
      <c r="DC221" s="631">
        <f>WWWW[[#This Row],[HRP2]]/WWWW[[#This Row],[Total PoP ]]</f>
        <v>0.98522167487684731</v>
      </c>
      <c r="DD22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400</v>
      </c>
      <c r="DE22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1" s="424">
        <f>IF(WWWW[[#This Row],['# of functional latrines in THF supported by WASH partners during the reporting period2]]="",0,WWWW[[#This Row],['# of functional latrines in THF supported by WASH partners during the reporting period2]]*50)</f>
        <v>0</v>
      </c>
      <c r="DH221" s="893">
        <f>ROUND(IF(WWWW[[#This Row],[Location Type 1]]="camp",WWWW[[#This Row],[Total PoP ]]/20,IF(WWWW[[#This Row],[Location Type 1]]="Temporary Location",WWWW[[#This Row],[Total PoP ]]/50,(WWWW[[#This Row],[Total PoP ]]/6))),0)</f>
        <v>20</v>
      </c>
      <c r="DI221" s="893">
        <f>IF(WWWW[[#This Row],[Total required Latrines]]-(WWWW[[#This Row],['#_Constructed latrines_by_WASHAgencies]]+WWWW[[#This Row],['#_Non Cluster partner latrines]])&lt;0,0,WWWW[[#This Row],[Total required Latrines]]-(WWWW[[#This Row],['#_Constructed latrines_by_WASHAgencies]]+WWWW[[#This Row],['#_Non Cluster partner latrines]]))</f>
        <v>0</v>
      </c>
      <c r="DJ221" s="895">
        <f>1-WWWW[[#This Row],[% people access to functioning Latrine]]</f>
        <v>1.4778325123152691E-2</v>
      </c>
      <c r="DK221" s="894">
        <f>IF(OR(WWWW[[#This Row],['#_Non-functional latrines]]="",WWWW[[#This Row],['#_Non-functional latrines]]=0),0,WWWW[[#This Row],['#_Non-functional latrines]]/(WWWW[[#This Row],['#_Constructed latrines_by_WASHAgencies]]+WWWW[[#This Row],['#_Non Cluster partner latrines]]))</f>
        <v>0.05</v>
      </c>
      <c r="DL221" s="890">
        <f>IF(500*(WWWW[[#This Row],['#_male hygiene promoters]]+WWWW[[#This Row],['#_female hygiene promoters]])&gt;WWWW[[#This Row],[Total PoP ]],WWWW[[#This Row],[Total PoP ]],500*(WWWW[[#This Row],['#_male hygiene promoters]]+WWWW[[#This Row],['#_female hygiene promoters]]))</f>
        <v>406</v>
      </c>
      <c r="DM22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406</v>
      </c>
      <c r="DN22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87.087000000000018</v>
      </c>
      <c r="DO221" s="893">
        <f>IF(WWWW[[#This Row],['# People with access to soap]]&gt;WWWW[[#This Row],['# People with access to Sanity Pads]],WWWW[[#This Row],['# People with access to soap]],WWWW[[#This Row],['# People with access to Sanity Pads]])</f>
        <v>406</v>
      </c>
      <c r="DP221" s="893">
        <f>IF(WWWW[[#This Row],['# people reached by regular dedicated hygiene promotion_5]]&gt;WWWW[[#This Row],['# People received regular supply of hygiene items_6]],WWWW[[#This Row],['# people reached by regular dedicated hygiene promotion_5]],WWWW[[#This Row],['# People received regular supply of hygiene items_6]])</f>
        <v>406</v>
      </c>
      <c r="DQ221" s="895">
        <f>IF(WWWW[[#This Row],[HRP3]]/WWWW[[#This Row],[Total PoP ]]&gt;1,1,WWWW[[#This Row],[HRP3]]/WWWW[[#This Row],[Total PoP ]])</f>
        <v>1</v>
      </c>
      <c r="DR221" s="894">
        <f>1-WWWW[[#This Row],[Hygiene Coverage%]]</f>
        <v>0</v>
      </c>
      <c r="DS221" s="892">
        <f>WWWW[[#This Row],['# people reached by regular dedicated hygiene promotion_5]]/WWWW[[#This Row],[Total PoP ]]</f>
        <v>1</v>
      </c>
      <c r="DT22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2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21" s="893">
        <f>WWWW[[#This Row],['#_Constructed/Existing hand washing stations]]-WWWW[[#This Row],['#_Non-Functional_hand_washing_stations]]</f>
        <v>0</v>
      </c>
      <c r="DW221" s="890">
        <f>IF(WWWW[[#This Row],['# Functional hand washing stations during reporting period]]*20&gt;WWWW[[#This Row],[Total HH]],WWWW[[#This Row],[Total HH]],WWWW[[#This Row],['# Functional hand washing stations during reporting period]]*20)</f>
        <v>0</v>
      </c>
      <c r="DX221" s="890">
        <f>IF(WWWW[[#This Row],[Is sufficient soap available for TLS? (Yes/No)]]="yes",WWWW[[#This Row],['#_Constructed/Existing hand washing stations at TLS/CFS/THF]],0)</f>
        <v>4</v>
      </c>
      <c r="DY221" s="428">
        <f>IF(WWWW[[#This Row],['# Functional hand washing stations during reporting period]]*100&gt;WWWW[[#This Row],[Total PoP ]],WWWW[[#This Row],[Total PoP ]],WWWW[[#This Row],['# Functional hand washing stations during reporting period]]*100)</f>
        <v>0</v>
      </c>
      <c r="DZ221" s="428" t="str">
        <f>IF(OR(WWWW[[#This Row],['#_students at TLS_CFS]]="",WWWW[[#This Row],['#_students at TLS_CFS]]=0),"No","Yes")</f>
        <v>No</v>
      </c>
      <c r="EA22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1" s="886" t="str">
        <f>VLOOKUP(WWWW[[#This Row],[Site Name]],SiteDB6[[Site Name]:[CCCM Management]],6,FALSE)</f>
        <v>Yes</v>
      </c>
      <c r="EF221" s="886" t="str">
        <f>VLOOKUP(WWWW[[#This Row],[Site Name]],SiteDB6[[Site Name]:[CCCM Focal Agency]],7,FALSE)</f>
        <v>KMSS-MYT</v>
      </c>
      <c r="EG221" s="886" t="str">
        <f>VLOOKUP(WWWW[[#This Row],[Site Name]],SiteDB6[[Site Name]:[Location Type 1]],9,FALSE)</f>
        <v>Camp</v>
      </c>
      <c r="EH221" s="886" t="str">
        <f>VLOOKUP(WWWW[[#This Row],[Site Name]],SiteDB6[[Site Name]:[Type of Accommodation]],10,FALSE)</f>
        <v>Camp</v>
      </c>
      <c r="EI221" s="886" t="str">
        <f>VLOOKUP(WWWW[[#This Row],[Site Name]],SiteDB6[[Site Name]:[Ethnic or GCA/NGCA]],11,FALSE)</f>
        <v>NGCA</v>
      </c>
      <c r="EJ221" s="886">
        <f>VLOOKUP(WWWW[[#This Row],[Site Name]],SiteDB6[[Site Name]:[Lat]],12,FALSE)</f>
        <v>24.461033</v>
      </c>
      <c r="EK221" s="886">
        <f>VLOOKUP(WWWW[[#This Row],[Site Name]],SiteDB6[[Site Name]:[Long]],13,FALSE)</f>
        <v>97.537099999999995</v>
      </c>
      <c r="EL221" s="886" t="str">
        <f>VLOOKUP(WWWW[[#This Row],[Site Name]],SiteDB6[[Site Name]:[Pcode]],3,FALSE)</f>
        <v>MMR001CMP123</v>
      </c>
      <c r="EM221" s="891" t="str">
        <f t="shared" si="3"/>
        <v>Covered</v>
      </c>
      <c r="EN221" s="891"/>
      <c r="EO221" s="886">
        <f>VLOOKUP(WWWW[[#This Row],[Site Name]],SiteDB6[[Site Name]:[Pop
(Kachin/Shan-CCCM as of July 2021)]],16,FALSE)</f>
        <v>72</v>
      </c>
      <c r="EP221" s="886">
        <f>VLOOKUP(WWWW[[#This Row],[Site Name]],SiteDB6[[Site Name]:[Pop
(Kachin/Shan-CCCM as of July 2021)]],17,FALSE)</f>
        <v>404</v>
      </c>
    </row>
    <row r="222" spans="1:146" hidden="1">
      <c r="A222" s="884" t="s">
        <v>2764</v>
      </c>
      <c r="B222" s="884" t="s">
        <v>309</v>
      </c>
      <c r="C222" s="885" t="s">
        <v>309</v>
      </c>
      <c r="D222" s="885"/>
      <c r="E222" s="885" t="s">
        <v>37</v>
      </c>
      <c r="F222" s="885" t="s">
        <v>152</v>
      </c>
      <c r="G222" s="591" t="str">
        <f>VLOOKUP(WWWW[[#This Row],[Site Name]],SiteDB6[[Site Name]:[Location Type]],8,FALSE)</f>
        <v>Camp</v>
      </c>
      <c r="H222" s="885" t="s">
        <v>1546</v>
      </c>
      <c r="I222" s="887">
        <v>6</v>
      </c>
      <c r="J222" s="887">
        <v>32</v>
      </c>
      <c r="K222" s="888" t="s">
        <v>2650</v>
      </c>
      <c r="L222" s="889" t="s">
        <v>2651</v>
      </c>
      <c r="M222" s="887"/>
      <c r="N222" s="887"/>
      <c r="O222" s="887"/>
      <c r="P222" s="887"/>
      <c r="Q222" s="890"/>
      <c r="R222" s="887"/>
      <c r="S222" s="887"/>
      <c r="T222" s="448"/>
      <c r="U222" s="887"/>
      <c r="V222" s="887"/>
      <c r="W222" s="887"/>
      <c r="X222" s="887"/>
      <c r="Y222" s="887"/>
      <c r="Z222" s="887"/>
      <c r="AA222" s="887"/>
      <c r="AB222" s="887"/>
      <c r="AC222" s="887"/>
      <c r="AD222" s="887"/>
      <c r="AE222" s="887"/>
      <c r="AF222" s="887"/>
      <c r="AG222" s="887"/>
      <c r="AH222" s="887"/>
      <c r="AI222" s="887"/>
      <c r="AJ222" s="887"/>
      <c r="AK222" s="887"/>
      <c r="AL222" s="887"/>
      <c r="AM222" s="887"/>
      <c r="AN222" s="887"/>
      <c r="AO222" s="448"/>
      <c r="AP222" s="891"/>
      <c r="AQ222" s="887"/>
      <c r="AR222" s="887"/>
      <c r="AS222" s="892"/>
      <c r="AT222" s="887"/>
      <c r="AU222" s="887"/>
      <c r="AV222" s="887"/>
      <c r="AW222" s="887"/>
      <c r="AX222" s="887"/>
      <c r="AY222" s="886" t="s">
        <v>140</v>
      </c>
      <c r="AZ222" s="891" t="s">
        <v>140</v>
      </c>
      <c r="BA222" s="887"/>
      <c r="BB222" s="887"/>
      <c r="BC222" s="887"/>
      <c r="BD222" s="448"/>
      <c r="BE222" s="448"/>
      <c r="BF222" s="886"/>
      <c r="BG222" s="887">
        <v>3</v>
      </c>
      <c r="BH222" s="887"/>
      <c r="BI222" s="887"/>
      <c r="BJ222" s="887">
        <v>2</v>
      </c>
      <c r="BK222" s="887"/>
      <c r="BL222" s="887"/>
      <c r="BM222" s="887"/>
      <c r="BN222" s="887"/>
      <c r="BO222" s="887"/>
      <c r="BP222" s="886"/>
      <c r="BQ222" s="893"/>
      <c r="BR222" s="892"/>
      <c r="BS222" s="886"/>
      <c r="BT222" s="423"/>
      <c r="BU222" s="423"/>
      <c r="BV222" s="425"/>
      <c r="BW222" s="423"/>
      <c r="BX222" s="448"/>
      <c r="BY222" s="448"/>
      <c r="BZ222" s="448"/>
      <c r="CA222" s="448"/>
      <c r="CB222" s="448"/>
      <c r="CC222" s="777"/>
      <c r="CD222" s="448"/>
      <c r="CE222" s="894" t="str">
        <f>IFERROR(WWWW[[#This Row],['#_Water sources passed]]/WWWW[[#This Row],['#_Water sources tested for fecal coliform ]],"no test")</f>
        <v>no test</v>
      </c>
      <c r="CF222" s="892" t="str">
        <f>IFERROR(WWWW[[#This Row],['#_Household passed]]/WWWW[[#This Row],['#_Household water samples tested for fecal coliform]],"no test")</f>
        <v>no test</v>
      </c>
      <c r="CG222" s="893" t="str">
        <f>IF(AND(WWWW[[#This Row],[% of water sources passed]]="no test",WWWW[[#This Row],[% Household passed]]="no test"),"No Test","Tested")</f>
        <v>No Test</v>
      </c>
      <c r="CH222" s="893">
        <f>WWWW[[#This Row],['#_Constructed/existing protected hand dug well]]-WWWW[[#This Row],['#_Non-functional protected hand dug well]]</f>
        <v>0</v>
      </c>
      <c r="CI222" s="893">
        <f>(WWWW[[#This Row],['#_Constructed/Existing tube wells/boreholes/handpumps_WASH_agency]]+WWWW[[#This Row],['#_Non-Cluster partner water tube-wells/boreholes/handpumps]])-WWWW[[#This Row],['#_Non-functional tube wells/boreholes/handpumps]]</f>
        <v>0</v>
      </c>
      <c r="CJ222" s="893">
        <f>WWWW[[#This Row],['#_Constructed/Existingwater storage tank with gravity fed reticulation system]]-WWWW[[#This Row],['#_Non-functional storage tank gravity fed reticulation system]]</f>
        <v>0</v>
      </c>
      <c r="CK222" s="893">
        <f>(WWWW[[#This Row],['#_Water_Liters_supplied_by_Water boating or water trucking]]/90)/15</f>
        <v>0</v>
      </c>
      <c r="CL222" s="893">
        <f>WWWW[[#This Row],['#_Water_Liters_from_Constructed/Existing water distribution system from river or natural spring]]/90/15</f>
        <v>0</v>
      </c>
      <c r="CM222" s="424">
        <f>IF(WWWW[[#This Row],['#_of water points in TLS/CFS]]*500&gt;WWWW[[#This Row],[Total PoP ]],WWWW[[#This Row],[Total PoP ]],WWWW[[#This Row],['#_of water points in TLS/CFS]]*500)</f>
        <v>0</v>
      </c>
      <c r="CN222" s="424">
        <f>IF(WWWW[[#This Row],['#_of water points in THF]]*500&gt;WWWW[[#This Row],[Total PoP ]],WWWW[[#This Row],[Total PoP ]],WWWW[[#This Row],['#_of water points in THF]]*500)</f>
        <v>0</v>
      </c>
      <c r="CO22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2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22" s="892">
        <f>IF(WWWW[[#This Row],[Location Type 1]]="Village",WWWW[[#This Row],[Access to safe drinking water for Village]],WWWW[[#This Row],[Access to safe drinking water for Camp]])</f>
        <v>0</v>
      </c>
      <c r="CR222" s="890">
        <f>WWWW[[#This Row],[%Equitable and continuous access to sufficient quantity of safe drinking water]]*WWWW[[#This Row],[Total PoP ]]</f>
        <v>0</v>
      </c>
      <c r="CS222" s="892">
        <f>IF((WWWW[[#This Row],['#_Constructed/Existing protected/fenced ponds]]*250)/WWWW[[#This Row],[Total PoP ]]&gt;1,1,(WWWW[[#This Row],['#_Constructed/Existing protected/fenced ponds]]*250)/WWWW[[#This Row],[Total PoP ]])</f>
        <v>0</v>
      </c>
      <c r="CT222" s="890">
        <f>WWWW[[#This Row],[% Access to unimproved water points]]*WWWW[[#This Row],[Total PoP ]]</f>
        <v>0</v>
      </c>
      <c r="CU22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2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22" s="890">
        <f>WWWW[[#This Row],[HRP1]]/500</f>
        <v>0</v>
      </c>
      <c r="CX222" s="895">
        <f>1-WWWW[[#This Row],[% Equitable and continuous access to sufficient quantity of domestic water]]</f>
        <v>1</v>
      </c>
      <c r="CY222" s="890">
        <f>WWWW[[#This Row],[%equitable and continuous access to sufficient quantity of safe drinking and domestic water''s GAP]]*WWWW[[#This Row],[Total PoP ]]</f>
        <v>32</v>
      </c>
      <c r="CZ222" s="893">
        <f>IF(WWWW[[#This Row],[Total required water points]]-WWWW[[#This Row],['#Water points coverage]]&lt;0,0,WWWW[[#This Row],[Total required water points]]-WWWW[[#This Row],['#Water points coverage]])</f>
        <v>1</v>
      </c>
      <c r="DA222" s="893">
        <f>ROUND(IF(WWWW[[#This Row],[Total PoP ]]&lt;500,1,WWWW[[#This Row],[Total PoP ]]/500),0)</f>
        <v>1</v>
      </c>
      <c r="DB222" s="893">
        <f>(WWWW[[#This Row],['#_Constructed latrines_by_WASHAgencies]]+WWWW[[#This Row],['#_Non Cluster partner latrines]])-WWWW[[#This Row],['#_Non-functional latrines]]</f>
        <v>0</v>
      </c>
      <c r="DC222" s="631">
        <f>WWWW[[#This Row],[HRP2]]/WWWW[[#This Row],[Total PoP ]]</f>
        <v>0</v>
      </c>
      <c r="DD22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2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2" s="424">
        <f>IF(WWWW[[#This Row],['# of functional latrines in THF supported by WASH partners during the reporting period2]]="",0,WWWW[[#This Row],['# of functional latrines in THF supported by WASH partners during the reporting period2]]*50)</f>
        <v>0</v>
      </c>
      <c r="DH222" s="893">
        <f>ROUND(IF(WWWW[[#This Row],[Location Type 1]]="camp",WWWW[[#This Row],[Total PoP ]]/20,IF(WWWW[[#This Row],[Location Type 1]]="Temporary Location",WWWW[[#This Row],[Total PoP ]]/50,(WWWW[[#This Row],[Total PoP ]]/6))),0)</f>
        <v>2</v>
      </c>
      <c r="DI222" s="893">
        <f>IF(WWWW[[#This Row],[Total required Latrines]]-(WWWW[[#This Row],['#_Constructed latrines_by_WASHAgencies]]+WWWW[[#This Row],['#_Non Cluster partner latrines]])&lt;0,0,WWWW[[#This Row],[Total required Latrines]]-(WWWW[[#This Row],['#_Constructed latrines_by_WASHAgencies]]+WWWW[[#This Row],['#_Non Cluster partner latrines]]))</f>
        <v>2</v>
      </c>
      <c r="DJ222" s="895">
        <f>1-WWWW[[#This Row],[% people access to functioning Latrine]]</f>
        <v>1</v>
      </c>
      <c r="DK222" s="894">
        <f>IF(OR(WWWW[[#This Row],['#_Non-functional latrines]]="",WWWW[[#This Row],['#_Non-functional latrines]]=0),0,WWWW[[#This Row],['#_Non-functional latrines]]/(WWWW[[#This Row],['#_Constructed latrines_by_WASHAgencies]]+WWWW[[#This Row],['#_Non Cluster partner latrines]]))</f>
        <v>0</v>
      </c>
      <c r="DL222" s="890">
        <f>IF(500*(WWWW[[#This Row],['#_male hygiene promoters]]+WWWW[[#This Row],['#_female hygiene promoters]])&gt;WWWW[[#This Row],[Total PoP ]],WWWW[[#This Row],[Total PoP ]],500*(WWWW[[#This Row],['#_male hygiene promoters]]+WWWW[[#This Row],['#_female hygiene promoters]]))</f>
        <v>0</v>
      </c>
      <c r="DM22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2" s="893">
        <f>IF(WWWW[[#This Row],['# People with access to soap]]&gt;WWWW[[#This Row],['# People with access to Sanity Pads]],WWWW[[#This Row],['# People with access to soap]],WWWW[[#This Row],['# People with access to Sanity Pads]])</f>
        <v>0</v>
      </c>
      <c r="DP222"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22" s="895">
        <f>IF(WWWW[[#This Row],[HRP3]]/WWWW[[#This Row],[Total PoP ]]&gt;1,1,WWWW[[#This Row],[HRP3]]/WWWW[[#This Row],[Total PoP ]])</f>
        <v>0</v>
      </c>
      <c r="DR222" s="894">
        <f>1-WWWW[[#This Row],[Hygiene Coverage%]]</f>
        <v>1</v>
      </c>
      <c r="DS222" s="892">
        <f>WWWW[[#This Row],['# people reached by regular dedicated hygiene promotion_5]]/WWWW[[#This Row],[Total PoP ]]</f>
        <v>0</v>
      </c>
      <c r="DT22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2" s="893">
        <f>WWWW[[#This Row],['#_Constructed/Existing hand washing stations]]-WWWW[[#This Row],['#_Non-Functional_hand_washing_stations]]</f>
        <v>3</v>
      </c>
      <c r="DW222" s="890">
        <f>IF(WWWW[[#This Row],['# Functional hand washing stations during reporting period]]*20&gt;WWWW[[#This Row],[Total HH]],WWWW[[#This Row],[Total HH]],WWWW[[#This Row],['# Functional hand washing stations during reporting period]]*20)</f>
        <v>6</v>
      </c>
      <c r="DX222" s="890">
        <f>IF(WWWW[[#This Row],[Is sufficient soap available for TLS? (Yes/No)]]="yes",WWWW[[#This Row],['#_Constructed/Existing hand washing stations at TLS/CFS/THF]],0)</f>
        <v>0</v>
      </c>
      <c r="DY222" s="428">
        <f>IF(WWWW[[#This Row],['# Functional hand washing stations during reporting period]]*100&gt;WWWW[[#This Row],[Total PoP ]],WWWW[[#This Row],[Total PoP ]],WWWW[[#This Row],['# Functional hand washing stations during reporting period]]*100)</f>
        <v>32</v>
      </c>
      <c r="DZ222" s="428" t="str">
        <f>IF(OR(WWWW[[#This Row],['#_students at TLS_CFS]]="",WWWW[[#This Row],['#_students at TLS_CFS]]=0),"No","Yes")</f>
        <v>No</v>
      </c>
      <c r="EA22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2" s="886">
        <f>VLOOKUP(WWWW[[#This Row],[Site Name]],SiteDB6[[Site Name]:[CCCM Management]],6,FALSE)</f>
        <v>0</v>
      </c>
      <c r="EF222" s="886" t="str">
        <f>VLOOKUP(WWWW[[#This Row],[Site Name]],SiteDB6[[Site Name]:[CCCM Focal Agency]],7,FALSE)</f>
        <v>uncovered</v>
      </c>
      <c r="EG222" s="886" t="str">
        <f>VLOOKUP(WWWW[[#This Row],[Site Name]],SiteDB6[[Site Name]:[Location Type 1]],9,FALSE)</f>
        <v>Camp</v>
      </c>
      <c r="EH222" s="886" t="str">
        <f>VLOOKUP(WWWW[[#This Row],[Site Name]],SiteDB6[[Site Name]:[Type of Accommodation]],10,FALSE)</f>
        <v>Camp like setting</v>
      </c>
      <c r="EI222" s="886" t="str">
        <f>VLOOKUP(WWWW[[#This Row],[Site Name]],SiteDB6[[Site Name]:[Ethnic or GCA/NGCA]],11,FALSE)</f>
        <v>GCA</v>
      </c>
      <c r="EJ222" s="886">
        <f>VLOOKUP(WWWW[[#This Row],[Site Name]],SiteDB6[[Site Name]:[Lat]],12,FALSE)</f>
        <v>25.30274</v>
      </c>
      <c r="EK222" s="886">
        <f>VLOOKUP(WWWW[[#This Row],[Site Name]],SiteDB6[[Site Name]:[Long]],13,FALSE)</f>
        <v>96.940380000000005</v>
      </c>
      <c r="EL222" s="886" t="str">
        <f>VLOOKUP(WWWW[[#This Row],[Site Name]],SiteDB6[[Site Name]:[Pcode]],3,FALSE)</f>
        <v>MMR001CMP262</v>
      </c>
      <c r="EM222" s="891" t="str">
        <f t="shared" si="3"/>
        <v>Notcovered</v>
      </c>
      <c r="EN222" s="891"/>
      <c r="EO222" s="886">
        <f>VLOOKUP(WWWW[[#This Row],[Site Name]],SiteDB6[[Site Name]:[Pop
(Kachin/Shan-CCCM as of July 2021)]],16,FALSE)</f>
        <v>5</v>
      </c>
      <c r="EP222" s="886">
        <f>VLOOKUP(WWWW[[#This Row],[Site Name]],SiteDB6[[Site Name]:[Pop
(Kachin/Shan-CCCM as of July 2021)]],17,FALSE)</f>
        <v>32</v>
      </c>
    </row>
    <row r="223" spans="1:146" hidden="1">
      <c r="A223" s="884" t="s">
        <v>2764</v>
      </c>
      <c r="B223" s="884" t="s">
        <v>309</v>
      </c>
      <c r="C223" s="885" t="s">
        <v>309</v>
      </c>
      <c r="D223" s="885"/>
      <c r="E223" s="885" t="s">
        <v>37</v>
      </c>
      <c r="F223" s="885" t="s">
        <v>184</v>
      </c>
      <c r="G223" s="591" t="str">
        <f>VLOOKUP(WWWW[[#This Row],[Site Name]],SiteDB6[[Site Name]:[Location Type]],8,FALSE)</f>
        <v>Camp</v>
      </c>
      <c r="H223" s="885" t="s">
        <v>2114</v>
      </c>
      <c r="I223" s="887">
        <v>31</v>
      </c>
      <c r="J223" s="887">
        <v>171</v>
      </c>
      <c r="K223" s="888" t="s">
        <v>2650</v>
      </c>
      <c r="L223" s="889" t="s">
        <v>2651</v>
      </c>
      <c r="M223" s="887"/>
      <c r="N223" s="887"/>
      <c r="O223" s="887"/>
      <c r="P223" s="887"/>
      <c r="Q223" s="890"/>
      <c r="R223" s="887"/>
      <c r="S223" s="887">
        <v>4</v>
      </c>
      <c r="T223" s="448"/>
      <c r="U223" s="887"/>
      <c r="V223" s="887"/>
      <c r="W223" s="887"/>
      <c r="X223" s="887"/>
      <c r="Y223" s="887"/>
      <c r="Z223" s="887"/>
      <c r="AA223" s="887"/>
      <c r="AB223" s="887"/>
      <c r="AC223" s="887"/>
      <c r="AD223" s="887"/>
      <c r="AE223" s="887"/>
      <c r="AF223" s="887"/>
      <c r="AG223" s="887"/>
      <c r="AH223" s="887"/>
      <c r="AI223" s="887"/>
      <c r="AJ223" s="887"/>
      <c r="AK223" s="887"/>
      <c r="AL223" s="887"/>
      <c r="AM223" s="887"/>
      <c r="AN223" s="887"/>
      <c r="AO223" s="448"/>
      <c r="AP223" s="891"/>
      <c r="AQ223" s="887"/>
      <c r="AR223" s="887"/>
      <c r="AS223" s="892"/>
      <c r="AT223" s="887"/>
      <c r="AU223" s="887"/>
      <c r="AV223" s="887"/>
      <c r="AW223" s="887"/>
      <c r="AX223" s="887"/>
      <c r="AY223" s="886" t="s">
        <v>140</v>
      </c>
      <c r="AZ223" s="891" t="s">
        <v>140</v>
      </c>
      <c r="BA223" s="887"/>
      <c r="BB223" s="887"/>
      <c r="BC223" s="887"/>
      <c r="BD223" s="448"/>
      <c r="BE223" s="448"/>
      <c r="BF223" s="886"/>
      <c r="BG223" s="887">
        <v>1</v>
      </c>
      <c r="BH223" s="887"/>
      <c r="BI223" s="887"/>
      <c r="BJ223" s="887">
        <v>1</v>
      </c>
      <c r="BK223" s="887"/>
      <c r="BL223" s="887"/>
      <c r="BM223" s="887"/>
      <c r="BN223" s="887"/>
      <c r="BO223" s="887"/>
      <c r="BP223" s="886"/>
      <c r="BQ223" s="893"/>
      <c r="BR223" s="892"/>
      <c r="BS223" s="886"/>
      <c r="BT223" s="423"/>
      <c r="BU223" s="423"/>
      <c r="BV223" s="425"/>
      <c r="BW223" s="423"/>
      <c r="BX223" s="448"/>
      <c r="BY223" s="448"/>
      <c r="BZ223" s="448"/>
      <c r="CA223" s="448"/>
      <c r="CB223" s="448"/>
      <c r="CC223" s="777"/>
      <c r="CD223" s="448"/>
      <c r="CE223" s="894" t="str">
        <f>IFERROR(WWWW[[#This Row],['#_Water sources passed]]/WWWW[[#This Row],['#_Water sources tested for fecal coliform ]],"no test")</f>
        <v>no test</v>
      </c>
      <c r="CF223" s="892" t="str">
        <f>IFERROR(WWWW[[#This Row],['#_Household passed]]/WWWW[[#This Row],['#_Household water samples tested for fecal coliform]],"no test")</f>
        <v>no test</v>
      </c>
      <c r="CG223" s="893" t="str">
        <f>IF(AND(WWWW[[#This Row],[% of water sources passed]]="no test",WWWW[[#This Row],[% Household passed]]="no test"),"No Test","Tested")</f>
        <v>No Test</v>
      </c>
      <c r="CH223" s="893">
        <f>WWWW[[#This Row],['#_Constructed/existing protected hand dug well]]-WWWW[[#This Row],['#_Non-functional protected hand dug well]]</f>
        <v>0</v>
      </c>
      <c r="CI223" s="893">
        <f>(WWWW[[#This Row],['#_Constructed/Existing tube wells/boreholes/handpumps_WASH_agency]]+WWWW[[#This Row],['#_Non-Cluster partner water tube-wells/boreholes/handpumps]])-WWWW[[#This Row],['#_Non-functional tube wells/boreholes/handpumps]]</f>
        <v>0</v>
      </c>
      <c r="CJ223" s="893">
        <f>WWWW[[#This Row],['#_Constructed/Existingwater storage tank with gravity fed reticulation system]]-WWWW[[#This Row],['#_Non-functional storage tank gravity fed reticulation system]]</f>
        <v>0</v>
      </c>
      <c r="CK223" s="893">
        <f>(WWWW[[#This Row],['#_Water_Liters_supplied_by_Water boating or water trucking]]/90)/15</f>
        <v>0</v>
      </c>
      <c r="CL223" s="893">
        <f>WWWW[[#This Row],['#_Water_Liters_from_Constructed/Existing water distribution system from river or natural spring]]/90/15</f>
        <v>0</v>
      </c>
      <c r="CM223" s="424">
        <f>IF(WWWW[[#This Row],['#_of water points in TLS/CFS]]*500&gt;WWWW[[#This Row],[Total PoP ]],WWWW[[#This Row],[Total PoP ]],WWWW[[#This Row],['#_of water points in TLS/CFS]]*500)</f>
        <v>0</v>
      </c>
      <c r="CN223" s="424">
        <f>IF(WWWW[[#This Row],['#_of water points in THF]]*500&gt;WWWW[[#This Row],[Total PoP ]],WWWW[[#This Row],[Total PoP ]],WWWW[[#This Row],['#_of water points in THF]]*500)</f>
        <v>0</v>
      </c>
      <c r="CO22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2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23" s="892">
        <f>IF(WWWW[[#This Row],[Location Type 1]]="Village",WWWW[[#This Row],[Access to safe drinking water for Village]],WWWW[[#This Row],[Access to safe drinking water for Camp]])</f>
        <v>0</v>
      </c>
      <c r="CR223" s="890">
        <f>WWWW[[#This Row],[%Equitable and continuous access to sufficient quantity of safe drinking water]]*WWWW[[#This Row],[Total PoP ]]</f>
        <v>0</v>
      </c>
      <c r="CS223" s="892">
        <f>IF((WWWW[[#This Row],['#_Constructed/Existing protected/fenced ponds]]*250)/WWWW[[#This Row],[Total PoP ]]&gt;1,1,(WWWW[[#This Row],['#_Constructed/Existing protected/fenced ponds]]*250)/WWWW[[#This Row],[Total PoP ]])</f>
        <v>0</v>
      </c>
      <c r="CT223" s="890">
        <f>WWWW[[#This Row],[% Access to unimproved water points]]*WWWW[[#This Row],[Total PoP ]]</f>
        <v>0</v>
      </c>
      <c r="CU22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2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23" s="890">
        <f>WWWW[[#This Row],[HRP1]]/500</f>
        <v>0</v>
      </c>
      <c r="CX223" s="895">
        <f>1-WWWW[[#This Row],[% Equitable and continuous access to sufficient quantity of domestic water]]</f>
        <v>1</v>
      </c>
      <c r="CY223" s="890">
        <f>WWWW[[#This Row],[%equitable and continuous access to sufficient quantity of safe drinking and domestic water''s GAP]]*WWWW[[#This Row],[Total PoP ]]</f>
        <v>171</v>
      </c>
      <c r="CZ223" s="893">
        <f>IF(WWWW[[#This Row],[Total required water points]]-WWWW[[#This Row],['#Water points coverage]]&lt;0,0,WWWW[[#This Row],[Total required water points]]-WWWW[[#This Row],['#Water points coverage]])</f>
        <v>1</v>
      </c>
      <c r="DA223" s="893">
        <f>ROUND(IF(WWWW[[#This Row],[Total PoP ]]&lt;500,1,WWWW[[#This Row],[Total PoP ]]/500),0)</f>
        <v>1</v>
      </c>
      <c r="DB223" s="893">
        <f>(WWWW[[#This Row],['#_Constructed latrines_by_WASHAgencies]]+WWWW[[#This Row],['#_Non Cluster partner latrines]])-WWWW[[#This Row],['#_Non-functional latrines]]</f>
        <v>0</v>
      </c>
      <c r="DC223" s="631">
        <f>WWWW[[#This Row],[HRP2]]/WWWW[[#This Row],[Total PoP ]]</f>
        <v>0</v>
      </c>
      <c r="DD22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2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3" s="424">
        <f>IF(WWWW[[#This Row],['# of functional latrines in THF supported by WASH partners during the reporting period2]]="",0,WWWW[[#This Row],['# of functional latrines in THF supported by WASH partners during the reporting period2]]*50)</f>
        <v>0</v>
      </c>
      <c r="DH223" s="893">
        <f>ROUND(IF(WWWW[[#This Row],[Location Type 1]]="camp",WWWW[[#This Row],[Total PoP ]]/20,IF(WWWW[[#This Row],[Location Type 1]]="Temporary Location",WWWW[[#This Row],[Total PoP ]]/50,(WWWW[[#This Row],[Total PoP ]]/6))),0)</f>
        <v>9</v>
      </c>
      <c r="DI223" s="893">
        <f>IF(WWWW[[#This Row],[Total required Latrines]]-(WWWW[[#This Row],['#_Constructed latrines_by_WASHAgencies]]+WWWW[[#This Row],['#_Non Cluster partner latrines]])&lt;0,0,WWWW[[#This Row],[Total required Latrines]]-(WWWW[[#This Row],['#_Constructed latrines_by_WASHAgencies]]+WWWW[[#This Row],['#_Non Cluster partner latrines]]))</f>
        <v>9</v>
      </c>
      <c r="DJ223" s="895">
        <f>1-WWWW[[#This Row],[% people access to functioning Latrine]]</f>
        <v>1</v>
      </c>
      <c r="DK223" s="894">
        <f>IF(OR(WWWW[[#This Row],['#_Non-functional latrines]]="",WWWW[[#This Row],['#_Non-functional latrines]]=0),0,WWWW[[#This Row],['#_Non-functional latrines]]/(WWWW[[#This Row],['#_Constructed latrines_by_WASHAgencies]]+WWWW[[#This Row],['#_Non Cluster partner latrines]]))</f>
        <v>0</v>
      </c>
      <c r="DL223" s="890">
        <f>IF(500*(WWWW[[#This Row],['#_male hygiene promoters]]+WWWW[[#This Row],['#_female hygiene promoters]])&gt;WWWW[[#This Row],[Total PoP ]],WWWW[[#This Row],[Total PoP ]],500*(WWWW[[#This Row],['#_male hygiene promoters]]+WWWW[[#This Row],['#_female hygiene promoters]]))</f>
        <v>0</v>
      </c>
      <c r="DM22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3" s="893">
        <f>IF(WWWW[[#This Row],['# People with access to soap]]&gt;WWWW[[#This Row],['# People with access to Sanity Pads]],WWWW[[#This Row],['# People with access to soap]],WWWW[[#This Row],['# People with access to Sanity Pads]])</f>
        <v>0</v>
      </c>
      <c r="DP223"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23" s="895">
        <f>IF(WWWW[[#This Row],[HRP3]]/WWWW[[#This Row],[Total PoP ]]&gt;1,1,WWWW[[#This Row],[HRP3]]/WWWW[[#This Row],[Total PoP ]])</f>
        <v>0</v>
      </c>
      <c r="DR223" s="894">
        <f>1-WWWW[[#This Row],[Hygiene Coverage%]]</f>
        <v>1</v>
      </c>
      <c r="DS223" s="892">
        <f>WWWW[[#This Row],['# people reached by regular dedicated hygiene promotion_5]]/WWWW[[#This Row],[Total PoP ]]</f>
        <v>0</v>
      </c>
      <c r="DT22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3" s="893">
        <f>WWWW[[#This Row],['#_Constructed/Existing hand washing stations]]-WWWW[[#This Row],['#_Non-Functional_hand_washing_stations]]</f>
        <v>1</v>
      </c>
      <c r="DW223" s="890">
        <f>IF(WWWW[[#This Row],['# Functional hand washing stations during reporting period]]*20&gt;WWWW[[#This Row],[Total HH]],WWWW[[#This Row],[Total HH]],WWWW[[#This Row],['# Functional hand washing stations during reporting period]]*20)</f>
        <v>20</v>
      </c>
      <c r="DX223" s="890">
        <f>IF(WWWW[[#This Row],[Is sufficient soap available for TLS? (Yes/No)]]="yes",WWWW[[#This Row],['#_Constructed/Existing hand washing stations at TLS/CFS/THF]],0)</f>
        <v>0</v>
      </c>
      <c r="DY223" s="428">
        <f>IF(WWWW[[#This Row],['# Functional hand washing stations during reporting period]]*100&gt;WWWW[[#This Row],[Total PoP ]],WWWW[[#This Row],[Total PoP ]],WWWW[[#This Row],['# Functional hand washing stations during reporting period]]*100)</f>
        <v>100</v>
      </c>
      <c r="DZ223" s="428" t="str">
        <f>IF(OR(WWWW[[#This Row],['#_students at TLS_CFS]]="",WWWW[[#This Row],['#_students at TLS_CFS]]=0),"No","Yes")</f>
        <v>No</v>
      </c>
      <c r="EA22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3" s="886">
        <f>VLOOKUP(WWWW[[#This Row],[Site Name]],SiteDB6[[Site Name]:[CCCM Management]],6,FALSE)</f>
        <v>0</v>
      </c>
      <c r="EF223" s="886" t="str">
        <f>VLOOKUP(WWWW[[#This Row],[Site Name]],SiteDB6[[Site Name]:[CCCM Focal Agency]],7,FALSE)</f>
        <v>uncovered</v>
      </c>
      <c r="EG223" s="886" t="str">
        <f>VLOOKUP(WWWW[[#This Row],[Site Name]],SiteDB6[[Site Name]:[Location Type 1]],9,FALSE)</f>
        <v>Camp</v>
      </c>
      <c r="EH223" s="886" t="str">
        <f>VLOOKUP(WWWW[[#This Row],[Site Name]],SiteDB6[[Site Name]:[Type of Accommodation]],10,FALSE)</f>
        <v>Camp like setting</v>
      </c>
      <c r="EI223" s="886" t="str">
        <f>VLOOKUP(WWWW[[#This Row],[Site Name]],SiteDB6[[Site Name]:[Ethnic or GCA/NGCA]],11,FALSE)</f>
        <v>GCA</v>
      </c>
      <c r="EJ223" s="886">
        <f>VLOOKUP(WWWW[[#This Row],[Site Name]],SiteDB6[[Site Name]:[Lat]],12,FALSE)</f>
        <v>26.299828999999999</v>
      </c>
      <c r="EK223" s="886">
        <f>VLOOKUP(WWWW[[#This Row],[Site Name]],SiteDB6[[Site Name]:[Long]],13,FALSE)</f>
        <v>97.487258999999995</v>
      </c>
      <c r="EL223" s="886" t="str">
        <f>VLOOKUP(WWWW[[#This Row],[Site Name]],SiteDB6[[Site Name]:[Pcode]],3,FALSE)</f>
        <v>MMR001CMP272</v>
      </c>
      <c r="EM223" s="891" t="str">
        <f t="shared" si="3"/>
        <v>Notcovered</v>
      </c>
      <c r="EN223" s="891"/>
      <c r="EO223" s="886">
        <f>VLOOKUP(WWWW[[#This Row],[Site Name]],SiteDB6[[Site Name]:[Pop
(Kachin/Shan-CCCM as of July 2021)]],16,FALSE)</f>
        <v>31</v>
      </c>
      <c r="EP223" s="886">
        <f>VLOOKUP(WWWW[[#This Row],[Site Name]],SiteDB6[[Site Name]:[Pop
(Kachin/Shan-CCCM as of July 2021)]],17,FALSE)</f>
        <v>171</v>
      </c>
    </row>
    <row r="224" spans="1:146" hidden="1">
      <c r="A224" s="884" t="s">
        <v>2764</v>
      </c>
      <c r="B224" s="884" t="s">
        <v>2675</v>
      </c>
      <c r="C224" s="885" t="s">
        <v>2675</v>
      </c>
      <c r="D224" s="885" t="s">
        <v>2686</v>
      </c>
      <c r="E224" s="885" t="s">
        <v>37</v>
      </c>
      <c r="F224" s="885" t="s">
        <v>142</v>
      </c>
      <c r="G224" s="591" t="str">
        <f>VLOOKUP(WWWW[[#This Row],[Site Name]],SiteDB6[[Site Name]:[Location Type]],8,FALSE)</f>
        <v>Camp</v>
      </c>
      <c r="H224" s="885" t="s">
        <v>771</v>
      </c>
      <c r="I224" s="887">
        <v>64</v>
      </c>
      <c r="J224" s="887">
        <v>381</v>
      </c>
      <c r="K224" s="888">
        <v>44562</v>
      </c>
      <c r="L224" s="889">
        <v>44926</v>
      </c>
      <c r="M224" s="887"/>
      <c r="N224" s="887"/>
      <c r="O224" s="887"/>
      <c r="P224" s="887"/>
      <c r="Q224" s="890" t="s">
        <v>41</v>
      </c>
      <c r="R224" s="887">
        <v>3</v>
      </c>
      <c r="S224" s="887">
        <v>8</v>
      </c>
      <c r="T224" s="448">
        <v>2</v>
      </c>
      <c r="U224" s="887"/>
      <c r="V224" s="887"/>
      <c r="W224" s="887">
        <v>1</v>
      </c>
      <c r="X224" s="887"/>
      <c r="Y224" s="887"/>
      <c r="Z224" s="887"/>
      <c r="AA224" s="887">
        <v>1</v>
      </c>
      <c r="AB224" s="887"/>
      <c r="AC224" s="887"/>
      <c r="AD224" s="887"/>
      <c r="AE224" s="887"/>
      <c r="AF224" s="887"/>
      <c r="AG224" s="887"/>
      <c r="AH224" s="887"/>
      <c r="AI224" s="887"/>
      <c r="AJ224" s="887"/>
      <c r="AK224" s="887"/>
      <c r="AL224" s="887"/>
      <c r="AM224" s="887"/>
      <c r="AN224" s="887"/>
      <c r="AO224" s="448"/>
      <c r="AP224" s="891" t="s">
        <v>3046</v>
      </c>
      <c r="AQ224" s="887">
        <v>8</v>
      </c>
      <c r="AR224" s="887"/>
      <c r="AS224" s="892"/>
      <c r="AT224" s="887"/>
      <c r="AU224" s="887">
        <v>2</v>
      </c>
      <c r="AV224" s="887"/>
      <c r="AW224" s="887"/>
      <c r="AX224" s="887"/>
      <c r="AY224" s="886" t="s">
        <v>41</v>
      </c>
      <c r="AZ224" s="891" t="s">
        <v>137</v>
      </c>
      <c r="BA224" s="887"/>
      <c r="BB224" s="887">
        <v>2</v>
      </c>
      <c r="BC224" s="887"/>
      <c r="BD224" s="448"/>
      <c r="BE224" s="448"/>
      <c r="BF224" s="886" t="s">
        <v>3048</v>
      </c>
      <c r="BG224" s="887">
        <v>3</v>
      </c>
      <c r="BH224" s="887"/>
      <c r="BI224" s="887"/>
      <c r="BJ224" s="887">
        <v>2</v>
      </c>
      <c r="BK224" s="887">
        <v>1</v>
      </c>
      <c r="BL224" s="887"/>
      <c r="BM224" s="887">
        <v>1</v>
      </c>
      <c r="BN224" s="887">
        <v>64</v>
      </c>
      <c r="BO224" s="887">
        <v>336</v>
      </c>
      <c r="BP224" s="886" t="s">
        <v>136</v>
      </c>
      <c r="BQ224" s="893"/>
      <c r="BR224" s="892">
        <v>0.3</v>
      </c>
      <c r="BS224" s="886" t="s">
        <v>3049</v>
      </c>
      <c r="BT224" s="423">
        <v>0.7</v>
      </c>
      <c r="BU224" s="423">
        <v>0.4</v>
      </c>
      <c r="BV224" s="425">
        <v>9</v>
      </c>
      <c r="BW224" s="423">
        <v>0.2</v>
      </c>
      <c r="BX224" s="448">
        <v>8</v>
      </c>
      <c r="BY224" s="448">
        <v>16</v>
      </c>
      <c r="BZ224" s="448">
        <v>2</v>
      </c>
      <c r="CA224" s="448"/>
      <c r="CB224" s="448"/>
      <c r="CC224" s="777"/>
      <c r="CD224" s="448"/>
      <c r="CE224" s="894" t="str">
        <f>IFERROR(WWWW[[#This Row],['#_Water sources passed]]/WWWW[[#This Row],['#_Water sources tested for fecal coliform ]],"no test")</f>
        <v>no test</v>
      </c>
      <c r="CF224" s="892" t="str">
        <f>IFERROR(WWWW[[#This Row],['#_Household passed]]/WWWW[[#This Row],['#_Household water samples tested for fecal coliform]],"no test")</f>
        <v>no test</v>
      </c>
      <c r="CG224" s="893" t="str">
        <f>IF(AND(WWWW[[#This Row],[% of water sources passed]]="no test",WWWW[[#This Row],[% Household passed]]="no test"),"No Test","Tested")</f>
        <v>No Test</v>
      </c>
      <c r="CH224" s="893">
        <f>WWWW[[#This Row],['#_Constructed/existing protected hand dug well]]-WWWW[[#This Row],['#_Non-functional protected hand dug well]]</f>
        <v>2</v>
      </c>
      <c r="CI224" s="893">
        <f>(WWWW[[#This Row],['#_Constructed/Existing tube wells/boreholes/handpumps_WASH_agency]]+WWWW[[#This Row],['#_Non-Cluster partner water tube-wells/boreholes/handpumps]])-WWWW[[#This Row],['#_Non-functional tube wells/boreholes/handpumps]]</f>
        <v>1</v>
      </c>
      <c r="CJ224" s="893">
        <f>WWWW[[#This Row],['#_Constructed/Existingwater storage tank with gravity fed reticulation system]]-WWWW[[#This Row],['#_Non-functional storage tank gravity fed reticulation system]]</f>
        <v>1</v>
      </c>
      <c r="CK224" s="893">
        <f>(WWWW[[#This Row],['#_Water_Liters_supplied_by_Water boating or water trucking]]/90)/15</f>
        <v>0</v>
      </c>
      <c r="CL224" s="893">
        <f>WWWW[[#This Row],['#_Water_Liters_from_Constructed/Existing water distribution system from river or natural spring]]/90/15</f>
        <v>0</v>
      </c>
      <c r="CM224" s="424">
        <f>IF(WWWW[[#This Row],['#_of water points in TLS/CFS]]*500&gt;WWWW[[#This Row],[Total PoP ]],WWWW[[#This Row],[Total PoP ]],WWWW[[#This Row],['#_of water points in TLS/CFS]]*500)</f>
        <v>0</v>
      </c>
      <c r="CN224" s="424">
        <f>IF(WWWW[[#This Row],['#_of water points in THF]]*500&gt;WWWW[[#This Row],[Total PoP ]],WWWW[[#This Row],[Total PoP ]],WWWW[[#This Row],['#_of water points in THF]]*500)</f>
        <v>0</v>
      </c>
      <c r="CO22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4" s="892">
        <f>IF(WWWW[[#This Row],[Location Type 1]]="Village",WWWW[[#This Row],[Access to safe drinking water for Village]],WWWW[[#This Row],[Access to safe drinking water for Camp]])</f>
        <v>1</v>
      </c>
      <c r="CR224" s="890">
        <f>WWWW[[#This Row],[%Equitable and continuous access to sufficient quantity of safe drinking water]]*WWWW[[#This Row],[Total PoP ]]</f>
        <v>381</v>
      </c>
      <c r="CS224" s="892">
        <f>IF((WWWW[[#This Row],['#_Constructed/Existing protected/fenced ponds]]*250)/WWWW[[#This Row],[Total PoP ]]&gt;1,1,(WWWW[[#This Row],['#_Constructed/Existing protected/fenced ponds]]*250)/WWWW[[#This Row],[Total PoP ]])</f>
        <v>0</v>
      </c>
      <c r="CT224" s="890">
        <f>WWWW[[#This Row],[% Access to unimproved water points]]*WWWW[[#This Row],[Total PoP ]]</f>
        <v>0</v>
      </c>
      <c r="CU22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381</v>
      </c>
      <c r="CW224" s="890">
        <f>WWWW[[#This Row],[HRP1]]/500</f>
        <v>0.76200000000000001</v>
      </c>
      <c r="CX224" s="895">
        <f>1-WWWW[[#This Row],[% Equitable and continuous access to sufficient quantity of domestic water]]</f>
        <v>0</v>
      </c>
      <c r="CY224" s="890">
        <f>WWWW[[#This Row],[%equitable and continuous access to sufficient quantity of safe drinking and domestic water''s GAP]]*WWWW[[#This Row],[Total PoP ]]</f>
        <v>0</v>
      </c>
      <c r="CZ224" s="893">
        <f>IF(WWWW[[#This Row],[Total required water points]]-WWWW[[#This Row],['#Water points coverage]]&lt;0,0,WWWW[[#This Row],[Total required water points]]-WWWW[[#This Row],['#Water points coverage]])</f>
        <v>0.23799999999999999</v>
      </c>
      <c r="DA224" s="893">
        <f>ROUND(IF(WWWW[[#This Row],[Total PoP ]]&lt;500,1,WWWW[[#This Row],[Total PoP ]]/500),0)</f>
        <v>1</v>
      </c>
      <c r="DB224" s="893">
        <f>(WWWW[[#This Row],['#_Constructed latrines_by_WASHAgencies]]+WWWW[[#This Row],['#_Non Cluster partner latrines]])-WWWW[[#This Row],['#_Non-functional latrines]]</f>
        <v>8</v>
      </c>
      <c r="DC224" s="631">
        <f>WWWW[[#This Row],[HRP2]]/WWWW[[#This Row],[Total PoP ]]</f>
        <v>0.41994750656167978</v>
      </c>
      <c r="DD22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22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4" s="424">
        <f>IF(WWWW[[#This Row],['# of functional latrines in THF supported by WASH partners during the reporting period2]]="",0,WWWW[[#This Row],['# of functional latrines in THF supported by WASH partners during the reporting period2]]*50)</f>
        <v>0</v>
      </c>
      <c r="DH224" s="893">
        <f>ROUND(IF(WWWW[[#This Row],[Location Type 1]]="camp",WWWW[[#This Row],[Total PoP ]]/20,IF(WWWW[[#This Row],[Location Type 1]]="Temporary Location",WWWW[[#This Row],[Total PoP ]]/50,(WWWW[[#This Row],[Total PoP ]]/6))),0)</f>
        <v>19</v>
      </c>
      <c r="DI224" s="893">
        <f>IF(WWWW[[#This Row],[Total required Latrines]]-(WWWW[[#This Row],['#_Constructed latrines_by_WASHAgencies]]+WWWW[[#This Row],['#_Non Cluster partner latrines]])&lt;0,0,WWWW[[#This Row],[Total required Latrines]]-(WWWW[[#This Row],['#_Constructed latrines_by_WASHAgencies]]+WWWW[[#This Row],['#_Non Cluster partner latrines]]))</f>
        <v>11</v>
      </c>
      <c r="DJ224" s="895">
        <f>1-WWWW[[#This Row],[% people access to functioning Latrine]]</f>
        <v>0.58005249343832022</v>
      </c>
      <c r="DK224" s="894">
        <f>IF(OR(WWWW[[#This Row],['#_Non-functional latrines]]="",WWWW[[#This Row],['#_Non-functional latrines]]=0),0,WWWW[[#This Row],['#_Non-functional latrines]]/(WWWW[[#This Row],['#_Constructed latrines_by_WASHAgencies]]+WWWW[[#This Row],['#_Non Cluster partner latrines]]))</f>
        <v>0</v>
      </c>
      <c r="DL224" s="890">
        <f>IF(500*(WWWW[[#This Row],['#_male hygiene promoters]]+WWWW[[#This Row],['#_female hygiene promoters]])&gt;WWWW[[#This Row],[Total PoP ]],WWWW[[#This Row],[Total PoP ]],500*(WWWW[[#This Row],['#_male hygiene promoters]]+WWWW[[#This Row],['#_female hygiene promoters]]))</f>
        <v>381</v>
      </c>
      <c r="DM22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381</v>
      </c>
      <c r="DN22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336</v>
      </c>
      <c r="DO224" s="893">
        <f>IF(WWWW[[#This Row],['# People with access to soap]]&gt;WWWW[[#This Row],['# People with access to Sanity Pads]],WWWW[[#This Row],['# People with access to soap]],WWWW[[#This Row],['# People with access to Sanity Pads]])</f>
        <v>381</v>
      </c>
      <c r="DP224" s="893">
        <f>IF(WWWW[[#This Row],['# people reached by regular dedicated hygiene promotion_5]]&gt;WWWW[[#This Row],['# People received regular supply of hygiene items_6]],WWWW[[#This Row],['# people reached by regular dedicated hygiene promotion_5]],WWWW[[#This Row],['# People received regular supply of hygiene items_6]])</f>
        <v>381</v>
      </c>
      <c r="DQ224" s="895">
        <f>IF(WWWW[[#This Row],[HRP3]]/WWWW[[#This Row],[Total PoP ]]&gt;1,1,WWWW[[#This Row],[HRP3]]/WWWW[[#This Row],[Total PoP ]])</f>
        <v>1</v>
      </c>
      <c r="DR224" s="894">
        <f>1-WWWW[[#This Row],[Hygiene Coverage%]]</f>
        <v>0</v>
      </c>
      <c r="DS224" s="892">
        <f>WWWW[[#This Row],['# people reached by regular dedicated hygiene promotion_5]]/WWWW[[#This Row],[Total PoP ]]</f>
        <v>1</v>
      </c>
      <c r="DT22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2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24" s="893">
        <f>WWWW[[#This Row],['#_Constructed/Existing hand washing stations]]-WWWW[[#This Row],['#_Non-Functional_hand_washing_stations]]</f>
        <v>3</v>
      </c>
      <c r="DW224" s="890">
        <f>IF(WWWW[[#This Row],['# Functional hand washing stations during reporting period]]*20&gt;WWWW[[#This Row],[Total HH]],WWWW[[#This Row],[Total HH]],WWWW[[#This Row],['# Functional hand washing stations during reporting period]]*20)</f>
        <v>60</v>
      </c>
      <c r="DX224" s="890">
        <f>IF(WWWW[[#This Row],[Is sufficient soap available for TLS? (Yes/No)]]="yes",WWWW[[#This Row],['#_Constructed/Existing hand washing stations at TLS/CFS/THF]],0)</f>
        <v>0</v>
      </c>
      <c r="DY224" s="428">
        <f>IF(WWWW[[#This Row],['# Functional hand washing stations during reporting period]]*100&gt;WWWW[[#This Row],[Total PoP ]],WWWW[[#This Row],[Total PoP ]],WWWW[[#This Row],['# Functional hand washing stations during reporting period]]*100)</f>
        <v>300</v>
      </c>
      <c r="DZ224" s="428" t="str">
        <f>IF(OR(WWWW[[#This Row],['#_students at TLS_CFS]]="",WWWW[[#This Row],['#_students at TLS_CFS]]=0),"No","Yes")</f>
        <v>No</v>
      </c>
      <c r="EA224" s="631">
        <f>IF(WWWW[[#This Row],['#_of_affected_people_surveyed_who_report_feeling_informed_about_the_different_WASH_services_available_to_them]]="","",WWWW[[#This Row],['#_of_affected_people_surveyed_who_report_feeling_informed_about_the_different_WASH_services_available_to_them]]/WWWW[[#This Row],[Total PoP ]])</f>
        <v>2.3622047244094488E-2</v>
      </c>
      <c r="EB22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26</v>
      </c>
      <c r="EC22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4" s="886">
        <f>VLOOKUP(WWWW[[#This Row],[Site Name]],SiteDB6[[Site Name]:[CCCM Management]],6,FALSE)</f>
        <v>0</v>
      </c>
      <c r="EF224" s="886" t="str">
        <f>VLOOKUP(WWWW[[#This Row],[Site Name]],SiteDB6[[Site Name]:[CCCM Focal Agency]],7,FALSE)</f>
        <v>uncovered</v>
      </c>
      <c r="EG224" s="886" t="str">
        <f>VLOOKUP(WWWW[[#This Row],[Site Name]],SiteDB6[[Site Name]:[Location Type 1]],9,FALSE)</f>
        <v>Camp</v>
      </c>
      <c r="EH224" s="886" t="str">
        <f>VLOOKUP(WWWW[[#This Row],[Site Name]],SiteDB6[[Site Name]:[Type of Accommodation]],10,FALSE)</f>
        <v>Camp like setting</v>
      </c>
      <c r="EI224" s="886" t="str">
        <f>VLOOKUP(WWWW[[#This Row],[Site Name]],SiteDB6[[Site Name]:[Ethnic or GCA/NGCA]],11,FALSE)</f>
        <v>GCA</v>
      </c>
      <c r="EJ224" s="886">
        <f>VLOOKUP(WWWW[[#This Row],[Site Name]],SiteDB6[[Site Name]:[Lat]],12,FALSE)</f>
        <v>25.305008999999998</v>
      </c>
      <c r="EK224" s="886">
        <f>VLOOKUP(WWWW[[#This Row],[Site Name]],SiteDB6[[Site Name]:[Long]],13,FALSE)</f>
        <v>97.430321000000006</v>
      </c>
      <c r="EL224" s="886" t="str">
        <f>VLOOKUP(WWWW[[#This Row],[Site Name]],SiteDB6[[Site Name]:[Pcode]],3,FALSE)</f>
        <v>MMR001CMP248</v>
      </c>
      <c r="EM224" s="891" t="str">
        <f t="shared" si="3"/>
        <v>Covered</v>
      </c>
      <c r="EN224" s="891"/>
      <c r="EO224" s="886">
        <f>VLOOKUP(WWWW[[#This Row],[Site Name]],SiteDB6[[Site Name]:[Pop
(Kachin/Shan-CCCM as of July 2021)]],16,FALSE)</f>
        <v>60</v>
      </c>
      <c r="EP224" s="886">
        <f>VLOOKUP(WWWW[[#This Row],[Site Name]],SiteDB6[[Site Name]:[Pop
(Kachin/Shan-CCCM as of July 2021)]],17,FALSE)</f>
        <v>371</v>
      </c>
    </row>
    <row r="225" spans="1:146" hidden="1">
      <c r="A225" s="884" t="s">
        <v>2764</v>
      </c>
      <c r="B225" s="884" t="s">
        <v>242</v>
      </c>
      <c r="C225" s="885" t="s">
        <v>242</v>
      </c>
      <c r="D225" s="885" t="s">
        <v>299</v>
      </c>
      <c r="E225" s="885" t="s">
        <v>37</v>
      </c>
      <c r="F225" s="885" t="s">
        <v>142</v>
      </c>
      <c r="G225" s="591" t="str">
        <f>VLOOKUP(WWWW[[#This Row],[Site Name]],SiteDB6[[Site Name]:[Location Type]],8,FALSE)</f>
        <v>Camp</v>
      </c>
      <c r="H225" s="885" t="s">
        <v>268</v>
      </c>
      <c r="I225" s="887">
        <v>59</v>
      </c>
      <c r="J225" s="887">
        <v>293</v>
      </c>
      <c r="K225" s="888">
        <v>44562</v>
      </c>
      <c r="L225" s="889">
        <v>44926</v>
      </c>
      <c r="M225" s="887"/>
      <c r="N225" s="887">
        <v>1</v>
      </c>
      <c r="O225" s="887">
        <v>1</v>
      </c>
      <c r="P225" s="887"/>
      <c r="Q225" s="890" t="s">
        <v>41</v>
      </c>
      <c r="R225" s="887">
        <v>1</v>
      </c>
      <c r="S225" s="887">
        <v>6</v>
      </c>
      <c r="T225" s="448">
        <v>1</v>
      </c>
      <c r="U225" s="887">
        <v>1</v>
      </c>
      <c r="V225" s="887"/>
      <c r="W225" s="887"/>
      <c r="X225" s="887"/>
      <c r="Y225" s="887"/>
      <c r="Z225" s="887"/>
      <c r="AA225" s="887"/>
      <c r="AB225" s="887"/>
      <c r="AC225" s="887"/>
      <c r="AD225" s="887"/>
      <c r="AE225" s="887">
        <v>1</v>
      </c>
      <c r="AF225" s="887"/>
      <c r="AG225" s="887">
        <v>2</v>
      </c>
      <c r="AH225" s="887"/>
      <c r="AI225" s="887"/>
      <c r="AJ225" s="887"/>
      <c r="AK225" s="887"/>
      <c r="AL225" s="887"/>
      <c r="AM225" s="887">
        <v>2</v>
      </c>
      <c r="AN225" s="887">
        <v>2</v>
      </c>
      <c r="AO225" s="448">
        <v>2</v>
      </c>
      <c r="AP225" s="891"/>
      <c r="AQ225" s="887">
        <v>6</v>
      </c>
      <c r="AR225" s="887">
        <v>2</v>
      </c>
      <c r="AS225" s="892" t="s">
        <v>3069</v>
      </c>
      <c r="AT225" s="887">
        <v>8</v>
      </c>
      <c r="AU225" s="887"/>
      <c r="AV225" s="887"/>
      <c r="AW225" s="887"/>
      <c r="AX225" s="887"/>
      <c r="AY225" s="886" t="s">
        <v>41</v>
      </c>
      <c r="AZ225" s="891" t="s">
        <v>137</v>
      </c>
      <c r="BA225" s="887"/>
      <c r="BB225" s="887"/>
      <c r="BC225" s="887"/>
      <c r="BD225" s="448">
        <v>4</v>
      </c>
      <c r="BE225" s="448"/>
      <c r="BF225" s="886"/>
      <c r="BG225" s="887">
        <v>2</v>
      </c>
      <c r="BH225" s="887"/>
      <c r="BI225" s="887"/>
      <c r="BJ225" s="887">
        <v>3</v>
      </c>
      <c r="BK225" s="887"/>
      <c r="BL225" s="887"/>
      <c r="BM225" s="887"/>
      <c r="BN225" s="887">
        <v>59</v>
      </c>
      <c r="BO225" s="887"/>
      <c r="BP225" s="886" t="s">
        <v>41</v>
      </c>
      <c r="BQ225" s="893"/>
      <c r="BR225" s="892">
        <v>0.5</v>
      </c>
      <c r="BS225" s="886"/>
      <c r="BT225" s="423">
        <v>1</v>
      </c>
      <c r="BU225" s="423">
        <v>0.9</v>
      </c>
      <c r="BV225" s="425"/>
      <c r="BW225" s="423">
        <v>1</v>
      </c>
      <c r="BX225" s="448"/>
      <c r="BY225" s="448"/>
      <c r="BZ225" s="448"/>
      <c r="CA225" s="448"/>
      <c r="CB225" s="448"/>
      <c r="CC225" s="777"/>
      <c r="CD225" s="448"/>
      <c r="CE225" s="894" t="str">
        <f>IFERROR(WWWW[[#This Row],['#_Water sources passed]]/WWWW[[#This Row],['#_Water sources tested for fecal coliform ]],"no test")</f>
        <v>no test</v>
      </c>
      <c r="CF225" s="892" t="str">
        <f>IFERROR(WWWW[[#This Row],['#_Household passed]]/WWWW[[#This Row],['#_Household water samples tested for fecal coliform]],"no test")</f>
        <v>no test</v>
      </c>
      <c r="CG225" s="893" t="str">
        <f>IF(AND(WWWW[[#This Row],[% of water sources passed]]="no test",WWWW[[#This Row],[% Household passed]]="no test"),"No Test","Tested")</f>
        <v>No Test</v>
      </c>
      <c r="CH225" s="893">
        <f>WWWW[[#This Row],['#_Constructed/existing protected hand dug well]]-WWWW[[#This Row],['#_Non-functional protected hand dug well]]</f>
        <v>0</v>
      </c>
      <c r="CI225" s="893">
        <f>(WWWW[[#This Row],['#_Constructed/Existing tube wells/boreholes/handpumps_WASH_agency]]+WWWW[[#This Row],['#_Non-Cluster partner water tube-wells/boreholes/handpumps]])-WWWW[[#This Row],['#_Non-functional tube wells/boreholes/handpumps]]</f>
        <v>0</v>
      </c>
      <c r="CJ225" s="893">
        <f>WWWW[[#This Row],['#_Constructed/Existingwater storage tank with gravity fed reticulation system]]-WWWW[[#This Row],['#_Non-functional storage tank gravity fed reticulation system]]</f>
        <v>0</v>
      </c>
      <c r="CK225" s="893">
        <f>(WWWW[[#This Row],['#_Water_Liters_supplied_by_Water boating or water trucking]]/90)/15</f>
        <v>0</v>
      </c>
      <c r="CL225" s="893">
        <f>WWWW[[#This Row],['#_Water_Liters_from_Constructed/Existing water distribution system from river or natural spring]]/90/15</f>
        <v>0</v>
      </c>
      <c r="CM225" s="424">
        <f>IF(WWWW[[#This Row],['#_of water points in TLS/CFS]]*500&gt;WWWW[[#This Row],[Total PoP ]],WWWW[[#This Row],[Total PoP ]],WWWW[[#This Row],['#_of water points in TLS/CFS]]*500)</f>
        <v>293</v>
      </c>
      <c r="CN225" s="424">
        <f>IF(WWWW[[#This Row],['#_of water points in THF]]*500&gt;WWWW[[#This Row],[Total PoP ]],WWWW[[#This Row],[Total PoP ]],WWWW[[#This Row],['#_of water points in THF]]*500)</f>
        <v>293</v>
      </c>
      <c r="CO22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2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25" s="892">
        <f>IF(WWWW[[#This Row],[Location Type 1]]="Village",WWWW[[#This Row],[Access to safe drinking water for Village]],WWWW[[#This Row],[Access to safe drinking water for Camp]])</f>
        <v>0</v>
      </c>
      <c r="CR225" s="890">
        <f>WWWW[[#This Row],[%Equitable and continuous access to sufficient quantity of safe drinking water]]*WWWW[[#This Row],[Total PoP ]]</f>
        <v>0</v>
      </c>
      <c r="CS225" s="892">
        <f>IF((WWWW[[#This Row],['#_Constructed/Existing protected/fenced ponds]]*250)/WWWW[[#This Row],[Total PoP ]]&gt;1,1,(WWWW[[#This Row],['#_Constructed/Existing protected/fenced ponds]]*250)/WWWW[[#This Row],[Total PoP ]])</f>
        <v>0.85324232081911267</v>
      </c>
      <c r="CT225" s="890">
        <f>WWWW[[#This Row],[% Access to unimproved water points]]*WWWW[[#This Row],[Total PoP ]]</f>
        <v>250</v>
      </c>
      <c r="CU22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0.85324232081911267</v>
      </c>
      <c r="CV22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225" s="890">
        <f>WWWW[[#This Row],[HRP1]]/500</f>
        <v>0.5</v>
      </c>
      <c r="CX225" s="895">
        <f>1-WWWW[[#This Row],[% Equitable and continuous access to sufficient quantity of domestic water]]</f>
        <v>0.14675767918088733</v>
      </c>
      <c r="CY225" s="890">
        <f>WWWW[[#This Row],[%equitable and continuous access to sufficient quantity of safe drinking and domestic water''s GAP]]*WWWW[[#This Row],[Total PoP ]]</f>
        <v>42.999999999999986</v>
      </c>
      <c r="CZ225" s="893">
        <f>IF(WWWW[[#This Row],[Total required water points]]-WWWW[[#This Row],['#Water points coverage]]&lt;0,0,WWWW[[#This Row],[Total required water points]]-WWWW[[#This Row],['#Water points coverage]])</f>
        <v>0.5</v>
      </c>
      <c r="DA225" s="893">
        <f>ROUND(IF(WWWW[[#This Row],[Total PoP ]]&lt;500,1,WWWW[[#This Row],[Total PoP ]]/500),0)</f>
        <v>1</v>
      </c>
      <c r="DB225" s="893">
        <f>(WWWW[[#This Row],['#_Constructed latrines_by_WASHAgencies]]+WWWW[[#This Row],['#_Non Cluster partner latrines]])-WWWW[[#This Row],['#_Non-functional latrines]]</f>
        <v>0</v>
      </c>
      <c r="DC225" s="631">
        <f>WWWW[[#This Row],[HRP2]]/WWWW[[#This Row],[Total PoP ]]</f>
        <v>0</v>
      </c>
      <c r="DD22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2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5" s="424">
        <f>IF(WWWW[[#This Row],['# of functional latrines in THF supported by WASH partners during the reporting period2]]="",0,WWWW[[#This Row],['# of functional latrines in THF supported by WASH partners during the reporting period2]]*50)</f>
        <v>200</v>
      </c>
      <c r="DH225" s="893">
        <f>ROUND(IF(WWWW[[#This Row],[Location Type 1]]="camp",WWWW[[#This Row],[Total PoP ]]/20,IF(WWWW[[#This Row],[Location Type 1]]="Temporary Location",WWWW[[#This Row],[Total PoP ]]/50,(WWWW[[#This Row],[Total PoP ]]/6))),0)</f>
        <v>15</v>
      </c>
      <c r="DI225" s="893">
        <f>IF(WWWW[[#This Row],[Total required Latrines]]-(WWWW[[#This Row],['#_Constructed latrines_by_WASHAgencies]]+WWWW[[#This Row],['#_Non Cluster partner latrines]])&lt;0,0,WWWW[[#This Row],[Total required Latrines]]-(WWWW[[#This Row],['#_Constructed latrines_by_WASHAgencies]]+WWWW[[#This Row],['#_Non Cluster partner latrines]]))</f>
        <v>7</v>
      </c>
      <c r="DJ225" s="895">
        <f>1-WWWW[[#This Row],[% people access to functioning Latrine]]</f>
        <v>1</v>
      </c>
      <c r="DK225" s="894">
        <f>IF(OR(WWWW[[#This Row],['#_Non-functional latrines]]="",WWWW[[#This Row],['#_Non-functional latrines]]=0),0,WWWW[[#This Row],['#_Non-functional latrines]]/(WWWW[[#This Row],['#_Constructed latrines_by_WASHAgencies]]+WWWW[[#This Row],['#_Non Cluster partner latrines]]))</f>
        <v>1</v>
      </c>
      <c r="DL225" s="890">
        <f>IF(500*(WWWW[[#This Row],['#_male hygiene promoters]]+WWWW[[#This Row],['#_female hygiene promoters]])&gt;WWWW[[#This Row],[Total PoP ]],WWWW[[#This Row],[Total PoP ]],500*(WWWW[[#This Row],['#_male hygiene promoters]]+WWWW[[#This Row],['#_female hygiene promoters]]))</f>
        <v>0</v>
      </c>
      <c r="DM22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293</v>
      </c>
      <c r="DN22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5" s="893">
        <f>IF(WWWW[[#This Row],['# People with access to soap]]&gt;WWWW[[#This Row],['# People with access to Sanity Pads]],WWWW[[#This Row],['# People with access to soap]],WWWW[[#This Row],['# People with access to Sanity Pads]])</f>
        <v>293</v>
      </c>
      <c r="DP225" s="893">
        <f>IF(WWWW[[#This Row],['# people reached by regular dedicated hygiene promotion_5]]&gt;WWWW[[#This Row],['# People received regular supply of hygiene items_6]],WWWW[[#This Row],['# people reached by regular dedicated hygiene promotion_5]],WWWW[[#This Row],['# People received regular supply of hygiene items_6]])</f>
        <v>293</v>
      </c>
      <c r="DQ225" s="895">
        <f>IF(WWWW[[#This Row],[HRP3]]/WWWW[[#This Row],[Total PoP ]]&gt;1,1,WWWW[[#This Row],[HRP3]]/WWWW[[#This Row],[Total PoP ]])</f>
        <v>1</v>
      </c>
      <c r="DR225" s="894">
        <f>1-WWWW[[#This Row],[Hygiene Coverage%]]</f>
        <v>0</v>
      </c>
      <c r="DS225" s="892">
        <f>WWWW[[#This Row],['# people reached by regular dedicated hygiene promotion_5]]/WWWW[[#This Row],[Total PoP ]]</f>
        <v>0</v>
      </c>
      <c r="DT22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2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5" s="893">
        <f>WWWW[[#This Row],['#_Constructed/Existing hand washing stations]]-WWWW[[#This Row],['#_Non-Functional_hand_washing_stations]]</f>
        <v>2</v>
      </c>
      <c r="DW225" s="890">
        <f>IF(WWWW[[#This Row],['# Functional hand washing stations during reporting period]]*20&gt;WWWW[[#This Row],[Total HH]],WWWW[[#This Row],[Total HH]],WWWW[[#This Row],['# Functional hand washing stations during reporting period]]*20)</f>
        <v>40</v>
      </c>
      <c r="DX225" s="890">
        <f>IF(WWWW[[#This Row],[Is sufficient soap available for TLS? (Yes/No)]]="yes",WWWW[[#This Row],['#_Constructed/Existing hand washing stations at TLS/CFS/THF]],0)</f>
        <v>2</v>
      </c>
      <c r="DY225" s="428">
        <f>IF(WWWW[[#This Row],['# Functional hand washing stations during reporting period]]*100&gt;WWWW[[#This Row],[Total PoP ]],WWWW[[#This Row],[Total PoP ]],WWWW[[#This Row],['# Functional hand washing stations during reporting period]]*100)</f>
        <v>200</v>
      </c>
      <c r="DZ225" s="428" t="str">
        <f>IF(OR(WWWW[[#This Row],['#_students at TLS_CFS]]="",WWWW[[#This Row],['#_students at TLS_CFS]]=0),"No","Yes")</f>
        <v>No</v>
      </c>
      <c r="EA22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293</v>
      </c>
      <c r="ED22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293</v>
      </c>
      <c r="EE225" s="886" t="str">
        <f>VLOOKUP(WWWW[[#This Row],[Site Name]],SiteDB6[[Site Name]:[CCCM Management]],6,FALSE)</f>
        <v>Yes</v>
      </c>
      <c r="EF225" s="886" t="str">
        <f>VLOOKUP(WWWW[[#This Row],[Site Name]],SiteDB6[[Site Name]:[CCCM Focal Agency]],7,FALSE)</f>
        <v>Shalom</v>
      </c>
      <c r="EG225" s="886" t="str">
        <f>VLOOKUP(WWWW[[#This Row],[Site Name]],SiteDB6[[Site Name]:[Location Type 1]],9,FALSE)</f>
        <v>Camp</v>
      </c>
      <c r="EH225" s="886" t="str">
        <f>VLOOKUP(WWWW[[#This Row],[Site Name]],SiteDB6[[Site Name]:[Type of Accommodation]],10,FALSE)</f>
        <v>Camp</v>
      </c>
      <c r="EI225" s="886" t="str">
        <f>VLOOKUP(WWWW[[#This Row],[Site Name]],SiteDB6[[Site Name]:[Ethnic or GCA/NGCA]],11,FALSE)</f>
        <v>GCA</v>
      </c>
      <c r="EJ225" s="886">
        <f>VLOOKUP(WWWW[[#This Row],[Site Name]],SiteDB6[[Site Name]:[Lat]],12,FALSE)</f>
        <v>25.321710740740698</v>
      </c>
      <c r="EK225" s="886">
        <f>VLOOKUP(WWWW[[#This Row],[Site Name]],SiteDB6[[Site Name]:[Long]],13,FALSE)</f>
        <v>97.404195925926004</v>
      </c>
      <c r="EL225" s="886" t="str">
        <f>VLOOKUP(WWWW[[#This Row],[Site Name]],SiteDB6[[Site Name]:[Pcode]],3,FALSE)</f>
        <v>MMR001CMP028</v>
      </c>
      <c r="EM225" s="891" t="str">
        <f t="shared" si="3"/>
        <v>Covered</v>
      </c>
      <c r="EN225" s="891"/>
      <c r="EO225" s="886">
        <f>VLOOKUP(WWWW[[#This Row],[Site Name]],SiteDB6[[Site Name]:[Pop
(Kachin/Shan-CCCM as of July 2021)]],16,FALSE)</f>
        <v>59</v>
      </c>
      <c r="EP225" s="886">
        <f>VLOOKUP(WWWW[[#This Row],[Site Name]],SiteDB6[[Site Name]:[Pop
(Kachin/Shan-CCCM as of July 2021)]],17,FALSE)</f>
        <v>291</v>
      </c>
    </row>
    <row r="226" spans="1:146" hidden="1">
      <c r="A226" s="884" t="s">
        <v>2764</v>
      </c>
      <c r="B226" s="884" t="s">
        <v>2081</v>
      </c>
      <c r="C226" s="885" t="s">
        <v>141</v>
      </c>
      <c r="D226" s="885" t="s">
        <v>299</v>
      </c>
      <c r="E226" s="885" t="s">
        <v>37</v>
      </c>
      <c r="F226" s="885" t="s">
        <v>142</v>
      </c>
      <c r="G226" s="591" t="str">
        <f>VLOOKUP(WWWW[[#This Row],[Site Name]],SiteDB6[[Site Name]:[Location Type]],8,FALSE)</f>
        <v>Camp</v>
      </c>
      <c r="H226" s="885" t="s">
        <v>175</v>
      </c>
      <c r="I226" s="887">
        <v>138</v>
      </c>
      <c r="J226" s="887">
        <v>966</v>
      </c>
      <c r="K226" s="888">
        <v>44682</v>
      </c>
      <c r="L226" s="889">
        <v>44865</v>
      </c>
      <c r="M226" s="887"/>
      <c r="N226" s="887">
        <v>1</v>
      </c>
      <c r="O226" s="887"/>
      <c r="P226" s="887"/>
      <c r="Q226" s="890" t="s">
        <v>41</v>
      </c>
      <c r="R226" s="887">
        <v>2</v>
      </c>
      <c r="S226" s="887">
        <v>3</v>
      </c>
      <c r="T226" s="448">
        <v>2</v>
      </c>
      <c r="U226" s="887"/>
      <c r="V226" s="887"/>
      <c r="W226" s="887"/>
      <c r="X226" s="887"/>
      <c r="Y226" s="887"/>
      <c r="Z226" s="887"/>
      <c r="AA226" s="887">
        <v>2</v>
      </c>
      <c r="AB226" s="887"/>
      <c r="AC226" s="887">
        <v>2</v>
      </c>
      <c r="AD226" s="887"/>
      <c r="AE226" s="887"/>
      <c r="AF226" s="887"/>
      <c r="AG226" s="887"/>
      <c r="AH226" s="887"/>
      <c r="AI226" s="887"/>
      <c r="AJ226" s="887"/>
      <c r="AK226" s="887"/>
      <c r="AL226" s="887"/>
      <c r="AM226" s="887"/>
      <c r="AN226" s="887"/>
      <c r="AO226" s="448"/>
      <c r="AP226" s="891"/>
      <c r="AQ226" s="887">
        <v>50</v>
      </c>
      <c r="AR226" s="887">
        <v>62</v>
      </c>
      <c r="AS226" s="892"/>
      <c r="AT226" s="887">
        <v>50</v>
      </c>
      <c r="AU226" s="887"/>
      <c r="AV226" s="887"/>
      <c r="AW226" s="887"/>
      <c r="AX226" s="887">
        <v>50</v>
      </c>
      <c r="AY226" s="886" t="s">
        <v>41</v>
      </c>
      <c r="AZ226" s="891" t="s">
        <v>137</v>
      </c>
      <c r="BA226" s="887"/>
      <c r="BB226" s="887"/>
      <c r="BC226" s="887"/>
      <c r="BD226" s="448"/>
      <c r="BE226" s="448"/>
      <c r="BF226" s="886"/>
      <c r="BG226" s="887">
        <v>8</v>
      </c>
      <c r="BH226" s="887"/>
      <c r="BI226" s="887"/>
      <c r="BJ226" s="887">
        <v>2</v>
      </c>
      <c r="BK226" s="887">
        <v>2</v>
      </c>
      <c r="BL226" s="887"/>
      <c r="BM226" s="887">
        <v>2</v>
      </c>
      <c r="BN226" s="887"/>
      <c r="BO226" s="887"/>
      <c r="BP226" s="886"/>
      <c r="BQ226" s="893"/>
      <c r="BR226" s="892"/>
      <c r="BS226" s="886"/>
      <c r="BT226" s="423"/>
      <c r="BU226" s="423"/>
      <c r="BV226" s="425"/>
      <c r="BW226" s="423"/>
      <c r="BX226" s="448"/>
      <c r="BY226" s="448"/>
      <c r="BZ226" s="448"/>
      <c r="CA226" s="448"/>
      <c r="CB226" s="448"/>
      <c r="CC226" s="777"/>
      <c r="CD226" s="448"/>
      <c r="CE226" s="894" t="str">
        <f>IFERROR(WWWW[[#This Row],['#_Water sources passed]]/WWWW[[#This Row],['#_Water sources tested for fecal coliform ]],"no test")</f>
        <v>no test</v>
      </c>
      <c r="CF226" s="892" t="str">
        <f>IFERROR(WWWW[[#This Row],['#_Household passed]]/WWWW[[#This Row],['#_Household water samples tested for fecal coliform]],"no test")</f>
        <v>no test</v>
      </c>
      <c r="CG226" s="893" t="str">
        <f>IF(AND(WWWW[[#This Row],[% of water sources passed]]="no test",WWWW[[#This Row],[% Household passed]]="no test"),"No Test","Tested")</f>
        <v>No Test</v>
      </c>
      <c r="CH226" s="893">
        <f>WWWW[[#This Row],['#_Constructed/existing protected hand dug well]]-WWWW[[#This Row],['#_Non-functional protected hand dug well]]</f>
        <v>2</v>
      </c>
      <c r="CI226" s="893">
        <f>(WWWW[[#This Row],['#_Constructed/Existing tube wells/boreholes/handpumps_WASH_agency]]+WWWW[[#This Row],['#_Non-Cluster partner water tube-wells/boreholes/handpumps]])-WWWW[[#This Row],['#_Non-functional tube wells/boreholes/handpumps]]</f>
        <v>0</v>
      </c>
      <c r="CJ226" s="893">
        <f>WWWW[[#This Row],['#_Constructed/Existingwater storage tank with gravity fed reticulation system]]-WWWW[[#This Row],['#_Non-functional storage tank gravity fed reticulation system]]</f>
        <v>2</v>
      </c>
      <c r="CK226" s="893">
        <f>(WWWW[[#This Row],['#_Water_Liters_supplied_by_Water boating or water trucking]]/90)/15</f>
        <v>0</v>
      </c>
      <c r="CL226" s="893">
        <f>WWWW[[#This Row],['#_Water_Liters_from_Constructed/Existing water distribution system from river or natural spring]]/90/15</f>
        <v>0</v>
      </c>
      <c r="CM226" s="424">
        <f>IF(WWWW[[#This Row],['#_of water points in TLS/CFS]]*500&gt;WWWW[[#This Row],[Total PoP ]],WWWW[[#This Row],[Total PoP ]],WWWW[[#This Row],['#_of water points in TLS/CFS]]*500)</f>
        <v>0</v>
      </c>
      <c r="CN226" s="424">
        <f>IF(WWWW[[#This Row],['#_of water points in THF]]*500&gt;WWWW[[#This Row],[Total PoP ]],WWWW[[#This Row],[Total PoP ]],WWWW[[#This Row],['#_of water points in THF]]*500)</f>
        <v>0</v>
      </c>
      <c r="CO22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0.96618357487922713</v>
      </c>
      <c r="CP22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0.65562456866804697</v>
      </c>
      <c r="CQ226" s="892">
        <f>IF(WWWW[[#This Row],[Location Type 1]]="Village",WWWW[[#This Row],[Access to safe drinking water for Village]],WWWW[[#This Row],[Access to safe drinking water for Camp]])</f>
        <v>0.96618357487922713</v>
      </c>
      <c r="CR226" s="890">
        <f>WWWW[[#This Row],[%Equitable and continuous access to sufficient quantity of safe drinking water]]*WWWW[[#This Row],[Total PoP ]]</f>
        <v>933.33333333333337</v>
      </c>
      <c r="CS226" s="892">
        <f>IF((WWWW[[#This Row],['#_Constructed/Existing protected/fenced ponds]]*250)/WWWW[[#This Row],[Total PoP ]]&gt;1,1,(WWWW[[#This Row],['#_Constructed/Existing protected/fenced ponds]]*250)/WWWW[[#This Row],[Total PoP ]])</f>
        <v>0</v>
      </c>
      <c r="CT226" s="890">
        <f>WWWW[[#This Row],[% Access to unimproved water points]]*WWWW[[#This Row],[Total PoP ]]</f>
        <v>0</v>
      </c>
      <c r="CU22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0.96618357487922713</v>
      </c>
      <c r="CV22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933.33333333333337</v>
      </c>
      <c r="CW226" s="890">
        <f>WWWW[[#This Row],[HRP1]]/500</f>
        <v>1.8666666666666667</v>
      </c>
      <c r="CX226" s="895">
        <f>1-WWWW[[#This Row],[% Equitable and continuous access to sufficient quantity of domestic water]]</f>
        <v>3.3816425120772875E-2</v>
      </c>
      <c r="CY226" s="890">
        <f>WWWW[[#This Row],[%equitable and continuous access to sufficient quantity of safe drinking and domestic water''s GAP]]*WWWW[[#This Row],[Total PoP ]]</f>
        <v>32.6666666666666</v>
      </c>
      <c r="CZ226" s="893">
        <f>IF(WWWW[[#This Row],[Total required water points]]-WWWW[[#This Row],['#Water points coverage]]&lt;0,0,WWWW[[#This Row],[Total required water points]]-WWWW[[#This Row],['#Water points coverage]])</f>
        <v>0.1333333333333333</v>
      </c>
      <c r="DA226" s="893">
        <f>ROUND(IF(WWWW[[#This Row],[Total PoP ]]&lt;500,1,WWWW[[#This Row],[Total PoP ]]/500),0)</f>
        <v>2</v>
      </c>
      <c r="DB226" s="893">
        <f>(WWWW[[#This Row],['#_Constructed latrines_by_WASHAgencies]]+WWWW[[#This Row],['#_Non Cluster partner latrines]])-WWWW[[#This Row],['#_Non-functional latrines]]</f>
        <v>62</v>
      </c>
      <c r="DC226" s="631">
        <f>WWWW[[#This Row],[HRP2]]/WWWW[[#This Row],[Total PoP ]]</f>
        <v>1</v>
      </c>
      <c r="DD22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966</v>
      </c>
      <c r="DE22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6" s="424">
        <f>IF(WWWW[[#This Row],['# of functional latrines in THF supported by WASH partners during the reporting period2]]="",0,WWWW[[#This Row],['# of functional latrines in THF supported by WASH partners during the reporting period2]]*50)</f>
        <v>0</v>
      </c>
      <c r="DH226" s="893">
        <f>ROUND(IF(WWWW[[#This Row],[Location Type 1]]="camp",WWWW[[#This Row],[Total PoP ]]/20,IF(WWWW[[#This Row],[Location Type 1]]="Temporary Location",WWWW[[#This Row],[Total PoP ]]/50,(WWWW[[#This Row],[Total PoP ]]/6))),0)</f>
        <v>48</v>
      </c>
      <c r="DI226" s="893">
        <f>IF(WWWW[[#This Row],[Total required Latrines]]-(WWWW[[#This Row],['#_Constructed latrines_by_WASHAgencies]]+WWWW[[#This Row],['#_Non Cluster partner latrines]])&lt;0,0,WWWW[[#This Row],[Total required Latrines]]-(WWWW[[#This Row],['#_Constructed latrines_by_WASHAgencies]]+WWWW[[#This Row],['#_Non Cluster partner latrines]]))</f>
        <v>0</v>
      </c>
      <c r="DJ226" s="895">
        <f>1-WWWW[[#This Row],[% people access to functioning Latrine]]</f>
        <v>0</v>
      </c>
      <c r="DK226" s="894">
        <f>IF(OR(WWWW[[#This Row],['#_Non-functional latrines]]="",WWWW[[#This Row],['#_Non-functional latrines]]=0),0,WWWW[[#This Row],['#_Non-functional latrines]]/(WWWW[[#This Row],['#_Constructed latrines_by_WASHAgencies]]+WWWW[[#This Row],['#_Non Cluster partner latrines]]))</f>
        <v>0.44642857142857145</v>
      </c>
      <c r="DL226" s="890">
        <f>IF(500*(WWWW[[#This Row],['#_male hygiene promoters]]+WWWW[[#This Row],['#_female hygiene promoters]])&gt;WWWW[[#This Row],[Total PoP ]],WWWW[[#This Row],[Total PoP ]],500*(WWWW[[#This Row],['#_male hygiene promoters]]+WWWW[[#This Row],['#_female hygiene promoters]]))</f>
        <v>966</v>
      </c>
      <c r="DM22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6" s="893">
        <f>IF(WWWW[[#This Row],['# People with access to soap]]&gt;WWWW[[#This Row],['# People with access to Sanity Pads]],WWWW[[#This Row],['# People with access to soap]],WWWW[[#This Row],['# People with access to Sanity Pads]])</f>
        <v>0</v>
      </c>
      <c r="DP226" s="893">
        <f>IF(WWWW[[#This Row],['# people reached by regular dedicated hygiene promotion_5]]&gt;WWWW[[#This Row],['# People received regular supply of hygiene items_6]],WWWW[[#This Row],['# people reached by regular dedicated hygiene promotion_5]],WWWW[[#This Row],['# People received regular supply of hygiene items_6]])</f>
        <v>966</v>
      </c>
      <c r="DQ226" s="895">
        <f>IF(WWWW[[#This Row],[HRP3]]/WWWW[[#This Row],[Total PoP ]]&gt;1,1,WWWW[[#This Row],[HRP3]]/WWWW[[#This Row],[Total PoP ]])</f>
        <v>1</v>
      </c>
      <c r="DR226" s="894">
        <f>1-WWWW[[#This Row],[Hygiene Coverage%]]</f>
        <v>0</v>
      </c>
      <c r="DS226" s="892">
        <f>WWWW[[#This Row],['# people reached by regular dedicated hygiene promotion_5]]/WWWW[[#This Row],[Total PoP ]]</f>
        <v>1</v>
      </c>
      <c r="DT22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6" s="893">
        <f>WWWW[[#This Row],['#_Constructed/Existing hand washing stations]]-WWWW[[#This Row],['#_Non-Functional_hand_washing_stations]]</f>
        <v>8</v>
      </c>
      <c r="DW226" s="890">
        <f>IF(WWWW[[#This Row],['# Functional hand washing stations during reporting period]]*20&gt;WWWW[[#This Row],[Total HH]],WWWW[[#This Row],[Total HH]],WWWW[[#This Row],['# Functional hand washing stations during reporting period]]*20)</f>
        <v>138</v>
      </c>
      <c r="DX226" s="890">
        <f>IF(WWWW[[#This Row],[Is sufficient soap available for TLS? (Yes/No)]]="yes",WWWW[[#This Row],['#_Constructed/Existing hand washing stations at TLS/CFS/THF]],0)</f>
        <v>0</v>
      </c>
      <c r="DY226" s="428">
        <f>IF(WWWW[[#This Row],['# Functional hand washing stations during reporting period]]*100&gt;WWWW[[#This Row],[Total PoP ]],WWWW[[#This Row],[Total PoP ]],WWWW[[#This Row],['# Functional hand washing stations during reporting period]]*100)</f>
        <v>800</v>
      </c>
      <c r="DZ226" s="428" t="str">
        <f>IF(OR(WWWW[[#This Row],['#_students at TLS_CFS]]="",WWWW[[#This Row],['#_students at TLS_CFS]]=0),"No","Yes")</f>
        <v>No</v>
      </c>
      <c r="EA22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6" s="886" t="str">
        <f>VLOOKUP(WWWW[[#This Row],[Site Name]],SiteDB6[[Site Name]:[CCCM Management]],6,FALSE)</f>
        <v>Yes</v>
      </c>
      <c r="EF226" s="886" t="str">
        <f>VLOOKUP(WWWW[[#This Row],[Site Name]],SiteDB6[[Site Name]:[CCCM Focal Agency]],7,FALSE)</f>
        <v>KBC-MYT</v>
      </c>
      <c r="EG226" s="886" t="str">
        <f>VLOOKUP(WWWW[[#This Row],[Site Name]],SiteDB6[[Site Name]:[Location Type 1]],9,FALSE)</f>
        <v>Camp</v>
      </c>
      <c r="EH226" s="886" t="str">
        <f>VLOOKUP(WWWW[[#This Row],[Site Name]],SiteDB6[[Site Name]:[Type of Accommodation]],10,FALSE)</f>
        <v>Camp</v>
      </c>
      <c r="EI226" s="886" t="str">
        <f>VLOOKUP(WWWW[[#This Row],[Site Name]],SiteDB6[[Site Name]:[Ethnic or GCA/NGCA]],11,FALSE)</f>
        <v>NGCA</v>
      </c>
      <c r="EJ226" s="886">
        <f>VLOOKUP(WWWW[[#This Row],[Site Name]],SiteDB6[[Site Name]:[Lat]],12,FALSE)</f>
        <v>25.200333000000001</v>
      </c>
      <c r="EK226" s="886">
        <f>VLOOKUP(WWWW[[#This Row],[Site Name]],SiteDB6[[Site Name]:[Long]],13,FALSE)</f>
        <v>97.807182999999995</v>
      </c>
      <c r="EL226" s="886" t="str">
        <f>VLOOKUP(WWWW[[#This Row],[Site Name]],SiteDB6[[Site Name]:[Pcode]],3,FALSE)</f>
        <v>MMR001CMP115</v>
      </c>
      <c r="EM226" s="891" t="str">
        <f t="shared" si="3"/>
        <v>Covered</v>
      </c>
      <c r="EN226" s="891"/>
      <c r="EO226" s="886">
        <f>VLOOKUP(WWWW[[#This Row],[Site Name]],SiteDB6[[Site Name]:[Pop
(Kachin/Shan-CCCM as of July 2021)]],16,FALSE)</f>
        <v>138</v>
      </c>
      <c r="EP226" s="886">
        <f>VLOOKUP(WWWW[[#This Row],[Site Name]],SiteDB6[[Site Name]:[Pop
(Kachin/Shan-CCCM as of July 2021)]],17,FALSE)</f>
        <v>966</v>
      </c>
    </row>
    <row r="227" spans="1:146" hidden="1">
      <c r="A227" s="884" t="s">
        <v>2764</v>
      </c>
      <c r="B227" s="884" t="s">
        <v>3073</v>
      </c>
      <c r="C227" s="885" t="s">
        <v>141</v>
      </c>
      <c r="D227" s="885" t="s">
        <v>3074</v>
      </c>
      <c r="E227" s="885" t="s">
        <v>37</v>
      </c>
      <c r="F227" s="885" t="s">
        <v>148</v>
      </c>
      <c r="G227" s="591" t="str">
        <f>VLOOKUP(WWWW[[#This Row],[Site Name]],SiteDB6[[Site Name]:[Location Type]],8,FALSE)</f>
        <v>Camp</v>
      </c>
      <c r="H227" s="885" t="s">
        <v>149</v>
      </c>
      <c r="I227" s="887">
        <v>26</v>
      </c>
      <c r="J227" s="887">
        <v>133</v>
      </c>
      <c r="K227" s="888">
        <v>44682</v>
      </c>
      <c r="L227" s="889">
        <v>44865</v>
      </c>
      <c r="M227" s="887"/>
      <c r="N227" s="887">
        <v>1</v>
      </c>
      <c r="O227" s="887"/>
      <c r="P227" s="887"/>
      <c r="Q227" s="890" t="s">
        <v>41</v>
      </c>
      <c r="R227" s="448">
        <v>3</v>
      </c>
      <c r="S227" s="448">
        <v>3</v>
      </c>
      <c r="T227" s="448"/>
      <c r="U227" s="887"/>
      <c r="V227" s="887"/>
      <c r="W227" s="887">
        <v>1</v>
      </c>
      <c r="X227" s="887"/>
      <c r="Y227" s="887"/>
      <c r="Z227" s="887"/>
      <c r="AA227" s="887"/>
      <c r="AB227" s="887"/>
      <c r="AC227" s="887"/>
      <c r="AD227" s="887"/>
      <c r="AE227" s="887"/>
      <c r="AF227" s="887"/>
      <c r="AG227" s="887"/>
      <c r="AH227" s="887"/>
      <c r="AI227" s="887"/>
      <c r="AJ227" s="887"/>
      <c r="AK227" s="887"/>
      <c r="AL227" s="887"/>
      <c r="AM227" s="887"/>
      <c r="AN227" s="887"/>
      <c r="AO227" s="448"/>
      <c r="AP227" s="891"/>
      <c r="AQ227" s="887">
        <v>4</v>
      </c>
      <c r="AR227" s="887"/>
      <c r="AS227" s="892"/>
      <c r="AT227" s="887">
        <v>4</v>
      </c>
      <c r="AU227" s="887"/>
      <c r="AV227" s="887"/>
      <c r="AW227" s="887"/>
      <c r="AX227" s="887">
        <v>4</v>
      </c>
      <c r="AY227" s="886" t="s">
        <v>41</v>
      </c>
      <c r="AZ227" s="891" t="s">
        <v>137</v>
      </c>
      <c r="BA227" s="887"/>
      <c r="BB227" s="887"/>
      <c r="BC227" s="887"/>
      <c r="BD227" s="448"/>
      <c r="BE227" s="448"/>
      <c r="BF227" s="886"/>
      <c r="BG227" s="887">
        <v>1</v>
      </c>
      <c r="BH227" s="887"/>
      <c r="BI227" s="887"/>
      <c r="BJ227" s="887">
        <v>1</v>
      </c>
      <c r="BK227" s="887"/>
      <c r="BL227" s="887"/>
      <c r="BM227" s="887"/>
      <c r="BN227" s="887"/>
      <c r="BO227" s="887"/>
      <c r="BP227" s="886"/>
      <c r="BQ227" s="893"/>
      <c r="BR227" s="892"/>
      <c r="BS227" s="886"/>
      <c r="BT227" s="423"/>
      <c r="BU227" s="423"/>
      <c r="BV227" s="425"/>
      <c r="BW227" s="423"/>
      <c r="BX227" s="448"/>
      <c r="BY227" s="448"/>
      <c r="BZ227" s="448"/>
      <c r="CA227" s="448"/>
      <c r="CB227" s="448"/>
      <c r="CC227" s="777"/>
      <c r="CD227" s="448"/>
      <c r="CE227" s="894" t="str">
        <f>IFERROR(WWWW[[#This Row],['#_Water sources passed]]/WWWW[[#This Row],['#_Water sources tested for fecal coliform ]],"no test")</f>
        <v>no test</v>
      </c>
      <c r="CF227" s="892" t="str">
        <f>IFERROR(WWWW[[#This Row],['#_Household passed]]/WWWW[[#This Row],['#_Household water samples tested for fecal coliform]],"no test")</f>
        <v>no test</v>
      </c>
      <c r="CG227" s="893" t="str">
        <f>IF(AND(WWWW[[#This Row],[% of water sources passed]]="no test",WWWW[[#This Row],[% Household passed]]="no test"),"No Test","Tested")</f>
        <v>No Test</v>
      </c>
      <c r="CH227" s="893">
        <f>WWWW[[#This Row],['#_Constructed/existing protected hand dug well]]-WWWW[[#This Row],['#_Non-functional protected hand dug well]]</f>
        <v>0</v>
      </c>
      <c r="CI227" s="893">
        <f>(WWWW[[#This Row],['#_Constructed/Existing tube wells/boreholes/handpumps_WASH_agency]]+WWWW[[#This Row],['#_Non-Cluster partner water tube-wells/boreholes/handpumps]])-WWWW[[#This Row],['#_Non-functional tube wells/boreholes/handpumps]]</f>
        <v>1</v>
      </c>
      <c r="CJ227" s="893">
        <f>WWWW[[#This Row],['#_Constructed/Existingwater storage tank with gravity fed reticulation system]]-WWWW[[#This Row],['#_Non-functional storage tank gravity fed reticulation system]]</f>
        <v>0</v>
      </c>
      <c r="CK227" s="893">
        <f>(WWWW[[#This Row],['#_Water_Liters_supplied_by_Water boating or water trucking]]/90)/15</f>
        <v>0</v>
      </c>
      <c r="CL227" s="893">
        <f>WWWW[[#This Row],['#_Water_Liters_from_Constructed/Existing water distribution system from river or natural spring]]/90/15</f>
        <v>0</v>
      </c>
      <c r="CM227" s="424">
        <f>IF(WWWW[[#This Row],['#_of water points in TLS/CFS]]*500&gt;WWWW[[#This Row],[Total PoP ]],WWWW[[#This Row],[Total PoP ]],WWWW[[#This Row],['#_of water points in TLS/CFS]]*500)</f>
        <v>0</v>
      </c>
      <c r="CN227" s="424">
        <f>IF(WWWW[[#This Row],['#_of water points in THF]]*500&gt;WWWW[[#This Row],[Total PoP ]],WWWW[[#This Row],[Total PoP ]],WWWW[[#This Row],['#_of water points in THF]]*500)</f>
        <v>0</v>
      </c>
      <c r="CO22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7" s="892">
        <f>IF(WWWW[[#This Row],[Location Type 1]]="Village",WWWW[[#This Row],[Access to safe drinking water for Village]],WWWW[[#This Row],[Access to safe drinking water for Camp]])</f>
        <v>1</v>
      </c>
      <c r="CR227" s="890">
        <f>WWWW[[#This Row],[%Equitable and continuous access to sufficient quantity of safe drinking water]]*WWWW[[#This Row],[Total PoP ]]</f>
        <v>133</v>
      </c>
      <c r="CS227" s="892">
        <f>IF((WWWW[[#This Row],['#_Constructed/Existing protected/fenced ponds]]*250)/WWWW[[#This Row],[Total PoP ]]&gt;1,1,(WWWW[[#This Row],['#_Constructed/Existing protected/fenced ponds]]*250)/WWWW[[#This Row],[Total PoP ]])</f>
        <v>0</v>
      </c>
      <c r="CT227" s="890">
        <f>WWWW[[#This Row],[% Access to unimproved water points]]*WWWW[[#This Row],[Total PoP ]]</f>
        <v>0</v>
      </c>
      <c r="CU22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W227" s="890">
        <f>WWWW[[#This Row],[HRP1]]/500</f>
        <v>0.26600000000000001</v>
      </c>
      <c r="CX227" s="895">
        <f>1-WWWW[[#This Row],[% Equitable and continuous access to sufficient quantity of domestic water]]</f>
        <v>0</v>
      </c>
      <c r="CY227" s="890">
        <f>WWWW[[#This Row],[%equitable and continuous access to sufficient quantity of safe drinking and domestic water''s GAP]]*WWWW[[#This Row],[Total PoP ]]</f>
        <v>0</v>
      </c>
      <c r="CZ227" s="893">
        <f>IF(WWWW[[#This Row],[Total required water points]]-WWWW[[#This Row],['#Water points coverage]]&lt;0,0,WWWW[[#This Row],[Total required water points]]-WWWW[[#This Row],['#Water points coverage]])</f>
        <v>0.73399999999999999</v>
      </c>
      <c r="DA227" s="893">
        <f>ROUND(IF(WWWW[[#This Row],[Total PoP ]]&lt;500,1,WWWW[[#This Row],[Total PoP ]]/500),0)</f>
        <v>1</v>
      </c>
      <c r="DB227" s="893">
        <f>(WWWW[[#This Row],['#_Constructed latrines_by_WASHAgencies]]+WWWW[[#This Row],['#_Non Cluster partner latrines]])-WWWW[[#This Row],['#_Non-functional latrines]]</f>
        <v>0</v>
      </c>
      <c r="DC227" s="631">
        <f>WWWW[[#This Row],[HRP2]]/WWWW[[#This Row],[Total PoP ]]</f>
        <v>0</v>
      </c>
      <c r="DD22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2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7" s="424">
        <f>IF(WWWW[[#This Row],['# of functional latrines in THF supported by WASH partners during the reporting period2]]="",0,WWWW[[#This Row],['# of functional latrines in THF supported by WASH partners during the reporting period2]]*50)</f>
        <v>0</v>
      </c>
      <c r="DH227" s="893">
        <f>ROUND(IF(WWWW[[#This Row],[Location Type 1]]="camp",WWWW[[#This Row],[Total PoP ]]/20,IF(WWWW[[#This Row],[Location Type 1]]="Temporary Location",WWWW[[#This Row],[Total PoP ]]/50,(WWWW[[#This Row],[Total PoP ]]/6))),0)</f>
        <v>7</v>
      </c>
      <c r="DI227" s="893">
        <f>IF(WWWW[[#This Row],[Total required Latrines]]-(WWWW[[#This Row],['#_Constructed latrines_by_WASHAgencies]]+WWWW[[#This Row],['#_Non Cluster partner latrines]])&lt;0,0,WWWW[[#This Row],[Total required Latrines]]-(WWWW[[#This Row],['#_Constructed latrines_by_WASHAgencies]]+WWWW[[#This Row],['#_Non Cluster partner latrines]]))</f>
        <v>3</v>
      </c>
      <c r="DJ227" s="895">
        <f>1-WWWW[[#This Row],[% people access to functioning Latrine]]</f>
        <v>1</v>
      </c>
      <c r="DK227" s="894">
        <f>IF(OR(WWWW[[#This Row],['#_Non-functional latrines]]="",WWWW[[#This Row],['#_Non-functional latrines]]=0),0,WWWW[[#This Row],['#_Non-functional latrines]]/(WWWW[[#This Row],['#_Constructed latrines_by_WASHAgencies]]+WWWW[[#This Row],['#_Non Cluster partner latrines]]))</f>
        <v>1</v>
      </c>
      <c r="DL227" s="890">
        <f>IF(500*(WWWW[[#This Row],['#_male hygiene promoters]]+WWWW[[#This Row],['#_female hygiene promoters]])&gt;WWWW[[#This Row],[Total PoP ]],WWWW[[#This Row],[Total PoP ]],500*(WWWW[[#This Row],['#_male hygiene promoters]]+WWWW[[#This Row],['#_female hygiene promoters]]))</f>
        <v>0</v>
      </c>
      <c r="DM22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7" s="893">
        <f>IF(WWWW[[#This Row],['# People with access to soap]]&gt;WWWW[[#This Row],['# People with access to Sanity Pads]],WWWW[[#This Row],['# People with access to soap]],WWWW[[#This Row],['# People with access to Sanity Pads]])</f>
        <v>0</v>
      </c>
      <c r="DP227"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27" s="895">
        <f>IF(WWWW[[#This Row],[HRP3]]/WWWW[[#This Row],[Total PoP ]]&gt;1,1,WWWW[[#This Row],[HRP3]]/WWWW[[#This Row],[Total PoP ]])</f>
        <v>0</v>
      </c>
      <c r="DR227" s="894">
        <f>1-WWWW[[#This Row],[Hygiene Coverage%]]</f>
        <v>1</v>
      </c>
      <c r="DS227" s="892">
        <f>WWWW[[#This Row],['# people reached by regular dedicated hygiene promotion_5]]/WWWW[[#This Row],[Total PoP ]]</f>
        <v>0</v>
      </c>
      <c r="DT22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7" s="893">
        <f>WWWW[[#This Row],['#_Constructed/Existing hand washing stations]]-WWWW[[#This Row],['#_Non-Functional_hand_washing_stations]]</f>
        <v>1</v>
      </c>
      <c r="DW227" s="890">
        <f>IF(WWWW[[#This Row],['# Functional hand washing stations during reporting period]]*20&gt;WWWW[[#This Row],[Total HH]],WWWW[[#This Row],[Total HH]],WWWW[[#This Row],['# Functional hand washing stations during reporting period]]*20)</f>
        <v>20</v>
      </c>
      <c r="DX227" s="890">
        <f>IF(WWWW[[#This Row],[Is sufficient soap available for TLS? (Yes/No)]]="yes",WWWW[[#This Row],['#_Constructed/Existing hand washing stations at TLS/CFS/THF]],0)</f>
        <v>0</v>
      </c>
      <c r="DY227" s="428">
        <f>IF(WWWW[[#This Row],['# Functional hand washing stations during reporting period]]*100&gt;WWWW[[#This Row],[Total PoP ]],WWWW[[#This Row],[Total PoP ]],WWWW[[#This Row],['# Functional hand washing stations during reporting period]]*100)</f>
        <v>100</v>
      </c>
      <c r="DZ227" s="428" t="str">
        <f>IF(OR(WWWW[[#This Row],['#_students at TLS_CFS]]="",WWWW[[#This Row],['#_students at TLS_CFS]]=0),"No","Yes")</f>
        <v>No</v>
      </c>
      <c r="EA22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7" s="886" t="str">
        <f>VLOOKUP(WWWW[[#This Row],[Site Name]],SiteDB6[[Site Name]:[CCCM Management]],6,FALSE)</f>
        <v>Yes</v>
      </c>
      <c r="EF227" s="886" t="str">
        <f>VLOOKUP(WWWW[[#This Row],[Site Name]],SiteDB6[[Site Name]:[CCCM Focal Agency]],7,FALSE)</f>
        <v>KBC-MYT</v>
      </c>
      <c r="EG227" s="886" t="str">
        <f>VLOOKUP(WWWW[[#This Row],[Site Name]],SiteDB6[[Site Name]:[Location Type 1]],9,FALSE)</f>
        <v>Camp</v>
      </c>
      <c r="EH227" s="886" t="str">
        <f>VLOOKUP(WWWW[[#This Row],[Site Name]],SiteDB6[[Site Name]:[Type of Accommodation]],10,FALSE)</f>
        <v>Camp</v>
      </c>
      <c r="EI227" s="886" t="str">
        <f>VLOOKUP(WWWW[[#This Row],[Site Name]],SiteDB6[[Site Name]:[Ethnic or GCA/NGCA]],11,FALSE)</f>
        <v>GCA</v>
      </c>
      <c r="EJ227" s="886">
        <f>VLOOKUP(WWWW[[#This Row],[Site Name]],SiteDB6[[Site Name]:[Lat]],12,FALSE)</f>
        <v>25.51352</v>
      </c>
      <c r="EK227" s="886">
        <f>VLOOKUP(WWWW[[#This Row],[Site Name]],SiteDB6[[Site Name]:[Long]],13,FALSE)</f>
        <v>96.705960000000005</v>
      </c>
      <c r="EL227" s="886" t="str">
        <f>VLOOKUP(WWWW[[#This Row],[Site Name]],SiteDB6[[Site Name]:[Pcode]],3,FALSE)</f>
        <v>MMR001CMP148</v>
      </c>
      <c r="EM227" s="891" t="str">
        <f t="shared" si="3"/>
        <v>Covered</v>
      </c>
      <c r="EN227" s="891"/>
      <c r="EO227" s="886">
        <f>VLOOKUP(WWWW[[#This Row],[Site Name]],SiteDB6[[Site Name]:[Pop
(Kachin/Shan-CCCM as of July 2021)]],16,FALSE)</f>
        <v>26</v>
      </c>
      <c r="EP227" s="886">
        <f>VLOOKUP(WWWW[[#This Row],[Site Name]],SiteDB6[[Site Name]:[Pop
(Kachin/Shan-CCCM as of July 2021)]],17,FALSE)</f>
        <v>133</v>
      </c>
    </row>
    <row r="228" spans="1:146" hidden="1">
      <c r="A228" s="884" t="s">
        <v>2764</v>
      </c>
      <c r="B228" s="884" t="s">
        <v>309</v>
      </c>
      <c r="C228" s="885" t="s">
        <v>309</v>
      </c>
      <c r="D228" s="885"/>
      <c r="E228" s="885" t="s">
        <v>37</v>
      </c>
      <c r="F228" s="885" t="s">
        <v>157</v>
      </c>
      <c r="G228" s="591" t="str">
        <f>VLOOKUP(WWWW[[#This Row],[Site Name]],SiteDB6[[Site Name]:[Location Type]],8,FALSE)</f>
        <v>Camp</v>
      </c>
      <c r="H228" s="726" t="s">
        <v>3026</v>
      </c>
      <c r="I228" s="887">
        <v>27</v>
      </c>
      <c r="J228" s="887">
        <v>126</v>
      </c>
      <c r="K228" s="888" t="s">
        <v>2650</v>
      </c>
      <c r="L228" s="889" t="s">
        <v>2651</v>
      </c>
      <c r="M228" s="887"/>
      <c r="N228" s="887"/>
      <c r="O228" s="887"/>
      <c r="P228" s="887"/>
      <c r="Q228" s="890"/>
      <c r="R228" s="887"/>
      <c r="S228" s="887"/>
      <c r="T228" s="448"/>
      <c r="U228" s="887"/>
      <c r="V228" s="887"/>
      <c r="W228" s="887"/>
      <c r="X228" s="887"/>
      <c r="Y228" s="887"/>
      <c r="Z228" s="887"/>
      <c r="AA228" s="887"/>
      <c r="AB228" s="887"/>
      <c r="AC228" s="887"/>
      <c r="AD228" s="887"/>
      <c r="AE228" s="887"/>
      <c r="AF228" s="887"/>
      <c r="AG228" s="887"/>
      <c r="AH228" s="887"/>
      <c r="AI228" s="887"/>
      <c r="AJ228" s="887"/>
      <c r="AK228" s="887"/>
      <c r="AL228" s="887"/>
      <c r="AM228" s="887"/>
      <c r="AN228" s="887"/>
      <c r="AO228" s="448"/>
      <c r="AP228" s="891"/>
      <c r="AQ228" s="887"/>
      <c r="AR228" s="887"/>
      <c r="AS228" s="892"/>
      <c r="AT228" s="887"/>
      <c r="AU228" s="887"/>
      <c r="AV228" s="887"/>
      <c r="AW228" s="887"/>
      <c r="AX228" s="887"/>
      <c r="AY228" s="886" t="s">
        <v>140</v>
      </c>
      <c r="AZ228" s="891" t="s">
        <v>140</v>
      </c>
      <c r="BA228" s="887"/>
      <c r="BB228" s="887"/>
      <c r="BC228" s="887"/>
      <c r="BD228" s="448"/>
      <c r="BE228" s="448"/>
      <c r="BF228" s="886"/>
      <c r="BG228" s="887">
        <v>8</v>
      </c>
      <c r="BH228" s="887"/>
      <c r="BI228" s="887"/>
      <c r="BJ228" s="887">
        <v>3</v>
      </c>
      <c r="BK228" s="887"/>
      <c r="BL228" s="887"/>
      <c r="BM228" s="887"/>
      <c r="BN228" s="887"/>
      <c r="BO228" s="887"/>
      <c r="BP228" s="886"/>
      <c r="BQ228" s="893"/>
      <c r="BR228" s="892"/>
      <c r="BS228" s="886"/>
      <c r="BT228" s="423"/>
      <c r="BU228" s="423"/>
      <c r="BV228" s="425"/>
      <c r="BW228" s="423"/>
      <c r="BX228" s="448"/>
      <c r="BY228" s="448"/>
      <c r="BZ228" s="448"/>
      <c r="CA228" s="448"/>
      <c r="CB228" s="448"/>
      <c r="CC228" s="777"/>
      <c r="CD228" s="448"/>
      <c r="CE228" s="894" t="str">
        <f>IFERROR(WWWW[[#This Row],['#_Water sources passed]]/WWWW[[#This Row],['#_Water sources tested for fecal coliform ]],"no test")</f>
        <v>no test</v>
      </c>
      <c r="CF228" s="892" t="str">
        <f>IFERROR(WWWW[[#This Row],['#_Household passed]]/WWWW[[#This Row],['#_Household water samples tested for fecal coliform]],"no test")</f>
        <v>no test</v>
      </c>
      <c r="CG228" s="893" t="str">
        <f>IF(AND(WWWW[[#This Row],[% of water sources passed]]="no test",WWWW[[#This Row],[% Household passed]]="no test"),"No Test","Tested")</f>
        <v>No Test</v>
      </c>
      <c r="CH228" s="893">
        <f>WWWW[[#This Row],['#_Constructed/existing protected hand dug well]]-WWWW[[#This Row],['#_Non-functional protected hand dug well]]</f>
        <v>0</v>
      </c>
      <c r="CI228" s="893">
        <f>(WWWW[[#This Row],['#_Constructed/Existing tube wells/boreholes/handpumps_WASH_agency]]+WWWW[[#This Row],['#_Non-Cluster partner water tube-wells/boreholes/handpumps]])-WWWW[[#This Row],['#_Non-functional tube wells/boreholes/handpumps]]</f>
        <v>0</v>
      </c>
      <c r="CJ228" s="893">
        <f>WWWW[[#This Row],['#_Constructed/Existingwater storage tank with gravity fed reticulation system]]-WWWW[[#This Row],['#_Non-functional storage tank gravity fed reticulation system]]</f>
        <v>0</v>
      </c>
      <c r="CK228" s="893">
        <f>(WWWW[[#This Row],['#_Water_Liters_supplied_by_Water boating or water trucking]]/90)/15</f>
        <v>0</v>
      </c>
      <c r="CL228" s="893">
        <f>WWWW[[#This Row],['#_Water_Liters_from_Constructed/Existing water distribution system from river or natural spring]]/90/15</f>
        <v>0</v>
      </c>
      <c r="CM228" s="424">
        <f>IF(WWWW[[#This Row],['#_of water points in TLS/CFS]]*500&gt;WWWW[[#This Row],[Total PoP ]],WWWW[[#This Row],[Total PoP ]],WWWW[[#This Row],['#_of water points in TLS/CFS]]*500)</f>
        <v>0</v>
      </c>
      <c r="CN228" s="424">
        <f>IF(WWWW[[#This Row],['#_of water points in THF]]*500&gt;WWWW[[#This Row],[Total PoP ]],WWWW[[#This Row],[Total PoP ]],WWWW[[#This Row],['#_of water points in THF]]*500)</f>
        <v>0</v>
      </c>
      <c r="CO22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2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28" s="892">
        <f>IF(WWWW[[#This Row],[Location Type 1]]="Village",WWWW[[#This Row],[Access to safe drinking water for Village]],WWWW[[#This Row],[Access to safe drinking water for Camp]])</f>
        <v>0</v>
      </c>
      <c r="CR228" s="890">
        <f>WWWW[[#This Row],[%Equitable and continuous access to sufficient quantity of safe drinking water]]*WWWW[[#This Row],[Total PoP ]]</f>
        <v>0</v>
      </c>
      <c r="CS228" s="892">
        <f>IF((WWWW[[#This Row],['#_Constructed/Existing protected/fenced ponds]]*250)/WWWW[[#This Row],[Total PoP ]]&gt;1,1,(WWWW[[#This Row],['#_Constructed/Existing protected/fenced ponds]]*250)/WWWW[[#This Row],[Total PoP ]])</f>
        <v>0</v>
      </c>
      <c r="CT228" s="890">
        <f>WWWW[[#This Row],[% Access to unimproved water points]]*WWWW[[#This Row],[Total PoP ]]</f>
        <v>0</v>
      </c>
      <c r="CU22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2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28" s="890">
        <f>WWWW[[#This Row],[HRP1]]/500</f>
        <v>0</v>
      </c>
      <c r="CX228" s="895">
        <f>1-WWWW[[#This Row],[% Equitable and continuous access to sufficient quantity of domestic water]]</f>
        <v>1</v>
      </c>
      <c r="CY228" s="890">
        <f>WWWW[[#This Row],[%equitable and continuous access to sufficient quantity of safe drinking and domestic water''s GAP]]*WWWW[[#This Row],[Total PoP ]]</f>
        <v>126</v>
      </c>
      <c r="CZ228" s="893">
        <f>IF(WWWW[[#This Row],[Total required water points]]-WWWW[[#This Row],['#Water points coverage]]&lt;0,0,WWWW[[#This Row],[Total required water points]]-WWWW[[#This Row],['#Water points coverage]])</f>
        <v>1</v>
      </c>
      <c r="DA228" s="893">
        <f>ROUND(IF(WWWW[[#This Row],[Total PoP ]]&lt;500,1,WWWW[[#This Row],[Total PoP ]]/500),0)</f>
        <v>1</v>
      </c>
      <c r="DB228" s="893">
        <f>(WWWW[[#This Row],['#_Constructed latrines_by_WASHAgencies]]+WWWW[[#This Row],['#_Non Cluster partner latrines]])-WWWW[[#This Row],['#_Non-functional latrines]]</f>
        <v>0</v>
      </c>
      <c r="DC228" s="631">
        <f>WWWW[[#This Row],[HRP2]]/WWWW[[#This Row],[Total PoP ]]</f>
        <v>0</v>
      </c>
      <c r="DD22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2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8" s="424">
        <f>IF(WWWW[[#This Row],['# of functional latrines in THF supported by WASH partners during the reporting period2]]="",0,WWWW[[#This Row],['# of functional latrines in THF supported by WASH partners during the reporting period2]]*50)</f>
        <v>0</v>
      </c>
      <c r="DH228" s="893">
        <f>ROUND(IF(WWWW[[#This Row],[Location Type 1]]="camp",WWWW[[#This Row],[Total PoP ]]/20,IF(WWWW[[#This Row],[Location Type 1]]="Temporary Location",WWWW[[#This Row],[Total PoP ]]/50,(WWWW[[#This Row],[Total PoP ]]/6))),0)</f>
        <v>6</v>
      </c>
      <c r="DI228" s="893">
        <f>IF(WWWW[[#This Row],[Total required Latrines]]-(WWWW[[#This Row],['#_Constructed latrines_by_WASHAgencies]]+WWWW[[#This Row],['#_Non Cluster partner latrines]])&lt;0,0,WWWW[[#This Row],[Total required Latrines]]-(WWWW[[#This Row],['#_Constructed latrines_by_WASHAgencies]]+WWWW[[#This Row],['#_Non Cluster partner latrines]]))</f>
        <v>6</v>
      </c>
      <c r="DJ228" s="895">
        <f>1-WWWW[[#This Row],[% people access to functioning Latrine]]</f>
        <v>1</v>
      </c>
      <c r="DK228" s="894">
        <f>IF(OR(WWWW[[#This Row],['#_Non-functional latrines]]="",WWWW[[#This Row],['#_Non-functional latrines]]=0),0,WWWW[[#This Row],['#_Non-functional latrines]]/(WWWW[[#This Row],['#_Constructed latrines_by_WASHAgencies]]+WWWW[[#This Row],['#_Non Cluster partner latrines]]))</f>
        <v>0</v>
      </c>
      <c r="DL228" s="890">
        <f>IF(500*(WWWW[[#This Row],['#_male hygiene promoters]]+WWWW[[#This Row],['#_female hygiene promoters]])&gt;WWWW[[#This Row],[Total PoP ]],WWWW[[#This Row],[Total PoP ]],500*(WWWW[[#This Row],['#_male hygiene promoters]]+WWWW[[#This Row],['#_female hygiene promoters]]))</f>
        <v>0</v>
      </c>
      <c r="DM22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8" s="893">
        <f>IF(WWWW[[#This Row],['# People with access to soap]]&gt;WWWW[[#This Row],['# People with access to Sanity Pads]],WWWW[[#This Row],['# People with access to soap]],WWWW[[#This Row],['# People with access to Sanity Pads]])</f>
        <v>0</v>
      </c>
      <c r="DP228"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28" s="895">
        <f>IF(WWWW[[#This Row],[HRP3]]/WWWW[[#This Row],[Total PoP ]]&gt;1,1,WWWW[[#This Row],[HRP3]]/WWWW[[#This Row],[Total PoP ]])</f>
        <v>0</v>
      </c>
      <c r="DR228" s="894">
        <f>1-WWWW[[#This Row],[Hygiene Coverage%]]</f>
        <v>1</v>
      </c>
      <c r="DS228" s="892">
        <f>WWWW[[#This Row],['# people reached by regular dedicated hygiene promotion_5]]/WWWW[[#This Row],[Total PoP ]]</f>
        <v>0</v>
      </c>
      <c r="DT22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8" s="893">
        <f>WWWW[[#This Row],['#_Constructed/Existing hand washing stations]]-WWWW[[#This Row],['#_Non-Functional_hand_washing_stations]]</f>
        <v>8</v>
      </c>
      <c r="DW228" s="890">
        <f>IF(WWWW[[#This Row],['# Functional hand washing stations during reporting period]]*20&gt;WWWW[[#This Row],[Total HH]],WWWW[[#This Row],[Total HH]],WWWW[[#This Row],['# Functional hand washing stations during reporting period]]*20)</f>
        <v>27</v>
      </c>
      <c r="DX228" s="890">
        <f>IF(WWWW[[#This Row],[Is sufficient soap available for TLS? (Yes/No)]]="yes",WWWW[[#This Row],['#_Constructed/Existing hand washing stations at TLS/CFS/THF]],0)</f>
        <v>0</v>
      </c>
      <c r="DY228" s="428">
        <f>IF(WWWW[[#This Row],['# Functional hand washing stations during reporting period]]*100&gt;WWWW[[#This Row],[Total PoP ]],WWWW[[#This Row],[Total PoP ]],WWWW[[#This Row],['# Functional hand washing stations during reporting period]]*100)</f>
        <v>126</v>
      </c>
      <c r="DZ228" s="428" t="str">
        <f>IF(OR(WWWW[[#This Row],['#_students at TLS_CFS]]="",WWWW[[#This Row],['#_students at TLS_CFS]]=0),"No","Yes")</f>
        <v>No</v>
      </c>
      <c r="EA22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8" s="886">
        <f>VLOOKUP(WWWW[[#This Row],[Site Name]],SiteDB6[[Site Name]:[CCCM Management]],6,FALSE)</f>
        <v>0</v>
      </c>
      <c r="EF228" s="886" t="str">
        <f>VLOOKUP(WWWW[[#This Row],[Site Name]],SiteDB6[[Site Name]:[CCCM Focal Agency]],7,FALSE)</f>
        <v>uncovered</v>
      </c>
      <c r="EG228" s="886" t="str">
        <f>VLOOKUP(WWWW[[#This Row],[Site Name]],SiteDB6[[Site Name]:[Location Type 1]],9,FALSE)</f>
        <v>Camp</v>
      </c>
      <c r="EH228" s="886" t="str">
        <f>VLOOKUP(WWWW[[#This Row],[Site Name]],SiteDB6[[Site Name]:[Type of Accommodation]],10,FALSE)</f>
        <v>IDPs in host</v>
      </c>
      <c r="EI228" s="886" t="str">
        <f>VLOOKUP(WWWW[[#This Row],[Site Name]],SiteDB6[[Site Name]:[Ethnic or GCA/NGCA]],11,FALSE)</f>
        <v>GCA</v>
      </c>
      <c r="EJ228" s="886">
        <f>VLOOKUP(WWWW[[#This Row],[Site Name]],SiteDB6[[Site Name]:[Lat]],12,FALSE)</f>
        <v>24.996279999999999</v>
      </c>
      <c r="EK228" s="886">
        <f>VLOOKUP(WWWW[[#This Row],[Site Name]],SiteDB6[[Site Name]:[Long]],13,FALSE)</f>
        <v>96.52534</v>
      </c>
      <c r="EL228" s="886" t="str">
        <f>VLOOKUP(WWWW[[#This Row],[Site Name]],SiteDB6[[Site Name]:[Pcode]],3,FALSE)</f>
        <v>MMR001CMP232</v>
      </c>
      <c r="EM228" s="891" t="str">
        <f t="shared" si="3"/>
        <v>Notcovered</v>
      </c>
      <c r="EN228" s="891"/>
      <c r="EO228" s="886">
        <f>VLOOKUP(WWWW[[#This Row],[Site Name]],SiteDB6[[Site Name]:[Pop
(Kachin/Shan-CCCM as of July 2021)]],16,FALSE)</f>
        <v>26</v>
      </c>
      <c r="EP228" s="886">
        <f>VLOOKUP(WWWW[[#This Row],[Site Name]],SiteDB6[[Site Name]:[Pop
(Kachin/Shan-CCCM as of July 2021)]],17,FALSE)</f>
        <v>125</v>
      </c>
    </row>
    <row r="229" spans="1:146" hidden="1">
      <c r="A229" s="884" t="s">
        <v>2764</v>
      </c>
      <c r="B229" s="884" t="s">
        <v>242</v>
      </c>
      <c r="C229" s="885" t="s">
        <v>242</v>
      </c>
      <c r="D229" s="885" t="s">
        <v>299</v>
      </c>
      <c r="E229" s="885" t="s">
        <v>37</v>
      </c>
      <c r="F229" s="885" t="s">
        <v>148</v>
      </c>
      <c r="G229" s="591" t="str">
        <f>VLOOKUP(WWWW[[#This Row],[Site Name]],SiteDB6[[Site Name]:[Location Type]],8,FALSE)</f>
        <v>Camp</v>
      </c>
      <c r="H229" s="885" t="s">
        <v>254</v>
      </c>
      <c r="I229" s="887">
        <v>100</v>
      </c>
      <c r="J229" s="887">
        <v>504</v>
      </c>
      <c r="K229" s="888">
        <v>44562</v>
      </c>
      <c r="L229" s="889">
        <v>44926</v>
      </c>
      <c r="M229" s="887">
        <v>50</v>
      </c>
      <c r="N229" s="887"/>
      <c r="O229" s="887"/>
      <c r="P229" s="887"/>
      <c r="Q229" s="890" t="s">
        <v>41</v>
      </c>
      <c r="R229" s="887">
        <v>7</v>
      </c>
      <c r="S229" s="887">
        <v>2</v>
      </c>
      <c r="T229" s="448">
        <v>0</v>
      </c>
      <c r="U229" s="887"/>
      <c r="V229" s="887"/>
      <c r="W229" s="887"/>
      <c r="X229" s="887"/>
      <c r="Y229" s="887"/>
      <c r="Z229" s="887"/>
      <c r="AA229" s="887">
        <v>1</v>
      </c>
      <c r="AB229" s="887"/>
      <c r="AC229" s="887">
        <v>1</v>
      </c>
      <c r="AD229" s="887"/>
      <c r="AE229" s="887">
        <v>1</v>
      </c>
      <c r="AF229" s="887"/>
      <c r="AG229" s="887">
        <v>1</v>
      </c>
      <c r="AH229" s="887"/>
      <c r="AI229" s="887"/>
      <c r="AJ229" s="887"/>
      <c r="AK229" s="887"/>
      <c r="AL229" s="887"/>
      <c r="AM229" s="887">
        <v>1</v>
      </c>
      <c r="AN229" s="887">
        <v>4</v>
      </c>
      <c r="AO229" s="448"/>
      <c r="AP229" s="891" t="s">
        <v>3055</v>
      </c>
      <c r="AQ229" s="887">
        <v>30</v>
      </c>
      <c r="AR229" s="887"/>
      <c r="AS229" s="892"/>
      <c r="AT229" s="887">
        <v>14</v>
      </c>
      <c r="AU229" s="887">
        <v>6</v>
      </c>
      <c r="AV229" s="887"/>
      <c r="AW229" s="887"/>
      <c r="AX229" s="887"/>
      <c r="AY229" s="886" t="s">
        <v>41</v>
      </c>
      <c r="AZ229" s="891" t="s">
        <v>137</v>
      </c>
      <c r="BA229" s="887">
        <v>2</v>
      </c>
      <c r="BB229" s="887"/>
      <c r="BC229" s="887"/>
      <c r="BD229" s="448"/>
      <c r="BE229" s="448">
        <v>3</v>
      </c>
      <c r="BF229" s="886" t="s">
        <v>3065</v>
      </c>
      <c r="BG229" s="887">
        <v>4</v>
      </c>
      <c r="BH229" s="887"/>
      <c r="BI229" s="887"/>
      <c r="BJ229" s="887">
        <v>7</v>
      </c>
      <c r="BK229" s="887">
        <v>3</v>
      </c>
      <c r="BL229" s="887">
        <v>1</v>
      </c>
      <c r="BM229" s="887"/>
      <c r="BN229" s="887">
        <v>100</v>
      </c>
      <c r="BO229" s="887"/>
      <c r="BP229" s="886" t="s">
        <v>136</v>
      </c>
      <c r="BQ229" s="893">
        <v>3</v>
      </c>
      <c r="BR229" s="892">
        <v>0.3</v>
      </c>
      <c r="BS229" s="886" t="s">
        <v>3062</v>
      </c>
      <c r="BT229" s="423">
        <v>0.5</v>
      </c>
      <c r="BU229" s="423">
        <v>0.8</v>
      </c>
      <c r="BV229" s="425">
        <v>10</v>
      </c>
      <c r="BW229" s="423">
        <v>0.5</v>
      </c>
      <c r="BX229" s="448"/>
      <c r="BY229" s="448"/>
      <c r="BZ229" s="448"/>
      <c r="CA229" s="448"/>
      <c r="CB229" s="448"/>
      <c r="CC229" s="777"/>
      <c r="CD229" s="448"/>
      <c r="CE229" s="894" t="str">
        <f>IFERROR(WWWW[[#This Row],['#_Water sources passed]]/WWWW[[#This Row],['#_Water sources tested for fecal coliform ]],"no test")</f>
        <v>no test</v>
      </c>
      <c r="CF229" s="892" t="str">
        <f>IFERROR(WWWW[[#This Row],['#_Household passed]]/WWWW[[#This Row],['#_Household water samples tested for fecal coliform]],"no test")</f>
        <v>no test</v>
      </c>
      <c r="CG229" s="893" t="str">
        <f>IF(AND(WWWW[[#This Row],[% of water sources passed]]="no test",WWWW[[#This Row],[% Household passed]]="no test"),"No Test","Tested")</f>
        <v>No Test</v>
      </c>
      <c r="CH229" s="893">
        <f>WWWW[[#This Row],['#_Constructed/existing protected hand dug well]]-WWWW[[#This Row],['#_Non-functional protected hand dug well]]</f>
        <v>0</v>
      </c>
      <c r="CI229" s="893">
        <f>(WWWW[[#This Row],['#_Constructed/Existing tube wells/boreholes/handpumps_WASH_agency]]+WWWW[[#This Row],['#_Non-Cluster partner water tube-wells/boreholes/handpumps]])-WWWW[[#This Row],['#_Non-functional tube wells/boreholes/handpumps]]</f>
        <v>0</v>
      </c>
      <c r="CJ229" s="893">
        <f>WWWW[[#This Row],['#_Constructed/Existingwater storage tank with gravity fed reticulation system]]-WWWW[[#This Row],['#_Non-functional storage tank gravity fed reticulation system]]</f>
        <v>1</v>
      </c>
      <c r="CK229" s="893">
        <f>(WWWW[[#This Row],['#_Water_Liters_supplied_by_Water boating or water trucking]]/90)/15</f>
        <v>0</v>
      </c>
      <c r="CL229" s="893">
        <f>WWWW[[#This Row],['#_Water_Liters_from_Constructed/Existing water distribution system from river or natural spring]]/90/15</f>
        <v>0</v>
      </c>
      <c r="CM229" s="424">
        <f>IF(WWWW[[#This Row],['#_of water points in TLS/CFS]]*500&gt;WWWW[[#This Row],[Total PoP ]],WWWW[[#This Row],[Total PoP ]],WWWW[[#This Row],['#_of water points in TLS/CFS]]*500)</f>
        <v>504</v>
      </c>
      <c r="CN229" s="424">
        <f>IF(WWWW[[#This Row],['#_of water points in THF]]*500&gt;WWWW[[#This Row],[Total PoP ]],WWWW[[#This Row],[Total PoP ]],WWWW[[#This Row],['#_of water points in THF]]*500)</f>
        <v>0</v>
      </c>
      <c r="CO22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0.1322751322751323</v>
      </c>
      <c r="CP22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0.1322751322751323</v>
      </c>
      <c r="CQ229" s="892">
        <f>IF(WWWW[[#This Row],[Location Type 1]]="Village",WWWW[[#This Row],[Access to safe drinking water for Village]],WWWW[[#This Row],[Access to safe drinking water for Camp]])</f>
        <v>0.1322751322751323</v>
      </c>
      <c r="CR229" s="890">
        <f>WWWW[[#This Row],[%Equitable and continuous access to sufficient quantity of safe drinking water]]*WWWW[[#This Row],[Total PoP ]]</f>
        <v>66.666666666666671</v>
      </c>
      <c r="CS229" s="892">
        <f>IF((WWWW[[#This Row],['#_Constructed/Existing protected/fenced ponds]]*250)/WWWW[[#This Row],[Total PoP ]]&gt;1,1,(WWWW[[#This Row],['#_Constructed/Existing protected/fenced ponds]]*250)/WWWW[[#This Row],[Total PoP ]])</f>
        <v>0.49603174603174605</v>
      </c>
      <c r="CT229" s="890">
        <f>WWWW[[#This Row],[% Access to unimproved water points]]*WWWW[[#This Row],[Total PoP ]]</f>
        <v>250</v>
      </c>
      <c r="CU22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0.62830687830687837</v>
      </c>
      <c r="CV22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316.66666666666669</v>
      </c>
      <c r="CW229" s="890">
        <f>WWWW[[#This Row],[HRP1]]/500</f>
        <v>0.63333333333333341</v>
      </c>
      <c r="CX229" s="895">
        <f>1-WWWW[[#This Row],[% Equitable and continuous access to sufficient quantity of domestic water]]</f>
        <v>0.37169312169312163</v>
      </c>
      <c r="CY229" s="890">
        <f>WWWW[[#This Row],[%equitable and continuous access to sufficient quantity of safe drinking and domestic water''s GAP]]*WWWW[[#This Row],[Total PoP ]]</f>
        <v>187.33333333333331</v>
      </c>
      <c r="CZ229" s="893">
        <f>IF(WWWW[[#This Row],[Total required water points]]-WWWW[[#This Row],['#Water points coverage]]&lt;0,0,WWWW[[#This Row],[Total required water points]]-WWWW[[#This Row],['#Water points coverage]])</f>
        <v>0.36666666666666659</v>
      </c>
      <c r="DA229" s="893">
        <f>ROUND(IF(WWWW[[#This Row],[Total PoP ]]&lt;500,1,WWWW[[#This Row],[Total PoP ]]/500),0)</f>
        <v>1</v>
      </c>
      <c r="DB229" s="893">
        <f>(WWWW[[#This Row],['#_Constructed latrines_by_WASHAgencies]]+WWWW[[#This Row],['#_Non Cluster partner latrines]])-WWWW[[#This Row],['#_Non-functional latrines]]</f>
        <v>16</v>
      </c>
      <c r="DC229" s="631">
        <f>WWWW[[#This Row],[HRP2]]/WWWW[[#This Row],[Total PoP ]]</f>
        <v>0.72023809523809523</v>
      </c>
      <c r="DD22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363</v>
      </c>
      <c r="DE22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9" s="424">
        <f>IF(WWWW[[#This Row],['# of functional latrines in THF supported by WASH partners during the reporting period2]]="",0,WWWW[[#This Row],['# of functional latrines in THF supported by WASH partners during the reporting period2]]*50)</f>
        <v>0</v>
      </c>
      <c r="DH229" s="893">
        <f>ROUND(IF(WWWW[[#This Row],[Location Type 1]]="camp",WWWW[[#This Row],[Total PoP ]]/20,IF(WWWW[[#This Row],[Location Type 1]]="Temporary Location",WWWW[[#This Row],[Total PoP ]]/50,(WWWW[[#This Row],[Total PoP ]]/6))),0)</f>
        <v>25</v>
      </c>
      <c r="DI229" s="893">
        <f>IF(WWWW[[#This Row],[Total required Latrines]]-(WWWW[[#This Row],['#_Constructed latrines_by_WASHAgencies]]+WWWW[[#This Row],['#_Non Cluster partner latrines]])&lt;0,0,WWWW[[#This Row],[Total required Latrines]]-(WWWW[[#This Row],['#_Constructed latrines_by_WASHAgencies]]+WWWW[[#This Row],['#_Non Cluster partner latrines]]))</f>
        <v>0</v>
      </c>
      <c r="DJ229" s="895">
        <f>1-WWWW[[#This Row],[% people access to functioning Latrine]]</f>
        <v>0.27976190476190477</v>
      </c>
      <c r="DK229" s="894">
        <f>IF(OR(WWWW[[#This Row],['#_Non-functional latrines]]="",WWWW[[#This Row],['#_Non-functional latrines]]=0),0,WWWW[[#This Row],['#_Non-functional latrines]]/(WWWW[[#This Row],['#_Constructed latrines_by_WASHAgencies]]+WWWW[[#This Row],['#_Non Cluster partner latrines]]))</f>
        <v>0.46666666666666667</v>
      </c>
      <c r="DL229" s="890">
        <f>IF(500*(WWWW[[#This Row],['#_male hygiene promoters]]+WWWW[[#This Row],['#_female hygiene promoters]])&gt;WWWW[[#This Row],[Total PoP ]],WWWW[[#This Row],[Total PoP ]],500*(WWWW[[#This Row],['#_male hygiene promoters]]+WWWW[[#This Row],['#_female hygiene promoters]]))</f>
        <v>500</v>
      </c>
      <c r="DM22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504</v>
      </c>
      <c r="DN22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9" s="893">
        <f>IF(WWWW[[#This Row],['# People with access to soap]]&gt;WWWW[[#This Row],['# People with access to Sanity Pads]],WWWW[[#This Row],['# People with access to soap]],WWWW[[#This Row],['# People with access to Sanity Pads]])</f>
        <v>504</v>
      </c>
      <c r="DP229" s="893">
        <f>IF(WWWW[[#This Row],['# people reached by regular dedicated hygiene promotion_5]]&gt;WWWW[[#This Row],['# People received regular supply of hygiene items_6]],WWWW[[#This Row],['# people reached by regular dedicated hygiene promotion_5]],WWWW[[#This Row],['# People received regular supply of hygiene items_6]])</f>
        <v>504</v>
      </c>
      <c r="DQ229" s="895">
        <f>IF(WWWW[[#This Row],[HRP3]]/WWWW[[#This Row],[Total PoP ]]&gt;1,1,WWWW[[#This Row],[HRP3]]/WWWW[[#This Row],[Total PoP ]])</f>
        <v>1</v>
      </c>
      <c r="DR229" s="894">
        <f>1-WWWW[[#This Row],[Hygiene Coverage%]]</f>
        <v>0</v>
      </c>
      <c r="DS229" s="892">
        <f>WWWW[[#This Row],['# people reached by regular dedicated hygiene promotion_5]]/WWWW[[#This Row],[Total PoP ]]</f>
        <v>0.99206349206349209</v>
      </c>
      <c r="DT22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2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9" s="893">
        <f>WWWW[[#This Row],['#_Constructed/Existing hand washing stations]]-WWWW[[#This Row],['#_Non-Functional_hand_washing_stations]]</f>
        <v>4</v>
      </c>
      <c r="DW229" s="890">
        <f>IF(WWWW[[#This Row],['# Functional hand washing stations during reporting period]]*20&gt;WWWW[[#This Row],[Total HH]],WWWW[[#This Row],[Total HH]],WWWW[[#This Row],['# Functional hand washing stations during reporting period]]*20)</f>
        <v>80</v>
      </c>
      <c r="DX229" s="890">
        <f>IF(WWWW[[#This Row],[Is sufficient soap available for TLS? (Yes/No)]]="yes",WWWW[[#This Row],['#_Constructed/Existing hand washing stations at TLS/CFS/THF]],0)</f>
        <v>0</v>
      </c>
      <c r="DY229" s="428">
        <f>IF(WWWW[[#This Row],['# Functional hand washing stations during reporting period]]*100&gt;WWWW[[#This Row],[Total PoP ]],WWWW[[#This Row],[Total PoP ]],WWWW[[#This Row],['# Functional hand washing stations during reporting period]]*100)</f>
        <v>400</v>
      </c>
      <c r="DZ229" s="428" t="str">
        <f>IF(OR(WWWW[[#This Row],['#_students at TLS_CFS]]="",WWWW[[#This Row],['#_students at TLS_CFS]]=0),"No","Yes")</f>
        <v>Yes</v>
      </c>
      <c r="EA229" s="631">
        <f>IF(WWWW[[#This Row],['#_of_affected_people_surveyed_who_report_feeling_informed_about_the_different_WASH_services_available_to_them]]="","",WWWW[[#This Row],['#_of_affected_people_surveyed_who_report_feeling_informed_about_the_different_WASH_services_available_to_them]]/WWWW[[#This Row],[Total PoP ]])</f>
        <v>1.984126984126984E-2</v>
      </c>
      <c r="EB22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504</v>
      </c>
      <c r="ED22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9" s="886" t="str">
        <f>VLOOKUP(WWWW[[#This Row],[Site Name]],SiteDB6[[Site Name]:[CCCM Management]],6,FALSE)</f>
        <v>Yes</v>
      </c>
      <c r="EF229" s="886" t="str">
        <f>VLOOKUP(WWWW[[#This Row],[Site Name]],SiteDB6[[Site Name]:[CCCM Focal Agency]],7,FALSE)</f>
        <v>KBC-MYT</v>
      </c>
      <c r="EG229" s="886" t="str">
        <f>VLOOKUP(WWWW[[#This Row],[Site Name]],SiteDB6[[Site Name]:[Location Type 1]],9,FALSE)</f>
        <v>Camp</v>
      </c>
      <c r="EH229" s="886" t="str">
        <f>VLOOKUP(WWWW[[#This Row],[Site Name]],SiteDB6[[Site Name]:[Type of Accommodation]],10,FALSE)</f>
        <v>Camp</v>
      </c>
      <c r="EI229" s="886" t="str">
        <f>VLOOKUP(WWWW[[#This Row],[Site Name]],SiteDB6[[Site Name]:[Ethnic or GCA/NGCA]],11,FALSE)</f>
        <v>GCA</v>
      </c>
      <c r="EJ229" s="886">
        <f>VLOOKUP(WWWW[[#This Row],[Site Name]],SiteDB6[[Site Name]:[Lat]],12,FALSE)</f>
        <v>25.611160000000002</v>
      </c>
      <c r="EK229" s="886">
        <f>VLOOKUP(WWWW[[#This Row],[Site Name]],SiteDB6[[Site Name]:[Long]],13,FALSE)</f>
        <v>96.312790000000007</v>
      </c>
      <c r="EL229" s="886" t="str">
        <f>VLOOKUP(WWWW[[#This Row],[Site Name]],SiteDB6[[Site Name]:[Pcode]],3,FALSE)</f>
        <v>MMR001CMP229</v>
      </c>
      <c r="EM229" s="891" t="str">
        <f t="shared" si="3"/>
        <v>Covered</v>
      </c>
      <c r="EN229" s="891"/>
      <c r="EO229" s="886">
        <f>VLOOKUP(WWWW[[#This Row],[Site Name]],SiteDB6[[Site Name]:[Pop
(Kachin/Shan-CCCM as of July 2021)]],16,FALSE)</f>
        <v>97</v>
      </c>
      <c r="EP229" s="886">
        <f>VLOOKUP(WWWW[[#This Row],[Site Name]],SiteDB6[[Site Name]:[Pop
(Kachin/Shan-CCCM as of July 2021)]],17,FALSE)</f>
        <v>484</v>
      </c>
    </row>
    <row r="230" spans="1:146" hidden="1">
      <c r="A230" s="884" t="s">
        <v>2764</v>
      </c>
      <c r="B230" s="884" t="s">
        <v>2081</v>
      </c>
      <c r="C230" s="885" t="s">
        <v>141</v>
      </c>
      <c r="D230" s="885" t="s">
        <v>299</v>
      </c>
      <c r="E230" s="885" t="s">
        <v>37</v>
      </c>
      <c r="F230" s="885" t="s">
        <v>146</v>
      </c>
      <c r="G230" s="591" t="str">
        <f>VLOOKUP(WWWW[[#This Row],[Site Name]],SiteDB6[[Site Name]:[Location Type]],8,FALSE)</f>
        <v>Camp</v>
      </c>
      <c r="H230" s="885" t="s">
        <v>147</v>
      </c>
      <c r="I230" s="887">
        <v>167</v>
      </c>
      <c r="J230" s="887">
        <v>936</v>
      </c>
      <c r="K230" s="888">
        <v>44682</v>
      </c>
      <c r="L230" s="889">
        <v>44865</v>
      </c>
      <c r="M230" s="887"/>
      <c r="N230" s="887">
        <v>1</v>
      </c>
      <c r="O230" s="887"/>
      <c r="P230" s="887"/>
      <c r="Q230" s="890" t="s">
        <v>41</v>
      </c>
      <c r="R230" s="448">
        <v>3</v>
      </c>
      <c r="S230" s="448">
        <v>1</v>
      </c>
      <c r="T230" s="448"/>
      <c r="U230" s="887"/>
      <c r="V230" s="887"/>
      <c r="W230" s="887"/>
      <c r="X230" s="887"/>
      <c r="Y230" s="887"/>
      <c r="Z230" s="887"/>
      <c r="AA230" s="887"/>
      <c r="AB230" s="887"/>
      <c r="AC230" s="887"/>
      <c r="AD230" s="887"/>
      <c r="AE230" s="887"/>
      <c r="AF230" s="887"/>
      <c r="AG230" s="887"/>
      <c r="AH230" s="887"/>
      <c r="AI230" s="887"/>
      <c r="AJ230" s="887"/>
      <c r="AK230" s="887"/>
      <c r="AL230" s="887"/>
      <c r="AM230" s="887"/>
      <c r="AN230" s="887"/>
      <c r="AO230" s="448"/>
      <c r="AP230" s="891"/>
      <c r="AQ230" s="887">
        <v>32</v>
      </c>
      <c r="AR230" s="887"/>
      <c r="AS230" s="892"/>
      <c r="AT230" s="887"/>
      <c r="AU230" s="887"/>
      <c r="AV230" s="887"/>
      <c r="AW230" s="887"/>
      <c r="AX230" s="887">
        <v>32</v>
      </c>
      <c r="AY230" s="886" t="s">
        <v>41</v>
      </c>
      <c r="AZ230" s="891" t="s">
        <v>137</v>
      </c>
      <c r="BA230" s="887"/>
      <c r="BB230" s="887"/>
      <c r="BC230" s="887">
        <v>5</v>
      </c>
      <c r="BD230" s="448"/>
      <c r="BE230" s="448"/>
      <c r="BF230" s="886"/>
      <c r="BG230" s="887">
        <v>8</v>
      </c>
      <c r="BH230" s="887"/>
      <c r="BI230" s="887"/>
      <c r="BJ230" s="887">
        <v>3</v>
      </c>
      <c r="BK230" s="887"/>
      <c r="BL230" s="887">
        <v>2</v>
      </c>
      <c r="BM230" s="887"/>
      <c r="BN230" s="887"/>
      <c r="BO230" s="887"/>
      <c r="BP230" s="886"/>
      <c r="BQ230" s="893"/>
      <c r="BR230" s="892"/>
      <c r="BS230" s="886"/>
      <c r="BT230" s="423"/>
      <c r="BU230" s="423"/>
      <c r="BV230" s="425"/>
      <c r="BW230" s="423"/>
      <c r="BX230" s="448"/>
      <c r="BY230" s="448"/>
      <c r="BZ230" s="448"/>
      <c r="CA230" s="448"/>
      <c r="CB230" s="448"/>
      <c r="CC230" s="777"/>
      <c r="CD230" s="448"/>
      <c r="CE230" s="894" t="str">
        <f>IFERROR(WWWW[[#This Row],['#_Water sources passed]]/WWWW[[#This Row],['#_Water sources tested for fecal coliform ]],"no test")</f>
        <v>no test</v>
      </c>
      <c r="CF230" s="892" t="str">
        <f>IFERROR(WWWW[[#This Row],['#_Household passed]]/WWWW[[#This Row],['#_Household water samples tested for fecal coliform]],"no test")</f>
        <v>no test</v>
      </c>
      <c r="CG230" s="893" t="str">
        <f>IF(AND(WWWW[[#This Row],[% of water sources passed]]="no test",WWWW[[#This Row],[% Household passed]]="no test"),"No Test","Tested")</f>
        <v>No Test</v>
      </c>
      <c r="CH230" s="893">
        <f>WWWW[[#This Row],['#_Constructed/existing protected hand dug well]]-WWWW[[#This Row],['#_Non-functional protected hand dug well]]</f>
        <v>0</v>
      </c>
      <c r="CI230" s="893">
        <f>(WWWW[[#This Row],['#_Constructed/Existing tube wells/boreholes/handpumps_WASH_agency]]+WWWW[[#This Row],['#_Non-Cluster partner water tube-wells/boreholes/handpumps]])-WWWW[[#This Row],['#_Non-functional tube wells/boreholes/handpumps]]</f>
        <v>0</v>
      </c>
      <c r="CJ230" s="893">
        <f>WWWW[[#This Row],['#_Constructed/Existingwater storage tank with gravity fed reticulation system]]-WWWW[[#This Row],['#_Non-functional storage tank gravity fed reticulation system]]</f>
        <v>0</v>
      </c>
      <c r="CK230" s="893">
        <f>(WWWW[[#This Row],['#_Water_Liters_supplied_by_Water boating or water trucking]]/90)/15</f>
        <v>0</v>
      </c>
      <c r="CL230" s="893">
        <f>WWWW[[#This Row],['#_Water_Liters_from_Constructed/Existing water distribution system from river or natural spring]]/90/15</f>
        <v>0</v>
      </c>
      <c r="CM230" s="424">
        <f>IF(WWWW[[#This Row],['#_of water points in TLS/CFS]]*500&gt;WWWW[[#This Row],[Total PoP ]],WWWW[[#This Row],[Total PoP ]],WWWW[[#This Row],['#_of water points in TLS/CFS]]*500)</f>
        <v>0</v>
      </c>
      <c r="CN230" s="424">
        <f>IF(WWWW[[#This Row],['#_of water points in THF]]*500&gt;WWWW[[#This Row],[Total PoP ]],WWWW[[#This Row],[Total PoP ]],WWWW[[#This Row],['#_of water points in THF]]*500)</f>
        <v>0</v>
      </c>
      <c r="CO23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3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30" s="892">
        <f>IF(WWWW[[#This Row],[Location Type 1]]="Village",WWWW[[#This Row],[Access to safe drinking water for Village]],WWWW[[#This Row],[Access to safe drinking water for Camp]])</f>
        <v>0</v>
      </c>
      <c r="CR230" s="890">
        <f>WWWW[[#This Row],[%Equitable and continuous access to sufficient quantity of safe drinking water]]*WWWW[[#This Row],[Total PoP ]]</f>
        <v>0</v>
      </c>
      <c r="CS230" s="892">
        <f>IF((WWWW[[#This Row],['#_Constructed/Existing protected/fenced ponds]]*250)/WWWW[[#This Row],[Total PoP ]]&gt;1,1,(WWWW[[#This Row],['#_Constructed/Existing protected/fenced ponds]]*250)/WWWW[[#This Row],[Total PoP ]])</f>
        <v>0</v>
      </c>
      <c r="CT230" s="890">
        <f>WWWW[[#This Row],[% Access to unimproved water points]]*WWWW[[#This Row],[Total PoP ]]</f>
        <v>0</v>
      </c>
      <c r="CU23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3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30" s="890">
        <f>WWWW[[#This Row],[HRP1]]/500</f>
        <v>0</v>
      </c>
      <c r="CX230" s="895">
        <f>1-WWWW[[#This Row],[% Equitable and continuous access to sufficient quantity of domestic water]]</f>
        <v>1</v>
      </c>
      <c r="CY230" s="890">
        <f>WWWW[[#This Row],[%equitable and continuous access to sufficient quantity of safe drinking and domestic water''s GAP]]*WWWW[[#This Row],[Total PoP ]]</f>
        <v>936</v>
      </c>
      <c r="CZ230" s="893">
        <f>IF(WWWW[[#This Row],[Total required water points]]-WWWW[[#This Row],['#Water points coverage]]&lt;0,0,WWWW[[#This Row],[Total required water points]]-WWWW[[#This Row],['#Water points coverage]])</f>
        <v>2</v>
      </c>
      <c r="DA230" s="893">
        <f>ROUND(IF(WWWW[[#This Row],[Total PoP ]]&lt;500,1,WWWW[[#This Row],[Total PoP ]]/500),0)</f>
        <v>2</v>
      </c>
      <c r="DB230" s="893">
        <f>(WWWW[[#This Row],['#_Constructed latrines_by_WASHAgencies]]+WWWW[[#This Row],['#_Non Cluster partner latrines]])-WWWW[[#This Row],['#_Non-functional latrines]]</f>
        <v>32</v>
      </c>
      <c r="DC230" s="631">
        <f>WWWW[[#This Row],[HRP2]]/WWWW[[#This Row],[Total PoP ]]</f>
        <v>0.68376068376068377</v>
      </c>
      <c r="DD23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23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0" s="424">
        <f>IF(WWWW[[#This Row],['# of functional latrines in THF supported by WASH partners during the reporting period2]]="",0,WWWW[[#This Row],['# of functional latrines in THF supported by WASH partners during the reporting period2]]*50)</f>
        <v>0</v>
      </c>
      <c r="DH230" s="893">
        <f>ROUND(IF(WWWW[[#This Row],[Location Type 1]]="camp",WWWW[[#This Row],[Total PoP ]]/20,IF(WWWW[[#This Row],[Location Type 1]]="Temporary Location",WWWW[[#This Row],[Total PoP ]]/50,(WWWW[[#This Row],[Total PoP ]]/6))),0)</f>
        <v>47</v>
      </c>
      <c r="DI230" s="893">
        <f>IF(WWWW[[#This Row],[Total required Latrines]]-(WWWW[[#This Row],['#_Constructed latrines_by_WASHAgencies]]+WWWW[[#This Row],['#_Non Cluster partner latrines]])&lt;0,0,WWWW[[#This Row],[Total required Latrines]]-(WWWW[[#This Row],['#_Constructed latrines_by_WASHAgencies]]+WWWW[[#This Row],['#_Non Cluster partner latrines]]))</f>
        <v>15</v>
      </c>
      <c r="DJ230" s="895">
        <f>1-WWWW[[#This Row],[% people access to functioning Latrine]]</f>
        <v>0.31623931623931623</v>
      </c>
      <c r="DK230" s="894">
        <f>IF(OR(WWWW[[#This Row],['#_Non-functional latrines]]="",WWWW[[#This Row],['#_Non-functional latrines]]=0),0,WWWW[[#This Row],['#_Non-functional latrines]]/(WWWW[[#This Row],['#_Constructed latrines_by_WASHAgencies]]+WWWW[[#This Row],['#_Non Cluster partner latrines]]))</f>
        <v>0</v>
      </c>
      <c r="DL230" s="890">
        <f>IF(500*(WWWW[[#This Row],['#_male hygiene promoters]]+WWWW[[#This Row],['#_female hygiene promoters]])&gt;WWWW[[#This Row],[Total PoP ]],WWWW[[#This Row],[Total PoP ]],500*(WWWW[[#This Row],['#_male hygiene promoters]]+WWWW[[#This Row],['#_female hygiene promoters]]))</f>
        <v>936</v>
      </c>
      <c r="DM23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0" s="893">
        <f>IF(WWWW[[#This Row],['# People with access to soap]]&gt;WWWW[[#This Row],['# People with access to Sanity Pads]],WWWW[[#This Row],['# People with access to soap]],WWWW[[#This Row],['# People with access to Sanity Pads]])</f>
        <v>0</v>
      </c>
      <c r="DP230" s="893">
        <f>IF(WWWW[[#This Row],['# people reached by regular dedicated hygiene promotion_5]]&gt;WWWW[[#This Row],['# People received regular supply of hygiene items_6]],WWWW[[#This Row],['# people reached by regular dedicated hygiene promotion_5]],WWWW[[#This Row],['# People received regular supply of hygiene items_6]])</f>
        <v>936</v>
      </c>
      <c r="DQ230" s="895">
        <f>IF(WWWW[[#This Row],[HRP3]]/WWWW[[#This Row],[Total PoP ]]&gt;1,1,WWWW[[#This Row],[HRP3]]/WWWW[[#This Row],[Total PoP ]])</f>
        <v>1</v>
      </c>
      <c r="DR230" s="894">
        <f>1-WWWW[[#This Row],[Hygiene Coverage%]]</f>
        <v>0</v>
      </c>
      <c r="DS230" s="892">
        <f>WWWW[[#This Row],['# people reached by regular dedicated hygiene promotion_5]]/WWWW[[#This Row],[Total PoP ]]</f>
        <v>1</v>
      </c>
      <c r="DT23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0" s="893">
        <f>WWWW[[#This Row],['#_Constructed/Existing hand washing stations]]-WWWW[[#This Row],['#_Non-Functional_hand_washing_stations]]</f>
        <v>8</v>
      </c>
      <c r="DW230" s="890">
        <f>IF(WWWW[[#This Row],['# Functional hand washing stations during reporting period]]*20&gt;WWWW[[#This Row],[Total HH]],WWWW[[#This Row],[Total HH]],WWWW[[#This Row],['# Functional hand washing stations during reporting period]]*20)</f>
        <v>160</v>
      </c>
      <c r="DX230" s="890">
        <f>IF(WWWW[[#This Row],[Is sufficient soap available for TLS? (Yes/No)]]="yes",WWWW[[#This Row],['#_Constructed/Existing hand washing stations at TLS/CFS/THF]],0)</f>
        <v>0</v>
      </c>
      <c r="DY230" s="428">
        <f>IF(WWWW[[#This Row],['# Functional hand washing stations during reporting period]]*100&gt;WWWW[[#This Row],[Total PoP ]],WWWW[[#This Row],[Total PoP ]],WWWW[[#This Row],['# Functional hand washing stations during reporting period]]*100)</f>
        <v>800</v>
      </c>
      <c r="DZ230" s="428" t="str">
        <f>IF(OR(WWWW[[#This Row],['#_students at TLS_CFS]]="",WWWW[[#This Row],['#_students at TLS_CFS]]=0),"No","Yes")</f>
        <v>No</v>
      </c>
      <c r="EA23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0" s="886" t="str">
        <f>VLOOKUP(WWWW[[#This Row],[Site Name]],SiteDB6[[Site Name]:[CCCM Management]],6,FALSE)</f>
        <v>Yes</v>
      </c>
      <c r="EF230" s="886" t="str">
        <f>VLOOKUP(WWWW[[#This Row],[Site Name]],SiteDB6[[Site Name]:[CCCM Focal Agency]],7,FALSE)</f>
        <v>KBC-MYT</v>
      </c>
      <c r="EG230" s="886" t="str">
        <f>VLOOKUP(WWWW[[#This Row],[Site Name]],SiteDB6[[Site Name]:[Location Type 1]],9,FALSE)</f>
        <v>Camp</v>
      </c>
      <c r="EH230" s="886" t="str">
        <f>VLOOKUP(WWWW[[#This Row],[Site Name]],SiteDB6[[Site Name]:[Type of Accommodation]],10,FALSE)</f>
        <v>Camp</v>
      </c>
      <c r="EI230" s="886" t="str">
        <f>VLOOKUP(WWWW[[#This Row],[Site Name]],SiteDB6[[Site Name]:[Ethnic or GCA/NGCA]],11,FALSE)</f>
        <v>NGCA</v>
      </c>
      <c r="EJ230" s="886">
        <f>VLOOKUP(WWWW[[#This Row],[Site Name]],SiteDB6[[Site Name]:[Lat]],12,FALSE)</f>
        <v>25.754110000000001</v>
      </c>
      <c r="EK230" s="886">
        <f>VLOOKUP(WWWW[[#This Row],[Site Name]],SiteDB6[[Site Name]:[Long]],13,FALSE)</f>
        <v>98.475719999999995</v>
      </c>
      <c r="EL230" s="886" t="str">
        <f>VLOOKUP(WWWW[[#This Row],[Site Name]],SiteDB6[[Site Name]:[Pcode]],3,FALSE)</f>
        <v>MMR001CMP043</v>
      </c>
      <c r="EM230" s="891" t="str">
        <f t="shared" si="3"/>
        <v>Covered</v>
      </c>
      <c r="EN230" s="891"/>
      <c r="EO230" s="886">
        <f>VLOOKUP(WWWW[[#This Row],[Site Name]],SiteDB6[[Site Name]:[Pop
(Kachin/Shan-CCCM as of July 2021)]],16,FALSE)</f>
        <v>167</v>
      </c>
      <c r="EP230" s="886">
        <f>VLOOKUP(WWWW[[#This Row],[Site Name]],SiteDB6[[Site Name]:[Pop
(Kachin/Shan-CCCM as of July 2021)]],17,FALSE)</f>
        <v>936</v>
      </c>
    </row>
    <row r="231" spans="1:146" hidden="1">
      <c r="A231" s="884" t="s">
        <v>2764</v>
      </c>
      <c r="B231" s="884" t="s">
        <v>192</v>
      </c>
      <c r="C231" s="885" t="s">
        <v>192</v>
      </c>
      <c r="D231" s="885" t="s">
        <v>3050</v>
      </c>
      <c r="E231" s="885" t="s">
        <v>37</v>
      </c>
      <c r="F231" s="885" t="s">
        <v>205</v>
      </c>
      <c r="G231" s="591" t="str">
        <f>VLOOKUP(WWWW[[#This Row],[Site Name]],SiteDB6[[Site Name]:[Location Type]],8,FALSE)</f>
        <v>Camp</v>
      </c>
      <c r="H231" s="885" t="s">
        <v>217</v>
      </c>
      <c r="I231" s="887">
        <v>715</v>
      </c>
      <c r="J231" s="887">
        <v>3789</v>
      </c>
      <c r="K231" s="888" t="s">
        <v>3051</v>
      </c>
      <c r="L231" s="889" t="s">
        <v>3052</v>
      </c>
      <c r="M231" s="887"/>
      <c r="N231" s="887"/>
      <c r="O231" s="887">
        <v>3</v>
      </c>
      <c r="P231" s="887"/>
      <c r="Q231" s="890" t="s">
        <v>41</v>
      </c>
      <c r="R231" s="887">
        <v>4</v>
      </c>
      <c r="S231" s="887">
        <v>3</v>
      </c>
      <c r="T231" s="448">
        <v>3</v>
      </c>
      <c r="U231" s="887"/>
      <c r="V231" s="887"/>
      <c r="W231" s="887"/>
      <c r="X231" s="887"/>
      <c r="Y231" s="887"/>
      <c r="Z231" s="887"/>
      <c r="AA231" s="887">
        <v>1</v>
      </c>
      <c r="AB231" s="887"/>
      <c r="AC231" s="887"/>
      <c r="AD231" s="887"/>
      <c r="AE231" s="887"/>
      <c r="AF231" s="887"/>
      <c r="AG231" s="887"/>
      <c r="AH231" s="887"/>
      <c r="AI231" s="887"/>
      <c r="AJ231" s="887"/>
      <c r="AK231" s="887"/>
      <c r="AL231" s="887"/>
      <c r="AM231" s="887">
        <v>4</v>
      </c>
      <c r="AN231" s="887">
        <v>3</v>
      </c>
      <c r="AO231" s="448"/>
      <c r="AP231" s="891"/>
      <c r="AQ231" s="887">
        <v>306</v>
      </c>
      <c r="AR231" s="887"/>
      <c r="AS231" s="892"/>
      <c r="AT231" s="887"/>
      <c r="AU231" s="887"/>
      <c r="AV231" s="887"/>
      <c r="AW231" s="887"/>
      <c r="AX231" s="887"/>
      <c r="AY231" s="886" t="s">
        <v>41</v>
      </c>
      <c r="AZ231" s="891" t="s">
        <v>137</v>
      </c>
      <c r="BA231" s="887">
        <v>13</v>
      </c>
      <c r="BB231" s="887"/>
      <c r="BC231" s="887">
        <v>46</v>
      </c>
      <c r="BD231" s="448">
        <v>4</v>
      </c>
      <c r="BE231" s="448"/>
      <c r="BF231" s="886"/>
      <c r="BG231" s="887">
        <v>1</v>
      </c>
      <c r="BH231" s="887"/>
      <c r="BI231" s="887"/>
      <c r="BJ231" s="887">
        <v>1</v>
      </c>
      <c r="BK231" s="887"/>
      <c r="BL231" s="887"/>
      <c r="BM231" s="887">
        <v>1</v>
      </c>
      <c r="BN231" s="887"/>
      <c r="BO231" s="887"/>
      <c r="BP231" s="886"/>
      <c r="BQ231" s="893"/>
      <c r="BR231" s="892"/>
      <c r="BS231" s="886"/>
      <c r="BT231" s="423"/>
      <c r="BU231" s="423"/>
      <c r="BV231" s="425"/>
      <c r="BW231" s="423"/>
      <c r="BX231" s="448"/>
      <c r="BY231" s="448"/>
      <c r="BZ231" s="448"/>
      <c r="CA231" s="448"/>
      <c r="CB231" s="448"/>
      <c r="CC231" s="777"/>
      <c r="CD231" s="448"/>
      <c r="CE231" s="894" t="str">
        <f>IFERROR(WWWW[[#This Row],['#_Water sources passed]]/WWWW[[#This Row],['#_Water sources tested for fecal coliform ]],"no test")</f>
        <v>no test</v>
      </c>
      <c r="CF231" s="892" t="str">
        <f>IFERROR(WWWW[[#This Row],['#_Household passed]]/WWWW[[#This Row],['#_Household water samples tested for fecal coliform]],"no test")</f>
        <v>no test</v>
      </c>
      <c r="CG231" s="893" t="str">
        <f>IF(AND(WWWW[[#This Row],[% of water sources passed]]="no test",WWWW[[#This Row],[% Household passed]]="no test"),"No Test","Tested")</f>
        <v>No Test</v>
      </c>
      <c r="CH231" s="893">
        <f>WWWW[[#This Row],['#_Constructed/existing protected hand dug well]]-WWWW[[#This Row],['#_Non-functional protected hand dug well]]</f>
        <v>3</v>
      </c>
      <c r="CI231" s="893">
        <f>(WWWW[[#This Row],['#_Constructed/Existing tube wells/boreholes/handpumps_WASH_agency]]+WWWW[[#This Row],['#_Non-Cluster partner water tube-wells/boreholes/handpumps]])-WWWW[[#This Row],['#_Non-functional tube wells/boreholes/handpumps]]</f>
        <v>0</v>
      </c>
      <c r="CJ231" s="893">
        <f>WWWW[[#This Row],['#_Constructed/Existingwater storage tank with gravity fed reticulation system]]-WWWW[[#This Row],['#_Non-functional storage tank gravity fed reticulation system]]</f>
        <v>1</v>
      </c>
      <c r="CK231" s="893">
        <f>(WWWW[[#This Row],['#_Water_Liters_supplied_by_Water boating or water trucking]]/90)/15</f>
        <v>0</v>
      </c>
      <c r="CL231" s="893">
        <f>WWWW[[#This Row],['#_Water_Liters_from_Constructed/Existing water distribution system from river or natural spring]]/90/15</f>
        <v>0</v>
      </c>
      <c r="CM231" s="424">
        <f>IF(WWWW[[#This Row],['#_of water points in TLS/CFS]]*500&gt;WWWW[[#This Row],[Total PoP ]],WWWW[[#This Row],[Total PoP ]],WWWW[[#This Row],['#_of water points in TLS/CFS]]*500)</f>
        <v>1500</v>
      </c>
      <c r="CN231" s="424">
        <f>IF(WWWW[[#This Row],['#_of water points in THF]]*500&gt;WWWW[[#This Row],[Total PoP ]],WWWW[[#This Row],[Total PoP ]],WWWW[[#This Row],['#_of water points in THF]]*500)</f>
        <v>0</v>
      </c>
      <c r="CO23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0.33430104689012052</v>
      </c>
      <c r="CP23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0.2155362012844198</v>
      </c>
      <c r="CQ231" s="892">
        <f>IF(WWWW[[#This Row],[Location Type 1]]="Village",WWWW[[#This Row],[Access to safe drinking water for Village]],WWWW[[#This Row],[Access to safe drinking water for Camp]])</f>
        <v>0.33430104689012052</v>
      </c>
      <c r="CR231" s="890">
        <f>WWWW[[#This Row],[%Equitable and continuous access to sufficient quantity of safe drinking water]]*WWWW[[#This Row],[Total PoP ]]</f>
        <v>1266.6666666666667</v>
      </c>
      <c r="CS231" s="892">
        <f>IF((WWWW[[#This Row],['#_Constructed/Existing protected/fenced ponds]]*250)/WWWW[[#This Row],[Total PoP ]]&gt;1,1,(WWWW[[#This Row],['#_Constructed/Existing protected/fenced ponds]]*250)/WWWW[[#This Row],[Total PoP ]])</f>
        <v>0</v>
      </c>
      <c r="CT231" s="890">
        <f>WWWW[[#This Row],[% Access to unimproved water points]]*WWWW[[#This Row],[Total PoP ]]</f>
        <v>0</v>
      </c>
      <c r="CU23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0.33430104689012052</v>
      </c>
      <c r="CV23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1266.6666666666667</v>
      </c>
      <c r="CW231" s="890">
        <f>WWWW[[#This Row],[HRP1]]/500</f>
        <v>2.5333333333333337</v>
      </c>
      <c r="CX231" s="895">
        <f>1-WWWW[[#This Row],[% Equitable and continuous access to sufficient quantity of domestic water]]</f>
        <v>0.66569895310987948</v>
      </c>
      <c r="CY231" s="890">
        <f>WWWW[[#This Row],[%equitable and continuous access to sufficient quantity of safe drinking and domestic water''s GAP]]*WWWW[[#This Row],[Total PoP ]]</f>
        <v>2522.3333333333335</v>
      </c>
      <c r="CZ231" s="893">
        <f>IF(WWWW[[#This Row],[Total required water points]]-WWWW[[#This Row],['#Water points coverage]]&lt;0,0,WWWW[[#This Row],[Total required water points]]-WWWW[[#This Row],['#Water points coverage]])</f>
        <v>5.4666666666666668</v>
      </c>
      <c r="DA231" s="893">
        <f>ROUND(IF(WWWW[[#This Row],[Total PoP ]]&lt;500,1,WWWW[[#This Row],[Total PoP ]]/500),0)</f>
        <v>8</v>
      </c>
      <c r="DB231" s="893">
        <f>(WWWW[[#This Row],['#_Constructed latrines_by_WASHAgencies]]+WWWW[[#This Row],['#_Non Cluster partner latrines]])-WWWW[[#This Row],['#_Non-functional latrines]]</f>
        <v>306</v>
      </c>
      <c r="DC231" s="631">
        <f>WWWW[[#This Row],[HRP2]]/WWWW[[#This Row],[Total PoP ]]</f>
        <v>1</v>
      </c>
      <c r="DD23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3789</v>
      </c>
      <c r="DE23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1" s="424">
        <f>IF(WWWW[[#This Row],['# of functional latrines in THF supported by WASH partners during the reporting period2]]="",0,WWWW[[#This Row],['# of functional latrines in THF supported by WASH partners during the reporting period2]]*50)</f>
        <v>200</v>
      </c>
      <c r="DH231" s="893">
        <f>ROUND(IF(WWWW[[#This Row],[Location Type 1]]="camp",WWWW[[#This Row],[Total PoP ]]/20,IF(WWWW[[#This Row],[Location Type 1]]="Temporary Location",WWWW[[#This Row],[Total PoP ]]/50,(WWWW[[#This Row],[Total PoP ]]/6))),0)</f>
        <v>189</v>
      </c>
      <c r="DI231" s="893">
        <f>IF(WWWW[[#This Row],[Total required Latrines]]-(WWWW[[#This Row],['#_Constructed latrines_by_WASHAgencies]]+WWWW[[#This Row],['#_Non Cluster partner latrines]])&lt;0,0,WWWW[[#This Row],[Total required Latrines]]-(WWWW[[#This Row],['#_Constructed latrines_by_WASHAgencies]]+WWWW[[#This Row],['#_Non Cluster partner latrines]]))</f>
        <v>0</v>
      </c>
      <c r="DJ231" s="895">
        <f>1-WWWW[[#This Row],[% people access to functioning Latrine]]</f>
        <v>0</v>
      </c>
      <c r="DK231" s="894">
        <f>IF(OR(WWWW[[#This Row],['#_Non-functional latrines]]="",WWWW[[#This Row],['#_Non-functional latrines]]=0),0,WWWW[[#This Row],['#_Non-functional latrines]]/(WWWW[[#This Row],['#_Constructed latrines_by_WASHAgencies]]+WWWW[[#This Row],['#_Non Cluster partner latrines]]))</f>
        <v>0</v>
      </c>
      <c r="DL231" s="890">
        <f>IF(500*(WWWW[[#This Row],['#_male hygiene promoters]]+WWWW[[#This Row],['#_female hygiene promoters]])&gt;WWWW[[#This Row],[Total PoP ]],WWWW[[#This Row],[Total PoP ]],500*(WWWW[[#This Row],['#_male hygiene promoters]]+WWWW[[#This Row],['#_female hygiene promoters]]))</f>
        <v>500</v>
      </c>
      <c r="DM23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1" s="893">
        <f>IF(WWWW[[#This Row],['# People with access to soap]]&gt;WWWW[[#This Row],['# People with access to Sanity Pads]],WWWW[[#This Row],['# People with access to soap]],WWWW[[#This Row],['# People with access to Sanity Pads]])</f>
        <v>0</v>
      </c>
      <c r="DP231" s="89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31" s="895">
        <f>IF(WWWW[[#This Row],[HRP3]]/WWWW[[#This Row],[Total PoP ]]&gt;1,1,WWWW[[#This Row],[HRP3]]/WWWW[[#This Row],[Total PoP ]])</f>
        <v>0.13196093956188967</v>
      </c>
      <c r="DR231" s="894">
        <f>1-WWWW[[#This Row],[Hygiene Coverage%]]</f>
        <v>0.8680390604381103</v>
      </c>
      <c r="DS231" s="892">
        <f>WWWW[[#This Row],['# people reached by regular dedicated hygiene promotion_5]]/WWWW[[#This Row],[Total PoP ]]</f>
        <v>0.13196093956188967</v>
      </c>
      <c r="DT23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1" s="893">
        <f>WWWW[[#This Row],['#_Constructed/Existing hand washing stations]]-WWWW[[#This Row],['#_Non-Functional_hand_washing_stations]]</f>
        <v>1</v>
      </c>
      <c r="DW231" s="890">
        <f>IF(WWWW[[#This Row],['# Functional hand washing stations during reporting period]]*20&gt;WWWW[[#This Row],[Total HH]],WWWW[[#This Row],[Total HH]],WWWW[[#This Row],['# Functional hand washing stations during reporting period]]*20)</f>
        <v>20</v>
      </c>
      <c r="DX231" s="890">
        <f>IF(WWWW[[#This Row],[Is sufficient soap available for TLS? (Yes/No)]]="yes",WWWW[[#This Row],['#_Constructed/Existing hand washing stations at TLS/CFS/THF]],0)</f>
        <v>0</v>
      </c>
      <c r="DY231" s="428">
        <f>IF(WWWW[[#This Row],['# Functional hand washing stations during reporting period]]*100&gt;WWWW[[#This Row],[Total PoP ]],WWWW[[#This Row],[Total PoP ]],WWWW[[#This Row],['# Functional hand washing stations during reporting period]]*100)</f>
        <v>100</v>
      </c>
      <c r="DZ231" s="428" t="str">
        <f>IF(OR(WWWW[[#This Row],['#_students at TLS_CFS]]="",WWWW[[#This Row],['#_students at TLS_CFS]]=0),"No","Yes")</f>
        <v>No</v>
      </c>
      <c r="EA23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23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E231" s="886" t="str">
        <f>VLOOKUP(WWWW[[#This Row],[Site Name]],SiteDB6[[Site Name]:[CCCM Management]],6,FALSE)</f>
        <v>Yes</v>
      </c>
      <c r="EF231" s="886" t="str">
        <f>VLOOKUP(WWWW[[#This Row],[Site Name]],SiteDB6[[Site Name]:[CCCM Focal Agency]],7,FALSE)</f>
        <v>KMSS-MYT</v>
      </c>
      <c r="EG231" s="886" t="str">
        <f>VLOOKUP(WWWW[[#This Row],[Site Name]],SiteDB6[[Site Name]:[Location Type 1]],9,FALSE)</f>
        <v>Camp</v>
      </c>
      <c r="EH231" s="886" t="str">
        <f>VLOOKUP(WWWW[[#This Row],[Site Name]],SiteDB6[[Site Name]:[Type of Accommodation]],10,FALSE)</f>
        <v>Camp</v>
      </c>
      <c r="EI231" s="886" t="str">
        <f>VLOOKUP(WWWW[[#This Row],[Site Name]],SiteDB6[[Site Name]:[Ethnic or GCA/NGCA]],11,FALSE)</f>
        <v>NGCA</v>
      </c>
      <c r="EJ231" s="886">
        <f>VLOOKUP(WWWW[[#This Row],[Site Name]],SiteDB6[[Site Name]:[Lat]],12,FALSE)</f>
        <v>24.661905999999998</v>
      </c>
      <c r="EK231" s="886">
        <f>VLOOKUP(WWWW[[#This Row],[Site Name]],SiteDB6[[Site Name]:[Long]],13,FALSE)</f>
        <v>97.573126000000002</v>
      </c>
      <c r="EL231" s="886" t="str">
        <f>VLOOKUP(WWWW[[#This Row],[Site Name]],SiteDB6[[Site Name]:[Pcode]],3,FALSE)</f>
        <v>MMR001CMP122</v>
      </c>
      <c r="EM231" s="891" t="str">
        <f t="shared" si="3"/>
        <v>Covered</v>
      </c>
      <c r="EN231" s="891"/>
      <c r="EO231" s="886">
        <f>VLOOKUP(WWWW[[#This Row],[Site Name]],SiteDB6[[Site Name]:[Pop
(Kachin/Shan-CCCM as of July 2021)]],16,FALSE)</f>
        <v>664</v>
      </c>
      <c r="EP231" s="886">
        <f>VLOOKUP(WWWW[[#This Row],[Site Name]],SiteDB6[[Site Name]:[Pop
(Kachin/Shan-CCCM as of July 2021)]],17,FALSE)</f>
        <v>3491</v>
      </c>
    </row>
    <row r="232" spans="1:146" hidden="1">
      <c r="A232" s="884" t="s">
        <v>2764</v>
      </c>
      <c r="B232" s="884" t="s">
        <v>276</v>
      </c>
      <c r="C232" s="885" t="s">
        <v>276</v>
      </c>
      <c r="D232" s="885" t="s">
        <v>3037</v>
      </c>
      <c r="E232" s="885" t="s">
        <v>37</v>
      </c>
      <c r="F232" s="885" t="s">
        <v>205</v>
      </c>
      <c r="G232" s="591" t="str">
        <f>VLOOKUP(WWWW[[#This Row],[Site Name]],SiteDB6[[Site Name]:[Location Type]],8,FALSE)</f>
        <v>Camp_not registered</v>
      </c>
      <c r="H232" s="885" t="s">
        <v>2160</v>
      </c>
      <c r="I232" s="887">
        <v>3</v>
      </c>
      <c r="J232" s="887">
        <v>16</v>
      </c>
      <c r="K232" s="888">
        <v>44652</v>
      </c>
      <c r="L232" s="889">
        <v>44895</v>
      </c>
      <c r="M232" s="887"/>
      <c r="N232" s="887"/>
      <c r="O232" s="887"/>
      <c r="P232" s="887"/>
      <c r="Q232" s="890" t="s">
        <v>41</v>
      </c>
      <c r="R232" s="887">
        <v>3</v>
      </c>
      <c r="S232" s="887">
        <v>8</v>
      </c>
      <c r="T232" s="448"/>
      <c r="U232" s="887"/>
      <c r="V232" s="887"/>
      <c r="W232" s="887">
        <v>1</v>
      </c>
      <c r="X232" s="887"/>
      <c r="Y232" s="887"/>
      <c r="Z232" s="887"/>
      <c r="AA232" s="887"/>
      <c r="AB232" s="887"/>
      <c r="AC232" s="887"/>
      <c r="AD232" s="887"/>
      <c r="AE232" s="887"/>
      <c r="AF232" s="887"/>
      <c r="AG232" s="887"/>
      <c r="AH232" s="887"/>
      <c r="AI232" s="887">
        <v>2</v>
      </c>
      <c r="AJ232" s="887">
        <v>2</v>
      </c>
      <c r="AK232" s="887">
        <v>3</v>
      </c>
      <c r="AL232" s="887">
        <v>3</v>
      </c>
      <c r="AM232" s="887"/>
      <c r="AN232" s="887"/>
      <c r="AO232" s="448"/>
      <c r="AP232" s="891"/>
      <c r="AQ232" s="887">
        <v>12</v>
      </c>
      <c r="AR232" s="887"/>
      <c r="AS232" s="892"/>
      <c r="AT232" s="887"/>
      <c r="AU232" s="887"/>
      <c r="AV232" s="887">
        <v>8</v>
      </c>
      <c r="AW232" s="887">
        <v>3.2</v>
      </c>
      <c r="AX232" s="887"/>
      <c r="AY232" s="886" t="s">
        <v>41</v>
      </c>
      <c r="AZ232" s="891" t="s">
        <v>137</v>
      </c>
      <c r="BA232" s="887"/>
      <c r="BB232" s="887"/>
      <c r="BC232" s="887"/>
      <c r="BD232" s="448"/>
      <c r="BE232" s="448"/>
      <c r="BF232" s="886"/>
      <c r="BG232" s="887">
        <v>7</v>
      </c>
      <c r="BH232" s="887"/>
      <c r="BI232" s="887"/>
      <c r="BJ232" s="887">
        <v>7</v>
      </c>
      <c r="BK232" s="887"/>
      <c r="BL232" s="887"/>
      <c r="BM232" s="887">
        <v>1</v>
      </c>
      <c r="BN232" s="887">
        <v>11</v>
      </c>
      <c r="BO232" s="887"/>
      <c r="BP232" s="886"/>
      <c r="BQ232" s="893"/>
      <c r="BR232" s="892"/>
      <c r="BS232" s="886"/>
      <c r="BT232" s="423">
        <v>1</v>
      </c>
      <c r="BU232" s="423">
        <v>1</v>
      </c>
      <c r="BV232" s="425">
        <v>5</v>
      </c>
      <c r="BW232" s="423">
        <v>0</v>
      </c>
      <c r="BX232" s="448"/>
      <c r="BY232" s="448">
        <v>12</v>
      </c>
      <c r="BZ232" s="448">
        <v>2</v>
      </c>
      <c r="CA232" s="448"/>
      <c r="CB232" s="448"/>
      <c r="CC232" s="777"/>
      <c r="CD232" s="448"/>
      <c r="CE232" s="894">
        <f>IFERROR(WWWW[[#This Row],['#_Water sources passed]]/WWWW[[#This Row],['#_Water sources tested for fecal coliform ]],"no test")</f>
        <v>1</v>
      </c>
      <c r="CF232" s="892">
        <f>IFERROR(WWWW[[#This Row],['#_Household passed]]/WWWW[[#This Row],['#_Household water samples tested for fecal coliform]],"no test")</f>
        <v>1</v>
      </c>
      <c r="CG232" s="893" t="str">
        <f>IF(AND(WWWW[[#This Row],[% of water sources passed]]="no test",WWWW[[#This Row],[% Household passed]]="no test"),"No Test","Tested")</f>
        <v>Tested</v>
      </c>
      <c r="CH232" s="893">
        <f>WWWW[[#This Row],['#_Constructed/existing protected hand dug well]]-WWWW[[#This Row],['#_Non-functional protected hand dug well]]</f>
        <v>0</v>
      </c>
      <c r="CI232" s="893">
        <f>(WWWW[[#This Row],['#_Constructed/Existing tube wells/boreholes/handpumps_WASH_agency]]+WWWW[[#This Row],['#_Non-Cluster partner water tube-wells/boreholes/handpumps]])-WWWW[[#This Row],['#_Non-functional tube wells/boreholes/handpumps]]</f>
        <v>1</v>
      </c>
      <c r="CJ232" s="893">
        <f>WWWW[[#This Row],['#_Constructed/Existingwater storage tank with gravity fed reticulation system]]-WWWW[[#This Row],['#_Non-functional storage tank gravity fed reticulation system]]</f>
        <v>0</v>
      </c>
      <c r="CK232" s="893">
        <f>(WWWW[[#This Row],['#_Water_Liters_supplied_by_Water boating or water trucking]]/90)/15</f>
        <v>0</v>
      </c>
      <c r="CL232" s="893">
        <f>WWWW[[#This Row],['#_Water_Liters_from_Constructed/Existing water distribution system from river or natural spring]]/90/15</f>
        <v>0</v>
      </c>
      <c r="CM232" s="424">
        <f>IF(WWWW[[#This Row],['#_of water points in TLS/CFS]]*500&gt;WWWW[[#This Row],[Total PoP ]],WWWW[[#This Row],[Total PoP ]],WWWW[[#This Row],['#_of water points in TLS/CFS]]*500)</f>
        <v>0</v>
      </c>
      <c r="CN232" s="424">
        <f>IF(WWWW[[#This Row],['#_of water points in THF]]*500&gt;WWWW[[#This Row],[Total PoP ]],WWWW[[#This Row],[Total PoP ]],WWWW[[#This Row],['#_of water points in THF]]*500)</f>
        <v>0</v>
      </c>
      <c r="CO23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2" s="892">
        <f>IF(WWWW[[#This Row],[Location Type 1]]="Village",WWWW[[#This Row],[Access to safe drinking water for Village]],WWWW[[#This Row],[Access to safe drinking water for Camp]])</f>
        <v>1</v>
      </c>
      <c r="CR232" s="890">
        <f>WWWW[[#This Row],[%Equitable and continuous access to sufficient quantity of safe drinking water]]*WWWW[[#This Row],[Total PoP ]]</f>
        <v>16</v>
      </c>
      <c r="CS232" s="892">
        <f>IF((WWWW[[#This Row],['#_Constructed/Existing protected/fenced ponds]]*250)/WWWW[[#This Row],[Total PoP ]]&gt;1,1,(WWWW[[#This Row],['#_Constructed/Existing protected/fenced ponds]]*250)/WWWW[[#This Row],[Total PoP ]])</f>
        <v>0</v>
      </c>
      <c r="CT232" s="890">
        <f>WWWW[[#This Row],[% Access to unimproved water points]]*WWWW[[#This Row],[Total PoP ]]</f>
        <v>0</v>
      </c>
      <c r="CU23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v>
      </c>
      <c r="CW232" s="890">
        <f>WWWW[[#This Row],[HRP1]]/500</f>
        <v>3.2000000000000001E-2</v>
      </c>
      <c r="CX232" s="895">
        <f>1-WWWW[[#This Row],[% Equitable and continuous access to sufficient quantity of domestic water]]</f>
        <v>0</v>
      </c>
      <c r="CY232" s="890">
        <f>WWWW[[#This Row],[%equitable and continuous access to sufficient quantity of safe drinking and domestic water''s GAP]]*WWWW[[#This Row],[Total PoP ]]</f>
        <v>0</v>
      </c>
      <c r="CZ232" s="893">
        <f>IF(WWWW[[#This Row],[Total required water points]]-WWWW[[#This Row],['#Water points coverage]]&lt;0,0,WWWW[[#This Row],[Total required water points]]-WWWW[[#This Row],['#Water points coverage]])</f>
        <v>0.96799999999999997</v>
      </c>
      <c r="DA232" s="893">
        <f>ROUND(IF(WWWW[[#This Row],[Total PoP ]]&lt;500,1,WWWW[[#This Row],[Total PoP ]]/500),0)</f>
        <v>1</v>
      </c>
      <c r="DB232" s="893">
        <f>(WWWW[[#This Row],['#_Constructed latrines_by_WASHAgencies]]+WWWW[[#This Row],['#_Non Cluster partner latrines]])-WWWW[[#This Row],['#_Non-functional latrines]]</f>
        <v>12</v>
      </c>
      <c r="DC232" s="631">
        <f>WWWW[[#This Row],[HRP2]]/WWWW[[#This Row],[Total PoP ]]</f>
        <v>1</v>
      </c>
      <c r="DD23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v>
      </c>
      <c r="DE23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v>
      </c>
      <c r="DF23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2" s="424">
        <f>IF(WWWW[[#This Row],['# of functional latrines in THF supported by WASH partners during the reporting period2]]="",0,WWWW[[#This Row],['# of functional latrines in THF supported by WASH partners during the reporting period2]]*50)</f>
        <v>0</v>
      </c>
      <c r="DH232" s="893">
        <f>ROUND(IF(WWWW[[#This Row],[Location Type 1]]="camp",WWWW[[#This Row],[Total PoP ]]/20,IF(WWWW[[#This Row],[Location Type 1]]="Temporary Location",WWWW[[#This Row],[Total PoP ]]/50,(WWWW[[#This Row],[Total PoP ]]/6))),0)</f>
        <v>1</v>
      </c>
      <c r="DI232" s="893">
        <f>IF(WWWW[[#This Row],[Total required Latrines]]-(WWWW[[#This Row],['#_Constructed latrines_by_WASHAgencies]]+WWWW[[#This Row],['#_Non Cluster partner latrines]])&lt;0,0,WWWW[[#This Row],[Total required Latrines]]-(WWWW[[#This Row],['#_Constructed latrines_by_WASHAgencies]]+WWWW[[#This Row],['#_Non Cluster partner latrines]]))</f>
        <v>0</v>
      </c>
      <c r="DJ232" s="895">
        <f>1-WWWW[[#This Row],[% people access to functioning Latrine]]</f>
        <v>0</v>
      </c>
      <c r="DK232" s="894">
        <f>IF(OR(WWWW[[#This Row],['#_Non-functional latrines]]="",WWWW[[#This Row],['#_Non-functional latrines]]=0),0,WWWW[[#This Row],['#_Non-functional latrines]]/(WWWW[[#This Row],['#_Constructed latrines_by_WASHAgencies]]+WWWW[[#This Row],['#_Non Cluster partner latrines]]))</f>
        <v>0</v>
      </c>
      <c r="DL232" s="890">
        <f>IF(500*(WWWW[[#This Row],['#_male hygiene promoters]]+WWWW[[#This Row],['#_female hygiene promoters]])&gt;WWWW[[#This Row],[Total PoP ]],WWWW[[#This Row],[Total PoP ]],500*(WWWW[[#This Row],['#_male hygiene promoters]]+WWWW[[#This Row],['#_female hygiene promoters]]))</f>
        <v>16</v>
      </c>
      <c r="DM23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v>
      </c>
      <c r="DN23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2" s="893">
        <f>IF(WWWW[[#This Row],['# People with access to soap]]&gt;WWWW[[#This Row],['# People with access to Sanity Pads]],WWWW[[#This Row],['# People with access to soap]],WWWW[[#This Row],['# People with access to Sanity Pads]])</f>
        <v>16</v>
      </c>
      <c r="DP232" s="893">
        <f>IF(WWWW[[#This Row],['# people reached by regular dedicated hygiene promotion_5]]&gt;WWWW[[#This Row],['# People received regular supply of hygiene items_6]],WWWW[[#This Row],['# people reached by regular dedicated hygiene promotion_5]],WWWW[[#This Row],['# People received regular supply of hygiene items_6]])</f>
        <v>16</v>
      </c>
      <c r="DQ232" s="895">
        <f>IF(WWWW[[#This Row],[HRP3]]/WWWW[[#This Row],[Total PoP ]]&gt;1,1,WWWW[[#This Row],[HRP3]]/WWWW[[#This Row],[Total PoP ]])</f>
        <v>1</v>
      </c>
      <c r="DR232" s="894">
        <f>1-WWWW[[#This Row],[Hygiene Coverage%]]</f>
        <v>0</v>
      </c>
      <c r="DS232" s="892">
        <f>WWWW[[#This Row],['# people reached by regular dedicated hygiene promotion_5]]/WWWW[[#This Row],[Total PoP ]]</f>
        <v>1</v>
      </c>
      <c r="DT23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3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2" s="893">
        <f>WWWW[[#This Row],['#_Constructed/Existing hand washing stations]]-WWWW[[#This Row],['#_Non-Functional_hand_washing_stations]]</f>
        <v>7</v>
      </c>
      <c r="DW232" s="890">
        <f>IF(WWWW[[#This Row],['# Functional hand washing stations during reporting period]]*20&gt;WWWW[[#This Row],[Total HH]],WWWW[[#This Row],[Total HH]],WWWW[[#This Row],['# Functional hand washing stations during reporting period]]*20)</f>
        <v>3</v>
      </c>
      <c r="DX232" s="890">
        <f>IF(WWWW[[#This Row],[Is sufficient soap available for TLS? (Yes/No)]]="yes",WWWW[[#This Row],['#_Constructed/Existing hand washing stations at TLS/CFS/THF]],0)</f>
        <v>0</v>
      </c>
      <c r="DY232" s="428">
        <f>IF(WWWW[[#This Row],['# Functional hand washing stations during reporting period]]*100&gt;WWWW[[#This Row],[Total PoP ]],WWWW[[#This Row],[Total PoP ]],WWWW[[#This Row],['# Functional hand washing stations during reporting period]]*100)</f>
        <v>16</v>
      </c>
      <c r="DZ232" s="428" t="str">
        <f>IF(OR(WWWW[[#This Row],['#_students at TLS_CFS]]="",WWWW[[#This Row],['#_students at TLS_CFS]]=0),"No","Yes")</f>
        <v>No</v>
      </c>
      <c r="EA232" s="631">
        <f>IF(WWWW[[#This Row],['#_of_affected_people_surveyed_who_report_feeling_informed_about_the_different_WASH_services_available_to_them]]="","",WWWW[[#This Row],['#_of_affected_people_surveyed_who_report_feeling_informed_about_the_different_WASH_services_available_to_them]]/WWWW[[#This Row],[Total PoP ]])</f>
        <v>0.3125</v>
      </c>
      <c r="EB23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14</v>
      </c>
      <c r="EC23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2" s="886">
        <f>VLOOKUP(WWWW[[#This Row],[Site Name]],SiteDB6[[Site Name]:[CCCM Management]],6,FALSE)</f>
        <v>0</v>
      </c>
      <c r="EF232" s="886">
        <f>VLOOKUP(WWWW[[#This Row],[Site Name]],SiteDB6[[Site Name]:[CCCM Focal Agency]],7,FALSE)</f>
        <v>0</v>
      </c>
      <c r="EG232" s="886" t="str">
        <f>VLOOKUP(WWWW[[#This Row],[Site Name]],SiteDB6[[Site Name]:[Location Type 1]],9,FALSE)</f>
        <v>Camp</v>
      </c>
      <c r="EH232" s="886" t="str">
        <f>VLOOKUP(WWWW[[#This Row],[Site Name]],SiteDB6[[Site Name]:[Type of Accommodation]],10,FALSE)</f>
        <v>Camp</v>
      </c>
      <c r="EI232" s="886" t="str">
        <f>VLOOKUP(WWWW[[#This Row],[Site Name]],SiteDB6[[Site Name]:[Ethnic or GCA/NGCA]],11,FALSE)</f>
        <v>GCA</v>
      </c>
      <c r="EJ232" s="886">
        <f>VLOOKUP(WWWW[[#This Row],[Site Name]],SiteDB6[[Site Name]:[Lat]],12,FALSE)</f>
        <v>0</v>
      </c>
      <c r="EK232" s="886">
        <f>VLOOKUP(WWWW[[#This Row],[Site Name]],SiteDB6[[Site Name]:[Long]],13,FALSE)</f>
        <v>0</v>
      </c>
      <c r="EL232" s="886">
        <f>VLOOKUP(WWWW[[#This Row],[Site Name]],SiteDB6[[Site Name]:[Pcode]],3,FALSE)</f>
        <v>0</v>
      </c>
      <c r="EM232" s="891" t="str">
        <f t="shared" si="3"/>
        <v>Covered</v>
      </c>
      <c r="EN232" s="891"/>
      <c r="EO232" s="886">
        <f>VLOOKUP(WWWW[[#This Row],[Site Name]],SiteDB6[[Site Name]:[Pop
(Kachin/Shan-CCCM as of July 2021)]],16,FALSE)</f>
        <v>0</v>
      </c>
      <c r="EP232" s="886">
        <f>VLOOKUP(WWWW[[#This Row],[Site Name]],SiteDB6[[Site Name]:[Pop
(Kachin/Shan-CCCM as of July 2021)]],17,FALSE)</f>
        <v>0</v>
      </c>
    </row>
    <row r="233" spans="1:146" hidden="1">
      <c r="A233" s="884" t="s">
        <v>2764</v>
      </c>
      <c r="B233" s="884" t="s">
        <v>276</v>
      </c>
      <c r="C233" s="885" t="s">
        <v>276</v>
      </c>
      <c r="D233" s="885" t="s">
        <v>3037</v>
      </c>
      <c r="E233" s="885" t="s">
        <v>37</v>
      </c>
      <c r="F233" s="885" t="s">
        <v>195</v>
      </c>
      <c r="G233" s="591" t="str">
        <f>VLOOKUP(WWWW[[#This Row],[Site Name]],SiteDB6[[Site Name]:[Location Type]],8,FALSE)</f>
        <v>Camp</v>
      </c>
      <c r="H233" s="885" t="s">
        <v>198</v>
      </c>
      <c r="I233" s="887">
        <v>36</v>
      </c>
      <c r="J233" s="887">
        <v>222</v>
      </c>
      <c r="K233" s="888">
        <v>44652</v>
      </c>
      <c r="L233" s="889">
        <v>44895</v>
      </c>
      <c r="M233" s="887"/>
      <c r="N233" s="887"/>
      <c r="O233" s="887"/>
      <c r="P233" s="887"/>
      <c r="Q233" s="890" t="s">
        <v>41</v>
      </c>
      <c r="R233" s="887">
        <v>0</v>
      </c>
      <c r="S233" s="887">
        <v>5</v>
      </c>
      <c r="T233" s="448"/>
      <c r="U233" s="887"/>
      <c r="V233" s="887"/>
      <c r="W233" s="887">
        <v>2</v>
      </c>
      <c r="X233" s="887"/>
      <c r="Y233" s="887"/>
      <c r="Z233" s="887"/>
      <c r="AA233" s="887"/>
      <c r="AB233" s="887"/>
      <c r="AC233" s="887"/>
      <c r="AD233" s="887"/>
      <c r="AE233" s="887"/>
      <c r="AF233" s="887"/>
      <c r="AG233" s="887"/>
      <c r="AH233" s="887"/>
      <c r="AI233" s="887">
        <v>2</v>
      </c>
      <c r="AJ233" s="887">
        <v>2</v>
      </c>
      <c r="AK233" s="887"/>
      <c r="AL233" s="887"/>
      <c r="AM233" s="887"/>
      <c r="AN233" s="887"/>
      <c r="AO233" s="448"/>
      <c r="AP233" s="891"/>
      <c r="AQ233" s="887">
        <v>7</v>
      </c>
      <c r="AR233" s="887"/>
      <c r="AS233" s="892"/>
      <c r="AT233" s="887"/>
      <c r="AU233" s="887"/>
      <c r="AV233" s="887">
        <v>7</v>
      </c>
      <c r="AW233" s="887">
        <v>18</v>
      </c>
      <c r="AX233" s="887"/>
      <c r="AY233" s="886" t="s">
        <v>41</v>
      </c>
      <c r="AZ233" s="891" t="s">
        <v>137</v>
      </c>
      <c r="BA233" s="887"/>
      <c r="BB233" s="887"/>
      <c r="BC233" s="887"/>
      <c r="BD233" s="448"/>
      <c r="BE233" s="448"/>
      <c r="BF233" s="886"/>
      <c r="BG233" s="887"/>
      <c r="BH233" s="887"/>
      <c r="BI233" s="887"/>
      <c r="BJ233" s="887">
        <v>2</v>
      </c>
      <c r="BK233" s="887"/>
      <c r="BL233" s="887"/>
      <c r="BM233" s="887"/>
      <c r="BN233" s="887"/>
      <c r="BO233" s="887"/>
      <c r="BP233" s="886"/>
      <c r="BQ233" s="893"/>
      <c r="BR233" s="892"/>
      <c r="BS233" s="886"/>
      <c r="BT233" s="423"/>
      <c r="BU233" s="423"/>
      <c r="BV233" s="425"/>
      <c r="BW233" s="423">
        <v>0</v>
      </c>
      <c r="BX233" s="448"/>
      <c r="BY233" s="448">
        <v>7</v>
      </c>
      <c r="BZ233" s="448">
        <v>2</v>
      </c>
      <c r="CA233" s="448"/>
      <c r="CB233" s="448"/>
      <c r="CC233" s="777"/>
      <c r="CD233" s="448"/>
      <c r="CE233" s="894">
        <f>IFERROR(WWWW[[#This Row],['#_Water sources passed]]/WWWW[[#This Row],['#_Water sources tested for fecal coliform ]],"no test")</f>
        <v>1</v>
      </c>
      <c r="CF233" s="892" t="str">
        <f>IFERROR(WWWW[[#This Row],['#_Household passed]]/WWWW[[#This Row],['#_Household water samples tested for fecal coliform]],"no test")</f>
        <v>no test</v>
      </c>
      <c r="CG233" s="893" t="str">
        <f>IF(AND(WWWW[[#This Row],[% of water sources passed]]="no test",WWWW[[#This Row],[% Household passed]]="no test"),"No Test","Tested")</f>
        <v>Tested</v>
      </c>
      <c r="CH233" s="893">
        <f>WWWW[[#This Row],['#_Constructed/existing protected hand dug well]]-WWWW[[#This Row],['#_Non-functional protected hand dug well]]</f>
        <v>0</v>
      </c>
      <c r="CI233" s="893">
        <f>(WWWW[[#This Row],['#_Constructed/Existing tube wells/boreholes/handpumps_WASH_agency]]+WWWW[[#This Row],['#_Non-Cluster partner water tube-wells/boreholes/handpumps]])-WWWW[[#This Row],['#_Non-functional tube wells/boreholes/handpumps]]</f>
        <v>2</v>
      </c>
      <c r="CJ233" s="893">
        <f>WWWW[[#This Row],['#_Constructed/Existingwater storage tank with gravity fed reticulation system]]-WWWW[[#This Row],['#_Non-functional storage tank gravity fed reticulation system]]</f>
        <v>0</v>
      </c>
      <c r="CK233" s="893">
        <f>(WWWW[[#This Row],['#_Water_Liters_supplied_by_Water boating or water trucking]]/90)/15</f>
        <v>0</v>
      </c>
      <c r="CL233" s="893">
        <f>WWWW[[#This Row],['#_Water_Liters_from_Constructed/Existing water distribution system from river or natural spring]]/90/15</f>
        <v>0</v>
      </c>
      <c r="CM233" s="424">
        <f>IF(WWWW[[#This Row],['#_of water points in TLS/CFS]]*500&gt;WWWW[[#This Row],[Total PoP ]],WWWW[[#This Row],[Total PoP ]],WWWW[[#This Row],['#_of water points in TLS/CFS]]*500)</f>
        <v>0</v>
      </c>
      <c r="CN233" s="424">
        <f>IF(WWWW[[#This Row],['#_of water points in THF]]*500&gt;WWWW[[#This Row],[Total PoP ]],WWWW[[#This Row],[Total PoP ]],WWWW[[#This Row],['#_of water points in THF]]*500)</f>
        <v>0</v>
      </c>
      <c r="CO23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3" s="892">
        <f>IF(WWWW[[#This Row],[Location Type 1]]="Village",WWWW[[#This Row],[Access to safe drinking water for Village]],WWWW[[#This Row],[Access to safe drinking water for Camp]])</f>
        <v>1</v>
      </c>
      <c r="CR233" s="890">
        <f>WWWW[[#This Row],[%Equitable and continuous access to sufficient quantity of safe drinking water]]*WWWW[[#This Row],[Total PoP ]]</f>
        <v>222</v>
      </c>
      <c r="CS233" s="892">
        <f>IF((WWWW[[#This Row],['#_Constructed/Existing protected/fenced ponds]]*250)/WWWW[[#This Row],[Total PoP ]]&gt;1,1,(WWWW[[#This Row],['#_Constructed/Existing protected/fenced ponds]]*250)/WWWW[[#This Row],[Total PoP ]])</f>
        <v>0</v>
      </c>
      <c r="CT233" s="890">
        <f>WWWW[[#This Row],[% Access to unimproved water points]]*WWWW[[#This Row],[Total PoP ]]</f>
        <v>0</v>
      </c>
      <c r="CU23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W233" s="890">
        <f>WWWW[[#This Row],[HRP1]]/500</f>
        <v>0.44400000000000001</v>
      </c>
      <c r="CX233" s="895">
        <f>1-WWWW[[#This Row],[% Equitable and continuous access to sufficient quantity of domestic water]]</f>
        <v>0</v>
      </c>
      <c r="CY233" s="890">
        <f>WWWW[[#This Row],[%equitable and continuous access to sufficient quantity of safe drinking and domestic water''s GAP]]*WWWW[[#This Row],[Total PoP ]]</f>
        <v>0</v>
      </c>
      <c r="CZ233" s="893">
        <f>IF(WWWW[[#This Row],[Total required water points]]-WWWW[[#This Row],['#Water points coverage]]&lt;0,0,WWWW[[#This Row],[Total required water points]]-WWWW[[#This Row],['#Water points coverage]])</f>
        <v>0.55600000000000005</v>
      </c>
      <c r="DA233" s="893">
        <f>ROUND(IF(WWWW[[#This Row],[Total PoP ]]&lt;500,1,WWWW[[#This Row],[Total PoP ]]/500),0)</f>
        <v>1</v>
      </c>
      <c r="DB233" s="893">
        <f>(WWWW[[#This Row],['#_Constructed latrines_by_WASHAgencies]]+WWWW[[#This Row],['#_Non Cluster partner latrines]])-WWWW[[#This Row],['#_Non-functional latrines]]</f>
        <v>7</v>
      </c>
      <c r="DC233" s="631">
        <f>WWWW[[#This Row],[HRP2]]/WWWW[[#This Row],[Total PoP ]]</f>
        <v>0.63063063063063063</v>
      </c>
      <c r="DD23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23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DF23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3" s="424">
        <f>IF(WWWW[[#This Row],['# of functional latrines in THF supported by WASH partners during the reporting period2]]="",0,WWWW[[#This Row],['# of functional latrines in THF supported by WASH partners during the reporting period2]]*50)</f>
        <v>0</v>
      </c>
      <c r="DH233" s="893">
        <f>ROUND(IF(WWWW[[#This Row],[Location Type 1]]="camp",WWWW[[#This Row],[Total PoP ]]/20,IF(WWWW[[#This Row],[Location Type 1]]="Temporary Location",WWWW[[#This Row],[Total PoP ]]/50,(WWWW[[#This Row],[Total PoP ]]/6))),0)</f>
        <v>11</v>
      </c>
      <c r="DI233" s="893">
        <f>IF(WWWW[[#This Row],[Total required Latrines]]-(WWWW[[#This Row],['#_Constructed latrines_by_WASHAgencies]]+WWWW[[#This Row],['#_Non Cluster partner latrines]])&lt;0,0,WWWW[[#This Row],[Total required Latrines]]-(WWWW[[#This Row],['#_Constructed latrines_by_WASHAgencies]]+WWWW[[#This Row],['#_Non Cluster partner latrines]]))</f>
        <v>4</v>
      </c>
      <c r="DJ233" s="895">
        <f>1-WWWW[[#This Row],[% people access to functioning Latrine]]</f>
        <v>0.36936936936936937</v>
      </c>
      <c r="DK233" s="894">
        <f>IF(OR(WWWW[[#This Row],['#_Non-functional latrines]]="",WWWW[[#This Row],['#_Non-functional latrines]]=0),0,WWWW[[#This Row],['#_Non-functional latrines]]/(WWWW[[#This Row],['#_Constructed latrines_by_WASHAgencies]]+WWWW[[#This Row],['#_Non Cluster partner latrines]]))</f>
        <v>0</v>
      </c>
      <c r="DL233" s="890">
        <f>IF(500*(WWWW[[#This Row],['#_male hygiene promoters]]+WWWW[[#This Row],['#_female hygiene promoters]])&gt;WWWW[[#This Row],[Total PoP ]],WWWW[[#This Row],[Total PoP ]],500*(WWWW[[#This Row],['#_male hygiene promoters]]+WWWW[[#This Row],['#_female hygiene promoters]]))</f>
        <v>0</v>
      </c>
      <c r="DM23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3" s="893">
        <f>IF(WWWW[[#This Row],['# People with access to soap]]&gt;WWWW[[#This Row],['# People with access to Sanity Pads]],WWWW[[#This Row],['# People with access to soap]],WWWW[[#This Row],['# People with access to Sanity Pads]])</f>
        <v>0</v>
      </c>
      <c r="DP233"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33" s="895">
        <f>IF(WWWW[[#This Row],[HRP3]]/WWWW[[#This Row],[Total PoP ]]&gt;1,1,WWWW[[#This Row],[HRP3]]/WWWW[[#This Row],[Total PoP ]])</f>
        <v>0</v>
      </c>
      <c r="DR233" s="894">
        <f>1-WWWW[[#This Row],[Hygiene Coverage%]]</f>
        <v>1</v>
      </c>
      <c r="DS233" s="892">
        <f>WWWW[[#This Row],['# people reached by regular dedicated hygiene promotion_5]]/WWWW[[#This Row],[Total PoP ]]</f>
        <v>0</v>
      </c>
      <c r="DT23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3" s="893">
        <f>WWWW[[#This Row],['#_Constructed/Existing hand washing stations]]-WWWW[[#This Row],['#_Non-Functional_hand_washing_stations]]</f>
        <v>0</v>
      </c>
      <c r="DW233" s="890">
        <f>IF(WWWW[[#This Row],['# Functional hand washing stations during reporting period]]*20&gt;WWWW[[#This Row],[Total HH]],WWWW[[#This Row],[Total HH]],WWWW[[#This Row],['# Functional hand washing stations during reporting period]]*20)</f>
        <v>0</v>
      </c>
      <c r="DX233" s="890">
        <f>IF(WWWW[[#This Row],[Is sufficient soap available for TLS? (Yes/No)]]="yes",WWWW[[#This Row],['#_Constructed/Existing hand washing stations at TLS/CFS/THF]],0)</f>
        <v>0</v>
      </c>
      <c r="DY233" s="428">
        <f>IF(WWWW[[#This Row],['# Functional hand washing stations during reporting period]]*100&gt;WWWW[[#This Row],[Total PoP ]],WWWW[[#This Row],[Total PoP ]],WWWW[[#This Row],['# Functional hand washing stations during reporting period]]*100)</f>
        <v>0</v>
      </c>
      <c r="DZ233" s="428" t="str">
        <f>IF(OR(WWWW[[#This Row],['#_students at TLS_CFS]]="",WWWW[[#This Row],['#_students at TLS_CFS]]=0),"No","Yes")</f>
        <v>No</v>
      </c>
      <c r="EA23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9</v>
      </c>
      <c r="EC23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3" s="886" t="str">
        <f>VLOOKUP(WWWW[[#This Row],[Site Name]],SiteDB6[[Site Name]:[CCCM Management]],6,FALSE)</f>
        <v>Yes</v>
      </c>
      <c r="EF233" s="886" t="str">
        <f>VLOOKUP(WWWW[[#This Row],[Site Name]],SiteDB6[[Site Name]:[CCCM Focal Agency]],7,FALSE)</f>
        <v>KBC-BMO</v>
      </c>
      <c r="EG233" s="886" t="str">
        <f>VLOOKUP(WWWW[[#This Row],[Site Name]],SiteDB6[[Site Name]:[Location Type 1]],9,FALSE)</f>
        <v>Camp</v>
      </c>
      <c r="EH233" s="886" t="str">
        <f>VLOOKUP(WWWW[[#This Row],[Site Name]],SiteDB6[[Site Name]:[Type of Accommodation]],10,FALSE)</f>
        <v>Camp</v>
      </c>
      <c r="EI233" s="886" t="str">
        <f>VLOOKUP(WWWW[[#This Row],[Site Name]],SiteDB6[[Site Name]:[Ethnic or GCA/NGCA]],11,FALSE)</f>
        <v>GCA</v>
      </c>
      <c r="EJ233" s="886">
        <f>VLOOKUP(WWWW[[#This Row],[Site Name]],SiteDB6[[Site Name]:[Lat]],12,FALSE)</f>
        <v>24.24766</v>
      </c>
      <c r="EK233" s="886">
        <f>VLOOKUP(WWWW[[#This Row],[Site Name]],SiteDB6[[Site Name]:[Long]],13,FALSE)</f>
        <v>97.236919999999998</v>
      </c>
      <c r="EL233" s="886" t="str">
        <f>VLOOKUP(WWWW[[#This Row],[Site Name]],SiteDB6[[Site Name]:[Pcode]],3,FALSE)</f>
        <v>MMR001CMP052</v>
      </c>
      <c r="EM233" s="891" t="str">
        <f t="shared" si="3"/>
        <v>Covered</v>
      </c>
      <c r="EN233" s="891"/>
      <c r="EO233" s="886">
        <f>VLOOKUP(WWWW[[#This Row],[Site Name]],SiteDB6[[Site Name]:[Pop
(Kachin/Shan-CCCM as of July 2021)]],16,FALSE)</f>
        <v>37</v>
      </c>
      <c r="EP233" s="886">
        <f>VLOOKUP(WWWW[[#This Row],[Site Name]],SiteDB6[[Site Name]:[Pop
(Kachin/Shan-CCCM as of July 2021)]],17,FALSE)</f>
        <v>226</v>
      </c>
    </row>
    <row r="234" spans="1:146" hidden="1">
      <c r="A234" s="884" t="s">
        <v>2764</v>
      </c>
      <c r="B234" s="884" t="s">
        <v>192</v>
      </c>
      <c r="C234" s="885" t="s">
        <v>192</v>
      </c>
      <c r="D234" s="885" t="s">
        <v>3050</v>
      </c>
      <c r="E234" s="885" t="s">
        <v>37</v>
      </c>
      <c r="F234" s="885" t="s">
        <v>142</v>
      </c>
      <c r="G234" s="591" t="str">
        <f>VLOOKUP(WWWW[[#This Row],[Site Name]],SiteDB6[[Site Name]:[Location Type]],8,FALSE)</f>
        <v>Camp</v>
      </c>
      <c r="H234" s="885" t="s">
        <v>224</v>
      </c>
      <c r="I234" s="887">
        <v>426.2</v>
      </c>
      <c r="J234" s="887">
        <v>2131</v>
      </c>
      <c r="K234" s="888" t="s">
        <v>2670</v>
      </c>
      <c r="L234" s="889" t="s">
        <v>2680</v>
      </c>
      <c r="M234" s="887"/>
      <c r="N234" s="887"/>
      <c r="O234" s="887"/>
      <c r="P234" s="887"/>
      <c r="Q234" s="890" t="s">
        <v>41</v>
      </c>
      <c r="R234" s="887">
        <v>3</v>
      </c>
      <c r="S234" s="887">
        <v>6</v>
      </c>
      <c r="T234" s="448"/>
      <c r="U234" s="887"/>
      <c r="V234" s="887"/>
      <c r="W234" s="887"/>
      <c r="X234" s="887"/>
      <c r="Y234" s="887"/>
      <c r="Z234" s="887"/>
      <c r="AA234" s="887">
        <v>1</v>
      </c>
      <c r="AB234" s="887"/>
      <c r="AC234" s="887"/>
      <c r="AD234" s="887"/>
      <c r="AE234" s="887"/>
      <c r="AF234" s="887"/>
      <c r="AG234" s="887"/>
      <c r="AH234" s="887"/>
      <c r="AI234" s="887"/>
      <c r="AJ234" s="887"/>
      <c r="AK234" s="887"/>
      <c r="AL234" s="887"/>
      <c r="AM234" s="887">
        <v>14</v>
      </c>
      <c r="AN234" s="887">
        <v>2</v>
      </c>
      <c r="AO234" s="448"/>
      <c r="AP234" s="891"/>
      <c r="AQ234" s="887">
        <v>89</v>
      </c>
      <c r="AR234" s="887"/>
      <c r="AS234" s="892"/>
      <c r="AT234" s="887"/>
      <c r="AU234" s="887"/>
      <c r="AV234" s="887"/>
      <c r="AW234" s="887"/>
      <c r="AX234" s="887"/>
      <c r="AY234" s="886" t="s">
        <v>41</v>
      </c>
      <c r="AZ234" s="891" t="s">
        <v>137</v>
      </c>
      <c r="BA234" s="887"/>
      <c r="BB234" s="887"/>
      <c r="BC234" s="887"/>
      <c r="BD234" s="448"/>
      <c r="BE234" s="448"/>
      <c r="BF234" s="886"/>
      <c r="BG234" s="887">
        <v>3</v>
      </c>
      <c r="BH234" s="887"/>
      <c r="BI234" s="887"/>
      <c r="BJ234" s="887">
        <v>2</v>
      </c>
      <c r="BK234" s="887"/>
      <c r="BL234" s="887"/>
      <c r="BM234" s="887"/>
      <c r="BN234" s="887"/>
      <c r="BO234" s="887"/>
      <c r="BP234" s="886"/>
      <c r="BQ234" s="893"/>
      <c r="BR234" s="892"/>
      <c r="BS234" s="886"/>
      <c r="BT234" s="423"/>
      <c r="BU234" s="423"/>
      <c r="BV234" s="425"/>
      <c r="BW234" s="423"/>
      <c r="BX234" s="448"/>
      <c r="BY234" s="448"/>
      <c r="BZ234" s="448"/>
      <c r="CA234" s="448"/>
      <c r="CB234" s="448"/>
      <c r="CC234" s="777"/>
      <c r="CD234" s="448"/>
      <c r="CE234" s="894" t="str">
        <f>IFERROR(WWWW[[#This Row],['#_Water sources passed]]/WWWW[[#This Row],['#_Water sources tested for fecal coliform ]],"no test")</f>
        <v>no test</v>
      </c>
      <c r="CF234" s="892" t="str">
        <f>IFERROR(WWWW[[#This Row],['#_Household passed]]/WWWW[[#This Row],['#_Household water samples tested for fecal coliform]],"no test")</f>
        <v>no test</v>
      </c>
      <c r="CG234" s="893" t="str">
        <f>IF(AND(WWWW[[#This Row],[% of water sources passed]]="no test",WWWW[[#This Row],[% Household passed]]="no test"),"No Test","Tested")</f>
        <v>No Test</v>
      </c>
      <c r="CH234" s="893">
        <f>WWWW[[#This Row],['#_Constructed/existing protected hand dug well]]-WWWW[[#This Row],['#_Non-functional protected hand dug well]]</f>
        <v>0</v>
      </c>
      <c r="CI234" s="893">
        <f>(WWWW[[#This Row],['#_Constructed/Existing tube wells/boreholes/handpumps_WASH_agency]]+WWWW[[#This Row],['#_Non-Cluster partner water tube-wells/boreholes/handpumps]])-WWWW[[#This Row],['#_Non-functional tube wells/boreholes/handpumps]]</f>
        <v>0</v>
      </c>
      <c r="CJ234" s="893">
        <f>WWWW[[#This Row],['#_Constructed/Existingwater storage tank with gravity fed reticulation system]]-WWWW[[#This Row],['#_Non-functional storage tank gravity fed reticulation system]]</f>
        <v>1</v>
      </c>
      <c r="CK234" s="893">
        <f>(WWWW[[#This Row],['#_Water_Liters_supplied_by_Water boating or water trucking]]/90)/15</f>
        <v>0</v>
      </c>
      <c r="CL234" s="893">
        <f>WWWW[[#This Row],['#_Water_Liters_from_Constructed/Existing water distribution system from river or natural spring]]/90/15</f>
        <v>0</v>
      </c>
      <c r="CM234" s="424">
        <f>IF(WWWW[[#This Row],['#_of water points in TLS/CFS]]*500&gt;WWWW[[#This Row],[Total PoP ]],WWWW[[#This Row],[Total PoP ]],WWWW[[#This Row],['#_of water points in TLS/CFS]]*500)</f>
        <v>1000</v>
      </c>
      <c r="CN234" s="424">
        <f>IF(WWWW[[#This Row],['#_of water points in THF]]*500&gt;WWWW[[#This Row],[Total PoP ]],WWWW[[#This Row],[Total PoP ]],WWWW[[#This Row],['#_of water points in THF]]*500)</f>
        <v>0</v>
      </c>
      <c r="CO23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3.1284217112466761E-2</v>
      </c>
      <c r="CP23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3.1284217112466761E-2</v>
      </c>
      <c r="CQ234" s="892">
        <f>IF(WWWW[[#This Row],[Location Type 1]]="Village",WWWW[[#This Row],[Access to safe drinking water for Village]],WWWW[[#This Row],[Access to safe drinking water for Camp]])</f>
        <v>3.1284217112466761E-2</v>
      </c>
      <c r="CR234" s="890">
        <f>WWWW[[#This Row],[%Equitable and continuous access to sufficient quantity of safe drinking water]]*WWWW[[#This Row],[Total PoP ]]</f>
        <v>66.666666666666671</v>
      </c>
      <c r="CS234" s="892">
        <f>IF((WWWW[[#This Row],['#_Constructed/Existing protected/fenced ponds]]*250)/WWWW[[#This Row],[Total PoP ]]&gt;1,1,(WWWW[[#This Row],['#_Constructed/Existing protected/fenced ponds]]*250)/WWWW[[#This Row],[Total PoP ]])</f>
        <v>0</v>
      </c>
      <c r="CT234" s="890">
        <f>WWWW[[#This Row],[% Access to unimproved water points]]*WWWW[[#This Row],[Total PoP ]]</f>
        <v>0</v>
      </c>
      <c r="CU23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3.1284217112466761E-2</v>
      </c>
      <c r="CV23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W234" s="890">
        <f>WWWW[[#This Row],[HRP1]]/500</f>
        <v>0.13333333333333333</v>
      </c>
      <c r="CX234" s="895">
        <f>1-WWWW[[#This Row],[% Equitable and continuous access to sufficient quantity of domestic water]]</f>
        <v>0.96871578288753324</v>
      </c>
      <c r="CY234" s="890">
        <f>WWWW[[#This Row],[%equitable and continuous access to sufficient quantity of safe drinking and domestic water''s GAP]]*WWWW[[#This Row],[Total PoP ]]</f>
        <v>2064.3333333333335</v>
      </c>
      <c r="CZ234" s="893">
        <f>IF(WWWW[[#This Row],[Total required water points]]-WWWW[[#This Row],['#Water points coverage]]&lt;0,0,WWWW[[#This Row],[Total required water points]]-WWWW[[#This Row],['#Water points coverage]])</f>
        <v>3.8666666666666667</v>
      </c>
      <c r="DA234" s="893">
        <f>ROUND(IF(WWWW[[#This Row],[Total PoP ]]&lt;500,1,WWWW[[#This Row],[Total PoP ]]/500),0)</f>
        <v>4</v>
      </c>
      <c r="DB234" s="893">
        <f>(WWWW[[#This Row],['#_Constructed latrines_by_WASHAgencies]]+WWWW[[#This Row],['#_Non Cluster partner latrines]])-WWWW[[#This Row],['#_Non-functional latrines]]</f>
        <v>89</v>
      </c>
      <c r="DC234" s="631">
        <f>WWWW[[#This Row],[HRP2]]/WWWW[[#This Row],[Total PoP ]]</f>
        <v>0.8352885969028625</v>
      </c>
      <c r="DD23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1780</v>
      </c>
      <c r="DE23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4" s="424">
        <f>IF(WWWW[[#This Row],['# of functional latrines in THF supported by WASH partners during the reporting period2]]="",0,WWWW[[#This Row],['# of functional latrines in THF supported by WASH partners during the reporting period2]]*50)</f>
        <v>0</v>
      </c>
      <c r="DH234" s="893">
        <f>ROUND(IF(WWWW[[#This Row],[Location Type 1]]="camp",WWWW[[#This Row],[Total PoP ]]/20,IF(WWWW[[#This Row],[Location Type 1]]="Temporary Location",WWWW[[#This Row],[Total PoP ]]/50,(WWWW[[#This Row],[Total PoP ]]/6))),0)</f>
        <v>107</v>
      </c>
      <c r="DI234" s="893">
        <f>IF(WWWW[[#This Row],[Total required Latrines]]-(WWWW[[#This Row],['#_Constructed latrines_by_WASHAgencies]]+WWWW[[#This Row],['#_Non Cluster partner latrines]])&lt;0,0,WWWW[[#This Row],[Total required Latrines]]-(WWWW[[#This Row],['#_Constructed latrines_by_WASHAgencies]]+WWWW[[#This Row],['#_Non Cluster partner latrines]]))</f>
        <v>18</v>
      </c>
      <c r="DJ234" s="895">
        <f>1-WWWW[[#This Row],[% people access to functioning Latrine]]</f>
        <v>0.1647114030971375</v>
      </c>
      <c r="DK234" s="894">
        <f>IF(OR(WWWW[[#This Row],['#_Non-functional latrines]]="",WWWW[[#This Row],['#_Non-functional latrines]]=0),0,WWWW[[#This Row],['#_Non-functional latrines]]/(WWWW[[#This Row],['#_Constructed latrines_by_WASHAgencies]]+WWWW[[#This Row],['#_Non Cluster partner latrines]]))</f>
        <v>0</v>
      </c>
      <c r="DL234" s="890">
        <f>IF(500*(WWWW[[#This Row],['#_male hygiene promoters]]+WWWW[[#This Row],['#_female hygiene promoters]])&gt;WWWW[[#This Row],[Total PoP ]],WWWW[[#This Row],[Total PoP ]],500*(WWWW[[#This Row],['#_male hygiene promoters]]+WWWW[[#This Row],['#_female hygiene promoters]]))</f>
        <v>0</v>
      </c>
      <c r="DM23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4" s="893">
        <f>IF(WWWW[[#This Row],['# People with access to soap]]&gt;WWWW[[#This Row],['# People with access to Sanity Pads]],WWWW[[#This Row],['# People with access to soap]],WWWW[[#This Row],['# People with access to Sanity Pads]])</f>
        <v>0</v>
      </c>
      <c r="DP234"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34" s="895">
        <f>IF(WWWW[[#This Row],[HRP3]]/WWWW[[#This Row],[Total PoP ]]&gt;1,1,WWWW[[#This Row],[HRP3]]/WWWW[[#This Row],[Total PoP ]])</f>
        <v>0</v>
      </c>
      <c r="DR234" s="894">
        <f>1-WWWW[[#This Row],[Hygiene Coverage%]]</f>
        <v>1</v>
      </c>
      <c r="DS234" s="892">
        <f>WWWW[[#This Row],['# people reached by regular dedicated hygiene promotion_5]]/WWWW[[#This Row],[Total PoP ]]</f>
        <v>0</v>
      </c>
      <c r="DT23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4" s="893">
        <f>WWWW[[#This Row],['#_Constructed/Existing hand washing stations]]-WWWW[[#This Row],['#_Non-Functional_hand_washing_stations]]</f>
        <v>3</v>
      </c>
      <c r="DW234" s="890">
        <f>IF(WWWW[[#This Row],['# Functional hand washing stations during reporting period]]*20&gt;WWWW[[#This Row],[Total HH]],WWWW[[#This Row],[Total HH]],WWWW[[#This Row],['# Functional hand washing stations during reporting period]]*20)</f>
        <v>60</v>
      </c>
      <c r="DX234" s="890">
        <f>IF(WWWW[[#This Row],[Is sufficient soap available for TLS? (Yes/No)]]="yes",WWWW[[#This Row],['#_Constructed/Existing hand washing stations at TLS/CFS/THF]],0)</f>
        <v>0</v>
      </c>
      <c r="DY234" s="428">
        <f>IF(WWWW[[#This Row],['# Functional hand washing stations during reporting period]]*100&gt;WWWW[[#This Row],[Total PoP ]],WWWW[[#This Row],[Total PoP ]],WWWW[[#This Row],['# Functional hand washing stations during reporting period]]*100)</f>
        <v>300</v>
      </c>
      <c r="DZ234" s="428" t="str">
        <f>IF(OR(WWWW[[#This Row],['#_students at TLS_CFS]]="",WWWW[[#This Row],['#_students at TLS_CFS]]=0),"No","Yes")</f>
        <v>No</v>
      </c>
      <c r="EA23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23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4" s="886">
        <f>VLOOKUP(WWWW[[#This Row],[Site Name]],SiteDB6[[Site Name]:[CCCM Management]],6,FALSE)</f>
        <v>0</v>
      </c>
      <c r="EF234" s="886" t="str">
        <f>VLOOKUP(WWWW[[#This Row],[Site Name]],SiteDB6[[Site Name]:[CCCM Focal Agency]],7,FALSE)</f>
        <v>uncovered</v>
      </c>
      <c r="EG234" s="886" t="str">
        <f>VLOOKUP(WWWW[[#This Row],[Site Name]],SiteDB6[[Site Name]:[Location Type 1]],9,FALSE)</f>
        <v>Camp</v>
      </c>
      <c r="EH234" s="886" t="str">
        <f>VLOOKUP(WWWW[[#This Row],[Site Name]],SiteDB6[[Site Name]:[Type of Accommodation]],10,FALSE)</f>
        <v>Boarding School</v>
      </c>
      <c r="EI234" s="886" t="str">
        <f>VLOOKUP(WWWW[[#This Row],[Site Name]],SiteDB6[[Site Name]:[Ethnic or GCA/NGCA]],11,FALSE)</f>
        <v>NGCA</v>
      </c>
      <c r="EJ234" s="886">
        <f>VLOOKUP(WWWW[[#This Row],[Site Name]],SiteDB6[[Site Name]:[Lat]],12,FALSE)</f>
        <v>24.752471</v>
      </c>
      <c r="EK234" s="886">
        <f>VLOOKUP(WWWW[[#This Row],[Site Name]],SiteDB6[[Site Name]:[Long]],13,FALSE)</f>
        <v>97.541793999999996</v>
      </c>
      <c r="EL234" s="886" t="str">
        <f>VLOOKUP(WWWW[[#This Row],[Site Name]],SiteDB6[[Site Name]:[Pcode]],3,FALSE)</f>
        <v>MMR001CMP208</v>
      </c>
      <c r="EM234" s="891" t="str">
        <f t="shared" si="3"/>
        <v>Covered</v>
      </c>
      <c r="EN234" s="891"/>
      <c r="EO234" s="886">
        <f>VLOOKUP(WWWW[[#This Row],[Site Name]],SiteDB6[[Site Name]:[Pop
(Kachin/Shan-CCCM as of July 2021)]],16,FALSE)</f>
        <v>0</v>
      </c>
      <c r="EP234" s="886">
        <f>VLOOKUP(WWWW[[#This Row],[Site Name]],SiteDB6[[Site Name]:[Pop
(Kachin/Shan-CCCM as of July 2021)]],17,FALSE)</f>
        <v>366</v>
      </c>
    </row>
    <row r="235" spans="1:146" hidden="1">
      <c r="A235" s="884" t="s">
        <v>2764</v>
      </c>
      <c r="B235" s="884" t="s">
        <v>3073</v>
      </c>
      <c r="C235" s="885" t="s">
        <v>141</v>
      </c>
      <c r="D235" s="369" t="s">
        <v>3081</v>
      </c>
      <c r="E235" s="885" t="s">
        <v>37</v>
      </c>
      <c r="F235" s="885" t="s">
        <v>159</v>
      </c>
      <c r="G235" s="591" t="str">
        <f>VLOOKUP(WWWW[[#This Row],[Site Name]],SiteDB6[[Site Name]:[Location Type]],8,FALSE)</f>
        <v>Camp</v>
      </c>
      <c r="H235" s="885" t="s">
        <v>161</v>
      </c>
      <c r="I235" s="887">
        <v>201</v>
      </c>
      <c r="J235" s="887">
        <v>1184</v>
      </c>
      <c r="K235" s="888">
        <v>44682</v>
      </c>
      <c r="L235" s="889">
        <v>44865</v>
      </c>
      <c r="M235" s="887"/>
      <c r="N235" s="887">
        <v>1</v>
      </c>
      <c r="O235" s="887"/>
      <c r="P235" s="887"/>
      <c r="Q235" s="890" t="s">
        <v>41</v>
      </c>
      <c r="R235" s="887">
        <v>1</v>
      </c>
      <c r="S235" s="887">
        <v>4</v>
      </c>
      <c r="T235" s="448">
        <v>7</v>
      </c>
      <c r="U235" s="887"/>
      <c r="V235" s="887">
        <v>2</v>
      </c>
      <c r="W235" s="887">
        <v>4</v>
      </c>
      <c r="X235" s="887">
        <v>0</v>
      </c>
      <c r="Y235" s="887"/>
      <c r="Z235" s="887"/>
      <c r="AA235" s="887"/>
      <c r="AB235" s="887"/>
      <c r="AC235" s="887"/>
      <c r="AD235" s="887"/>
      <c r="AE235" s="887"/>
      <c r="AF235" s="887"/>
      <c r="AG235" s="887"/>
      <c r="AH235" s="887">
        <v>5</v>
      </c>
      <c r="AI235" s="887"/>
      <c r="AJ235" s="887"/>
      <c r="AK235" s="887"/>
      <c r="AL235" s="887"/>
      <c r="AM235" s="887"/>
      <c r="AN235" s="887"/>
      <c r="AO235" s="448"/>
      <c r="AP235" s="891"/>
      <c r="AQ235" s="887">
        <v>45</v>
      </c>
      <c r="AR235" s="887"/>
      <c r="AS235" s="892"/>
      <c r="AT235" s="887"/>
      <c r="AU235" s="887"/>
      <c r="AV235" s="887"/>
      <c r="AW235" s="887"/>
      <c r="AX235" s="887">
        <v>45</v>
      </c>
      <c r="AY235" s="886" t="s">
        <v>41</v>
      </c>
      <c r="AZ235" s="891" t="s">
        <v>137</v>
      </c>
      <c r="BA235" s="887"/>
      <c r="BB235" s="887"/>
      <c r="BC235" s="887"/>
      <c r="BD235" s="448"/>
      <c r="BE235" s="448"/>
      <c r="BF235" s="886"/>
      <c r="BG235" s="887">
        <v>7</v>
      </c>
      <c r="BH235" s="887"/>
      <c r="BI235" s="887"/>
      <c r="BJ235" s="887">
        <v>7</v>
      </c>
      <c r="BK235" s="887"/>
      <c r="BL235" s="887">
        <v>1</v>
      </c>
      <c r="BM235" s="887"/>
      <c r="BN235" s="887"/>
      <c r="BO235" s="887"/>
      <c r="BP235" s="886"/>
      <c r="BQ235" s="893"/>
      <c r="BR235" s="892"/>
      <c r="BS235" s="886"/>
      <c r="BT235" s="423"/>
      <c r="BU235" s="423"/>
      <c r="BV235" s="425"/>
      <c r="BW235" s="423"/>
      <c r="BX235" s="448"/>
      <c r="BY235" s="448"/>
      <c r="BZ235" s="448"/>
      <c r="CA235" s="448"/>
      <c r="CB235" s="448"/>
      <c r="CC235" s="777"/>
      <c r="CD235" s="448"/>
      <c r="CE235" s="894" t="str">
        <f>IFERROR(WWWW[[#This Row],['#_Water sources passed]]/WWWW[[#This Row],['#_Water sources tested for fecal coliform ]],"no test")</f>
        <v>no test</v>
      </c>
      <c r="CF235" s="892" t="str">
        <f>IFERROR(WWWW[[#This Row],['#_Household passed]]/WWWW[[#This Row],['#_Household water samples tested for fecal coliform]],"no test")</f>
        <v>no test</v>
      </c>
      <c r="CG235" s="893" t="str">
        <f>IF(AND(WWWW[[#This Row],[% of water sources passed]]="no test",WWWW[[#This Row],[% Household passed]]="no test"),"No Test","Tested")</f>
        <v>No Test</v>
      </c>
      <c r="CH235" s="893">
        <f>WWWW[[#This Row],['#_Constructed/existing protected hand dug well]]-WWWW[[#This Row],['#_Non-functional protected hand dug well]]</f>
        <v>7</v>
      </c>
      <c r="CI235" s="893">
        <f>(WWWW[[#This Row],['#_Constructed/Existing tube wells/boreholes/handpumps_WASH_agency]]+WWWW[[#This Row],['#_Non-Cluster partner water tube-wells/boreholes/handpumps]])-WWWW[[#This Row],['#_Non-functional tube wells/boreholes/handpumps]]</f>
        <v>4</v>
      </c>
      <c r="CJ235" s="893">
        <f>WWWW[[#This Row],['#_Constructed/Existingwater storage tank with gravity fed reticulation system]]-WWWW[[#This Row],['#_Non-functional storage tank gravity fed reticulation system]]</f>
        <v>0</v>
      </c>
      <c r="CK235" s="893">
        <f>(WWWW[[#This Row],['#_Water_Liters_supplied_by_Water boating or water trucking]]/90)/15</f>
        <v>0</v>
      </c>
      <c r="CL235" s="893">
        <f>WWWW[[#This Row],['#_Water_Liters_from_Constructed/Existing water distribution system from river or natural spring]]/90/15</f>
        <v>0</v>
      </c>
      <c r="CM235" s="424">
        <f>IF(WWWW[[#This Row],['#_of water points in TLS/CFS]]*500&gt;WWWW[[#This Row],[Total PoP ]],WWWW[[#This Row],[Total PoP ]],WWWW[[#This Row],['#_of water points in TLS/CFS]]*500)</f>
        <v>0</v>
      </c>
      <c r="CN235" s="424">
        <f>IF(WWWW[[#This Row],['#_of water points in THF]]*500&gt;WWWW[[#This Row],[Total PoP ]],WWWW[[#This Row],[Total PoP ]],WWWW[[#This Row],['#_of water points in THF]]*500)</f>
        <v>0</v>
      </c>
      <c r="CO23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5" s="892">
        <f>IF(WWWW[[#This Row],[Location Type 1]]="Village",WWWW[[#This Row],[Access to safe drinking water for Village]],WWWW[[#This Row],[Access to safe drinking water for Camp]])</f>
        <v>1</v>
      </c>
      <c r="CR235" s="890">
        <f>WWWW[[#This Row],[%Equitable and continuous access to sufficient quantity of safe drinking water]]*WWWW[[#This Row],[Total PoP ]]</f>
        <v>1184</v>
      </c>
      <c r="CS235" s="892">
        <f>IF((WWWW[[#This Row],['#_Constructed/Existing protected/fenced ponds]]*250)/WWWW[[#This Row],[Total PoP ]]&gt;1,1,(WWWW[[#This Row],['#_Constructed/Existing protected/fenced ponds]]*250)/WWWW[[#This Row],[Total PoP ]])</f>
        <v>0</v>
      </c>
      <c r="CT235" s="890">
        <f>WWWW[[#This Row],[% Access to unimproved water points]]*WWWW[[#This Row],[Total PoP ]]</f>
        <v>0</v>
      </c>
      <c r="CU23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1184</v>
      </c>
      <c r="CW235" s="890">
        <f>WWWW[[#This Row],[HRP1]]/500</f>
        <v>2.3679999999999999</v>
      </c>
      <c r="CX235" s="895">
        <f>1-WWWW[[#This Row],[% Equitable and continuous access to sufficient quantity of domestic water]]</f>
        <v>0</v>
      </c>
      <c r="CY235" s="890">
        <f>WWWW[[#This Row],[%equitable and continuous access to sufficient quantity of safe drinking and domestic water''s GAP]]*WWWW[[#This Row],[Total PoP ]]</f>
        <v>0</v>
      </c>
      <c r="CZ235" s="893">
        <f>IF(WWWW[[#This Row],[Total required water points]]-WWWW[[#This Row],['#Water points coverage]]&lt;0,0,WWWW[[#This Row],[Total required water points]]-WWWW[[#This Row],['#Water points coverage]])</f>
        <v>0</v>
      </c>
      <c r="DA235" s="893">
        <f>ROUND(IF(WWWW[[#This Row],[Total PoP ]]&lt;500,1,WWWW[[#This Row],[Total PoP ]]/500),0)</f>
        <v>2</v>
      </c>
      <c r="DB235" s="893">
        <f>(WWWW[[#This Row],['#_Constructed latrines_by_WASHAgencies]]+WWWW[[#This Row],['#_Non Cluster partner latrines]])-WWWW[[#This Row],['#_Non-functional latrines]]</f>
        <v>45</v>
      </c>
      <c r="DC235" s="631">
        <f>WWWW[[#This Row],[HRP2]]/WWWW[[#This Row],[Total PoP ]]</f>
        <v>0.76013513513513509</v>
      </c>
      <c r="DD23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900</v>
      </c>
      <c r="DE23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5" s="424">
        <f>IF(WWWW[[#This Row],['# of functional latrines in THF supported by WASH partners during the reporting period2]]="",0,WWWW[[#This Row],['# of functional latrines in THF supported by WASH partners during the reporting period2]]*50)</f>
        <v>0</v>
      </c>
      <c r="DH235" s="893">
        <f>ROUND(IF(WWWW[[#This Row],[Location Type 1]]="camp",WWWW[[#This Row],[Total PoP ]]/20,IF(WWWW[[#This Row],[Location Type 1]]="Temporary Location",WWWW[[#This Row],[Total PoP ]]/50,(WWWW[[#This Row],[Total PoP ]]/6))),0)</f>
        <v>59</v>
      </c>
      <c r="DI235" s="893">
        <f>IF(WWWW[[#This Row],[Total required Latrines]]-(WWWW[[#This Row],['#_Constructed latrines_by_WASHAgencies]]+WWWW[[#This Row],['#_Non Cluster partner latrines]])&lt;0,0,WWWW[[#This Row],[Total required Latrines]]-(WWWW[[#This Row],['#_Constructed latrines_by_WASHAgencies]]+WWWW[[#This Row],['#_Non Cluster partner latrines]]))</f>
        <v>14</v>
      </c>
      <c r="DJ235" s="895">
        <f>1-WWWW[[#This Row],[% people access to functioning Latrine]]</f>
        <v>0.23986486486486491</v>
      </c>
      <c r="DK235" s="894">
        <f>IF(OR(WWWW[[#This Row],['#_Non-functional latrines]]="",WWWW[[#This Row],['#_Non-functional latrines]]=0),0,WWWW[[#This Row],['#_Non-functional latrines]]/(WWWW[[#This Row],['#_Constructed latrines_by_WASHAgencies]]+WWWW[[#This Row],['#_Non Cluster partner latrines]]))</f>
        <v>0</v>
      </c>
      <c r="DL235" s="890">
        <f>IF(500*(WWWW[[#This Row],['#_male hygiene promoters]]+WWWW[[#This Row],['#_female hygiene promoters]])&gt;WWWW[[#This Row],[Total PoP ]],WWWW[[#This Row],[Total PoP ]],500*(WWWW[[#This Row],['#_male hygiene promoters]]+WWWW[[#This Row],['#_female hygiene promoters]]))</f>
        <v>500</v>
      </c>
      <c r="DM23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5" s="893">
        <f>IF(WWWW[[#This Row],['# People with access to soap]]&gt;WWWW[[#This Row],['# People with access to Sanity Pads]],WWWW[[#This Row],['# People with access to soap]],WWWW[[#This Row],['# People with access to Sanity Pads]])</f>
        <v>0</v>
      </c>
      <c r="DP235" s="89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35" s="895">
        <f>IF(WWWW[[#This Row],[HRP3]]/WWWW[[#This Row],[Total PoP ]]&gt;1,1,WWWW[[#This Row],[HRP3]]/WWWW[[#This Row],[Total PoP ]])</f>
        <v>0.42229729729729731</v>
      </c>
      <c r="DR235" s="894">
        <f>1-WWWW[[#This Row],[Hygiene Coverage%]]</f>
        <v>0.57770270270270263</v>
      </c>
      <c r="DS235" s="892">
        <f>WWWW[[#This Row],['# people reached by regular dedicated hygiene promotion_5]]/WWWW[[#This Row],[Total PoP ]]</f>
        <v>0.42229729729729731</v>
      </c>
      <c r="DT23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5" s="893">
        <f>WWWW[[#This Row],['#_Constructed/Existing hand washing stations]]-WWWW[[#This Row],['#_Non-Functional_hand_washing_stations]]</f>
        <v>7</v>
      </c>
      <c r="DW235" s="890">
        <f>IF(WWWW[[#This Row],['# Functional hand washing stations during reporting period]]*20&gt;WWWW[[#This Row],[Total HH]],WWWW[[#This Row],[Total HH]],WWWW[[#This Row],['# Functional hand washing stations during reporting period]]*20)</f>
        <v>140</v>
      </c>
      <c r="DX235" s="890">
        <f>IF(WWWW[[#This Row],[Is sufficient soap available for TLS? (Yes/No)]]="yes",WWWW[[#This Row],['#_Constructed/Existing hand washing stations at TLS/CFS/THF]],0)</f>
        <v>0</v>
      </c>
      <c r="DY235" s="428">
        <f>IF(WWWW[[#This Row],['# Functional hand washing stations during reporting period]]*100&gt;WWWW[[#This Row],[Total PoP ]],WWWW[[#This Row],[Total PoP ]],WWWW[[#This Row],['# Functional hand washing stations during reporting period]]*100)</f>
        <v>700</v>
      </c>
      <c r="DZ235" s="428" t="str">
        <f>IF(OR(WWWW[[#This Row],['#_students at TLS_CFS]]="",WWWW[[#This Row],['#_students at TLS_CFS]]=0),"No","Yes")</f>
        <v>No</v>
      </c>
      <c r="EA23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5" s="886" t="str">
        <f>VLOOKUP(WWWW[[#This Row],[Site Name]],SiteDB6[[Site Name]:[CCCM Management]],6,FALSE)</f>
        <v>Yes</v>
      </c>
      <c r="EF235" s="886" t="str">
        <f>VLOOKUP(WWWW[[#This Row],[Site Name]],SiteDB6[[Site Name]:[CCCM Focal Agency]],7,FALSE)</f>
        <v>KBC-MYT</v>
      </c>
      <c r="EG235" s="886" t="str">
        <f>VLOOKUP(WWWW[[#This Row],[Site Name]],SiteDB6[[Site Name]:[Location Type 1]],9,FALSE)</f>
        <v>Camp</v>
      </c>
      <c r="EH235" s="886" t="str">
        <f>VLOOKUP(WWWW[[#This Row],[Site Name]],SiteDB6[[Site Name]:[Type of Accommodation]],10,FALSE)</f>
        <v>Camp</v>
      </c>
      <c r="EI235" s="886" t="str">
        <f>VLOOKUP(WWWW[[#This Row],[Site Name]],SiteDB6[[Site Name]:[Ethnic or GCA/NGCA]],11,FALSE)</f>
        <v>GCA</v>
      </c>
      <c r="EJ235" s="886">
        <f>VLOOKUP(WWWW[[#This Row],[Site Name]],SiteDB6[[Site Name]:[Lat]],12,FALSE)</f>
        <v>25.397850999999999</v>
      </c>
      <c r="EK235" s="886">
        <f>VLOOKUP(WWWW[[#This Row],[Site Name]],SiteDB6[[Site Name]:[Long]],13,FALSE)</f>
        <v>97.370900000000006</v>
      </c>
      <c r="EL235" s="886" t="str">
        <f>VLOOKUP(WWWW[[#This Row],[Site Name]],SiteDB6[[Site Name]:[Pcode]],3,FALSE)</f>
        <v>MMR001CMP018</v>
      </c>
      <c r="EM235" s="891" t="str">
        <f t="shared" si="3"/>
        <v>Covered</v>
      </c>
      <c r="EN235" s="891"/>
      <c r="EO235" s="886">
        <f>VLOOKUP(WWWW[[#This Row],[Site Name]],SiteDB6[[Site Name]:[Pop
(Kachin/Shan-CCCM as of July 2021)]],16,FALSE)</f>
        <v>201</v>
      </c>
      <c r="EP235" s="886">
        <f>VLOOKUP(WWWW[[#This Row],[Site Name]],SiteDB6[[Site Name]:[Pop
(Kachin/Shan-CCCM as of July 2021)]],17,FALSE)</f>
        <v>1187</v>
      </c>
    </row>
    <row r="236" spans="1:146" hidden="1">
      <c r="A236" s="884" t="s">
        <v>2764</v>
      </c>
      <c r="B236" s="884" t="s">
        <v>36</v>
      </c>
      <c r="C236" s="885" t="s">
        <v>36</v>
      </c>
      <c r="D236" s="885" t="s">
        <v>241</v>
      </c>
      <c r="E236" s="885" t="s">
        <v>37</v>
      </c>
      <c r="F236" s="885" t="s">
        <v>159</v>
      </c>
      <c r="G236" s="591" t="str">
        <f>VLOOKUP(WWWW[[#This Row],[Site Name]],SiteDB6[[Site Name]:[Location Type]],8,FALSE)</f>
        <v>Camp</v>
      </c>
      <c r="H236" s="885" t="s">
        <v>233</v>
      </c>
      <c r="I236" s="887">
        <v>72</v>
      </c>
      <c r="J236" s="887">
        <v>388</v>
      </c>
      <c r="K236" s="888">
        <v>44414</v>
      </c>
      <c r="L236" s="889">
        <v>44778</v>
      </c>
      <c r="M236" s="887"/>
      <c r="N236" s="887">
        <v>3</v>
      </c>
      <c r="O236" s="887"/>
      <c r="P236" s="887"/>
      <c r="Q236" s="890" t="s">
        <v>41</v>
      </c>
      <c r="R236" s="887">
        <v>2</v>
      </c>
      <c r="S236" s="887">
        <v>8</v>
      </c>
      <c r="T236" s="448">
        <v>1</v>
      </c>
      <c r="U236" s="887"/>
      <c r="V236" s="887"/>
      <c r="W236" s="887"/>
      <c r="X236" s="887"/>
      <c r="Y236" s="887"/>
      <c r="Z236" s="887"/>
      <c r="AA236" s="887"/>
      <c r="AB236" s="887"/>
      <c r="AC236" s="887"/>
      <c r="AD236" s="887"/>
      <c r="AE236" s="887"/>
      <c r="AF236" s="887"/>
      <c r="AG236" s="887"/>
      <c r="AH236" s="887"/>
      <c r="AI236" s="887">
        <v>7</v>
      </c>
      <c r="AJ236" s="887">
        <v>2</v>
      </c>
      <c r="AK236" s="887"/>
      <c r="AL236" s="887"/>
      <c r="AM236" s="887">
        <v>5</v>
      </c>
      <c r="AN236" s="887"/>
      <c r="AO236" s="448"/>
      <c r="AP236" s="891"/>
      <c r="AQ236" s="887">
        <v>22</v>
      </c>
      <c r="AR236" s="887"/>
      <c r="AS236" s="892"/>
      <c r="AT236" s="887">
        <v>1</v>
      </c>
      <c r="AU236" s="887"/>
      <c r="AV236" s="887"/>
      <c r="AW236" s="887"/>
      <c r="AX236" s="887"/>
      <c r="AY236" s="886" t="s">
        <v>41</v>
      </c>
      <c r="AZ236" s="891" t="s">
        <v>137</v>
      </c>
      <c r="BA236" s="887">
        <v>1</v>
      </c>
      <c r="BB236" s="887"/>
      <c r="BC236" s="887"/>
      <c r="BD236" s="448"/>
      <c r="BE236" s="448"/>
      <c r="BF236" s="886"/>
      <c r="BG236" s="887">
        <v>7</v>
      </c>
      <c r="BH236" s="887"/>
      <c r="BI236" s="887"/>
      <c r="BJ236" s="887">
        <v>3</v>
      </c>
      <c r="BK236" s="887"/>
      <c r="BL236" s="887"/>
      <c r="BM236" s="887">
        <v>2</v>
      </c>
      <c r="BN236" s="887">
        <v>72</v>
      </c>
      <c r="BO236" s="887">
        <v>83.226000000000013</v>
      </c>
      <c r="BP236" s="886" t="s">
        <v>41</v>
      </c>
      <c r="BQ236" s="893">
        <v>100</v>
      </c>
      <c r="BR236" s="892">
        <v>0.5</v>
      </c>
      <c r="BS236" s="886" t="s">
        <v>3036</v>
      </c>
      <c r="BT236" s="423"/>
      <c r="BU236" s="423"/>
      <c r="BV236" s="425"/>
      <c r="BW236" s="423">
        <v>0.01</v>
      </c>
      <c r="BX236" s="448"/>
      <c r="BY236" s="448"/>
      <c r="BZ236" s="448"/>
      <c r="CA236" s="448"/>
      <c r="CB236" s="448"/>
      <c r="CC236" s="777"/>
      <c r="CD236" s="448"/>
      <c r="CE236" s="894">
        <f>IFERROR(WWWW[[#This Row],['#_Water sources passed]]/WWWW[[#This Row],['#_Water sources tested for fecal coliform ]],"no test")</f>
        <v>0.2857142857142857</v>
      </c>
      <c r="CF236" s="892" t="str">
        <f>IFERROR(WWWW[[#This Row],['#_Household passed]]/WWWW[[#This Row],['#_Household water samples tested for fecal coliform]],"no test")</f>
        <v>no test</v>
      </c>
      <c r="CG236" s="893" t="str">
        <f>IF(AND(WWWW[[#This Row],[% of water sources passed]]="no test",WWWW[[#This Row],[% Household passed]]="no test"),"No Test","Tested")</f>
        <v>Tested</v>
      </c>
      <c r="CH236" s="893">
        <f>WWWW[[#This Row],['#_Constructed/existing protected hand dug well]]-WWWW[[#This Row],['#_Non-functional protected hand dug well]]</f>
        <v>1</v>
      </c>
      <c r="CI236" s="893">
        <f>(WWWW[[#This Row],['#_Constructed/Existing tube wells/boreholes/handpumps_WASH_agency]]+WWWW[[#This Row],['#_Non-Cluster partner water tube-wells/boreholes/handpumps]])-WWWW[[#This Row],['#_Non-functional tube wells/boreholes/handpumps]]</f>
        <v>0</v>
      </c>
      <c r="CJ236" s="893">
        <f>WWWW[[#This Row],['#_Constructed/Existingwater storage tank with gravity fed reticulation system]]-WWWW[[#This Row],['#_Non-functional storage tank gravity fed reticulation system]]</f>
        <v>0</v>
      </c>
      <c r="CK236" s="893">
        <f>(WWWW[[#This Row],['#_Water_Liters_supplied_by_Water boating or water trucking]]/90)/15</f>
        <v>0</v>
      </c>
      <c r="CL236" s="893">
        <f>WWWW[[#This Row],['#_Water_Liters_from_Constructed/Existing water distribution system from river or natural spring]]/90/15</f>
        <v>0</v>
      </c>
      <c r="CM236" s="424">
        <f>IF(WWWW[[#This Row],['#_of water points in TLS/CFS]]*500&gt;WWWW[[#This Row],[Total PoP ]],WWWW[[#This Row],[Total PoP ]],WWWW[[#This Row],['#_of water points in TLS/CFS]]*500)</f>
        <v>0</v>
      </c>
      <c r="CN236" s="424">
        <f>IF(WWWW[[#This Row],['#_of water points in THF]]*500&gt;WWWW[[#This Row],[Total PoP ]],WWWW[[#This Row],[Total PoP ]],WWWW[[#This Row],['#_of water points in THF]]*500)</f>
        <v>0</v>
      </c>
      <c r="CO23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0.64432989690721654</v>
      </c>
      <c r="CQ236" s="892">
        <f>IF(WWWW[[#This Row],[Location Type 1]]="Village",WWWW[[#This Row],[Access to safe drinking water for Village]],WWWW[[#This Row],[Access to safe drinking water for Camp]])</f>
        <v>1</v>
      </c>
      <c r="CR236" s="890">
        <f>WWWW[[#This Row],[%Equitable and continuous access to sufficient quantity of safe drinking water]]*WWWW[[#This Row],[Total PoP ]]</f>
        <v>388</v>
      </c>
      <c r="CS236" s="892">
        <f>IF((WWWW[[#This Row],['#_Constructed/Existing protected/fenced ponds]]*250)/WWWW[[#This Row],[Total PoP ]]&gt;1,1,(WWWW[[#This Row],['#_Constructed/Existing protected/fenced ponds]]*250)/WWWW[[#This Row],[Total PoP ]])</f>
        <v>0</v>
      </c>
      <c r="CT236" s="890">
        <f>WWWW[[#This Row],[% Access to unimproved water points]]*WWWW[[#This Row],[Total PoP ]]</f>
        <v>0</v>
      </c>
      <c r="CU23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388</v>
      </c>
      <c r="CW236" s="890">
        <f>WWWW[[#This Row],[HRP1]]/500</f>
        <v>0.77600000000000002</v>
      </c>
      <c r="CX236" s="895">
        <f>1-WWWW[[#This Row],[% Equitable and continuous access to sufficient quantity of domestic water]]</f>
        <v>0</v>
      </c>
      <c r="CY236" s="890">
        <f>WWWW[[#This Row],[%equitable and continuous access to sufficient quantity of safe drinking and domestic water''s GAP]]*WWWW[[#This Row],[Total PoP ]]</f>
        <v>0</v>
      </c>
      <c r="CZ236" s="893">
        <f>IF(WWWW[[#This Row],[Total required water points]]-WWWW[[#This Row],['#Water points coverage]]&lt;0,0,WWWW[[#This Row],[Total required water points]]-WWWW[[#This Row],['#Water points coverage]])</f>
        <v>0.22399999999999998</v>
      </c>
      <c r="DA236" s="893">
        <f>ROUND(IF(WWWW[[#This Row],[Total PoP ]]&lt;500,1,WWWW[[#This Row],[Total PoP ]]/500),0)</f>
        <v>1</v>
      </c>
      <c r="DB236" s="893">
        <f>(WWWW[[#This Row],['#_Constructed latrines_by_WASHAgencies]]+WWWW[[#This Row],['#_Non Cluster partner latrines]])-WWWW[[#This Row],['#_Non-functional latrines]]</f>
        <v>21</v>
      </c>
      <c r="DC236" s="631">
        <f>WWWW[[#This Row],[HRP2]]/WWWW[[#This Row],[Total PoP ]]</f>
        <v>1</v>
      </c>
      <c r="DD23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388</v>
      </c>
      <c r="DE23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6" s="424">
        <f>IF(WWWW[[#This Row],['# of functional latrines in THF supported by WASH partners during the reporting period2]]="",0,WWWW[[#This Row],['# of functional latrines in THF supported by WASH partners during the reporting period2]]*50)</f>
        <v>0</v>
      </c>
      <c r="DH236" s="893">
        <f>ROUND(IF(WWWW[[#This Row],[Location Type 1]]="camp",WWWW[[#This Row],[Total PoP ]]/20,IF(WWWW[[#This Row],[Location Type 1]]="Temporary Location",WWWW[[#This Row],[Total PoP ]]/50,(WWWW[[#This Row],[Total PoP ]]/6))),0)</f>
        <v>19</v>
      </c>
      <c r="DI236" s="893">
        <f>IF(WWWW[[#This Row],[Total required Latrines]]-(WWWW[[#This Row],['#_Constructed latrines_by_WASHAgencies]]+WWWW[[#This Row],['#_Non Cluster partner latrines]])&lt;0,0,WWWW[[#This Row],[Total required Latrines]]-(WWWW[[#This Row],['#_Constructed latrines_by_WASHAgencies]]+WWWW[[#This Row],['#_Non Cluster partner latrines]]))</f>
        <v>0</v>
      </c>
      <c r="DJ236" s="895">
        <f>1-WWWW[[#This Row],[% people access to functioning Latrine]]</f>
        <v>0</v>
      </c>
      <c r="DK236" s="894">
        <f>IF(OR(WWWW[[#This Row],['#_Non-functional latrines]]="",WWWW[[#This Row],['#_Non-functional latrines]]=0),0,WWWW[[#This Row],['#_Non-functional latrines]]/(WWWW[[#This Row],['#_Constructed latrines_by_WASHAgencies]]+WWWW[[#This Row],['#_Non Cluster partner latrines]]))</f>
        <v>4.5454545454545456E-2</v>
      </c>
      <c r="DL236" s="890">
        <f>IF(500*(WWWW[[#This Row],['#_male hygiene promoters]]+WWWW[[#This Row],['#_female hygiene promoters]])&gt;WWWW[[#This Row],[Total PoP ]],WWWW[[#This Row],[Total PoP ]],500*(WWWW[[#This Row],['#_male hygiene promoters]]+WWWW[[#This Row],['#_female hygiene promoters]]))</f>
        <v>388</v>
      </c>
      <c r="DM23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388</v>
      </c>
      <c r="DN23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83.226000000000013</v>
      </c>
      <c r="DO236" s="893">
        <f>IF(WWWW[[#This Row],['# People with access to soap]]&gt;WWWW[[#This Row],['# People with access to Sanity Pads]],WWWW[[#This Row],['# People with access to soap]],WWWW[[#This Row],['# People with access to Sanity Pads]])</f>
        <v>388</v>
      </c>
      <c r="DP236" s="893">
        <f>IF(WWWW[[#This Row],['# people reached by regular dedicated hygiene promotion_5]]&gt;WWWW[[#This Row],['# People received regular supply of hygiene items_6]],WWWW[[#This Row],['# people reached by regular dedicated hygiene promotion_5]],WWWW[[#This Row],['# People received regular supply of hygiene items_6]])</f>
        <v>388</v>
      </c>
      <c r="DQ236" s="895">
        <f>IF(WWWW[[#This Row],[HRP3]]/WWWW[[#This Row],[Total PoP ]]&gt;1,1,WWWW[[#This Row],[HRP3]]/WWWW[[#This Row],[Total PoP ]])</f>
        <v>1</v>
      </c>
      <c r="DR236" s="894">
        <f>1-WWWW[[#This Row],[Hygiene Coverage%]]</f>
        <v>0</v>
      </c>
      <c r="DS236" s="892">
        <f>WWWW[[#This Row],['# people reached by regular dedicated hygiene promotion_5]]/WWWW[[#This Row],[Total PoP ]]</f>
        <v>1</v>
      </c>
      <c r="DT23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3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36" s="893">
        <f>WWWW[[#This Row],['#_Constructed/Existing hand washing stations]]-WWWW[[#This Row],['#_Non-Functional_hand_washing_stations]]</f>
        <v>7</v>
      </c>
      <c r="DW236" s="890">
        <f>IF(WWWW[[#This Row],['# Functional hand washing stations during reporting period]]*20&gt;WWWW[[#This Row],[Total HH]],WWWW[[#This Row],[Total HH]],WWWW[[#This Row],['# Functional hand washing stations during reporting period]]*20)</f>
        <v>72</v>
      </c>
      <c r="DX236" s="890">
        <f>IF(WWWW[[#This Row],[Is sufficient soap available for TLS? (Yes/No)]]="yes",WWWW[[#This Row],['#_Constructed/Existing hand washing stations at TLS/CFS/THF]],0)</f>
        <v>5</v>
      </c>
      <c r="DY236" s="428">
        <f>IF(WWWW[[#This Row],['# Functional hand washing stations during reporting period]]*100&gt;WWWW[[#This Row],[Total PoP ]],WWWW[[#This Row],[Total PoP ]],WWWW[[#This Row],['# Functional hand washing stations during reporting period]]*100)</f>
        <v>388</v>
      </c>
      <c r="DZ236" s="428" t="str">
        <f>IF(OR(WWWW[[#This Row],['#_students at TLS_CFS]]="",WWWW[[#This Row],['#_students at TLS_CFS]]=0),"No","Yes")</f>
        <v>No</v>
      </c>
      <c r="EA23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6" s="886" t="str">
        <f>VLOOKUP(WWWW[[#This Row],[Site Name]],SiteDB6[[Site Name]:[CCCM Management]],6,FALSE)</f>
        <v>Yes</v>
      </c>
      <c r="EF236" s="886" t="str">
        <f>VLOOKUP(WWWW[[#This Row],[Site Name]],SiteDB6[[Site Name]:[CCCM Focal Agency]],7,FALSE)</f>
        <v>KMSS-MYT</v>
      </c>
      <c r="EG236" s="886" t="str">
        <f>VLOOKUP(WWWW[[#This Row],[Site Name]],SiteDB6[[Site Name]:[Location Type 1]],9,FALSE)</f>
        <v>Camp</v>
      </c>
      <c r="EH236" s="886" t="str">
        <f>VLOOKUP(WWWW[[#This Row],[Site Name]],SiteDB6[[Site Name]:[Type of Accommodation]],10,FALSE)</f>
        <v>Camp</v>
      </c>
      <c r="EI236" s="886" t="str">
        <f>VLOOKUP(WWWW[[#This Row],[Site Name]],SiteDB6[[Site Name]:[Ethnic or GCA/NGCA]],11,FALSE)</f>
        <v>GCA</v>
      </c>
      <c r="EJ236" s="886">
        <f>VLOOKUP(WWWW[[#This Row],[Site Name]],SiteDB6[[Site Name]:[Lat]],12,FALSE)</f>
        <v>25.403476999999999</v>
      </c>
      <c r="EK236" s="886">
        <f>VLOOKUP(WWWW[[#This Row],[Site Name]],SiteDB6[[Site Name]:[Long]],13,FALSE)</f>
        <v>97.373361000000003</v>
      </c>
      <c r="EL236" s="886" t="str">
        <f>VLOOKUP(WWWW[[#This Row],[Site Name]],SiteDB6[[Site Name]:[Pcode]],3,FALSE)</f>
        <v>MMR001CMP019</v>
      </c>
      <c r="EM236" s="891" t="str">
        <f t="shared" si="3"/>
        <v>Covered</v>
      </c>
      <c r="EN236" s="891"/>
      <c r="EO236" s="886">
        <f>VLOOKUP(WWWW[[#This Row],[Site Name]],SiteDB6[[Site Name]:[Pop
(Kachin/Shan-CCCM as of July 2021)]],16,FALSE)</f>
        <v>73</v>
      </c>
      <c r="EP236" s="886">
        <f>VLOOKUP(WWWW[[#This Row],[Site Name]],SiteDB6[[Site Name]:[Pop
(Kachin/Shan-CCCM as of July 2021)]],17,FALSE)</f>
        <v>387</v>
      </c>
    </row>
    <row r="237" spans="1:146" hidden="1">
      <c r="A237" s="884" t="s">
        <v>2764</v>
      </c>
      <c r="B237" s="884" t="s">
        <v>3082</v>
      </c>
      <c r="C237" s="885" t="s">
        <v>141</v>
      </c>
      <c r="D237" s="369" t="s">
        <v>3083</v>
      </c>
      <c r="E237" s="885" t="s">
        <v>37</v>
      </c>
      <c r="F237" s="885" t="s">
        <v>159</v>
      </c>
      <c r="G237" s="591" t="str">
        <f>VLOOKUP(WWWW[[#This Row],[Site Name]],SiteDB6[[Site Name]:[Location Type]],8,FALSE)</f>
        <v>Camp</v>
      </c>
      <c r="H237" s="885" t="s">
        <v>1604</v>
      </c>
      <c r="I237" s="887">
        <v>136</v>
      </c>
      <c r="J237" s="887">
        <v>658</v>
      </c>
      <c r="K237" s="800" t="s">
        <v>3084</v>
      </c>
      <c r="L237" s="56" t="s">
        <v>3080</v>
      </c>
      <c r="M237" s="887"/>
      <c r="N237" s="887">
        <v>3</v>
      </c>
      <c r="O237" s="887"/>
      <c r="P237" s="887"/>
      <c r="Q237" s="890" t="s">
        <v>41</v>
      </c>
      <c r="R237" s="887">
        <v>2</v>
      </c>
      <c r="S237" s="887">
        <v>4</v>
      </c>
      <c r="T237" s="448">
        <v>9</v>
      </c>
      <c r="U237" s="887"/>
      <c r="V237" s="887">
        <v>2</v>
      </c>
      <c r="W237" s="887">
        <v>4</v>
      </c>
      <c r="X237" s="887">
        <v>0</v>
      </c>
      <c r="Y237" s="887"/>
      <c r="Z237" s="887"/>
      <c r="AA237" s="887"/>
      <c r="AB237" s="887"/>
      <c r="AC237" s="887"/>
      <c r="AD237" s="887"/>
      <c r="AE237" s="887"/>
      <c r="AF237" s="887"/>
      <c r="AG237" s="887"/>
      <c r="AH237" s="887">
        <v>6</v>
      </c>
      <c r="AI237" s="887"/>
      <c r="AJ237" s="887"/>
      <c r="AK237" s="887"/>
      <c r="AL237" s="887"/>
      <c r="AM237" s="887"/>
      <c r="AN237" s="887"/>
      <c r="AO237" s="448"/>
      <c r="AP237" s="891"/>
      <c r="AQ237" s="887">
        <v>16</v>
      </c>
      <c r="AR237" s="887"/>
      <c r="AS237" s="892"/>
      <c r="AT237" s="887">
        <v>1</v>
      </c>
      <c r="AU237" s="887"/>
      <c r="AV237" s="887"/>
      <c r="AW237" s="887"/>
      <c r="AX237" s="887">
        <v>8</v>
      </c>
      <c r="AY237" s="886" t="s">
        <v>41</v>
      </c>
      <c r="AZ237" s="891" t="s">
        <v>137</v>
      </c>
      <c r="BA237" s="887"/>
      <c r="BB237" s="887"/>
      <c r="BC237" s="887"/>
      <c r="BD237" s="448"/>
      <c r="BE237" s="448"/>
      <c r="BF237" s="886"/>
      <c r="BG237" s="887">
        <v>12</v>
      </c>
      <c r="BH237" s="887"/>
      <c r="BI237" s="887"/>
      <c r="BJ237" s="887">
        <v>8</v>
      </c>
      <c r="BK237" s="887"/>
      <c r="BL237" s="887">
        <v>1</v>
      </c>
      <c r="BM237" s="887"/>
      <c r="BN237" s="448">
        <v>21</v>
      </c>
      <c r="BO237" s="448">
        <v>54</v>
      </c>
      <c r="BP237" s="886"/>
      <c r="BQ237" s="893"/>
      <c r="BR237" s="892"/>
      <c r="BS237" s="425" t="s">
        <v>3053</v>
      </c>
      <c r="BT237" s="423"/>
      <c r="BU237" s="423"/>
      <c r="BV237" s="425"/>
      <c r="BW237" s="423"/>
      <c r="BX237" s="448"/>
      <c r="BY237" s="448"/>
      <c r="BZ237" s="448"/>
      <c r="CA237" s="448"/>
      <c r="CB237" s="448"/>
      <c r="CC237" s="777"/>
      <c r="CD237" s="448"/>
      <c r="CE237" s="894" t="str">
        <f>IFERROR(WWWW[[#This Row],['#_Water sources passed]]/WWWW[[#This Row],['#_Water sources tested for fecal coliform ]],"no test")</f>
        <v>no test</v>
      </c>
      <c r="CF237" s="892" t="str">
        <f>IFERROR(WWWW[[#This Row],['#_Household passed]]/WWWW[[#This Row],['#_Household water samples tested for fecal coliform]],"no test")</f>
        <v>no test</v>
      </c>
      <c r="CG237" s="893" t="str">
        <f>IF(AND(WWWW[[#This Row],[% of water sources passed]]="no test",WWWW[[#This Row],[% Household passed]]="no test"),"No Test","Tested")</f>
        <v>No Test</v>
      </c>
      <c r="CH237" s="893">
        <f>WWWW[[#This Row],['#_Constructed/existing protected hand dug well]]-WWWW[[#This Row],['#_Non-functional protected hand dug well]]</f>
        <v>9</v>
      </c>
      <c r="CI237" s="893">
        <f>(WWWW[[#This Row],['#_Constructed/Existing tube wells/boreholes/handpumps_WASH_agency]]+WWWW[[#This Row],['#_Non-Cluster partner water tube-wells/boreholes/handpumps]])-WWWW[[#This Row],['#_Non-functional tube wells/boreholes/handpumps]]</f>
        <v>4</v>
      </c>
      <c r="CJ237" s="893">
        <f>WWWW[[#This Row],['#_Constructed/Existingwater storage tank with gravity fed reticulation system]]-WWWW[[#This Row],['#_Non-functional storage tank gravity fed reticulation system]]</f>
        <v>0</v>
      </c>
      <c r="CK237" s="893">
        <f>(WWWW[[#This Row],['#_Water_Liters_supplied_by_Water boating or water trucking]]/90)/15</f>
        <v>0</v>
      </c>
      <c r="CL237" s="893">
        <f>WWWW[[#This Row],['#_Water_Liters_from_Constructed/Existing water distribution system from river or natural spring]]/90/15</f>
        <v>0</v>
      </c>
      <c r="CM237" s="424">
        <f>IF(WWWW[[#This Row],['#_of water points in TLS/CFS]]*500&gt;WWWW[[#This Row],[Total PoP ]],WWWW[[#This Row],[Total PoP ]],WWWW[[#This Row],['#_of water points in TLS/CFS]]*500)</f>
        <v>0</v>
      </c>
      <c r="CN237" s="424">
        <f>IF(WWWW[[#This Row],['#_of water points in THF]]*500&gt;WWWW[[#This Row],[Total PoP ]],WWWW[[#This Row],[Total PoP ]],WWWW[[#This Row],['#_of water points in THF]]*500)</f>
        <v>0</v>
      </c>
      <c r="CO23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7" s="892">
        <f>IF(WWWW[[#This Row],[Location Type 1]]="Village",WWWW[[#This Row],[Access to safe drinking water for Village]],WWWW[[#This Row],[Access to safe drinking water for Camp]])</f>
        <v>1</v>
      </c>
      <c r="CR237" s="890">
        <f>WWWW[[#This Row],[%Equitable and continuous access to sufficient quantity of safe drinking water]]*WWWW[[#This Row],[Total PoP ]]</f>
        <v>658</v>
      </c>
      <c r="CS237" s="892">
        <f>IF((WWWW[[#This Row],['#_Constructed/Existing protected/fenced ponds]]*250)/WWWW[[#This Row],[Total PoP ]]&gt;1,1,(WWWW[[#This Row],['#_Constructed/Existing protected/fenced ponds]]*250)/WWWW[[#This Row],[Total PoP ]])</f>
        <v>0</v>
      </c>
      <c r="CT237" s="890">
        <f>WWWW[[#This Row],[% Access to unimproved water points]]*WWWW[[#This Row],[Total PoP ]]</f>
        <v>0</v>
      </c>
      <c r="CU23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658</v>
      </c>
      <c r="CW237" s="890">
        <f>WWWW[[#This Row],[HRP1]]/500</f>
        <v>1.3160000000000001</v>
      </c>
      <c r="CX237" s="895">
        <f>1-WWWW[[#This Row],[% Equitable and continuous access to sufficient quantity of domestic water]]</f>
        <v>0</v>
      </c>
      <c r="CY237" s="890">
        <f>WWWW[[#This Row],[%equitable and continuous access to sufficient quantity of safe drinking and domestic water''s GAP]]*WWWW[[#This Row],[Total PoP ]]</f>
        <v>0</v>
      </c>
      <c r="CZ237" s="893">
        <f>IF(WWWW[[#This Row],[Total required water points]]-WWWW[[#This Row],['#Water points coverage]]&lt;0,0,WWWW[[#This Row],[Total required water points]]-WWWW[[#This Row],['#Water points coverage]])</f>
        <v>0</v>
      </c>
      <c r="DA237" s="893">
        <f>ROUND(IF(WWWW[[#This Row],[Total PoP ]]&lt;500,1,WWWW[[#This Row],[Total PoP ]]/500),0)</f>
        <v>1</v>
      </c>
      <c r="DB237" s="893">
        <f>(WWWW[[#This Row],['#_Constructed latrines_by_WASHAgencies]]+WWWW[[#This Row],['#_Non Cluster partner latrines]])-WWWW[[#This Row],['#_Non-functional latrines]]</f>
        <v>15</v>
      </c>
      <c r="DC237" s="631">
        <f>WWWW[[#This Row],[HRP2]]/WWWW[[#This Row],[Total PoP ]]</f>
        <v>0.45592705167173253</v>
      </c>
      <c r="DD23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23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7" s="424">
        <f>IF(WWWW[[#This Row],['# of functional latrines in THF supported by WASH partners during the reporting period2]]="",0,WWWW[[#This Row],['# of functional latrines in THF supported by WASH partners during the reporting period2]]*50)</f>
        <v>0</v>
      </c>
      <c r="DH237" s="893">
        <f>ROUND(IF(WWWW[[#This Row],[Location Type 1]]="camp",WWWW[[#This Row],[Total PoP ]]/20,IF(WWWW[[#This Row],[Location Type 1]]="Temporary Location",WWWW[[#This Row],[Total PoP ]]/50,(WWWW[[#This Row],[Total PoP ]]/6))),0)</f>
        <v>33</v>
      </c>
      <c r="DI237" s="893">
        <f>IF(WWWW[[#This Row],[Total required Latrines]]-(WWWW[[#This Row],['#_Constructed latrines_by_WASHAgencies]]+WWWW[[#This Row],['#_Non Cluster partner latrines]])&lt;0,0,WWWW[[#This Row],[Total required Latrines]]-(WWWW[[#This Row],['#_Constructed latrines_by_WASHAgencies]]+WWWW[[#This Row],['#_Non Cluster partner latrines]]))</f>
        <v>17</v>
      </c>
      <c r="DJ237" s="895">
        <f>1-WWWW[[#This Row],[% people access to functioning Latrine]]</f>
        <v>0.54407294832826747</v>
      </c>
      <c r="DK237" s="894">
        <f>IF(OR(WWWW[[#This Row],['#_Non-functional latrines]]="",WWWW[[#This Row],['#_Non-functional latrines]]=0),0,WWWW[[#This Row],['#_Non-functional latrines]]/(WWWW[[#This Row],['#_Constructed latrines_by_WASHAgencies]]+WWWW[[#This Row],['#_Non Cluster partner latrines]]))</f>
        <v>6.25E-2</v>
      </c>
      <c r="DL237" s="890">
        <f>IF(500*(WWWW[[#This Row],['#_male hygiene promoters]]+WWWW[[#This Row],['#_female hygiene promoters]])&gt;WWWW[[#This Row],[Total PoP ]],WWWW[[#This Row],[Total PoP ]],500*(WWWW[[#This Row],['#_male hygiene promoters]]+WWWW[[#This Row],['#_female hygiene promoters]]))</f>
        <v>500</v>
      </c>
      <c r="DM23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105</v>
      </c>
      <c r="DN23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54</v>
      </c>
      <c r="DO237" s="893">
        <f>IF(WWWW[[#This Row],['# People with access to soap]]&gt;WWWW[[#This Row],['# People with access to Sanity Pads]],WWWW[[#This Row],['# People with access to soap]],WWWW[[#This Row],['# People with access to Sanity Pads]])</f>
        <v>105</v>
      </c>
      <c r="DP237" s="89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37" s="895">
        <f>IF(WWWW[[#This Row],[HRP3]]/WWWW[[#This Row],[Total PoP ]]&gt;1,1,WWWW[[#This Row],[HRP3]]/WWWW[[#This Row],[Total PoP ]])</f>
        <v>0.75987841945288759</v>
      </c>
      <c r="DR237" s="894">
        <f>1-WWWW[[#This Row],[Hygiene Coverage%]]</f>
        <v>0.24012158054711241</v>
      </c>
      <c r="DS237" s="892">
        <f>WWWW[[#This Row],['# people reached by regular dedicated hygiene promotion_5]]/WWWW[[#This Row],[Total PoP ]]</f>
        <v>0.75987841945288759</v>
      </c>
      <c r="DT23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0.61764705882352944</v>
      </c>
      <c r="DU23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0.39705882352941174</v>
      </c>
      <c r="DV237" s="893">
        <f>WWWW[[#This Row],['#_Constructed/Existing hand washing stations]]-WWWW[[#This Row],['#_Non-Functional_hand_washing_stations]]</f>
        <v>12</v>
      </c>
      <c r="DW237" s="890">
        <f>IF(WWWW[[#This Row],['# Functional hand washing stations during reporting period]]*20&gt;WWWW[[#This Row],[Total HH]],WWWW[[#This Row],[Total HH]],WWWW[[#This Row],['# Functional hand washing stations during reporting period]]*20)</f>
        <v>136</v>
      </c>
      <c r="DX237" s="890">
        <f>IF(WWWW[[#This Row],[Is sufficient soap available for TLS? (Yes/No)]]="yes",WWWW[[#This Row],['#_Constructed/Existing hand washing stations at TLS/CFS/THF]],0)</f>
        <v>0</v>
      </c>
      <c r="DY237" s="428">
        <f>IF(WWWW[[#This Row],['# Functional hand washing stations during reporting period]]*100&gt;WWWW[[#This Row],[Total PoP ]],WWWW[[#This Row],[Total PoP ]],WWWW[[#This Row],['# Functional hand washing stations during reporting period]]*100)</f>
        <v>658</v>
      </c>
      <c r="DZ237" s="428" t="str">
        <f>IF(OR(WWWW[[#This Row],['#_students at TLS_CFS]]="",WWWW[[#This Row],['#_students at TLS_CFS]]=0),"No","Yes")</f>
        <v>No</v>
      </c>
      <c r="EA23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7" s="886">
        <f>VLOOKUP(WWWW[[#This Row],[Site Name]],SiteDB6[[Site Name]:[CCCM Management]],6,FALSE)</f>
        <v>0</v>
      </c>
      <c r="EF237" s="886" t="str">
        <f>VLOOKUP(WWWW[[#This Row],[Site Name]],SiteDB6[[Site Name]:[CCCM Focal Agency]],7,FALSE)</f>
        <v>KBC-MYT</v>
      </c>
      <c r="EG237" s="886" t="str">
        <f>VLOOKUP(WWWW[[#This Row],[Site Name]],SiteDB6[[Site Name]:[Location Type 1]],9,FALSE)</f>
        <v>Camp</v>
      </c>
      <c r="EH237" s="886" t="str">
        <f>VLOOKUP(WWWW[[#This Row],[Site Name]],SiteDB6[[Site Name]:[Type of Accommodation]],10,FALSE)</f>
        <v>Camp</v>
      </c>
      <c r="EI237" s="886" t="str">
        <f>VLOOKUP(WWWW[[#This Row],[Site Name]],SiteDB6[[Site Name]:[Ethnic or GCA/NGCA]],11,FALSE)</f>
        <v>GCA</v>
      </c>
      <c r="EJ237" s="886">
        <f>VLOOKUP(WWWW[[#This Row],[Site Name]],SiteDB6[[Site Name]:[Lat]],12,FALSE)</f>
        <v>25.489669799804702</v>
      </c>
      <c r="EK237" s="886">
        <f>VLOOKUP(WWWW[[#This Row],[Site Name]],SiteDB6[[Site Name]:[Long]],13,FALSE)</f>
        <v>97.458778381347699</v>
      </c>
      <c r="EL237" s="886" t="str">
        <f>VLOOKUP(WWWW[[#This Row],[Site Name]],SiteDB6[[Site Name]:[Pcode]],3,FALSE)</f>
        <v>MMR001CMP265</v>
      </c>
      <c r="EM237" s="891" t="str">
        <f t="shared" si="3"/>
        <v>Covered</v>
      </c>
      <c r="EN237" s="891"/>
      <c r="EO237" s="886">
        <f>VLOOKUP(WWWW[[#This Row],[Site Name]],SiteDB6[[Site Name]:[Pop
(Kachin/Shan-CCCM as of July 2021)]],16,FALSE)</f>
        <v>136</v>
      </c>
      <c r="EP237" s="886">
        <f>VLOOKUP(WWWW[[#This Row],[Site Name]],SiteDB6[[Site Name]:[Pop
(Kachin/Shan-CCCM as of July 2021)]],17,FALSE)</f>
        <v>658</v>
      </c>
    </row>
    <row r="238" spans="1:146" hidden="1">
      <c r="A238" s="884" t="s">
        <v>2764</v>
      </c>
      <c r="B238" s="884" t="s">
        <v>141</v>
      </c>
      <c r="C238" s="885" t="s">
        <v>141</v>
      </c>
      <c r="D238" s="885" t="s">
        <v>241</v>
      </c>
      <c r="E238" s="885" t="s">
        <v>37</v>
      </c>
      <c r="F238" s="885" t="s">
        <v>205</v>
      </c>
      <c r="G238" s="591" t="str">
        <f>VLOOKUP(WWWW[[#This Row],[Site Name]],SiteDB6[[Site Name]:[Location Type]],8,FALSE)</f>
        <v>Camp</v>
      </c>
      <c r="H238" s="885" t="s">
        <v>290</v>
      </c>
      <c r="I238" s="904">
        <v>1490</v>
      </c>
      <c r="J238" s="904">
        <v>8486</v>
      </c>
      <c r="K238" s="905">
        <v>44682</v>
      </c>
      <c r="L238" s="906">
        <v>44865</v>
      </c>
      <c r="M238" s="887"/>
      <c r="N238" s="904">
        <v>3</v>
      </c>
      <c r="O238" s="887"/>
      <c r="P238" s="887"/>
      <c r="Q238" s="890" t="s">
        <v>41</v>
      </c>
      <c r="R238" s="904">
        <v>12</v>
      </c>
      <c r="S238" s="904">
        <v>13</v>
      </c>
      <c r="T238" s="448">
        <v>3</v>
      </c>
      <c r="U238" s="887"/>
      <c r="V238" s="887"/>
      <c r="W238" s="887"/>
      <c r="X238" s="887"/>
      <c r="Y238" s="887"/>
      <c r="Z238" s="887"/>
      <c r="AA238" s="904">
        <v>3</v>
      </c>
      <c r="AB238" s="887"/>
      <c r="AC238" s="887"/>
      <c r="AD238" s="887"/>
      <c r="AE238" s="904">
        <v>3</v>
      </c>
      <c r="AF238" s="887"/>
      <c r="AG238" s="904">
        <v>12</v>
      </c>
      <c r="AH238" s="887"/>
      <c r="AI238" s="887"/>
      <c r="AJ238" s="887"/>
      <c r="AK238" s="887"/>
      <c r="AL238" s="887"/>
      <c r="AM238" s="887"/>
      <c r="AN238" s="887"/>
      <c r="AO238" s="448"/>
      <c r="AP238" s="590" t="s">
        <v>3015</v>
      </c>
      <c r="AQ238" s="904">
        <v>715</v>
      </c>
      <c r="AR238" s="887"/>
      <c r="AS238" s="892"/>
      <c r="AT238" s="904">
        <v>78</v>
      </c>
      <c r="AU238" s="904">
        <v>39</v>
      </c>
      <c r="AV238" s="904"/>
      <c r="AW238" s="887">
        <v>340</v>
      </c>
      <c r="AX238" s="887"/>
      <c r="AY238" s="886" t="s">
        <v>41</v>
      </c>
      <c r="AZ238" s="891" t="s">
        <v>137</v>
      </c>
      <c r="BA238" s="887"/>
      <c r="BB238" s="904">
        <v>8</v>
      </c>
      <c r="BC238" s="887"/>
      <c r="BD238" s="448"/>
      <c r="BE238" s="448"/>
      <c r="BF238" s="886"/>
      <c r="BG238" s="904">
        <v>145</v>
      </c>
      <c r="BH238" s="904">
        <v>97</v>
      </c>
      <c r="BI238" s="887"/>
      <c r="BJ238" s="904">
        <v>49</v>
      </c>
      <c r="BK238" s="904">
        <v>2</v>
      </c>
      <c r="BL238" s="904">
        <v>12</v>
      </c>
      <c r="BM238" s="904">
        <v>13</v>
      </c>
      <c r="BN238" s="904">
        <v>1597</v>
      </c>
      <c r="BO238" s="904">
        <v>2887</v>
      </c>
      <c r="BP238" s="909" t="s">
        <v>136</v>
      </c>
      <c r="BQ238" s="893"/>
      <c r="BR238" s="892"/>
      <c r="BS238" s="909" t="s">
        <v>3016</v>
      </c>
      <c r="BT238" s="423">
        <v>0.8</v>
      </c>
      <c r="BU238" s="423">
        <v>0.8</v>
      </c>
      <c r="BV238" s="425">
        <v>50</v>
      </c>
      <c r="BW238" s="423">
        <v>0.65</v>
      </c>
      <c r="BX238" s="448"/>
      <c r="BY238" s="448"/>
      <c r="BZ238" s="448"/>
      <c r="CA238" s="448"/>
      <c r="CB238" s="448"/>
      <c r="CC238" s="777"/>
      <c r="CD238" s="448"/>
      <c r="CE238" s="894" t="str">
        <f>IFERROR(WWWW[[#This Row],['#_Water sources passed]]/WWWW[[#This Row],['#_Water sources tested for fecal coliform ]],"no test")</f>
        <v>no test</v>
      </c>
      <c r="CF238" s="892" t="str">
        <f>IFERROR(WWWW[[#This Row],['#_Household passed]]/WWWW[[#This Row],['#_Household water samples tested for fecal coliform]],"no test")</f>
        <v>no test</v>
      </c>
      <c r="CG238" s="893" t="str">
        <f>IF(AND(WWWW[[#This Row],[% of water sources passed]]="no test",WWWW[[#This Row],[% Household passed]]="no test"),"No Test","Tested")</f>
        <v>No Test</v>
      </c>
      <c r="CH238" s="893">
        <f>WWWW[[#This Row],['#_Constructed/existing protected hand dug well]]-WWWW[[#This Row],['#_Non-functional protected hand dug well]]</f>
        <v>3</v>
      </c>
      <c r="CI238" s="893">
        <f>(WWWW[[#This Row],['#_Constructed/Existing tube wells/boreholes/handpumps_WASH_agency]]+WWWW[[#This Row],['#_Non-Cluster partner water tube-wells/boreholes/handpumps]])-WWWW[[#This Row],['#_Non-functional tube wells/boreholes/handpumps]]</f>
        <v>0</v>
      </c>
      <c r="CJ238" s="893">
        <f>WWWW[[#This Row],['#_Constructed/Existingwater storage tank with gravity fed reticulation system]]-WWWW[[#This Row],['#_Non-functional storage tank gravity fed reticulation system]]</f>
        <v>3</v>
      </c>
      <c r="CK238" s="893">
        <f>(WWWW[[#This Row],['#_Water_Liters_supplied_by_Water boating or water trucking]]/90)/15</f>
        <v>0</v>
      </c>
      <c r="CL238" s="893">
        <f>WWWW[[#This Row],['#_Water_Liters_from_Constructed/Existing water distribution system from river or natural spring]]/90/15</f>
        <v>0</v>
      </c>
      <c r="CM238" s="424">
        <f>IF(WWWW[[#This Row],['#_of water points in TLS/CFS]]*500&gt;WWWW[[#This Row],[Total PoP ]],WWWW[[#This Row],[Total PoP ]],WWWW[[#This Row],['#_of water points in TLS/CFS]]*500)</f>
        <v>0</v>
      </c>
      <c r="CN238" s="424">
        <f>IF(WWWW[[#This Row],['#_of water points in THF]]*500&gt;WWWW[[#This Row],[Total PoP ]],WWWW[[#This Row],[Total PoP ]],WWWW[[#This Row],['#_of water points in THF]]*500)</f>
        <v>0</v>
      </c>
      <c r="CO23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0.16497761018147536</v>
      </c>
      <c r="CP23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0.11194909262314401</v>
      </c>
      <c r="CQ238" s="892">
        <f>IF(WWWW[[#This Row],[Location Type 1]]="Village",WWWW[[#This Row],[Access to safe drinking water for Village]],WWWW[[#This Row],[Access to safe drinking water for Camp]])</f>
        <v>0.16497761018147536</v>
      </c>
      <c r="CR238" s="890">
        <f>WWWW[[#This Row],[%Equitable and continuous access to sufficient quantity of safe drinking water]]*WWWW[[#This Row],[Total PoP ]]</f>
        <v>1400</v>
      </c>
      <c r="CS238" s="892">
        <f>IF((WWWW[[#This Row],['#_Constructed/Existing protected/fenced ponds]]*250)/WWWW[[#This Row],[Total PoP ]]&gt;1,1,(WWWW[[#This Row],['#_Constructed/Existing protected/fenced ponds]]*250)/WWWW[[#This Row],[Total PoP ]])</f>
        <v>8.8380862597218945E-2</v>
      </c>
      <c r="CT238" s="890">
        <f>WWWW[[#This Row],[% Access to unimproved water points]]*WWWW[[#This Row],[Total PoP ]]</f>
        <v>750</v>
      </c>
      <c r="CU23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0.25335847277869428</v>
      </c>
      <c r="CV23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2150</v>
      </c>
      <c r="CW238" s="890">
        <f>WWWW[[#This Row],[HRP1]]/500</f>
        <v>4.3</v>
      </c>
      <c r="CX238" s="895">
        <f>1-WWWW[[#This Row],[% Equitable and continuous access to sufficient quantity of domestic water]]</f>
        <v>0.74664152722130572</v>
      </c>
      <c r="CY238" s="890">
        <f>WWWW[[#This Row],[%equitable and continuous access to sufficient quantity of safe drinking and domestic water''s GAP]]*WWWW[[#This Row],[Total PoP ]]</f>
        <v>6336</v>
      </c>
      <c r="CZ238" s="893">
        <f>IF(WWWW[[#This Row],[Total required water points]]-WWWW[[#This Row],['#Water points coverage]]&lt;0,0,WWWW[[#This Row],[Total required water points]]-WWWW[[#This Row],['#Water points coverage]])</f>
        <v>12.7</v>
      </c>
      <c r="DA238" s="893">
        <f>ROUND(IF(WWWW[[#This Row],[Total PoP ]]&lt;500,1,WWWW[[#This Row],[Total PoP ]]/500),0)</f>
        <v>17</v>
      </c>
      <c r="DB238" s="893">
        <f>(WWWW[[#This Row],['#_Constructed latrines_by_WASHAgencies]]+WWWW[[#This Row],['#_Non Cluster partner latrines]])-WWWW[[#This Row],['#_Non-functional latrines]]</f>
        <v>637</v>
      </c>
      <c r="DC238" s="631">
        <f>WWWW[[#This Row],[HRP2]]/WWWW[[#This Row],[Total PoP ]]</f>
        <v>1</v>
      </c>
      <c r="DD23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8486</v>
      </c>
      <c r="DE23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8" s="424">
        <f>IF(WWWW[[#This Row],['# of functional latrines in THF supported by WASH partners during the reporting period2]]="",0,WWWW[[#This Row],['# of functional latrines in THF supported by WASH partners during the reporting period2]]*50)</f>
        <v>0</v>
      </c>
      <c r="DH238" s="893">
        <f>ROUND(IF(WWWW[[#This Row],[Location Type 1]]="camp",WWWW[[#This Row],[Total PoP ]]/20,IF(WWWW[[#This Row],[Location Type 1]]="Temporary Location",WWWW[[#This Row],[Total PoP ]]/50,(WWWW[[#This Row],[Total PoP ]]/6))),0)</f>
        <v>424</v>
      </c>
      <c r="DI238" s="893">
        <f>IF(WWWW[[#This Row],[Total required Latrines]]-(WWWW[[#This Row],['#_Constructed latrines_by_WASHAgencies]]+WWWW[[#This Row],['#_Non Cluster partner latrines]])&lt;0,0,WWWW[[#This Row],[Total required Latrines]]-(WWWW[[#This Row],['#_Constructed latrines_by_WASHAgencies]]+WWWW[[#This Row],['#_Non Cluster partner latrines]]))</f>
        <v>0</v>
      </c>
      <c r="DJ238" s="895">
        <f>1-WWWW[[#This Row],[% people access to functioning Latrine]]</f>
        <v>0</v>
      </c>
      <c r="DK238" s="894">
        <f>IF(OR(WWWW[[#This Row],['#_Non-functional latrines]]="",WWWW[[#This Row],['#_Non-functional latrines]]=0),0,WWWW[[#This Row],['#_Non-functional latrines]]/(WWWW[[#This Row],['#_Constructed latrines_by_WASHAgencies]]+WWWW[[#This Row],['#_Non Cluster partner latrines]]))</f>
        <v>0.10909090909090909</v>
      </c>
      <c r="DL238" s="890">
        <f>IF(500*(WWWW[[#This Row],['#_male hygiene promoters]]+WWWW[[#This Row],['#_female hygiene promoters]])&gt;WWWW[[#This Row],[Total PoP ]],WWWW[[#This Row],[Total PoP ]],500*(WWWW[[#This Row],['#_male hygiene promoters]]+WWWW[[#This Row],['#_female hygiene promoters]]))</f>
        <v>8486</v>
      </c>
      <c r="DM23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7985</v>
      </c>
      <c r="DN23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2887</v>
      </c>
      <c r="DO238" s="893">
        <f>IF(WWWW[[#This Row],['# People with access to soap]]&gt;WWWW[[#This Row],['# People with access to Sanity Pads]],WWWW[[#This Row],['# People with access to soap]],WWWW[[#This Row],['# People with access to Sanity Pads]])</f>
        <v>7985</v>
      </c>
      <c r="DP238" s="893">
        <f>IF(WWWW[[#This Row],['# people reached by regular dedicated hygiene promotion_5]]&gt;WWWW[[#This Row],['# People received regular supply of hygiene items_6]],WWWW[[#This Row],['# people reached by regular dedicated hygiene promotion_5]],WWWW[[#This Row],['# People received regular supply of hygiene items_6]])</f>
        <v>8486</v>
      </c>
      <c r="DQ238" s="895">
        <f>IF(WWWW[[#This Row],[HRP3]]/WWWW[[#This Row],[Total PoP ]]&gt;1,1,WWWW[[#This Row],[HRP3]]/WWWW[[#This Row],[Total PoP ]])</f>
        <v>1</v>
      </c>
      <c r="DR238" s="894">
        <f>1-WWWW[[#This Row],[Hygiene Coverage%]]</f>
        <v>0</v>
      </c>
      <c r="DS238" s="892">
        <f>WWWW[[#This Row],['# people reached by regular dedicated hygiene promotion_5]]/WWWW[[#This Row],[Total PoP ]]</f>
        <v>1</v>
      </c>
      <c r="DT23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3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38" s="893">
        <f>WWWW[[#This Row],['#_Constructed/Existing hand washing stations]]-WWWW[[#This Row],['#_Non-Functional_hand_washing_stations]]</f>
        <v>48</v>
      </c>
      <c r="DW238" s="890">
        <f>IF(WWWW[[#This Row],['# Functional hand washing stations during reporting period]]*20&gt;WWWW[[#This Row],[Total HH]],WWWW[[#This Row],[Total HH]],WWWW[[#This Row],['# Functional hand washing stations during reporting period]]*20)</f>
        <v>960</v>
      </c>
      <c r="DX238" s="890">
        <f>IF(WWWW[[#This Row],[Is sufficient soap available for TLS? (Yes/No)]]="yes",WWWW[[#This Row],['#_Constructed/Existing hand washing stations at TLS/CFS/THF]],0)</f>
        <v>0</v>
      </c>
      <c r="DY238" s="428">
        <f>IF(WWWW[[#This Row],['# Functional hand washing stations during reporting period]]*100&gt;WWWW[[#This Row],[Total PoP ]],WWWW[[#This Row],[Total PoP ]],WWWW[[#This Row],['# Functional hand washing stations during reporting period]]*100)</f>
        <v>4800</v>
      </c>
      <c r="DZ238" s="428" t="str">
        <f>IF(OR(WWWW[[#This Row],['#_students at TLS_CFS]]="",WWWW[[#This Row],['#_students at TLS_CFS]]=0),"No","Yes")</f>
        <v>No</v>
      </c>
      <c r="EA238" s="631">
        <f>IF(WWWW[[#This Row],['#_of_affected_people_surveyed_who_report_feeling_informed_about_the_different_WASH_services_available_to_them]]="","",WWWW[[#This Row],['#_of_affected_people_surveyed_who_report_feeling_informed_about_the_different_WASH_services_available_to_them]]/WWWW[[#This Row],[Total PoP ]])</f>
        <v>5.8920575064812632E-3</v>
      </c>
      <c r="EB23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8" s="886" t="str">
        <f>VLOOKUP(WWWW[[#This Row],[Site Name]],SiteDB6[[Site Name]:[CCCM Management]],6,FALSE)</f>
        <v>Yes</v>
      </c>
      <c r="EF238" s="886" t="str">
        <f>VLOOKUP(WWWW[[#This Row],[Site Name]],SiteDB6[[Site Name]:[CCCM Focal Agency]],7,FALSE)</f>
        <v>KMSS-MYT</v>
      </c>
      <c r="EG238" s="886" t="str">
        <f>VLOOKUP(WWWW[[#This Row],[Site Name]],SiteDB6[[Site Name]:[Location Type 1]],9,FALSE)</f>
        <v>Camp</v>
      </c>
      <c r="EH238" s="886" t="str">
        <f>VLOOKUP(WWWW[[#This Row],[Site Name]],SiteDB6[[Site Name]:[Type of Accommodation]],10,FALSE)</f>
        <v>Camp</v>
      </c>
      <c r="EI238" s="886" t="str">
        <f>VLOOKUP(WWWW[[#This Row],[Site Name]],SiteDB6[[Site Name]:[Ethnic or GCA/NGCA]],11,FALSE)</f>
        <v>NGCA</v>
      </c>
      <c r="EJ238" s="886">
        <f>VLOOKUP(WWWW[[#This Row],[Site Name]],SiteDB6[[Site Name]:[Lat]],12,FALSE)</f>
        <v>24.688338999999999</v>
      </c>
      <c r="EK238" s="886">
        <f>VLOOKUP(WWWW[[#This Row],[Site Name]],SiteDB6[[Site Name]:[Long]],13,FALSE)</f>
        <v>97.568331999999998</v>
      </c>
      <c r="EL238" s="886" t="str">
        <f>VLOOKUP(WWWW[[#This Row],[Site Name]],SiteDB6[[Site Name]:[Pcode]],3,FALSE)</f>
        <v>MMR001CMP121</v>
      </c>
      <c r="EM238" s="891" t="str">
        <f t="shared" si="3"/>
        <v>Covered</v>
      </c>
      <c r="EN238" s="891"/>
      <c r="EO238" s="886">
        <f>VLOOKUP(WWWW[[#This Row],[Site Name]],SiteDB6[[Site Name]:[Pop
(Kachin/Shan-CCCM as of July 2021)]],16,FALSE)</f>
        <v>1592</v>
      </c>
      <c r="EP238" s="886">
        <f>VLOOKUP(WWWW[[#This Row],[Site Name]],SiteDB6[[Site Name]:[Pop
(Kachin/Shan-CCCM as of July 2021)]],17,FALSE)</f>
        <v>8220</v>
      </c>
    </row>
    <row r="239" spans="1:146" hidden="1">
      <c r="A239" s="884" t="s">
        <v>2764</v>
      </c>
      <c r="B239" s="884" t="s">
        <v>36</v>
      </c>
      <c r="C239" s="885" t="s">
        <v>36</v>
      </c>
      <c r="D239" s="885" t="s">
        <v>241</v>
      </c>
      <c r="E239" s="885" t="s">
        <v>37</v>
      </c>
      <c r="F239" s="885" t="s">
        <v>159</v>
      </c>
      <c r="G239" s="591" t="str">
        <f>VLOOKUP(WWWW[[#This Row],[Site Name]],SiteDB6[[Site Name]:[Location Type]],8,FALSE)</f>
        <v>Camp</v>
      </c>
      <c r="H239" s="885" t="s">
        <v>828</v>
      </c>
      <c r="I239" s="887">
        <v>18</v>
      </c>
      <c r="J239" s="887">
        <v>61</v>
      </c>
      <c r="K239" s="888">
        <v>44414</v>
      </c>
      <c r="L239" s="889">
        <v>44778</v>
      </c>
      <c r="M239" s="887">
        <v>489</v>
      </c>
      <c r="N239" s="887">
        <v>2</v>
      </c>
      <c r="O239" s="887"/>
      <c r="P239" s="887"/>
      <c r="Q239" s="890" t="s">
        <v>41</v>
      </c>
      <c r="R239" s="887">
        <v>1</v>
      </c>
      <c r="S239" s="887">
        <v>2</v>
      </c>
      <c r="T239" s="448">
        <v>1</v>
      </c>
      <c r="U239" s="887"/>
      <c r="V239" s="887"/>
      <c r="W239" s="887">
        <v>1</v>
      </c>
      <c r="X239" s="887"/>
      <c r="Y239" s="887"/>
      <c r="Z239" s="887"/>
      <c r="AA239" s="887"/>
      <c r="AB239" s="887"/>
      <c r="AC239" s="887"/>
      <c r="AD239" s="887"/>
      <c r="AE239" s="887"/>
      <c r="AF239" s="887"/>
      <c r="AG239" s="887"/>
      <c r="AH239" s="887"/>
      <c r="AI239" s="887"/>
      <c r="AJ239" s="887"/>
      <c r="AK239" s="887"/>
      <c r="AL239" s="887"/>
      <c r="AM239" s="887">
        <v>4</v>
      </c>
      <c r="AN239" s="887"/>
      <c r="AO239" s="448"/>
      <c r="AP239" s="891"/>
      <c r="AQ239" s="887">
        <v>4</v>
      </c>
      <c r="AR239" s="887"/>
      <c r="AS239" s="892"/>
      <c r="AT239" s="887">
        <v>1</v>
      </c>
      <c r="AU239" s="887"/>
      <c r="AV239" s="887"/>
      <c r="AW239" s="887"/>
      <c r="AX239" s="887"/>
      <c r="AY239" s="886" t="s">
        <v>41</v>
      </c>
      <c r="AZ239" s="891" t="s">
        <v>137</v>
      </c>
      <c r="BA239" s="887"/>
      <c r="BB239" s="887"/>
      <c r="BC239" s="887"/>
      <c r="BD239" s="448"/>
      <c r="BE239" s="448"/>
      <c r="BF239" s="886"/>
      <c r="BG239" s="887">
        <v>2</v>
      </c>
      <c r="BH239" s="887"/>
      <c r="BI239" s="887"/>
      <c r="BJ239" s="887">
        <v>1</v>
      </c>
      <c r="BK239" s="887">
        <v>1</v>
      </c>
      <c r="BL239" s="887"/>
      <c r="BM239" s="887">
        <v>1</v>
      </c>
      <c r="BN239" s="887">
        <v>18</v>
      </c>
      <c r="BO239" s="887">
        <v>13.0845</v>
      </c>
      <c r="BP239" s="886" t="s">
        <v>41</v>
      </c>
      <c r="BQ239" s="893">
        <v>100</v>
      </c>
      <c r="BR239" s="892">
        <v>0.5</v>
      </c>
      <c r="BS239" s="886" t="s">
        <v>3036</v>
      </c>
      <c r="BT239" s="423"/>
      <c r="BU239" s="423"/>
      <c r="BV239" s="425"/>
      <c r="BW239" s="423">
        <v>0.01</v>
      </c>
      <c r="BX239" s="448"/>
      <c r="BY239" s="448"/>
      <c r="BZ239" s="448"/>
      <c r="CA239" s="448"/>
      <c r="CB239" s="448"/>
      <c r="CC239" s="777"/>
      <c r="CD239" s="448"/>
      <c r="CE239" s="894" t="str">
        <f>IFERROR(WWWW[[#This Row],['#_Water sources passed]]/WWWW[[#This Row],['#_Water sources tested for fecal coliform ]],"no test")</f>
        <v>no test</v>
      </c>
      <c r="CF239" s="892" t="str">
        <f>IFERROR(WWWW[[#This Row],['#_Household passed]]/WWWW[[#This Row],['#_Household water samples tested for fecal coliform]],"no test")</f>
        <v>no test</v>
      </c>
      <c r="CG239" s="893" t="str">
        <f>IF(AND(WWWW[[#This Row],[% of water sources passed]]="no test",WWWW[[#This Row],[% Household passed]]="no test"),"No Test","Tested")</f>
        <v>No Test</v>
      </c>
      <c r="CH239" s="893">
        <f>WWWW[[#This Row],['#_Constructed/existing protected hand dug well]]-WWWW[[#This Row],['#_Non-functional protected hand dug well]]</f>
        <v>1</v>
      </c>
      <c r="CI239" s="893">
        <f>(WWWW[[#This Row],['#_Constructed/Existing tube wells/boreholes/handpumps_WASH_agency]]+WWWW[[#This Row],['#_Non-Cluster partner water tube-wells/boreholes/handpumps]])-WWWW[[#This Row],['#_Non-functional tube wells/boreholes/handpumps]]</f>
        <v>1</v>
      </c>
      <c r="CJ239" s="893">
        <f>WWWW[[#This Row],['#_Constructed/Existingwater storage tank with gravity fed reticulation system]]-WWWW[[#This Row],['#_Non-functional storage tank gravity fed reticulation system]]</f>
        <v>0</v>
      </c>
      <c r="CK239" s="893">
        <f>(WWWW[[#This Row],['#_Water_Liters_supplied_by_Water boating or water trucking]]/90)/15</f>
        <v>0</v>
      </c>
      <c r="CL239" s="893">
        <f>WWWW[[#This Row],['#_Water_Liters_from_Constructed/Existing water distribution system from river or natural spring]]/90/15</f>
        <v>0</v>
      </c>
      <c r="CM239" s="424">
        <f>IF(WWWW[[#This Row],['#_of water points in TLS/CFS]]*500&gt;WWWW[[#This Row],[Total PoP ]],WWWW[[#This Row],[Total PoP ]],WWWW[[#This Row],['#_of water points in TLS/CFS]]*500)</f>
        <v>0</v>
      </c>
      <c r="CN239" s="424">
        <f>IF(WWWW[[#This Row],['#_of water points in THF]]*500&gt;WWWW[[#This Row],[Total PoP ]],WWWW[[#This Row],[Total PoP ]],WWWW[[#This Row],['#_of water points in THF]]*500)</f>
        <v>0</v>
      </c>
      <c r="CO23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9" s="892">
        <f>IF(WWWW[[#This Row],[Location Type 1]]="Village",WWWW[[#This Row],[Access to safe drinking water for Village]],WWWW[[#This Row],[Access to safe drinking water for Camp]])</f>
        <v>1</v>
      </c>
      <c r="CR239" s="890">
        <f>WWWW[[#This Row],[%Equitable and continuous access to sufficient quantity of safe drinking water]]*WWWW[[#This Row],[Total PoP ]]</f>
        <v>61</v>
      </c>
      <c r="CS239" s="892">
        <f>IF((WWWW[[#This Row],['#_Constructed/Existing protected/fenced ponds]]*250)/WWWW[[#This Row],[Total PoP ]]&gt;1,1,(WWWW[[#This Row],['#_Constructed/Existing protected/fenced ponds]]*250)/WWWW[[#This Row],[Total PoP ]])</f>
        <v>0</v>
      </c>
      <c r="CT239" s="890">
        <f>WWWW[[#This Row],[% Access to unimproved water points]]*WWWW[[#This Row],[Total PoP ]]</f>
        <v>0</v>
      </c>
      <c r="CU23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v>
      </c>
      <c r="CW239" s="890">
        <f>WWWW[[#This Row],[HRP1]]/500</f>
        <v>0.122</v>
      </c>
      <c r="CX239" s="895">
        <f>1-WWWW[[#This Row],[% Equitable and continuous access to sufficient quantity of domestic water]]</f>
        <v>0</v>
      </c>
      <c r="CY239" s="890">
        <f>WWWW[[#This Row],[%equitable and continuous access to sufficient quantity of safe drinking and domestic water''s GAP]]*WWWW[[#This Row],[Total PoP ]]</f>
        <v>0</v>
      </c>
      <c r="CZ239" s="893">
        <f>IF(WWWW[[#This Row],[Total required water points]]-WWWW[[#This Row],['#Water points coverage]]&lt;0,0,WWWW[[#This Row],[Total required water points]]-WWWW[[#This Row],['#Water points coverage]])</f>
        <v>0.878</v>
      </c>
      <c r="DA239" s="893">
        <f>ROUND(IF(WWWW[[#This Row],[Total PoP ]]&lt;500,1,WWWW[[#This Row],[Total PoP ]]/500),0)</f>
        <v>1</v>
      </c>
      <c r="DB239" s="893">
        <f>(WWWW[[#This Row],['#_Constructed latrines_by_WASHAgencies]]+WWWW[[#This Row],['#_Non Cluster partner latrines]])-WWWW[[#This Row],['#_Non-functional latrines]]</f>
        <v>3</v>
      </c>
      <c r="DC239" s="631">
        <f>WWWW[[#This Row],[HRP2]]/WWWW[[#This Row],[Total PoP ]]</f>
        <v>0.98360655737704916</v>
      </c>
      <c r="DD23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v>
      </c>
      <c r="DE23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9" s="424">
        <f>IF(WWWW[[#This Row],['# of functional latrines in THF supported by WASH partners during the reporting period2]]="",0,WWWW[[#This Row],['# of functional latrines in THF supported by WASH partners during the reporting period2]]*50)</f>
        <v>0</v>
      </c>
      <c r="DH239" s="893">
        <f>ROUND(IF(WWWW[[#This Row],[Location Type 1]]="camp",WWWW[[#This Row],[Total PoP ]]/20,IF(WWWW[[#This Row],[Location Type 1]]="Temporary Location",WWWW[[#This Row],[Total PoP ]]/50,(WWWW[[#This Row],[Total PoP ]]/6))),0)</f>
        <v>3</v>
      </c>
      <c r="DI239" s="893">
        <f>IF(WWWW[[#This Row],[Total required Latrines]]-(WWWW[[#This Row],['#_Constructed latrines_by_WASHAgencies]]+WWWW[[#This Row],['#_Non Cluster partner latrines]])&lt;0,0,WWWW[[#This Row],[Total required Latrines]]-(WWWW[[#This Row],['#_Constructed latrines_by_WASHAgencies]]+WWWW[[#This Row],['#_Non Cluster partner latrines]]))</f>
        <v>0</v>
      </c>
      <c r="DJ239" s="895">
        <f>1-WWWW[[#This Row],[% people access to functioning Latrine]]</f>
        <v>1.6393442622950838E-2</v>
      </c>
      <c r="DK239" s="894">
        <f>IF(OR(WWWW[[#This Row],['#_Non-functional latrines]]="",WWWW[[#This Row],['#_Non-functional latrines]]=0),0,WWWW[[#This Row],['#_Non-functional latrines]]/(WWWW[[#This Row],['#_Constructed latrines_by_WASHAgencies]]+WWWW[[#This Row],['#_Non Cluster partner latrines]]))</f>
        <v>0.25</v>
      </c>
      <c r="DL239" s="890">
        <f>IF(500*(WWWW[[#This Row],['#_male hygiene promoters]]+WWWW[[#This Row],['#_female hygiene promoters]])&gt;WWWW[[#This Row],[Total PoP ]],WWWW[[#This Row],[Total PoP ]],500*(WWWW[[#This Row],['#_male hygiene promoters]]+WWWW[[#This Row],['#_female hygiene promoters]]))</f>
        <v>61</v>
      </c>
      <c r="DM23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61</v>
      </c>
      <c r="DN23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13.0845</v>
      </c>
      <c r="DO239" s="893">
        <f>IF(WWWW[[#This Row],['# People with access to soap]]&gt;WWWW[[#This Row],['# People with access to Sanity Pads]],WWWW[[#This Row],['# People with access to soap]],WWWW[[#This Row],['# People with access to Sanity Pads]])</f>
        <v>61</v>
      </c>
      <c r="DP239" s="893">
        <f>IF(WWWW[[#This Row],['# people reached by regular dedicated hygiene promotion_5]]&gt;WWWW[[#This Row],['# People received regular supply of hygiene items_6]],WWWW[[#This Row],['# people reached by regular dedicated hygiene promotion_5]],WWWW[[#This Row],['# People received regular supply of hygiene items_6]])</f>
        <v>61</v>
      </c>
      <c r="DQ239" s="895">
        <f>IF(WWWW[[#This Row],[HRP3]]/WWWW[[#This Row],[Total PoP ]]&gt;1,1,WWWW[[#This Row],[HRP3]]/WWWW[[#This Row],[Total PoP ]])</f>
        <v>1</v>
      </c>
      <c r="DR239" s="894">
        <f>1-WWWW[[#This Row],[Hygiene Coverage%]]</f>
        <v>0</v>
      </c>
      <c r="DS239" s="892">
        <f>WWWW[[#This Row],['# people reached by regular dedicated hygiene promotion_5]]/WWWW[[#This Row],[Total PoP ]]</f>
        <v>1</v>
      </c>
      <c r="DT23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3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0.72691666666666666</v>
      </c>
      <c r="DV239" s="893">
        <f>WWWW[[#This Row],['#_Constructed/Existing hand washing stations]]-WWWW[[#This Row],['#_Non-Functional_hand_washing_stations]]</f>
        <v>2</v>
      </c>
      <c r="DW239" s="890">
        <f>IF(WWWW[[#This Row],['# Functional hand washing stations during reporting period]]*20&gt;WWWW[[#This Row],[Total HH]],WWWW[[#This Row],[Total HH]],WWWW[[#This Row],['# Functional hand washing stations during reporting period]]*20)</f>
        <v>18</v>
      </c>
      <c r="DX239" s="890">
        <f>IF(WWWW[[#This Row],[Is sufficient soap available for TLS? (Yes/No)]]="yes",WWWW[[#This Row],['#_Constructed/Existing hand washing stations at TLS/CFS/THF]],0)</f>
        <v>4</v>
      </c>
      <c r="DY239" s="428">
        <f>IF(WWWW[[#This Row],['# Functional hand washing stations during reporting period]]*100&gt;WWWW[[#This Row],[Total PoP ]],WWWW[[#This Row],[Total PoP ]],WWWW[[#This Row],['# Functional hand washing stations during reporting period]]*100)</f>
        <v>61</v>
      </c>
      <c r="DZ239" s="428" t="str">
        <f>IF(OR(WWWW[[#This Row],['#_students at TLS_CFS]]="",WWWW[[#This Row],['#_students at TLS_CFS]]=0),"No","Yes")</f>
        <v>Yes</v>
      </c>
      <c r="EA23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9" s="886">
        <f>VLOOKUP(WWWW[[#This Row],[Site Name]],SiteDB6[[Site Name]:[CCCM Management]],6,FALSE)</f>
        <v>0</v>
      </c>
      <c r="EF239" s="886" t="str">
        <f>VLOOKUP(WWWW[[#This Row],[Site Name]],SiteDB6[[Site Name]:[CCCM Focal Agency]],7,FALSE)</f>
        <v>KMSS-MYT</v>
      </c>
      <c r="EG239" s="886" t="str">
        <f>VLOOKUP(WWWW[[#This Row],[Site Name]],SiteDB6[[Site Name]:[Location Type 1]],9,FALSE)</f>
        <v>Camp</v>
      </c>
      <c r="EH239" s="886" t="str">
        <f>VLOOKUP(WWWW[[#This Row],[Site Name]],SiteDB6[[Site Name]:[Type of Accommodation]],10,FALSE)</f>
        <v>Camp</v>
      </c>
      <c r="EI239" s="886" t="str">
        <f>VLOOKUP(WWWW[[#This Row],[Site Name]],SiteDB6[[Site Name]:[Ethnic or GCA/NGCA]],11,FALSE)</f>
        <v>GCA</v>
      </c>
      <c r="EJ239" s="886">
        <f>VLOOKUP(WWWW[[#This Row],[Site Name]],SiteDB6[[Site Name]:[Lat]],12,FALSE)</f>
        <v>25.244700000000002</v>
      </c>
      <c r="EK239" s="886">
        <f>VLOOKUP(WWWW[[#This Row],[Site Name]],SiteDB6[[Site Name]:[Long]],13,FALSE)</f>
        <v>97.2209</v>
      </c>
      <c r="EL239" s="886" t="str">
        <f>VLOOKUP(WWWW[[#This Row],[Site Name]],SiteDB6[[Site Name]:[Pcode]],3,FALSE)</f>
        <v>MMR001CMP256</v>
      </c>
      <c r="EM239" s="891" t="str">
        <f t="shared" si="3"/>
        <v>Covered</v>
      </c>
      <c r="EN239" s="891"/>
      <c r="EO239" s="886">
        <f>VLOOKUP(WWWW[[#This Row],[Site Name]],SiteDB6[[Site Name]:[Pop
(Kachin/Shan-CCCM as of July 2021)]],16,FALSE)</f>
        <v>18</v>
      </c>
      <c r="EP239" s="886">
        <f>VLOOKUP(WWWW[[#This Row],[Site Name]],SiteDB6[[Site Name]:[Pop
(Kachin/Shan-CCCM as of July 2021)]],17,FALSE)</f>
        <v>60</v>
      </c>
    </row>
    <row r="240" spans="1:146" hidden="1">
      <c r="A240" s="884" t="s">
        <v>2764</v>
      </c>
      <c r="B240" s="884" t="s">
        <v>276</v>
      </c>
      <c r="C240" s="885" t="s">
        <v>276</v>
      </c>
      <c r="D240" s="885" t="s">
        <v>3037</v>
      </c>
      <c r="E240" s="885" t="s">
        <v>37</v>
      </c>
      <c r="F240" s="885" t="s">
        <v>205</v>
      </c>
      <c r="G240" s="591" t="str">
        <f>VLOOKUP(WWWW[[#This Row],[Site Name]],SiteDB6[[Site Name]:[Location Type]],8,FALSE)</f>
        <v>Camp_not registered</v>
      </c>
      <c r="H240" s="885" t="s">
        <v>207</v>
      </c>
      <c r="I240" s="887">
        <v>1597</v>
      </c>
      <c r="J240" s="887">
        <v>8250</v>
      </c>
      <c r="K240" s="888">
        <v>44652</v>
      </c>
      <c r="L240" s="889">
        <v>44895</v>
      </c>
      <c r="M240" s="887"/>
      <c r="N240" s="887"/>
      <c r="O240" s="887"/>
      <c r="P240" s="887"/>
      <c r="Q240" s="890" t="s">
        <v>41</v>
      </c>
      <c r="R240" s="887">
        <v>1</v>
      </c>
      <c r="S240" s="887">
        <v>5</v>
      </c>
      <c r="T240" s="448">
        <v>1</v>
      </c>
      <c r="U240" s="887"/>
      <c r="V240" s="887"/>
      <c r="W240" s="887"/>
      <c r="X240" s="887"/>
      <c r="Y240" s="887"/>
      <c r="Z240" s="887"/>
      <c r="AA240" s="887"/>
      <c r="AB240" s="887"/>
      <c r="AC240" s="887"/>
      <c r="AD240" s="887"/>
      <c r="AE240" s="887"/>
      <c r="AF240" s="887"/>
      <c r="AG240" s="887"/>
      <c r="AH240" s="887"/>
      <c r="AI240" s="887">
        <v>1</v>
      </c>
      <c r="AJ240" s="887">
        <v>0</v>
      </c>
      <c r="AK240" s="887"/>
      <c r="AL240" s="887"/>
      <c r="AM240" s="887"/>
      <c r="AN240" s="887"/>
      <c r="AO240" s="448"/>
      <c r="AP240" s="891" t="s">
        <v>3040</v>
      </c>
      <c r="AQ240" s="887">
        <v>6</v>
      </c>
      <c r="AR240" s="887"/>
      <c r="AS240" s="892"/>
      <c r="AT240" s="887"/>
      <c r="AU240" s="887"/>
      <c r="AV240" s="887">
        <v>6</v>
      </c>
      <c r="AW240" s="887">
        <v>4</v>
      </c>
      <c r="AX240" s="887"/>
      <c r="AY240" s="886" t="s">
        <v>41</v>
      </c>
      <c r="AZ240" s="891" t="s">
        <v>137</v>
      </c>
      <c r="BA240" s="887"/>
      <c r="BB240" s="887"/>
      <c r="BC240" s="887"/>
      <c r="BD240" s="448"/>
      <c r="BE240" s="448"/>
      <c r="BF240" s="886"/>
      <c r="BG240" s="887"/>
      <c r="BH240" s="887"/>
      <c r="BI240" s="887"/>
      <c r="BJ240" s="887">
        <v>2</v>
      </c>
      <c r="BK240" s="887"/>
      <c r="BL240" s="887"/>
      <c r="BM240" s="887"/>
      <c r="BN240" s="887"/>
      <c r="BO240" s="887"/>
      <c r="BP240" s="886"/>
      <c r="BQ240" s="893"/>
      <c r="BR240" s="892"/>
      <c r="BS240" s="886"/>
      <c r="BT240" s="423"/>
      <c r="BU240" s="423"/>
      <c r="BV240" s="425"/>
      <c r="BW240" s="423">
        <v>0</v>
      </c>
      <c r="BX240" s="448"/>
      <c r="BY240" s="448">
        <v>6</v>
      </c>
      <c r="BZ240" s="448">
        <v>2</v>
      </c>
      <c r="CA240" s="448"/>
      <c r="CB240" s="448"/>
      <c r="CC240" s="777"/>
      <c r="CD240" s="448"/>
      <c r="CE240" s="894">
        <f>IFERROR(WWWW[[#This Row],['#_Water sources passed]]/WWWW[[#This Row],['#_Water sources tested for fecal coliform ]],"no test")</f>
        <v>0</v>
      </c>
      <c r="CF240" s="892" t="str">
        <f>IFERROR(WWWW[[#This Row],['#_Household passed]]/WWWW[[#This Row],['#_Household water samples tested for fecal coliform]],"no test")</f>
        <v>no test</v>
      </c>
      <c r="CG240" s="893" t="str">
        <f>IF(AND(WWWW[[#This Row],[% of water sources passed]]="no test",WWWW[[#This Row],[% Household passed]]="no test"),"No Test","Tested")</f>
        <v>Tested</v>
      </c>
      <c r="CH240" s="893">
        <f>WWWW[[#This Row],['#_Constructed/existing protected hand dug well]]-WWWW[[#This Row],['#_Non-functional protected hand dug well]]</f>
        <v>1</v>
      </c>
      <c r="CI240" s="893">
        <f>(WWWW[[#This Row],['#_Constructed/Existing tube wells/boreholes/handpumps_WASH_agency]]+WWWW[[#This Row],['#_Non-Cluster partner water tube-wells/boreholes/handpumps]])-WWWW[[#This Row],['#_Non-functional tube wells/boreholes/handpumps]]</f>
        <v>0</v>
      </c>
      <c r="CJ240" s="893">
        <f>WWWW[[#This Row],['#_Constructed/Existingwater storage tank with gravity fed reticulation system]]-WWWW[[#This Row],['#_Non-functional storage tank gravity fed reticulation system]]</f>
        <v>0</v>
      </c>
      <c r="CK240" s="893">
        <f>(WWWW[[#This Row],['#_Water_Liters_supplied_by_Water boating or water trucking]]/90)/15</f>
        <v>0</v>
      </c>
      <c r="CL240" s="893">
        <f>WWWW[[#This Row],['#_Water_Liters_from_Constructed/Existing water distribution system from river or natural spring]]/90/15</f>
        <v>0</v>
      </c>
      <c r="CM240" s="424">
        <f>IF(WWWW[[#This Row],['#_of water points in TLS/CFS]]*500&gt;WWWW[[#This Row],[Total PoP ]],WWWW[[#This Row],[Total PoP ]],WWWW[[#This Row],['#_of water points in TLS/CFS]]*500)</f>
        <v>0</v>
      </c>
      <c r="CN240" s="424">
        <f>IF(WWWW[[#This Row],['#_of water points in THF]]*500&gt;WWWW[[#This Row],[Total PoP ]],WWWW[[#This Row],[Total PoP ]],WWWW[[#This Row],['#_of water points in THF]]*500)</f>
        <v>0</v>
      </c>
      <c r="CO24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4.8484848484848485E-2</v>
      </c>
      <c r="CP24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3.0303030303030304E-2</v>
      </c>
      <c r="CQ240" s="892">
        <f>IF(WWWW[[#This Row],[Location Type 1]]="Village",WWWW[[#This Row],[Access to safe drinking water for Village]],WWWW[[#This Row],[Access to safe drinking water for Camp]])</f>
        <v>4.8484848484848485E-2</v>
      </c>
      <c r="CR240" s="890">
        <f>WWWW[[#This Row],[%Equitable and continuous access to sufficient quantity of safe drinking water]]*WWWW[[#This Row],[Total PoP ]]</f>
        <v>400</v>
      </c>
      <c r="CS240" s="892">
        <f>IF((WWWW[[#This Row],['#_Constructed/Existing protected/fenced ponds]]*250)/WWWW[[#This Row],[Total PoP ]]&gt;1,1,(WWWW[[#This Row],['#_Constructed/Existing protected/fenced ponds]]*250)/WWWW[[#This Row],[Total PoP ]])</f>
        <v>0</v>
      </c>
      <c r="CT240" s="890">
        <f>WWWW[[#This Row],[% Access to unimproved water points]]*WWWW[[#This Row],[Total PoP ]]</f>
        <v>0</v>
      </c>
      <c r="CU24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4.8484848484848485E-2</v>
      </c>
      <c r="CV24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240" s="890">
        <f>WWWW[[#This Row],[HRP1]]/500</f>
        <v>0.8</v>
      </c>
      <c r="CX240" s="895">
        <f>1-WWWW[[#This Row],[% Equitable and continuous access to sufficient quantity of domestic water]]</f>
        <v>0.95151515151515154</v>
      </c>
      <c r="CY240" s="890">
        <f>WWWW[[#This Row],[%equitable and continuous access to sufficient quantity of safe drinking and domestic water''s GAP]]*WWWW[[#This Row],[Total PoP ]]</f>
        <v>7850</v>
      </c>
      <c r="CZ240" s="893">
        <f>IF(WWWW[[#This Row],[Total required water points]]-WWWW[[#This Row],['#Water points coverage]]&lt;0,0,WWWW[[#This Row],[Total required water points]]-WWWW[[#This Row],['#Water points coverage]])</f>
        <v>16.2</v>
      </c>
      <c r="DA240" s="893">
        <f>ROUND(IF(WWWW[[#This Row],[Total PoP ]]&lt;500,1,WWWW[[#This Row],[Total PoP ]]/500),0)</f>
        <v>17</v>
      </c>
      <c r="DB240" s="893">
        <f>(WWWW[[#This Row],['#_Constructed latrines_by_WASHAgencies]]+WWWW[[#This Row],['#_Non Cluster partner latrines]])-WWWW[[#This Row],['#_Non-functional latrines]]</f>
        <v>6</v>
      </c>
      <c r="DC240" s="631">
        <f>WWWW[[#This Row],[HRP2]]/WWWW[[#This Row],[Total PoP ]]</f>
        <v>1.4545454545454545E-2</v>
      </c>
      <c r="DD24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24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24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0" s="424">
        <f>IF(WWWW[[#This Row],['# of functional latrines in THF supported by WASH partners during the reporting period2]]="",0,WWWW[[#This Row],['# of functional latrines in THF supported by WASH partners during the reporting period2]]*50)</f>
        <v>0</v>
      </c>
      <c r="DH240" s="893">
        <f>ROUND(IF(WWWW[[#This Row],[Location Type 1]]="camp",WWWW[[#This Row],[Total PoP ]]/20,IF(WWWW[[#This Row],[Location Type 1]]="Temporary Location",WWWW[[#This Row],[Total PoP ]]/50,(WWWW[[#This Row],[Total PoP ]]/6))),0)</f>
        <v>413</v>
      </c>
      <c r="DI240" s="893">
        <f>IF(WWWW[[#This Row],[Total required Latrines]]-(WWWW[[#This Row],['#_Constructed latrines_by_WASHAgencies]]+WWWW[[#This Row],['#_Non Cluster partner latrines]])&lt;0,0,WWWW[[#This Row],[Total required Latrines]]-(WWWW[[#This Row],['#_Constructed latrines_by_WASHAgencies]]+WWWW[[#This Row],['#_Non Cluster partner latrines]]))</f>
        <v>407</v>
      </c>
      <c r="DJ240" s="895">
        <f>1-WWWW[[#This Row],[% people access to functioning Latrine]]</f>
        <v>0.98545454545454547</v>
      </c>
      <c r="DK240" s="894">
        <f>IF(OR(WWWW[[#This Row],['#_Non-functional latrines]]="",WWWW[[#This Row],['#_Non-functional latrines]]=0),0,WWWW[[#This Row],['#_Non-functional latrines]]/(WWWW[[#This Row],['#_Constructed latrines_by_WASHAgencies]]+WWWW[[#This Row],['#_Non Cluster partner latrines]]))</f>
        <v>0</v>
      </c>
      <c r="DL240" s="890">
        <f>IF(500*(WWWW[[#This Row],['#_male hygiene promoters]]+WWWW[[#This Row],['#_female hygiene promoters]])&gt;WWWW[[#This Row],[Total PoP ]],WWWW[[#This Row],[Total PoP ]],500*(WWWW[[#This Row],['#_male hygiene promoters]]+WWWW[[#This Row],['#_female hygiene promoters]]))</f>
        <v>0</v>
      </c>
      <c r="DM24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0" s="893">
        <f>IF(WWWW[[#This Row],['# People with access to soap]]&gt;WWWW[[#This Row],['# People with access to Sanity Pads]],WWWW[[#This Row],['# People with access to soap]],WWWW[[#This Row],['# People with access to Sanity Pads]])</f>
        <v>0</v>
      </c>
      <c r="DP240"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40" s="895">
        <f>IF(WWWW[[#This Row],[HRP3]]/WWWW[[#This Row],[Total PoP ]]&gt;1,1,WWWW[[#This Row],[HRP3]]/WWWW[[#This Row],[Total PoP ]])</f>
        <v>0</v>
      </c>
      <c r="DR240" s="894">
        <f>1-WWWW[[#This Row],[Hygiene Coverage%]]</f>
        <v>1</v>
      </c>
      <c r="DS240" s="892">
        <f>WWWW[[#This Row],['# people reached by regular dedicated hygiene promotion_5]]/WWWW[[#This Row],[Total PoP ]]</f>
        <v>0</v>
      </c>
      <c r="DT24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0" s="893">
        <f>WWWW[[#This Row],['#_Constructed/Existing hand washing stations]]-WWWW[[#This Row],['#_Non-Functional_hand_washing_stations]]</f>
        <v>0</v>
      </c>
      <c r="DW240" s="890">
        <f>IF(WWWW[[#This Row],['# Functional hand washing stations during reporting period]]*20&gt;WWWW[[#This Row],[Total HH]],WWWW[[#This Row],[Total HH]],WWWW[[#This Row],['# Functional hand washing stations during reporting period]]*20)</f>
        <v>0</v>
      </c>
      <c r="DX240" s="890">
        <f>IF(WWWW[[#This Row],[Is sufficient soap available for TLS? (Yes/No)]]="yes",WWWW[[#This Row],['#_Constructed/Existing hand washing stations at TLS/CFS/THF]],0)</f>
        <v>0</v>
      </c>
      <c r="DY240" s="428">
        <f>IF(WWWW[[#This Row],['# Functional hand washing stations during reporting period]]*100&gt;WWWW[[#This Row],[Total PoP ]],WWWW[[#This Row],[Total PoP ]],WWWW[[#This Row],['# Functional hand washing stations during reporting period]]*100)</f>
        <v>0</v>
      </c>
      <c r="DZ240" s="428" t="str">
        <f>IF(OR(WWWW[[#This Row],['#_students at TLS_CFS]]="",WWWW[[#This Row],['#_students at TLS_CFS]]=0),"No","Yes")</f>
        <v>No</v>
      </c>
      <c r="EA24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8</v>
      </c>
      <c r="EC24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0" s="886">
        <f>VLOOKUP(WWWW[[#This Row],[Site Name]],SiteDB6[[Site Name]:[CCCM Management]],6,FALSE)</f>
        <v>0</v>
      </c>
      <c r="EF240" s="886">
        <f>VLOOKUP(WWWW[[#This Row],[Site Name]],SiteDB6[[Site Name]:[CCCM Focal Agency]],7,FALSE)</f>
        <v>0</v>
      </c>
      <c r="EG240" s="886" t="str">
        <f>VLOOKUP(WWWW[[#This Row],[Site Name]],SiteDB6[[Site Name]:[Location Type 1]],9,FALSE)</f>
        <v>Camp</v>
      </c>
      <c r="EH240" s="886" t="str">
        <f>VLOOKUP(WWWW[[#This Row],[Site Name]],SiteDB6[[Site Name]:[Type of Accommodation]],10,FALSE)</f>
        <v>Camp</v>
      </c>
      <c r="EI240" s="886" t="str">
        <f>VLOOKUP(WWWW[[#This Row],[Site Name]],SiteDB6[[Site Name]:[Ethnic or GCA/NGCA]],11,FALSE)</f>
        <v>GCA</v>
      </c>
      <c r="EJ240" s="886">
        <f>VLOOKUP(WWWW[[#This Row],[Site Name]],SiteDB6[[Site Name]:[Lat]],12,FALSE)</f>
        <v>0</v>
      </c>
      <c r="EK240" s="886">
        <f>VLOOKUP(WWWW[[#This Row],[Site Name]],SiteDB6[[Site Name]:[Long]],13,FALSE)</f>
        <v>0</v>
      </c>
      <c r="EL240" s="886">
        <f>VLOOKUP(WWWW[[#This Row],[Site Name]],SiteDB6[[Site Name]:[Pcode]],3,FALSE)</f>
        <v>0</v>
      </c>
      <c r="EM240" s="891" t="str">
        <f t="shared" si="3"/>
        <v>Covered</v>
      </c>
      <c r="EN240" s="891"/>
      <c r="EO240" s="886">
        <f>VLOOKUP(WWWW[[#This Row],[Site Name]],SiteDB6[[Site Name]:[Pop
(Kachin/Shan-CCCM as of July 2021)]],16,FALSE)</f>
        <v>0</v>
      </c>
      <c r="EP240" s="886">
        <f>VLOOKUP(WWWW[[#This Row],[Site Name]],SiteDB6[[Site Name]:[Pop
(Kachin/Shan-CCCM as of July 2021)]],17,FALSE)</f>
        <v>0</v>
      </c>
    </row>
    <row r="241" spans="1:146" hidden="1">
      <c r="A241" s="884" t="s">
        <v>2764</v>
      </c>
      <c r="B241" s="884" t="s">
        <v>36</v>
      </c>
      <c r="C241" s="885" t="s">
        <v>36</v>
      </c>
      <c r="D241" s="885" t="s">
        <v>241</v>
      </c>
      <c r="E241" s="885" t="s">
        <v>37</v>
      </c>
      <c r="F241" s="885" t="s">
        <v>148</v>
      </c>
      <c r="G241" s="591" t="str">
        <f>VLOOKUP(WWWW[[#This Row],[Site Name]],SiteDB6[[Site Name]:[Location Type]],8,FALSE)</f>
        <v>Camp</v>
      </c>
      <c r="H241" s="885" t="s">
        <v>1563</v>
      </c>
      <c r="I241" s="887">
        <v>14</v>
      </c>
      <c r="J241" s="887">
        <v>52</v>
      </c>
      <c r="K241" s="888">
        <v>44414</v>
      </c>
      <c r="L241" s="889">
        <v>44778</v>
      </c>
      <c r="M241" s="887">
        <v>155</v>
      </c>
      <c r="N241" s="887">
        <v>3</v>
      </c>
      <c r="O241" s="887"/>
      <c r="P241" s="887"/>
      <c r="Q241" s="890" t="s">
        <v>41</v>
      </c>
      <c r="R241" s="887">
        <v>3</v>
      </c>
      <c r="S241" s="887">
        <v>2</v>
      </c>
      <c r="T241" s="448">
        <v>1</v>
      </c>
      <c r="U241" s="887">
        <v>1</v>
      </c>
      <c r="V241" s="887">
        <v>1</v>
      </c>
      <c r="W241" s="887">
        <v>1</v>
      </c>
      <c r="X241" s="887"/>
      <c r="Y241" s="887"/>
      <c r="Z241" s="887"/>
      <c r="AA241" s="887">
        <v>1</v>
      </c>
      <c r="AB241" s="887"/>
      <c r="AC241" s="887"/>
      <c r="AD241" s="887"/>
      <c r="AE241" s="887"/>
      <c r="AF241" s="887"/>
      <c r="AG241" s="887">
        <v>10</v>
      </c>
      <c r="AH241" s="887">
        <v>7</v>
      </c>
      <c r="AI241" s="887">
        <v>2</v>
      </c>
      <c r="AJ241" s="887">
        <v>0</v>
      </c>
      <c r="AK241" s="887">
        <v>8</v>
      </c>
      <c r="AL241" s="887"/>
      <c r="AM241" s="887">
        <v>2</v>
      </c>
      <c r="AN241" s="887">
        <v>1</v>
      </c>
      <c r="AO241" s="448"/>
      <c r="AP241" s="891" t="s">
        <v>140</v>
      </c>
      <c r="AQ241" s="887">
        <v>4</v>
      </c>
      <c r="AR241" s="887"/>
      <c r="AS241" s="892"/>
      <c r="AT241" s="887">
        <v>1</v>
      </c>
      <c r="AU241" s="887"/>
      <c r="AV241" s="887"/>
      <c r="AW241" s="887"/>
      <c r="AX241" s="887"/>
      <c r="AY241" s="886" t="s">
        <v>41</v>
      </c>
      <c r="AZ241" s="891" t="s">
        <v>136</v>
      </c>
      <c r="BA241" s="887">
        <v>2</v>
      </c>
      <c r="BB241" s="887"/>
      <c r="BC241" s="887"/>
      <c r="BD241" s="448"/>
      <c r="BE241" s="448"/>
      <c r="BF241" s="886"/>
      <c r="BG241" s="887">
        <v>2</v>
      </c>
      <c r="BH241" s="887"/>
      <c r="BI241" s="887"/>
      <c r="BJ241" s="887">
        <v>2</v>
      </c>
      <c r="BK241" s="887"/>
      <c r="BL241" s="887"/>
      <c r="BM241" s="887">
        <v>1</v>
      </c>
      <c r="BN241" s="887">
        <v>14</v>
      </c>
      <c r="BO241" s="887">
        <v>11.154000000000002</v>
      </c>
      <c r="BP241" s="886" t="s">
        <v>41</v>
      </c>
      <c r="BQ241" s="893">
        <v>100</v>
      </c>
      <c r="BR241" s="892"/>
      <c r="BS241" s="886" t="s">
        <v>3035</v>
      </c>
      <c r="BT241" s="423">
        <v>0.4</v>
      </c>
      <c r="BU241" s="423"/>
      <c r="BV241" s="425"/>
      <c r="BW241" s="423">
        <v>0.01</v>
      </c>
      <c r="BX241" s="448"/>
      <c r="BY241" s="448"/>
      <c r="BZ241" s="448"/>
      <c r="CA241" s="448"/>
      <c r="CB241" s="448"/>
      <c r="CC241" s="777"/>
      <c r="CD241" s="448"/>
      <c r="CE241" s="894">
        <f>IFERROR(WWWW[[#This Row],['#_Water sources passed]]/WWWW[[#This Row],['#_Water sources tested for fecal coliform ]],"no test")</f>
        <v>0</v>
      </c>
      <c r="CF241" s="892">
        <f>IFERROR(WWWW[[#This Row],['#_Household passed]]/WWWW[[#This Row],['#_Household water samples tested for fecal coliform]],"no test")</f>
        <v>0</v>
      </c>
      <c r="CG241" s="893" t="str">
        <f>IF(AND(WWWW[[#This Row],[% of water sources passed]]="no test",WWWW[[#This Row],[% Household passed]]="no test"),"No Test","Tested")</f>
        <v>Tested</v>
      </c>
      <c r="CH241" s="893">
        <f>WWWW[[#This Row],['#_Constructed/existing protected hand dug well]]-WWWW[[#This Row],['#_Non-functional protected hand dug well]]</f>
        <v>0</v>
      </c>
      <c r="CI241" s="893">
        <f>(WWWW[[#This Row],['#_Constructed/Existing tube wells/boreholes/handpumps_WASH_agency]]+WWWW[[#This Row],['#_Non-Cluster partner water tube-wells/boreholes/handpumps]])-WWWW[[#This Row],['#_Non-functional tube wells/boreholes/handpumps]]</f>
        <v>1</v>
      </c>
      <c r="CJ241" s="893">
        <f>WWWW[[#This Row],['#_Constructed/Existingwater storage tank with gravity fed reticulation system]]-WWWW[[#This Row],['#_Non-functional storage tank gravity fed reticulation system]]</f>
        <v>1</v>
      </c>
      <c r="CK241" s="893">
        <f>(WWWW[[#This Row],['#_Water_Liters_supplied_by_Water boating or water trucking]]/90)/15</f>
        <v>0</v>
      </c>
      <c r="CL241" s="893">
        <f>WWWW[[#This Row],['#_Water_Liters_from_Constructed/Existing water distribution system from river or natural spring]]/90/15</f>
        <v>0</v>
      </c>
      <c r="CM241" s="424">
        <f>IF(WWWW[[#This Row],['#_of water points in TLS/CFS]]*500&gt;WWWW[[#This Row],[Total PoP ]],WWWW[[#This Row],[Total PoP ]],WWWW[[#This Row],['#_of water points in TLS/CFS]]*500)</f>
        <v>52</v>
      </c>
      <c r="CN241" s="424">
        <f>IF(WWWW[[#This Row],['#_of water points in THF]]*500&gt;WWWW[[#This Row],[Total PoP ]],WWWW[[#This Row],[Total PoP ]],WWWW[[#This Row],['#_of water points in THF]]*500)</f>
        <v>0</v>
      </c>
      <c r="CO24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41" s="892">
        <f>IF(WWWW[[#This Row],[Location Type 1]]="Village",WWWW[[#This Row],[Access to safe drinking water for Village]],WWWW[[#This Row],[Access to safe drinking water for Camp]])</f>
        <v>1</v>
      </c>
      <c r="CR241" s="890">
        <f>WWWW[[#This Row],[%Equitable and continuous access to sufficient quantity of safe drinking water]]*WWWW[[#This Row],[Total PoP ]]</f>
        <v>52</v>
      </c>
      <c r="CS241" s="892">
        <f>IF((WWWW[[#This Row],['#_Constructed/Existing protected/fenced ponds]]*250)/WWWW[[#This Row],[Total PoP ]]&gt;1,1,(WWWW[[#This Row],['#_Constructed/Existing protected/fenced ponds]]*250)/WWWW[[#This Row],[Total PoP ]])</f>
        <v>0</v>
      </c>
      <c r="CT241" s="890">
        <f>WWWW[[#This Row],[% Access to unimproved water points]]*WWWW[[#This Row],[Total PoP ]]</f>
        <v>0</v>
      </c>
      <c r="CU24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W241" s="890">
        <f>WWWW[[#This Row],[HRP1]]/500</f>
        <v>0.104</v>
      </c>
      <c r="CX241" s="895">
        <f>1-WWWW[[#This Row],[% Equitable and continuous access to sufficient quantity of domestic water]]</f>
        <v>0</v>
      </c>
      <c r="CY241" s="890">
        <f>WWWW[[#This Row],[%equitable and continuous access to sufficient quantity of safe drinking and domestic water''s GAP]]*WWWW[[#This Row],[Total PoP ]]</f>
        <v>0</v>
      </c>
      <c r="CZ241" s="893">
        <f>IF(WWWW[[#This Row],[Total required water points]]-WWWW[[#This Row],['#Water points coverage]]&lt;0,0,WWWW[[#This Row],[Total required water points]]-WWWW[[#This Row],['#Water points coverage]])</f>
        <v>0.89600000000000002</v>
      </c>
      <c r="DA241" s="893">
        <f>ROUND(IF(WWWW[[#This Row],[Total PoP ]]&lt;500,1,WWWW[[#This Row],[Total PoP ]]/500),0)</f>
        <v>1</v>
      </c>
      <c r="DB241" s="893">
        <f>(WWWW[[#This Row],['#_Constructed latrines_by_WASHAgencies]]+WWWW[[#This Row],['#_Non Cluster partner latrines]])-WWWW[[#This Row],['#_Non-functional latrines]]</f>
        <v>3</v>
      </c>
      <c r="DC241" s="631">
        <f>WWWW[[#This Row],[HRP2]]/WWWW[[#This Row],[Total PoP ]]</f>
        <v>1</v>
      </c>
      <c r="DD24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v>
      </c>
      <c r="DE24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1" s="424">
        <f>IF(WWWW[[#This Row],['# of functional latrines in THF supported by WASH partners during the reporting period2]]="",0,WWWW[[#This Row],['# of functional latrines in THF supported by WASH partners during the reporting period2]]*50)</f>
        <v>0</v>
      </c>
      <c r="DH241" s="893">
        <f>ROUND(IF(WWWW[[#This Row],[Location Type 1]]="camp",WWWW[[#This Row],[Total PoP ]]/20,IF(WWWW[[#This Row],[Location Type 1]]="Temporary Location",WWWW[[#This Row],[Total PoP ]]/50,(WWWW[[#This Row],[Total PoP ]]/6))),0)</f>
        <v>3</v>
      </c>
      <c r="DI241" s="893">
        <f>IF(WWWW[[#This Row],[Total required Latrines]]-(WWWW[[#This Row],['#_Constructed latrines_by_WASHAgencies]]+WWWW[[#This Row],['#_Non Cluster partner latrines]])&lt;0,0,WWWW[[#This Row],[Total required Latrines]]-(WWWW[[#This Row],['#_Constructed latrines_by_WASHAgencies]]+WWWW[[#This Row],['#_Non Cluster partner latrines]]))</f>
        <v>0</v>
      </c>
      <c r="DJ241" s="895">
        <f>1-WWWW[[#This Row],[% people access to functioning Latrine]]</f>
        <v>0</v>
      </c>
      <c r="DK241" s="894">
        <f>IF(OR(WWWW[[#This Row],['#_Non-functional latrines]]="",WWWW[[#This Row],['#_Non-functional latrines]]=0),0,WWWW[[#This Row],['#_Non-functional latrines]]/(WWWW[[#This Row],['#_Constructed latrines_by_WASHAgencies]]+WWWW[[#This Row],['#_Non Cluster partner latrines]]))</f>
        <v>0.25</v>
      </c>
      <c r="DL241" s="890">
        <f>IF(500*(WWWW[[#This Row],['#_male hygiene promoters]]+WWWW[[#This Row],['#_female hygiene promoters]])&gt;WWWW[[#This Row],[Total PoP ]],WWWW[[#This Row],[Total PoP ]],500*(WWWW[[#This Row],['#_male hygiene promoters]]+WWWW[[#This Row],['#_female hygiene promoters]]))</f>
        <v>52</v>
      </c>
      <c r="DM24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v>
      </c>
      <c r="DN24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11.154000000000002</v>
      </c>
      <c r="DO241" s="893">
        <f>IF(WWWW[[#This Row],['# People with access to soap]]&gt;WWWW[[#This Row],['# People with access to Sanity Pads]],WWWW[[#This Row],['# People with access to soap]],WWWW[[#This Row],['# People with access to Sanity Pads]])</f>
        <v>52</v>
      </c>
      <c r="DP241" s="893">
        <f>IF(WWWW[[#This Row],['# people reached by regular dedicated hygiene promotion_5]]&gt;WWWW[[#This Row],['# People received regular supply of hygiene items_6]],WWWW[[#This Row],['# people reached by regular dedicated hygiene promotion_5]],WWWW[[#This Row],['# People received regular supply of hygiene items_6]])</f>
        <v>52</v>
      </c>
      <c r="DQ241" s="895">
        <f>IF(WWWW[[#This Row],[HRP3]]/WWWW[[#This Row],[Total PoP ]]&gt;1,1,WWWW[[#This Row],[HRP3]]/WWWW[[#This Row],[Total PoP ]])</f>
        <v>1</v>
      </c>
      <c r="DR241" s="894">
        <f>1-WWWW[[#This Row],[Hygiene Coverage%]]</f>
        <v>0</v>
      </c>
      <c r="DS241" s="892">
        <f>WWWW[[#This Row],['# people reached by regular dedicated hygiene promotion_5]]/WWWW[[#This Row],[Total PoP ]]</f>
        <v>1</v>
      </c>
      <c r="DT24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4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0.79671428571428582</v>
      </c>
      <c r="DV241" s="893">
        <f>WWWW[[#This Row],['#_Constructed/Existing hand washing stations]]-WWWW[[#This Row],['#_Non-Functional_hand_washing_stations]]</f>
        <v>2</v>
      </c>
      <c r="DW241" s="890">
        <f>IF(WWWW[[#This Row],['# Functional hand washing stations during reporting period]]*20&gt;WWWW[[#This Row],[Total HH]],WWWW[[#This Row],[Total HH]],WWWW[[#This Row],['# Functional hand washing stations during reporting period]]*20)</f>
        <v>14</v>
      </c>
      <c r="DX241" s="890">
        <f>IF(WWWW[[#This Row],[Is sufficient soap available for TLS? (Yes/No)]]="yes",WWWW[[#This Row],['#_Constructed/Existing hand washing stations at TLS/CFS/THF]],0)</f>
        <v>2</v>
      </c>
      <c r="DY241" s="428">
        <f>IF(WWWW[[#This Row],['# Functional hand washing stations during reporting period]]*100&gt;WWWW[[#This Row],[Total PoP ]],WWWW[[#This Row],[Total PoP ]],WWWW[[#This Row],['# Functional hand washing stations during reporting period]]*100)</f>
        <v>52</v>
      </c>
      <c r="DZ241" s="428" t="str">
        <f>IF(OR(WWWW[[#This Row],['#_students at TLS_CFS]]="",WWWW[[#This Row],['#_students at TLS_CFS]]=0),"No","Yes")</f>
        <v>Yes</v>
      </c>
      <c r="EA24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52</v>
      </c>
      <c r="ED24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1" s="886">
        <f>VLOOKUP(WWWW[[#This Row],[Site Name]],SiteDB6[[Site Name]:[CCCM Management]],6,FALSE)</f>
        <v>0</v>
      </c>
      <c r="EF241" s="886" t="str">
        <f>VLOOKUP(WWWW[[#This Row],[Site Name]],SiteDB6[[Site Name]:[CCCM Focal Agency]],7,FALSE)</f>
        <v>KMSS-MYT</v>
      </c>
      <c r="EG241" s="886" t="str">
        <f>VLOOKUP(WWWW[[#This Row],[Site Name]],SiteDB6[[Site Name]:[Location Type 1]],9,FALSE)</f>
        <v>Camp</v>
      </c>
      <c r="EH241" s="886" t="str">
        <f>VLOOKUP(WWWW[[#This Row],[Site Name]],SiteDB6[[Site Name]:[Type of Accommodation]],10,FALSE)</f>
        <v>Camp</v>
      </c>
      <c r="EI241" s="886" t="str">
        <f>VLOOKUP(WWWW[[#This Row],[Site Name]],SiteDB6[[Site Name]:[Ethnic or GCA/NGCA]],11,FALSE)</f>
        <v>GCA</v>
      </c>
      <c r="EJ241" s="886">
        <f>VLOOKUP(WWWW[[#This Row],[Site Name]],SiteDB6[[Site Name]:[Lat]],12,FALSE)</f>
        <v>25.522594999999999</v>
      </c>
      <c r="EK241" s="886">
        <f>VLOOKUP(WWWW[[#This Row],[Site Name]],SiteDB6[[Site Name]:[Long]],13,FALSE)</f>
        <v>96.711534</v>
      </c>
      <c r="EL241" s="886" t="str">
        <f>VLOOKUP(WWWW[[#This Row],[Site Name]],SiteDB6[[Site Name]:[Pcode]],3,FALSE)</f>
        <v>MMR001CMP270</v>
      </c>
      <c r="EM241" s="891" t="str">
        <f t="shared" si="3"/>
        <v>Covered</v>
      </c>
      <c r="EN241" s="891"/>
      <c r="EO241" s="886">
        <f>VLOOKUP(WWWW[[#This Row],[Site Name]],SiteDB6[[Site Name]:[Pop
(Kachin/Shan-CCCM as of July 2021)]],16,FALSE)</f>
        <v>14</v>
      </c>
      <c r="EP241" s="886">
        <f>VLOOKUP(WWWW[[#This Row],[Site Name]],SiteDB6[[Site Name]:[Pop
(Kachin/Shan-CCCM as of July 2021)]],17,FALSE)</f>
        <v>52</v>
      </c>
    </row>
    <row r="242" spans="1:146" hidden="1">
      <c r="A242" s="884" t="s">
        <v>2764</v>
      </c>
      <c r="B242" s="884" t="s">
        <v>276</v>
      </c>
      <c r="C242" s="885" t="s">
        <v>276</v>
      </c>
      <c r="D242" s="885" t="s">
        <v>3037</v>
      </c>
      <c r="E242" s="885" t="s">
        <v>37</v>
      </c>
      <c r="F242" s="885" t="s">
        <v>205</v>
      </c>
      <c r="G242" s="591" t="str">
        <f>VLOOKUP(WWWW[[#This Row],[Site Name]],SiteDB6[[Site Name]:[Location Type]],8,FALSE)</f>
        <v>Camp_not registered</v>
      </c>
      <c r="H242" s="885" t="s">
        <v>209</v>
      </c>
      <c r="I242" s="887">
        <v>46</v>
      </c>
      <c r="J242" s="887">
        <v>263</v>
      </c>
      <c r="K242" s="888">
        <v>44652</v>
      </c>
      <c r="L242" s="889">
        <v>44895</v>
      </c>
      <c r="M242" s="887"/>
      <c r="N242" s="887"/>
      <c r="O242" s="887"/>
      <c r="P242" s="887"/>
      <c r="Q242" s="890" t="s">
        <v>41</v>
      </c>
      <c r="R242" s="887">
        <v>4</v>
      </c>
      <c r="S242" s="887">
        <v>0</v>
      </c>
      <c r="T242" s="448">
        <v>1</v>
      </c>
      <c r="U242" s="887"/>
      <c r="V242" s="887"/>
      <c r="W242" s="887">
        <v>2</v>
      </c>
      <c r="X242" s="887"/>
      <c r="Y242" s="887"/>
      <c r="Z242" s="887"/>
      <c r="AA242" s="887"/>
      <c r="AB242" s="887"/>
      <c r="AC242" s="887"/>
      <c r="AD242" s="887"/>
      <c r="AE242" s="887"/>
      <c r="AF242" s="887"/>
      <c r="AG242" s="887"/>
      <c r="AH242" s="887"/>
      <c r="AI242" s="887">
        <v>3</v>
      </c>
      <c r="AJ242" s="887">
        <v>3</v>
      </c>
      <c r="AK242" s="887"/>
      <c r="AL242" s="887"/>
      <c r="AM242" s="887"/>
      <c r="AN242" s="887"/>
      <c r="AO242" s="448"/>
      <c r="AP242" s="891"/>
      <c r="AQ242" s="887">
        <v>5</v>
      </c>
      <c r="AR242" s="887"/>
      <c r="AS242" s="892"/>
      <c r="AT242" s="887"/>
      <c r="AU242" s="887"/>
      <c r="AV242" s="887">
        <v>5</v>
      </c>
      <c r="AW242" s="887">
        <v>4</v>
      </c>
      <c r="AX242" s="887"/>
      <c r="AY242" s="886" t="s">
        <v>41</v>
      </c>
      <c r="AZ242" s="891" t="s">
        <v>137</v>
      </c>
      <c r="BA242" s="887"/>
      <c r="BB242" s="887"/>
      <c r="BC242" s="887"/>
      <c r="BD242" s="448"/>
      <c r="BE242" s="448"/>
      <c r="BF242" s="886"/>
      <c r="BG242" s="887">
        <v>2</v>
      </c>
      <c r="BH242" s="887"/>
      <c r="BI242" s="887"/>
      <c r="BJ242" s="887">
        <v>2</v>
      </c>
      <c r="BK242" s="887"/>
      <c r="BL242" s="887"/>
      <c r="BM242" s="887"/>
      <c r="BN242" s="887"/>
      <c r="BO242" s="887"/>
      <c r="BP242" s="886"/>
      <c r="BQ242" s="893"/>
      <c r="BR242" s="892"/>
      <c r="BS242" s="886"/>
      <c r="BT242" s="423"/>
      <c r="BU242" s="423"/>
      <c r="BV242" s="425"/>
      <c r="BW242" s="423">
        <v>0</v>
      </c>
      <c r="BX242" s="448"/>
      <c r="BY242" s="448">
        <v>5</v>
      </c>
      <c r="BZ242" s="448">
        <v>2</v>
      </c>
      <c r="CA242" s="448"/>
      <c r="CB242" s="448"/>
      <c r="CC242" s="777"/>
      <c r="CD242" s="448"/>
      <c r="CE242" s="894">
        <f>IFERROR(WWWW[[#This Row],['#_Water sources passed]]/WWWW[[#This Row],['#_Water sources tested for fecal coliform ]],"no test")</f>
        <v>1</v>
      </c>
      <c r="CF242" s="892" t="str">
        <f>IFERROR(WWWW[[#This Row],['#_Household passed]]/WWWW[[#This Row],['#_Household water samples tested for fecal coliform]],"no test")</f>
        <v>no test</v>
      </c>
      <c r="CG242" s="893" t="str">
        <f>IF(AND(WWWW[[#This Row],[% of water sources passed]]="no test",WWWW[[#This Row],[% Household passed]]="no test"),"No Test","Tested")</f>
        <v>Tested</v>
      </c>
      <c r="CH242" s="893">
        <f>WWWW[[#This Row],['#_Constructed/existing protected hand dug well]]-WWWW[[#This Row],['#_Non-functional protected hand dug well]]</f>
        <v>1</v>
      </c>
      <c r="CI242" s="893">
        <f>(WWWW[[#This Row],['#_Constructed/Existing tube wells/boreholes/handpumps_WASH_agency]]+WWWW[[#This Row],['#_Non-Cluster partner water tube-wells/boreholes/handpumps]])-WWWW[[#This Row],['#_Non-functional tube wells/boreholes/handpumps]]</f>
        <v>2</v>
      </c>
      <c r="CJ242" s="893">
        <f>WWWW[[#This Row],['#_Constructed/Existingwater storage tank with gravity fed reticulation system]]-WWWW[[#This Row],['#_Non-functional storage tank gravity fed reticulation system]]</f>
        <v>0</v>
      </c>
      <c r="CK242" s="893">
        <f>(WWWW[[#This Row],['#_Water_Liters_supplied_by_Water boating or water trucking]]/90)/15</f>
        <v>0</v>
      </c>
      <c r="CL242" s="893">
        <f>WWWW[[#This Row],['#_Water_Liters_from_Constructed/Existing water distribution system from river or natural spring]]/90/15</f>
        <v>0</v>
      </c>
      <c r="CM242" s="424">
        <f>IF(WWWW[[#This Row],['#_of water points in TLS/CFS]]*500&gt;WWWW[[#This Row],[Total PoP ]],WWWW[[#This Row],[Total PoP ]],WWWW[[#This Row],['#_of water points in TLS/CFS]]*500)</f>
        <v>0</v>
      </c>
      <c r="CN242" s="424">
        <f>IF(WWWW[[#This Row],['#_of water points in THF]]*500&gt;WWWW[[#This Row],[Total PoP ]],WWWW[[#This Row],[Total PoP ]],WWWW[[#This Row],['#_of water points in THF]]*500)</f>
        <v>0</v>
      </c>
      <c r="CO24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42" s="892">
        <f>IF(WWWW[[#This Row],[Location Type 1]]="Village",WWWW[[#This Row],[Access to safe drinking water for Village]],WWWW[[#This Row],[Access to safe drinking water for Camp]])</f>
        <v>1</v>
      </c>
      <c r="CR242" s="890">
        <f>WWWW[[#This Row],[%Equitable and continuous access to sufficient quantity of safe drinking water]]*WWWW[[#This Row],[Total PoP ]]</f>
        <v>263</v>
      </c>
      <c r="CS242" s="892">
        <f>IF((WWWW[[#This Row],['#_Constructed/Existing protected/fenced ponds]]*250)/WWWW[[#This Row],[Total PoP ]]&gt;1,1,(WWWW[[#This Row],['#_Constructed/Existing protected/fenced ponds]]*250)/WWWW[[#This Row],[Total PoP ]])</f>
        <v>0</v>
      </c>
      <c r="CT242" s="890">
        <f>WWWW[[#This Row],[% Access to unimproved water points]]*WWWW[[#This Row],[Total PoP ]]</f>
        <v>0</v>
      </c>
      <c r="CU24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W242" s="890">
        <f>WWWW[[#This Row],[HRP1]]/500</f>
        <v>0.52600000000000002</v>
      </c>
      <c r="CX242" s="895">
        <f>1-WWWW[[#This Row],[% Equitable and continuous access to sufficient quantity of domestic water]]</f>
        <v>0</v>
      </c>
      <c r="CY242" s="890">
        <f>WWWW[[#This Row],[%equitable and continuous access to sufficient quantity of safe drinking and domestic water''s GAP]]*WWWW[[#This Row],[Total PoP ]]</f>
        <v>0</v>
      </c>
      <c r="CZ242" s="893">
        <f>IF(WWWW[[#This Row],[Total required water points]]-WWWW[[#This Row],['#Water points coverage]]&lt;0,0,WWWW[[#This Row],[Total required water points]]-WWWW[[#This Row],['#Water points coverage]])</f>
        <v>0.47399999999999998</v>
      </c>
      <c r="DA242" s="893">
        <f>ROUND(IF(WWWW[[#This Row],[Total PoP ]]&lt;500,1,WWWW[[#This Row],[Total PoP ]]/500),0)</f>
        <v>1</v>
      </c>
      <c r="DB242" s="893">
        <f>(WWWW[[#This Row],['#_Constructed latrines_by_WASHAgencies]]+WWWW[[#This Row],['#_Non Cluster partner latrines]])-WWWW[[#This Row],['#_Non-functional latrines]]</f>
        <v>5</v>
      </c>
      <c r="DC242" s="631">
        <f>WWWW[[#This Row],[HRP2]]/WWWW[[#This Row],[Total PoP ]]</f>
        <v>0.38022813688212925</v>
      </c>
      <c r="DD24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24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24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2" s="424">
        <f>IF(WWWW[[#This Row],['# of functional latrines in THF supported by WASH partners during the reporting period2]]="",0,WWWW[[#This Row],['# of functional latrines in THF supported by WASH partners during the reporting period2]]*50)</f>
        <v>0</v>
      </c>
      <c r="DH242" s="893">
        <f>ROUND(IF(WWWW[[#This Row],[Location Type 1]]="camp",WWWW[[#This Row],[Total PoP ]]/20,IF(WWWW[[#This Row],[Location Type 1]]="Temporary Location",WWWW[[#This Row],[Total PoP ]]/50,(WWWW[[#This Row],[Total PoP ]]/6))),0)</f>
        <v>13</v>
      </c>
      <c r="DI242" s="893">
        <f>IF(WWWW[[#This Row],[Total required Latrines]]-(WWWW[[#This Row],['#_Constructed latrines_by_WASHAgencies]]+WWWW[[#This Row],['#_Non Cluster partner latrines]])&lt;0,0,WWWW[[#This Row],[Total required Latrines]]-(WWWW[[#This Row],['#_Constructed latrines_by_WASHAgencies]]+WWWW[[#This Row],['#_Non Cluster partner latrines]]))</f>
        <v>8</v>
      </c>
      <c r="DJ242" s="895">
        <f>1-WWWW[[#This Row],[% people access to functioning Latrine]]</f>
        <v>0.6197718631178708</v>
      </c>
      <c r="DK242" s="894">
        <f>IF(OR(WWWW[[#This Row],['#_Non-functional latrines]]="",WWWW[[#This Row],['#_Non-functional latrines]]=0),0,WWWW[[#This Row],['#_Non-functional latrines]]/(WWWW[[#This Row],['#_Constructed latrines_by_WASHAgencies]]+WWWW[[#This Row],['#_Non Cluster partner latrines]]))</f>
        <v>0</v>
      </c>
      <c r="DL242" s="890">
        <f>IF(500*(WWWW[[#This Row],['#_male hygiene promoters]]+WWWW[[#This Row],['#_female hygiene promoters]])&gt;WWWW[[#This Row],[Total PoP ]],WWWW[[#This Row],[Total PoP ]],500*(WWWW[[#This Row],['#_male hygiene promoters]]+WWWW[[#This Row],['#_female hygiene promoters]]))</f>
        <v>0</v>
      </c>
      <c r="DM24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2" s="893">
        <f>IF(WWWW[[#This Row],['# People with access to soap]]&gt;WWWW[[#This Row],['# People with access to Sanity Pads]],WWWW[[#This Row],['# People with access to soap]],WWWW[[#This Row],['# People with access to Sanity Pads]])</f>
        <v>0</v>
      </c>
      <c r="DP242"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42" s="895">
        <f>IF(WWWW[[#This Row],[HRP3]]/WWWW[[#This Row],[Total PoP ]]&gt;1,1,WWWW[[#This Row],[HRP3]]/WWWW[[#This Row],[Total PoP ]])</f>
        <v>0</v>
      </c>
      <c r="DR242" s="894">
        <f>1-WWWW[[#This Row],[Hygiene Coverage%]]</f>
        <v>1</v>
      </c>
      <c r="DS242" s="892">
        <f>WWWW[[#This Row],['# people reached by regular dedicated hygiene promotion_5]]/WWWW[[#This Row],[Total PoP ]]</f>
        <v>0</v>
      </c>
      <c r="DT24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2" s="893">
        <f>WWWW[[#This Row],['#_Constructed/Existing hand washing stations]]-WWWW[[#This Row],['#_Non-Functional_hand_washing_stations]]</f>
        <v>2</v>
      </c>
      <c r="DW242" s="890">
        <f>IF(WWWW[[#This Row],['# Functional hand washing stations during reporting period]]*20&gt;WWWW[[#This Row],[Total HH]],WWWW[[#This Row],[Total HH]],WWWW[[#This Row],['# Functional hand washing stations during reporting period]]*20)</f>
        <v>40</v>
      </c>
      <c r="DX242" s="890">
        <f>IF(WWWW[[#This Row],[Is sufficient soap available for TLS? (Yes/No)]]="yes",WWWW[[#This Row],['#_Constructed/Existing hand washing stations at TLS/CFS/THF]],0)</f>
        <v>0</v>
      </c>
      <c r="DY242" s="428">
        <f>IF(WWWW[[#This Row],['# Functional hand washing stations during reporting period]]*100&gt;WWWW[[#This Row],[Total PoP ]],WWWW[[#This Row],[Total PoP ]],WWWW[[#This Row],['# Functional hand washing stations during reporting period]]*100)</f>
        <v>200</v>
      </c>
      <c r="DZ242" s="428" t="str">
        <f>IF(OR(WWWW[[#This Row],['#_students at TLS_CFS]]="",WWWW[[#This Row],['#_students at TLS_CFS]]=0),"No","Yes")</f>
        <v>No</v>
      </c>
      <c r="EA24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7</v>
      </c>
      <c r="EC24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2" s="886">
        <f>VLOOKUP(WWWW[[#This Row],[Site Name]],SiteDB6[[Site Name]:[CCCM Management]],6,FALSE)</f>
        <v>0</v>
      </c>
      <c r="EF242" s="886">
        <f>VLOOKUP(WWWW[[#This Row],[Site Name]],SiteDB6[[Site Name]:[CCCM Focal Agency]],7,FALSE)</f>
        <v>0</v>
      </c>
      <c r="EG242" s="886" t="str">
        <f>VLOOKUP(WWWW[[#This Row],[Site Name]],SiteDB6[[Site Name]:[Location Type 1]],9,FALSE)</f>
        <v>Camp</v>
      </c>
      <c r="EH242" s="886" t="str">
        <f>VLOOKUP(WWWW[[#This Row],[Site Name]],SiteDB6[[Site Name]:[Type of Accommodation]],10,FALSE)</f>
        <v>Camp</v>
      </c>
      <c r="EI242" s="886" t="str">
        <f>VLOOKUP(WWWW[[#This Row],[Site Name]],SiteDB6[[Site Name]:[Ethnic or GCA/NGCA]],11,FALSE)</f>
        <v>GCA</v>
      </c>
      <c r="EJ242" s="886">
        <f>VLOOKUP(WWWW[[#This Row],[Site Name]],SiteDB6[[Site Name]:[Lat]],12,FALSE)</f>
        <v>0</v>
      </c>
      <c r="EK242" s="886">
        <f>VLOOKUP(WWWW[[#This Row],[Site Name]],SiteDB6[[Site Name]:[Long]],13,FALSE)</f>
        <v>0</v>
      </c>
      <c r="EL242" s="886">
        <f>VLOOKUP(WWWW[[#This Row],[Site Name]],SiteDB6[[Site Name]:[Pcode]],3,FALSE)</f>
        <v>0</v>
      </c>
      <c r="EM242" s="891" t="str">
        <f t="shared" si="3"/>
        <v>Covered</v>
      </c>
      <c r="EN242" s="891"/>
      <c r="EO242" s="886">
        <f>VLOOKUP(WWWW[[#This Row],[Site Name]],SiteDB6[[Site Name]:[Pop
(Kachin/Shan-CCCM as of July 2021)]],16,FALSE)</f>
        <v>0</v>
      </c>
      <c r="EP242" s="886">
        <f>VLOOKUP(WWWW[[#This Row],[Site Name]],SiteDB6[[Site Name]:[Pop
(Kachin/Shan-CCCM as of July 2021)]],17,FALSE)</f>
        <v>0</v>
      </c>
    </row>
    <row r="243" spans="1:146" hidden="1">
      <c r="A243" s="884" t="s">
        <v>2764</v>
      </c>
      <c r="B243" s="884" t="s">
        <v>919</v>
      </c>
      <c r="C243" s="885" t="s">
        <v>141</v>
      </c>
      <c r="D243" s="885" t="s">
        <v>3076</v>
      </c>
      <c r="E243" s="885" t="s">
        <v>37</v>
      </c>
      <c r="F243" s="885" t="s">
        <v>152</v>
      </c>
      <c r="G243" s="591" t="str">
        <f>VLOOKUP(WWWW[[#This Row],[Site Name]],SiteDB6[[Site Name]:[Location Type]],8,FALSE)</f>
        <v>Camp</v>
      </c>
      <c r="H243" s="885" t="s">
        <v>153</v>
      </c>
      <c r="I243" s="887">
        <v>13</v>
      </c>
      <c r="J243" s="887">
        <v>76</v>
      </c>
      <c r="K243" s="888">
        <v>44682</v>
      </c>
      <c r="L243" s="889">
        <v>44865</v>
      </c>
      <c r="M243" s="887"/>
      <c r="N243" s="887"/>
      <c r="O243" s="887"/>
      <c r="P243" s="887"/>
      <c r="Q243" s="890" t="s">
        <v>41</v>
      </c>
      <c r="R243" s="887">
        <v>2</v>
      </c>
      <c r="S243" s="887">
        <v>3</v>
      </c>
      <c r="T243" s="448">
        <v>1</v>
      </c>
      <c r="U243" s="887"/>
      <c r="V243" s="887"/>
      <c r="W243" s="887">
        <v>1</v>
      </c>
      <c r="X243" s="887"/>
      <c r="Y243" s="887"/>
      <c r="Z243" s="887"/>
      <c r="AA243" s="887"/>
      <c r="AB243" s="887"/>
      <c r="AC243" s="887"/>
      <c r="AD243" s="887"/>
      <c r="AE243" s="887"/>
      <c r="AF243" s="887"/>
      <c r="AG243" s="887"/>
      <c r="AH243" s="887">
        <v>2</v>
      </c>
      <c r="AI243" s="887"/>
      <c r="AJ243" s="887"/>
      <c r="AK243" s="887"/>
      <c r="AL243" s="887"/>
      <c r="AM243" s="887"/>
      <c r="AN243" s="887"/>
      <c r="AO243" s="448"/>
      <c r="AP243" s="891"/>
      <c r="AQ243" s="887">
        <v>6</v>
      </c>
      <c r="AR243" s="887"/>
      <c r="AS243" s="892"/>
      <c r="AT243" s="887">
        <v>6</v>
      </c>
      <c r="AU243" s="887"/>
      <c r="AV243" s="887"/>
      <c r="AW243" s="887"/>
      <c r="AX243" s="887">
        <v>6</v>
      </c>
      <c r="AY243" s="886" t="s">
        <v>41</v>
      </c>
      <c r="AZ243" s="891" t="s">
        <v>904</v>
      </c>
      <c r="BA243" s="887"/>
      <c r="BB243" s="887"/>
      <c r="BC243" s="887"/>
      <c r="BD243" s="448"/>
      <c r="BE243" s="448"/>
      <c r="BF243" s="886"/>
      <c r="BG243" s="887">
        <v>4</v>
      </c>
      <c r="BH243" s="887"/>
      <c r="BI243" s="887"/>
      <c r="BJ243" s="887">
        <v>2</v>
      </c>
      <c r="BK243" s="887"/>
      <c r="BL243" s="887"/>
      <c r="BM243" s="887"/>
      <c r="BN243" s="887"/>
      <c r="BO243" s="887"/>
      <c r="BP243" s="886"/>
      <c r="BQ243" s="893"/>
      <c r="BR243" s="892"/>
      <c r="BS243" s="886"/>
      <c r="BT243" s="423"/>
      <c r="BU243" s="423"/>
      <c r="BV243" s="425"/>
      <c r="BW243" s="423"/>
      <c r="BX243" s="448"/>
      <c r="BY243" s="448"/>
      <c r="BZ243" s="448"/>
      <c r="CA243" s="448"/>
      <c r="CB243" s="448"/>
      <c r="CC243" s="777"/>
      <c r="CD243" s="448"/>
      <c r="CE243" s="894" t="str">
        <f>IFERROR(WWWW[[#This Row],['#_Water sources passed]]/WWWW[[#This Row],['#_Water sources tested for fecal coliform ]],"no test")</f>
        <v>no test</v>
      </c>
      <c r="CF243" s="892" t="str">
        <f>IFERROR(WWWW[[#This Row],['#_Household passed]]/WWWW[[#This Row],['#_Household water samples tested for fecal coliform]],"no test")</f>
        <v>no test</v>
      </c>
      <c r="CG243" s="893" t="str">
        <f>IF(AND(WWWW[[#This Row],[% of water sources passed]]="no test",WWWW[[#This Row],[% Household passed]]="no test"),"No Test","Tested")</f>
        <v>No Test</v>
      </c>
      <c r="CH243" s="893">
        <f>WWWW[[#This Row],['#_Constructed/existing protected hand dug well]]-WWWW[[#This Row],['#_Non-functional protected hand dug well]]</f>
        <v>1</v>
      </c>
      <c r="CI243" s="893">
        <f>(WWWW[[#This Row],['#_Constructed/Existing tube wells/boreholes/handpumps_WASH_agency]]+WWWW[[#This Row],['#_Non-Cluster partner water tube-wells/boreholes/handpumps]])-WWWW[[#This Row],['#_Non-functional tube wells/boreholes/handpumps]]</f>
        <v>1</v>
      </c>
      <c r="CJ243" s="893">
        <f>WWWW[[#This Row],['#_Constructed/Existingwater storage tank with gravity fed reticulation system]]-WWWW[[#This Row],['#_Non-functional storage tank gravity fed reticulation system]]</f>
        <v>0</v>
      </c>
      <c r="CK243" s="893">
        <f>(WWWW[[#This Row],['#_Water_Liters_supplied_by_Water boating or water trucking]]/90)/15</f>
        <v>0</v>
      </c>
      <c r="CL243" s="893">
        <f>WWWW[[#This Row],['#_Water_Liters_from_Constructed/Existing water distribution system from river or natural spring]]/90/15</f>
        <v>0</v>
      </c>
      <c r="CM243" s="424">
        <f>IF(WWWW[[#This Row],['#_of water points in TLS/CFS]]*500&gt;WWWW[[#This Row],[Total PoP ]],WWWW[[#This Row],[Total PoP ]],WWWW[[#This Row],['#_of water points in TLS/CFS]]*500)</f>
        <v>0</v>
      </c>
      <c r="CN243" s="424">
        <f>IF(WWWW[[#This Row],['#_of water points in THF]]*500&gt;WWWW[[#This Row],[Total PoP ]],WWWW[[#This Row],[Total PoP ]],WWWW[[#This Row],['#_of water points in THF]]*500)</f>
        <v>0</v>
      </c>
      <c r="CO24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43" s="892">
        <f>IF(WWWW[[#This Row],[Location Type 1]]="Village",WWWW[[#This Row],[Access to safe drinking water for Village]],WWWW[[#This Row],[Access to safe drinking water for Camp]])</f>
        <v>1</v>
      </c>
      <c r="CR243" s="890">
        <f>WWWW[[#This Row],[%Equitable and continuous access to sufficient quantity of safe drinking water]]*WWWW[[#This Row],[Total PoP ]]</f>
        <v>76</v>
      </c>
      <c r="CS243" s="892">
        <f>IF((WWWW[[#This Row],['#_Constructed/Existing protected/fenced ponds]]*250)/WWWW[[#This Row],[Total PoP ]]&gt;1,1,(WWWW[[#This Row],['#_Constructed/Existing protected/fenced ponds]]*250)/WWWW[[#This Row],[Total PoP ]])</f>
        <v>0</v>
      </c>
      <c r="CT243" s="890">
        <f>WWWW[[#This Row],[% Access to unimproved water points]]*WWWW[[#This Row],[Total PoP ]]</f>
        <v>0</v>
      </c>
      <c r="CU24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v>
      </c>
      <c r="CW243" s="890">
        <f>WWWW[[#This Row],[HRP1]]/500</f>
        <v>0.152</v>
      </c>
      <c r="CX243" s="895">
        <f>1-WWWW[[#This Row],[% Equitable and continuous access to sufficient quantity of domestic water]]</f>
        <v>0</v>
      </c>
      <c r="CY243" s="890">
        <f>WWWW[[#This Row],[%equitable and continuous access to sufficient quantity of safe drinking and domestic water''s GAP]]*WWWW[[#This Row],[Total PoP ]]</f>
        <v>0</v>
      </c>
      <c r="CZ243" s="893">
        <f>IF(WWWW[[#This Row],[Total required water points]]-WWWW[[#This Row],['#Water points coverage]]&lt;0,0,WWWW[[#This Row],[Total required water points]]-WWWW[[#This Row],['#Water points coverage]])</f>
        <v>0.84799999999999998</v>
      </c>
      <c r="DA243" s="893">
        <f>ROUND(IF(WWWW[[#This Row],[Total PoP ]]&lt;500,1,WWWW[[#This Row],[Total PoP ]]/500),0)</f>
        <v>1</v>
      </c>
      <c r="DB243" s="893">
        <f>(WWWW[[#This Row],['#_Constructed latrines_by_WASHAgencies]]+WWWW[[#This Row],['#_Non Cluster partner latrines]])-WWWW[[#This Row],['#_Non-functional latrines]]</f>
        <v>0</v>
      </c>
      <c r="DC243" s="631">
        <f>WWWW[[#This Row],[HRP2]]/WWWW[[#This Row],[Total PoP ]]</f>
        <v>0</v>
      </c>
      <c r="DD24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4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3" s="424">
        <f>IF(WWWW[[#This Row],['# of functional latrines in THF supported by WASH partners during the reporting period2]]="",0,WWWW[[#This Row],['# of functional latrines in THF supported by WASH partners during the reporting period2]]*50)</f>
        <v>0</v>
      </c>
      <c r="DH243" s="893">
        <f>ROUND(IF(WWWW[[#This Row],[Location Type 1]]="camp",WWWW[[#This Row],[Total PoP ]]/20,IF(WWWW[[#This Row],[Location Type 1]]="Temporary Location",WWWW[[#This Row],[Total PoP ]]/50,(WWWW[[#This Row],[Total PoP ]]/6))),0)</f>
        <v>4</v>
      </c>
      <c r="DI243" s="893">
        <f>IF(WWWW[[#This Row],[Total required Latrines]]-(WWWW[[#This Row],['#_Constructed latrines_by_WASHAgencies]]+WWWW[[#This Row],['#_Non Cluster partner latrines]])&lt;0,0,WWWW[[#This Row],[Total required Latrines]]-(WWWW[[#This Row],['#_Constructed latrines_by_WASHAgencies]]+WWWW[[#This Row],['#_Non Cluster partner latrines]]))</f>
        <v>0</v>
      </c>
      <c r="DJ243" s="895">
        <f>1-WWWW[[#This Row],[% people access to functioning Latrine]]</f>
        <v>1</v>
      </c>
      <c r="DK243" s="894">
        <f>IF(OR(WWWW[[#This Row],['#_Non-functional latrines]]="",WWWW[[#This Row],['#_Non-functional latrines]]=0),0,WWWW[[#This Row],['#_Non-functional latrines]]/(WWWW[[#This Row],['#_Constructed latrines_by_WASHAgencies]]+WWWW[[#This Row],['#_Non Cluster partner latrines]]))</f>
        <v>1</v>
      </c>
      <c r="DL243" s="890">
        <f>IF(500*(WWWW[[#This Row],['#_male hygiene promoters]]+WWWW[[#This Row],['#_female hygiene promoters]])&gt;WWWW[[#This Row],[Total PoP ]],WWWW[[#This Row],[Total PoP ]],500*(WWWW[[#This Row],['#_male hygiene promoters]]+WWWW[[#This Row],['#_female hygiene promoters]]))</f>
        <v>0</v>
      </c>
      <c r="DM24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3" s="893">
        <f>IF(WWWW[[#This Row],['# People with access to soap]]&gt;WWWW[[#This Row],['# People with access to Sanity Pads]],WWWW[[#This Row],['# People with access to soap]],WWWW[[#This Row],['# People with access to Sanity Pads]])</f>
        <v>0</v>
      </c>
      <c r="DP243"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43" s="895">
        <f>IF(WWWW[[#This Row],[HRP3]]/WWWW[[#This Row],[Total PoP ]]&gt;1,1,WWWW[[#This Row],[HRP3]]/WWWW[[#This Row],[Total PoP ]])</f>
        <v>0</v>
      </c>
      <c r="DR243" s="894">
        <f>1-WWWW[[#This Row],[Hygiene Coverage%]]</f>
        <v>1</v>
      </c>
      <c r="DS243" s="892">
        <f>WWWW[[#This Row],['# people reached by regular dedicated hygiene promotion_5]]/WWWW[[#This Row],[Total PoP ]]</f>
        <v>0</v>
      </c>
      <c r="DT24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3" s="893">
        <f>WWWW[[#This Row],['#_Constructed/Existing hand washing stations]]-WWWW[[#This Row],['#_Non-Functional_hand_washing_stations]]</f>
        <v>4</v>
      </c>
      <c r="DW243" s="890">
        <f>IF(WWWW[[#This Row],['# Functional hand washing stations during reporting period]]*20&gt;WWWW[[#This Row],[Total HH]],WWWW[[#This Row],[Total HH]],WWWW[[#This Row],['# Functional hand washing stations during reporting period]]*20)</f>
        <v>13</v>
      </c>
      <c r="DX243" s="890">
        <f>IF(WWWW[[#This Row],[Is sufficient soap available for TLS? (Yes/No)]]="yes",WWWW[[#This Row],['#_Constructed/Existing hand washing stations at TLS/CFS/THF]],0)</f>
        <v>0</v>
      </c>
      <c r="DY243" s="428">
        <f>IF(WWWW[[#This Row],['# Functional hand washing stations during reporting period]]*100&gt;WWWW[[#This Row],[Total PoP ]],WWWW[[#This Row],[Total PoP ]],WWWW[[#This Row],['# Functional hand washing stations during reporting period]]*100)</f>
        <v>76</v>
      </c>
      <c r="DZ243" s="428" t="str">
        <f>IF(OR(WWWW[[#This Row],['#_students at TLS_CFS]]="",WWWW[[#This Row],['#_students at TLS_CFS]]=0),"No","Yes")</f>
        <v>No</v>
      </c>
      <c r="EA24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3" s="886" t="str">
        <f>VLOOKUP(WWWW[[#This Row],[Site Name]],SiteDB6[[Site Name]:[CCCM Management]],6,FALSE)</f>
        <v>Yes</v>
      </c>
      <c r="EF243" s="886" t="str">
        <f>VLOOKUP(WWWW[[#This Row],[Site Name]],SiteDB6[[Site Name]:[CCCM Focal Agency]],7,FALSE)</f>
        <v>KBC-MYT</v>
      </c>
      <c r="EG243" s="886" t="str">
        <f>VLOOKUP(WWWW[[#This Row],[Site Name]],SiteDB6[[Site Name]:[Location Type 1]],9,FALSE)</f>
        <v>Camp</v>
      </c>
      <c r="EH243" s="886" t="str">
        <f>VLOOKUP(WWWW[[#This Row],[Site Name]],SiteDB6[[Site Name]:[Type of Accommodation]],10,FALSE)</f>
        <v>Camp</v>
      </c>
      <c r="EI243" s="886" t="str">
        <f>VLOOKUP(WWWW[[#This Row],[Site Name]],SiteDB6[[Site Name]:[Ethnic or GCA/NGCA]],11,FALSE)</f>
        <v>GCA</v>
      </c>
      <c r="EJ243" s="886">
        <f>VLOOKUP(WWWW[[#This Row],[Site Name]],SiteDB6[[Site Name]:[Lat]],12,FALSE)</f>
        <v>25.305669999999999</v>
      </c>
      <c r="EK243" s="886">
        <f>VLOOKUP(WWWW[[#This Row],[Site Name]],SiteDB6[[Site Name]:[Long]],13,FALSE)</f>
        <v>96.922619999999995</v>
      </c>
      <c r="EL243" s="886" t="str">
        <f>VLOOKUP(WWWW[[#This Row],[Site Name]],SiteDB6[[Site Name]:[Pcode]],3,FALSE)</f>
        <v>MMR001CMP078</v>
      </c>
      <c r="EM243" s="891" t="str">
        <f t="shared" si="3"/>
        <v>Covered</v>
      </c>
      <c r="EN243" s="891"/>
      <c r="EO243" s="886">
        <f>VLOOKUP(WWWW[[#This Row],[Site Name]],SiteDB6[[Site Name]:[Pop
(Kachin/Shan-CCCM as of July 2021)]],16,FALSE)</f>
        <v>13</v>
      </c>
      <c r="EP243" s="886">
        <f>VLOOKUP(WWWW[[#This Row],[Site Name]],SiteDB6[[Site Name]:[Pop
(Kachin/Shan-CCCM as of July 2021)]],17,FALSE)</f>
        <v>76</v>
      </c>
    </row>
    <row r="244" spans="1:146" hidden="1">
      <c r="A244" s="884" t="s">
        <v>2764</v>
      </c>
      <c r="B244" s="884" t="s">
        <v>141</v>
      </c>
      <c r="C244" s="885" t="s">
        <v>141</v>
      </c>
      <c r="D244" s="885" t="s">
        <v>241</v>
      </c>
      <c r="E244" s="885" t="s">
        <v>37</v>
      </c>
      <c r="F244" s="885" t="s">
        <v>205</v>
      </c>
      <c r="G244" s="591" t="str">
        <f>VLOOKUP(WWWW[[#This Row],[Site Name]],SiteDB6[[Site Name]:[Location Type]],8,FALSE)</f>
        <v>Camp_not registered</v>
      </c>
      <c r="H244" s="885" t="s">
        <v>289</v>
      </c>
      <c r="I244" s="887">
        <v>440</v>
      </c>
      <c r="J244" s="887">
        <v>2199</v>
      </c>
      <c r="K244" s="888">
        <v>44105</v>
      </c>
      <c r="L244" s="889">
        <v>44681</v>
      </c>
      <c r="M244" s="887"/>
      <c r="N244" s="887"/>
      <c r="O244" s="887"/>
      <c r="P244" s="887"/>
      <c r="Q244" s="890" t="s">
        <v>41</v>
      </c>
      <c r="R244" s="887"/>
      <c r="S244" s="887"/>
      <c r="T244" s="448"/>
      <c r="U244" s="887"/>
      <c r="V244" s="887"/>
      <c r="W244" s="887">
        <v>1</v>
      </c>
      <c r="X244" s="887"/>
      <c r="Y244" s="887"/>
      <c r="Z244" s="887"/>
      <c r="AA244" s="887"/>
      <c r="AB244" s="887"/>
      <c r="AC244" s="887"/>
      <c r="AD244" s="887"/>
      <c r="AE244" s="887"/>
      <c r="AF244" s="887"/>
      <c r="AG244" s="887"/>
      <c r="AH244" s="887"/>
      <c r="AI244" s="887"/>
      <c r="AJ244" s="887"/>
      <c r="AK244" s="887"/>
      <c r="AL244" s="887"/>
      <c r="AM244" s="887">
        <v>20</v>
      </c>
      <c r="AN244" s="887"/>
      <c r="AO244" s="448"/>
      <c r="AP244" s="891"/>
      <c r="AQ244" s="887"/>
      <c r="AR244" s="887">
        <v>0</v>
      </c>
      <c r="AS244" s="892"/>
      <c r="AT244" s="887"/>
      <c r="AU244" s="887"/>
      <c r="AV244" s="887"/>
      <c r="AW244" s="887"/>
      <c r="AX244" s="887"/>
      <c r="AY244" s="886" t="s">
        <v>140</v>
      </c>
      <c r="AZ244" s="891" t="s">
        <v>140</v>
      </c>
      <c r="BA244" s="887"/>
      <c r="BB244" s="887"/>
      <c r="BC244" s="887">
        <v>51</v>
      </c>
      <c r="BD244" s="448"/>
      <c r="BE244" s="448"/>
      <c r="BF244" s="886"/>
      <c r="BG244" s="887">
        <v>3</v>
      </c>
      <c r="BH244" s="887"/>
      <c r="BI244" s="887"/>
      <c r="BJ244" s="887">
        <v>2</v>
      </c>
      <c r="BK244" s="887"/>
      <c r="BL244" s="887"/>
      <c r="BM244" s="887"/>
      <c r="BN244" s="887"/>
      <c r="BO244" s="887"/>
      <c r="BP244" s="886"/>
      <c r="BQ244" s="893"/>
      <c r="BR244" s="892"/>
      <c r="BS244" s="886"/>
      <c r="BT244" s="423"/>
      <c r="BU244" s="423"/>
      <c r="BV244" s="425"/>
      <c r="BW244" s="423"/>
      <c r="BX244" s="448"/>
      <c r="BY244" s="448"/>
      <c r="BZ244" s="448"/>
      <c r="CA244" s="448"/>
      <c r="CB244" s="448"/>
      <c r="CC244" s="777"/>
      <c r="CD244" s="448"/>
      <c r="CE244" s="894" t="str">
        <f>IFERROR(WWWW[[#This Row],['#_Water sources passed]]/WWWW[[#This Row],['#_Water sources tested for fecal coliform ]],"no test")</f>
        <v>no test</v>
      </c>
      <c r="CF244" s="892" t="str">
        <f>IFERROR(WWWW[[#This Row],['#_Household passed]]/WWWW[[#This Row],['#_Household water samples tested for fecal coliform]],"no test")</f>
        <v>no test</v>
      </c>
      <c r="CG244" s="893" t="str">
        <f>IF(AND(WWWW[[#This Row],[% of water sources passed]]="no test",WWWW[[#This Row],[% Household passed]]="no test"),"No Test","Tested")</f>
        <v>No Test</v>
      </c>
      <c r="CH244" s="893">
        <f>WWWW[[#This Row],['#_Constructed/existing protected hand dug well]]-WWWW[[#This Row],['#_Non-functional protected hand dug well]]</f>
        <v>0</v>
      </c>
      <c r="CI244" s="893">
        <f>(WWWW[[#This Row],['#_Constructed/Existing tube wells/boreholes/handpumps_WASH_agency]]+WWWW[[#This Row],['#_Non-Cluster partner water tube-wells/boreholes/handpumps]])-WWWW[[#This Row],['#_Non-functional tube wells/boreholes/handpumps]]</f>
        <v>1</v>
      </c>
      <c r="CJ244" s="893">
        <f>WWWW[[#This Row],['#_Constructed/Existingwater storage tank with gravity fed reticulation system]]-WWWW[[#This Row],['#_Non-functional storage tank gravity fed reticulation system]]</f>
        <v>0</v>
      </c>
      <c r="CK244" s="893">
        <f>(WWWW[[#This Row],['#_Water_Liters_supplied_by_Water boating or water trucking]]/90)/15</f>
        <v>0</v>
      </c>
      <c r="CL244" s="893">
        <f>WWWW[[#This Row],['#_Water_Liters_from_Constructed/Existing water distribution system from river or natural spring]]/90/15</f>
        <v>0</v>
      </c>
      <c r="CM244" s="424">
        <f>IF(WWWW[[#This Row],['#_of water points in TLS/CFS]]*500&gt;WWWW[[#This Row],[Total PoP ]],WWWW[[#This Row],[Total PoP ]],WWWW[[#This Row],['#_of water points in TLS/CFS]]*500)</f>
        <v>0</v>
      </c>
      <c r="CN244" s="424">
        <f>IF(WWWW[[#This Row],['#_of water points in THF]]*500&gt;WWWW[[#This Row],[Total PoP ]],WWWW[[#This Row],[Total PoP ]],WWWW[[#This Row],['#_of water points in THF]]*500)</f>
        <v>0</v>
      </c>
      <c r="CO24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P24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Q244" s="892">
        <f>IF(WWWW[[#This Row],[Location Type 1]]="Village",WWWW[[#This Row],[Access to safe drinking water for Village]],WWWW[[#This Row],[Access to safe drinking water for Camp]])</f>
        <v>0.22737608003638018</v>
      </c>
      <c r="CR244" s="890">
        <f>WWWW[[#This Row],[%Equitable and continuous access to sufficient quantity of safe drinking water]]*WWWW[[#This Row],[Total PoP ]]</f>
        <v>500</v>
      </c>
      <c r="CS244" s="892">
        <f>IF((WWWW[[#This Row],['#_Constructed/Existing protected/fenced ponds]]*250)/WWWW[[#This Row],[Total PoP ]]&gt;1,1,(WWWW[[#This Row],['#_Constructed/Existing protected/fenced ponds]]*250)/WWWW[[#This Row],[Total PoP ]])</f>
        <v>0</v>
      </c>
      <c r="CT244" s="890">
        <f>WWWW[[#This Row],[% Access to unimproved water points]]*WWWW[[#This Row],[Total PoP ]]</f>
        <v>0</v>
      </c>
      <c r="CU24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V24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244" s="890">
        <f>WWWW[[#This Row],[HRP1]]/500</f>
        <v>1</v>
      </c>
      <c r="CX244" s="895">
        <f>1-WWWW[[#This Row],[% Equitable and continuous access to sufficient quantity of domestic water]]</f>
        <v>0.77262391996361979</v>
      </c>
      <c r="CY244" s="890">
        <f>WWWW[[#This Row],[%equitable and continuous access to sufficient quantity of safe drinking and domestic water''s GAP]]*WWWW[[#This Row],[Total PoP ]]</f>
        <v>1699</v>
      </c>
      <c r="CZ244" s="893">
        <f>IF(WWWW[[#This Row],[Total required water points]]-WWWW[[#This Row],['#Water points coverage]]&lt;0,0,WWWW[[#This Row],[Total required water points]]-WWWW[[#This Row],['#Water points coverage]])</f>
        <v>3</v>
      </c>
      <c r="DA244" s="893">
        <f>ROUND(IF(WWWW[[#This Row],[Total PoP ]]&lt;500,1,WWWW[[#This Row],[Total PoP ]]/500),0)</f>
        <v>4</v>
      </c>
      <c r="DB244" s="893">
        <f>(WWWW[[#This Row],['#_Constructed latrines_by_WASHAgencies]]+WWWW[[#This Row],['#_Non Cluster partner latrines]])-WWWW[[#This Row],['#_Non-functional latrines]]</f>
        <v>0</v>
      </c>
      <c r="DC244" s="631">
        <f>WWWW[[#This Row],[HRP2]]/WWWW[[#This Row],[Total PoP ]]</f>
        <v>0</v>
      </c>
      <c r="DD24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4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4" s="424">
        <f>IF(WWWW[[#This Row],['# of functional latrines in THF supported by WASH partners during the reporting period2]]="",0,WWWW[[#This Row],['# of functional latrines in THF supported by WASH partners during the reporting period2]]*50)</f>
        <v>0</v>
      </c>
      <c r="DH244" s="893">
        <f>ROUND(IF(WWWW[[#This Row],[Location Type 1]]="camp",WWWW[[#This Row],[Total PoP ]]/20,IF(WWWW[[#This Row],[Location Type 1]]="Temporary Location",WWWW[[#This Row],[Total PoP ]]/50,(WWWW[[#This Row],[Total PoP ]]/6))),0)</f>
        <v>110</v>
      </c>
      <c r="DI244" s="893">
        <f>IF(WWWW[[#This Row],[Total required Latrines]]-(WWWW[[#This Row],['#_Constructed latrines_by_WASHAgencies]]+WWWW[[#This Row],['#_Non Cluster partner latrines]])&lt;0,0,WWWW[[#This Row],[Total required Latrines]]-(WWWW[[#This Row],['#_Constructed latrines_by_WASHAgencies]]+WWWW[[#This Row],['#_Non Cluster partner latrines]]))</f>
        <v>110</v>
      </c>
      <c r="DJ244" s="895">
        <f>1-WWWW[[#This Row],[% people access to functioning Latrine]]</f>
        <v>1</v>
      </c>
      <c r="DK244" s="894">
        <f>IF(OR(WWWW[[#This Row],['#_Non-functional latrines]]="",WWWW[[#This Row],['#_Non-functional latrines]]=0),0,WWWW[[#This Row],['#_Non-functional latrines]]/(WWWW[[#This Row],['#_Constructed latrines_by_WASHAgencies]]+WWWW[[#This Row],['#_Non Cluster partner latrines]]))</f>
        <v>0</v>
      </c>
      <c r="DL244" s="890">
        <f>IF(500*(WWWW[[#This Row],['#_male hygiene promoters]]+WWWW[[#This Row],['#_female hygiene promoters]])&gt;WWWW[[#This Row],[Total PoP ]],WWWW[[#This Row],[Total PoP ]],500*(WWWW[[#This Row],['#_male hygiene promoters]]+WWWW[[#This Row],['#_female hygiene promoters]]))</f>
        <v>0</v>
      </c>
      <c r="DM24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4" s="893">
        <f>IF(WWWW[[#This Row],['# People with access to soap]]&gt;WWWW[[#This Row],['# People with access to Sanity Pads]],WWWW[[#This Row],['# People with access to soap]],WWWW[[#This Row],['# People with access to Sanity Pads]])</f>
        <v>0</v>
      </c>
      <c r="DP244"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44" s="895">
        <f>IF(WWWW[[#This Row],[HRP3]]/WWWW[[#This Row],[Total PoP ]]&gt;1,1,WWWW[[#This Row],[HRP3]]/WWWW[[#This Row],[Total PoP ]])</f>
        <v>0</v>
      </c>
      <c r="DR244" s="894">
        <f>1-WWWW[[#This Row],[Hygiene Coverage%]]</f>
        <v>1</v>
      </c>
      <c r="DS244" s="892">
        <f>WWWW[[#This Row],['# people reached by regular dedicated hygiene promotion_5]]/WWWW[[#This Row],[Total PoP ]]</f>
        <v>0</v>
      </c>
      <c r="DT24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4" s="893">
        <f>WWWW[[#This Row],['#_Constructed/Existing hand washing stations]]-WWWW[[#This Row],['#_Non-Functional_hand_washing_stations]]</f>
        <v>3</v>
      </c>
      <c r="DW244" s="890">
        <f>IF(WWWW[[#This Row],['# Functional hand washing stations during reporting period]]*20&gt;WWWW[[#This Row],[Total HH]],WWWW[[#This Row],[Total HH]],WWWW[[#This Row],['# Functional hand washing stations during reporting period]]*20)</f>
        <v>60</v>
      </c>
      <c r="DX244" s="890">
        <f>IF(WWWW[[#This Row],[Is sufficient soap available for TLS? (Yes/No)]]="yes",WWWW[[#This Row],['#_Constructed/Existing hand washing stations at TLS/CFS/THF]],0)</f>
        <v>0</v>
      </c>
      <c r="DY244" s="428">
        <f>IF(WWWW[[#This Row],['# Functional hand washing stations during reporting period]]*100&gt;WWWW[[#This Row],[Total PoP ]],WWWW[[#This Row],[Total PoP ]],WWWW[[#This Row],['# Functional hand washing stations during reporting period]]*100)</f>
        <v>300</v>
      </c>
      <c r="DZ244" s="428" t="str">
        <f>IF(OR(WWWW[[#This Row],['#_students at TLS_CFS]]="",WWWW[[#This Row],['#_students at TLS_CFS]]=0),"No","Yes")</f>
        <v>No</v>
      </c>
      <c r="EA24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4" s="886">
        <f>VLOOKUP(WWWW[[#This Row],[Site Name]],SiteDB6[[Site Name]:[CCCM Management]],6,FALSE)</f>
        <v>0</v>
      </c>
      <c r="EF244" s="886">
        <f>VLOOKUP(WWWW[[#This Row],[Site Name]],SiteDB6[[Site Name]:[CCCM Focal Agency]],7,FALSE)</f>
        <v>0</v>
      </c>
      <c r="EG244" s="886" t="str">
        <f>VLOOKUP(WWWW[[#This Row],[Site Name]],SiteDB6[[Site Name]:[Location Type 1]],9,FALSE)</f>
        <v>Camp</v>
      </c>
      <c r="EH244" s="886" t="str">
        <f>VLOOKUP(WWWW[[#This Row],[Site Name]],SiteDB6[[Site Name]:[Type of Accommodation]],10,FALSE)</f>
        <v>School</v>
      </c>
      <c r="EI244" s="886" t="str">
        <f>VLOOKUP(WWWW[[#This Row],[Site Name]],SiteDB6[[Site Name]:[Ethnic or GCA/NGCA]],11,FALSE)</f>
        <v>NGCA</v>
      </c>
      <c r="EJ244" s="886">
        <f>VLOOKUP(WWWW[[#This Row],[Site Name]],SiteDB6[[Site Name]:[Lat]],12,FALSE)</f>
        <v>0</v>
      </c>
      <c r="EK244" s="886">
        <f>VLOOKUP(WWWW[[#This Row],[Site Name]],SiteDB6[[Site Name]:[Long]],13,FALSE)</f>
        <v>0</v>
      </c>
      <c r="EL244" s="886">
        <f>VLOOKUP(WWWW[[#This Row],[Site Name]],SiteDB6[[Site Name]:[Pcode]],3,FALSE)</f>
        <v>0</v>
      </c>
      <c r="EM244" s="891" t="str">
        <f t="shared" si="3"/>
        <v>Covered</v>
      </c>
      <c r="EN244" s="891"/>
      <c r="EO244" s="886">
        <f>VLOOKUP(WWWW[[#This Row],[Site Name]],SiteDB6[[Site Name]:[Pop
(Kachin/Shan-CCCM as of July 2021)]],16,FALSE)</f>
        <v>0</v>
      </c>
      <c r="EP244" s="886">
        <f>VLOOKUP(WWWW[[#This Row],[Site Name]],SiteDB6[[Site Name]:[Pop
(Kachin/Shan-CCCM as of July 2021)]],17,FALSE)</f>
        <v>0</v>
      </c>
    </row>
    <row r="245" spans="1:146" hidden="1">
      <c r="A245" s="884" t="s">
        <v>2764</v>
      </c>
      <c r="B245" s="884" t="s">
        <v>291</v>
      </c>
      <c r="C245" s="885" t="s">
        <v>291</v>
      </c>
      <c r="D245" s="885" t="s">
        <v>2626</v>
      </c>
      <c r="E245" s="885" t="s">
        <v>37</v>
      </c>
      <c r="F245" s="885" t="s">
        <v>38</v>
      </c>
      <c r="G245" s="591" t="str">
        <f>VLOOKUP(WWWW[[#This Row],[Site Name]],SiteDB6[[Site Name]:[Location Type]],8,FALSE)</f>
        <v>Camp</v>
      </c>
      <c r="H245" s="885" t="s">
        <v>294</v>
      </c>
      <c r="I245" s="887">
        <v>542</v>
      </c>
      <c r="J245" s="887">
        <v>2503</v>
      </c>
      <c r="K245" s="888">
        <v>44652</v>
      </c>
      <c r="L245" s="889">
        <v>44926</v>
      </c>
      <c r="M245" s="887"/>
      <c r="N245" s="887"/>
      <c r="O245" s="887"/>
      <c r="P245" s="887"/>
      <c r="Q245" s="890" t="s">
        <v>41</v>
      </c>
      <c r="R245" s="887"/>
      <c r="S245" s="887"/>
      <c r="T245" s="448">
        <v>4</v>
      </c>
      <c r="U245" s="887"/>
      <c r="V245" s="887"/>
      <c r="W245" s="887"/>
      <c r="X245" s="887"/>
      <c r="Y245" s="887"/>
      <c r="Z245" s="887"/>
      <c r="AA245" s="887"/>
      <c r="AB245" s="887"/>
      <c r="AC245" s="887"/>
      <c r="AD245" s="887"/>
      <c r="AE245" s="887">
        <v>1</v>
      </c>
      <c r="AF245" s="887"/>
      <c r="AG245" s="887"/>
      <c r="AH245" s="887">
        <v>1</v>
      </c>
      <c r="AI245" s="887"/>
      <c r="AJ245" s="887"/>
      <c r="AK245" s="887"/>
      <c r="AL245" s="887"/>
      <c r="AM245" s="887">
        <v>5</v>
      </c>
      <c r="AN245" s="887">
        <v>2</v>
      </c>
      <c r="AO245" s="448"/>
      <c r="AP245" s="891"/>
      <c r="AQ245" s="887">
        <v>438</v>
      </c>
      <c r="AR245" s="887"/>
      <c r="AS245" s="892"/>
      <c r="AT245" s="887"/>
      <c r="AU245" s="887"/>
      <c r="AV245" s="887"/>
      <c r="AW245" s="887"/>
      <c r="AX245" s="887">
        <v>266</v>
      </c>
      <c r="AY245" s="886" t="s">
        <v>136</v>
      </c>
      <c r="AZ245" s="891" t="s">
        <v>137</v>
      </c>
      <c r="BA245" s="887">
        <v>6</v>
      </c>
      <c r="BB245" s="887">
        <v>274</v>
      </c>
      <c r="BC245" s="887">
        <v>62</v>
      </c>
      <c r="BD245" s="448">
        <v>2</v>
      </c>
      <c r="BE245" s="448"/>
      <c r="BF245" s="886"/>
      <c r="BG245" s="887">
        <v>7</v>
      </c>
      <c r="BH245" s="887"/>
      <c r="BI245" s="887">
        <v>266</v>
      </c>
      <c r="BJ245" s="887">
        <v>4</v>
      </c>
      <c r="BK245" s="887"/>
      <c r="BL245" s="887"/>
      <c r="BM245" s="887">
        <v>7</v>
      </c>
      <c r="BN245" s="887"/>
      <c r="BO245" s="887"/>
      <c r="BP245" s="886"/>
      <c r="BQ245" s="893"/>
      <c r="BR245" s="892"/>
      <c r="BS245" s="886"/>
      <c r="BT245" s="423"/>
      <c r="BU245" s="423"/>
      <c r="BV245" s="425"/>
      <c r="BW245" s="423"/>
      <c r="BX245" s="448"/>
      <c r="BY245" s="448"/>
      <c r="BZ245" s="448"/>
      <c r="CA245" s="448"/>
      <c r="CB245" s="448"/>
      <c r="CC245" s="777"/>
      <c r="CD245" s="448"/>
      <c r="CE245" s="894" t="str">
        <f>IFERROR(WWWW[[#This Row],['#_Water sources passed]]/WWWW[[#This Row],['#_Water sources tested for fecal coliform ]],"no test")</f>
        <v>no test</v>
      </c>
      <c r="CF245" s="892" t="str">
        <f>IFERROR(WWWW[[#This Row],['#_Household passed]]/WWWW[[#This Row],['#_Household water samples tested for fecal coliform]],"no test")</f>
        <v>no test</v>
      </c>
      <c r="CG245" s="893" t="str">
        <f>IF(AND(WWWW[[#This Row],[% of water sources passed]]="no test",WWWW[[#This Row],[% Household passed]]="no test"),"No Test","Tested")</f>
        <v>No Test</v>
      </c>
      <c r="CH245" s="893">
        <f>WWWW[[#This Row],['#_Constructed/existing protected hand dug well]]-WWWW[[#This Row],['#_Non-functional protected hand dug well]]</f>
        <v>4</v>
      </c>
      <c r="CI245" s="893">
        <f>(WWWW[[#This Row],['#_Constructed/Existing tube wells/boreholes/handpumps_WASH_agency]]+WWWW[[#This Row],['#_Non-Cluster partner water tube-wells/boreholes/handpumps]])-WWWW[[#This Row],['#_Non-functional tube wells/boreholes/handpumps]]</f>
        <v>0</v>
      </c>
      <c r="CJ245" s="893">
        <f>WWWW[[#This Row],['#_Constructed/Existingwater storage tank with gravity fed reticulation system]]-WWWW[[#This Row],['#_Non-functional storage tank gravity fed reticulation system]]</f>
        <v>0</v>
      </c>
      <c r="CK245" s="893">
        <f>(WWWW[[#This Row],['#_Water_Liters_supplied_by_Water boating or water trucking]]/90)/15</f>
        <v>0</v>
      </c>
      <c r="CL245" s="893">
        <f>WWWW[[#This Row],['#_Water_Liters_from_Constructed/Existing water distribution system from river or natural spring]]/90/15</f>
        <v>0</v>
      </c>
      <c r="CM245" s="424">
        <f>IF(WWWW[[#This Row],['#_of water points in TLS/CFS]]*500&gt;WWWW[[#This Row],[Total PoP ]],WWWW[[#This Row],[Total PoP ]],WWWW[[#This Row],['#_of water points in TLS/CFS]]*500)</f>
        <v>1000</v>
      </c>
      <c r="CN245" s="424">
        <f>IF(WWWW[[#This Row],['#_of water points in THF]]*500&gt;WWWW[[#This Row],[Total PoP ]],WWWW[[#This Row],[Total PoP ]],WWWW[[#This Row],['#_of water points in THF]]*500)</f>
        <v>0</v>
      </c>
      <c r="CO24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0.63923292049540548</v>
      </c>
      <c r="CP24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0.39952057530962842</v>
      </c>
      <c r="CQ245" s="892">
        <f>IF(WWWW[[#This Row],[Location Type 1]]="Village",WWWW[[#This Row],[Access to safe drinking water for Village]],WWWW[[#This Row],[Access to safe drinking water for Camp]])</f>
        <v>0.63923292049540548</v>
      </c>
      <c r="CR245" s="890">
        <f>WWWW[[#This Row],[%Equitable and continuous access to sufficient quantity of safe drinking water]]*WWWW[[#This Row],[Total PoP ]]</f>
        <v>1600</v>
      </c>
      <c r="CS245" s="892">
        <f>IF((WWWW[[#This Row],['#_Constructed/Existing protected/fenced ponds]]*250)/WWWW[[#This Row],[Total PoP ]]&gt;1,1,(WWWW[[#This Row],['#_Constructed/Existing protected/fenced ponds]]*250)/WWWW[[#This Row],[Total PoP ]])</f>
        <v>9.9880143827407106E-2</v>
      </c>
      <c r="CT245" s="890">
        <f>WWWW[[#This Row],[% Access to unimproved water points]]*WWWW[[#This Row],[Total PoP ]]</f>
        <v>249.99999999999997</v>
      </c>
      <c r="CU24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0.73911306432281254</v>
      </c>
      <c r="CV24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W245" s="890">
        <f>WWWW[[#This Row],[HRP1]]/500</f>
        <v>3.7</v>
      </c>
      <c r="CX245" s="895">
        <f>1-WWWW[[#This Row],[% Equitable and continuous access to sufficient quantity of domestic water]]</f>
        <v>0.26088693567718746</v>
      </c>
      <c r="CY245" s="890">
        <f>WWWW[[#This Row],[%equitable and continuous access to sufficient quantity of safe drinking and domestic water''s GAP]]*WWWW[[#This Row],[Total PoP ]]</f>
        <v>653.00000000000023</v>
      </c>
      <c r="CZ245" s="893">
        <f>IF(WWWW[[#This Row],[Total required water points]]-WWWW[[#This Row],['#Water points coverage]]&lt;0,0,WWWW[[#This Row],[Total required water points]]-WWWW[[#This Row],['#Water points coverage]])</f>
        <v>1.2999999999999998</v>
      </c>
      <c r="DA245" s="893">
        <f>ROUND(IF(WWWW[[#This Row],[Total PoP ]]&lt;500,1,WWWW[[#This Row],[Total PoP ]]/500),0)</f>
        <v>5</v>
      </c>
      <c r="DB245" s="893">
        <f>(WWWW[[#This Row],['#_Constructed latrines_by_WASHAgencies]]+WWWW[[#This Row],['#_Non Cluster partner latrines]])-WWWW[[#This Row],['#_Non-functional latrines]]</f>
        <v>438</v>
      </c>
      <c r="DC245" s="631">
        <f>WWWW[[#This Row],[HRP2]]/WWWW[[#This Row],[Total PoP ]]</f>
        <v>1</v>
      </c>
      <c r="DD24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2503</v>
      </c>
      <c r="DE24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5" s="424">
        <f>IF(WWWW[[#This Row],['# of functional latrines in THF supported by WASH partners during the reporting period2]]="",0,WWWW[[#This Row],['# of functional latrines in THF supported by WASH partners during the reporting period2]]*50)</f>
        <v>100</v>
      </c>
      <c r="DH245" s="893">
        <f>ROUND(IF(WWWW[[#This Row],[Location Type 1]]="camp",WWWW[[#This Row],[Total PoP ]]/20,IF(WWWW[[#This Row],[Location Type 1]]="Temporary Location",WWWW[[#This Row],[Total PoP ]]/50,(WWWW[[#This Row],[Total PoP ]]/6))),0)</f>
        <v>125</v>
      </c>
      <c r="DI245" s="893">
        <f>IF(WWWW[[#This Row],[Total required Latrines]]-(WWWW[[#This Row],['#_Constructed latrines_by_WASHAgencies]]+WWWW[[#This Row],['#_Non Cluster partner latrines]])&lt;0,0,WWWW[[#This Row],[Total required Latrines]]-(WWWW[[#This Row],['#_Constructed latrines_by_WASHAgencies]]+WWWW[[#This Row],['#_Non Cluster partner latrines]]))</f>
        <v>0</v>
      </c>
      <c r="DJ245" s="895">
        <f>1-WWWW[[#This Row],[% people access to functioning Latrine]]</f>
        <v>0</v>
      </c>
      <c r="DK245" s="894">
        <f>IF(OR(WWWW[[#This Row],['#_Non-functional latrines]]="",WWWW[[#This Row],['#_Non-functional latrines]]=0),0,WWWW[[#This Row],['#_Non-functional latrines]]/(WWWW[[#This Row],['#_Constructed latrines_by_WASHAgencies]]+WWWW[[#This Row],['#_Non Cluster partner latrines]]))</f>
        <v>0</v>
      </c>
      <c r="DL245" s="890">
        <f>IF(500*(WWWW[[#This Row],['#_male hygiene promoters]]+WWWW[[#This Row],['#_female hygiene promoters]])&gt;WWWW[[#This Row],[Total PoP ]],WWWW[[#This Row],[Total PoP ]],500*(WWWW[[#This Row],['#_male hygiene promoters]]+WWWW[[#This Row],['#_female hygiene promoters]]))</f>
        <v>2503</v>
      </c>
      <c r="DM24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5" s="893">
        <f>IF(WWWW[[#This Row],['# People with access to soap]]&gt;WWWW[[#This Row],['# People with access to Sanity Pads]],WWWW[[#This Row],['# People with access to soap]],WWWW[[#This Row],['# People with access to Sanity Pads]])</f>
        <v>0</v>
      </c>
      <c r="DP245" s="893">
        <f>IF(WWWW[[#This Row],['# people reached by regular dedicated hygiene promotion_5]]&gt;WWWW[[#This Row],['# People received regular supply of hygiene items_6]],WWWW[[#This Row],['# people reached by regular dedicated hygiene promotion_5]],WWWW[[#This Row],['# People received regular supply of hygiene items_6]])</f>
        <v>2503</v>
      </c>
      <c r="DQ245" s="895">
        <f>IF(WWWW[[#This Row],[HRP3]]/WWWW[[#This Row],[Total PoP ]]&gt;1,1,WWWW[[#This Row],[HRP3]]/WWWW[[#This Row],[Total PoP ]])</f>
        <v>1</v>
      </c>
      <c r="DR245" s="894">
        <f>1-WWWW[[#This Row],[Hygiene Coverage%]]</f>
        <v>0</v>
      </c>
      <c r="DS245" s="892">
        <f>WWWW[[#This Row],['# people reached by regular dedicated hygiene promotion_5]]/WWWW[[#This Row],[Total PoP ]]</f>
        <v>1</v>
      </c>
      <c r="DT24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5" s="893">
        <f>WWWW[[#This Row],['#_Constructed/Existing hand washing stations]]-WWWW[[#This Row],['#_Non-Functional_hand_washing_stations]]</f>
        <v>7</v>
      </c>
      <c r="DW245" s="890">
        <f>IF(WWWW[[#This Row],['# Functional hand washing stations during reporting period]]*20&gt;WWWW[[#This Row],[Total HH]],WWWW[[#This Row],[Total HH]],WWWW[[#This Row],['# Functional hand washing stations during reporting period]]*20)</f>
        <v>140</v>
      </c>
      <c r="DX245" s="890">
        <f>IF(WWWW[[#This Row],[Is sufficient soap available for TLS? (Yes/No)]]="yes",WWWW[[#This Row],['#_Constructed/Existing hand washing stations at TLS/CFS/THF]],0)</f>
        <v>0</v>
      </c>
      <c r="DY245" s="428">
        <f>IF(WWWW[[#This Row],['# Functional hand washing stations during reporting period]]*100&gt;WWWW[[#This Row],[Total PoP ]],WWWW[[#This Row],[Total PoP ]],WWWW[[#This Row],['# Functional hand washing stations during reporting period]]*100)</f>
        <v>700</v>
      </c>
      <c r="DZ245" s="428" t="str">
        <f>IF(OR(WWWW[[#This Row],['#_students at TLS_CFS]]="",WWWW[[#This Row],['#_students at TLS_CFS]]=0),"No","Yes")</f>
        <v>No</v>
      </c>
      <c r="EA24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24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245" s="886" t="str">
        <f>VLOOKUP(WWWW[[#This Row],[Site Name]],SiteDB6[[Site Name]:[CCCM Management]],6,FALSE)</f>
        <v>Yes</v>
      </c>
      <c r="EF245" s="886" t="str">
        <f>VLOOKUP(WWWW[[#This Row],[Site Name]],SiteDB6[[Site Name]:[CCCM Focal Agency]],7,FALSE)</f>
        <v>KMSS-BMO</v>
      </c>
      <c r="EG245" s="886" t="str">
        <f>VLOOKUP(WWWW[[#This Row],[Site Name]],SiteDB6[[Site Name]:[Location Type 1]],9,FALSE)</f>
        <v>Camp</v>
      </c>
      <c r="EH245" s="886" t="str">
        <f>VLOOKUP(WWWW[[#This Row],[Site Name]],SiteDB6[[Site Name]:[Type of Accommodation]],10,FALSE)</f>
        <v>Camp</v>
      </c>
      <c r="EI245" s="886" t="str">
        <f>VLOOKUP(WWWW[[#This Row],[Site Name]],SiteDB6[[Site Name]:[Ethnic or GCA/NGCA]],11,FALSE)</f>
        <v>NGCA</v>
      </c>
      <c r="EJ245" s="886">
        <f>VLOOKUP(WWWW[[#This Row],[Site Name]],SiteDB6[[Site Name]:[Lat]],12,FALSE)</f>
        <v>24.056132999999999</v>
      </c>
      <c r="EK245" s="886">
        <f>VLOOKUP(WWWW[[#This Row],[Site Name]],SiteDB6[[Site Name]:[Long]],13,FALSE)</f>
        <v>97.625617000000005</v>
      </c>
      <c r="EL245" s="886" t="str">
        <f>VLOOKUP(WWWW[[#This Row],[Site Name]],SiteDB6[[Site Name]:[Pcode]],3,FALSE)</f>
        <v>MMR001CMP128</v>
      </c>
      <c r="EM245" s="891" t="str">
        <f t="shared" si="3"/>
        <v>Covered</v>
      </c>
      <c r="EN245" s="891"/>
      <c r="EO245" s="886">
        <f>VLOOKUP(WWWW[[#This Row],[Site Name]],SiteDB6[[Site Name]:[Pop
(Kachin/Shan-CCCM as of July 2021)]],16,FALSE)</f>
        <v>542</v>
      </c>
      <c r="EP245" s="886">
        <f>VLOOKUP(WWWW[[#This Row],[Site Name]],SiteDB6[[Site Name]:[Pop
(Kachin/Shan-CCCM as of July 2021)]],17,FALSE)</f>
        <v>2503</v>
      </c>
    </row>
    <row r="246" spans="1:146" hidden="1">
      <c r="A246" s="884" t="s">
        <v>2764</v>
      </c>
      <c r="B246" s="884" t="s">
        <v>242</v>
      </c>
      <c r="C246" s="885" t="s">
        <v>242</v>
      </c>
      <c r="D246" s="885" t="s">
        <v>299</v>
      </c>
      <c r="E246" s="885" t="s">
        <v>37</v>
      </c>
      <c r="F246" s="885" t="s">
        <v>148</v>
      </c>
      <c r="G246" s="591" t="str">
        <f>VLOOKUP(WWWW[[#This Row],[Site Name]],SiteDB6[[Site Name]:[Location Type]],8,FALSE)</f>
        <v>Camp</v>
      </c>
      <c r="H246" s="885" t="s">
        <v>243</v>
      </c>
      <c r="I246" s="887">
        <v>124</v>
      </c>
      <c r="J246" s="887">
        <v>633</v>
      </c>
      <c r="K246" s="888">
        <v>44562</v>
      </c>
      <c r="L246" s="889">
        <v>44926</v>
      </c>
      <c r="M246" s="887">
        <v>152</v>
      </c>
      <c r="N246" s="887">
        <v>1</v>
      </c>
      <c r="O246" s="887"/>
      <c r="P246" s="887"/>
      <c r="Q246" s="890" t="s">
        <v>41</v>
      </c>
      <c r="R246" s="887">
        <v>4</v>
      </c>
      <c r="S246" s="887">
        <v>6</v>
      </c>
      <c r="T246" s="448">
        <v>1</v>
      </c>
      <c r="U246" s="887"/>
      <c r="V246" s="887"/>
      <c r="W246" s="887"/>
      <c r="X246" s="887"/>
      <c r="Y246" s="887"/>
      <c r="Z246" s="887"/>
      <c r="AA246" s="887">
        <v>1</v>
      </c>
      <c r="AB246" s="887"/>
      <c r="AC246" s="887">
        <v>1</v>
      </c>
      <c r="AD246" s="887"/>
      <c r="AE246" s="887">
        <v>1</v>
      </c>
      <c r="AF246" s="887"/>
      <c r="AG246" s="887">
        <v>1</v>
      </c>
      <c r="AH246" s="887"/>
      <c r="AI246" s="887"/>
      <c r="AJ246" s="887"/>
      <c r="AK246" s="887"/>
      <c r="AL246" s="887"/>
      <c r="AM246" s="887">
        <v>2</v>
      </c>
      <c r="AN246" s="887"/>
      <c r="AO246" s="448"/>
      <c r="AP246" s="891"/>
      <c r="AQ246" s="887">
        <v>29</v>
      </c>
      <c r="AR246" s="887"/>
      <c r="AS246" s="892"/>
      <c r="AT246" s="887"/>
      <c r="AU246" s="887">
        <v>10</v>
      </c>
      <c r="AV246" s="887">
        <v>7</v>
      </c>
      <c r="AW246" s="887"/>
      <c r="AX246" s="887">
        <v>0</v>
      </c>
      <c r="AY246" s="886" t="s">
        <v>41</v>
      </c>
      <c r="AZ246" s="891" t="s">
        <v>137</v>
      </c>
      <c r="BA246" s="887">
        <v>1</v>
      </c>
      <c r="BB246" s="887">
        <v>0</v>
      </c>
      <c r="BC246" s="887"/>
      <c r="BD246" s="448"/>
      <c r="BE246" s="448">
        <v>7</v>
      </c>
      <c r="BF246" s="886" t="s">
        <v>3066</v>
      </c>
      <c r="BG246" s="887">
        <v>7</v>
      </c>
      <c r="BH246" s="887"/>
      <c r="BI246" s="887"/>
      <c r="BJ246" s="887">
        <v>4</v>
      </c>
      <c r="BK246" s="887"/>
      <c r="BL246" s="887"/>
      <c r="BM246" s="887">
        <v>1</v>
      </c>
      <c r="BN246" s="887">
        <v>124</v>
      </c>
      <c r="BO246" s="887"/>
      <c r="BP246" s="886"/>
      <c r="BQ246" s="893"/>
      <c r="BR246" s="892"/>
      <c r="BS246" s="886" t="s">
        <v>3067</v>
      </c>
      <c r="BT246" s="423">
        <v>0.5</v>
      </c>
      <c r="BU246" s="423">
        <v>0.9</v>
      </c>
      <c r="BV246" s="425">
        <v>40</v>
      </c>
      <c r="BW246" s="423">
        <v>0.3</v>
      </c>
      <c r="BX246" s="448"/>
      <c r="BY246" s="448"/>
      <c r="BZ246" s="448"/>
      <c r="CA246" s="448"/>
      <c r="CB246" s="448"/>
      <c r="CC246" s="777"/>
      <c r="CD246" s="448"/>
      <c r="CE246" s="894" t="str">
        <f>IFERROR(WWWW[[#This Row],['#_Water sources passed]]/WWWW[[#This Row],['#_Water sources tested for fecal coliform ]],"no test")</f>
        <v>no test</v>
      </c>
      <c r="CF246" s="892" t="str">
        <f>IFERROR(WWWW[[#This Row],['#_Household passed]]/WWWW[[#This Row],['#_Household water samples tested for fecal coliform]],"no test")</f>
        <v>no test</v>
      </c>
      <c r="CG246" s="893" t="str">
        <f>IF(AND(WWWW[[#This Row],[% of water sources passed]]="no test",WWWW[[#This Row],[% Household passed]]="no test"),"No Test","Tested")</f>
        <v>No Test</v>
      </c>
      <c r="CH246" s="893">
        <f>WWWW[[#This Row],['#_Constructed/existing protected hand dug well]]-WWWW[[#This Row],['#_Non-functional protected hand dug well]]</f>
        <v>1</v>
      </c>
      <c r="CI246" s="893">
        <f>(WWWW[[#This Row],['#_Constructed/Existing tube wells/boreholes/handpumps_WASH_agency]]+WWWW[[#This Row],['#_Non-Cluster partner water tube-wells/boreholes/handpumps]])-WWWW[[#This Row],['#_Non-functional tube wells/boreholes/handpumps]]</f>
        <v>0</v>
      </c>
      <c r="CJ246" s="893">
        <f>WWWW[[#This Row],['#_Constructed/Existingwater storage tank with gravity fed reticulation system]]-WWWW[[#This Row],['#_Non-functional storage tank gravity fed reticulation system]]</f>
        <v>1</v>
      </c>
      <c r="CK246" s="893">
        <f>(WWWW[[#This Row],['#_Water_Liters_supplied_by_Water boating or water trucking]]/90)/15</f>
        <v>0</v>
      </c>
      <c r="CL246" s="893">
        <f>WWWW[[#This Row],['#_Water_Liters_from_Constructed/Existing water distribution system from river or natural spring]]/90/15</f>
        <v>0</v>
      </c>
      <c r="CM246" s="424">
        <f>IF(WWWW[[#This Row],['#_of water points in TLS/CFS]]*500&gt;WWWW[[#This Row],[Total PoP ]],WWWW[[#This Row],[Total PoP ]],WWWW[[#This Row],['#_of water points in TLS/CFS]]*500)</f>
        <v>0</v>
      </c>
      <c r="CN246" s="424">
        <f>IF(WWWW[[#This Row],['#_of water points in THF]]*500&gt;WWWW[[#This Row],[Total PoP ]],WWWW[[#This Row],[Total PoP ]],WWWW[[#This Row],['#_of water points in THF]]*500)</f>
        <v>0</v>
      </c>
      <c r="CO24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0.73723012111637709</v>
      </c>
      <c r="CP24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0.50026329647182732</v>
      </c>
      <c r="CQ246" s="892">
        <f>IF(WWWW[[#This Row],[Location Type 1]]="Village",WWWW[[#This Row],[Access to safe drinking water for Village]],WWWW[[#This Row],[Access to safe drinking water for Camp]])</f>
        <v>0.73723012111637709</v>
      </c>
      <c r="CR246" s="890">
        <f>WWWW[[#This Row],[%Equitable and continuous access to sufficient quantity of safe drinking water]]*WWWW[[#This Row],[Total PoP ]]</f>
        <v>466.66666666666669</v>
      </c>
      <c r="CS246" s="892">
        <f>IF((WWWW[[#This Row],['#_Constructed/Existing protected/fenced ponds]]*250)/WWWW[[#This Row],[Total PoP ]]&gt;1,1,(WWWW[[#This Row],['#_Constructed/Existing protected/fenced ponds]]*250)/WWWW[[#This Row],[Total PoP ]])</f>
        <v>0.39494470774091628</v>
      </c>
      <c r="CT246" s="890">
        <f>WWWW[[#This Row],[% Access to unimproved water points]]*WWWW[[#This Row],[Total PoP ]]</f>
        <v>250</v>
      </c>
      <c r="CU24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633</v>
      </c>
      <c r="CW246" s="890">
        <f>WWWW[[#This Row],[HRP1]]/500</f>
        <v>1.266</v>
      </c>
      <c r="CX246" s="895">
        <f>1-WWWW[[#This Row],[% Equitable and continuous access to sufficient quantity of domestic water]]</f>
        <v>0</v>
      </c>
      <c r="CY246" s="890">
        <f>WWWW[[#This Row],[%equitable and continuous access to sufficient quantity of safe drinking and domestic water''s GAP]]*WWWW[[#This Row],[Total PoP ]]</f>
        <v>0</v>
      </c>
      <c r="CZ246" s="893">
        <f>IF(WWWW[[#This Row],[Total required water points]]-WWWW[[#This Row],['#Water points coverage]]&lt;0,0,WWWW[[#This Row],[Total required water points]]-WWWW[[#This Row],['#Water points coverage]])</f>
        <v>0</v>
      </c>
      <c r="DA246" s="893">
        <f>ROUND(IF(WWWW[[#This Row],[Total PoP ]]&lt;500,1,WWWW[[#This Row],[Total PoP ]]/500),0)</f>
        <v>1</v>
      </c>
      <c r="DB246" s="893">
        <f>(WWWW[[#This Row],['#_Constructed latrines_by_WASHAgencies]]+WWWW[[#This Row],['#_Non Cluster partner latrines]])-WWWW[[#This Row],['#_Non-functional latrines]]</f>
        <v>29</v>
      </c>
      <c r="DC246" s="631">
        <f>WWWW[[#This Row],[HRP2]]/WWWW[[#This Row],[Total PoP ]]</f>
        <v>0.95892575039494465</v>
      </c>
      <c r="DD24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607</v>
      </c>
      <c r="DE24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DF24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6" s="424">
        <f>IF(WWWW[[#This Row],['# of functional latrines in THF supported by WASH partners during the reporting period2]]="",0,WWWW[[#This Row],['# of functional latrines in THF supported by WASH partners during the reporting period2]]*50)</f>
        <v>0</v>
      </c>
      <c r="DH246" s="893">
        <f>ROUND(IF(WWWW[[#This Row],[Location Type 1]]="camp",WWWW[[#This Row],[Total PoP ]]/20,IF(WWWW[[#This Row],[Location Type 1]]="Temporary Location",WWWW[[#This Row],[Total PoP ]]/50,(WWWW[[#This Row],[Total PoP ]]/6))),0)</f>
        <v>32</v>
      </c>
      <c r="DI246" s="893">
        <f>IF(WWWW[[#This Row],[Total required Latrines]]-(WWWW[[#This Row],['#_Constructed latrines_by_WASHAgencies]]+WWWW[[#This Row],['#_Non Cluster partner latrines]])&lt;0,0,WWWW[[#This Row],[Total required Latrines]]-(WWWW[[#This Row],['#_Constructed latrines_by_WASHAgencies]]+WWWW[[#This Row],['#_Non Cluster partner latrines]]))</f>
        <v>3</v>
      </c>
      <c r="DJ246" s="895">
        <f>1-WWWW[[#This Row],[% people access to functioning Latrine]]</f>
        <v>4.1074249605055346E-2</v>
      </c>
      <c r="DK246" s="894">
        <f>IF(OR(WWWW[[#This Row],['#_Non-functional latrines]]="",WWWW[[#This Row],['#_Non-functional latrines]]=0),0,WWWW[[#This Row],['#_Non-functional latrines]]/(WWWW[[#This Row],['#_Constructed latrines_by_WASHAgencies]]+WWWW[[#This Row],['#_Non Cluster partner latrines]]))</f>
        <v>0</v>
      </c>
      <c r="DL246" s="890">
        <f>IF(500*(WWWW[[#This Row],['#_male hygiene promoters]]+WWWW[[#This Row],['#_female hygiene promoters]])&gt;WWWW[[#This Row],[Total PoP ]],WWWW[[#This Row],[Total PoP ]],500*(WWWW[[#This Row],['#_male hygiene promoters]]+WWWW[[#This Row],['#_female hygiene promoters]]))</f>
        <v>500</v>
      </c>
      <c r="DM24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633</v>
      </c>
      <c r="DN24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6" s="893">
        <f>IF(WWWW[[#This Row],['# People with access to soap]]&gt;WWWW[[#This Row],['# People with access to Sanity Pads]],WWWW[[#This Row],['# People with access to soap]],WWWW[[#This Row],['# People with access to Sanity Pads]])</f>
        <v>633</v>
      </c>
      <c r="DP246" s="893">
        <f>IF(WWWW[[#This Row],['# people reached by regular dedicated hygiene promotion_5]]&gt;WWWW[[#This Row],['# People received regular supply of hygiene items_6]],WWWW[[#This Row],['# people reached by regular dedicated hygiene promotion_5]],WWWW[[#This Row],['# People received regular supply of hygiene items_6]])</f>
        <v>633</v>
      </c>
      <c r="DQ246" s="895">
        <f>IF(WWWW[[#This Row],[HRP3]]/WWWW[[#This Row],[Total PoP ]]&gt;1,1,WWWW[[#This Row],[HRP3]]/WWWW[[#This Row],[Total PoP ]])</f>
        <v>1</v>
      </c>
      <c r="DR246" s="894">
        <f>1-WWWW[[#This Row],[Hygiene Coverage%]]</f>
        <v>0</v>
      </c>
      <c r="DS246" s="892">
        <f>WWWW[[#This Row],['# people reached by regular dedicated hygiene promotion_5]]/WWWW[[#This Row],[Total PoP ]]</f>
        <v>0.78988941548183256</v>
      </c>
      <c r="DT24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4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6" s="893">
        <f>WWWW[[#This Row],['#_Constructed/Existing hand washing stations]]-WWWW[[#This Row],['#_Non-Functional_hand_washing_stations]]</f>
        <v>7</v>
      </c>
      <c r="DW246" s="890">
        <f>IF(WWWW[[#This Row],['# Functional hand washing stations during reporting period]]*20&gt;WWWW[[#This Row],[Total HH]],WWWW[[#This Row],[Total HH]],WWWW[[#This Row],['# Functional hand washing stations during reporting period]]*20)</f>
        <v>124</v>
      </c>
      <c r="DX246" s="890">
        <f>IF(WWWW[[#This Row],[Is sufficient soap available for TLS? (Yes/No)]]="yes",WWWW[[#This Row],['#_Constructed/Existing hand washing stations at TLS/CFS/THF]],0)</f>
        <v>0</v>
      </c>
      <c r="DY246" s="428">
        <f>IF(WWWW[[#This Row],['# Functional hand washing stations during reporting period]]*100&gt;WWWW[[#This Row],[Total PoP ]],WWWW[[#This Row],[Total PoP ]],WWWW[[#This Row],['# Functional hand washing stations during reporting period]]*100)</f>
        <v>633</v>
      </c>
      <c r="DZ246" s="428" t="str">
        <f>IF(OR(WWWW[[#This Row],['#_students at TLS_CFS]]="",WWWW[[#This Row],['#_students at TLS_CFS]]=0),"No","Yes")</f>
        <v>Yes</v>
      </c>
      <c r="EA246" s="631">
        <f>IF(WWWW[[#This Row],['#_of_affected_people_surveyed_who_report_feeling_informed_about_the_different_WASH_services_available_to_them]]="","",WWWW[[#This Row],['#_of_affected_people_surveyed_who_report_feeling_informed_about_the_different_WASH_services_available_to_them]]/WWWW[[#This Row],[Total PoP ]])</f>
        <v>6.3191153238546599E-2</v>
      </c>
      <c r="EB24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6" s="886" t="str">
        <f>VLOOKUP(WWWW[[#This Row],[Site Name]],SiteDB6[[Site Name]:[CCCM Management]],6,FALSE)</f>
        <v>Yes</v>
      </c>
      <c r="EF246" s="886" t="str">
        <f>VLOOKUP(WWWW[[#This Row],[Site Name]],SiteDB6[[Site Name]:[CCCM Focal Agency]],7,FALSE)</f>
        <v>KBC-MYT</v>
      </c>
      <c r="EG246" s="886" t="str">
        <f>VLOOKUP(WWWW[[#This Row],[Site Name]],SiteDB6[[Site Name]:[Location Type 1]],9,FALSE)</f>
        <v>Camp</v>
      </c>
      <c r="EH246" s="886" t="str">
        <f>VLOOKUP(WWWW[[#This Row],[Site Name]],SiteDB6[[Site Name]:[Type of Accommodation]],10,FALSE)</f>
        <v>camp</v>
      </c>
      <c r="EI246" s="886" t="str">
        <f>VLOOKUP(WWWW[[#This Row],[Site Name]],SiteDB6[[Site Name]:[Ethnic or GCA/NGCA]],11,FALSE)</f>
        <v>GCA</v>
      </c>
      <c r="EJ246" s="886">
        <f>VLOOKUP(WWWW[[#This Row],[Site Name]],SiteDB6[[Site Name]:[Lat]],12,FALSE)</f>
        <v>25.664000000000001</v>
      </c>
      <c r="EK246" s="886">
        <f>VLOOKUP(WWWW[[#This Row],[Site Name]],SiteDB6[[Site Name]:[Long]],13,FALSE)</f>
        <v>96.34</v>
      </c>
      <c r="EL246" s="886" t="str">
        <f>VLOOKUP(WWWW[[#This Row],[Site Name]],SiteDB6[[Site Name]:[Pcode]],3,FALSE)</f>
        <v>MMR001CMP250</v>
      </c>
      <c r="EM246" s="891" t="str">
        <f t="shared" si="3"/>
        <v>Covered</v>
      </c>
      <c r="EN246" s="891"/>
      <c r="EO246" s="886">
        <f>VLOOKUP(WWWW[[#This Row],[Site Name]],SiteDB6[[Site Name]:[Pop
(Kachin/Shan-CCCM as of July 2021)]],16,FALSE)</f>
        <v>124</v>
      </c>
      <c r="EP246" s="886">
        <f>VLOOKUP(WWWW[[#This Row],[Site Name]],SiteDB6[[Site Name]:[Pop
(Kachin/Shan-CCCM as of July 2021)]],17,FALSE)</f>
        <v>634</v>
      </c>
    </row>
    <row r="247" spans="1:146" hidden="1">
      <c r="A247" s="884" t="s">
        <v>2764</v>
      </c>
      <c r="B247" s="884" t="s">
        <v>3073</v>
      </c>
      <c r="C247" s="885" t="s">
        <v>141</v>
      </c>
      <c r="D247" s="885" t="s">
        <v>3081</v>
      </c>
      <c r="E247" s="885" t="s">
        <v>37</v>
      </c>
      <c r="F247" s="885" t="s">
        <v>159</v>
      </c>
      <c r="G247" s="591" t="str">
        <f>VLOOKUP(WWWW[[#This Row],[Site Name]],SiteDB6[[Site Name]:[Location Type]],8,FALSE)</f>
        <v>Camp</v>
      </c>
      <c r="H247" s="885" t="s">
        <v>163</v>
      </c>
      <c r="I247" s="887">
        <v>142</v>
      </c>
      <c r="J247" s="887">
        <v>718</v>
      </c>
      <c r="K247" s="888">
        <v>44682</v>
      </c>
      <c r="L247" s="889">
        <v>44865</v>
      </c>
      <c r="M247" s="887"/>
      <c r="N247" s="887">
        <v>1</v>
      </c>
      <c r="O247" s="887"/>
      <c r="P247" s="887"/>
      <c r="Q247" s="890" t="s">
        <v>41</v>
      </c>
      <c r="R247" s="887">
        <v>2</v>
      </c>
      <c r="S247" s="887">
        <v>3</v>
      </c>
      <c r="T247" s="448">
        <v>1</v>
      </c>
      <c r="U247" s="887"/>
      <c r="V247" s="887">
        <v>1</v>
      </c>
      <c r="W247" s="887">
        <v>3</v>
      </c>
      <c r="X247" s="887">
        <v>0</v>
      </c>
      <c r="Y247" s="887"/>
      <c r="Z247" s="887"/>
      <c r="AA247" s="887"/>
      <c r="AB247" s="887"/>
      <c r="AC247" s="887"/>
      <c r="AD247" s="887"/>
      <c r="AE247" s="887"/>
      <c r="AF247" s="887"/>
      <c r="AG247" s="887"/>
      <c r="AH247" s="887">
        <v>2</v>
      </c>
      <c r="AI247" s="887"/>
      <c r="AJ247" s="887"/>
      <c r="AK247" s="887"/>
      <c r="AL247" s="887"/>
      <c r="AM247" s="887"/>
      <c r="AN247" s="887"/>
      <c r="AO247" s="448"/>
      <c r="AP247" s="891"/>
      <c r="AQ247" s="887">
        <v>8</v>
      </c>
      <c r="AR247" s="887"/>
      <c r="AS247" s="892"/>
      <c r="AT247" s="887"/>
      <c r="AU247" s="887"/>
      <c r="AV247" s="887"/>
      <c r="AW247" s="887"/>
      <c r="AX247" s="887">
        <v>8</v>
      </c>
      <c r="AY247" s="886" t="s">
        <v>41</v>
      </c>
      <c r="AZ247" s="891" t="s">
        <v>904</v>
      </c>
      <c r="BA247" s="887"/>
      <c r="BB247" s="887"/>
      <c r="BC247" s="887"/>
      <c r="BD247" s="448"/>
      <c r="BE247" s="448"/>
      <c r="BF247" s="886"/>
      <c r="BG247" s="887">
        <v>3</v>
      </c>
      <c r="BH247" s="887"/>
      <c r="BI247" s="887"/>
      <c r="BJ247" s="887">
        <v>2</v>
      </c>
      <c r="BK247" s="887"/>
      <c r="BL247" s="887"/>
      <c r="BM247" s="887"/>
      <c r="BN247" s="887"/>
      <c r="BO247" s="887"/>
      <c r="BP247" s="886"/>
      <c r="BQ247" s="893"/>
      <c r="BR247" s="892"/>
      <c r="BS247" s="886"/>
      <c r="BT247" s="423"/>
      <c r="BU247" s="423"/>
      <c r="BV247" s="425"/>
      <c r="BW247" s="423"/>
      <c r="BX247" s="448"/>
      <c r="BY247" s="448"/>
      <c r="BZ247" s="448"/>
      <c r="CA247" s="448"/>
      <c r="CB247" s="448"/>
      <c r="CC247" s="777"/>
      <c r="CD247" s="448"/>
      <c r="CE247" s="894" t="str">
        <f>IFERROR(WWWW[[#This Row],['#_Water sources passed]]/WWWW[[#This Row],['#_Water sources tested for fecal coliform ]],"no test")</f>
        <v>no test</v>
      </c>
      <c r="CF247" s="892" t="str">
        <f>IFERROR(WWWW[[#This Row],['#_Household passed]]/WWWW[[#This Row],['#_Household water samples tested for fecal coliform]],"no test")</f>
        <v>no test</v>
      </c>
      <c r="CG247" s="893" t="str">
        <f>IF(AND(WWWW[[#This Row],[% of water sources passed]]="no test",WWWW[[#This Row],[% Household passed]]="no test"),"No Test","Tested")</f>
        <v>No Test</v>
      </c>
      <c r="CH247" s="893">
        <f>WWWW[[#This Row],['#_Constructed/existing protected hand dug well]]-WWWW[[#This Row],['#_Non-functional protected hand dug well]]</f>
        <v>1</v>
      </c>
      <c r="CI247" s="893">
        <f>(WWWW[[#This Row],['#_Constructed/Existing tube wells/boreholes/handpumps_WASH_agency]]+WWWW[[#This Row],['#_Non-Cluster partner water tube-wells/boreholes/handpumps]])-WWWW[[#This Row],['#_Non-functional tube wells/boreholes/handpumps]]</f>
        <v>3</v>
      </c>
      <c r="CJ247" s="893">
        <f>WWWW[[#This Row],['#_Constructed/Existingwater storage tank with gravity fed reticulation system]]-WWWW[[#This Row],['#_Non-functional storage tank gravity fed reticulation system]]</f>
        <v>0</v>
      </c>
      <c r="CK247" s="893">
        <f>(WWWW[[#This Row],['#_Water_Liters_supplied_by_Water boating or water trucking]]/90)/15</f>
        <v>0</v>
      </c>
      <c r="CL247" s="893">
        <f>WWWW[[#This Row],['#_Water_Liters_from_Constructed/Existing water distribution system from river or natural spring]]/90/15</f>
        <v>0</v>
      </c>
      <c r="CM247" s="424">
        <f>IF(WWWW[[#This Row],['#_of water points in TLS/CFS]]*500&gt;WWWW[[#This Row],[Total PoP ]],WWWW[[#This Row],[Total PoP ]],WWWW[[#This Row],['#_of water points in TLS/CFS]]*500)</f>
        <v>0</v>
      </c>
      <c r="CN247" s="424">
        <f>IF(WWWW[[#This Row],['#_of water points in THF]]*500&gt;WWWW[[#This Row],[Total PoP ]],WWWW[[#This Row],[Total PoP ]],WWWW[[#This Row],['#_of water points in THF]]*500)</f>
        <v>0</v>
      </c>
      <c r="CO24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47" s="892">
        <f>IF(WWWW[[#This Row],[Location Type 1]]="Village",WWWW[[#This Row],[Access to safe drinking water for Village]],WWWW[[#This Row],[Access to safe drinking water for Camp]])</f>
        <v>1</v>
      </c>
      <c r="CR247" s="890">
        <f>WWWW[[#This Row],[%Equitable and continuous access to sufficient quantity of safe drinking water]]*WWWW[[#This Row],[Total PoP ]]</f>
        <v>718</v>
      </c>
      <c r="CS247" s="892">
        <f>IF((WWWW[[#This Row],['#_Constructed/Existing protected/fenced ponds]]*250)/WWWW[[#This Row],[Total PoP ]]&gt;1,1,(WWWW[[#This Row],['#_Constructed/Existing protected/fenced ponds]]*250)/WWWW[[#This Row],[Total PoP ]])</f>
        <v>0</v>
      </c>
      <c r="CT247" s="890">
        <f>WWWW[[#This Row],[% Access to unimproved water points]]*WWWW[[#This Row],[Total PoP ]]</f>
        <v>0</v>
      </c>
      <c r="CU24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718</v>
      </c>
      <c r="CW247" s="890">
        <f>WWWW[[#This Row],[HRP1]]/500</f>
        <v>1.4359999999999999</v>
      </c>
      <c r="CX247" s="895">
        <f>1-WWWW[[#This Row],[% Equitable and continuous access to sufficient quantity of domestic water]]</f>
        <v>0</v>
      </c>
      <c r="CY247" s="890">
        <f>WWWW[[#This Row],[%equitable and continuous access to sufficient quantity of safe drinking and domestic water''s GAP]]*WWWW[[#This Row],[Total PoP ]]</f>
        <v>0</v>
      </c>
      <c r="CZ247" s="893">
        <f>IF(WWWW[[#This Row],[Total required water points]]-WWWW[[#This Row],['#Water points coverage]]&lt;0,0,WWWW[[#This Row],[Total required water points]]-WWWW[[#This Row],['#Water points coverage]])</f>
        <v>0</v>
      </c>
      <c r="DA247" s="893">
        <f>ROUND(IF(WWWW[[#This Row],[Total PoP ]]&lt;500,1,WWWW[[#This Row],[Total PoP ]]/500),0)</f>
        <v>1</v>
      </c>
      <c r="DB247" s="893">
        <f>(WWWW[[#This Row],['#_Constructed latrines_by_WASHAgencies]]+WWWW[[#This Row],['#_Non Cluster partner latrines]])-WWWW[[#This Row],['#_Non-functional latrines]]</f>
        <v>8</v>
      </c>
      <c r="DC247" s="631">
        <f>WWWW[[#This Row],[HRP2]]/WWWW[[#This Row],[Total PoP ]]</f>
        <v>0.22284122562674094</v>
      </c>
      <c r="DD24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24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7" s="424">
        <f>IF(WWWW[[#This Row],['# of functional latrines in THF supported by WASH partners during the reporting period2]]="",0,WWWW[[#This Row],['# of functional latrines in THF supported by WASH partners during the reporting period2]]*50)</f>
        <v>0</v>
      </c>
      <c r="DH247" s="893">
        <f>ROUND(IF(WWWW[[#This Row],[Location Type 1]]="camp",WWWW[[#This Row],[Total PoP ]]/20,IF(WWWW[[#This Row],[Location Type 1]]="Temporary Location",WWWW[[#This Row],[Total PoP ]]/50,(WWWW[[#This Row],[Total PoP ]]/6))),0)</f>
        <v>36</v>
      </c>
      <c r="DI247" s="893">
        <f>IF(WWWW[[#This Row],[Total required Latrines]]-(WWWW[[#This Row],['#_Constructed latrines_by_WASHAgencies]]+WWWW[[#This Row],['#_Non Cluster partner latrines]])&lt;0,0,WWWW[[#This Row],[Total required Latrines]]-(WWWW[[#This Row],['#_Constructed latrines_by_WASHAgencies]]+WWWW[[#This Row],['#_Non Cluster partner latrines]]))</f>
        <v>28</v>
      </c>
      <c r="DJ247" s="895">
        <f>1-WWWW[[#This Row],[% people access to functioning Latrine]]</f>
        <v>0.77715877437325909</v>
      </c>
      <c r="DK247" s="894">
        <f>IF(OR(WWWW[[#This Row],['#_Non-functional latrines]]="",WWWW[[#This Row],['#_Non-functional latrines]]=0),0,WWWW[[#This Row],['#_Non-functional latrines]]/(WWWW[[#This Row],['#_Constructed latrines_by_WASHAgencies]]+WWWW[[#This Row],['#_Non Cluster partner latrines]]))</f>
        <v>0</v>
      </c>
      <c r="DL247" s="890">
        <f>IF(500*(WWWW[[#This Row],['#_male hygiene promoters]]+WWWW[[#This Row],['#_female hygiene promoters]])&gt;WWWW[[#This Row],[Total PoP ]],WWWW[[#This Row],[Total PoP ]],500*(WWWW[[#This Row],['#_male hygiene promoters]]+WWWW[[#This Row],['#_female hygiene promoters]]))</f>
        <v>0</v>
      </c>
      <c r="DM24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7" s="893">
        <f>IF(WWWW[[#This Row],['# People with access to soap]]&gt;WWWW[[#This Row],['# People with access to Sanity Pads]],WWWW[[#This Row],['# People with access to soap]],WWWW[[#This Row],['# People with access to Sanity Pads]])</f>
        <v>0</v>
      </c>
      <c r="DP247"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47" s="895">
        <f>IF(WWWW[[#This Row],[HRP3]]/WWWW[[#This Row],[Total PoP ]]&gt;1,1,WWWW[[#This Row],[HRP3]]/WWWW[[#This Row],[Total PoP ]])</f>
        <v>0</v>
      </c>
      <c r="DR247" s="894">
        <f>1-WWWW[[#This Row],[Hygiene Coverage%]]</f>
        <v>1</v>
      </c>
      <c r="DS247" s="892">
        <f>WWWW[[#This Row],['# people reached by regular dedicated hygiene promotion_5]]/WWWW[[#This Row],[Total PoP ]]</f>
        <v>0</v>
      </c>
      <c r="DT24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7" s="893">
        <f>WWWW[[#This Row],['#_Constructed/Existing hand washing stations]]-WWWW[[#This Row],['#_Non-Functional_hand_washing_stations]]</f>
        <v>3</v>
      </c>
      <c r="DW247" s="890">
        <f>IF(WWWW[[#This Row],['# Functional hand washing stations during reporting period]]*20&gt;WWWW[[#This Row],[Total HH]],WWWW[[#This Row],[Total HH]],WWWW[[#This Row],['# Functional hand washing stations during reporting period]]*20)</f>
        <v>60</v>
      </c>
      <c r="DX247" s="890">
        <f>IF(WWWW[[#This Row],[Is sufficient soap available for TLS? (Yes/No)]]="yes",WWWW[[#This Row],['#_Constructed/Existing hand washing stations at TLS/CFS/THF]],0)</f>
        <v>0</v>
      </c>
      <c r="DY247" s="428">
        <f>IF(WWWW[[#This Row],['# Functional hand washing stations during reporting period]]*100&gt;WWWW[[#This Row],[Total PoP ]],WWWW[[#This Row],[Total PoP ]],WWWW[[#This Row],['# Functional hand washing stations during reporting period]]*100)</f>
        <v>300</v>
      </c>
      <c r="DZ247" s="428" t="str">
        <f>IF(OR(WWWW[[#This Row],['#_students at TLS_CFS]]="",WWWW[[#This Row],['#_students at TLS_CFS]]=0),"No","Yes")</f>
        <v>No</v>
      </c>
      <c r="EA24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7" s="886" t="str">
        <f>VLOOKUP(WWWW[[#This Row],[Site Name]],SiteDB6[[Site Name]:[CCCM Management]],6,FALSE)</f>
        <v>Yes</v>
      </c>
      <c r="EF247" s="886" t="str">
        <f>VLOOKUP(WWWW[[#This Row],[Site Name]],SiteDB6[[Site Name]:[CCCM Focal Agency]],7,FALSE)</f>
        <v>KBC-MYT</v>
      </c>
      <c r="EG247" s="886" t="str">
        <f>VLOOKUP(WWWW[[#This Row],[Site Name]],SiteDB6[[Site Name]:[Location Type 1]],9,FALSE)</f>
        <v>Camp</v>
      </c>
      <c r="EH247" s="886" t="str">
        <f>VLOOKUP(WWWW[[#This Row],[Site Name]],SiteDB6[[Site Name]:[Type of Accommodation]],10,FALSE)</f>
        <v>Camp</v>
      </c>
      <c r="EI247" s="886" t="str">
        <f>VLOOKUP(WWWW[[#This Row],[Site Name]],SiteDB6[[Site Name]:[Ethnic or GCA/NGCA]],11,FALSE)</f>
        <v>GCA</v>
      </c>
      <c r="EJ247" s="886">
        <f>VLOOKUP(WWWW[[#This Row],[Site Name]],SiteDB6[[Site Name]:[Lat]],12,FALSE)</f>
        <v>25.362420757575801</v>
      </c>
      <c r="EK247" s="886">
        <f>VLOOKUP(WWWW[[#This Row],[Site Name]],SiteDB6[[Site Name]:[Long]],13,FALSE)</f>
        <v>97.409035000000003</v>
      </c>
      <c r="EL247" s="886" t="str">
        <f>VLOOKUP(WWWW[[#This Row],[Site Name]],SiteDB6[[Site Name]:[Pcode]],3,FALSE)</f>
        <v>MMR001CMP015</v>
      </c>
      <c r="EM247" s="891" t="str">
        <f t="shared" si="3"/>
        <v>Covered</v>
      </c>
      <c r="EN247" s="891"/>
      <c r="EO247" s="886">
        <f>VLOOKUP(WWWW[[#This Row],[Site Name]],SiteDB6[[Site Name]:[Pop
(Kachin/Shan-CCCM as of July 2021)]],16,FALSE)</f>
        <v>144</v>
      </c>
      <c r="EP247" s="886">
        <f>VLOOKUP(WWWW[[#This Row],[Site Name]],SiteDB6[[Site Name]:[Pop
(Kachin/Shan-CCCM as of July 2021)]],17,FALSE)</f>
        <v>723</v>
      </c>
    </row>
    <row r="248" spans="1:146" hidden="1">
      <c r="A248" s="884" t="s">
        <v>2764</v>
      </c>
      <c r="B248" s="884" t="s">
        <v>3073</v>
      </c>
      <c r="C248" s="885" t="s">
        <v>141</v>
      </c>
      <c r="D248" s="885" t="s">
        <v>3081</v>
      </c>
      <c r="E248" s="885" t="s">
        <v>37</v>
      </c>
      <c r="F248" s="885" t="s">
        <v>159</v>
      </c>
      <c r="G248" s="591" t="str">
        <f>VLOOKUP(WWWW[[#This Row],[Site Name]],SiteDB6[[Site Name]:[Location Type]],8,FALSE)</f>
        <v>Camp</v>
      </c>
      <c r="H248" s="885" t="s">
        <v>164</v>
      </c>
      <c r="I248" s="887">
        <v>136</v>
      </c>
      <c r="J248" s="887">
        <v>697</v>
      </c>
      <c r="K248" s="888">
        <v>44682</v>
      </c>
      <c r="L248" s="889">
        <v>44865</v>
      </c>
      <c r="M248" s="887"/>
      <c r="N248" s="887">
        <v>1</v>
      </c>
      <c r="O248" s="887"/>
      <c r="P248" s="887"/>
      <c r="Q248" s="890" t="s">
        <v>41</v>
      </c>
      <c r="R248" s="887">
        <v>2</v>
      </c>
      <c r="S248" s="887">
        <v>3</v>
      </c>
      <c r="T248" s="448">
        <v>3</v>
      </c>
      <c r="U248" s="887"/>
      <c r="V248" s="887"/>
      <c r="W248" s="887">
        <v>3</v>
      </c>
      <c r="X248" s="887"/>
      <c r="Y248" s="887"/>
      <c r="Z248" s="887"/>
      <c r="AA248" s="887"/>
      <c r="AB248" s="887"/>
      <c r="AC248" s="887"/>
      <c r="AD248" s="887"/>
      <c r="AE248" s="887"/>
      <c r="AF248" s="887"/>
      <c r="AG248" s="887"/>
      <c r="AH248" s="887">
        <v>2</v>
      </c>
      <c r="AI248" s="887"/>
      <c r="AJ248" s="887"/>
      <c r="AK248" s="887"/>
      <c r="AL248" s="887"/>
      <c r="AM248" s="887"/>
      <c r="AN248" s="887"/>
      <c r="AO248" s="448"/>
      <c r="AP248" s="891"/>
      <c r="AQ248" s="887">
        <v>32</v>
      </c>
      <c r="AR248" s="887"/>
      <c r="AS248" s="892"/>
      <c r="AT248" s="887"/>
      <c r="AU248" s="887"/>
      <c r="AV248" s="887"/>
      <c r="AW248" s="887"/>
      <c r="AX248" s="887">
        <v>32</v>
      </c>
      <c r="AY248" s="886" t="s">
        <v>41</v>
      </c>
      <c r="AZ248" s="891" t="s">
        <v>137</v>
      </c>
      <c r="BA248" s="887"/>
      <c r="BB248" s="887"/>
      <c r="BC248" s="887"/>
      <c r="BD248" s="448"/>
      <c r="BE248" s="448"/>
      <c r="BF248" s="886"/>
      <c r="BG248" s="887">
        <v>3</v>
      </c>
      <c r="BH248" s="887"/>
      <c r="BI248" s="887"/>
      <c r="BJ248" s="887">
        <v>2</v>
      </c>
      <c r="BK248" s="887"/>
      <c r="BL248" s="887"/>
      <c r="BM248" s="887"/>
      <c r="BN248" s="887"/>
      <c r="BO248" s="887"/>
      <c r="BP248" s="886"/>
      <c r="BQ248" s="893"/>
      <c r="BR248" s="892"/>
      <c r="BS248" s="886"/>
      <c r="BT248" s="423"/>
      <c r="BU248" s="423"/>
      <c r="BV248" s="425"/>
      <c r="BW248" s="423"/>
      <c r="BX248" s="448"/>
      <c r="BY248" s="448"/>
      <c r="BZ248" s="448"/>
      <c r="CA248" s="448"/>
      <c r="CB248" s="448"/>
      <c r="CC248" s="777"/>
      <c r="CD248" s="448"/>
      <c r="CE248" s="894" t="str">
        <f>IFERROR(WWWW[[#This Row],['#_Water sources passed]]/WWWW[[#This Row],['#_Water sources tested for fecal coliform ]],"no test")</f>
        <v>no test</v>
      </c>
      <c r="CF248" s="892" t="str">
        <f>IFERROR(WWWW[[#This Row],['#_Household passed]]/WWWW[[#This Row],['#_Household water samples tested for fecal coliform]],"no test")</f>
        <v>no test</v>
      </c>
      <c r="CG248" s="893" t="str">
        <f>IF(AND(WWWW[[#This Row],[% of water sources passed]]="no test",WWWW[[#This Row],[% Household passed]]="no test"),"No Test","Tested")</f>
        <v>No Test</v>
      </c>
      <c r="CH248" s="893">
        <f>WWWW[[#This Row],['#_Constructed/existing protected hand dug well]]-WWWW[[#This Row],['#_Non-functional protected hand dug well]]</f>
        <v>3</v>
      </c>
      <c r="CI248" s="893">
        <f>(WWWW[[#This Row],['#_Constructed/Existing tube wells/boreholes/handpumps_WASH_agency]]+WWWW[[#This Row],['#_Non-Cluster partner water tube-wells/boreholes/handpumps]])-WWWW[[#This Row],['#_Non-functional tube wells/boreholes/handpumps]]</f>
        <v>3</v>
      </c>
      <c r="CJ248" s="893">
        <f>WWWW[[#This Row],['#_Constructed/Existingwater storage tank with gravity fed reticulation system]]-WWWW[[#This Row],['#_Non-functional storage tank gravity fed reticulation system]]</f>
        <v>0</v>
      </c>
      <c r="CK248" s="893">
        <f>(WWWW[[#This Row],['#_Water_Liters_supplied_by_Water boating or water trucking]]/90)/15</f>
        <v>0</v>
      </c>
      <c r="CL248" s="893">
        <f>WWWW[[#This Row],['#_Water_Liters_from_Constructed/Existing water distribution system from river or natural spring]]/90/15</f>
        <v>0</v>
      </c>
      <c r="CM248" s="424">
        <f>IF(WWWW[[#This Row],['#_of water points in TLS/CFS]]*500&gt;WWWW[[#This Row],[Total PoP ]],WWWW[[#This Row],[Total PoP ]],WWWW[[#This Row],['#_of water points in TLS/CFS]]*500)</f>
        <v>0</v>
      </c>
      <c r="CN248" s="424">
        <f>IF(WWWW[[#This Row],['#_of water points in THF]]*500&gt;WWWW[[#This Row],[Total PoP ]],WWWW[[#This Row],[Total PoP ]],WWWW[[#This Row],['#_of water points in THF]]*500)</f>
        <v>0</v>
      </c>
      <c r="CO24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48" s="892">
        <f>IF(WWWW[[#This Row],[Location Type 1]]="Village",WWWW[[#This Row],[Access to safe drinking water for Village]],WWWW[[#This Row],[Access to safe drinking water for Camp]])</f>
        <v>1</v>
      </c>
      <c r="CR248" s="890">
        <f>WWWW[[#This Row],[%Equitable and continuous access to sufficient quantity of safe drinking water]]*WWWW[[#This Row],[Total PoP ]]</f>
        <v>697</v>
      </c>
      <c r="CS248" s="892">
        <f>IF((WWWW[[#This Row],['#_Constructed/Existing protected/fenced ponds]]*250)/WWWW[[#This Row],[Total PoP ]]&gt;1,1,(WWWW[[#This Row],['#_Constructed/Existing protected/fenced ponds]]*250)/WWWW[[#This Row],[Total PoP ]])</f>
        <v>0</v>
      </c>
      <c r="CT248" s="890">
        <f>WWWW[[#This Row],[% Access to unimproved water points]]*WWWW[[#This Row],[Total PoP ]]</f>
        <v>0</v>
      </c>
      <c r="CU24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697</v>
      </c>
      <c r="CW248" s="890">
        <f>WWWW[[#This Row],[HRP1]]/500</f>
        <v>1.3939999999999999</v>
      </c>
      <c r="CX248" s="895">
        <f>1-WWWW[[#This Row],[% Equitable and continuous access to sufficient quantity of domestic water]]</f>
        <v>0</v>
      </c>
      <c r="CY248" s="890">
        <f>WWWW[[#This Row],[%equitable and continuous access to sufficient quantity of safe drinking and domestic water''s GAP]]*WWWW[[#This Row],[Total PoP ]]</f>
        <v>0</v>
      </c>
      <c r="CZ248" s="893">
        <f>IF(WWWW[[#This Row],[Total required water points]]-WWWW[[#This Row],['#Water points coverage]]&lt;0,0,WWWW[[#This Row],[Total required water points]]-WWWW[[#This Row],['#Water points coverage]])</f>
        <v>0</v>
      </c>
      <c r="DA248" s="893">
        <f>ROUND(IF(WWWW[[#This Row],[Total PoP ]]&lt;500,1,WWWW[[#This Row],[Total PoP ]]/500),0)</f>
        <v>1</v>
      </c>
      <c r="DB248" s="893">
        <f>(WWWW[[#This Row],['#_Constructed latrines_by_WASHAgencies]]+WWWW[[#This Row],['#_Non Cluster partner latrines]])-WWWW[[#This Row],['#_Non-functional latrines]]</f>
        <v>32</v>
      </c>
      <c r="DC248" s="631">
        <f>WWWW[[#This Row],[HRP2]]/WWWW[[#This Row],[Total PoP ]]</f>
        <v>0.9182209469153515</v>
      </c>
      <c r="DD24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24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8" s="424">
        <f>IF(WWWW[[#This Row],['# of functional latrines in THF supported by WASH partners during the reporting period2]]="",0,WWWW[[#This Row],['# of functional latrines in THF supported by WASH partners during the reporting period2]]*50)</f>
        <v>0</v>
      </c>
      <c r="DH248" s="893">
        <f>ROUND(IF(WWWW[[#This Row],[Location Type 1]]="camp",WWWW[[#This Row],[Total PoP ]]/20,IF(WWWW[[#This Row],[Location Type 1]]="Temporary Location",WWWW[[#This Row],[Total PoP ]]/50,(WWWW[[#This Row],[Total PoP ]]/6))),0)</f>
        <v>35</v>
      </c>
      <c r="DI248" s="893">
        <f>IF(WWWW[[#This Row],[Total required Latrines]]-(WWWW[[#This Row],['#_Constructed latrines_by_WASHAgencies]]+WWWW[[#This Row],['#_Non Cluster partner latrines]])&lt;0,0,WWWW[[#This Row],[Total required Latrines]]-(WWWW[[#This Row],['#_Constructed latrines_by_WASHAgencies]]+WWWW[[#This Row],['#_Non Cluster partner latrines]]))</f>
        <v>3</v>
      </c>
      <c r="DJ248" s="895">
        <f>1-WWWW[[#This Row],[% people access to functioning Latrine]]</f>
        <v>8.1779053084648501E-2</v>
      </c>
      <c r="DK248" s="894">
        <f>IF(OR(WWWW[[#This Row],['#_Non-functional latrines]]="",WWWW[[#This Row],['#_Non-functional latrines]]=0),0,WWWW[[#This Row],['#_Non-functional latrines]]/(WWWW[[#This Row],['#_Constructed latrines_by_WASHAgencies]]+WWWW[[#This Row],['#_Non Cluster partner latrines]]))</f>
        <v>0</v>
      </c>
      <c r="DL248" s="890">
        <f>IF(500*(WWWW[[#This Row],['#_male hygiene promoters]]+WWWW[[#This Row],['#_female hygiene promoters]])&gt;WWWW[[#This Row],[Total PoP ]],WWWW[[#This Row],[Total PoP ]],500*(WWWW[[#This Row],['#_male hygiene promoters]]+WWWW[[#This Row],['#_female hygiene promoters]]))</f>
        <v>0</v>
      </c>
      <c r="DM24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8" s="893">
        <f>IF(WWWW[[#This Row],['# People with access to soap]]&gt;WWWW[[#This Row],['# People with access to Sanity Pads]],WWWW[[#This Row],['# People with access to soap]],WWWW[[#This Row],['# People with access to Sanity Pads]])</f>
        <v>0</v>
      </c>
      <c r="DP248"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48" s="895">
        <f>IF(WWWW[[#This Row],[HRP3]]/WWWW[[#This Row],[Total PoP ]]&gt;1,1,WWWW[[#This Row],[HRP3]]/WWWW[[#This Row],[Total PoP ]])</f>
        <v>0</v>
      </c>
      <c r="DR248" s="894">
        <f>1-WWWW[[#This Row],[Hygiene Coverage%]]</f>
        <v>1</v>
      </c>
      <c r="DS248" s="892">
        <f>WWWW[[#This Row],['# people reached by regular dedicated hygiene promotion_5]]/WWWW[[#This Row],[Total PoP ]]</f>
        <v>0</v>
      </c>
      <c r="DT24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8" s="893">
        <f>WWWW[[#This Row],['#_Constructed/Existing hand washing stations]]-WWWW[[#This Row],['#_Non-Functional_hand_washing_stations]]</f>
        <v>3</v>
      </c>
      <c r="DW248" s="890">
        <f>IF(WWWW[[#This Row],['# Functional hand washing stations during reporting period]]*20&gt;WWWW[[#This Row],[Total HH]],WWWW[[#This Row],[Total HH]],WWWW[[#This Row],['# Functional hand washing stations during reporting period]]*20)</f>
        <v>60</v>
      </c>
      <c r="DX248" s="890">
        <f>IF(WWWW[[#This Row],[Is sufficient soap available for TLS? (Yes/No)]]="yes",WWWW[[#This Row],['#_Constructed/Existing hand washing stations at TLS/CFS/THF]],0)</f>
        <v>0</v>
      </c>
      <c r="DY248" s="428">
        <f>IF(WWWW[[#This Row],['# Functional hand washing stations during reporting period]]*100&gt;WWWW[[#This Row],[Total PoP ]],WWWW[[#This Row],[Total PoP ]],WWWW[[#This Row],['# Functional hand washing stations during reporting period]]*100)</f>
        <v>300</v>
      </c>
      <c r="DZ248" s="428" t="str">
        <f>IF(OR(WWWW[[#This Row],['#_students at TLS_CFS]]="",WWWW[[#This Row],['#_students at TLS_CFS]]=0),"No","Yes")</f>
        <v>No</v>
      </c>
      <c r="EA24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8" s="886" t="str">
        <f>VLOOKUP(WWWW[[#This Row],[Site Name]],SiteDB6[[Site Name]:[CCCM Management]],6,FALSE)</f>
        <v>Yes</v>
      </c>
      <c r="EF248" s="886" t="str">
        <f>VLOOKUP(WWWW[[#This Row],[Site Name]],SiteDB6[[Site Name]:[CCCM Focal Agency]],7,FALSE)</f>
        <v>KBC-MYT</v>
      </c>
      <c r="EG248" s="886" t="str">
        <f>VLOOKUP(WWWW[[#This Row],[Site Name]],SiteDB6[[Site Name]:[Location Type 1]],9,FALSE)</f>
        <v>Camp</v>
      </c>
      <c r="EH248" s="886" t="str">
        <f>VLOOKUP(WWWW[[#This Row],[Site Name]],SiteDB6[[Site Name]:[Type of Accommodation]],10,FALSE)</f>
        <v>Camp</v>
      </c>
      <c r="EI248" s="886" t="str">
        <f>VLOOKUP(WWWW[[#This Row],[Site Name]],SiteDB6[[Site Name]:[Ethnic or GCA/NGCA]],11,FALSE)</f>
        <v>GCA</v>
      </c>
      <c r="EJ248" s="886">
        <f>VLOOKUP(WWWW[[#This Row],[Site Name]],SiteDB6[[Site Name]:[Lat]],12,FALSE)</f>
        <v>25.3510167948718</v>
      </c>
      <c r="EK248" s="886">
        <f>VLOOKUP(WWWW[[#This Row],[Site Name]],SiteDB6[[Site Name]:[Long]],13,FALSE)</f>
        <v>97.403402307692303</v>
      </c>
      <c r="EL248" s="886" t="str">
        <f>VLOOKUP(WWWW[[#This Row],[Site Name]],SiteDB6[[Site Name]:[Pcode]],3,FALSE)</f>
        <v>MMR001CMP014</v>
      </c>
      <c r="EM248" s="891" t="str">
        <f t="shared" si="3"/>
        <v>Covered</v>
      </c>
      <c r="EN248" s="891"/>
      <c r="EO248" s="886">
        <f>VLOOKUP(WWWW[[#This Row],[Site Name]],SiteDB6[[Site Name]:[Pop
(Kachin/Shan-CCCM as of July 2021)]],16,FALSE)</f>
        <v>136</v>
      </c>
      <c r="EP248" s="886">
        <f>VLOOKUP(WWWW[[#This Row],[Site Name]],SiteDB6[[Site Name]:[Pop
(Kachin/Shan-CCCM as of July 2021)]],17,FALSE)</f>
        <v>697</v>
      </c>
    </row>
    <row r="249" spans="1:146" hidden="1">
      <c r="A249" s="884" t="s">
        <v>2764</v>
      </c>
      <c r="B249" s="884" t="s">
        <v>242</v>
      </c>
      <c r="C249" s="885" t="s">
        <v>242</v>
      </c>
      <c r="D249" s="885" t="s">
        <v>299</v>
      </c>
      <c r="E249" s="885" t="s">
        <v>37</v>
      </c>
      <c r="F249" s="885" t="s">
        <v>146</v>
      </c>
      <c r="G249" s="591" t="str">
        <f>VLOOKUP(WWWW[[#This Row],[Site Name]],SiteDB6[[Site Name]:[Location Type]],8,FALSE)</f>
        <v>Camp</v>
      </c>
      <c r="H249" s="885" t="s">
        <v>247</v>
      </c>
      <c r="I249" s="887">
        <v>201</v>
      </c>
      <c r="J249" s="887">
        <v>884</v>
      </c>
      <c r="K249" s="888">
        <v>44562</v>
      </c>
      <c r="L249" s="889">
        <v>44926</v>
      </c>
      <c r="M249" s="887">
        <v>410</v>
      </c>
      <c r="N249" s="887">
        <v>1</v>
      </c>
      <c r="O249" s="887"/>
      <c r="P249" s="887"/>
      <c r="Q249" s="890" t="s">
        <v>41</v>
      </c>
      <c r="R249" s="887">
        <v>4</v>
      </c>
      <c r="S249" s="887">
        <v>2</v>
      </c>
      <c r="T249" s="448">
        <v>1</v>
      </c>
      <c r="U249" s="887"/>
      <c r="V249" s="887"/>
      <c r="W249" s="887"/>
      <c r="X249" s="887"/>
      <c r="Y249" s="887"/>
      <c r="Z249" s="887"/>
      <c r="AA249" s="887">
        <v>3</v>
      </c>
      <c r="AB249" s="887"/>
      <c r="AC249" s="887">
        <v>2</v>
      </c>
      <c r="AD249" s="887"/>
      <c r="AE249" s="887"/>
      <c r="AF249" s="887"/>
      <c r="AG249" s="887">
        <v>10</v>
      </c>
      <c r="AH249" s="887"/>
      <c r="AI249" s="887"/>
      <c r="AJ249" s="887"/>
      <c r="AK249" s="887"/>
      <c r="AL249" s="887"/>
      <c r="AM249" s="887">
        <v>3</v>
      </c>
      <c r="AN249" s="887">
        <v>3</v>
      </c>
      <c r="AO249" s="448"/>
      <c r="AP249" s="891"/>
      <c r="AQ249" s="887">
        <v>50</v>
      </c>
      <c r="AR249" s="887">
        <v>8</v>
      </c>
      <c r="AS249" s="892" t="s">
        <v>3059</v>
      </c>
      <c r="AT249" s="887">
        <v>6</v>
      </c>
      <c r="AU249" s="887">
        <v>1</v>
      </c>
      <c r="AV249" s="887">
        <v>5</v>
      </c>
      <c r="AW249" s="887">
        <v>37.854120000000002</v>
      </c>
      <c r="AX249" s="887">
        <v>50</v>
      </c>
      <c r="AY249" s="886" t="s">
        <v>2683</v>
      </c>
      <c r="AZ249" s="891" t="s">
        <v>137</v>
      </c>
      <c r="BA249" s="887"/>
      <c r="BB249" s="887"/>
      <c r="BC249" s="887">
        <v>4</v>
      </c>
      <c r="BD249" s="448"/>
      <c r="BE249" s="448"/>
      <c r="BF249" s="886"/>
      <c r="BG249" s="887">
        <v>8</v>
      </c>
      <c r="BH249" s="887">
        <v>2</v>
      </c>
      <c r="BI249" s="887"/>
      <c r="BJ249" s="887">
        <v>3</v>
      </c>
      <c r="BK249" s="887"/>
      <c r="BL249" s="887">
        <v>1</v>
      </c>
      <c r="BM249" s="887">
        <v>1</v>
      </c>
      <c r="BN249" s="887">
        <v>50</v>
      </c>
      <c r="BO249" s="887">
        <v>295</v>
      </c>
      <c r="BP249" s="886"/>
      <c r="BQ249" s="893">
        <v>5</v>
      </c>
      <c r="BR249" s="892">
        <v>0.5</v>
      </c>
      <c r="BS249" s="886"/>
      <c r="BT249" s="423">
        <v>0.8</v>
      </c>
      <c r="BU249" s="423">
        <v>0.8</v>
      </c>
      <c r="BV249" s="425">
        <v>20</v>
      </c>
      <c r="BW249" s="423">
        <v>0.6</v>
      </c>
      <c r="BX249" s="448"/>
      <c r="BY249" s="448"/>
      <c r="BZ249" s="448"/>
      <c r="CA249" s="448"/>
      <c r="CB249" s="448"/>
      <c r="CC249" s="777"/>
      <c r="CD249" s="448"/>
      <c r="CE249" s="894" t="str">
        <f>IFERROR(WWWW[[#This Row],['#_Water sources passed]]/WWWW[[#This Row],['#_Water sources tested for fecal coliform ]],"no test")</f>
        <v>no test</v>
      </c>
      <c r="CF249" s="892" t="str">
        <f>IFERROR(WWWW[[#This Row],['#_Household passed]]/WWWW[[#This Row],['#_Household water samples tested for fecal coliform]],"no test")</f>
        <v>no test</v>
      </c>
      <c r="CG249" s="893" t="str">
        <f>IF(AND(WWWW[[#This Row],[% of water sources passed]]="no test",WWWW[[#This Row],[% Household passed]]="no test"),"No Test","Tested")</f>
        <v>No Test</v>
      </c>
      <c r="CH249" s="893">
        <f>WWWW[[#This Row],['#_Constructed/existing protected hand dug well]]-WWWW[[#This Row],['#_Non-functional protected hand dug well]]</f>
        <v>1</v>
      </c>
      <c r="CI249" s="893">
        <f>(WWWW[[#This Row],['#_Constructed/Existing tube wells/boreholes/handpumps_WASH_agency]]+WWWW[[#This Row],['#_Non-Cluster partner water tube-wells/boreholes/handpumps]])-WWWW[[#This Row],['#_Non-functional tube wells/boreholes/handpumps]]</f>
        <v>0</v>
      </c>
      <c r="CJ249" s="893">
        <f>WWWW[[#This Row],['#_Constructed/Existingwater storage tank with gravity fed reticulation system]]-WWWW[[#This Row],['#_Non-functional storage tank gravity fed reticulation system]]</f>
        <v>3</v>
      </c>
      <c r="CK249" s="893">
        <f>(WWWW[[#This Row],['#_Water_Liters_supplied_by_Water boating or water trucking]]/90)/15</f>
        <v>0</v>
      </c>
      <c r="CL249" s="893">
        <f>WWWW[[#This Row],['#_Water_Liters_from_Constructed/Existing water distribution system from river or natural spring]]/90/15</f>
        <v>0</v>
      </c>
      <c r="CM249" s="424">
        <f>IF(WWWW[[#This Row],['#_of water points in TLS/CFS]]*500&gt;WWWW[[#This Row],[Total PoP ]],WWWW[[#This Row],[Total PoP ]],WWWW[[#This Row],['#_of water points in TLS/CFS]]*500)</f>
        <v>884</v>
      </c>
      <c r="CN249" s="424">
        <f>IF(WWWW[[#This Row],['#_of water points in THF]]*500&gt;WWWW[[#This Row],[Total PoP ]],WWWW[[#This Row],[Total PoP ]],WWWW[[#This Row],['#_of water points in THF]]*500)</f>
        <v>0</v>
      </c>
      <c r="CO24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0.67873303167420818</v>
      </c>
      <c r="CP24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0.50904977375565608</v>
      </c>
      <c r="CQ249" s="892">
        <f>IF(WWWW[[#This Row],[Location Type 1]]="Village",WWWW[[#This Row],[Access to safe drinking water for Village]],WWWW[[#This Row],[Access to safe drinking water for Camp]])</f>
        <v>0.67873303167420818</v>
      </c>
      <c r="CR249" s="890">
        <f>WWWW[[#This Row],[%Equitable and continuous access to sufficient quantity of safe drinking water]]*WWWW[[#This Row],[Total PoP ]]</f>
        <v>600</v>
      </c>
      <c r="CS249" s="892">
        <f>IF((WWWW[[#This Row],['#_Constructed/Existing protected/fenced ponds]]*250)/WWWW[[#This Row],[Total PoP ]]&gt;1,1,(WWWW[[#This Row],['#_Constructed/Existing protected/fenced ponds]]*250)/WWWW[[#This Row],[Total PoP ]])</f>
        <v>0</v>
      </c>
      <c r="CT249" s="890">
        <f>WWWW[[#This Row],[% Access to unimproved water points]]*WWWW[[#This Row],[Total PoP ]]</f>
        <v>0</v>
      </c>
      <c r="CU24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0.67873303167420818</v>
      </c>
      <c r="CV24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600</v>
      </c>
      <c r="CW249" s="890">
        <f>WWWW[[#This Row],[HRP1]]/500</f>
        <v>1.2</v>
      </c>
      <c r="CX249" s="895">
        <f>1-WWWW[[#This Row],[% Equitable and continuous access to sufficient quantity of domestic water]]</f>
        <v>0.32126696832579182</v>
      </c>
      <c r="CY249" s="890">
        <f>WWWW[[#This Row],[%equitable and continuous access to sufficient quantity of safe drinking and domestic water''s GAP]]*WWWW[[#This Row],[Total PoP ]]</f>
        <v>284</v>
      </c>
      <c r="CZ249" s="893">
        <f>IF(WWWW[[#This Row],[Total required water points]]-WWWW[[#This Row],['#Water points coverage]]&lt;0,0,WWWW[[#This Row],[Total required water points]]-WWWW[[#This Row],['#Water points coverage]])</f>
        <v>0.8</v>
      </c>
      <c r="DA249" s="893">
        <f>ROUND(IF(WWWW[[#This Row],[Total PoP ]]&lt;500,1,WWWW[[#This Row],[Total PoP ]]/500),0)</f>
        <v>2</v>
      </c>
      <c r="DB249" s="893">
        <f>(WWWW[[#This Row],['#_Constructed latrines_by_WASHAgencies]]+WWWW[[#This Row],['#_Non Cluster partner latrines]])-WWWW[[#This Row],['#_Non-functional latrines]]</f>
        <v>52</v>
      </c>
      <c r="DC249" s="631">
        <f>WWWW[[#This Row],[HRP2]]/WWWW[[#This Row],[Total PoP ]]</f>
        <v>1</v>
      </c>
      <c r="DD24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884</v>
      </c>
      <c r="DE24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24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200</v>
      </c>
      <c r="DG249" s="424">
        <f>IF(WWWW[[#This Row],['# of functional latrines in THF supported by WASH partners during the reporting period2]]="",0,WWWW[[#This Row],['# of functional latrines in THF supported by WASH partners during the reporting period2]]*50)</f>
        <v>0</v>
      </c>
      <c r="DH249" s="893">
        <f>ROUND(IF(WWWW[[#This Row],[Location Type 1]]="camp",WWWW[[#This Row],[Total PoP ]]/20,IF(WWWW[[#This Row],[Location Type 1]]="Temporary Location",WWWW[[#This Row],[Total PoP ]]/50,(WWWW[[#This Row],[Total PoP ]]/6))),0)</f>
        <v>44</v>
      </c>
      <c r="DI249" s="893">
        <f>IF(WWWW[[#This Row],[Total required Latrines]]-(WWWW[[#This Row],['#_Constructed latrines_by_WASHAgencies]]+WWWW[[#This Row],['#_Non Cluster partner latrines]])&lt;0,0,WWWW[[#This Row],[Total required Latrines]]-(WWWW[[#This Row],['#_Constructed latrines_by_WASHAgencies]]+WWWW[[#This Row],['#_Non Cluster partner latrines]]))</f>
        <v>0</v>
      </c>
      <c r="DJ249" s="895">
        <f>1-WWWW[[#This Row],[% people access to functioning Latrine]]</f>
        <v>0</v>
      </c>
      <c r="DK249" s="894">
        <f>IF(OR(WWWW[[#This Row],['#_Non-functional latrines]]="",WWWW[[#This Row],['#_Non-functional latrines]]=0),0,WWWW[[#This Row],['#_Non-functional latrines]]/(WWWW[[#This Row],['#_Constructed latrines_by_WASHAgencies]]+WWWW[[#This Row],['#_Non Cluster partner latrines]]))</f>
        <v>0.10344827586206896</v>
      </c>
      <c r="DL249" s="890">
        <f>IF(500*(WWWW[[#This Row],['#_male hygiene promoters]]+WWWW[[#This Row],['#_female hygiene promoters]])&gt;WWWW[[#This Row],[Total PoP ]],WWWW[[#This Row],[Total PoP ]],500*(WWWW[[#This Row],['#_male hygiene promoters]]+WWWW[[#This Row],['#_female hygiene promoters]]))</f>
        <v>884</v>
      </c>
      <c r="DM24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24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295</v>
      </c>
      <c r="DO249" s="893">
        <f>IF(WWWW[[#This Row],['# People with access to soap]]&gt;WWWW[[#This Row],['# People with access to Sanity Pads]],WWWW[[#This Row],['# People with access to soap]],WWWW[[#This Row],['# People with access to Sanity Pads]])</f>
        <v>295</v>
      </c>
      <c r="DP249" s="893">
        <f>IF(WWWW[[#This Row],['# people reached by regular dedicated hygiene promotion_5]]&gt;WWWW[[#This Row],['# People received regular supply of hygiene items_6]],WWWW[[#This Row],['# people reached by regular dedicated hygiene promotion_5]],WWWW[[#This Row],['# People received regular supply of hygiene items_6]])</f>
        <v>884</v>
      </c>
      <c r="DQ249" s="895">
        <f>IF(WWWW[[#This Row],[HRP3]]/WWWW[[#This Row],[Total PoP ]]&gt;1,1,WWWW[[#This Row],[HRP3]]/WWWW[[#This Row],[Total PoP ]])</f>
        <v>1</v>
      </c>
      <c r="DR249" s="894">
        <f>1-WWWW[[#This Row],[Hygiene Coverage%]]</f>
        <v>0</v>
      </c>
      <c r="DS249" s="892">
        <f>WWWW[[#This Row],['# people reached by regular dedicated hygiene promotion_5]]/WWWW[[#This Row],[Total PoP ]]</f>
        <v>1</v>
      </c>
      <c r="DT24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0.99502487562189057</v>
      </c>
      <c r="DU24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49" s="893">
        <f>WWWW[[#This Row],['#_Constructed/Existing hand washing stations]]-WWWW[[#This Row],['#_Non-Functional_hand_washing_stations]]</f>
        <v>6</v>
      </c>
      <c r="DW249" s="890">
        <f>IF(WWWW[[#This Row],['# Functional hand washing stations during reporting period]]*20&gt;WWWW[[#This Row],[Total HH]],WWWW[[#This Row],[Total HH]],WWWW[[#This Row],['# Functional hand washing stations during reporting period]]*20)</f>
        <v>120</v>
      </c>
      <c r="DX249" s="890">
        <f>IF(WWWW[[#This Row],[Is sufficient soap available for TLS? (Yes/No)]]="yes",WWWW[[#This Row],['#_Constructed/Existing hand washing stations at TLS/CFS/THF]],0)</f>
        <v>0</v>
      </c>
      <c r="DY249" s="428">
        <f>IF(WWWW[[#This Row],['# Functional hand washing stations during reporting period]]*100&gt;WWWW[[#This Row],[Total PoP ]],WWWW[[#This Row],[Total PoP ]],WWWW[[#This Row],['# Functional hand washing stations during reporting period]]*100)</f>
        <v>600</v>
      </c>
      <c r="DZ249" s="428" t="str">
        <f>IF(OR(WWWW[[#This Row],['#_students at TLS_CFS]]="",WWWW[[#This Row],['#_students at TLS_CFS]]=0),"No","Yes")</f>
        <v>Yes</v>
      </c>
      <c r="EA249" s="631">
        <f>IF(WWWW[[#This Row],['#_of_affected_people_surveyed_who_report_feeling_informed_about_the_different_WASH_services_available_to_them]]="","",WWWW[[#This Row],['#_of_affected_people_surveyed_who_report_feeling_informed_about_the_different_WASH_services_available_to_them]]/WWWW[[#This Row],[Total PoP ]])</f>
        <v>2.2624434389140271E-2</v>
      </c>
      <c r="EB24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884</v>
      </c>
      <c r="ED24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9" s="886" t="str">
        <f>VLOOKUP(WWWW[[#This Row],[Site Name]],SiteDB6[[Site Name]:[CCCM Management]],6,FALSE)</f>
        <v>Yes</v>
      </c>
      <c r="EF249" s="886" t="str">
        <f>VLOOKUP(WWWW[[#This Row],[Site Name]],SiteDB6[[Site Name]:[CCCM Focal Agency]],7,FALSE)</f>
        <v>Shalom</v>
      </c>
      <c r="EG249" s="886" t="str">
        <f>VLOOKUP(WWWW[[#This Row],[Site Name]],SiteDB6[[Site Name]:[Location Type 1]],9,FALSE)</f>
        <v>Camp</v>
      </c>
      <c r="EH249" s="886" t="str">
        <f>VLOOKUP(WWWW[[#This Row],[Site Name]],SiteDB6[[Site Name]:[Type of Accommodation]],10,FALSE)</f>
        <v>Camp</v>
      </c>
      <c r="EI249" s="886" t="str">
        <f>VLOOKUP(WWWW[[#This Row],[Site Name]],SiteDB6[[Site Name]:[Ethnic or GCA/NGCA]],11,FALSE)</f>
        <v>GCA</v>
      </c>
      <c r="EJ249" s="886">
        <f>VLOOKUP(WWWW[[#This Row],[Site Name]],SiteDB6[[Site Name]:[Lat]],12,FALSE)</f>
        <v>25.887339999999998</v>
      </c>
      <c r="EK249" s="886">
        <f>VLOOKUP(WWWW[[#This Row],[Site Name]],SiteDB6[[Site Name]:[Long]],13,FALSE)</f>
        <v>98.129990000000006</v>
      </c>
      <c r="EL249" s="886" t="str">
        <f>VLOOKUP(WWWW[[#This Row],[Site Name]],SiteDB6[[Site Name]:[Pcode]],3,FALSE)</f>
        <v>MMR001CMP195</v>
      </c>
      <c r="EM249" s="891" t="str">
        <f t="shared" si="3"/>
        <v>Covered</v>
      </c>
      <c r="EN249" s="891"/>
      <c r="EO249" s="886">
        <f>VLOOKUP(WWWW[[#This Row],[Site Name]],SiteDB6[[Site Name]:[Pop
(Kachin/Shan-CCCM as of July 2021)]],16,FALSE)</f>
        <v>195</v>
      </c>
      <c r="EP249" s="886">
        <f>VLOOKUP(WWWW[[#This Row],[Site Name]],SiteDB6[[Site Name]:[Pop
(Kachin/Shan-CCCM as of July 2021)]],17,FALSE)</f>
        <v>854</v>
      </c>
    </row>
    <row r="250" spans="1:146" hidden="1">
      <c r="A250" s="884" t="s">
        <v>2764</v>
      </c>
      <c r="B250" s="884" t="s">
        <v>309</v>
      </c>
      <c r="C250" s="885" t="s">
        <v>309</v>
      </c>
      <c r="D250" s="885"/>
      <c r="E250" s="885" t="s">
        <v>37</v>
      </c>
      <c r="F250" s="885" t="s">
        <v>142</v>
      </c>
      <c r="G250" s="591" t="str">
        <f>VLOOKUP(WWWW[[#This Row],[Site Name]],SiteDB6[[Site Name]:[Location Type]],8,FALSE)</f>
        <v>Camp</v>
      </c>
      <c r="H250" s="885" t="s">
        <v>2780</v>
      </c>
      <c r="I250" s="887">
        <v>45</v>
      </c>
      <c r="J250" s="887">
        <v>247</v>
      </c>
      <c r="K250" s="888"/>
      <c r="L250" s="889"/>
      <c r="M250" s="887"/>
      <c r="N250" s="887"/>
      <c r="O250" s="887"/>
      <c r="P250" s="887"/>
      <c r="Q250" s="890"/>
      <c r="R250" s="887"/>
      <c r="S250" s="887"/>
      <c r="T250" s="448"/>
      <c r="U250" s="887"/>
      <c r="V250" s="887"/>
      <c r="W250" s="887"/>
      <c r="X250" s="887"/>
      <c r="Y250" s="887"/>
      <c r="Z250" s="887"/>
      <c r="AA250" s="887"/>
      <c r="AB250" s="887"/>
      <c r="AC250" s="887"/>
      <c r="AD250" s="887"/>
      <c r="AE250" s="887"/>
      <c r="AF250" s="887"/>
      <c r="AG250" s="887"/>
      <c r="AH250" s="887"/>
      <c r="AI250" s="887"/>
      <c r="AJ250" s="887"/>
      <c r="AK250" s="887"/>
      <c r="AL250" s="887"/>
      <c r="AM250" s="887"/>
      <c r="AN250" s="887"/>
      <c r="AO250" s="448"/>
      <c r="AP250" s="891"/>
      <c r="AQ250" s="887"/>
      <c r="AR250" s="887"/>
      <c r="AS250" s="892"/>
      <c r="AT250" s="887"/>
      <c r="AU250" s="887"/>
      <c r="AV250" s="887"/>
      <c r="AW250" s="887"/>
      <c r="AX250" s="887"/>
      <c r="AY250" s="886" t="s">
        <v>140</v>
      </c>
      <c r="AZ250" s="891" t="s">
        <v>140</v>
      </c>
      <c r="BA250" s="887"/>
      <c r="BB250" s="887"/>
      <c r="BC250" s="887"/>
      <c r="BD250" s="448"/>
      <c r="BE250" s="448"/>
      <c r="BF250" s="886"/>
      <c r="BG250" s="887">
        <v>3</v>
      </c>
      <c r="BH250" s="887"/>
      <c r="BI250" s="887"/>
      <c r="BJ250" s="887">
        <v>2</v>
      </c>
      <c r="BK250" s="887"/>
      <c r="BL250" s="887"/>
      <c r="BM250" s="887"/>
      <c r="BN250" s="887"/>
      <c r="BO250" s="887"/>
      <c r="BP250" s="886"/>
      <c r="BQ250" s="893"/>
      <c r="BR250" s="892"/>
      <c r="BS250" s="886"/>
      <c r="BT250" s="423"/>
      <c r="BU250" s="423"/>
      <c r="BV250" s="425"/>
      <c r="BW250" s="423"/>
      <c r="BX250" s="448"/>
      <c r="BY250" s="448"/>
      <c r="BZ250" s="448"/>
      <c r="CA250" s="448"/>
      <c r="CB250" s="448"/>
      <c r="CC250" s="777"/>
      <c r="CD250" s="448"/>
      <c r="CE250" s="894" t="str">
        <f>IFERROR(WWWW[[#This Row],['#_Water sources passed]]/WWWW[[#This Row],['#_Water sources tested for fecal coliform ]],"no test")</f>
        <v>no test</v>
      </c>
      <c r="CF250" s="892" t="str">
        <f>IFERROR(WWWW[[#This Row],['#_Household passed]]/WWWW[[#This Row],['#_Household water samples tested for fecal coliform]],"no test")</f>
        <v>no test</v>
      </c>
      <c r="CG250" s="893" t="str">
        <f>IF(AND(WWWW[[#This Row],[% of water sources passed]]="no test",WWWW[[#This Row],[% Household passed]]="no test"),"No Test","Tested")</f>
        <v>No Test</v>
      </c>
      <c r="CH250" s="893">
        <f>WWWW[[#This Row],['#_Constructed/existing protected hand dug well]]-WWWW[[#This Row],['#_Non-functional protected hand dug well]]</f>
        <v>0</v>
      </c>
      <c r="CI250" s="893">
        <f>(WWWW[[#This Row],['#_Constructed/Existing tube wells/boreholes/handpumps_WASH_agency]]+WWWW[[#This Row],['#_Non-Cluster partner water tube-wells/boreholes/handpumps]])-WWWW[[#This Row],['#_Non-functional tube wells/boreholes/handpumps]]</f>
        <v>0</v>
      </c>
      <c r="CJ250" s="893">
        <f>WWWW[[#This Row],['#_Constructed/Existingwater storage tank with gravity fed reticulation system]]-WWWW[[#This Row],['#_Non-functional storage tank gravity fed reticulation system]]</f>
        <v>0</v>
      </c>
      <c r="CK250" s="893">
        <f>(WWWW[[#This Row],['#_Water_Liters_supplied_by_Water boating or water trucking]]/90)/15</f>
        <v>0</v>
      </c>
      <c r="CL250" s="893">
        <f>WWWW[[#This Row],['#_Water_Liters_from_Constructed/Existing water distribution system from river or natural spring]]/90/15</f>
        <v>0</v>
      </c>
      <c r="CM250" s="424">
        <f>IF(WWWW[[#This Row],['#_of water points in TLS/CFS]]*500&gt;WWWW[[#This Row],[Total PoP ]],WWWW[[#This Row],[Total PoP ]],WWWW[[#This Row],['#_of water points in TLS/CFS]]*500)</f>
        <v>0</v>
      </c>
      <c r="CN250" s="424">
        <f>IF(WWWW[[#This Row],['#_of water points in THF]]*500&gt;WWWW[[#This Row],[Total PoP ]],WWWW[[#This Row],[Total PoP ]],WWWW[[#This Row],['#_of water points in THF]]*500)</f>
        <v>0</v>
      </c>
      <c r="CO25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5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50" s="892">
        <f>IF(WWWW[[#This Row],[Location Type 1]]="Village",WWWW[[#This Row],[Access to safe drinking water for Village]],WWWW[[#This Row],[Access to safe drinking water for Camp]])</f>
        <v>0</v>
      </c>
      <c r="CR250" s="890">
        <f>WWWW[[#This Row],[%Equitable and continuous access to sufficient quantity of safe drinking water]]*WWWW[[#This Row],[Total PoP ]]</f>
        <v>0</v>
      </c>
      <c r="CS250" s="892">
        <f>IF((WWWW[[#This Row],['#_Constructed/Existing protected/fenced ponds]]*250)/WWWW[[#This Row],[Total PoP ]]&gt;1,1,(WWWW[[#This Row],['#_Constructed/Existing protected/fenced ponds]]*250)/WWWW[[#This Row],[Total PoP ]])</f>
        <v>0</v>
      </c>
      <c r="CT250" s="890">
        <f>WWWW[[#This Row],[% Access to unimproved water points]]*WWWW[[#This Row],[Total PoP ]]</f>
        <v>0</v>
      </c>
      <c r="CU25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5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50" s="890">
        <f>WWWW[[#This Row],[HRP1]]/500</f>
        <v>0</v>
      </c>
      <c r="CX250" s="895">
        <f>1-WWWW[[#This Row],[% Equitable and continuous access to sufficient quantity of domestic water]]</f>
        <v>1</v>
      </c>
      <c r="CY250" s="890">
        <f>WWWW[[#This Row],[%equitable and continuous access to sufficient quantity of safe drinking and domestic water''s GAP]]*WWWW[[#This Row],[Total PoP ]]</f>
        <v>247</v>
      </c>
      <c r="CZ250" s="893">
        <f>IF(WWWW[[#This Row],[Total required water points]]-WWWW[[#This Row],['#Water points coverage]]&lt;0,0,WWWW[[#This Row],[Total required water points]]-WWWW[[#This Row],['#Water points coverage]])</f>
        <v>1</v>
      </c>
      <c r="DA250" s="893">
        <f>ROUND(IF(WWWW[[#This Row],[Total PoP ]]&lt;500,1,WWWW[[#This Row],[Total PoP ]]/500),0)</f>
        <v>1</v>
      </c>
      <c r="DB250" s="893">
        <f>(WWWW[[#This Row],['#_Constructed latrines_by_WASHAgencies]]+WWWW[[#This Row],['#_Non Cluster partner latrines]])-WWWW[[#This Row],['#_Non-functional latrines]]</f>
        <v>0</v>
      </c>
      <c r="DC250" s="631">
        <f>WWWW[[#This Row],[HRP2]]/WWWW[[#This Row],[Total PoP ]]</f>
        <v>0</v>
      </c>
      <c r="DD25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5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0" s="424">
        <f>IF(WWWW[[#This Row],['# of functional latrines in THF supported by WASH partners during the reporting period2]]="",0,WWWW[[#This Row],['# of functional latrines in THF supported by WASH partners during the reporting period2]]*50)</f>
        <v>0</v>
      </c>
      <c r="DH250" s="893">
        <f>ROUND(IF(WWWW[[#This Row],[Location Type 1]]="camp",WWWW[[#This Row],[Total PoP ]]/20,IF(WWWW[[#This Row],[Location Type 1]]="Temporary Location",WWWW[[#This Row],[Total PoP ]]/50,(WWWW[[#This Row],[Total PoP ]]/6))),0)</f>
        <v>12</v>
      </c>
      <c r="DI250" s="893">
        <f>IF(WWWW[[#This Row],[Total required Latrines]]-(WWWW[[#This Row],['#_Constructed latrines_by_WASHAgencies]]+WWWW[[#This Row],['#_Non Cluster partner latrines]])&lt;0,0,WWWW[[#This Row],[Total required Latrines]]-(WWWW[[#This Row],['#_Constructed latrines_by_WASHAgencies]]+WWWW[[#This Row],['#_Non Cluster partner latrines]]))</f>
        <v>12</v>
      </c>
      <c r="DJ250" s="895">
        <f>1-WWWW[[#This Row],[% people access to functioning Latrine]]</f>
        <v>1</v>
      </c>
      <c r="DK250" s="894">
        <f>IF(OR(WWWW[[#This Row],['#_Non-functional latrines]]="",WWWW[[#This Row],['#_Non-functional latrines]]=0),0,WWWW[[#This Row],['#_Non-functional latrines]]/(WWWW[[#This Row],['#_Constructed latrines_by_WASHAgencies]]+WWWW[[#This Row],['#_Non Cluster partner latrines]]))</f>
        <v>0</v>
      </c>
      <c r="DL250" s="890">
        <f>IF(500*(WWWW[[#This Row],['#_male hygiene promoters]]+WWWW[[#This Row],['#_female hygiene promoters]])&gt;WWWW[[#This Row],[Total PoP ]],WWWW[[#This Row],[Total PoP ]],500*(WWWW[[#This Row],['#_male hygiene promoters]]+WWWW[[#This Row],['#_female hygiene promoters]]))</f>
        <v>0</v>
      </c>
      <c r="DM25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5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50" s="893">
        <f>IF(WWWW[[#This Row],['# People with access to soap]]&gt;WWWW[[#This Row],['# People with access to Sanity Pads]],WWWW[[#This Row],['# People with access to soap]],WWWW[[#This Row],['# People with access to Sanity Pads]])</f>
        <v>0</v>
      </c>
      <c r="DP250"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50" s="895">
        <f>IF(WWWW[[#This Row],[HRP3]]/WWWW[[#This Row],[Total PoP ]]&gt;1,1,WWWW[[#This Row],[HRP3]]/WWWW[[#This Row],[Total PoP ]])</f>
        <v>0</v>
      </c>
      <c r="DR250" s="894">
        <f>1-WWWW[[#This Row],[Hygiene Coverage%]]</f>
        <v>1</v>
      </c>
      <c r="DS250" s="892">
        <f>WWWW[[#This Row],['# people reached by regular dedicated hygiene promotion_5]]/WWWW[[#This Row],[Total PoP ]]</f>
        <v>0</v>
      </c>
      <c r="DT25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5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50" s="893">
        <f>WWWW[[#This Row],['#_Constructed/Existing hand washing stations]]-WWWW[[#This Row],['#_Non-Functional_hand_washing_stations]]</f>
        <v>3</v>
      </c>
      <c r="DW250" s="890">
        <f>IF(WWWW[[#This Row],['# Functional hand washing stations during reporting period]]*20&gt;WWWW[[#This Row],[Total HH]],WWWW[[#This Row],[Total HH]],WWWW[[#This Row],['# Functional hand washing stations during reporting period]]*20)</f>
        <v>45</v>
      </c>
      <c r="DX250" s="890">
        <f>IF(WWWW[[#This Row],[Is sufficient soap available for TLS? (Yes/No)]]="yes",WWWW[[#This Row],['#_Constructed/Existing hand washing stations at TLS/CFS/THF]],0)</f>
        <v>0</v>
      </c>
      <c r="DY250" s="428">
        <f>IF(WWWW[[#This Row],['# Functional hand washing stations during reporting period]]*100&gt;WWWW[[#This Row],[Total PoP ]],WWWW[[#This Row],[Total PoP ]],WWWW[[#This Row],['# Functional hand washing stations during reporting period]]*100)</f>
        <v>247</v>
      </c>
      <c r="DZ250" s="428" t="str">
        <f>IF(OR(WWWW[[#This Row],['#_students at TLS_CFS]]="",WWWW[[#This Row],['#_students at TLS_CFS]]=0),"No","Yes")</f>
        <v>No</v>
      </c>
      <c r="EA25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0" s="886">
        <f>VLOOKUP(WWWW[[#This Row],[Site Name]],SiteDB6[[Site Name]:[CCCM Management]],6,FALSE)</f>
        <v>0</v>
      </c>
      <c r="EF250" s="886" t="str">
        <f>VLOOKUP(WWWW[[#This Row],[Site Name]],SiteDB6[[Site Name]:[CCCM Focal Agency]],7,FALSE)</f>
        <v xml:space="preserve">Uncovered  </v>
      </c>
      <c r="EG250" s="886" t="str">
        <f>VLOOKUP(WWWW[[#This Row],[Site Name]],SiteDB6[[Site Name]:[Location Type 1]],9,FALSE)</f>
        <v>Camp</v>
      </c>
      <c r="EH250" s="886" t="str">
        <f>VLOOKUP(WWWW[[#This Row],[Site Name]],SiteDB6[[Site Name]:[Type of Accommodation]],10,FALSE)</f>
        <v>Camp like setting</v>
      </c>
      <c r="EI250" s="886" t="str">
        <f>VLOOKUP(WWWW[[#This Row],[Site Name]],SiteDB6[[Site Name]:[Ethnic or GCA/NGCA]],11,FALSE)</f>
        <v>GCA</v>
      </c>
      <c r="EJ250" s="886">
        <f>VLOOKUP(WWWW[[#This Row],[Site Name]],SiteDB6[[Site Name]:[Lat]],12,FALSE)</f>
        <v>0</v>
      </c>
      <c r="EK250" s="886">
        <f>VLOOKUP(WWWW[[#This Row],[Site Name]],SiteDB6[[Site Name]:[Long]],13,FALSE)</f>
        <v>0</v>
      </c>
      <c r="EL250" s="886" t="str">
        <f>VLOOKUP(WWWW[[#This Row],[Site Name]],SiteDB6[[Site Name]:[Pcode]],3,FALSE)</f>
        <v>MMR001CMP292</v>
      </c>
      <c r="EM250" s="891" t="str">
        <f t="shared" si="3"/>
        <v>Notcovered</v>
      </c>
      <c r="EN250" s="891"/>
      <c r="EO250" s="886">
        <f>VLOOKUP(WWWW[[#This Row],[Site Name]],SiteDB6[[Site Name]:[Pop
(Kachin/Shan-CCCM as of July 2021)]],16,FALSE)</f>
        <v>87</v>
      </c>
      <c r="EP250" s="886">
        <f>VLOOKUP(WWWW[[#This Row],[Site Name]],SiteDB6[[Site Name]:[Pop
(Kachin/Shan-CCCM as of July 2021)]],17,FALSE)</f>
        <v>478</v>
      </c>
    </row>
    <row r="251" spans="1:146" hidden="1">
      <c r="A251" s="884" t="s">
        <v>2764</v>
      </c>
      <c r="B251" s="884" t="s">
        <v>242</v>
      </c>
      <c r="C251" s="885" t="s">
        <v>242</v>
      </c>
      <c r="D251" s="885" t="s">
        <v>299</v>
      </c>
      <c r="E251" s="885" t="s">
        <v>37</v>
      </c>
      <c r="F251" s="885" t="s">
        <v>148</v>
      </c>
      <c r="G251" s="591" t="str">
        <f>VLOOKUP(WWWW[[#This Row],[Site Name]],SiteDB6[[Site Name]:[Location Type]],8,FALSE)</f>
        <v>Camp</v>
      </c>
      <c r="H251" s="885" t="s">
        <v>255</v>
      </c>
      <c r="I251" s="887">
        <v>19</v>
      </c>
      <c r="J251" s="887">
        <v>103</v>
      </c>
      <c r="K251" s="888">
        <v>44562</v>
      </c>
      <c r="L251" s="889">
        <v>44926</v>
      </c>
      <c r="M251" s="887">
        <v>49</v>
      </c>
      <c r="N251" s="887">
        <v>1</v>
      </c>
      <c r="O251" s="887"/>
      <c r="P251" s="887"/>
      <c r="Q251" s="890" t="s">
        <v>41</v>
      </c>
      <c r="R251" s="887">
        <v>4</v>
      </c>
      <c r="S251" s="887">
        <v>3</v>
      </c>
      <c r="T251" s="448"/>
      <c r="U251" s="887"/>
      <c r="V251" s="887"/>
      <c r="W251" s="887"/>
      <c r="X251" s="887"/>
      <c r="Y251" s="887"/>
      <c r="Z251" s="887"/>
      <c r="AA251" s="887"/>
      <c r="AB251" s="887"/>
      <c r="AC251" s="887"/>
      <c r="AD251" s="887"/>
      <c r="AE251" s="887"/>
      <c r="AF251" s="887"/>
      <c r="AG251" s="887"/>
      <c r="AH251" s="887"/>
      <c r="AI251" s="887"/>
      <c r="AJ251" s="887"/>
      <c r="AK251" s="887"/>
      <c r="AL251" s="887"/>
      <c r="AM251" s="887"/>
      <c r="AN251" s="887"/>
      <c r="AO251" s="448"/>
      <c r="AP251" s="891" t="s">
        <v>3056</v>
      </c>
      <c r="AQ251" s="887">
        <v>8</v>
      </c>
      <c r="AR251" s="887"/>
      <c r="AS251" s="892"/>
      <c r="AT251" s="887"/>
      <c r="AU251" s="887"/>
      <c r="AV251" s="887">
        <v>1</v>
      </c>
      <c r="AW251" s="887"/>
      <c r="AX251" s="887"/>
      <c r="AY251" s="886" t="s">
        <v>41</v>
      </c>
      <c r="AZ251" s="891" t="s">
        <v>137</v>
      </c>
      <c r="BA251" s="887"/>
      <c r="BB251" s="887"/>
      <c r="BC251" s="887"/>
      <c r="BD251" s="448"/>
      <c r="BE251" s="448"/>
      <c r="BF251" s="886"/>
      <c r="BG251" s="887">
        <v>2</v>
      </c>
      <c r="BH251" s="887"/>
      <c r="BI251" s="887"/>
      <c r="BJ251" s="887">
        <v>4</v>
      </c>
      <c r="BK251" s="887"/>
      <c r="BL251" s="887"/>
      <c r="BM251" s="887"/>
      <c r="BN251" s="887">
        <v>19</v>
      </c>
      <c r="BO251" s="887"/>
      <c r="BP251" s="886"/>
      <c r="BQ251" s="893">
        <v>5</v>
      </c>
      <c r="BR251" s="892">
        <v>0.99</v>
      </c>
      <c r="BS251" s="886" t="s">
        <v>3062</v>
      </c>
      <c r="BT251" s="423">
        <v>1</v>
      </c>
      <c r="BU251" s="423">
        <v>0.99</v>
      </c>
      <c r="BV251" s="425"/>
      <c r="BW251" s="423">
        <v>0.8</v>
      </c>
      <c r="BX251" s="448"/>
      <c r="BY251" s="448"/>
      <c r="BZ251" s="448"/>
      <c r="CA251" s="448"/>
      <c r="CB251" s="448"/>
      <c r="CC251" s="777"/>
      <c r="CD251" s="448"/>
      <c r="CE251" s="894" t="str">
        <f>IFERROR(WWWW[[#This Row],['#_Water sources passed]]/WWWW[[#This Row],['#_Water sources tested for fecal coliform ]],"no test")</f>
        <v>no test</v>
      </c>
      <c r="CF251" s="892" t="str">
        <f>IFERROR(WWWW[[#This Row],['#_Household passed]]/WWWW[[#This Row],['#_Household water samples tested for fecal coliform]],"no test")</f>
        <v>no test</v>
      </c>
      <c r="CG251" s="893" t="str">
        <f>IF(AND(WWWW[[#This Row],[% of water sources passed]]="no test",WWWW[[#This Row],[% Household passed]]="no test"),"No Test","Tested")</f>
        <v>No Test</v>
      </c>
      <c r="CH251" s="893">
        <f>WWWW[[#This Row],['#_Constructed/existing protected hand dug well]]-WWWW[[#This Row],['#_Non-functional protected hand dug well]]</f>
        <v>0</v>
      </c>
      <c r="CI251" s="893">
        <f>(WWWW[[#This Row],['#_Constructed/Existing tube wells/boreholes/handpumps_WASH_agency]]+WWWW[[#This Row],['#_Non-Cluster partner water tube-wells/boreholes/handpumps]])-WWWW[[#This Row],['#_Non-functional tube wells/boreholes/handpumps]]</f>
        <v>0</v>
      </c>
      <c r="CJ251" s="893">
        <f>WWWW[[#This Row],['#_Constructed/Existingwater storage tank with gravity fed reticulation system]]-WWWW[[#This Row],['#_Non-functional storage tank gravity fed reticulation system]]</f>
        <v>0</v>
      </c>
      <c r="CK251" s="893">
        <f>(WWWW[[#This Row],['#_Water_Liters_supplied_by_Water boating or water trucking]]/90)/15</f>
        <v>0</v>
      </c>
      <c r="CL251" s="893">
        <f>WWWW[[#This Row],['#_Water_Liters_from_Constructed/Existing water distribution system from river or natural spring]]/90/15</f>
        <v>0</v>
      </c>
      <c r="CM251" s="424">
        <f>IF(WWWW[[#This Row],['#_of water points in TLS/CFS]]*500&gt;WWWW[[#This Row],[Total PoP ]],WWWW[[#This Row],[Total PoP ]],WWWW[[#This Row],['#_of water points in TLS/CFS]]*500)</f>
        <v>0</v>
      </c>
      <c r="CN251" s="424">
        <f>IF(WWWW[[#This Row],['#_of water points in THF]]*500&gt;WWWW[[#This Row],[Total PoP ]],WWWW[[#This Row],[Total PoP ]],WWWW[[#This Row],['#_of water points in THF]]*500)</f>
        <v>0</v>
      </c>
      <c r="CO25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5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51" s="892">
        <f>IF(WWWW[[#This Row],[Location Type 1]]="Village",WWWW[[#This Row],[Access to safe drinking water for Village]],WWWW[[#This Row],[Access to safe drinking water for Camp]])</f>
        <v>0</v>
      </c>
      <c r="CR251" s="890">
        <f>WWWW[[#This Row],[%Equitable and continuous access to sufficient quantity of safe drinking water]]*WWWW[[#This Row],[Total PoP ]]</f>
        <v>0</v>
      </c>
      <c r="CS251" s="892">
        <f>IF((WWWW[[#This Row],['#_Constructed/Existing protected/fenced ponds]]*250)/WWWW[[#This Row],[Total PoP ]]&gt;1,1,(WWWW[[#This Row],['#_Constructed/Existing protected/fenced ponds]]*250)/WWWW[[#This Row],[Total PoP ]])</f>
        <v>0</v>
      </c>
      <c r="CT251" s="890">
        <f>WWWW[[#This Row],[% Access to unimproved water points]]*WWWW[[#This Row],[Total PoP ]]</f>
        <v>0</v>
      </c>
      <c r="CU25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5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51" s="890">
        <f>WWWW[[#This Row],[HRP1]]/500</f>
        <v>0</v>
      </c>
      <c r="CX251" s="895">
        <f>1-WWWW[[#This Row],[% Equitable and continuous access to sufficient quantity of domestic water]]</f>
        <v>1</v>
      </c>
      <c r="CY251" s="890">
        <f>WWWW[[#This Row],[%equitable and continuous access to sufficient quantity of safe drinking and domestic water''s GAP]]*WWWW[[#This Row],[Total PoP ]]</f>
        <v>103</v>
      </c>
      <c r="CZ251" s="893">
        <f>IF(WWWW[[#This Row],[Total required water points]]-WWWW[[#This Row],['#Water points coverage]]&lt;0,0,WWWW[[#This Row],[Total required water points]]-WWWW[[#This Row],['#Water points coverage]])</f>
        <v>1</v>
      </c>
      <c r="DA251" s="893">
        <f>ROUND(IF(WWWW[[#This Row],[Total PoP ]]&lt;500,1,WWWW[[#This Row],[Total PoP ]]/500),0)</f>
        <v>1</v>
      </c>
      <c r="DB251" s="893">
        <f>(WWWW[[#This Row],['#_Constructed latrines_by_WASHAgencies]]+WWWW[[#This Row],['#_Non Cluster partner latrines]])-WWWW[[#This Row],['#_Non-functional latrines]]</f>
        <v>8</v>
      </c>
      <c r="DC251" s="631">
        <f>WWWW[[#This Row],[HRP2]]/WWWW[[#This Row],[Total PoP ]]</f>
        <v>1</v>
      </c>
      <c r="DD25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25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v>
      </c>
      <c r="DF25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1" s="424">
        <f>IF(WWWW[[#This Row],['# of functional latrines in THF supported by WASH partners during the reporting period2]]="",0,WWWW[[#This Row],['# of functional latrines in THF supported by WASH partners during the reporting period2]]*50)</f>
        <v>0</v>
      </c>
      <c r="DH251" s="893">
        <f>ROUND(IF(WWWW[[#This Row],[Location Type 1]]="camp",WWWW[[#This Row],[Total PoP ]]/20,IF(WWWW[[#This Row],[Location Type 1]]="Temporary Location",WWWW[[#This Row],[Total PoP ]]/50,(WWWW[[#This Row],[Total PoP ]]/6))),0)</f>
        <v>5</v>
      </c>
      <c r="DI251" s="893">
        <f>IF(WWWW[[#This Row],[Total required Latrines]]-(WWWW[[#This Row],['#_Constructed latrines_by_WASHAgencies]]+WWWW[[#This Row],['#_Non Cluster partner latrines]])&lt;0,0,WWWW[[#This Row],[Total required Latrines]]-(WWWW[[#This Row],['#_Constructed latrines_by_WASHAgencies]]+WWWW[[#This Row],['#_Non Cluster partner latrines]]))</f>
        <v>0</v>
      </c>
      <c r="DJ251" s="895">
        <f>1-WWWW[[#This Row],[% people access to functioning Latrine]]</f>
        <v>0</v>
      </c>
      <c r="DK251" s="894">
        <f>IF(OR(WWWW[[#This Row],['#_Non-functional latrines]]="",WWWW[[#This Row],['#_Non-functional latrines]]=0),0,WWWW[[#This Row],['#_Non-functional latrines]]/(WWWW[[#This Row],['#_Constructed latrines_by_WASHAgencies]]+WWWW[[#This Row],['#_Non Cluster partner latrines]]))</f>
        <v>0</v>
      </c>
      <c r="DL251" s="890">
        <f>IF(500*(WWWW[[#This Row],['#_male hygiene promoters]]+WWWW[[#This Row],['#_female hygiene promoters]])&gt;WWWW[[#This Row],[Total PoP ]],WWWW[[#This Row],[Total PoP ]],500*(WWWW[[#This Row],['#_male hygiene promoters]]+WWWW[[#This Row],['#_female hygiene promoters]]))</f>
        <v>0</v>
      </c>
      <c r="DM25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103</v>
      </c>
      <c r="DN25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51" s="893">
        <f>IF(WWWW[[#This Row],['# People with access to soap]]&gt;WWWW[[#This Row],['# People with access to Sanity Pads]],WWWW[[#This Row],['# People with access to soap]],WWWW[[#This Row],['# People with access to Sanity Pads]])</f>
        <v>103</v>
      </c>
      <c r="DP251" s="893">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Q251" s="895">
        <f>IF(WWWW[[#This Row],[HRP3]]/WWWW[[#This Row],[Total PoP ]]&gt;1,1,WWWW[[#This Row],[HRP3]]/WWWW[[#This Row],[Total PoP ]])</f>
        <v>1</v>
      </c>
      <c r="DR251" s="894">
        <f>1-WWWW[[#This Row],[Hygiene Coverage%]]</f>
        <v>0</v>
      </c>
      <c r="DS251" s="892">
        <f>WWWW[[#This Row],['# people reached by regular dedicated hygiene promotion_5]]/WWWW[[#This Row],[Total PoP ]]</f>
        <v>0</v>
      </c>
      <c r="DT25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51" s="893">
        <f>WWWW[[#This Row],['#_Constructed/Existing hand washing stations]]-WWWW[[#This Row],['#_Non-Functional_hand_washing_stations]]</f>
        <v>2</v>
      </c>
      <c r="DW251" s="890">
        <f>IF(WWWW[[#This Row],['# Functional hand washing stations during reporting period]]*20&gt;WWWW[[#This Row],[Total HH]],WWWW[[#This Row],[Total HH]],WWWW[[#This Row],['# Functional hand washing stations during reporting period]]*20)</f>
        <v>19</v>
      </c>
      <c r="DX251" s="890">
        <f>IF(WWWW[[#This Row],[Is sufficient soap available for TLS? (Yes/No)]]="yes",WWWW[[#This Row],['#_Constructed/Existing hand washing stations at TLS/CFS/THF]],0)</f>
        <v>0</v>
      </c>
      <c r="DY251" s="428">
        <f>IF(WWWW[[#This Row],['# Functional hand washing stations during reporting period]]*100&gt;WWWW[[#This Row],[Total PoP ]],WWWW[[#This Row],[Total PoP ]],WWWW[[#This Row],['# Functional hand washing stations during reporting period]]*100)</f>
        <v>103</v>
      </c>
      <c r="DZ251" s="428" t="str">
        <f>IF(OR(WWWW[[#This Row],['#_students at TLS_CFS]]="",WWWW[[#This Row],['#_students at TLS_CFS]]=0),"No","Yes")</f>
        <v>Yes</v>
      </c>
      <c r="EA25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1" s="886" t="str">
        <f>VLOOKUP(WWWW[[#This Row],[Site Name]],SiteDB6[[Site Name]:[CCCM Management]],6,FALSE)</f>
        <v>Yes</v>
      </c>
      <c r="EF251" s="886" t="str">
        <f>VLOOKUP(WWWW[[#This Row],[Site Name]],SiteDB6[[Site Name]:[CCCM Focal Agency]],7,FALSE)</f>
        <v>Shalom</v>
      </c>
      <c r="EG251" s="886" t="str">
        <f>VLOOKUP(WWWW[[#This Row],[Site Name]],SiteDB6[[Site Name]:[Location Type 1]],9,FALSE)</f>
        <v>Camp</v>
      </c>
      <c r="EH251" s="886" t="str">
        <f>VLOOKUP(WWWW[[#This Row],[Site Name]],SiteDB6[[Site Name]:[Type of Accommodation]],10,FALSE)</f>
        <v>Camp</v>
      </c>
      <c r="EI251" s="886" t="str">
        <f>VLOOKUP(WWWW[[#This Row],[Site Name]],SiteDB6[[Site Name]:[Ethnic or GCA/NGCA]],11,FALSE)</f>
        <v>GCA</v>
      </c>
      <c r="EJ251" s="886">
        <f>VLOOKUP(WWWW[[#This Row],[Site Name]],SiteDB6[[Site Name]:[Lat]],12,FALSE)</f>
        <v>25.566510000000001</v>
      </c>
      <c r="EK251" s="886">
        <f>VLOOKUP(WWWW[[#This Row],[Site Name]],SiteDB6[[Site Name]:[Long]],13,FALSE)</f>
        <v>96.269199999999998</v>
      </c>
      <c r="EL251" s="886" t="str">
        <f>VLOOKUP(WWWW[[#This Row],[Site Name]],SiteDB6[[Site Name]:[Pcode]],3,FALSE)</f>
        <v>MMR001CMP181</v>
      </c>
      <c r="EM251" s="891" t="str">
        <f t="shared" si="3"/>
        <v>Covered</v>
      </c>
      <c r="EN251" s="891"/>
      <c r="EO251" s="886">
        <f>VLOOKUP(WWWW[[#This Row],[Site Name]],SiteDB6[[Site Name]:[Pop
(Kachin/Shan-CCCM as of July 2021)]],16,FALSE)</f>
        <v>19</v>
      </c>
      <c r="EP251" s="886">
        <f>VLOOKUP(WWWW[[#This Row],[Site Name]],SiteDB6[[Site Name]:[Pop
(Kachin/Shan-CCCM as of July 2021)]],17,FALSE)</f>
        <v>100</v>
      </c>
    </row>
    <row r="252" spans="1:146" hidden="1">
      <c r="A252" s="884" t="s">
        <v>2764</v>
      </c>
      <c r="B252" s="884" t="s">
        <v>242</v>
      </c>
      <c r="C252" s="885" t="s">
        <v>242</v>
      </c>
      <c r="D252" s="885" t="s">
        <v>299</v>
      </c>
      <c r="E252" s="885" t="s">
        <v>37</v>
      </c>
      <c r="F252" s="885" t="s">
        <v>148</v>
      </c>
      <c r="G252" s="591" t="str">
        <f>VLOOKUP(WWWW[[#This Row],[Site Name]],SiteDB6[[Site Name]:[Location Type]],8,FALSE)</f>
        <v>Camp</v>
      </c>
      <c r="H252" s="885" t="s">
        <v>256</v>
      </c>
      <c r="I252" s="887">
        <v>10</v>
      </c>
      <c r="J252" s="887">
        <v>54</v>
      </c>
      <c r="K252" s="888">
        <v>44562</v>
      </c>
      <c r="L252" s="889">
        <v>44926</v>
      </c>
      <c r="M252" s="887"/>
      <c r="N252" s="887">
        <v>1</v>
      </c>
      <c r="O252" s="887"/>
      <c r="P252" s="887"/>
      <c r="Q252" s="890" t="s">
        <v>41</v>
      </c>
      <c r="R252" s="887">
        <v>3</v>
      </c>
      <c r="S252" s="887">
        <v>4</v>
      </c>
      <c r="T252" s="448">
        <v>1</v>
      </c>
      <c r="U252" s="887"/>
      <c r="V252" s="887"/>
      <c r="W252" s="887">
        <v>1</v>
      </c>
      <c r="X252" s="887"/>
      <c r="Y252" s="887"/>
      <c r="Z252" s="887"/>
      <c r="AA252" s="887"/>
      <c r="AB252" s="887"/>
      <c r="AC252" s="887"/>
      <c r="AD252" s="887"/>
      <c r="AE252" s="887">
        <v>1</v>
      </c>
      <c r="AF252" s="887">
        <v>1000</v>
      </c>
      <c r="AG252" s="887">
        <v>1</v>
      </c>
      <c r="AH252" s="887"/>
      <c r="AI252" s="887"/>
      <c r="AJ252" s="887"/>
      <c r="AK252" s="887"/>
      <c r="AL252" s="887"/>
      <c r="AM252" s="887"/>
      <c r="AN252" s="887"/>
      <c r="AO252" s="448"/>
      <c r="AP252" s="891" t="s">
        <v>3057</v>
      </c>
      <c r="AQ252" s="887">
        <v>2</v>
      </c>
      <c r="AR252" s="887">
        <v>2</v>
      </c>
      <c r="AS252" s="892"/>
      <c r="AT252" s="887"/>
      <c r="AU252" s="887"/>
      <c r="AV252" s="887"/>
      <c r="AW252" s="887"/>
      <c r="AX252" s="887"/>
      <c r="AY252" s="886" t="s">
        <v>41</v>
      </c>
      <c r="AZ252" s="891" t="s">
        <v>137</v>
      </c>
      <c r="BA252" s="887"/>
      <c r="BB252" s="887"/>
      <c r="BC252" s="887"/>
      <c r="BD252" s="448"/>
      <c r="BE252" s="448"/>
      <c r="BF252" s="886"/>
      <c r="BG252" s="887">
        <v>3</v>
      </c>
      <c r="BH252" s="887"/>
      <c r="BI252" s="887"/>
      <c r="BJ252" s="887">
        <v>2</v>
      </c>
      <c r="BK252" s="887">
        <v>2</v>
      </c>
      <c r="BL252" s="887"/>
      <c r="BM252" s="887">
        <v>1</v>
      </c>
      <c r="BN252" s="887">
        <v>10</v>
      </c>
      <c r="BO252" s="887">
        <v>14</v>
      </c>
      <c r="BP252" s="886"/>
      <c r="BQ252" s="893"/>
      <c r="BR252" s="892">
        <v>0.2</v>
      </c>
      <c r="BS252" s="886" t="s">
        <v>3064</v>
      </c>
      <c r="BT252" s="423">
        <v>0.99</v>
      </c>
      <c r="BU252" s="423">
        <v>0.99</v>
      </c>
      <c r="BV252" s="425"/>
      <c r="BW252" s="423">
        <v>0.3</v>
      </c>
      <c r="BX252" s="448"/>
      <c r="BY252" s="448"/>
      <c r="BZ252" s="448"/>
      <c r="CA252" s="448"/>
      <c r="CB252" s="448"/>
      <c r="CC252" s="777"/>
      <c r="CD252" s="448"/>
      <c r="CE252" s="894" t="str">
        <f>IFERROR(WWWW[[#This Row],['#_Water sources passed]]/WWWW[[#This Row],['#_Water sources tested for fecal coliform ]],"no test")</f>
        <v>no test</v>
      </c>
      <c r="CF252" s="892" t="str">
        <f>IFERROR(WWWW[[#This Row],['#_Household passed]]/WWWW[[#This Row],['#_Household water samples tested for fecal coliform]],"no test")</f>
        <v>no test</v>
      </c>
      <c r="CG252" s="893" t="str">
        <f>IF(AND(WWWW[[#This Row],[% of water sources passed]]="no test",WWWW[[#This Row],[% Household passed]]="no test"),"No Test","Tested")</f>
        <v>No Test</v>
      </c>
      <c r="CH252" s="893">
        <f>WWWW[[#This Row],['#_Constructed/existing protected hand dug well]]-WWWW[[#This Row],['#_Non-functional protected hand dug well]]</f>
        <v>1</v>
      </c>
      <c r="CI252" s="893">
        <f>(WWWW[[#This Row],['#_Constructed/Existing tube wells/boreholes/handpumps_WASH_agency]]+WWWW[[#This Row],['#_Non-Cluster partner water tube-wells/boreholes/handpumps]])-WWWW[[#This Row],['#_Non-functional tube wells/boreholes/handpumps]]</f>
        <v>1</v>
      </c>
      <c r="CJ252" s="893">
        <f>WWWW[[#This Row],['#_Constructed/Existingwater storage tank with gravity fed reticulation system]]-WWWW[[#This Row],['#_Non-functional storage tank gravity fed reticulation system]]</f>
        <v>0</v>
      </c>
      <c r="CK252" s="893">
        <f>(WWWW[[#This Row],['#_Water_Liters_supplied_by_Water boating or water trucking]]/90)/15</f>
        <v>0</v>
      </c>
      <c r="CL252" s="893">
        <f>WWWW[[#This Row],['#_Water_Liters_from_Constructed/Existing water distribution system from river or natural spring]]/90/15</f>
        <v>0.7407407407407407</v>
      </c>
      <c r="CM252" s="424">
        <f>IF(WWWW[[#This Row],['#_of water points in TLS/CFS]]*500&gt;WWWW[[#This Row],[Total PoP ]],WWWW[[#This Row],[Total PoP ]],WWWW[[#This Row],['#_of water points in TLS/CFS]]*500)</f>
        <v>0</v>
      </c>
      <c r="CN252" s="424">
        <f>IF(WWWW[[#This Row],['#_of water points in THF]]*500&gt;WWWW[[#This Row],[Total PoP ]],WWWW[[#This Row],[Total PoP ]],WWWW[[#This Row],['#_of water points in THF]]*500)</f>
        <v>0</v>
      </c>
      <c r="CO25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2" s="892">
        <f>IF(WWWW[[#This Row],[Location Type 1]]="Village",WWWW[[#This Row],[Access to safe drinking water for Village]],WWWW[[#This Row],[Access to safe drinking water for Camp]])</f>
        <v>1</v>
      </c>
      <c r="CR252" s="890">
        <f>WWWW[[#This Row],[%Equitable and continuous access to sufficient quantity of safe drinking water]]*WWWW[[#This Row],[Total PoP ]]</f>
        <v>54</v>
      </c>
      <c r="CS252" s="892">
        <f>IF((WWWW[[#This Row],['#_Constructed/Existing protected/fenced ponds]]*250)/WWWW[[#This Row],[Total PoP ]]&gt;1,1,(WWWW[[#This Row],['#_Constructed/Existing protected/fenced ponds]]*250)/WWWW[[#This Row],[Total PoP ]])</f>
        <v>1</v>
      </c>
      <c r="CT252" s="890">
        <f>WWWW[[#This Row],[% Access to unimproved water points]]*WWWW[[#This Row],[Total PoP ]]</f>
        <v>54</v>
      </c>
      <c r="CU25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v>
      </c>
      <c r="CW252" s="890">
        <f>WWWW[[#This Row],[HRP1]]/500</f>
        <v>0.108</v>
      </c>
      <c r="CX252" s="895">
        <f>1-WWWW[[#This Row],[% Equitable and continuous access to sufficient quantity of domestic water]]</f>
        <v>0</v>
      </c>
      <c r="CY252" s="890">
        <f>WWWW[[#This Row],[%equitable and continuous access to sufficient quantity of safe drinking and domestic water''s GAP]]*WWWW[[#This Row],[Total PoP ]]</f>
        <v>0</v>
      </c>
      <c r="CZ252" s="893">
        <f>IF(WWWW[[#This Row],[Total required water points]]-WWWW[[#This Row],['#Water points coverage]]&lt;0,0,WWWW[[#This Row],[Total required water points]]-WWWW[[#This Row],['#Water points coverage]])</f>
        <v>0.89200000000000002</v>
      </c>
      <c r="DA252" s="893">
        <f>ROUND(IF(WWWW[[#This Row],[Total PoP ]]&lt;500,1,WWWW[[#This Row],[Total PoP ]]/500),0)</f>
        <v>1</v>
      </c>
      <c r="DB252" s="893">
        <f>(WWWW[[#This Row],['#_Constructed latrines_by_WASHAgencies]]+WWWW[[#This Row],['#_Non Cluster partner latrines]])-WWWW[[#This Row],['#_Non-functional latrines]]</f>
        <v>4</v>
      </c>
      <c r="DC252" s="631">
        <f>WWWW[[#This Row],[HRP2]]/WWWW[[#This Row],[Total PoP ]]</f>
        <v>1</v>
      </c>
      <c r="DD25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v>
      </c>
      <c r="DE25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2" s="424">
        <f>IF(WWWW[[#This Row],['# of functional latrines in THF supported by WASH partners during the reporting period2]]="",0,WWWW[[#This Row],['# of functional latrines in THF supported by WASH partners during the reporting period2]]*50)</f>
        <v>0</v>
      </c>
      <c r="DH252" s="893">
        <f>ROUND(IF(WWWW[[#This Row],[Location Type 1]]="camp",WWWW[[#This Row],[Total PoP ]]/20,IF(WWWW[[#This Row],[Location Type 1]]="Temporary Location",WWWW[[#This Row],[Total PoP ]]/50,(WWWW[[#This Row],[Total PoP ]]/6))),0)</f>
        <v>3</v>
      </c>
      <c r="DI252" s="893">
        <f>IF(WWWW[[#This Row],[Total required Latrines]]-(WWWW[[#This Row],['#_Constructed latrines_by_WASHAgencies]]+WWWW[[#This Row],['#_Non Cluster partner latrines]])&lt;0,0,WWWW[[#This Row],[Total required Latrines]]-(WWWW[[#This Row],['#_Constructed latrines_by_WASHAgencies]]+WWWW[[#This Row],['#_Non Cluster partner latrines]]))</f>
        <v>0</v>
      </c>
      <c r="DJ252" s="895">
        <f>1-WWWW[[#This Row],[% people access to functioning Latrine]]</f>
        <v>0</v>
      </c>
      <c r="DK252" s="894">
        <f>IF(OR(WWWW[[#This Row],['#_Non-functional latrines]]="",WWWW[[#This Row],['#_Non-functional latrines]]=0),0,WWWW[[#This Row],['#_Non-functional latrines]]/(WWWW[[#This Row],['#_Constructed latrines_by_WASHAgencies]]+WWWW[[#This Row],['#_Non Cluster partner latrines]]))</f>
        <v>0</v>
      </c>
      <c r="DL252" s="890">
        <f>IF(500*(WWWW[[#This Row],['#_male hygiene promoters]]+WWWW[[#This Row],['#_female hygiene promoters]])&gt;WWWW[[#This Row],[Total PoP ]],WWWW[[#This Row],[Total PoP ]],500*(WWWW[[#This Row],['#_male hygiene promoters]]+WWWW[[#This Row],['#_female hygiene promoters]]))</f>
        <v>54</v>
      </c>
      <c r="DM25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54</v>
      </c>
      <c r="DN25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v>
      </c>
      <c r="DO252" s="893">
        <f>IF(WWWW[[#This Row],['# People with access to soap]]&gt;WWWW[[#This Row],['# People with access to Sanity Pads]],WWWW[[#This Row],['# People with access to soap]],WWWW[[#This Row],['# People with access to Sanity Pads]])</f>
        <v>54</v>
      </c>
      <c r="DP252" s="893">
        <f>IF(WWWW[[#This Row],['# people reached by regular dedicated hygiene promotion_5]]&gt;WWWW[[#This Row],['# People received regular supply of hygiene items_6]],WWWW[[#This Row],['# people reached by regular dedicated hygiene promotion_5]],WWWW[[#This Row],['# People received regular supply of hygiene items_6]])</f>
        <v>54</v>
      </c>
      <c r="DQ252" s="895">
        <f>IF(WWWW[[#This Row],[HRP3]]/WWWW[[#This Row],[Total PoP ]]&gt;1,1,WWWW[[#This Row],[HRP3]]/WWWW[[#This Row],[Total PoP ]])</f>
        <v>1</v>
      </c>
      <c r="DR252" s="894">
        <f>1-WWWW[[#This Row],[Hygiene Coverage%]]</f>
        <v>0</v>
      </c>
      <c r="DS252" s="892">
        <f>WWWW[[#This Row],['# people reached by regular dedicated hygiene promotion_5]]/WWWW[[#This Row],[Total PoP ]]</f>
        <v>1</v>
      </c>
      <c r="DT25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2" s="893">
        <f>WWWW[[#This Row],['#_Constructed/Existing hand washing stations]]-WWWW[[#This Row],['#_Non-Functional_hand_washing_stations]]</f>
        <v>3</v>
      </c>
      <c r="DW252" s="890">
        <f>IF(WWWW[[#This Row],['# Functional hand washing stations during reporting period]]*20&gt;WWWW[[#This Row],[Total HH]],WWWW[[#This Row],[Total HH]],WWWW[[#This Row],['# Functional hand washing stations during reporting period]]*20)</f>
        <v>10</v>
      </c>
      <c r="DX252" s="890">
        <f>IF(WWWW[[#This Row],[Is sufficient soap available for TLS? (Yes/No)]]="yes",WWWW[[#This Row],['#_Constructed/Existing hand washing stations at TLS/CFS/THF]],0)</f>
        <v>0</v>
      </c>
      <c r="DY252" s="428">
        <f>IF(WWWW[[#This Row],['# Functional hand washing stations during reporting period]]*100&gt;WWWW[[#This Row],[Total PoP ]],WWWW[[#This Row],[Total PoP ]],WWWW[[#This Row],['# Functional hand washing stations during reporting period]]*100)</f>
        <v>54</v>
      </c>
      <c r="DZ252" s="428" t="str">
        <f>IF(OR(WWWW[[#This Row],['#_students at TLS_CFS]]="",WWWW[[#This Row],['#_students at TLS_CFS]]=0),"No","Yes")</f>
        <v>No</v>
      </c>
      <c r="EA25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2" s="886" t="str">
        <f>VLOOKUP(WWWW[[#This Row],[Site Name]],SiteDB6[[Site Name]:[CCCM Management]],6,FALSE)</f>
        <v>Yes</v>
      </c>
      <c r="EF252" s="886" t="str">
        <f>VLOOKUP(WWWW[[#This Row],[Site Name]],SiteDB6[[Site Name]:[CCCM Focal Agency]],7,FALSE)</f>
        <v>Shalom</v>
      </c>
      <c r="EG252" s="886" t="str">
        <f>VLOOKUP(WWWW[[#This Row],[Site Name]],SiteDB6[[Site Name]:[Location Type 1]],9,FALSE)</f>
        <v>Camp</v>
      </c>
      <c r="EH252" s="886" t="str">
        <f>VLOOKUP(WWWW[[#This Row],[Site Name]],SiteDB6[[Site Name]:[Type of Accommodation]],10,FALSE)</f>
        <v>Camp</v>
      </c>
      <c r="EI252" s="886" t="str">
        <f>VLOOKUP(WWWW[[#This Row],[Site Name]],SiteDB6[[Site Name]:[Ethnic or GCA/NGCA]],11,FALSE)</f>
        <v>GCA</v>
      </c>
      <c r="EJ252" s="886">
        <f>VLOOKUP(WWWW[[#This Row],[Site Name]],SiteDB6[[Site Name]:[Lat]],12,FALSE)</f>
        <v>25.61842</v>
      </c>
      <c r="EK252" s="886">
        <f>VLOOKUP(WWWW[[#This Row],[Site Name]],SiteDB6[[Site Name]:[Long]],13,FALSE)</f>
        <v>96.316400000000002</v>
      </c>
      <c r="EL252" s="886" t="str">
        <f>VLOOKUP(WWWW[[#This Row],[Site Name]],SiteDB6[[Site Name]:[Pcode]],3,FALSE)</f>
        <v>MMR001CMP167</v>
      </c>
      <c r="EM252" s="891" t="str">
        <f t="shared" si="3"/>
        <v>Covered</v>
      </c>
      <c r="EN252" s="891"/>
      <c r="EO252" s="886">
        <f>VLOOKUP(WWWW[[#This Row],[Site Name]],SiteDB6[[Site Name]:[Pop
(Kachin/Shan-CCCM as of July 2021)]],16,FALSE)</f>
        <v>10</v>
      </c>
      <c r="EP252" s="886">
        <f>VLOOKUP(WWWW[[#This Row],[Site Name]],SiteDB6[[Site Name]:[Pop
(Kachin/Shan-CCCM as of July 2021)]],17,FALSE)</f>
        <v>54</v>
      </c>
    </row>
    <row r="253" spans="1:146" hidden="1">
      <c r="A253" s="884" t="s">
        <v>2764</v>
      </c>
      <c r="B253" s="884" t="s">
        <v>276</v>
      </c>
      <c r="C253" s="885" t="s">
        <v>276</v>
      </c>
      <c r="D253" s="885" t="s">
        <v>3037</v>
      </c>
      <c r="E253" s="885" t="s">
        <v>37</v>
      </c>
      <c r="F253" s="885" t="s">
        <v>195</v>
      </c>
      <c r="G253" s="591" t="str">
        <f>VLOOKUP(WWWW[[#This Row],[Site Name]],SiteDB6[[Site Name]:[Location Type]],8,FALSE)</f>
        <v>Camp</v>
      </c>
      <c r="H253" s="885" t="s">
        <v>200</v>
      </c>
      <c r="I253" s="887">
        <v>122</v>
      </c>
      <c r="J253" s="887">
        <v>689</v>
      </c>
      <c r="K253" s="888">
        <v>44652</v>
      </c>
      <c r="L253" s="889">
        <v>44895</v>
      </c>
      <c r="M253" s="887"/>
      <c r="N253" s="887"/>
      <c r="O253" s="887"/>
      <c r="P253" s="887"/>
      <c r="Q253" s="890" t="s">
        <v>41</v>
      </c>
      <c r="R253" s="887">
        <v>1</v>
      </c>
      <c r="S253" s="887">
        <v>4</v>
      </c>
      <c r="T253" s="448">
        <v>3</v>
      </c>
      <c r="U253" s="887"/>
      <c r="V253" s="887"/>
      <c r="W253" s="887">
        <v>2</v>
      </c>
      <c r="X253" s="887"/>
      <c r="Y253" s="887"/>
      <c r="Z253" s="887"/>
      <c r="AA253" s="887"/>
      <c r="AB253" s="887"/>
      <c r="AC253" s="887"/>
      <c r="AD253" s="887"/>
      <c r="AE253" s="887"/>
      <c r="AF253" s="887"/>
      <c r="AG253" s="887"/>
      <c r="AH253" s="887"/>
      <c r="AI253" s="887">
        <v>5</v>
      </c>
      <c r="AJ253" s="887">
        <v>5</v>
      </c>
      <c r="AK253" s="887"/>
      <c r="AL253" s="887"/>
      <c r="AM253" s="887"/>
      <c r="AN253" s="887"/>
      <c r="AO253" s="448"/>
      <c r="AP253" s="891"/>
      <c r="AQ253" s="887">
        <v>23</v>
      </c>
      <c r="AR253" s="887"/>
      <c r="AS253" s="892"/>
      <c r="AT253" s="887"/>
      <c r="AU253" s="887"/>
      <c r="AV253" s="887">
        <v>23</v>
      </c>
      <c r="AW253" s="887">
        <v>45</v>
      </c>
      <c r="AX253" s="887"/>
      <c r="AY253" s="886" t="s">
        <v>41</v>
      </c>
      <c r="AZ253" s="891" t="s">
        <v>137</v>
      </c>
      <c r="BA253" s="887"/>
      <c r="BB253" s="887"/>
      <c r="BC253" s="887"/>
      <c r="BD253" s="448"/>
      <c r="BE253" s="448"/>
      <c r="BF253" s="886"/>
      <c r="BG253" s="887">
        <v>6</v>
      </c>
      <c r="BH253" s="887"/>
      <c r="BI253" s="887"/>
      <c r="BJ253" s="887">
        <v>7</v>
      </c>
      <c r="BK253" s="887"/>
      <c r="BL253" s="887"/>
      <c r="BM253" s="887"/>
      <c r="BN253" s="887"/>
      <c r="BO253" s="887"/>
      <c r="BP253" s="886"/>
      <c r="BQ253" s="893"/>
      <c r="BR253" s="892"/>
      <c r="BS253" s="886"/>
      <c r="BT253" s="423"/>
      <c r="BU253" s="423"/>
      <c r="BV253" s="425"/>
      <c r="BW253" s="423">
        <v>0</v>
      </c>
      <c r="BX253" s="448"/>
      <c r="BY253" s="448">
        <v>23</v>
      </c>
      <c r="BZ253" s="448">
        <v>7</v>
      </c>
      <c r="CA253" s="448"/>
      <c r="CB253" s="448"/>
      <c r="CC253" s="777"/>
      <c r="CD253" s="448"/>
      <c r="CE253" s="894">
        <f>IFERROR(WWWW[[#This Row],['#_Water sources passed]]/WWWW[[#This Row],['#_Water sources tested for fecal coliform ]],"no test")</f>
        <v>1</v>
      </c>
      <c r="CF253" s="892" t="str">
        <f>IFERROR(WWWW[[#This Row],['#_Household passed]]/WWWW[[#This Row],['#_Household water samples tested for fecal coliform]],"no test")</f>
        <v>no test</v>
      </c>
      <c r="CG253" s="893" t="str">
        <f>IF(AND(WWWW[[#This Row],[% of water sources passed]]="no test",WWWW[[#This Row],[% Household passed]]="no test"),"No Test","Tested")</f>
        <v>Tested</v>
      </c>
      <c r="CH253" s="893">
        <f>WWWW[[#This Row],['#_Constructed/existing protected hand dug well]]-WWWW[[#This Row],['#_Non-functional protected hand dug well]]</f>
        <v>3</v>
      </c>
      <c r="CI253" s="893">
        <f>(WWWW[[#This Row],['#_Constructed/Existing tube wells/boreholes/handpumps_WASH_agency]]+WWWW[[#This Row],['#_Non-Cluster partner water tube-wells/boreholes/handpumps]])-WWWW[[#This Row],['#_Non-functional tube wells/boreholes/handpumps]]</f>
        <v>2</v>
      </c>
      <c r="CJ253" s="893">
        <f>WWWW[[#This Row],['#_Constructed/Existingwater storage tank with gravity fed reticulation system]]-WWWW[[#This Row],['#_Non-functional storage tank gravity fed reticulation system]]</f>
        <v>0</v>
      </c>
      <c r="CK253" s="893">
        <f>(WWWW[[#This Row],['#_Water_Liters_supplied_by_Water boating or water trucking]]/90)/15</f>
        <v>0</v>
      </c>
      <c r="CL253" s="893">
        <f>WWWW[[#This Row],['#_Water_Liters_from_Constructed/Existing water distribution system from river or natural spring]]/90/15</f>
        <v>0</v>
      </c>
      <c r="CM253" s="424">
        <f>IF(WWWW[[#This Row],['#_of water points in TLS/CFS]]*500&gt;WWWW[[#This Row],[Total PoP ]],WWWW[[#This Row],[Total PoP ]],WWWW[[#This Row],['#_of water points in TLS/CFS]]*500)</f>
        <v>0</v>
      </c>
      <c r="CN253" s="424">
        <f>IF(WWWW[[#This Row],['#_of water points in THF]]*500&gt;WWWW[[#This Row],[Total PoP ]],WWWW[[#This Row],[Total PoP ]],WWWW[[#This Row],['#_of water points in THF]]*500)</f>
        <v>0</v>
      </c>
      <c r="CO25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3" s="892">
        <f>IF(WWWW[[#This Row],[Location Type 1]]="Village",WWWW[[#This Row],[Access to safe drinking water for Village]],WWWW[[#This Row],[Access to safe drinking water for Camp]])</f>
        <v>1</v>
      </c>
      <c r="CR253" s="890">
        <f>WWWW[[#This Row],[%Equitable and continuous access to sufficient quantity of safe drinking water]]*WWWW[[#This Row],[Total PoP ]]</f>
        <v>689</v>
      </c>
      <c r="CS253" s="892">
        <f>IF((WWWW[[#This Row],['#_Constructed/Existing protected/fenced ponds]]*250)/WWWW[[#This Row],[Total PoP ]]&gt;1,1,(WWWW[[#This Row],['#_Constructed/Existing protected/fenced ponds]]*250)/WWWW[[#This Row],[Total PoP ]])</f>
        <v>0</v>
      </c>
      <c r="CT253" s="890">
        <f>WWWW[[#This Row],[% Access to unimproved water points]]*WWWW[[#This Row],[Total PoP ]]</f>
        <v>0</v>
      </c>
      <c r="CU25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689</v>
      </c>
      <c r="CW253" s="890">
        <f>WWWW[[#This Row],[HRP1]]/500</f>
        <v>1.3779999999999999</v>
      </c>
      <c r="CX253" s="895">
        <f>1-WWWW[[#This Row],[% Equitable and continuous access to sufficient quantity of domestic water]]</f>
        <v>0</v>
      </c>
      <c r="CY253" s="890">
        <f>WWWW[[#This Row],[%equitable and continuous access to sufficient quantity of safe drinking and domestic water''s GAP]]*WWWW[[#This Row],[Total PoP ]]</f>
        <v>0</v>
      </c>
      <c r="CZ253" s="893">
        <f>IF(WWWW[[#This Row],[Total required water points]]-WWWW[[#This Row],['#Water points coverage]]&lt;0,0,WWWW[[#This Row],[Total required water points]]-WWWW[[#This Row],['#Water points coverage]])</f>
        <v>0</v>
      </c>
      <c r="DA253" s="893">
        <f>ROUND(IF(WWWW[[#This Row],[Total PoP ]]&lt;500,1,WWWW[[#This Row],[Total PoP ]]/500),0)</f>
        <v>1</v>
      </c>
      <c r="DB253" s="893">
        <f>(WWWW[[#This Row],['#_Constructed latrines_by_WASHAgencies]]+WWWW[[#This Row],['#_Non Cluster partner latrines]])-WWWW[[#This Row],['#_Non-functional latrines]]</f>
        <v>23</v>
      </c>
      <c r="DC253" s="631">
        <f>WWWW[[#This Row],[HRP2]]/WWWW[[#This Row],[Total PoP ]]</f>
        <v>0.66763425253991293</v>
      </c>
      <c r="DD25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460</v>
      </c>
      <c r="DE25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460</v>
      </c>
      <c r="DF25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3" s="424">
        <f>IF(WWWW[[#This Row],['# of functional latrines in THF supported by WASH partners during the reporting period2]]="",0,WWWW[[#This Row],['# of functional latrines in THF supported by WASH partners during the reporting period2]]*50)</f>
        <v>0</v>
      </c>
      <c r="DH253" s="893">
        <f>ROUND(IF(WWWW[[#This Row],[Location Type 1]]="camp",WWWW[[#This Row],[Total PoP ]]/20,IF(WWWW[[#This Row],[Location Type 1]]="Temporary Location",WWWW[[#This Row],[Total PoP ]]/50,(WWWW[[#This Row],[Total PoP ]]/6))),0)</f>
        <v>34</v>
      </c>
      <c r="DI253" s="893">
        <f>IF(WWWW[[#This Row],[Total required Latrines]]-(WWWW[[#This Row],['#_Constructed latrines_by_WASHAgencies]]+WWWW[[#This Row],['#_Non Cluster partner latrines]])&lt;0,0,WWWW[[#This Row],[Total required Latrines]]-(WWWW[[#This Row],['#_Constructed latrines_by_WASHAgencies]]+WWWW[[#This Row],['#_Non Cluster partner latrines]]))</f>
        <v>11</v>
      </c>
      <c r="DJ253" s="895">
        <f>1-WWWW[[#This Row],[% people access to functioning Latrine]]</f>
        <v>0.33236574746008707</v>
      </c>
      <c r="DK253" s="894">
        <f>IF(OR(WWWW[[#This Row],['#_Non-functional latrines]]="",WWWW[[#This Row],['#_Non-functional latrines]]=0),0,WWWW[[#This Row],['#_Non-functional latrines]]/(WWWW[[#This Row],['#_Constructed latrines_by_WASHAgencies]]+WWWW[[#This Row],['#_Non Cluster partner latrines]]))</f>
        <v>0</v>
      </c>
      <c r="DL253" s="890">
        <f>IF(500*(WWWW[[#This Row],['#_male hygiene promoters]]+WWWW[[#This Row],['#_female hygiene promoters]])&gt;WWWW[[#This Row],[Total PoP ]],WWWW[[#This Row],[Total PoP ]],500*(WWWW[[#This Row],['#_male hygiene promoters]]+WWWW[[#This Row],['#_female hygiene promoters]]))</f>
        <v>0</v>
      </c>
      <c r="DM25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5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53" s="893">
        <f>IF(WWWW[[#This Row],['# People with access to soap]]&gt;WWWW[[#This Row],['# People with access to Sanity Pads]],WWWW[[#This Row],['# People with access to soap]],WWWW[[#This Row],['# People with access to Sanity Pads]])</f>
        <v>0</v>
      </c>
      <c r="DP253"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53" s="895">
        <f>IF(WWWW[[#This Row],[HRP3]]/WWWW[[#This Row],[Total PoP ]]&gt;1,1,WWWW[[#This Row],[HRP3]]/WWWW[[#This Row],[Total PoP ]])</f>
        <v>0</v>
      </c>
      <c r="DR253" s="894">
        <f>1-WWWW[[#This Row],[Hygiene Coverage%]]</f>
        <v>1</v>
      </c>
      <c r="DS253" s="892">
        <f>WWWW[[#This Row],['# people reached by regular dedicated hygiene promotion_5]]/WWWW[[#This Row],[Total PoP ]]</f>
        <v>0</v>
      </c>
      <c r="DT25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5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53" s="893">
        <f>WWWW[[#This Row],['#_Constructed/Existing hand washing stations]]-WWWW[[#This Row],['#_Non-Functional_hand_washing_stations]]</f>
        <v>6</v>
      </c>
      <c r="DW253" s="890">
        <f>IF(WWWW[[#This Row],['# Functional hand washing stations during reporting period]]*20&gt;WWWW[[#This Row],[Total HH]],WWWW[[#This Row],[Total HH]],WWWW[[#This Row],['# Functional hand washing stations during reporting period]]*20)</f>
        <v>120</v>
      </c>
      <c r="DX253" s="890">
        <f>IF(WWWW[[#This Row],[Is sufficient soap available for TLS? (Yes/No)]]="yes",WWWW[[#This Row],['#_Constructed/Existing hand washing stations at TLS/CFS/THF]],0)</f>
        <v>0</v>
      </c>
      <c r="DY253" s="428">
        <f>IF(WWWW[[#This Row],['# Functional hand washing stations during reporting period]]*100&gt;WWWW[[#This Row],[Total PoP ]],WWWW[[#This Row],[Total PoP ]],WWWW[[#This Row],['# Functional hand washing stations during reporting period]]*100)</f>
        <v>600</v>
      </c>
      <c r="DZ253" s="428" t="str">
        <f>IF(OR(WWWW[[#This Row],['#_students at TLS_CFS]]="",WWWW[[#This Row],['#_students at TLS_CFS]]=0),"No","Yes")</f>
        <v>No</v>
      </c>
      <c r="EA25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30</v>
      </c>
      <c r="EC25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3" s="886" t="str">
        <f>VLOOKUP(WWWW[[#This Row],[Site Name]],SiteDB6[[Site Name]:[CCCM Management]],6,FALSE)</f>
        <v>Yes</v>
      </c>
      <c r="EF253" s="886" t="str">
        <f>VLOOKUP(WWWW[[#This Row],[Site Name]],SiteDB6[[Site Name]:[CCCM Focal Agency]],7,FALSE)</f>
        <v>Shalom</v>
      </c>
      <c r="EG253" s="886" t="str">
        <f>VLOOKUP(WWWW[[#This Row],[Site Name]],SiteDB6[[Site Name]:[Location Type 1]],9,FALSE)</f>
        <v>Camp</v>
      </c>
      <c r="EH253" s="886" t="str">
        <f>VLOOKUP(WWWW[[#This Row],[Site Name]],SiteDB6[[Site Name]:[Type of Accommodation]],10,FALSE)</f>
        <v>Camp</v>
      </c>
      <c r="EI253" s="886" t="str">
        <f>VLOOKUP(WWWW[[#This Row],[Site Name]],SiteDB6[[Site Name]:[Ethnic or GCA/NGCA]],11,FALSE)</f>
        <v>GCA</v>
      </c>
      <c r="EJ253" s="886">
        <f>VLOOKUP(WWWW[[#This Row],[Site Name]],SiteDB6[[Site Name]:[Lat]],12,FALSE)</f>
        <v>24.2631743589744</v>
      </c>
      <c r="EK253" s="886">
        <f>VLOOKUP(WWWW[[#This Row],[Site Name]],SiteDB6[[Site Name]:[Long]],13,FALSE)</f>
        <v>97.240183461538507</v>
      </c>
      <c r="EL253" s="886" t="str">
        <f>VLOOKUP(WWWW[[#This Row],[Site Name]],SiteDB6[[Site Name]:[Pcode]],3,FALSE)</f>
        <v>MMR001CMP049</v>
      </c>
      <c r="EM253" s="891" t="str">
        <f t="shared" si="3"/>
        <v>Covered</v>
      </c>
      <c r="EN253" s="891"/>
      <c r="EO253" s="886">
        <f>VLOOKUP(WWWW[[#This Row],[Site Name]],SiteDB6[[Site Name]:[Pop
(Kachin/Shan-CCCM as of July 2021)]],16,FALSE)</f>
        <v>134</v>
      </c>
      <c r="EP253" s="886">
        <f>VLOOKUP(WWWW[[#This Row],[Site Name]],SiteDB6[[Site Name]:[Pop
(Kachin/Shan-CCCM as of July 2021)]],17,FALSE)</f>
        <v>767</v>
      </c>
    </row>
    <row r="254" spans="1:146" hidden="1">
      <c r="A254" s="884" t="s">
        <v>2764</v>
      </c>
      <c r="B254" s="884" t="s">
        <v>309</v>
      </c>
      <c r="C254" s="885" t="s">
        <v>309</v>
      </c>
      <c r="D254" s="885"/>
      <c r="E254" s="885" t="s">
        <v>37</v>
      </c>
      <c r="F254" s="885" t="s">
        <v>142</v>
      </c>
      <c r="G254" s="591" t="str">
        <f>VLOOKUP(WWWW[[#This Row],[Site Name]],SiteDB6[[Site Name]:[Location Type]],8,FALSE)</f>
        <v>Camp</v>
      </c>
      <c r="H254" s="885" t="s">
        <v>2777</v>
      </c>
      <c r="I254" s="887">
        <v>40</v>
      </c>
      <c r="J254" s="887">
        <v>220</v>
      </c>
      <c r="K254" s="888"/>
      <c r="L254" s="889"/>
      <c r="M254" s="887"/>
      <c r="N254" s="887"/>
      <c r="O254" s="887"/>
      <c r="P254" s="887"/>
      <c r="Q254" s="890"/>
      <c r="R254" s="887"/>
      <c r="S254" s="887"/>
      <c r="T254" s="448"/>
      <c r="U254" s="887"/>
      <c r="V254" s="887"/>
      <c r="W254" s="887"/>
      <c r="X254" s="887"/>
      <c r="Y254" s="887"/>
      <c r="Z254" s="887"/>
      <c r="AA254" s="887"/>
      <c r="AB254" s="887"/>
      <c r="AC254" s="887"/>
      <c r="AD254" s="887"/>
      <c r="AE254" s="887"/>
      <c r="AF254" s="887"/>
      <c r="AG254" s="887"/>
      <c r="AH254" s="887"/>
      <c r="AI254" s="887"/>
      <c r="AJ254" s="887"/>
      <c r="AK254" s="887"/>
      <c r="AL254" s="887"/>
      <c r="AM254" s="887"/>
      <c r="AN254" s="887"/>
      <c r="AO254" s="448"/>
      <c r="AP254" s="891"/>
      <c r="AQ254" s="887"/>
      <c r="AR254" s="887"/>
      <c r="AS254" s="892"/>
      <c r="AT254" s="887"/>
      <c r="AU254" s="887"/>
      <c r="AV254" s="887"/>
      <c r="AW254" s="887"/>
      <c r="AX254" s="887"/>
      <c r="AY254" s="886" t="s">
        <v>140</v>
      </c>
      <c r="AZ254" s="891" t="s">
        <v>140</v>
      </c>
      <c r="BA254" s="887"/>
      <c r="BB254" s="887"/>
      <c r="BC254" s="887"/>
      <c r="BD254" s="448"/>
      <c r="BE254" s="448"/>
      <c r="BF254" s="886"/>
      <c r="BG254" s="887">
        <v>3</v>
      </c>
      <c r="BH254" s="887"/>
      <c r="BI254" s="887"/>
      <c r="BJ254" s="887">
        <v>2</v>
      </c>
      <c r="BK254" s="887"/>
      <c r="BL254" s="887"/>
      <c r="BM254" s="887"/>
      <c r="BN254" s="887"/>
      <c r="BO254" s="887"/>
      <c r="BP254" s="886"/>
      <c r="BQ254" s="893"/>
      <c r="BR254" s="892"/>
      <c r="BS254" s="886"/>
      <c r="BT254" s="423"/>
      <c r="BU254" s="423"/>
      <c r="BV254" s="425"/>
      <c r="BW254" s="423"/>
      <c r="BX254" s="448"/>
      <c r="BY254" s="448"/>
      <c r="BZ254" s="448"/>
      <c r="CA254" s="448"/>
      <c r="CB254" s="448"/>
      <c r="CC254" s="777"/>
      <c r="CD254" s="448"/>
      <c r="CE254" s="894" t="str">
        <f>IFERROR(WWWW[[#This Row],['#_Water sources passed]]/WWWW[[#This Row],['#_Water sources tested for fecal coliform ]],"no test")</f>
        <v>no test</v>
      </c>
      <c r="CF254" s="892" t="str">
        <f>IFERROR(WWWW[[#This Row],['#_Household passed]]/WWWW[[#This Row],['#_Household water samples tested for fecal coliform]],"no test")</f>
        <v>no test</v>
      </c>
      <c r="CG254" s="893" t="str">
        <f>IF(AND(WWWW[[#This Row],[% of water sources passed]]="no test",WWWW[[#This Row],[% Household passed]]="no test"),"No Test","Tested")</f>
        <v>No Test</v>
      </c>
      <c r="CH254" s="893">
        <f>WWWW[[#This Row],['#_Constructed/existing protected hand dug well]]-WWWW[[#This Row],['#_Non-functional protected hand dug well]]</f>
        <v>0</v>
      </c>
      <c r="CI254" s="893">
        <f>(WWWW[[#This Row],['#_Constructed/Existing tube wells/boreholes/handpumps_WASH_agency]]+WWWW[[#This Row],['#_Non-Cluster partner water tube-wells/boreholes/handpumps]])-WWWW[[#This Row],['#_Non-functional tube wells/boreholes/handpumps]]</f>
        <v>0</v>
      </c>
      <c r="CJ254" s="893">
        <f>WWWW[[#This Row],['#_Constructed/Existingwater storage tank with gravity fed reticulation system]]-WWWW[[#This Row],['#_Non-functional storage tank gravity fed reticulation system]]</f>
        <v>0</v>
      </c>
      <c r="CK254" s="893">
        <f>(WWWW[[#This Row],['#_Water_Liters_supplied_by_Water boating or water trucking]]/90)/15</f>
        <v>0</v>
      </c>
      <c r="CL254" s="893">
        <f>WWWW[[#This Row],['#_Water_Liters_from_Constructed/Existing water distribution system from river or natural spring]]/90/15</f>
        <v>0</v>
      </c>
      <c r="CM254" s="424">
        <f>IF(WWWW[[#This Row],['#_of water points in TLS/CFS]]*500&gt;WWWW[[#This Row],[Total PoP ]],WWWW[[#This Row],[Total PoP ]],WWWW[[#This Row],['#_of water points in TLS/CFS]]*500)</f>
        <v>0</v>
      </c>
      <c r="CN254" s="424">
        <f>IF(WWWW[[#This Row],['#_of water points in THF]]*500&gt;WWWW[[#This Row],[Total PoP ]],WWWW[[#This Row],[Total PoP ]],WWWW[[#This Row],['#_of water points in THF]]*500)</f>
        <v>0</v>
      </c>
      <c r="CO25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5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54" s="892">
        <f>IF(WWWW[[#This Row],[Location Type 1]]="Village",WWWW[[#This Row],[Access to safe drinking water for Village]],WWWW[[#This Row],[Access to safe drinking water for Camp]])</f>
        <v>0</v>
      </c>
      <c r="CR254" s="890">
        <f>WWWW[[#This Row],[%Equitable and continuous access to sufficient quantity of safe drinking water]]*WWWW[[#This Row],[Total PoP ]]</f>
        <v>0</v>
      </c>
      <c r="CS254" s="892">
        <f>IF((WWWW[[#This Row],['#_Constructed/Existing protected/fenced ponds]]*250)/WWWW[[#This Row],[Total PoP ]]&gt;1,1,(WWWW[[#This Row],['#_Constructed/Existing protected/fenced ponds]]*250)/WWWW[[#This Row],[Total PoP ]])</f>
        <v>0</v>
      </c>
      <c r="CT254" s="890">
        <f>WWWW[[#This Row],[% Access to unimproved water points]]*WWWW[[#This Row],[Total PoP ]]</f>
        <v>0</v>
      </c>
      <c r="CU25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5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54" s="890">
        <f>WWWW[[#This Row],[HRP1]]/500</f>
        <v>0</v>
      </c>
      <c r="CX254" s="895">
        <f>1-WWWW[[#This Row],[% Equitable and continuous access to sufficient quantity of domestic water]]</f>
        <v>1</v>
      </c>
      <c r="CY254" s="890">
        <f>WWWW[[#This Row],[%equitable and continuous access to sufficient quantity of safe drinking and domestic water''s GAP]]*WWWW[[#This Row],[Total PoP ]]</f>
        <v>220</v>
      </c>
      <c r="CZ254" s="893">
        <f>IF(WWWW[[#This Row],[Total required water points]]-WWWW[[#This Row],['#Water points coverage]]&lt;0,0,WWWW[[#This Row],[Total required water points]]-WWWW[[#This Row],['#Water points coverage]])</f>
        <v>1</v>
      </c>
      <c r="DA254" s="893">
        <f>ROUND(IF(WWWW[[#This Row],[Total PoP ]]&lt;500,1,WWWW[[#This Row],[Total PoP ]]/500),0)</f>
        <v>1</v>
      </c>
      <c r="DB254" s="893">
        <f>(WWWW[[#This Row],['#_Constructed latrines_by_WASHAgencies]]+WWWW[[#This Row],['#_Non Cluster partner latrines]])-WWWW[[#This Row],['#_Non-functional latrines]]</f>
        <v>0</v>
      </c>
      <c r="DC254" s="631">
        <f>WWWW[[#This Row],[HRP2]]/WWWW[[#This Row],[Total PoP ]]</f>
        <v>0</v>
      </c>
      <c r="DD25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5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4" s="424">
        <f>IF(WWWW[[#This Row],['# of functional latrines in THF supported by WASH partners during the reporting period2]]="",0,WWWW[[#This Row],['# of functional latrines in THF supported by WASH partners during the reporting period2]]*50)</f>
        <v>0</v>
      </c>
      <c r="DH254" s="893">
        <f>ROUND(IF(WWWW[[#This Row],[Location Type 1]]="camp",WWWW[[#This Row],[Total PoP ]]/20,IF(WWWW[[#This Row],[Location Type 1]]="Temporary Location",WWWW[[#This Row],[Total PoP ]]/50,(WWWW[[#This Row],[Total PoP ]]/6))),0)</f>
        <v>11</v>
      </c>
      <c r="DI254" s="893">
        <f>IF(WWWW[[#This Row],[Total required Latrines]]-(WWWW[[#This Row],['#_Constructed latrines_by_WASHAgencies]]+WWWW[[#This Row],['#_Non Cluster partner latrines]])&lt;0,0,WWWW[[#This Row],[Total required Latrines]]-(WWWW[[#This Row],['#_Constructed latrines_by_WASHAgencies]]+WWWW[[#This Row],['#_Non Cluster partner latrines]]))</f>
        <v>11</v>
      </c>
      <c r="DJ254" s="895">
        <f>1-WWWW[[#This Row],[% people access to functioning Latrine]]</f>
        <v>1</v>
      </c>
      <c r="DK254" s="894">
        <f>IF(OR(WWWW[[#This Row],['#_Non-functional latrines]]="",WWWW[[#This Row],['#_Non-functional latrines]]=0),0,WWWW[[#This Row],['#_Non-functional latrines]]/(WWWW[[#This Row],['#_Constructed latrines_by_WASHAgencies]]+WWWW[[#This Row],['#_Non Cluster partner latrines]]))</f>
        <v>0</v>
      </c>
      <c r="DL254" s="890">
        <f>IF(500*(WWWW[[#This Row],['#_male hygiene promoters]]+WWWW[[#This Row],['#_female hygiene promoters]])&gt;WWWW[[#This Row],[Total PoP ]],WWWW[[#This Row],[Total PoP ]],500*(WWWW[[#This Row],['#_male hygiene promoters]]+WWWW[[#This Row],['#_female hygiene promoters]]))</f>
        <v>0</v>
      </c>
      <c r="DM25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5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54" s="893">
        <f>IF(WWWW[[#This Row],['# People with access to soap]]&gt;WWWW[[#This Row],['# People with access to Sanity Pads]],WWWW[[#This Row],['# People with access to soap]],WWWW[[#This Row],['# People with access to Sanity Pads]])</f>
        <v>0</v>
      </c>
      <c r="DP254"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54" s="895">
        <f>IF(WWWW[[#This Row],[HRP3]]/WWWW[[#This Row],[Total PoP ]]&gt;1,1,WWWW[[#This Row],[HRP3]]/WWWW[[#This Row],[Total PoP ]])</f>
        <v>0</v>
      </c>
      <c r="DR254" s="894">
        <f>1-WWWW[[#This Row],[Hygiene Coverage%]]</f>
        <v>1</v>
      </c>
      <c r="DS254" s="892">
        <f>WWWW[[#This Row],['# people reached by regular dedicated hygiene promotion_5]]/WWWW[[#This Row],[Total PoP ]]</f>
        <v>0</v>
      </c>
      <c r="DT25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5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54" s="893">
        <f>WWWW[[#This Row],['#_Constructed/Existing hand washing stations]]-WWWW[[#This Row],['#_Non-Functional_hand_washing_stations]]</f>
        <v>3</v>
      </c>
      <c r="DW254" s="890">
        <f>IF(WWWW[[#This Row],['# Functional hand washing stations during reporting period]]*20&gt;WWWW[[#This Row],[Total HH]],WWWW[[#This Row],[Total HH]],WWWW[[#This Row],['# Functional hand washing stations during reporting period]]*20)</f>
        <v>40</v>
      </c>
      <c r="DX254" s="890">
        <f>IF(WWWW[[#This Row],[Is sufficient soap available for TLS? (Yes/No)]]="yes",WWWW[[#This Row],['#_Constructed/Existing hand washing stations at TLS/CFS/THF]],0)</f>
        <v>0</v>
      </c>
      <c r="DY254" s="428">
        <f>IF(WWWW[[#This Row],['# Functional hand washing stations during reporting period]]*100&gt;WWWW[[#This Row],[Total PoP ]],WWWW[[#This Row],[Total PoP ]],WWWW[[#This Row],['# Functional hand washing stations during reporting period]]*100)</f>
        <v>220</v>
      </c>
      <c r="DZ254" s="428" t="str">
        <f>IF(OR(WWWW[[#This Row],['#_students at TLS_CFS]]="",WWWW[[#This Row],['#_students at TLS_CFS]]=0),"No","Yes")</f>
        <v>No</v>
      </c>
      <c r="EA25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4" s="886">
        <f>VLOOKUP(WWWW[[#This Row],[Site Name]],SiteDB6[[Site Name]:[CCCM Management]],6,FALSE)</f>
        <v>0</v>
      </c>
      <c r="EF254" s="886" t="str">
        <f>VLOOKUP(WWWW[[#This Row],[Site Name]],SiteDB6[[Site Name]:[CCCM Focal Agency]],7,FALSE)</f>
        <v xml:space="preserve">Uncovered  </v>
      </c>
      <c r="EG254" s="886" t="str">
        <f>VLOOKUP(WWWW[[#This Row],[Site Name]],SiteDB6[[Site Name]:[Location Type 1]],9,FALSE)</f>
        <v>Camp</v>
      </c>
      <c r="EH254" s="886" t="str">
        <f>VLOOKUP(WWWW[[#This Row],[Site Name]],SiteDB6[[Site Name]:[Type of Accommodation]],10,FALSE)</f>
        <v>Camp like setting</v>
      </c>
      <c r="EI254" s="886" t="str">
        <f>VLOOKUP(WWWW[[#This Row],[Site Name]],SiteDB6[[Site Name]:[Ethnic or GCA/NGCA]],11,FALSE)</f>
        <v>GCA</v>
      </c>
      <c r="EJ254" s="886">
        <f>VLOOKUP(WWWW[[#This Row],[Site Name]],SiteDB6[[Site Name]:[Lat]],12,FALSE)</f>
        <v>25.210599999999999</v>
      </c>
      <c r="EK254" s="886">
        <f>VLOOKUP(WWWW[[#This Row],[Site Name]],SiteDB6[[Site Name]:[Long]],13,FALSE)</f>
        <v>97.264700000000005</v>
      </c>
      <c r="EL254" s="886" t="str">
        <f>VLOOKUP(WWWW[[#This Row],[Site Name]],SiteDB6[[Site Name]:[Pcode]],3,FALSE)</f>
        <v>MMR001CMP289</v>
      </c>
      <c r="EM254" s="891" t="str">
        <f t="shared" si="3"/>
        <v>Notcovered</v>
      </c>
      <c r="EN254" s="891"/>
      <c r="EO254" s="886">
        <f>VLOOKUP(WWWW[[#This Row],[Site Name]],SiteDB6[[Site Name]:[Pop
(Kachin/Shan-CCCM as of July 2021)]],16,FALSE)</f>
        <v>40</v>
      </c>
      <c r="EP254" s="886">
        <f>VLOOKUP(WWWW[[#This Row],[Site Name]],SiteDB6[[Site Name]:[Pop
(Kachin/Shan-CCCM as of July 2021)]],17,FALSE)</f>
        <v>220</v>
      </c>
    </row>
    <row r="255" spans="1:146" hidden="1">
      <c r="A255" s="884" t="s">
        <v>2764</v>
      </c>
      <c r="B255" s="884" t="s">
        <v>276</v>
      </c>
      <c r="C255" s="885" t="s">
        <v>276</v>
      </c>
      <c r="D255" s="885" t="s">
        <v>3037</v>
      </c>
      <c r="E255" s="885" t="s">
        <v>37</v>
      </c>
      <c r="F255" s="885" t="s">
        <v>205</v>
      </c>
      <c r="G255" s="591" t="str">
        <f>VLOOKUP(WWWW[[#This Row],[Site Name]],SiteDB6[[Site Name]:[Location Type]],8,FALSE)</f>
        <v>Camp</v>
      </c>
      <c r="H255" s="885" t="s">
        <v>281</v>
      </c>
      <c r="I255" s="887">
        <v>39</v>
      </c>
      <c r="J255" s="887">
        <v>239</v>
      </c>
      <c r="K255" s="888">
        <v>44652</v>
      </c>
      <c r="L255" s="889">
        <v>44895</v>
      </c>
      <c r="M255" s="887"/>
      <c r="N255" s="887"/>
      <c r="O255" s="887"/>
      <c r="P255" s="887"/>
      <c r="Q255" s="890" t="s">
        <v>41</v>
      </c>
      <c r="R255" s="887">
        <v>3</v>
      </c>
      <c r="S255" s="887">
        <v>6</v>
      </c>
      <c r="T255" s="448">
        <v>1</v>
      </c>
      <c r="U255" s="887"/>
      <c r="V255" s="887"/>
      <c r="W255" s="887"/>
      <c r="X255" s="887"/>
      <c r="Y255" s="887"/>
      <c r="Z255" s="887"/>
      <c r="AA255" s="887">
        <v>1</v>
      </c>
      <c r="AB255" s="887"/>
      <c r="AC255" s="887"/>
      <c r="AD255" s="887"/>
      <c r="AE255" s="887"/>
      <c r="AF255" s="887"/>
      <c r="AG255" s="887"/>
      <c r="AH255" s="887"/>
      <c r="AI255" s="887">
        <v>1</v>
      </c>
      <c r="AJ255" s="887">
        <v>1</v>
      </c>
      <c r="AK255" s="887">
        <v>6</v>
      </c>
      <c r="AL255" s="887">
        <v>6</v>
      </c>
      <c r="AM255" s="887"/>
      <c r="AN255" s="887"/>
      <c r="AO255" s="448"/>
      <c r="AP255" s="891"/>
      <c r="AQ255" s="887">
        <v>9</v>
      </c>
      <c r="AR255" s="887"/>
      <c r="AS255" s="892"/>
      <c r="AT255" s="887"/>
      <c r="AU255" s="887"/>
      <c r="AV255" s="887">
        <v>10</v>
      </c>
      <c r="AW255" s="887">
        <v>21</v>
      </c>
      <c r="AX255" s="887"/>
      <c r="AY255" s="886" t="s">
        <v>41</v>
      </c>
      <c r="AZ255" s="891" t="s">
        <v>137</v>
      </c>
      <c r="BA255" s="887"/>
      <c r="BB255" s="887"/>
      <c r="BC255" s="887"/>
      <c r="BD255" s="448"/>
      <c r="BE255" s="448">
        <v>2</v>
      </c>
      <c r="BF255" s="886"/>
      <c r="BG255" s="887">
        <v>7</v>
      </c>
      <c r="BH255" s="887"/>
      <c r="BI255" s="887"/>
      <c r="BJ255" s="887">
        <v>1</v>
      </c>
      <c r="BK255" s="887"/>
      <c r="BL255" s="887"/>
      <c r="BM255" s="887">
        <v>1</v>
      </c>
      <c r="BN255" s="887">
        <v>35</v>
      </c>
      <c r="BO255" s="887"/>
      <c r="BP255" s="886"/>
      <c r="BQ255" s="893"/>
      <c r="BR255" s="892"/>
      <c r="BS255" s="886"/>
      <c r="BT255" s="423">
        <v>1</v>
      </c>
      <c r="BU255" s="423">
        <v>1</v>
      </c>
      <c r="BV255" s="425">
        <v>7</v>
      </c>
      <c r="BW255" s="423">
        <v>0</v>
      </c>
      <c r="BX255" s="448"/>
      <c r="BY255" s="448">
        <v>9</v>
      </c>
      <c r="BZ255" s="448">
        <v>1</v>
      </c>
      <c r="CA255" s="448"/>
      <c r="CB255" s="448"/>
      <c r="CC255" s="777"/>
      <c r="CD255" s="448"/>
      <c r="CE255" s="894">
        <f>IFERROR(WWWW[[#This Row],['#_Water sources passed]]/WWWW[[#This Row],['#_Water sources tested for fecal coliform ]],"no test")</f>
        <v>1</v>
      </c>
      <c r="CF255" s="892">
        <f>IFERROR(WWWW[[#This Row],['#_Household passed]]/WWWW[[#This Row],['#_Household water samples tested for fecal coliform]],"no test")</f>
        <v>1</v>
      </c>
      <c r="CG255" s="893" t="str">
        <f>IF(AND(WWWW[[#This Row],[% of water sources passed]]="no test",WWWW[[#This Row],[% Household passed]]="no test"),"No Test","Tested")</f>
        <v>Tested</v>
      </c>
      <c r="CH255" s="893">
        <f>WWWW[[#This Row],['#_Constructed/existing protected hand dug well]]-WWWW[[#This Row],['#_Non-functional protected hand dug well]]</f>
        <v>1</v>
      </c>
      <c r="CI255" s="893">
        <f>(WWWW[[#This Row],['#_Constructed/Existing tube wells/boreholes/handpumps_WASH_agency]]+WWWW[[#This Row],['#_Non-Cluster partner water tube-wells/boreholes/handpumps]])-WWWW[[#This Row],['#_Non-functional tube wells/boreholes/handpumps]]</f>
        <v>0</v>
      </c>
      <c r="CJ255" s="893">
        <f>WWWW[[#This Row],['#_Constructed/Existingwater storage tank with gravity fed reticulation system]]-WWWW[[#This Row],['#_Non-functional storage tank gravity fed reticulation system]]</f>
        <v>1</v>
      </c>
      <c r="CK255" s="893">
        <f>(WWWW[[#This Row],['#_Water_Liters_supplied_by_Water boating or water trucking]]/90)/15</f>
        <v>0</v>
      </c>
      <c r="CL255" s="893">
        <f>WWWW[[#This Row],['#_Water_Liters_from_Constructed/Existing water distribution system from river or natural spring]]/90/15</f>
        <v>0</v>
      </c>
      <c r="CM255" s="424">
        <f>IF(WWWW[[#This Row],['#_of water points in TLS/CFS]]*500&gt;WWWW[[#This Row],[Total PoP ]],WWWW[[#This Row],[Total PoP ]],WWWW[[#This Row],['#_of water points in TLS/CFS]]*500)</f>
        <v>0</v>
      </c>
      <c r="CN255" s="424">
        <f>IF(WWWW[[#This Row],['#_of water points in THF]]*500&gt;WWWW[[#This Row],[Total PoP ]],WWWW[[#This Row],[Total PoP ]],WWWW[[#This Row],['#_of water points in THF]]*500)</f>
        <v>0</v>
      </c>
      <c r="CO25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5" s="892">
        <f>IF(WWWW[[#This Row],[Location Type 1]]="Village",WWWW[[#This Row],[Access to safe drinking water for Village]],WWWW[[#This Row],[Access to safe drinking water for Camp]])</f>
        <v>1</v>
      </c>
      <c r="CR255" s="890">
        <f>WWWW[[#This Row],[%Equitable and continuous access to sufficient quantity of safe drinking water]]*WWWW[[#This Row],[Total PoP ]]</f>
        <v>239</v>
      </c>
      <c r="CS255" s="892">
        <f>IF((WWWW[[#This Row],['#_Constructed/Existing protected/fenced ponds]]*250)/WWWW[[#This Row],[Total PoP ]]&gt;1,1,(WWWW[[#This Row],['#_Constructed/Existing protected/fenced ponds]]*250)/WWWW[[#This Row],[Total PoP ]])</f>
        <v>0</v>
      </c>
      <c r="CT255" s="890">
        <f>WWWW[[#This Row],[% Access to unimproved water points]]*WWWW[[#This Row],[Total PoP ]]</f>
        <v>0</v>
      </c>
      <c r="CU25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239</v>
      </c>
      <c r="CW255" s="890">
        <f>WWWW[[#This Row],[HRP1]]/500</f>
        <v>0.47799999999999998</v>
      </c>
      <c r="CX255" s="895">
        <f>1-WWWW[[#This Row],[% Equitable and continuous access to sufficient quantity of domestic water]]</f>
        <v>0</v>
      </c>
      <c r="CY255" s="890">
        <f>WWWW[[#This Row],[%equitable and continuous access to sufficient quantity of safe drinking and domestic water''s GAP]]*WWWW[[#This Row],[Total PoP ]]</f>
        <v>0</v>
      </c>
      <c r="CZ255" s="893">
        <f>IF(WWWW[[#This Row],[Total required water points]]-WWWW[[#This Row],['#Water points coverage]]&lt;0,0,WWWW[[#This Row],[Total required water points]]-WWWW[[#This Row],['#Water points coverage]])</f>
        <v>0.52200000000000002</v>
      </c>
      <c r="DA255" s="893">
        <f>ROUND(IF(WWWW[[#This Row],[Total PoP ]]&lt;500,1,WWWW[[#This Row],[Total PoP ]]/500),0)</f>
        <v>1</v>
      </c>
      <c r="DB255" s="893">
        <f>(WWWW[[#This Row],['#_Constructed latrines_by_WASHAgencies]]+WWWW[[#This Row],['#_Non Cluster partner latrines]])-WWWW[[#This Row],['#_Non-functional latrines]]</f>
        <v>9</v>
      </c>
      <c r="DC255" s="631">
        <f>WWWW[[#This Row],[HRP2]]/WWWW[[#This Row],[Total PoP ]]</f>
        <v>0.7615062761506276</v>
      </c>
      <c r="DD25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DE25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200</v>
      </c>
      <c r="DF25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5" s="424">
        <f>IF(WWWW[[#This Row],['# of functional latrines in THF supported by WASH partners during the reporting period2]]="",0,WWWW[[#This Row],['# of functional latrines in THF supported by WASH partners during the reporting period2]]*50)</f>
        <v>0</v>
      </c>
      <c r="DH255" s="893">
        <f>ROUND(IF(WWWW[[#This Row],[Location Type 1]]="camp",WWWW[[#This Row],[Total PoP ]]/20,IF(WWWW[[#This Row],[Location Type 1]]="Temporary Location",WWWW[[#This Row],[Total PoP ]]/50,(WWWW[[#This Row],[Total PoP ]]/6))),0)</f>
        <v>12</v>
      </c>
      <c r="DI255" s="893">
        <f>IF(WWWW[[#This Row],[Total required Latrines]]-(WWWW[[#This Row],['#_Constructed latrines_by_WASHAgencies]]+WWWW[[#This Row],['#_Non Cluster partner latrines]])&lt;0,0,WWWW[[#This Row],[Total required Latrines]]-(WWWW[[#This Row],['#_Constructed latrines_by_WASHAgencies]]+WWWW[[#This Row],['#_Non Cluster partner latrines]]))</f>
        <v>3</v>
      </c>
      <c r="DJ255" s="895">
        <f>1-WWWW[[#This Row],[% people access to functioning Latrine]]</f>
        <v>0.2384937238493724</v>
      </c>
      <c r="DK255" s="894">
        <f>IF(OR(WWWW[[#This Row],['#_Non-functional latrines]]="",WWWW[[#This Row],['#_Non-functional latrines]]=0),0,WWWW[[#This Row],['#_Non-functional latrines]]/(WWWW[[#This Row],['#_Constructed latrines_by_WASHAgencies]]+WWWW[[#This Row],['#_Non Cluster partner latrines]]))</f>
        <v>0</v>
      </c>
      <c r="DL255" s="890">
        <f>IF(500*(WWWW[[#This Row],['#_male hygiene promoters]]+WWWW[[#This Row],['#_female hygiene promoters]])&gt;WWWW[[#This Row],[Total PoP ]],WWWW[[#This Row],[Total PoP ]],500*(WWWW[[#This Row],['#_male hygiene promoters]]+WWWW[[#This Row],['#_female hygiene promoters]]))</f>
        <v>239</v>
      </c>
      <c r="DM25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175</v>
      </c>
      <c r="DN25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55" s="893">
        <f>IF(WWWW[[#This Row],['# People with access to soap]]&gt;WWWW[[#This Row],['# People with access to Sanity Pads]],WWWW[[#This Row],['# People with access to soap]],WWWW[[#This Row],['# People with access to Sanity Pads]])</f>
        <v>175</v>
      </c>
      <c r="DP255" s="893">
        <f>IF(WWWW[[#This Row],['# people reached by regular dedicated hygiene promotion_5]]&gt;WWWW[[#This Row],['# People received regular supply of hygiene items_6]],WWWW[[#This Row],['# people reached by regular dedicated hygiene promotion_5]],WWWW[[#This Row],['# People received regular supply of hygiene items_6]])</f>
        <v>239</v>
      </c>
      <c r="DQ255" s="895">
        <f>IF(WWWW[[#This Row],[HRP3]]/WWWW[[#This Row],[Total PoP ]]&gt;1,1,WWWW[[#This Row],[HRP3]]/WWWW[[#This Row],[Total PoP ]])</f>
        <v>1</v>
      </c>
      <c r="DR255" s="894">
        <f>1-WWWW[[#This Row],[Hygiene Coverage%]]</f>
        <v>0</v>
      </c>
      <c r="DS255" s="892">
        <f>WWWW[[#This Row],['# people reached by regular dedicated hygiene promotion_5]]/WWWW[[#This Row],[Total PoP ]]</f>
        <v>1</v>
      </c>
      <c r="DT25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55" s="893">
        <f>WWWW[[#This Row],['#_Constructed/Existing hand washing stations]]-WWWW[[#This Row],['#_Non-Functional_hand_washing_stations]]</f>
        <v>7</v>
      </c>
      <c r="DW255" s="890">
        <f>IF(WWWW[[#This Row],['# Functional hand washing stations during reporting period]]*20&gt;WWWW[[#This Row],[Total HH]],WWWW[[#This Row],[Total HH]],WWWW[[#This Row],['# Functional hand washing stations during reporting period]]*20)</f>
        <v>39</v>
      </c>
      <c r="DX255" s="890">
        <f>IF(WWWW[[#This Row],[Is sufficient soap available for TLS? (Yes/No)]]="yes",WWWW[[#This Row],['#_Constructed/Existing hand washing stations at TLS/CFS/THF]],0)</f>
        <v>0</v>
      </c>
      <c r="DY255" s="428">
        <f>IF(WWWW[[#This Row],['# Functional hand washing stations during reporting period]]*100&gt;WWWW[[#This Row],[Total PoP ]],WWWW[[#This Row],[Total PoP ]],WWWW[[#This Row],['# Functional hand washing stations during reporting period]]*100)</f>
        <v>239</v>
      </c>
      <c r="DZ255" s="428" t="str">
        <f>IF(OR(WWWW[[#This Row],['#_students at TLS_CFS]]="",WWWW[[#This Row],['#_students at TLS_CFS]]=0),"No","Yes")</f>
        <v>No</v>
      </c>
      <c r="EA255" s="631">
        <f>IF(WWWW[[#This Row],['#_of_affected_people_surveyed_who_report_feeling_informed_about_the_different_WASH_services_available_to_them]]="","",WWWW[[#This Row],['#_of_affected_people_surveyed_who_report_feeling_informed_about_the_different_WASH_services_available_to_them]]/WWWW[[#This Row],[Total PoP ]])</f>
        <v>2.9288702928870293E-2</v>
      </c>
      <c r="EB25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10</v>
      </c>
      <c r="EC25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5" s="886" t="str">
        <f>VLOOKUP(WWWW[[#This Row],[Site Name]],SiteDB6[[Site Name]:[CCCM Management]],6,FALSE)</f>
        <v>Yes</v>
      </c>
      <c r="EF255" s="886" t="str">
        <f>VLOOKUP(WWWW[[#This Row],[Site Name]],SiteDB6[[Site Name]:[CCCM Focal Agency]],7,FALSE)</f>
        <v>KBC-BMO</v>
      </c>
      <c r="EG255" s="886" t="str">
        <f>VLOOKUP(WWWW[[#This Row],[Site Name]],SiteDB6[[Site Name]:[Location Type 1]],9,FALSE)</f>
        <v>Camp</v>
      </c>
      <c r="EH255" s="886" t="str">
        <f>VLOOKUP(WWWW[[#This Row],[Site Name]],SiteDB6[[Site Name]:[Type of Accommodation]],10,FALSE)</f>
        <v>Camp</v>
      </c>
      <c r="EI255" s="886" t="str">
        <f>VLOOKUP(WWWW[[#This Row],[Site Name]],SiteDB6[[Site Name]:[Ethnic or GCA/NGCA]],11,FALSE)</f>
        <v>GCA</v>
      </c>
      <c r="EJ255" s="886">
        <f>VLOOKUP(WWWW[[#This Row],[Site Name]],SiteDB6[[Site Name]:[Lat]],12,FALSE)</f>
        <v>24.200972</v>
      </c>
      <c r="EK255" s="886">
        <f>VLOOKUP(WWWW[[#This Row],[Site Name]],SiteDB6[[Site Name]:[Long]],13,FALSE)</f>
        <v>97.718582999999995</v>
      </c>
      <c r="EL255" s="886" t="str">
        <f>VLOOKUP(WWWW[[#This Row],[Site Name]],SiteDB6[[Site Name]:[Pcode]],3,FALSE)</f>
        <v>MMR001CMP071</v>
      </c>
      <c r="EM255" s="891" t="str">
        <f t="shared" si="3"/>
        <v>Covered</v>
      </c>
      <c r="EN255" s="891"/>
      <c r="EO255" s="886">
        <f>VLOOKUP(WWWW[[#This Row],[Site Name]],SiteDB6[[Site Name]:[Pop
(Kachin/Shan-CCCM as of July 2021)]],16,FALSE)</f>
        <v>40</v>
      </c>
      <c r="EP255" s="886">
        <f>VLOOKUP(WWWW[[#This Row],[Site Name]],SiteDB6[[Site Name]:[Pop
(Kachin/Shan-CCCM as of July 2021)]],17,FALSE)</f>
        <v>247</v>
      </c>
    </row>
    <row r="256" spans="1:146" hidden="1">
      <c r="A256" s="884" t="s">
        <v>2764</v>
      </c>
      <c r="B256" s="884" t="s">
        <v>276</v>
      </c>
      <c r="C256" s="885" t="s">
        <v>276</v>
      </c>
      <c r="D256" s="885" t="s">
        <v>3037</v>
      </c>
      <c r="E256" s="885" t="s">
        <v>37</v>
      </c>
      <c r="F256" s="885" t="s">
        <v>205</v>
      </c>
      <c r="G256" s="591" t="str">
        <f>VLOOKUP(WWWW[[#This Row],[Site Name]],SiteDB6[[Site Name]:[Location Type]],8,FALSE)</f>
        <v>Camp</v>
      </c>
      <c r="H256" s="885" t="s">
        <v>282</v>
      </c>
      <c r="I256" s="887">
        <v>68</v>
      </c>
      <c r="J256" s="887">
        <v>426</v>
      </c>
      <c r="K256" s="888">
        <v>44652</v>
      </c>
      <c r="L256" s="889">
        <v>44895</v>
      </c>
      <c r="M256" s="887"/>
      <c r="N256" s="887"/>
      <c r="O256" s="887"/>
      <c r="P256" s="887"/>
      <c r="Q256" s="890" t="s">
        <v>41</v>
      </c>
      <c r="R256" s="887">
        <v>5</v>
      </c>
      <c r="S256" s="887">
        <v>6</v>
      </c>
      <c r="T256" s="448"/>
      <c r="U256" s="887"/>
      <c r="V256" s="887"/>
      <c r="W256" s="887">
        <v>1</v>
      </c>
      <c r="X256" s="887"/>
      <c r="Y256" s="887"/>
      <c r="Z256" s="887"/>
      <c r="AA256" s="887">
        <v>1</v>
      </c>
      <c r="AB256" s="887"/>
      <c r="AC256" s="887"/>
      <c r="AD256" s="887"/>
      <c r="AE256" s="887"/>
      <c r="AF256" s="887"/>
      <c r="AG256" s="887"/>
      <c r="AH256" s="887"/>
      <c r="AI256" s="887">
        <v>1</v>
      </c>
      <c r="AJ256" s="887">
        <v>1</v>
      </c>
      <c r="AK256" s="887">
        <v>6</v>
      </c>
      <c r="AL256" s="887">
        <v>6</v>
      </c>
      <c r="AM256" s="887"/>
      <c r="AN256" s="887"/>
      <c r="AO256" s="448"/>
      <c r="AP256" s="891"/>
      <c r="AQ256" s="887">
        <v>6</v>
      </c>
      <c r="AR256" s="887"/>
      <c r="AS256" s="892"/>
      <c r="AT256" s="887"/>
      <c r="AU256" s="887"/>
      <c r="AV256" s="887">
        <v>14</v>
      </c>
      <c r="AW256" s="887">
        <v>22</v>
      </c>
      <c r="AX256" s="887"/>
      <c r="AY256" s="886" t="s">
        <v>41</v>
      </c>
      <c r="AZ256" s="891" t="s">
        <v>137</v>
      </c>
      <c r="BA256" s="887"/>
      <c r="BB256" s="887"/>
      <c r="BC256" s="887"/>
      <c r="BD256" s="448"/>
      <c r="BE256" s="448">
        <v>6</v>
      </c>
      <c r="BF256" s="886"/>
      <c r="BG256" s="887">
        <v>3</v>
      </c>
      <c r="BH256" s="887"/>
      <c r="BI256" s="887"/>
      <c r="BJ256" s="887">
        <v>2</v>
      </c>
      <c r="BK256" s="887"/>
      <c r="BL256" s="887"/>
      <c r="BM256" s="887">
        <v>1</v>
      </c>
      <c r="BN256" s="887">
        <v>62</v>
      </c>
      <c r="BO256" s="887"/>
      <c r="BP256" s="886"/>
      <c r="BQ256" s="893"/>
      <c r="BR256" s="892"/>
      <c r="BS256" s="886"/>
      <c r="BT256" s="423">
        <v>1</v>
      </c>
      <c r="BU256" s="423">
        <v>1</v>
      </c>
      <c r="BV256" s="425">
        <v>10</v>
      </c>
      <c r="BW256" s="423">
        <v>0</v>
      </c>
      <c r="BX256" s="448"/>
      <c r="BY256" s="448">
        <v>6</v>
      </c>
      <c r="BZ256" s="448">
        <v>2</v>
      </c>
      <c r="CA256" s="448"/>
      <c r="CB256" s="448"/>
      <c r="CC256" s="777"/>
      <c r="CD256" s="448"/>
      <c r="CE256" s="894">
        <f>IFERROR(WWWW[[#This Row],['#_Water sources passed]]/WWWW[[#This Row],['#_Water sources tested for fecal coliform ]],"no test")</f>
        <v>1</v>
      </c>
      <c r="CF256" s="892">
        <f>IFERROR(WWWW[[#This Row],['#_Household passed]]/WWWW[[#This Row],['#_Household water samples tested for fecal coliform]],"no test")</f>
        <v>1</v>
      </c>
      <c r="CG256" s="893" t="str">
        <f>IF(AND(WWWW[[#This Row],[% of water sources passed]]="no test",WWWW[[#This Row],[% Household passed]]="no test"),"No Test","Tested")</f>
        <v>Tested</v>
      </c>
      <c r="CH256" s="893">
        <f>WWWW[[#This Row],['#_Constructed/existing protected hand dug well]]-WWWW[[#This Row],['#_Non-functional protected hand dug well]]</f>
        <v>0</v>
      </c>
      <c r="CI256" s="893">
        <f>(WWWW[[#This Row],['#_Constructed/Existing tube wells/boreholes/handpumps_WASH_agency]]+WWWW[[#This Row],['#_Non-Cluster partner water tube-wells/boreholes/handpumps]])-WWWW[[#This Row],['#_Non-functional tube wells/boreholes/handpumps]]</f>
        <v>1</v>
      </c>
      <c r="CJ256" s="893">
        <f>WWWW[[#This Row],['#_Constructed/Existingwater storage tank with gravity fed reticulation system]]-WWWW[[#This Row],['#_Non-functional storage tank gravity fed reticulation system]]</f>
        <v>1</v>
      </c>
      <c r="CK256" s="893">
        <f>(WWWW[[#This Row],['#_Water_Liters_supplied_by_Water boating or water trucking]]/90)/15</f>
        <v>0</v>
      </c>
      <c r="CL256" s="893">
        <f>WWWW[[#This Row],['#_Water_Liters_from_Constructed/Existing water distribution system from river or natural spring]]/90/15</f>
        <v>0</v>
      </c>
      <c r="CM256" s="424">
        <f>IF(WWWW[[#This Row],['#_of water points in TLS/CFS]]*500&gt;WWWW[[#This Row],[Total PoP ]],WWWW[[#This Row],[Total PoP ]],WWWW[[#This Row],['#_of water points in TLS/CFS]]*500)</f>
        <v>0</v>
      </c>
      <c r="CN256" s="424">
        <f>IF(WWWW[[#This Row],['#_of water points in THF]]*500&gt;WWWW[[#This Row],[Total PoP ]],WWWW[[#This Row],[Total PoP ]],WWWW[[#This Row],['#_of water points in THF]]*500)</f>
        <v>0</v>
      </c>
      <c r="CO25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0.74334898278560257</v>
      </c>
      <c r="CQ256" s="892">
        <f>IF(WWWW[[#This Row],[Location Type 1]]="Village",WWWW[[#This Row],[Access to safe drinking water for Village]],WWWW[[#This Row],[Access to safe drinking water for Camp]])</f>
        <v>1</v>
      </c>
      <c r="CR256" s="890">
        <f>WWWW[[#This Row],[%Equitable and continuous access to sufficient quantity of safe drinking water]]*WWWW[[#This Row],[Total PoP ]]</f>
        <v>426</v>
      </c>
      <c r="CS256" s="892">
        <f>IF((WWWW[[#This Row],['#_Constructed/Existing protected/fenced ponds]]*250)/WWWW[[#This Row],[Total PoP ]]&gt;1,1,(WWWW[[#This Row],['#_Constructed/Existing protected/fenced ponds]]*250)/WWWW[[#This Row],[Total PoP ]])</f>
        <v>0</v>
      </c>
      <c r="CT256" s="890">
        <f>WWWW[[#This Row],[% Access to unimproved water points]]*WWWW[[#This Row],[Total PoP ]]</f>
        <v>0</v>
      </c>
      <c r="CU25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W256" s="890">
        <f>WWWW[[#This Row],[HRP1]]/500</f>
        <v>0.85199999999999998</v>
      </c>
      <c r="CX256" s="895">
        <f>1-WWWW[[#This Row],[% Equitable and continuous access to sufficient quantity of domestic water]]</f>
        <v>0</v>
      </c>
      <c r="CY256" s="890">
        <f>WWWW[[#This Row],[%equitable and continuous access to sufficient quantity of safe drinking and domestic water''s GAP]]*WWWW[[#This Row],[Total PoP ]]</f>
        <v>0</v>
      </c>
      <c r="CZ256" s="893">
        <f>IF(WWWW[[#This Row],[Total required water points]]-WWWW[[#This Row],['#Water points coverage]]&lt;0,0,WWWW[[#This Row],[Total required water points]]-WWWW[[#This Row],['#Water points coverage]])</f>
        <v>0.14800000000000002</v>
      </c>
      <c r="DA256" s="893">
        <f>ROUND(IF(WWWW[[#This Row],[Total PoP ]]&lt;500,1,WWWW[[#This Row],[Total PoP ]]/500),0)</f>
        <v>1</v>
      </c>
      <c r="DB256" s="893">
        <f>(WWWW[[#This Row],['#_Constructed latrines_by_WASHAgencies]]+WWWW[[#This Row],['#_Non Cluster partner latrines]])-WWWW[[#This Row],['#_Non-functional latrines]]</f>
        <v>6</v>
      </c>
      <c r="DC256" s="631">
        <f>WWWW[[#This Row],[HRP2]]/WWWW[[#This Row],[Total PoP ]]</f>
        <v>0.29577464788732394</v>
      </c>
      <c r="DD25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126</v>
      </c>
      <c r="DE25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DF25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6" s="424">
        <f>IF(WWWW[[#This Row],['# of functional latrines in THF supported by WASH partners during the reporting period2]]="",0,WWWW[[#This Row],['# of functional latrines in THF supported by WASH partners during the reporting period2]]*50)</f>
        <v>0</v>
      </c>
      <c r="DH256" s="893">
        <f>ROUND(IF(WWWW[[#This Row],[Location Type 1]]="camp",WWWW[[#This Row],[Total PoP ]]/20,IF(WWWW[[#This Row],[Location Type 1]]="Temporary Location",WWWW[[#This Row],[Total PoP ]]/50,(WWWW[[#This Row],[Total PoP ]]/6))),0)</f>
        <v>21</v>
      </c>
      <c r="DI256" s="893">
        <f>IF(WWWW[[#This Row],[Total required Latrines]]-(WWWW[[#This Row],['#_Constructed latrines_by_WASHAgencies]]+WWWW[[#This Row],['#_Non Cluster partner latrines]])&lt;0,0,WWWW[[#This Row],[Total required Latrines]]-(WWWW[[#This Row],['#_Constructed latrines_by_WASHAgencies]]+WWWW[[#This Row],['#_Non Cluster partner latrines]]))</f>
        <v>15</v>
      </c>
      <c r="DJ256" s="895">
        <f>1-WWWW[[#This Row],[% people access to functioning Latrine]]</f>
        <v>0.70422535211267601</v>
      </c>
      <c r="DK256" s="894">
        <f>IF(OR(WWWW[[#This Row],['#_Non-functional latrines]]="",WWWW[[#This Row],['#_Non-functional latrines]]=0),0,WWWW[[#This Row],['#_Non-functional latrines]]/(WWWW[[#This Row],['#_Constructed latrines_by_WASHAgencies]]+WWWW[[#This Row],['#_Non Cluster partner latrines]]))</f>
        <v>0</v>
      </c>
      <c r="DL256" s="890">
        <f>IF(500*(WWWW[[#This Row],['#_male hygiene promoters]]+WWWW[[#This Row],['#_female hygiene promoters]])&gt;WWWW[[#This Row],[Total PoP ]],WWWW[[#This Row],[Total PoP ]],500*(WWWW[[#This Row],['#_male hygiene promoters]]+WWWW[[#This Row],['#_female hygiene promoters]]))</f>
        <v>426</v>
      </c>
      <c r="DM25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310</v>
      </c>
      <c r="DN25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56" s="893">
        <f>IF(WWWW[[#This Row],['# People with access to soap]]&gt;WWWW[[#This Row],['# People with access to Sanity Pads]],WWWW[[#This Row],['# People with access to soap]],WWWW[[#This Row],['# People with access to Sanity Pads]])</f>
        <v>310</v>
      </c>
      <c r="DP256" s="893">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Q256" s="895">
        <f>IF(WWWW[[#This Row],[HRP3]]/WWWW[[#This Row],[Total PoP ]]&gt;1,1,WWWW[[#This Row],[HRP3]]/WWWW[[#This Row],[Total PoP ]])</f>
        <v>1</v>
      </c>
      <c r="DR256" s="894">
        <f>1-WWWW[[#This Row],[Hygiene Coverage%]]</f>
        <v>0</v>
      </c>
      <c r="DS256" s="892">
        <f>WWWW[[#This Row],['# people reached by regular dedicated hygiene promotion_5]]/WWWW[[#This Row],[Total PoP ]]</f>
        <v>1</v>
      </c>
      <c r="DT25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56" s="893">
        <f>WWWW[[#This Row],['#_Constructed/Existing hand washing stations]]-WWWW[[#This Row],['#_Non-Functional_hand_washing_stations]]</f>
        <v>3</v>
      </c>
      <c r="DW256" s="890">
        <f>IF(WWWW[[#This Row],['# Functional hand washing stations during reporting period]]*20&gt;WWWW[[#This Row],[Total HH]],WWWW[[#This Row],[Total HH]],WWWW[[#This Row],['# Functional hand washing stations during reporting period]]*20)</f>
        <v>60</v>
      </c>
      <c r="DX256" s="890">
        <f>IF(WWWW[[#This Row],[Is sufficient soap available for TLS? (Yes/No)]]="yes",WWWW[[#This Row],['#_Constructed/Existing hand washing stations at TLS/CFS/THF]],0)</f>
        <v>0</v>
      </c>
      <c r="DY256" s="428">
        <f>IF(WWWW[[#This Row],['# Functional hand washing stations during reporting period]]*100&gt;WWWW[[#This Row],[Total PoP ]],WWWW[[#This Row],[Total PoP ]],WWWW[[#This Row],['# Functional hand washing stations during reporting period]]*100)</f>
        <v>300</v>
      </c>
      <c r="DZ256" s="428" t="str">
        <f>IF(OR(WWWW[[#This Row],['#_students at TLS_CFS]]="",WWWW[[#This Row],['#_students at TLS_CFS]]=0),"No","Yes")</f>
        <v>No</v>
      </c>
      <c r="EA256" s="631">
        <f>IF(WWWW[[#This Row],['#_of_affected_people_surveyed_who_report_feeling_informed_about_the_different_WASH_services_available_to_them]]="","",WWWW[[#This Row],['#_of_affected_people_surveyed_who_report_feeling_informed_about_the_different_WASH_services_available_to_them]]/WWWW[[#This Row],[Total PoP ]])</f>
        <v>2.3474178403755867E-2</v>
      </c>
      <c r="EB25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8</v>
      </c>
      <c r="EC25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6" s="886" t="str">
        <f>VLOOKUP(WWWW[[#This Row],[Site Name]],SiteDB6[[Site Name]:[CCCM Management]],6,FALSE)</f>
        <v>Yes</v>
      </c>
      <c r="EF256" s="886" t="str">
        <f>VLOOKUP(WWWW[[#This Row],[Site Name]],SiteDB6[[Site Name]:[CCCM Focal Agency]],7,FALSE)</f>
        <v>KMSS-BMO</v>
      </c>
      <c r="EG256" s="886" t="str">
        <f>VLOOKUP(WWWW[[#This Row],[Site Name]],SiteDB6[[Site Name]:[Location Type 1]],9,FALSE)</f>
        <v>Camp</v>
      </c>
      <c r="EH256" s="886" t="str">
        <f>VLOOKUP(WWWW[[#This Row],[Site Name]],SiteDB6[[Site Name]:[Type of Accommodation]],10,FALSE)</f>
        <v>Camp</v>
      </c>
      <c r="EI256" s="886" t="str">
        <f>VLOOKUP(WWWW[[#This Row],[Site Name]],SiteDB6[[Site Name]:[Ethnic or GCA/NGCA]],11,FALSE)</f>
        <v>GCA</v>
      </c>
      <c r="EJ256" s="886">
        <f>VLOOKUP(WWWW[[#This Row],[Site Name]],SiteDB6[[Site Name]:[Lat]],12,FALSE)</f>
        <v>24.205417000000001</v>
      </c>
      <c r="EK256" s="886">
        <f>VLOOKUP(WWWW[[#This Row],[Site Name]],SiteDB6[[Site Name]:[Long]],13,FALSE)</f>
        <v>97.724566999999993</v>
      </c>
      <c r="EL256" s="886" t="str">
        <f>VLOOKUP(WWWW[[#This Row],[Site Name]],SiteDB6[[Site Name]:[Pcode]],3,FALSE)</f>
        <v>MMR001CMP069</v>
      </c>
      <c r="EM256" s="891" t="str">
        <f t="shared" si="3"/>
        <v>Covered</v>
      </c>
      <c r="EN256" s="891"/>
      <c r="EO256" s="886">
        <f>VLOOKUP(WWWW[[#This Row],[Site Name]],SiteDB6[[Site Name]:[Pop
(Kachin/Shan-CCCM as of July 2021)]],16,FALSE)</f>
        <v>79</v>
      </c>
      <c r="EP256" s="886">
        <f>VLOOKUP(WWWW[[#This Row],[Site Name]],SiteDB6[[Site Name]:[Pop
(Kachin/Shan-CCCM as of July 2021)]],17,FALSE)</f>
        <v>448</v>
      </c>
    </row>
    <row r="257" spans="1:146" hidden="1">
      <c r="A257" s="884" t="s">
        <v>2764</v>
      </c>
      <c r="B257" s="884" t="s">
        <v>276</v>
      </c>
      <c r="C257" s="885" t="s">
        <v>276</v>
      </c>
      <c r="D257" s="885" t="s">
        <v>3037</v>
      </c>
      <c r="E257" s="885" t="s">
        <v>37</v>
      </c>
      <c r="F257" s="885" t="s">
        <v>205</v>
      </c>
      <c r="G257" s="591" t="str">
        <f>VLOOKUP(WWWW[[#This Row],[Site Name]],SiteDB6[[Site Name]:[Location Type]],8,FALSE)</f>
        <v>Camp</v>
      </c>
      <c r="H257" s="885" t="s">
        <v>283</v>
      </c>
      <c r="I257" s="887">
        <v>232</v>
      </c>
      <c r="J257" s="887">
        <v>1322</v>
      </c>
      <c r="K257" s="888">
        <v>44652</v>
      </c>
      <c r="L257" s="889">
        <v>44895</v>
      </c>
      <c r="M257" s="887"/>
      <c r="N257" s="887"/>
      <c r="O257" s="887"/>
      <c r="P257" s="887"/>
      <c r="Q257" s="890" t="s">
        <v>41</v>
      </c>
      <c r="R257" s="887">
        <v>11</v>
      </c>
      <c r="S257" s="887">
        <v>13</v>
      </c>
      <c r="T257" s="448">
        <v>5</v>
      </c>
      <c r="U257" s="887"/>
      <c r="V257" s="887"/>
      <c r="W257" s="887">
        <v>3</v>
      </c>
      <c r="X257" s="887"/>
      <c r="Y257" s="887"/>
      <c r="Z257" s="887"/>
      <c r="AA257" s="887">
        <v>4</v>
      </c>
      <c r="AB257" s="887"/>
      <c r="AC257" s="887"/>
      <c r="AD257" s="887"/>
      <c r="AE257" s="887"/>
      <c r="AF257" s="887"/>
      <c r="AG257" s="887"/>
      <c r="AH257" s="887"/>
      <c r="AI257" s="887">
        <v>7</v>
      </c>
      <c r="AJ257" s="887">
        <v>7</v>
      </c>
      <c r="AK257" s="887">
        <v>36</v>
      </c>
      <c r="AL257" s="887">
        <v>36</v>
      </c>
      <c r="AM257" s="887"/>
      <c r="AN257" s="887"/>
      <c r="AO257" s="448"/>
      <c r="AP257" s="891"/>
      <c r="AQ257" s="887">
        <v>47</v>
      </c>
      <c r="AR257" s="887"/>
      <c r="AS257" s="892"/>
      <c r="AT257" s="887"/>
      <c r="AU257" s="887"/>
      <c r="AV257" s="887">
        <v>45</v>
      </c>
      <c r="AW257" s="887">
        <v>97</v>
      </c>
      <c r="AX257" s="887"/>
      <c r="AY257" s="886" t="s">
        <v>41</v>
      </c>
      <c r="AZ257" s="891" t="s">
        <v>137</v>
      </c>
      <c r="BA257" s="887"/>
      <c r="BB257" s="887"/>
      <c r="BC257" s="887"/>
      <c r="BD257" s="448"/>
      <c r="BE257" s="448">
        <v>3</v>
      </c>
      <c r="BF257" s="886"/>
      <c r="BG257" s="887">
        <v>3</v>
      </c>
      <c r="BH257" s="887"/>
      <c r="BI257" s="887"/>
      <c r="BJ257" s="887">
        <v>6</v>
      </c>
      <c r="BK257" s="887"/>
      <c r="BL257" s="887"/>
      <c r="BM257" s="887">
        <v>4</v>
      </c>
      <c r="BN257" s="887">
        <v>240</v>
      </c>
      <c r="BO257" s="887"/>
      <c r="BP257" s="886"/>
      <c r="BQ257" s="893"/>
      <c r="BR257" s="892"/>
      <c r="BS257" s="886"/>
      <c r="BT257" s="423">
        <v>1</v>
      </c>
      <c r="BU257" s="423">
        <v>1</v>
      </c>
      <c r="BV257" s="425">
        <v>41</v>
      </c>
      <c r="BW257" s="423">
        <v>1</v>
      </c>
      <c r="BX257" s="448"/>
      <c r="BY257" s="448">
        <v>47</v>
      </c>
      <c r="BZ257" s="448">
        <v>5</v>
      </c>
      <c r="CA257" s="448"/>
      <c r="CB257" s="448"/>
      <c r="CC257" s="777"/>
      <c r="CD257" s="448"/>
      <c r="CE257" s="894">
        <f>IFERROR(WWWW[[#This Row],['#_Water sources passed]]/WWWW[[#This Row],['#_Water sources tested for fecal coliform ]],"no test")</f>
        <v>1</v>
      </c>
      <c r="CF257" s="892">
        <f>IFERROR(WWWW[[#This Row],['#_Household passed]]/WWWW[[#This Row],['#_Household water samples tested for fecal coliform]],"no test")</f>
        <v>1</v>
      </c>
      <c r="CG257" s="893" t="str">
        <f>IF(AND(WWWW[[#This Row],[% of water sources passed]]="no test",WWWW[[#This Row],[% Household passed]]="no test"),"No Test","Tested")</f>
        <v>Tested</v>
      </c>
      <c r="CH257" s="893">
        <f>WWWW[[#This Row],['#_Constructed/existing protected hand dug well]]-WWWW[[#This Row],['#_Non-functional protected hand dug well]]</f>
        <v>5</v>
      </c>
      <c r="CI257" s="893">
        <f>(WWWW[[#This Row],['#_Constructed/Existing tube wells/boreholes/handpumps_WASH_agency]]+WWWW[[#This Row],['#_Non-Cluster partner water tube-wells/boreholes/handpumps]])-WWWW[[#This Row],['#_Non-functional tube wells/boreholes/handpumps]]</f>
        <v>3</v>
      </c>
      <c r="CJ257" s="893">
        <f>WWWW[[#This Row],['#_Constructed/Existingwater storage tank with gravity fed reticulation system]]-WWWW[[#This Row],['#_Non-functional storage tank gravity fed reticulation system]]</f>
        <v>4</v>
      </c>
      <c r="CK257" s="893">
        <f>(WWWW[[#This Row],['#_Water_Liters_supplied_by_Water boating or water trucking]]/90)/15</f>
        <v>0</v>
      </c>
      <c r="CL257" s="893">
        <f>WWWW[[#This Row],['#_Water_Liters_from_Constructed/Existing water distribution system from river or natural spring]]/90/15</f>
        <v>0</v>
      </c>
      <c r="CM257" s="424">
        <f>IF(WWWW[[#This Row],['#_of water points in TLS/CFS]]*500&gt;WWWW[[#This Row],[Total PoP ]],WWWW[[#This Row],[Total PoP ]],WWWW[[#This Row],['#_of water points in TLS/CFS]]*500)</f>
        <v>0</v>
      </c>
      <c r="CN257" s="424">
        <f>IF(WWWW[[#This Row],['#_of water points in THF]]*500&gt;WWWW[[#This Row],[Total PoP ]],WWWW[[#This Row],[Total PoP ]],WWWW[[#This Row],['#_of water points in THF]]*500)</f>
        <v>0</v>
      </c>
      <c r="CO25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7" s="892">
        <f>IF(WWWW[[#This Row],[Location Type 1]]="Village",WWWW[[#This Row],[Access to safe drinking water for Village]],WWWW[[#This Row],[Access to safe drinking water for Camp]])</f>
        <v>1</v>
      </c>
      <c r="CR257" s="890">
        <f>WWWW[[#This Row],[%Equitable and continuous access to sufficient quantity of safe drinking water]]*WWWW[[#This Row],[Total PoP ]]</f>
        <v>1322</v>
      </c>
      <c r="CS257" s="892">
        <f>IF((WWWW[[#This Row],['#_Constructed/Existing protected/fenced ponds]]*250)/WWWW[[#This Row],[Total PoP ]]&gt;1,1,(WWWW[[#This Row],['#_Constructed/Existing protected/fenced ponds]]*250)/WWWW[[#This Row],[Total PoP ]])</f>
        <v>0</v>
      </c>
      <c r="CT257" s="890">
        <f>WWWW[[#This Row],[% Access to unimproved water points]]*WWWW[[#This Row],[Total PoP ]]</f>
        <v>0</v>
      </c>
      <c r="CU25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1322</v>
      </c>
      <c r="CW257" s="890">
        <f>WWWW[[#This Row],[HRP1]]/500</f>
        <v>2.6440000000000001</v>
      </c>
      <c r="CX257" s="895">
        <f>1-WWWW[[#This Row],[% Equitable and continuous access to sufficient quantity of domestic water]]</f>
        <v>0</v>
      </c>
      <c r="CY257" s="890">
        <f>WWWW[[#This Row],[%equitable and continuous access to sufficient quantity of safe drinking and domestic water''s GAP]]*WWWW[[#This Row],[Total PoP ]]</f>
        <v>0</v>
      </c>
      <c r="CZ257" s="893">
        <f>IF(WWWW[[#This Row],[Total required water points]]-WWWW[[#This Row],['#Water points coverage]]&lt;0,0,WWWW[[#This Row],[Total required water points]]-WWWW[[#This Row],['#Water points coverage]])</f>
        <v>0.35599999999999987</v>
      </c>
      <c r="DA257" s="893">
        <f>ROUND(IF(WWWW[[#This Row],[Total PoP ]]&lt;500,1,WWWW[[#This Row],[Total PoP ]]/500),0)</f>
        <v>3</v>
      </c>
      <c r="DB257" s="893">
        <f>(WWWW[[#This Row],['#_Constructed latrines_by_WASHAgencies]]+WWWW[[#This Row],['#_Non Cluster partner latrines]])-WWWW[[#This Row],['#_Non-functional latrines]]</f>
        <v>47</v>
      </c>
      <c r="DC257" s="631">
        <f>WWWW[[#This Row],[HRP2]]/WWWW[[#This Row],[Total PoP ]]</f>
        <v>0.71331316187594551</v>
      </c>
      <c r="DD25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943</v>
      </c>
      <c r="DE25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900</v>
      </c>
      <c r="DF25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7" s="424">
        <f>IF(WWWW[[#This Row],['# of functional latrines in THF supported by WASH partners during the reporting period2]]="",0,WWWW[[#This Row],['# of functional latrines in THF supported by WASH partners during the reporting period2]]*50)</f>
        <v>0</v>
      </c>
      <c r="DH257" s="893">
        <f>ROUND(IF(WWWW[[#This Row],[Location Type 1]]="camp",WWWW[[#This Row],[Total PoP ]]/20,IF(WWWW[[#This Row],[Location Type 1]]="Temporary Location",WWWW[[#This Row],[Total PoP ]]/50,(WWWW[[#This Row],[Total PoP ]]/6))),0)</f>
        <v>66</v>
      </c>
      <c r="DI257" s="893">
        <f>IF(WWWW[[#This Row],[Total required Latrines]]-(WWWW[[#This Row],['#_Constructed latrines_by_WASHAgencies]]+WWWW[[#This Row],['#_Non Cluster partner latrines]])&lt;0,0,WWWW[[#This Row],[Total required Latrines]]-(WWWW[[#This Row],['#_Constructed latrines_by_WASHAgencies]]+WWWW[[#This Row],['#_Non Cluster partner latrines]]))</f>
        <v>19</v>
      </c>
      <c r="DJ257" s="895">
        <f>1-WWWW[[#This Row],[% people access to functioning Latrine]]</f>
        <v>0.28668683812405449</v>
      </c>
      <c r="DK257" s="894">
        <f>IF(OR(WWWW[[#This Row],['#_Non-functional latrines]]="",WWWW[[#This Row],['#_Non-functional latrines]]=0),0,WWWW[[#This Row],['#_Non-functional latrines]]/(WWWW[[#This Row],['#_Constructed latrines_by_WASHAgencies]]+WWWW[[#This Row],['#_Non Cluster partner latrines]]))</f>
        <v>0</v>
      </c>
      <c r="DL257" s="890">
        <f>IF(500*(WWWW[[#This Row],['#_male hygiene promoters]]+WWWW[[#This Row],['#_female hygiene promoters]])&gt;WWWW[[#This Row],[Total PoP ]],WWWW[[#This Row],[Total PoP ]],500*(WWWW[[#This Row],['#_male hygiene promoters]]+WWWW[[#This Row],['#_female hygiene promoters]]))</f>
        <v>1322</v>
      </c>
      <c r="DM25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1200</v>
      </c>
      <c r="DN25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57" s="893">
        <f>IF(WWWW[[#This Row],['# People with access to soap]]&gt;WWWW[[#This Row],['# People with access to Sanity Pads]],WWWW[[#This Row],['# People with access to soap]],WWWW[[#This Row],['# People with access to Sanity Pads]])</f>
        <v>1200</v>
      </c>
      <c r="DP257" s="893">
        <f>IF(WWWW[[#This Row],['# people reached by regular dedicated hygiene promotion_5]]&gt;WWWW[[#This Row],['# People received regular supply of hygiene items_6]],WWWW[[#This Row],['# people reached by regular dedicated hygiene promotion_5]],WWWW[[#This Row],['# People received regular supply of hygiene items_6]])</f>
        <v>1322</v>
      </c>
      <c r="DQ257" s="895">
        <f>IF(WWWW[[#This Row],[HRP3]]/WWWW[[#This Row],[Total PoP ]]&gt;1,1,WWWW[[#This Row],[HRP3]]/WWWW[[#This Row],[Total PoP ]])</f>
        <v>1</v>
      </c>
      <c r="DR257" s="894">
        <f>1-WWWW[[#This Row],[Hygiene Coverage%]]</f>
        <v>0</v>
      </c>
      <c r="DS257" s="892">
        <f>WWWW[[#This Row],['# people reached by regular dedicated hygiene promotion_5]]/WWWW[[#This Row],[Total PoP ]]</f>
        <v>1</v>
      </c>
      <c r="DT25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57" s="893">
        <f>WWWW[[#This Row],['#_Constructed/Existing hand washing stations]]-WWWW[[#This Row],['#_Non-Functional_hand_washing_stations]]</f>
        <v>3</v>
      </c>
      <c r="DW257" s="890">
        <f>IF(WWWW[[#This Row],['# Functional hand washing stations during reporting period]]*20&gt;WWWW[[#This Row],[Total HH]],WWWW[[#This Row],[Total HH]],WWWW[[#This Row],['# Functional hand washing stations during reporting period]]*20)</f>
        <v>60</v>
      </c>
      <c r="DX257" s="890">
        <f>IF(WWWW[[#This Row],[Is sufficient soap available for TLS? (Yes/No)]]="yes",WWWW[[#This Row],['#_Constructed/Existing hand washing stations at TLS/CFS/THF]],0)</f>
        <v>0</v>
      </c>
      <c r="DY257" s="428">
        <f>IF(WWWW[[#This Row],['# Functional hand washing stations during reporting period]]*100&gt;WWWW[[#This Row],[Total PoP ]],WWWW[[#This Row],[Total PoP ]],WWWW[[#This Row],['# Functional hand washing stations during reporting period]]*100)</f>
        <v>300</v>
      </c>
      <c r="DZ257" s="428" t="str">
        <f>IF(OR(WWWW[[#This Row],['#_students at TLS_CFS]]="",WWWW[[#This Row],['#_students at TLS_CFS]]=0),"No","Yes")</f>
        <v>No</v>
      </c>
      <c r="EA257" s="631">
        <f>IF(WWWW[[#This Row],['#_of_affected_people_surveyed_who_report_feeling_informed_about_the_different_WASH_services_available_to_them]]="","",WWWW[[#This Row],['#_of_affected_people_surveyed_who_report_feeling_informed_about_the_different_WASH_services_available_to_them]]/WWWW[[#This Row],[Total PoP ]])</f>
        <v>3.1013615733736764E-2</v>
      </c>
      <c r="EB25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52</v>
      </c>
      <c r="EC25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7" s="886" t="str">
        <f>VLOOKUP(WWWW[[#This Row],[Site Name]],SiteDB6[[Site Name]:[CCCM Management]],6,FALSE)</f>
        <v>Yes</v>
      </c>
      <c r="EF257" s="886" t="str">
        <f>VLOOKUP(WWWW[[#This Row],[Site Name]],SiteDB6[[Site Name]:[CCCM Focal Agency]],7,FALSE)</f>
        <v>KBC-BMO</v>
      </c>
      <c r="EG257" s="886" t="str">
        <f>VLOOKUP(WWWW[[#This Row],[Site Name]],SiteDB6[[Site Name]:[Location Type 1]],9,FALSE)</f>
        <v>Camp</v>
      </c>
      <c r="EH257" s="886" t="str">
        <f>VLOOKUP(WWWW[[#This Row],[Site Name]],SiteDB6[[Site Name]:[Type of Accommodation]],10,FALSE)</f>
        <v>Camp</v>
      </c>
      <c r="EI257" s="886" t="str">
        <f>VLOOKUP(WWWW[[#This Row],[Site Name]],SiteDB6[[Site Name]:[Ethnic or GCA/NGCA]],11,FALSE)</f>
        <v>GCA</v>
      </c>
      <c r="EJ257" s="886">
        <f>VLOOKUP(WWWW[[#This Row],[Site Name]],SiteDB6[[Site Name]:[Lat]],12,FALSE)</f>
        <v>24.200433</v>
      </c>
      <c r="EK257" s="886">
        <f>VLOOKUP(WWWW[[#This Row],[Site Name]],SiteDB6[[Site Name]:[Long]],13,FALSE)</f>
        <v>97.717133000000004</v>
      </c>
      <c r="EL257" s="886" t="str">
        <f>VLOOKUP(WWWW[[#This Row],[Site Name]],SiteDB6[[Site Name]:[Pcode]],3,FALSE)</f>
        <v>MMR001CMP070</v>
      </c>
      <c r="EM257" s="891" t="str">
        <f t="shared" si="3"/>
        <v>Covered</v>
      </c>
      <c r="EN257" s="891"/>
      <c r="EO257" s="886">
        <f>VLOOKUP(WWWW[[#This Row],[Site Name]],SiteDB6[[Site Name]:[Pop
(Kachin/Shan-CCCM as of July 2021)]],16,FALSE)</f>
        <v>240</v>
      </c>
      <c r="EP257" s="886">
        <f>VLOOKUP(WWWW[[#This Row],[Site Name]],SiteDB6[[Site Name]:[Pop
(Kachin/Shan-CCCM as of July 2021)]],17,FALSE)</f>
        <v>1395</v>
      </c>
    </row>
    <row r="258" spans="1:146" hidden="1">
      <c r="A258" s="884" t="s">
        <v>2764</v>
      </c>
      <c r="B258" s="884" t="s">
        <v>36</v>
      </c>
      <c r="C258" s="885" t="s">
        <v>36</v>
      </c>
      <c r="D258" s="885" t="s">
        <v>241</v>
      </c>
      <c r="E258" s="885" t="s">
        <v>37</v>
      </c>
      <c r="F258" s="885" t="s">
        <v>148</v>
      </c>
      <c r="G258" s="591" t="str">
        <f>VLOOKUP(WWWW[[#This Row],[Site Name]],SiteDB6[[Site Name]:[Location Type]],8,FALSE)</f>
        <v>Camp_not registered</v>
      </c>
      <c r="H258" s="885" t="s">
        <v>1591</v>
      </c>
      <c r="I258" s="887">
        <v>94</v>
      </c>
      <c r="J258" s="887">
        <v>467</v>
      </c>
      <c r="K258" s="888">
        <v>44414</v>
      </c>
      <c r="L258" s="889">
        <v>44778</v>
      </c>
      <c r="M258" s="887"/>
      <c r="N258" s="887">
        <v>5</v>
      </c>
      <c r="O258" s="887"/>
      <c r="P258" s="887"/>
      <c r="Q258" s="890" t="s">
        <v>41</v>
      </c>
      <c r="R258" s="887">
        <v>2</v>
      </c>
      <c r="S258" s="887">
        <v>5</v>
      </c>
      <c r="T258" s="448">
        <v>1</v>
      </c>
      <c r="U258" s="887">
        <v>1</v>
      </c>
      <c r="V258" s="887">
        <v>1</v>
      </c>
      <c r="W258" s="887"/>
      <c r="X258" s="887"/>
      <c r="Y258" s="887"/>
      <c r="Z258" s="887"/>
      <c r="AA258" s="887"/>
      <c r="AB258" s="887"/>
      <c r="AC258" s="887"/>
      <c r="AD258" s="887"/>
      <c r="AE258" s="887"/>
      <c r="AF258" s="887"/>
      <c r="AG258" s="887"/>
      <c r="AH258" s="887">
        <v>7</v>
      </c>
      <c r="AI258" s="887">
        <v>10</v>
      </c>
      <c r="AJ258" s="887">
        <v>1</v>
      </c>
      <c r="AK258" s="887"/>
      <c r="AL258" s="887"/>
      <c r="AM258" s="887"/>
      <c r="AN258" s="887"/>
      <c r="AO258" s="448"/>
      <c r="AP258" s="891"/>
      <c r="AQ258" s="887">
        <v>12</v>
      </c>
      <c r="AR258" s="887"/>
      <c r="AS258" s="892"/>
      <c r="AT258" s="887"/>
      <c r="AU258" s="887"/>
      <c r="AV258" s="887"/>
      <c r="AW258" s="887"/>
      <c r="AX258" s="887"/>
      <c r="AY258" s="886" t="s">
        <v>41</v>
      </c>
      <c r="AZ258" s="891" t="s">
        <v>137</v>
      </c>
      <c r="BA258" s="887">
        <v>3</v>
      </c>
      <c r="BB258" s="887"/>
      <c r="BC258" s="887"/>
      <c r="BD258" s="448"/>
      <c r="BE258" s="448"/>
      <c r="BF258" s="886"/>
      <c r="BG258" s="887">
        <v>1</v>
      </c>
      <c r="BH258" s="887"/>
      <c r="BI258" s="887"/>
      <c r="BJ258" s="887">
        <v>2</v>
      </c>
      <c r="BK258" s="887">
        <v>1</v>
      </c>
      <c r="BL258" s="887"/>
      <c r="BM258" s="887">
        <v>1</v>
      </c>
      <c r="BN258" s="887">
        <v>94</v>
      </c>
      <c r="BO258" s="887">
        <v>100.17150000000001</v>
      </c>
      <c r="BP258" s="886" t="s">
        <v>41</v>
      </c>
      <c r="BQ258" s="893">
        <v>100</v>
      </c>
      <c r="BR258" s="892">
        <v>0.3</v>
      </c>
      <c r="BS258" s="886" t="s">
        <v>3035</v>
      </c>
      <c r="BT258" s="423"/>
      <c r="BU258" s="423"/>
      <c r="BV258" s="425"/>
      <c r="BW258" s="423">
        <v>0.01</v>
      </c>
      <c r="BX258" s="448"/>
      <c r="BY258" s="448"/>
      <c r="BZ258" s="448"/>
      <c r="CA258" s="448"/>
      <c r="CB258" s="448"/>
      <c r="CC258" s="777"/>
      <c r="CD258" s="448"/>
      <c r="CE258" s="894">
        <f>IFERROR(WWWW[[#This Row],['#_Water sources passed]]/WWWW[[#This Row],['#_Water sources tested for fecal coliform ]],"no test")</f>
        <v>0.1</v>
      </c>
      <c r="CF258" s="892" t="str">
        <f>IFERROR(WWWW[[#This Row],['#_Household passed]]/WWWW[[#This Row],['#_Household water samples tested for fecal coliform]],"no test")</f>
        <v>no test</v>
      </c>
      <c r="CG258" s="893" t="str">
        <f>IF(AND(WWWW[[#This Row],[% of water sources passed]]="no test",WWWW[[#This Row],[% Household passed]]="no test"),"No Test","Tested")</f>
        <v>Tested</v>
      </c>
      <c r="CH258" s="893">
        <f>WWWW[[#This Row],['#_Constructed/existing protected hand dug well]]-WWWW[[#This Row],['#_Non-functional protected hand dug well]]</f>
        <v>0</v>
      </c>
      <c r="CI258" s="893">
        <f>(WWWW[[#This Row],['#_Constructed/Existing tube wells/boreholes/handpumps_WASH_agency]]+WWWW[[#This Row],['#_Non-Cluster partner water tube-wells/boreholes/handpumps]])-WWWW[[#This Row],['#_Non-functional tube wells/boreholes/handpumps]]</f>
        <v>0</v>
      </c>
      <c r="CJ258" s="893">
        <f>WWWW[[#This Row],['#_Constructed/Existingwater storage tank with gravity fed reticulation system]]-WWWW[[#This Row],['#_Non-functional storage tank gravity fed reticulation system]]</f>
        <v>0</v>
      </c>
      <c r="CK258" s="893">
        <f>(WWWW[[#This Row],['#_Water_Liters_supplied_by_Water boating or water trucking]]/90)/15</f>
        <v>0</v>
      </c>
      <c r="CL258" s="893">
        <f>WWWW[[#This Row],['#_Water_Liters_from_Constructed/Existing water distribution system from river or natural spring]]/90/15</f>
        <v>0</v>
      </c>
      <c r="CM258" s="424">
        <f>IF(WWWW[[#This Row],['#_of water points in TLS/CFS]]*500&gt;WWWW[[#This Row],[Total PoP ]],WWWW[[#This Row],[Total PoP ]],WWWW[[#This Row],['#_of water points in TLS/CFS]]*500)</f>
        <v>0</v>
      </c>
      <c r="CN258" s="424">
        <f>IF(WWWW[[#This Row],['#_of water points in THF]]*500&gt;WWWW[[#This Row],[Total PoP ]],WWWW[[#This Row],[Total PoP ]],WWWW[[#This Row],['#_of water points in THF]]*500)</f>
        <v>0</v>
      </c>
      <c r="CO25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5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58" s="892">
        <f>IF(WWWW[[#This Row],[Location Type 1]]="Village",WWWW[[#This Row],[Access to safe drinking water for Village]],WWWW[[#This Row],[Access to safe drinking water for Camp]])</f>
        <v>0</v>
      </c>
      <c r="CR258" s="890">
        <f>WWWW[[#This Row],[%Equitable and continuous access to sufficient quantity of safe drinking water]]*WWWW[[#This Row],[Total PoP ]]</f>
        <v>0</v>
      </c>
      <c r="CS258" s="892">
        <f>IF((WWWW[[#This Row],['#_Constructed/Existing protected/fenced ponds]]*250)/WWWW[[#This Row],[Total PoP ]]&gt;1,1,(WWWW[[#This Row],['#_Constructed/Existing protected/fenced ponds]]*250)/WWWW[[#This Row],[Total PoP ]])</f>
        <v>0</v>
      </c>
      <c r="CT258" s="890">
        <f>WWWW[[#This Row],[% Access to unimproved water points]]*WWWW[[#This Row],[Total PoP ]]</f>
        <v>0</v>
      </c>
      <c r="CU25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5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58" s="890">
        <f>WWWW[[#This Row],[HRP1]]/500</f>
        <v>0</v>
      </c>
      <c r="CX258" s="895">
        <f>1-WWWW[[#This Row],[% Equitable and continuous access to sufficient quantity of domestic water]]</f>
        <v>1</v>
      </c>
      <c r="CY258" s="890">
        <f>WWWW[[#This Row],[%equitable and continuous access to sufficient quantity of safe drinking and domestic water''s GAP]]*WWWW[[#This Row],[Total PoP ]]</f>
        <v>467</v>
      </c>
      <c r="CZ258" s="893">
        <f>IF(WWWW[[#This Row],[Total required water points]]-WWWW[[#This Row],['#Water points coverage]]&lt;0,0,WWWW[[#This Row],[Total required water points]]-WWWW[[#This Row],['#Water points coverage]])</f>
        <v>1</v>
      </c>
      <c r="DA258" s="893">
        <f>ROUND(IF(WWWW[[#This Row],[Total PoP ]]&lt;500,1,WWWW[[#This Row],[Total PoP ]]/500),0)</f>
        <v>1</v>
      </c>
      <c r="DB258" s="893">
        <f>(WWWW[[#This Row],['#_Constructed latrines_by_WASHAgencies]]+WWWW[[#This Row],['#_Non Cluster partner latrines]])-WWWW[[#This Row],['#_Non-functional latrines]]</f>
        <v>12</v>
      </c>
      <c r="DC258" s="631">
        <f>WWWW[[#This Row],[HRP2]]/WWWW[[#This Row],[Total PoP ]]</f>
        <v>0.64239828693790146</v>
      </c>
      <c r="DD25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25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8" s="424">
        <f>IF(WWWW[[#This Row],['# of functional latrines in THF supported by WASH partners during the reporting period2]]="",0,WWWW[[#This Row],['# of functional latrines in THF supported by WASH partners during the reporting period2]]*50)</f>
        <v>0</v>
      </c>
      <c r="DH258" s="893">
        <f>ROUND(IF(WWWW[[#This Row],[Location Type 1]]="camp",WWWW[[#This Row],[Total PoP ]]/20,IF(WWWW[[#This Row],[Location Type 1]]="Temporary Location",WWWW[[#This Row],[Total PoP ]]/50,(WWWW[[#This Row],[Total PoP ]]/6))),0)</f>
        <v>23</v>
      </c>
      <c r="DI258" s="893">
        <f>IF(WWWW[[#This Row],[Total required Latrines]]-(WWWW[[#This Row],['#_Constructed latrines_by_WASHAgencies]]+WWWW[[#This Row],['#_Non Cluster partner latrines]])&lt;0,0,WWWW[[#This Row],[Total required Latrines]]-(WWWW[[#This Row],['#_Constructed latrines_by_WASHAgencies]]+WWWW[[#This Row],['#_Non Cluster partner latrines]]))</f>
        <v>11</v>
      </c>
      <c r="DJ258" s="895">
        <f>1-WWWW[[#This Row],[% people access to functioning Latrine]]</f>
        <v>0.35760171306209854</v>
      </c>
      <c r="DK258" s="894">
        <f>IF(OR(WWWW[[#This Row],['#_Non-functional latrines]]="",WWWW[[#This Row],['#_Non-functional latrines]]=0),0,WWWW[[#This Row],['#_Non-functional latrines]]/(WWWW[[#This Row],['#_Constructed latrines_by_WASHAgencies]]+WWWW[[#This Row],['#_Non Cluster partner latrines]]))</f>
        <v>0</v>
      </c>
      <c r="DL258" s="890">
        <f>IF(500*(WWWW[[#This Row],['#_male hygiene promoters]]+WWWW[[#This Row],['#_female hygiene promoters]])&gt;WWWW[[#This Row],[Total PoP ]],WWWW[[#This Row],[Total PoP ]],500*(WWWW[[#This Row],['#_male hygiene promoters]]+WWWW[[#This Row],['#_female hygiene promoters]]))</f>
        <v>467</v>
      </c>
      <c r="DM25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467</v>
      </c>
      <c r="DN25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100.17150000000001</v>
      </c>
      <c r="DO258" s="893">
        <f>IF(WWWW[[#This Row],['# People with access to soap]]&gt;WWWW[[#This Row],['# People with access to Sanity Pads]],WWWW[[#This Row],['# People with access to soap]],WWWW[[#This Row],['# People with access to Sanity Pads]])</f>
        <v>467</v>
      </c>
      <c r="DP258" s="893">
        <f>IF(WWWW[[#This Row],['# people reached by regular dedicated hygiene promotion_5]]&gt;WWWW[[#This Row],['# People received regular supply of hygiene items_6]],WWWW[[#This Row],['# people reached by regular dedicated hygiene promotion_5]],WWWW[[#This Row],['# People received regular supply of hygiene items_6]])</f>
        <v>467</v>
      </c>
      <c r="DQ258" s="895">
        <f>IF(WWWW[[#This Row],[HRP3]]/WWWW[[#This Row],[Total PoP ]]&gt;1,1,WWWW[[#This Row],[HRP3]]/WWWW[[#This Row],[Total PoP ]])</f>
        <v>1</v>
      </c>
      <c r="DR258" s="894">
        <f>1-WWWW[[#This Row],[Hygiene Coverage%]]</f>
        <v>0</v>
      </c>
      <c r="DS258" s="892">
        <f>WWWW[[#This Row],['# people reached by regular dedicated hygiene promotion_5]]/WWWW[[#This Row],[Total PoP ]]</f>
        <v>1</v>
      </c>
      <c r="DT25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8" s="893">
        <f>WWWW[[#This Row],['#_Constructed/Existing hand washing stations]]-WWWW[[#This Row],['#_Non-Functional_hand_washing_stations]]</f>
        <v>1</v>
      </c>
      <c r="DW258" s="890">
        <f>IF(WWWW[[#This Row],['# Functional hand washing stations during reporting period]]*20&gt;WWWW[[#This Row],[Total HH]],WWWW[[#This Row],[Total HH]],WWWW[[#This Row],['# Functional hand washing stations during reporting period]]*20)</f>
        <v>20</v>
      </c>
      <c r="DX258" s="890">
        <f>IF(WWWW[[#This Row],[Is sufficient soap available for TLS? (Yes/No)]]="yes",WWWW[[#This Row],['#_Constructed/Existing hand washing stations at TLS/CFS/THF]],0)</f>
        <v>0</v>
      </c>
      <c r="DY258" s="428">
        <f>IF(WWWW[[#This Row],['# Functional hand washing stations during reporting period]]*100&gt;WWWW[[#This Row],[Total PoP ]],WWWW[[#This Row],[Total PoP ]],WWWW[[#This Row],['# Functional hand washing stations during reporting period]]*100)</f>
        <v>100</v>
      </c>
      <c r="DZ258" s="428" t="str">
        <f>IF(OR(WWWW[[#This Row],['#_students at TLS_CFS]]="",WWWW[[#This Row],['#_students at TLS_CFS]]=0),"No","Yes")</f>
        <v>No</v>
      </c>
      <c r="EA25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8" s="886">
        <f>VLOOKUP(WWWW[[#This Row],[Site Name]],SiteDB6[[Site Name]:[CCCM Management]],6,FALSE)</f>
        <v>0</v>
      </c>
      <c r="EF258" s="886">
        <f>VLOOKUP(WWWW[[#This Row],[Site Name]],SiteDB6[[Site Name]:[CCCM Focal Agency]],7,FALSE)</f>
        <v>0</v>
      </c>
      <c r="EG258" s="886" t="str">
        <f>VLOOKUP(WWWW[[#This Row],[Site Name]],SiteDB6[[Site Name]:[Location Type 1]],9,FALSE)</f>
        <v>Camp</v>
      </c>
      <c r="EH258" s="886" t="str">
        <f>VLOOKUP(WWWW[[#This Row],[Site Name]],SiteDB6[[Site Name]:[Type of Accommodation]],10,FALSE)</f>
        <v>Camp like setting</v>
      </c>
      <c r="EI258" s="886" t="str">
        <f>VLOOKUP(WWWW[[#This Row],[Site Name]],SiteDB6[[Site Name]:[Ethnic or GCA/NGCA]],11,FALSE)</f>
        <v>GCA</v>
      </c>
      <c r="EJ258" s="886">
        <f>VLOOKUP(WWWW[[#This Row],[Site Name]],SiteDB6[[Site Name]:[Lat]],12,FALSE)</f>
        <v>0</v>
      </c>
      <c r="EK258" s="886">
        <f>VLOOKUP(WWWW[[#This Row],[Site Name]],SiteDB6[[Site Name]:[Long]],13,FALSE)</f>
        <v>0</v>
      </c>
      <c r="EL258" s="886">
        <f>VLOOKUP(WWWW[[#This Row],[Site Name]],SiteDB6[[Site Name]:[Pcode]],3,FALSE)</f>
        <v>0</v>
      </c>
      <c r="EM258" s="891" t="str">
        <f t="shared" si="3"/>
        <v>Covered</v>
      </c>
      <c r="EN258" s="891"/>
      <c r="EO258" s="886">
        <f>VLOOKUP(WWWW[[#This Row],[Site Name]],SiteDB6[[Site Name]:[Pop
(Kachin/Shan-CCCM as of July 2021)]],16,FALSE)</f>
        <v>0</v>
      </c>
      <c r="EP258" s="886">
        <f>VLOOKUP(WWWW[[#This Row],[Site Name]],SiteDB6[[Site Name]:[Pop
(Kachin/Shan-CCCM as of July 2021)]],17,FALSE)</f>
        <v>0</v>
      </c>
    </row>
    <row r="259" spans="1:146" hidden="1">
      <c r="A259" s="884" t="s">
        <v>2764</v>
      </c>
      <c r="B259" s="884" t="s">
        <v>276</v>
      </c>
      <c r="C259" s="885" t="s">
        <v>276</v>
      </c>
      <c r="D259" s="885" t="s">
        <v>3037</v>
      </c>
      <c r="E259" s="885" t="s">
        <v>37</v>
      </c>
      <c r="F259" s="885" t="s">
        <v>205</v>
      </c>
      <c r="G259" s="591" t="str">
        <f>VLOOKUP(WWWW[[#This Row],[Site Name]],SiteDB6[[Site Name]:[Location Type]],8,FALSE)</f>
        <v>Camp_not registered</v>
      </c>
      <c r="H259" s="885" t="s">
        <v>288</v>
      </c>
      <c r="I259" s="887"/>
      <c r="J259" s="887"/>
      <c r="K259" s="888">
        <v>43833</v>
      </c>
      <c r="L259" s="889">
        <v>44620</v>
      </c>
      <c r="M259" s="887"/>
      <c r="N259" s="887"/>
      <c r="O259" s="887"/>
      <c r="P259" s="887"/>
      <c r="Q259" s="890" t="s">
        <v>41</v>
      </c>
      <c r="R259" s="887"/>
      <c r="S259" s="887"/>
      <c r="T259" s="448">
        <v>2</v>
      </c>
      <c r="U259" s="887"/>
      <c r="V259" s="887"/>
      <c r="W259" s="887">
        <v>1</v>
      </c>
      <c r="X259" s="887"/>
      <c r="Y259" s="887"/>
      <c r="Z259" s="887"/>
      <c r="AA259" s="887"/>
      <c r="AB259" s="887"/>
      <c r="AC259" s="887"/>
      <c r="AD259" s="887"/>
      <c r="AE259" s="887"/>
      <c r="AF259" s="887"/>
      <c r="AG259" s="887"/>
      <c r="AH259" s="887"/>
      <c r="AI259" s="887"/>
      <c r="AJ259" s="887"/>
      <c r="AK259" s="887"/>
      <c r="AL259" s="887"/>
      <c r="AM259" s="887"/>
      <c r="AN259" s="887"/>
      <c r="AO259" s="448"/>
      <c r="AP259" s="891"/>
      <c r="AQ259" s="887">
        <v>7</v>
      </c>
      <c r="AR259" s="887"/>
      <c r="AS259" s="892"/>
      <c r="AT259" s="887"/>
      <c r="AU259" s="887"/>
      <c r="AV259" s="887"/>
      <c r="AW259" s="887"/>
      <c r="AX259" s="887"/>
      <c r="AY259" s="886" t="s">
        <v>41</v>
      </c>
      <c r="AZ259" s="891" t="s">
        <v>140</v>
      </c>
      <c r="BA259" s="887"/>
      <c r="BB259" s="887"/>
      <c r="BC259" s="887"/>
      <c r="BD259" s="448"/>
      <c r="BE259" s="448">
        <v>5</v>
      </c>
      <c r="BF259" s="886"/>
      <c r="BG259" s="887">
        <v>1</v>
      </c>
      <c r="BH259" s="887"/>
      <c r="BI259" s="887"/>
      <c r="BJ259" s="887">
        <v>3</v>
      </c>
      <c r="BK259" s="887"/>
      <c r="BL259" s="887"/>
      <c r="BM259" s="887"/>
      <c r="BN259" s="887"/>
      <c r="BO259" s="887"/>
      <c r="BP259" s="886"/>
      <c r="BQ259" s="893"/>
      <c r="BR259" s="892"/>
      <c r="BS259" s="886"/>
      <c r="BT259" s="423"/>
      <c r="BU259" s="423"/>
      <c r="BV259" s="425"/>
      <c r="BW259" s="423"/>
      <c r="BX259" s="448"/>
      <c r="BY259" s="448"/>
      <c r="BZ259" s="448"/>
      <c r="CA259" s="448"/>
      <c r="CB259" s="448"/>
      <c r="CC259" s="777"/>
      <c r="CD259" s="448"/>
      <c r="CE259" s="894" t="str">
        <f>IFERROR(WWWW[[#This Row],['#_Water sources passed]]/WWWW[[#This Row],['#_Water sources tested for fecal coliform ]],"no test")</f>
        <v>no test</v>
      </c>
      <c r="CF259" s="892" t="str">
        <f>IFERROR(WWWW[[#This Row],['#_Household passed]]/WWWW[[#This Row],['#_Household water samples tested for fecal coliform]],"no test")</f>
        <v>no test</v>
      </c>
      <c r="CG259" s="893" t="str">
        <f>IF(AND(WWWW[[#This Row],[% of water sources passed]]="no test",WWWW[[#This Row],[% Household passed]]="no test"),"No Test","Tested")</f>
        <v>No Test</v>
      </c>
      <c r="CH259" s="893">
        <f>WWWW[[#This Row],['#_Constructed/existing protected hand dug well]]-WWWW[[#This Row],['#_Non-functional protected hand dug well]]</f>
        <v>2</v>
      </c>
      <c r="CI259" s="893">
        <f>(WWWW[[#This Row],['#_Constructed/Existing tube wells/boreholes/handpumps_WASH_agency]]+WWWW[[#This Row],['#_Non-Cluster partner water tube-wells/boreholes/handpumps]])-WWWW[[#This Row],['#_Non-functional tube wells/boreholes/handpumps]]</f>
        <v>1</v>
      </c>
      <c r="CJ259" s="893">
        <f>WWWW[[#This Row],['#_Constructed/Existingwater storage tank with gravity fed reticulation system]]-WWWW[[#This Row],['#_Non-functional storage tank gravity fed reticulation system]]</f>
        <v>0</v>
      </c>
      <c r="CK259" s="893">
        <f>(WWWW[[#This Row],['#_Water_Liters_supplied_by_Water boating or water trucking]]/90)/15</f>
        <v>0</v>
      </c>
      <c r="CL259" s="893">
        <f>WWWW[[#This Row],['#_Water_Liters_from_Constructed/Existing water distribution system from river or natural spring]]/90/15</f>
        <v>0</v>
      </c>
      <c r="CM259" s="424">
        <f>IF(WWWW[[#This Row],['#_of water points in TLS/CFS]]*500&gt;WWWW[[#This Row],[Total PoP ]],WWWW[[#This Row],[Total PoP ]],WWWW[[#This Row],['#_of water points in TLS/CFS]]*500)</f>
        <v>0</v>
      </c>
      <c r="CN259" s="424">
        <f>IF(WWWW[[#This Row],['#_of water points in THF]]*500&gt;WWWW[[#This Row],[Total PoP ]],WWWW[[#This Row],[Total PoP ]],WWWW[[#This Row],['#_of water points in THF]]*500)</f>
        <v>0</v>
      </c>
      <c r="CO259" s="894"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259" s="894"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259" s="892" t="str">
        <f>IF(WWWW[[#This Row],[Location Type 1]]="Village",WWWW[[#This Row],[Access to safe drinking water for Village]],WWWW[[#This Row],[Access to safe drinking water for Camp]])</f>
        <v/>
      </c>
      <c r="CR259" s="890"/>
      <c r="CS259" s="892"/>
      <c r="CT259" s="890">
        <f>WWWW[[#This Row],[% Access to unimproved water points]]*WWWW[[#This Row],[Total PoP ]]</f>
        <v>0</v>
      </c>
      <c r="CU259" s="892"/>
      <c r="CV25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59" s="890">
        <f>WWWW[[#This Row],[HRP1]]/500</f>
        <v>0</v>
      </c>
      <c r="CX259" s="895">
        <f>1-WWWW[[#This Row],[% Equitable and continuous access to sufficient quantity of domestic water]]</f>
        <v>1</v>
      </c>
      <c r="CY259" s="890">
        <f>WWWW[[#This Row],[%equitable and continuous access to sufficient quantity of safe drinking and domestic water''s GAP]]*WWWW[[#This Row],[Total PoP ]]</f>
        <v>0</v>
      </c>
      <c r="CZ259" s="893">
        <f>IF(WWWW[[#This Row],[Total required water points]]-WWWW[[#This Row],['#Water points coverage]]&lt;0,0,WWWW[[#This Row],[Total required water points]]-WWWW[[#This Row],['#Water points coverage]])</f>
        <v>1</v>
      </c>
      <c r="DA259" s="893">
        <f>ROUND(IF(WWWW[[#This Row],[Total PoP ]]&lt;500,1,WWWW[[#This Row],[Total PoP ]]/500),0)</f>
        <v>1</v>
      </c>
      <c r="DB259" s="893">
        <f>(WWWW[[#This Row],['#_Constructed latrines_by_WASHAgencies]]+WWWW[[#This Row],['#_Non Cluster partner latrines]])-WWWW[[#This Row],['#_Non-functional latrines]]</f>
        <v>7</v>
      </c>
      <c r="DC259" s="631"/>
      <c r="DD25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5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9" s="424">
        <f>IF(WWWW[[#This Row],['# of functional latrines in THF supported by WASH partners during the reporting period2]]="",0,WWWW[[#This Row],['# of functional latrines in THF supported by WASH partners during the reporting period2]]*50)</f>
        <v>0</v>
      </c>
      <c r="DH259" s="893">
        <f>ROUND(IF(WWWW[[#This Row],[Location Type 1]]="camp",WWWW[[#This Row],[Total PoP ]]/20,IF(WWWW[[#This Row],[Location Type 1]]="Temporary Location",WWWW[[#This Row],[Total PoP ]]/50,(WWWW[[#This Row],[Total PoP ]]/6))),0)</f>
        <v>0</v>
      </c>
      <c r="DI259" s="893">
        <f>IF(WWWW[[#This Row],[Total required Latrines]]-(WWWW[[#This Row],['#_Constructed latrines_by_WASHAgencies]]+WWWW[[#This Row],['#_Non Cluster partner latrines]])&lt;0,0,WWWW[[#This Row],[Total required Latrines]]-(WWWW[[#This Row],['#_Constructed latrines_by_WASHAgencies]]+WWWW[[#This Row],['#_Non Cluster partner latrines]]))</f>
        <v>0</v>
      </c>
      <c r="DJ259" s="895"/>
      <c r="DK259" s="894">
        <f>IF(OR(WWWW[[#This Row],['#_Non-functional latrines]]="",WWWW[[#This Row],['#_Non-functional latrines]]=0),0,WWWW[[#This Row],['#_Non-functional latrines]]/(WWWW[[#This Row],['#_Constructed latrines_by_WASHAgencies]]+WWWW[[#This Row],['#_Non Cluster partner latrines]]))</f>
        <v>0</v>
      </c>
      <c r="DL259" s="890">
        <f>IF(500*(WWWW[[#This Row],['#_male hygiene promoters]]+WWWW[[#This Row],['#_female hygiene promoters]])&gt;WWWW[[#This Row],[Total PoP ]],WWWW[[#This Row],[Total PoP ]],500*(WWWW[[#This Row],['#_male hygiene promoters]]+WWWW[[#This Row],['#_female hygiene promoters]]))</f>
        <v>0</v>
      </c>
      <c r="DM25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5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59" s="893">
        <f>IF(WWWW[[#This Row],['# People with access to soap]]&gt;WWWW[[#This Row],['# People with access to Sanity Pads]],WWWW[[#This Row],['# People with access to soap]],WWWW[[#This Row],['# People with access to Sanity Pads]])</f>
        <v>0</v>
      </c>
      <c r="DP259"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59" s="895"/>
      <c r="DR259" s="894"/>
      <c r="DS259" s="892"/>
      <c r="DT259" s="894"/>
      <c r="DU259" s="892"/>
      <c r="DV259" s="893">
        <f>WWWW[[#This Row],['#_Constructed/Existing hand washing stations]]-WWWW[[#This Row],['#_Non-Functional_hand_washing_stations]]</f>
        <v>1</v>
      </c>
      <c r="DW259" s="890">
        <f>IF(WWWW[[#This Row],['# Functional hand washing stations during reporting period]]*20&gt;WWWW[[#This Row],[Total HH]],WWWW[[#This Row],[Total HH]],WWWW[[#This Row],['# Functional hand washing stations during reporting period]]*20)</f>
        <v>0</v>
      </c>
      <c r="DX259" s="890">
        <f>IF(WWWW[[#This Row],[Is sufficient soap available for TLS? (Yes/No)]]="yes",WWWW[[#This Row],['#_Constructed/Existing hand washing stations at TLS/CFS/THF]],0)</f>
        <v>0</v>
      </c>
      <c r="DY259" s="428">
        <f>IF(WWWW[[#This Row],['# Functional hand washing stations during reporting period]]*100&gt;WWWW[[#This Row],[Total PoP ]],WWWW[[#This Row],[Total PoP ]],WWWW[[#This Row],['# Functional hand washing stations during reporting period]]*100)</f>
        <v>0</v>
      </c>
      <c r="DZ259" s="428" t="str">
        <f>IF(OR(WWWW[[#This Row],['#_students at TLS_CFS]]="",WWWW[[#This Row],['#_students at TLS_CFS]]=0),"No","Yes")</f>
        <v>No</v>
      </c>
      <c r="EA25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9" s="886">
        <f>VLOOKUP(WWWW[[#This Row],[Site Name]],SiteDB6[[Site Name]:[CCCM Management]],6,FALSE)</f>
        <v>0</v>
      </c>
      <c r="EF259" s="886">
        <f>VLOOKUP(WWWW[[#This Row],[Site Name]],SiteDB6[[Site Name]:[CCCM Focal Agency]],7,FALSE)</f>
        <v>0</v>
      </c>
      <c r="EG259" s="886" t="str">
        <f>VLOOKUP(WWWW[[#This Row],[Site Name]],SiteDB6[[Site Name]:[Location Type 1]],9,FALSE)</f>
        <v>Camp</v>
      </c>
      <c r="EH259" s="886" t="str">
        <f>VLOOKUP(WWWW[[#This Row],[Site Name]],SiteDB6[[Site Name]:[Type of Accommodation]],10,FALSE)</f>
        <v>School</v>
      </c>
      <c r="EI259" s="886" t="str">
        <f>VLOOKUP(WWWW[[#This Row],[Site Name]],SiteDB6[[Site Name]:[Ethnic or GCA/NGCA]],11,FALSE)</f>
        <v>GCA</v>
      </c>
      <c r="EJ259" s="886">
        <f>VLOOKUP(WWWW[[#This Row],[Site Name]],SiteDB6[[Site Name]:[Lat]],12,FALSE)</f>
        <v>0</v>
      </c>
      <c r="EK259" s="886">
        <f>VLOOKUP(WWWW[[#This Row],[Site Name]],SiteDB6[[Site Name]:[Long]],13,FALSE)</f>
        <v>0</v>
      </c>
      <c r="EL259" s="886">
        <f>VLOOKUP(WWWW[[#This Row],[Site Name]],SiteDB6[[Site Name]:[Pcode]],3,FALSE)</f>
        <v>0</v>
      </c>
      <c r="EM259" s="891" t="str">
        <f t="shared" si="3"/>
        <v>Covered</v>
      </c>
      <c r="EN259" s="891"/>
      <c r="EO259" s="886">
        <f>VLOOKUP(WWWW[[#This Row],[Site Name]],SiteDB6[[Site Name]:[Pop
(Kachin/Shan-CCCM as of July 2021)]],16,FALSE)</f>
        <v>0</v>
      </c>
      <c r="EP259" s="886">
        <f>VLOOKUP(WWWW[[#This Row],[Site Name]],SiteDB6[[Site Name]:[Pop
(Kachin/Shan-CCCM as of July 2021)]],17,FALSE)</f>
        <v>0</v>
      </c>
    </row>
    <row r="260" spans="1:146" hidden="1">
      <c r="A260" s="884" t="s">
        <v>2764</v>
      </c>
      <c r="B260" s="884" t="s">
        <v>919</v>
      </c>
      <c r="C260" s="885" t="s">
        <v>141</v>
      </c>
      <c r="D260" s="885" t="s">
        <v>3076</v>
      </c>
      <c r="E260" s="885" t="s">
        <v>37</v>
      </c>
      <c r="F260" s="885" t="s">
        <v>152</v>
      </c>
      <c r="G260" s="591" t="str">
        <f>VLOOKUP(WWWW[[#This Row],[Site Name]],SiteDB6[[Site Name]:[Location Type]],8,FALSE)</f>
        <v>Camp</v>
      </c>
      <c r="H260" s="885" t="s">
        <v>1613</v>
      </c>
      <c r="I260" s="887">
        <v>15</v>
      </c>
      <c r="J260" s="887">
        <v>73</v>
      </c>
      <c r="K260" s="888">
        <v>44682</v>
      </c>
      <c r="L260" s="889">
        <v>44865</v>
      </c>
      <c r="M260" s="887"/>
      <c r="N260" s="887"/>
      <c r="O260" s="887"/>
      <c r="P260" s="887"/>
      <c r="Q260" s="890" t="s">
        <v>41</v>
      </c>
      <c r="R260" s="887">
        <v>2</v>
      </c>
      <c r="S260" s="887">
        <v>3</v>
      </c>
      <c r="T260" s="448">
        <v>1</v>
      </c>
      <c r="U260" s="887"/>
      <c r="V260" s="887"/>
      <c r="W260" s="887">
        <v>1</v>
      </c>
      <c r="X260" s="887"/>
      <c r="Y260" s="887"/>
      <c r="Z260" s="887"/>
      <c r="AA260" s="887"/>
      <c r="AB260" s="887"/>
      <c r="AC260" s="887"/>
      <c r="AD260" s="887"/>
      <c r="AE260" s="887"/>
      <c r="AF260" s="887"/>
      <c r="AG260" s="887"/>
      <c r="AH260" s="887">
        <v>2</v>
      </c>
      <c r="AI260" s="887"/>
      <c r="AJ260" s="887"/>
      <c r="AK260" s="887"/>
      <c r="AL260" s="887"/>
      <c r="AM260" s="887"/>
      <c r="AN260" s="887"/>
      <c r="AO260" s="448"/>
      <c r="AP260" s="891"/>
      <c r="AQ260" s="887">
        <v>3</v>
      </c>
      <c r="AR260" s="887"/>
      <c r="AS260" s="892"/>
      <c r="AT260" s="887"/>
      <c r="AU260" s="887"/>
      <c r="AV260" s="887"/>
      <c r="AW260" s="887"/>
      <c r="AX260" s="887">
        <v>2</v>
      </c>
      <c r="AY260" s="886" t="s">
        <v>41</v>
      </c>
      <c r="AZ260" s="891" t="s">
        <v>137</v>
      </c>
      <c r="BA260" s="887"/>
      <c r="BB260" s="887"/>
      <c r="BC260" s="887"/>
      <c r="BD260" s="448"/>
      <c r="BE260" s="448"/>
      <c r="BF260" s="886"/>
      <c r="BG260" s="887">
        <v>2</v>
      </c>
      <c r="BH260" s="887"/>
      <c r="BI260" s="887"/>
      <c r="BJ260" s="887">
        <v>2</v>
      </c>
      <c r="BK260" s="887"/>
      <c r="BL260" s="887"/>
      <c r="BM260" s="887"/>
      <c r="BN260" s="887"/>
      <c r="BO260" s="887"/>
      <c r="BP260" s="886"/>
      <c r="BQ260" s="893"/>
      <c r="BR260" s="892"/>
      <c r="BS260" s="886"/>
      <c r="BT260" s="423"/>
      <c r="BU260" s="423"/>
      <c r="BV260" s="425"/>
      <c r="BW260" s="423"/>
      <c r="BX260" s="448"/>
      <c r="BY260" s="448"/>
      <c r="BZ260" s="448"/>
      <c r="CA260" s="448"/>
      <c r="CB260" s="448"/>
      <c r="CC260" s="777"/>
      <c r="CD260" s="448"/>
      <c r="CE260" s="894" t="str">
        <f>IFERROR(WWWW[[#This Row],['#_Water sources passed]]/WWWW[[#This Row],['#_Water sources tested for fecal coliform ]],"no test")</f>
        <v>no test</v>
      </c>
      <c r="CF260" s="892" t="str">
        <f>IFERROR(WWWW[[#This Row],['#_Household passed]]/WWWW[[#This Row],['#_Household water samples tested for fecal coliform]],"no test")</f>
        <v>no test</v>
      </c>
      <c r="CG260" s="893" t="str">
        <f>IF(AND(WWWW[[#This Row],[% of water sources passed]]="no test",WWWW[[#This Row],[% Household passed]]="no test"),"No Test","Tested")</f>
        <v>No Test</v>
      </c>
      <c r="CH260" s="893">
        <f>WWWW[[#This Row],['#_Constructed/existing protected hand dug well]]-WWWW[[#This Row],['#_Non-functional protected hand dug well]]</f>
        <v>1</v>
      </c>
      <c r="CI260" s="893">
        <f>(WWWW[[#This Row],['#_Constructed/Existing tube wells/boreholes/handpumps_WASH_agency]]+WWWW[[#This Row],['#_Non-Cluster partner water tube-wells/boreholes/handpumps]])-WWWW[[#This Row],['#_Non-functional tube wells/boreholes/handpumps]]</f>
        <v>1</v>
      </c>
      <c r="CJ260" s="893">
        <f>WWWW[[#This Row],['#_Constructed/Existingwater storage tank with gravity fed reticulation system]]-WWWW[[#This Row],['#_Non-functional storage tank gravity fed reticulation system]]</f>
        <v>0</v>
      </c>
      <c r="CK260" s="893">
        <f>(WWWW[[#This Row],['#_Water_Liters_supplied_by_Water boating or water trucking]]/90)/15</f>
        <v>0</v>
      </c>
      <c r="CL260" s="893">
        <f>WWWW[[#This Row],['#_Water_Liters_from_Constructed/Existing water distribution system from river or natural spring]]/90/15</f>
        <v>0</v>
      </c>
      <c r="CM260" s="424">
        <f>IF(WWWW[[#This Row],['#_of water points in TLS/CFS]]*500&gt;WWWW[[#This Row],[Total PoP ]],WWWW[[#This Row],[Total PoP ]],WWWW[[#This Row],['#_of water points in TLS/CFS]]*500)</f>
        <v>0</v>
      </c>
      <c r="CN260" s="424">
        <f>IF(WWWW[[#This Row],['#_of water points in THF]]*500&gt;WWWW[[#This Row],[Total PoP ]],WWWW[[#This Row],[Total PoP ]],WWWW[[#This Row],['#_of water points in THF]]*500)</f>
        <v>0</v>
      </c>
      <c r="CO26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0" s="892">
        <f>IF(WWWW[[#This Row],[Location Type 1]]="Village",WWWW[[#This Row],[Access to safe drinking water for Village]],WWWW[[#This Row],[Access to safe drinking water for Camp]])</f>
        <v>1</v>
      </c>
      <c r="CR260" s="890">
        <f>WWWW[[#This Row],[%Equitable and continuous access to sufficient quantity of safe drinking water]]*WWWW[[#This Row],[Total PoP ]]</f>
        <v>73</v>
      </c>
      <c r="CS260" s="892">
        <f>IF((WWWW[[#This Row],['#_Constructed/Existing protected/fenced ponds]]*250)/WWWW[[#This Row],[Total PoP ]]&gt;1,1,(WWWW[[#This Row],['#_Constructed/Existing protected/fenced ponds]]*250)/WWWW[[#This Row],[Total PoP ]])</f>
        <v>0</v>
      </c>
      <c r="CT260" s="890">
        <f>WWWW[[#This Row],[% Access to unimproved water points]]*WWWW[[#This Row],[Total PoP ]]</f>
        <v>0</v>
      </c>
      <c r="CU26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v>
      </c>
      <c r="CW260" s="890">
        <f>WWWW[[#This Row],[HRP1]]/500</f>
        <v>0.14599999999999999</v>
      </c>
      <c r="CX260" s="895">
        <f>1-WWWW[[#This Row],[% Equitable and continuous access to sufficient quantity of domestic water]]</f>
        <v>0</v>
      </c>
      <c r="CY260" s="890">
        <f>WWWW[[#This Row],[%equitable and continuous access to sufficient quantity of safe drinking and domestic water''s GAP]]*WWWW[[#This Row],[Total PoP ]]</f>
        <v>0</v>
      </c>
      <c r="CZ260" s="893">
        <f>IF(WWWW[[#This Row],[Total required water points]]-WWWW[[#This Row],['#Water points coverage]]&lt;0,0,WWWW[[#This Row],[Total required water points]]-WWWW[[#This Row],['#Water points coverage]])</f>
        <v>0.85399999999999998</v>
      </c>
      <c r="DA260" s="893">
        <f>ROUND(IF(WWWW[[#This Row],[Total PoP ]]&lt;500,1,WWWW[[#This Row],[Total PoP ]]/500),0)</f>
        <v>1</v>
      </c>
      <c r="DB260" s="893">
        <f>(WWWW[[#This Row],['#_Constructed latrines_by_WASHAgencies]]+WWWW[[#This Row],['#_Non Cluster partner latrines]])-WWWW[[#This Row],['#_Non-functional latrines]]</f>
        <v>3</v>
      </c>
      <c r="DC260" s="631">
        <f>WWWW[[#This Row],[HRP2]]/WWWW[[#This Row],[Total PoP ]]</f>
        <v>0.82191780821917804</v>
      </c>
      <c r="DD26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v>
      </c>
      <c r="DE26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0" s="424">
        <f>IF(WWWW[[#This Row],['# of functional latrines in THF supported by WASH partners during the reporting period2]]="",0,WWWW[[#This Row],['# of functional latrines in THF supported by WASH partners during the reporting period2]]*50)</f>
        <v>0</v>
      </c>
      <c r="DH260" s="893">
        <f>ROUND(IF(WWWW[[#This Row],[Location Type 1]]="camp",WWWW[[#This Row],[Total PoP ]]/20,IF(WWWW[[#This Row],[Location Type 1]]="Temporary Location",WWWW[[#This Row],[Total PoP ]]/50,(WWWW[[#This Row],[Total PoP ]]/6))),0)</f>
        <v>4</v>
      </c>
      <c r="DI260" s="893">
        <f>IF(WWWW[[#This Row],[Total required Latrines]]-(WWWW[[#This Row],['#_Constructed latrines_by_WASHAgencies]]+WWWW[[#This Row],['#_Non Cluster partner latrines]])&lt;0,0,WWWW[[#This Row],[Total required Latrines]]-(WWWW[[#This Row],['#_Constructed latrines_by_WASHAgencies]]+WWWW[[#This Row],['#_Non Cluster partner latrines]]))</f>
        <v>1</v>
      </c>
      <c r="DJ260" s="895">
        <f>1-WWWW[[#This Row],[% people access to functioning Latrine]]</f>
        <v>0.17808219178082196</v>
      </c>
      <c r="DK260" s="894">
        <f>IF(OR(WWWW[[#This Row],['#_Non-functional latrines]]="",WWWW[[#This Row],['#_Non-functional latrines]]=0),0,WWWW[[#This Row],['#_Non-functional latrines]]/(WWWW[[#This Row],['#_Constructed latrines_by_WASHAgencies]]+WWWW[[#This Row],['#_Non Cluster partner latrines]]))</f>
        <v>0</v>
      </c>
      <c r="DL260" s="890">
        <f>IF(500*(WWWW[[#This Row],['#_male hygiene promoters]]+WWWW[[#This Row],['#_female hygiene promoters]])&gt;WWWW[[#This Row],[Total PoP ]],WWWW[[#This Row],[Total PoP ]],500*(WWWW[[#This Row],['#_male hygiene promoters]]+WWWW[[#This Row],['#_female hygiene promoters]]))</f>
        <v>0</v>
      </c>
      <c r="DM26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6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60" s="893">
        <f>IF(WWWW[[#This Row],['# People with access to soap]]&gt;WWWW[[#This Row],['# People with access to Sanity Pads]],WWWW[[#This Row],['# People with access to soap]],WWWW[[#This Row],['# People with access to Sanity Pads]])</f>
        <v>0</v>
      </c>
      <c r="DP260"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60" s="895">
        <f>IF(WWWW[[#This Row],[HRP3]]/WWWW[[#This Row],[Total PoP ]]&gt;1,1,WWWW[[#This Row],[HRP3]]/WWWW[[#This Row],[Total PoP ]])</f>
        <v>0</v>
      </c>
      <c r="DR260" s="894">
        <f>1-WWWW[[#This Row],[Hygiene Coverage%]]</f>
        <v>1</v>
      </c>
      <c r="DS260" s="892">
        <f>WWWW[[#This Row],['# people reached by regular dedicated hygiene promotion_5]]/WWWW[[#This Row],[Total PoP ]]</f>
        <v>0</v>
      </c>
      <c r="DT26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6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60" s="893">
        <f>WWWW[[#This Row],['#_Constructed/Existing hand washing stations]]-WWWW[[#This Row],['#_Non-Functional_hand_washing_stations]]</f>
        <v>2</v>
      </c>
      <c r="DW260" s="890">
        <f>IF(WWWW[[#This Row],['# Functional hand washing stations during reporting period]]*20&gt;WWWW[[#This Row],[Total HH]],WWWW[[#This Row],[Total HH]],WWWW[[#This Row],['# Functional hand washing stations during reporting period]]*20)</f>
        <v>15</v>
      </c>
      <c r="DX260" s="890">
        <f>IF(WWWW[[#This Row],[Is sufficient soap available for TLS? (Yes/No)]]="yes",WWWW[[#This Row],['#_Constructed/Existing hand washing stations at TLS/CFS/THF]],0)</f>
        <v>0</v>
      </c>
      <c r="DY260" s="428">
        <f>IF(WWWW[[#This Row],['# Functional hand washing stations during reporting period]]*100&gt;WWWW[[#This Row],[Total PoP ]],WWWW[[#This Row],[Total PoP ]],WWWW[[#This Row],['# Functional hand washing stations during reporting period]]*100)</f>
        <v>73</v>
      </c>
      <c r="DZ260" s="428" t="str">
        <f>IF(OR(WWWW[[#This Row],['#_students at TLS_CFS]]="",WWWW[[#This Row],['#_students at TLS_CFS]]=0),"No","Yes")</f>
        <v>No</v>
      </c>
      <c r="EA26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0" s="886" t="str">
        <f>VLOOKUP(WWWW[[#This Row],[Site Name]],SiteDB6[[Site Name]:[CCCM Management]],6,FALSE)</f>
        <v>Yes</v>
      </c>
      <c r="EF260" s="886" t="str">
        <f>VLOOKUP(WWWW[[#This Row],[Site Name]],SiteDB6[[Site Name]:[CCCM Focal Agency]],7,FALSE)</f>
        <v>KBC-MYT</v>
      </c>
      <c r="EG260" s="886" t="str">
        <f>VLOOKUP(WWWW[[#This Row],[Site Name]],SiteDB6[[Site Name]:[Location Type 1]],9,FALSE)</f>
        <v>Camp</v>
      </c>
      <c r="EH260" s="886" t="str">
        <f>VLOOKUP(WWWW[[#This Row],[Site Name]],SiteDB6[[Site Name]:[Type of Accommodation]],10,FALSE)</f>
        <v>Camp</v>
      </c>
      <c r="EI260" s="886" t="str">
        <f>VLOOKUP(WWWW[[#This Row],[Site Name]],SiteDB6[[Site Name]:[Ethnic or GCA/NGCA]],11,FALSE)</f>
        <v>GCA</v>
      </c>
      <c r="EJ260" s="886">
        <f>VLOOKUP(WWWW[[#This Row],[Site Name]],SiteDB6[[Site Name]:[Lat]],12,FALSE)</f>
        <v>25.296579999999999</v>
      </c>
      <c r="EK260" s="886">
        <f>VLOOKUP(WWWW[[#This Row],[Site Name]],SiteDB6[[Site Name]:[Long]],13,FALSE)</f>
        <v>96.942279999999997</v>
      </c>
      <c r="EL260" s="886" t="str">
        <f>VLOOKUP(WWWW[[#This Row],[Site Name]],SiteDB6[[Site Name]:[Pcode]],3,FALSE)</f>
        <v>MMR001CMP077</v>
      </c>
      <c r="EM260" s="891" t="str">
        <f t="shared" si="3"/>
        <v>Covered</v>
      </c>
      <c r="EN260" s="891"/>
      <c r="EO260" s="886">
        <f>VLOOKUP(WWWW[[#This Row],[Site Name]],SiteDB6[[Site Name]:[Pop
(Kachin/Shan-CCCM as of July 2021)]],16,FALSE)</f>
        <v>16</v>
      </c>
      <c r="EP260" s="886">
        <f>VLOOKUP(WWWW[[#This Row],[Site Name]],SiteDB6[[Site Name]:[Pop
(Kachin/Shan-CCCM as of July 2021)]],17,FALSE)</f>
        <v>75</v>
      </c>
    </row>
    <row r="261" spans="1:146" hidden="1">
      <c r="A261" s="884" t="s">
        <v>2764</v>
      </c>
      <c r="B261" s="884" t="s">
        <v>3073</v>
      </c>
      <c r="C261" s="885" t="s">
        <v>141</v>
      </c>
      <c r="D261" s="885" t="s">
        <v>3081</v>
      </c>
      <c r="E261" s="885" t="s">
        <v>37</v>
      </c>
      <c r="F261" s="885" t="s">
        <v>142</v>
      </c>
      <c r="G261" s="591" t="str">
        <f>VLOOKUP(WWWW[[#This Row],[Site Name]],SiteDB6[[Site Name]:[Location Type]],8,FALSE)</f>
        <v>Camp</v>
      </c>
      <c r="H261" s="885" t="s">
        <v>176</v>
      </c>
      <c r="I261" s="887">
        <v>39</v>
      </c>
      <c r="J261" s="887">
        <v>238</v>
      </c>
      <c r="K261" s="888">
        <v>44682</v>
      </c>
      <c r="L261" s="889">
        <v>44865</v>
      </c>
      <c r="M261" s="887"/>
      <c r="N261" s="887">
        <v>1</v>
      </c>
      <c r="O261" s="887"/>
      <c r="P261" s="887"/>
      <c r="Q261" s="890" t="s">
        <v>41</v>
      </c>
      <c r="R261" s="887">
        <v>3</v>
      </c>
      <c r="S261" s="887">
        <v>4</v>
      </c>
      <c r="T261" s="448">
        <v>2</v>
      </c>
      <c r="U261" s="887"/>
      <c r="V261" s="887"/>
      <c r="W261" s="887">
        <v>1</v>
      </c>
      <c r="X261" s="887"/>
      <c r="Y261" s="887"/>
      <c r="Z261" s="887"/>
      <c r="AA261" s="887"/>
      <c r="AB261" s="887"/>
      <c r="AC261" s="887"/>
      <c r="AD261" s="887"/>
      <c r="AE261" s="887"/>
      <c r="AF261" s="887"/>
      <c r="AG261" s="887"/>
      <c r="AH261" s="887">
        <v>3</v>
      </c>
      <c r="AI261" s="887"/>
      <c r="AJ261" s="887"/>
      <c r="AK261" s="887"/>
      <c r="AL261" s="887"/>
      <c r="AM261" s="887"/>
      <c r="AN261" s="887"/>
      <c r="AO261" s="448"/>
      <c r="AP261" s="891"/>
      <c r="AQ261" s="887">
        <v>6</v>
      </c>
      <c r="AR261" s="887"/>
      <c r="AS261" s="892"/>
      <c r="AT261" s="887"/>
      <c r="AU261" s="887"/>
      <c r="AV261" s="887"/>
      <c r="AW261" s="887"/>
      <c r="AX261" s="887">
        <v>6</v>
      </c>
      <c r="AY261" s="886" t="s">
        <v>41</v>
      </c>
      <c r="AZ261" s="891" t="s">
        <v>137</v>
      </c>
      <c r="BA261" s="887"/>
      <c r="BB261" s="887"/>
      <c r="BC261" s="887"/>
      <c r="BD261" s="448"/>
      <c r="BE261" s="448"/>
      <c r="BF261" s="886"/>
      <c r="BG261" s="887">
        <v>8</v>
      </c>
      <c r="BH261" s="887"/>
      <c r="BI261" s="887"/>
      <c r="BJ261" s="887">
        <v>3</v>
      </c>
      <c r="BK261" s="887"/>
      <c r="BL261" s="887"/>
      <c r="BM261" s="887">
        <v>1</v>
      </c>
      <c r="BN261" s="887"/>
      <c r="BO261" s="887"/>
      <c r="BP261" s="886"/>
      <c r="BQ261" s="893"/>
      <c r="BR261" s="892"/>
      <c r="BS261" s="886"/>
      <c r="BT261" s="423"/>
      <c r="BU261" s="423"/>
      <c r="BV261" s="425"/>
      <c r="BW261" s="423"/>
      <c r="BX261" s="448"/>
      <c r="BY261" s="448"/>
      <c r="BZ261" s="448"/>
      <c r="CA261" s="448"/>
      <c r="CB261" s="448"/>
      <c r="CC261" s="777"/>
      <c r="CD261" s="448"/>
      <c r="CE261" s="894" t="str">
        <f>IFERROR(WWWW[[#This Row],['#_Water sources passed]]/WWWW[[#This Row],['#_Water sources tested for fecal coliform ]],"no test")</f>
        <v>no test</v>
      </c>
      <c r="CF261" s="892" t="str">
        <f>IFERROR(WWWW[[#This Row],['#_Household passed]]/WWWW[[#This Row],['#_Household water samples tested for fecal coliform]],"no test")</f>
        <v>no test</v>
      </c>
      <c r="CG261" s="893" t="str">
        <f>IF(AND(WWWW[[#This Row],[% of water sources passed]]="no test",WWWW[[#This Row],[% Household passed]]="no test"),"No Test","Tested")</f>
        <v>No Test</v>
      </c>
      <c r="CH261" s="893">
        <f>WWWW[[#This Row],['#_Constructed/existing protected hand dug well]]-WWWW[[#This Row],['#_Non-functional protected hand dug well]]</f>
        <v>2</v>
      </c>
      <c r="CI261" s="893">
        <f>(WWWW[[#This Row],['#_Constructed/Existing tube wells/boreholes/handpumps_WASH_agency]]+WWWW[[#This Row],['#_Non-Cluster partner water tube-wells/boreholes/handpumps]])-WWWW[[#This Row],['#_Non-functional tube wells/boreholes/handpumps]]</f>
        <v>1</v>
      </c>
      <c r="CJ261" s="893">
        <f>WWWW[[#This Row],['#_Constructed/Existingwater storage tank with gravity fed reticulation system]]-WWWW[[#This Row],['#_Non-functional storage tank gravity fed reticulation system]]</f>
        <v>0</v>
      </c>
      <c r="CK261" s="893">
        <f>(WWWW[[#This Row],['#_Water_Liters_supplied_by_Water boating or water trucking]]/90)/15</f>
        <v>0</v>
      </c>
      <c r="CL261" s="893">
        <f>WWWW[[#This Row],['#_Water_Liters_from_Constructed/Existing water distribution system from river or natural spring]]/90/15</f>
        <v>0</v>
      </c>
      <c r="CM261" s="424">
        <f>IF(WWWW[[#This Row],['#_of water points in TLS/CFS]]*500&gt;WWWW[[#This Row],[Total PoP ]],WWWW[[#This Row],[Total PoP ]],WWWW[[#This Row],['#_of water points in TLS/CFS]]*500)</f>
        <v>0</v>
      </c>
      <c r="CN261" s="424">
        <f>IF(WWWW[[#This Row],['#_of water points in THF]]*500&gt;WWWW[[#This Row],[Total PoP ]],WWWW[[#This Row],[Total PoP ]],WWWW[[#This Row],['#_of water points in THF]]*500)</f>
        <v>0</v>
      </c>
      <c r="CO26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1" s="892">
        <f>IF(WWWW[[#This Row],[Location Type 1]]="Village",WWWW[[#This Row],[Access to safe drinking water for Village]],WWWW[[#This Row],[Access to safe drinking water for Camp]])</f>
        <v>1</v>
      </c>
      <c r="CR261" s="890">
        <f>WWWW[[#This Row],[%Equitable and continuous access to sufficient quantity of safe drinking water]]*WWWW[[#This Row],[Total PoP ]]</f>
        <v>238</v>
      </c>
      <c r="CS261" s="892">
        <f>IF((WWWW[[#This Row],['#_Constructed/Existing protected/fenced ponds]]*250)/WWWW[[#This Row],[Total PoP ]]&gt;1,1,(WWWW[[#This Row],['#_Constructed/Existing protected/fenced ponds]]*250)/WWWW[[#This Row],[Total PoP ]])</f>
        <v>0</v>
      </c>
      <c r="CT261" s="890">
        <f>WWWW[[#This Row],[% Access to unimproved water points]]*WWWW[[#This Row],[Total PoP ]]</f>
        <v>0</v>
      </c>
      <c r="CU26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238</v>
      </c>
      <c r="CW261" s="890">
        <f>WWWW[[#This Row],[HRP1]]/500</f>
        <v>0.47599999999999998</v>
      </c>
      <c r="CX261" s="895">
        <f>1-WWWW[[#This Row],[% Equitable and continuous access to sufficient quantity of domestic water]]</f>
        <v>0</v>
      </c>
      <c r="CY261" s="890">
        <f>WWWW[[#This Row],[%equitable and continuous access to sufficient quantity of safe drinking and domestic water''s GAP]]*WWWW[[#This Row],[Total PoP ]]</f>
        <v>0</v>
      </c>
      <c r="CZ261" s="893">
        <f>IF(WWWW[[#This Row],[Total required water points]]-WWWW[[#This Row],['#Water points coverage]]&lt;0,0,WWWW[[#This Row],[Total required water points]]-WWWW[[#This Row],['#Water points coverage]])</f>
        <v>0.52400000000000002</v>
      </c>
      <c r="DA261" s="893">
        <f>ROUND(IF(WWWW[[#This Row],[Total PoP ]]&lt;500,1,WWWW[[#This Row],[Total PoP ]]/500),0)</f>
        <v>1</v>
      </c>
      <c r="DB261" s="893">
        <f>(WWWW[[#This Row],['#_Constructed latrines_by_WASHAgencies]]+WWWW[[#This Row],['#_Non Cluster partner latrines]])-WWWW[[#This Row],['#_Non-functional latrines]]</f>
        <v>6</v>
      </c>
      <c r="DC261" s="631">
        <f>WWWW[[#This Row],[HRP2]]/WWWW[[#This Row],[Total PoP ]]</f>
        <v>0.50420168067226889</v>
      </c>
      <c r="DD26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26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1" s="424">
        <f>IF(WWWW[[#This Row],['# of functional latrines in THF supported by WASH partners during the reporting period2]]="",0,WWWW[[#This Row],['# of functional latrines in THF supported by WASH partners during the reporting period2]]*50)</f>
        <v>0</v>
      </c>
      <c r="DH261" s="893">
        <f>ROUND(IF(WWWW[[#This Row],[Location Type 1]]="camp",WWWW[[#This Row],[Total PoP ]]/20,IF(WWWW[[#This Row],[Location Type 1]]="Temporary Location",WWWW[[#This Row],[Total PoP ]]/50,(WWWW[[#This Row],[Total PoP ]]/6))),0)</f>
        <v>12</v>
      </c>
      <c r="DI261" s="893">
        <f>IF(WWWW[[#This Row],[Total required Latrines]]-(WWWW[[#This Row],['#_Constructed latrines_by_WASHAgencies]]+WWWW[[#This Row],['#_Non Cluster partner latrines]])&lt;0,0,WWWW[[#This Row],[Total required Latrines]]-(WWWW[[#This Row],['#_Constructed latrines_by_WASHAgencies]]+WWWW[[#This Row],['#_Non Cluster partner latrines]]))</f>
        <v>6</v>
      </c>
      <c r="DJ261" s="895">
        <f>1-WWWW[[#This Row],[% people access to functioning Latrine]]</f>
        <v>0.49579831932773111</v>
      </c>
      <c r="DK261" s="894">
        <f>IF(OR(WWWW[[#This Row],['#_Non-functional latrines]]="",WWWW[[#This Row],['#_Non-functional latrines]]=0),0,WWWW[[#This Row],['#_Non-functional latrines]]/(WWWW[[#This Row],['#_Constructed latrines_by_WASHAgencies]]+WWWW[[#This Row],['#_Non Cluster partner latrines]]))</f>
        <v>0</v>
      </c>
      <c r="DL261" s="890">
        <f>IF(500*(WWWW[[#This Row],['#_male hygiene promoters]]+WWWW[[#This Row],['#_female hygiene promoters]])&gt;WWWW[[#This Row],[Total PoP ]],WWWW[[#This Row],[Total PoP ]],500*(WWWW[[#This Row],['#_male hygiene promoters]]+WWWW[[#This Row],['#_female hygiene promoters]]))</f>
        <v>238</v>
      </c>
      <c r="DM26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6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61" s="893">
        <f>IF(WWWW[[#This Row],['# People with access to soap]]&gt;WWWW[[#This Row],['# People with access to Sanity Pads]],WWWW[[#This Row],['# People with access to soap]],WWWW[[#This Row],['# People with access to Sanity Pads]])</f>
        <v>0</v>
      </c>
      <c r="DP261" s="893">
        <f>IF(WWWW[[#This Row],['# people reached by regular dedicated hygiene promotion_5]]&gt;WWWW[[#This Row],['# People received regular supply of hygiene items_6]],WWWW[[#This Row],['# people reached by regular dedicated hygiene promotion_5]],WWWW[[#This Row],['# People received regular supply of hygiene items_6]])</f>
        <v>238</v>
      </c>
      <c r="DQ261" s="895">
        <f>IF(WWWW[[#This Row],[HRP3]]/WWWW[[#This Row],[Total PoP ]]&gt;1,1,WWWW[[#This Row],[HRP3]]/WWWW[[#This Row],[Total PoP ]])</f>
        <v>1</v>
      </c>
      <c r="DR261" s="894">
        <f>1-WWWW[[#This Row],[Hygiene Coverage%]]</f>
        <v>0</v>
      </c>
      <c r="DS261" s="892">
        <f>WWWW[[#This Row],['# people reached by regular dedicated hygiene promotion_5]]/WWWW[[#This Row],[Total PoP ]]</f>
        <v>1</v>
      </c>
      <c r="DT26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6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61" s="893">
        <f>WWWW[[#This Row],['#_Constructed/Existing hand washing stations]]-WWWW[[#This Row],['#_Non-Functional_hand_washing_stations]]</f>
        <v>8</v>
      </c>
      <c r="DW261" s="890">
        <f>IF(WWWW[[#This Row],['# Functional hand washing stations during reporting period]]*20&gt;WWWW[[#This Row],[Total HH]],WWWW[[#This Row],[Total HH]],WWWW[[#This Row],['# Functional hand washing stations during reporting period]]*20)</f>
        <v>39</v>
      </c>
      <c r="DX261" s="890">
        <f>IF(WWWW[[#This Row],[Is sufficient soap available for TLS? (Yes/No)]]="yes",WWWW[[#This Row],['#_Constructed/Existing hand washing stations at TLS/CFS/THF]],0)</f>
        <v>0</v>
      </c>
      <c r="DY261" s="428">
        <f>IF(WWWW[[#This Row],['# Functional hand washing stations during reporting period]]*100&gt;WWWW[[#This Row],[Total PoP ]],WWWW[[#This Row],[Total PoP ]],WWWW[[#This Row],['# Functional hand washing stations during reporting period]]*100)</f>
        <v>238</v>
      </c>
      <c r="DZ261" s="428" t="str">
        <f>IF(OR(WWWW[[#This Row],['#_students at TLS_CFS]]="",WWWW[[#This Row],['#_students at TLS_CFS]]=0),"No","Yes")</f>
        <v>No</v>
      </c>
      <c r="EA26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1" s="886" t="str">
        <f>VLOOKUP(WWWW[[#This Row],[Site Name]],SiteDB6[[Site Name]:[CCCM Management]],6,FALSE)</f>
        <v>Yes</v>
      </c>
      <c r="EF261" s="886" t="str">
        <f>VLOOKUP(WWWW[[#This Row],[Site Name]],SiteDB6[[Site Name]:[CCCM Focal Agency]],7,FALSE)</f>
        <v>KBC-MYT</v>
      </c>
      <c r="EG261" s="886" t="str">
        <f>VLOOKUP(WWWW[[#This Row],[Site Name]],SiteDB6[[Site Name]:[Location Type 1]],9,FALSE)</f>
        <v>Camp</v>
      </c>
      <c r="EH261" s="886" t="str">
        <f>VLOOKUP(WWWW[[#This Row],[Site Name]],SiteDB6[[Site Name]:[Type of Accommodation]],10,FALSE)</f>
        <v>Camp</v>
      </c>
      <c r="EI261" s="886" t="str">
        <f>VLOOKUP(WWWW[[#This Row],[Site Name]],SiteDB6[[Site Name]:[Ethnic or GCA/NGCA]],11,FALSE)</f>
        <v>GCA</v>
      </c>
      <c r="EJ261" s="886">
        <f>VLOOKUP(WWWW[[#This Row],[Site Name]],SiteDB6[[Site Name]:[Lat]],12,FALSE)</f>
        <v>25.356632000000001</v>
      </c>
      <c r="EK261" s="886">
        <f>VLOOKUP(WWWW[[#This Row],[Site Name]],SiteDB6[[Site Name]:[Long]],13,FALSE)</f>
        <v>97.451965000000001</v>
      </c>
      <c r="EL261" s="886" t="str">
        <f>VLOOKUP(WWWW[[#This Row],[Site Name]],SiteDB6[[Site Name]:[Pcode]],3,FALSE)</f>
        <v>MMR001CMP027</v>
      </c>
      <c r="EM261" s="891" t="str">
        <f t="shared" si="3"/>
        <v>Covered</v>
      </c>
      <c r="EN261" s="891"/>
      <c r="EO261" s="886">
        <f>VLOOKUP(WWWW[[#This Row],[Site Name]],SiteDB6[[Site Name]:[Pop
(Kachin/Shan-CCCM as of July 2021)]],16,FALSE)</f>
        <v>39</v>
      </c>
      <c r="EP261" s="886">
        <f>VLOOKUP(WWWW[[#This Row],[Site Name]],SiteDB6[[Site Name]:[Pop
(Kachin/Shan-CCCM as of July 2021)]],17,FALSE)</f>
        <v>238</v>
      </c>
    </row>
    <row r="262" spans="1:146" hidden="1">
      <c r="A262" s="884" t="s">
        <v>2764</v>
      </c>
      <c r="B262" s="884" t="s">
        <v>2081</v>
      </c>
      <c r="C262" s="885" t="s">
        <v>141</v>
      </c>
      <c r="D262" s="885" t="s">
        <v>299</v>
      </c>
      <c r="E262" s="885" t="s">
        <v>37</v>
      </c>
      <c r="F262" s="885" t="s">
        <v>142</v>
      </c>
      <c r="G262" s="591" t="str">
        <f>VLOOKUP(WWWW[[#This Row],[Site Name]],SiteDB6[[Site Name]:[Location Type]],8,FALSE)</f>
        <v>Camp</v>
      </c>
      <c r="H262" s="885" t="s">
        <v>177</v>
      </c>
      <c r="I262" s="887">
        <v>417</v>
      </c>
      <c r="J262" s="887">
        <v>1469</v>
      </c>
      <c r="K262" s="888">
        <v>44682</v>
      </c>
      <c r="L262" s="889">
        <v>44865</v>
      </c>
      <c r="M262" s="887"/>
      <c r="N262" s="887">
        <v>1</v>
      </c>
      <c r="O262" s="887"/>
      <c r="P262" s="887"/>
      <c r="Q262" s="890" t="s">
        <v>41</v>
      </c>
      <c r="R262" s="887">
        <v>3</v>
      </c>
      <c r="S262" s="887">
        <v>2</v>
      </c>
      <c r="T262" s="448">
        <v>1</v>
      </c>
      <c r="U262" s="887"/>
      <c r="V262" s="887">
        <v>23</v>
      </c>
      <c r="W262" s="887"/>
      <c r="X262" s="887"/>
      <c r="Y262" s="887"/>
      <c r="Z262" s="887"/>
      <c r="AA262" s="887"/>
      <c r="AB262" s="887"/>
      <c r="AC262" s="887"/>
      <c r="AD262" s="887"/>
      <c r="AE262" s="887"/>
      <c r="AF262" s="887"/>
      <c r="AG262" s="887"/>
      <c r="AH262" s="887"/>
      <c r="AI262" s="887"/>
      <c r="AJ262" s="887"/>
      <c r="AK262" s="887"/>
      <c r="AL262" s="887"/>
      <c r="AM262" s="887"/>
      <c r="AN262" s="887"/>
      <c r="AO262" s="448"/>
      <c r="AP262" s="891"/>
      <c r="AQ262" s="887">
        <v>407</v>
      </c>
      <c r="AR262" s="887"/>
      <c r="AS262" s="892"/>
      <c r="AT262" s="887"/>
      <c r="AU262" s="887"/>
      <c r="AV262" s="887"/>
      <c r="AW262" s="887"/>
      <c r="AX262" s="887"/>
      <c r="AY262" s="886" t="s">
        <v>41</v>
      </c>
      <c r="AZ262" s="891" t="s">
        <v>137</v>
      </c>
      <c r="BA262" s="887">
        <v>3</v>
      </c>
      <c r="BB262" s="887"/>
      <c r="BC262" s="887"/>
      <c r="BD262" s="448"/>
      <c r="BE262" s="448"/>
      <c r="BF262" s="886"/>
      <c r="BG262" s="448">
        <v>177</v>
      </c>
      <c r="BH262" s="887"/>
      <c r="BI262" s="887">
        <v>12</v>
      </c>
      <c r="BJ262" s="887">
        <v>6</v>
      </c>
      <c r="BK262" s="887"/>
      <c r="BL262" s="887">
        <v>1</v>
      </c>
      <c r="BM262" s="887">
        <v>5</v>
      </c>
      <c r="BN262" s="887"/>
      <c r="BO262" s="887"/>
      <c r="BP262" s="886"/>
      <c r="BQ262" s="893"/>
      <c r="BR262" s="892"/>
      <c r="BS262" s="886"/>
      <c r="BT262" s="423"/>
      <c r="BU262" s="423"/>
      <c r="BV262" s="425"/>
      <c r="BW262" s="423"/>
      <c r="BX262" s="448"/>
      <c r="BY262" s="448"/>
      <c r="BZ262" s="448"/>
      <c r="CA262" s="448"/>
      <c r="CB262" s="448"/>
      <c r="CC262" s="777"/>
      <c r="CD262" s="448"/>
      <c r="CE262" s="894" t="str">
        <f>IFERROR(WWWW[[#This Row],['#_Water sources passed]]/WWWW[[#This Row],['#_Water sources tested for fecal coliform ]],"no test")</f>
        <v>no test</v>
      </c>
      <c r="CF262" s="892" t="str">
        <f>IFERROR(WWWW[[#This Row],['#_Household passed]]/WWWW[[#This Row],['#_Household water samples tested for fecal coliform]],"no test")</f>
        <v>no test</v>
      </c>
      <c r="CG262" s="893" t="str">
        <f>IF(AND(WWWW[[#This Row],[% of water sources passed]]="no test",WWWW[[#This Row],[% Household passed]]="no test"),"No Test","Tested")</f>
        <v>No Test</v>
      </c>
      <c r="CH262" s="893">
        <f>WWWW[[#This Row],['#_Constructed/existing protected hand dug well]]-WWWW[[#This Row],['#_Non-functional protected hand dug well]]</f>
        <v>1</v>
      </c>
      <c r="CI262" s="893">
        <f>(WWWW[[#This Row],['#_Constructed/Existing tube wells/boreholes/handpumps_WASH_agency]]+WWWW[[#This Row],['#_Non-Cluster partner water tube-wells/boreholes/handpumps]])-WWWW[[#This Row],['#_Non-functional tube wells/boreholes/handpumps]]</f>
        <v>0</v>
      </c>
      <c r="CJ262" s="893">
        <f>WWWW[[#This Row],['#_Constructed/Existingwater storage tank with gravity fed reticulation system]]-WWWW[[#This Row],['#_Non-functional storage tank gravity fed reticulation system]]</f>
        <v>0</v>
      </c>
      <c r="CK262" s="893">
        <f>(WWWW[[#This Row],['#_Water_Liters_supplied_by_Water boating or water trucking]]/90)/15</f>
        <v>0</v>
      </c>
      <c r="CL262" s="893">
        <f>WWWW[[#This Row],['#_Water_Liters_from_Constructed/Existing water distribution system from river or natural spring]]/90/15</f>
        <v>0</v>
      </c>
      <c r="CM262" s="424">
        <f>IF(WWWW[[#This Row],['#_of water points in TLS/CFS]]*500&gt;WWWW[[#This Row],[Total PoP ]],WWWW[[#This Row],[Total PoP ]],WWWW[[#This Row],['#_of water points in TLS/CFS]]*500)</f>
        <v>0</v>
      </c>
      <c r="CN262" s="424">
        <f>IF(WWWW[[#This Row],['#_of water points in THF]]*500&gt;WWWW[[#This Row],[Total PoP ]],WWWW[[#This Row],[Total PoP ]],WWWW[[#This Row],['#_of water points in THF]]*500)</f>
        <v>0</v>
      </c>
      <c r="CO26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0.27229407760381213</v>
      </c>
      <c r="CP26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0.17018379850238258</v>
      </c>
      <c r="CQ262" s="892">
        <f>IF(WWWW[[#This Row],[Location Type 1]]="Village",WWWW[[#This Row],[Access to safe drinking water for Village]],WWWW[[#This Row],[Access to safe drinking water for Camp]])</f>
        <v>0.27229407760381213</v>
      </c>
      <c r="CR262" s="890">
        <f>WWWW[[#This Row],[%Equitable and continuous access to sufficient quantity of safe drinking water]]*WWWW[[#This Row],[Total PoP ]]</f>
        <v>400</v>
      </c>
      <c r="CS262" s="892">
        <f>IF((WWWW[[#This Row],['#_Constructed/Existing protected/fenced ponds]]*250)/WWWW[[#This Row],[Total PoP ]]&gt;1,1,(WWWW[[#This Row],['#_Constructed/Existing protected/fenced ponds]]*250)/WWWW[[#This Row],[Total PoP ]])</f>
        <v>0</v>
      </c>
      <c r="CT262" s="890">
        <f>WWWW[[#This Row],[% Access to unimproved water points]]*WWWW[[#This Row],[Total PoP ]]</f>
        <v>0</v>
      </c>
      <c r="CU26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0.27229407760381213</v>
      </c>
      <c r="CV26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262" s="890">
        <f>WWWW[[#This Row],[HRP1]]/500</f>
        <v>0.8</v>
      </c>
      <c r="CX262" s="895">
        <f>1-WWWW[[#This Row],[% Equitable and continuous access to sufficient quantity of domestic water]]</f>
        <v>0.72770592239618792</v>
      </c>
      <c r="CY262" s="890">
        <f>WWWW[[#This Row],[%equitable and continuous access to sufficient quantity of safe drinking and domestic water''s GAP]]*WWWW[[#This Row],[Total PoP ]]</f>
        <v>1069</v>
      </c>
      <c r="CZ262" s="893">
        <f>IF(WWWW[[#This Row],[Total required water points]]-WWWW[[#This Row],['#Water points coverage]]&lt;0,0,WWWW[[#This Row],[Total required water points]]-WWWW[[#This Row],['#Water points coverage]])</f>
        <v>2.2000000000000002</v>
      </c>
      <c r="DA262" s="893">
        <f>ROUND(IF(WWWW[[#This Row],[Total PoP ]]&lt;500,1,WWWW[[#This Row],[Total PoP ]]/500),0)</f>
        <v>3</v>
      </c>
      <c r="DB262" s="893">
        <f>(WWWW[[#This Row],['#_Constructed latrines_by_WASHAgencies]]+WWWW[[#This Row],['#_Non Cluster partner latrines]])-WWWW[[#This Row],['#_Non-functional latrines]]</f>
        <v>407</v>
      </c>
      <c r="DC262" s="631">
        <f>WWWW[[#This Row],[HRP2]]/WWWW[[#This Row],[Total PoP ]]</f>
        <v>1</v>
      </c>
      <c r="DD26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1469</v>
      </c>
      <c r="DE26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2" s="424">
        <f>IF(WWWW[[#This Row],['# of functional latrines in THF supported by WASH partners during the reporting period2]]="",0,WWWW[[#This Row],['# of functional latrines in THF supported by WASH partners during the reporting period2]]*50)</f>
        <v>0</v>
      </c>
      <c r="DH262" s="893">
        <f>ROUND(IF(WWWW[[#This Row],[Location Type 1]]="camp",WWWW[[#This Row],[Total PoP ]]/20,IF(WWWW[[#This Row],[Location Type 1]]="Temporary Location",WWWW[[#This Row],[Total PoP ]]/50,(WWWW[[#This Row],[Total PoP ]]/6))),0)</f>
        <v>245</v>
      </c>
      <c r="DI262" s="893">
        <f>IF(WWWW[[#This Row],[Total required Latrines]]-(WWWW[[#This Row],['#_Constructed latrines_by_WASHAgencies]]+WWWW[[#This Row],['#_Non Cluster partner latrines]])&lt;0,0,WWWW[[#This Row],[Total required Latrines]]-(WWWW[[#This Row],['#_Constructed latrines_by_WASHAgencies]]+WWWW[[#This Row],['#_Non Cluster partner latrines]]))</f>
        <v>0</v>
      </c>
      <c r="DJ262" s="895">
        <f>1-WWWW[[#This Row],[% people access to functioning Latrine]]</f>
        <v>0</v>
      </c>
      <c r="DK262" s="894">
        <f>IF(OR(WWWW[[#This Row],['#_Non-functional latrines]]="",WWWW[[#This Row],['#_Non-functional latrines]]=0),0,WWWW[[#This Row],['#_Non-functional latrines]]/(WWWW[[#This Row],['#_Constructed latrines_by_WASHAgencies]]+WWWW[[#This Row],['#_Non Cluster partner latrines]]))</f>
        <v>0</v>
      </c>
      <c r="DL262" s="890">
        <f>IF(500*(WWWW[[#This Row],['#_male hygiene promoters]]+WWWW[[#This Row],['#_female hygiene promoters]])&gt;WWWW[[#This Row],[Total PoP ]],WWWW[[#This Row],[Total PoP ]],500*(WWWW[[#This Row],['#_male hygiene promoters]]+WWWW[[#This Row],['#_female hygiene promoters]]))</f>
        <v>1469</v>
      </c>
      <c r="DM26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6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62" s="893">
        <f>IF(WWWW[[#This Row],['# People with access to soap]]&gt;WWWW[[#This Row],['# People with access to Sanity Pads]],WWWW[[#This Row],['# People with access to soap]],WWWW[[#This Row],['# People with access to Sanity Pads]])</f>
        <v>0</v>
      </c>
      <c r="DP262" s="893">
        <f>IF(WWWW[[#This Row],['# people reached by regular dedicated hygiene promotion_5]]&gt;WWWW[[#This Row],['# People received regular supply of hygiene items_6]],WWWW[[#This Row],['# people reached by regular dedicated hygiene promotion_5]],WWWW[[#This Row],['# People received regular supply of hygiene items_6]])</f>
        <v>1469</v>
      </c>
      <c r="DQ262" s="895">
        <f>IF(WWWW[[#This Row],[HRP3]]/WWWW[[#This Row],[Total PoP ]]&gt;1,1,WWWW[[#This Row],[HRP3]]/WWWW[[#This Row],[Total PoP ]])</f>
        <v>1</v>
      </c>
      <c r="DR262" s="894">
        <f>1-WWWW[[#This Row],[Hygiene Coverage%]]</f>
        <v>0</v>
      </c>
      <c r="DS262" s="892">
        <f>WWWW[[#This Row],['# people reached by regular dedicated hygiene promotion_5]]/WWWW[[#This Row],[Total PoP ]]</f>
        <v>1</v>
      </c>
      <c r="DT26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6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62" s="893">
        <f>WWWW[[#This Row],['#_Constructed/Existing hand washing stations]]-WWWW[[#This Row],['#_Non-Functional_hand_washing_stations]]</f>
        <v>177</v>
      </c>
      <c r="DW262" s="890">
        <f>IF(WWWW[[#This Row],['# Functional hand washing stations during reporting period]]*20&gt;WWWW[[#This Row],[Total HH]],WWWW[[#This Row],[Total HH]],WWWW[[#This Row],['# Functional hand washing stations during reporting period]]*20)</f>
        <v>417</v>
      </c>
      <c r="DX262" s="890">
        <f>IF(WWWW[[#This Row],[Is sufficient soap available for TLS? (Yes/No)]]="yes",WWWW[[#This Row],['#_Constructed/Existing hand washing stations at TLS/CFS/THF]],0)</f>
        <v>0</v>
      </c>
      <c r="DY262" s="428">
        <f>IF(WWWW[[#This Row],['# Functional hand washing stations during reporting period]]*100&gt;WWWW[[#This Row],[Total PoP ]],WWWW[[#This Row],[Total PoP ]],WWWW[[#This Row],['# Functional hand washing stations during reporting period]]*100)</f>
        <v>1469</v>
      </c>
      <c r="DZ262" s="428" t="str">
        <f>IF(OR(WWWW[[#This Row],['#_students at TLS_CFS]]="",WWWW[[#This Row],['#_students at TLS_CFS]]=0),"No","Yes")</f>
        <v>No</v>
      </c>
      <c r="EA26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2" s="886" t="str">
        <f>VLOOKUP(WWWW[[#This Row],[Site Name]],SiteDB6[[Site Name]:[CCCM Management]],6,FALSE)</f>
        <v>Yes</v>
      </c>
      <c r="EF262" s="886" t="str">
        <f>VLOOKUP(WWWW[[#This Row],[Site Name]],SiteDB6[[Site Name]:[CCCM Focal Agency]],7,FALSE)</f>
        <v>KMSS-MYT</v>
      </c>
      <c r="EG262" s="886" t="str">
        <f>VLOOKUP(WWWW[[#This Row],[Site Name]],SiteDB6[[Site Name]:[Location Type 1]],9,FALSE)</f>
        <v>Village Type Camp</v>
      </c>
      <c r="EH262" s="886" t="str">
        <f>VLOOKUP(WWWW[[#This Row],[Site Name]],SiteDB6[[Site Name]:[Type of Accommodation]],10,FALSE)</f>
        <v>Camp</v>
      </c>
      <c r="EI262" s="886" t="str">
        <f>VLOOKUP(WWWW[[#This Row],[Site Name]],SiteDB6[[Site Name]:[Ethnic or GCA/NGCA]],11,FALSE)</f>
        <v>NGCA</v>
      </c>
      <c r="EJ262" s="886">
        <f>VLOOKUP(WWWW[[#This Row],[Site Name]],SiteDB6[[Site Name]:[Lat]],12,FALSE)</f>
        <v>24.980250000000002</v>
      </c>
      <c r="EK262" s="886">
        <f>VLOOKUP(WWWW[[#This Row],[Site Name]],SiteDB6[[Site Name]:[Long]],13,FALSE)</f>
        <v>97.715230000000005</v>
      </c>
      <c r="EL262" s="886" t="str">
        <f>VLOOKUP(WWWW[[#This Row],[Site Name]],SiteDB6[[Site Name]:[Pcode]],3,FALSE)</f>
        <v>MMR001CMP119</v>
      </c>
      <c r="EM262" s="891" t="str">
        <f t="shared" si="3"/>
        <v>Covered</v>
      </c>
      <c r="EN262" s="891"/>
      <c r="EO262" s="886">
        <f>VLOOKUP(WWWW[[#This Row],[Site Name]],SiteDB6[[Site Name]:[Pop
(Kachin/Shan-CCCM as of July 2021)]],16,FALSE)</f>
        <v>417</v>
      </c>
      <c r="EP262" s="886">
        <f>VLOOKUP(WWWW[[#This Row],[Site Name]],SiteDB6[[Site Name]:[Pop
(Kachin/Shan-CCCM as of July 2021)]],17,FALSE)</f>
        <v>1608</v>
      </c>
    </row>
    <row r="263" spans="1:146" hidden="1">
      <c r="A263" s="884" t="s">
        <v>2764</v>
      </c>
      <c r="B263" s="884" t="s">
        <v>242</v>
      </c>
      <c r="C263" s="885" t="s">
        <v>242</v>
      </c>
      <c r="D263" s="885" t="s">
        <v>299</v>
      </c>
      <c r="E263" s="885" t="s">
        <v>37</v>
      </c>
      <c r="F263" s="885" t="s">
        <v>142</v>
      </c>
      <c r="G263" s="591" t="str">
        <f>VLOOKUP(WWWW[[#This Row],[Site Name]],SiteDB6[[Site Name]:[Location Type]],8,FALSE)</f>
        <v>Camp</v>
      </c>
      <c r="H263" s="885" t="s">
        <v>269</v>
      </c>
      <c r="I263" s="887">
        <v>353</v>
      </c>
      <c r="J263" s="887">
        <v>2166</v>
      </c>
      <c r="K263" s="888">
        <v>44562</v>
      </c>
      <c r="L263" s="889">
        <v>44926</v>
      </c>
      <c r="M263" s="887">
        <v>60</v>
      </c>
      <c r="N263" s="887">
        <v>1</v>
      </c>
      <c r="O263" s="887"/>
      <c r="P263" s="887"/>
      <c r="Q263" s="890" t="s">
        <v>41</v>
      </c>
      <c r="R263" s="887">
        <v>1</v>
      </c>
      <c r="S263" s="887">
        <v>6</v>
      </c>
      <c r="T263" s="448">
        <v>3</v>
      </c>
      <c r="U263" s="887"/>
      <c r="V263" s="887"/>
      <c r="W263" s="887">
        <v>2</v>
      </c>
      <c r="X263" s="887">
        <v>1</v>
      </c>
      <c r="Y263" s="887">
        <v>3</v>
      </c>
      <c r="Z263" s="887"/>
      <c r="AA263" s="887"/>
      <c r="AB263" s="887"/>
      <c r="AC263" s="887"/>
      <c r="AD263" s="887"/>
      <c r="AE263" s="887"/>
      <c r="AF263" s="887"/>
      <c r="AG263" s="887"/>
      <c r="AH263" s="887"/>
      <c r="AI263" s="887"/>
      <c r="AJ263" s="887"/>
      <c r="AK263" s="887"/>
      <c r="AL263" s="887"/>
      <c r="AM263" s="887">
        <v>2</v>
      </c>
      <c r="AN263" s="887"/>
      <c r="AO263" s="448"/>
      <c r="AP263" s="891"/>
      <c r="AQ263" s="887">
        <v>20</v>
      </c>
      <c r="AR263" s="887">
        <v>4</v>
      </c>
      <c r="AS263" s="892" t="s">
        <v>2685</v>
      </c>
      <c r="AT263" s="887"/>
      <c r="AU263" s="887"/>
      <c r="AV263" s="887"/>
      <c r="AW263" s="887"/>
      <c r="AX263" s="887"/>
      <c r="AY263" s="886" t="s">
        <v>41</v>
      </c>
      <c r="AZ263" s="891" t="s">
        <v>137</v>
      </c>
      <c r="BA263" s="887"/>
      <c r="BB263" s="887">
        <v>10</v>
      </c>
      <c r="BC263" s="887">
        <v>4</v>
      </c>
      <c r="BD263" s="448">
        <v>18</v>
      </c>
      <c r="BE263" s="448"/>
      <c r="BF263" s="886" t="s">
        <v>3070</v>
      </c>
      <c r="BG263" s="887">
        <v>14</v>
      </c>
      <c r="BH263" s="887">
        <v>1</v>
      </c>
      <c r="BI263" s="887"/>
      <c r="BJ263" s="887">
        <v>4</v>
      </c>
      <c r="BK263" s="887">
        <v>1</v>
      </c>
      <c r="BL263" s="887">
        <v>1</v>
      </c>
      <c r="BM263" s="887">
        <v>1</v>
      </c>
      <c r="BN263" s="887">
        <v>356</v>
      </c>
      <c r="BO263" s="887"/>
      <c r="BP263" s="886" t="s">
        <v>41</v>
      </c>
      <c r="BQ263" s="893"/>
      <c r="BR263" s="892">
        <v>0.6</v>
      </c>
      <c r="BS263" s="886"/>
      <c r="BT263" s="423">
        <v>0.9</v>
      </c>
      <c r="BU263" s="423">
        <v>1</v>
      </c>
      <c r="BV263" s="425"/>
      <c r="BW263" s="423">
        <v>1</v>
      </c>
      <c r="BX263" s="448"/>
      <c r="BY263" s="448"/>
      <c r="BZ263" s="448"/>
      <c r="CA263" s="448"/>
      <c r="CB263" s="448"/>
      <c r="CC263" s="777"/>
      <c r="CD263" s="448"/>
      <c r="CE263" s="894" t="str">
        <f>IFERROR(WWWW[[#This Row],['#_Water sources passed]]/WWWW[[#This Row],['#_Water sources tested for fecal coliform ]],"no test")</f>
        <v>no test</v>
      </c>
      <c r="CF263" s="892" t="str">
        <f>IFERROR(WWWW[[#This Row],['#_Household passed]]/WWWW[[#This Row],['#_Household water samples tested for fecal coliform]],"no test")</f>
        <v>no test</v>
      </c>
      <c r="CG263" s="893" t="str">
        <f>IF(AND(WWWW[[#This Row],[% of water sources passed]]="no test",WWWW[[#This Row],[% Household passed]]="no test"),"No Test","Tested")</f>
        <v>No Test</v>
      </c>
      <c r="CH263" s="893">
        <f>WWWW[[#This Row],['#_Constructed/existing protected hand dug well]]-WWWW[[#This Row],['#_Non-functional protected hand dug well]]</f>
        <v>3</v>
      </c>
      <c r="CI263" s="893">
        <f>(WWWW[[#This Row],['#_Constructed/Existing tube wells/boreholes/handpumps_WASH_agency]]+WWWW[[#This Row],['#_Non-Cluster partner water tube-wells/boreholes/handpumps]])-WWWW[[#This Row],['#_Non-functional tube wells/boreholes/handpumps]]</f>
        <v>0</v>
      </c>
      <c r="CJ263" s="893">
        <f>WWWW[[#This Row],['#_Constructed/Existingwater storage tank with gravity fed reticulation system]]-WWWW[[#This Row],['#_Non-functional storage tank gravity fed reticulation system]]</f>
        <v>0</v>
      </c>
      <c r="CK263" s="893">
        <f>(WWWW[[#This Row],['#_Water_Liters_supplied_by_Water boating or water trucking]]/90)/15</f>
        <v>0</v>
      </c>
      <c r="CL263" s="893">
        <f>WWWW[[#This Row],['#_Water_Liters_from_Constructed/Existing water distribution system from river or natural spring]]/90/15</f>
        <v>0</v>
      </c>
      <c r="CM263" s="424">
        <f>IF(WWWW[[#This Row],['#_of water points in TLS/CFS]]*500&gt;WWWW[[#This Row],[Total PoP ]],WWWW[[#This Row],[Total PoP ]],WWWW[[#This Row],['#_of water points in TLS/CFS]]*500)</f>
        <v>0</v>
      </c>
      <c r="CN263" s="424">
        <f>IF(WWWW[[#This Row],['#_of water points in THF]]*500&gt;WWWW[[#This Row],[Total PoP ]],WWWW[[#This Row],[Total PoP ]],WWWW[[#This Row],['#_of water points in THF]]*500)</f>
        <v>0</v>
      </c>
      <c r="CO26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0.554016620498615</v>
      </c>
      <c r="CP26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0.34626038781163437</v>
      </c>
      <c r="CQ263" s="892">
        <f>IF(WWWW[[#This Row],[Location Type 1]]="Village",WWWW[[#This Row],[Access to safe drinking water for Village]],WWWW[[#This Row],[Access to safe drinking water for Camp]])</f>
        <v>0.554016620498615</v>
      </c>
      <c r="CR263" s="890">
        <f>WWWW[[#This Row],[%Equitable and continuous access to sufficient quantity of safe drinking water]]*WWWW[[#This Row],[Total PoP ]]</f>
        <v>1200</v>
      </c>
      <c r="CS263" s="892">
        <f>IF((WWWW[[#This Row],['#_Constructed/Existing protected/fenced ponds]]*250)/WWWW[[#This Row],[Total PoP ]]&gt;1,1,(WWWW[[#This Row],['#_Constructed/Existing protected/fenced ponds]]*250)/WWWW[[#This Row],[Total PoP ]])</f>
        <v>0</v>
      </c>
      <c r="CT263" s="890">
        <f>WWWW[[#This Row],[% Access to unimproved water points]]*WWWW[[#This Row],[Total PoP ]]</f>
        <v>0</v>
      </c>
      <c r="CU26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0.554016620498615</v>
      </c>
      <c r="CV26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1200</v>
      </c>
      <c r="CW263" s="890">
        <f>WWWW[[#This Row],[HRP1]]/500</f>
        <v>2.4</v>
      </c>
      <c r="CX263" s="895">
        <f>1-WWWW[[#This Row],[% Equitable and continuous access to sufficient quantity of domestic water]]</f>
        <v>0.445983379501385</v>
      </c>
      <c r="CY263" s="890">
        <f>WWWW[[#This Row],[%equitable and continuous access to sufficient quantity of safe drinking and domestic water''s GAP]]*WWWW[[#This Row],[Total PoP ]]</f>
        <v>965.99999999999989</v>
      </c>
      <c r="CZ263" s="893">
        <f>IF(WWWW[[#This Row],[Total required water points]]-WWWW[[#This Row],['#Water points coverage]]&lt;0,0,WWWW[[#This Row],[Total required water points]]-WWWW[[#This Row],['#Water points coverage]])</f>
        <v>1.6</v>
      </c>
      <c r="DA263" s="893">
        <f>ROUND(IF(WWWW[[#This Row],[Total PoP ]]&lt;500,1,WWWW[[#This Row],[Total PoP ]]/500),0)</f>
        <v>4</v>
      </c>
      <c r="DB263" s="893">
        <f>(WWWW[[#This Row],['#_Constructed latrines_by_WASHAgencies]]+WWWW[[#This Row],['#_Non Cluster partner latrines]])-WWWW[[#This Row],['#_Non-functional latrines]]</f>
        <v>24</v>
      </c>
      <c r="DC263" s="631">
        <f>WWWW[[#This Row],[HRP2]]/WWWW[[#This Row],[Total PoP ]]</f>
        <v>0.22160664819944598</v>
      </c>
      <c r="DD26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480</v>
      </c>
      <c r="DE26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60</v>
      </c>
      <c r="DG263" s="424">
        <f>IF(WWWW[[#This Row],['# of functional latrines in THF supported by WASH partners during the reporting period2]]="",0,WWWW[[#This Row],['# of functional latrines in THF supported by WASH partners during the reporting period2]]*50)</f>
        <v>900</v>
      </c>
      <c r="DH263" s="893">
        <f>ROUND(IF(WWWW[[#This Row],[Location Type 1]]="camp",WWWW[[#This Row],[Total PoP ]]/20,IF(WWWW[[#This Row],[Location Type 1]]="Temporary Location",WWWW[[#This Row],[Total PoP ]]/50,(WWWW[[#This Row],[Total PoP ]]/6))),0)</f>
        <v>108</v>
      </c>
      <c r="DI263" s="893">
        <f>IF(WWWW[[#This Row],[Total required Latrines]]-(WWWW[[#This Row],['#_Constructed latrines_by_WASHAgencies]]+WWWW[[#This Row],['#_Non Cluster partner latrines]])&lt;0,0,WWWW[[#This Row],[Total required Latrines]]-(WWWW[[#This Row],['#_Constructed latrines_by_WASHAgencies]]+WWWW[[#This Row],['#_Non Cluster partner latrines]]))</f>
        <v>84</v>
      </c>
      <c r="DJ263" s="895">
        <f>1-WWWW[[#This Row],[% people access to functioning Latrine]]</f>
        <v>0.77839335180055402</v>
      </c>
      <c r="DK263" s="894">
        <f>IF(OR(WWWW[[#This Row],['#_Non-functional latrines]]="",WWWW[[#This Row],['#_Non-functional latrines]]=0),0,WWWW[[#This Row],['#_Non-functional latrines]]/(WWWW[[#This Row],['#_Constructed latrines_by_WASHAgencies]]+WWWW[[#This Row],['#_Non Cluster partner latrines]]))</f>
        <v>0</v>
      </c>
      <c r="DL263" s="890">
        <f>IF(500*(WWWW[[#This Row],['#_male hygiene promoters]]+WWWW[[#This Row],['#_female hygiene promoters]])&gt;WWWW[[#This Row],[Total PoP ]],WWWW[[#This Row],[Total PoP ]],500*(WWWW[[#This Row],['#_male hygiene promoters]]+WWWW[[#This Row],['#_female hygiene promoters]]))</f>
        <v>1000</v>
      </c>
      <c r="DM26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1780</v>
      </c>
      <c r="DN26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63" s="893">
        <f>IF(WWWW[[#This Row],['# People with access to soap]]&gt;WWWW[[#This Row],['# People with access to Sanity Pads]],WWWW[[#This Row],['# People with access to soap]],WWWW[[#This Row],['# People with access to Sanity Pads]])</f>
        <v>1780</v>
      </c>
      <c r="DP263" s="893">
        <f>IF(WWWW[[#This Row],['# people reached by regular dedicated hygiene promotion_5]]&gt;WWWW[[#This Row],['# People received regular supply of hygiene items_6]],WWWW[[#This Row],['# people reached by regular dedicated hygiene promotion_5]],WWWW[[#This Row],['# People received regular supply of hygiene items_6]])</f>
        <v>1780</v>
      </c>
      <c r="DQ263" s="895">
        <f>IF(WWWW[[#This Row],[HRP3]]/WWWW[[#This Row],[Total PoP ]]&gt;1,1,WWWW[[#This Row],[HRP3]]/WWWW[[#This Row],[Total PoP ]])</f>
        <v>0.82179132040627889</v>
      </c>
      <c r="DR263" s="894">
        <f>1-WWWW[[#This Row],[Hygiene Coverage%]]</f>
        <v>0.17820867959372111</v>
      </c>
      <c r="DS263" s="892">
        <f>WWWW[[#This Row],['# people reached by regular dedicated hygiene promotion_5]]/WWWW[[#This Row],[Total PoP ]]</f>
        <v>0.46168051708217911</v>
      </c>
      <c r="DT26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63" s="893">
        <f>WWWW[[#This Row],['#_Constructed/Existing hand washing stations]]-WWWW[[#This Row],['#_Non-Functional_hand_washing_stations]]</f>
        <v>13</v>
      </c>
      <c r="DW263" s="890">
        <f>IF(WWWW[[#This Row],['# Functional hand washing stations during reporting period]]*20&gt;WWWW[[#This Row],[Total HH]],WWWW[[#This Row],[Total HH]],WWWW[[#This Row],['# Functional hand washing stations during reporting period]]*20)</f>
        <v>260</v>
      </c>
      <c r="DX263" s="890">
        <f>IF(WWWW[[#This Row],[Is sufficient soap available for TLS? (Yes/No)]]="yes",WWWW[[#This Row],['#_Constructed/Existing hand washing stations at TLS/CFS/THF]],0)</f>
        <v>2</v>
      </c>
      <c r="DY263" s="428">
        <f>IF(WWWW[[#This Row],['# Functional hand washing stations during reporting period]]*100&gt;WWWW[[#This Row],[Total PoP ]],WWWW[[#This Row],[Total PoP ]],WWWW[[#This Row],['# Functional hand washing stations during reporting period]]*100)</f>
        <v>1300</v>
      </c>
      <c r="DZ263" s="428" t="str">
        <f>IF(OR(WWWW[[#This Row],['#_students at TLS_CFS]]="",WWWW[[#This Row],['#_students at TLS_CFS]]=0),"No","Yes")</f>
        <v>Yes</v>
      </c>
      <c r="EA26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60</v>
      </c>
      <c r="ED26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900</v>
      </c>
      <c r="EE263" s="886" t="str">
        <f>VLOOKUP(WWWW[[#This Row],[Site Name]],SiteDB6[[Site Name]:[CCCM Management]],6,FALSE)</f>
        <v>Yes</v>
      </c>
      <c r="EF263" s="886" t="str">
        <f>VLOOKUP(WWWW[[#This Row],[Site Name]],SiteDB6[[Site Name]:[CCCM Focal Agency]],7,FALSE)</f>
        <v>Shalom</v>
      </c>
      <c r="EG263" s="886" t="str">
        <f>VLOOKUP(WWWW[[#This Row],[Site Name]],SiteDB6[[Site Name]:[Location Type 1]],9,FALSE)</f>
        <v>Camp</v>
      </c>
      <c r="EH263" s="886" t="str">
        <f>VLOOKUP(WWWW[[#This Row],[Site Name]],SiteDB6[[Site Name]:[Type of Accommodation]],10,FALSE)</f>
        <v>Camp</v>
      </c>
      <c r="EI263" s="886" t="str">
        <f>VLOOKUP(WWWW[[#This Row],[Site Name]],SiteDB6[[Site Name]:[Ethnic or GCA/NGCA]],11,FALSE)</f>
        <v>GCA</v>
      </c>
      <c r="EJ263" s="886">
        <f>VLOOKUP(WWWW[[#This Row],[Site Name]],SiteDB6[[Site Name]:[Lat]],12,FALSE)</f>
        <v>25.424529444444399</v>
      </c>
      <c r="EK263" s="886">
        <f>VLOOKUP(WWWW[[#This Row],[Site Name]],SiteDB6[[Site Name]:[Long]],13,FALSE)</f>
        <v>97.433419259259296</v>
      </c>
      <c r="EL263" s="886" t="str">
        <f>VLOOKUP(WWWW[[#This Row],[Site Name]],SiteDB6[[Site Name]:[Pcode]],3,FALSE)</f>
        <v>MMR001CMP031</v>
      </c>
      <c r="EM263" s="891" t="str">
        <f t="shared" ref="EM263:EM326" si="4">IF(C263="none","Notcovered","Covered")</f>
        <v>Covered</v>
      </c>
      <c r="EN263" s="891"/>
      <c r="EO263" s="886">
        <f>VLOOKUP(WWWW[[#This Row],[Site Name]],SiteDB6[[Site Name]:[Pop
(Kachin/Shan-CCCM as of July 2021)]],16,FALSE)</f>
        <v>353</v>
      </c>
      <c r="EP263" s="886">
        <f>VLOOKUP(WWWW[[#This Row],[Site Name]],SiteDB6[[Site Name]:[Pop
(Kachin/Shan-CCCM as of July 2021)]],17,FALSE)</f>
        <v>2166</v>
      </c>
    </row>
    <row r="264" spans="1:146" hidden="1">
      <c r="A264" s="884" t="s">
        <v>2764</v>
      </c>
      <c r="B264" s="884" t="s">
        <v>36</v>
      </c>
      <c r="C264" s="885" t="s">
        <v>36</v>
      </c>
      <c r="D264" s="885" t="s">
        <v>241</v>
      </c>
      <c r="E264" s="885" t="s">
        <v>37</v>
      </c>
      <c r="F264" s="885" t="s">
        <v>142</v>
      </c>
      <c r="G264" s="591" t="str">
        <f>VLOOKUP(WWWW[[#This Row],[Site Name]],SiteDB6[[Site Name]:[Location Type]],8,FALSE)</f>
        <v>Camp</v>
      </c>
      <c r="H264" s="885" t="s">
        <v>237</v>
      </c>
      <c r="I264" s="887">
        <v>276</v>
      </c>
      <c r="J264" s="887">
        <v>1494</v>
      </c>
      <c r="K264" s="888">
        <v>44414</v>
      </c>
      <c r="L264" s="889">
        <v>44778</v>
      </c>
      <c r="M264" s="887"/>
      <c r="N264" s="887">
        <v>5</v>
      </c>
      <c r="O264" s="887"/>
      <c r="P264" s="887"/>
      <c r="Q264" s="890" t="s">
        <v>41</v>
      </c>
      <c r="R264" s="887">
        <v>4</v>
      </c>
      <c r="S264" s="887">
        <v>3</v>
      </c>
      <c r="T264" s="448">
        <v>11</v>
      </c>
      <c r="U264" s="887">
        <v>1</v>
      </c>
      <c r="V264" s="887">
        <v>1</v>
      </c>
      <c r="W264" s="887"/>
      <c r="X264" s="887"/>
      <c r="Y264" s="887"/>
      <c r="Z264" s="887"/>
      <c r="AA264" s="887"/>
      <c r="AB264" s="887"/>
      <c r="AC264" s="887"/>
      <c r="AD264" s="887"/>
      <c r="AE264" s="887"/>
      <c r="AF264" s="887"/>
      <c r="AG264" s="887"/>
      <c r="AH264" s="887"/>
      <c r="AI264" s="887">
        <v>10</v>
      </c>
      <c r="AJ264" s="887">
        <v>9</v>
      </c>
      <c r="AK264" s="887"/>
      <c r="AL264" s="887"/>
      <c r="AM264" s="887">
        <v>5</v>
      </c>
      <c r="AN264" s="887"/>
      <c r="AO264" s="448"/>
      <c r="AP264" s="891"/>
      <c r="AQ264" s="887">
        <v>97</v>
      </c>
      <c r="AR264" s="887"/>
      <c r="AS264" s="892"/>
      <c r="AT264" s="887"/>
      <c r="AU264" s="887"/>
      <c r="AV264" s="887"/>
      <c r="AW264" s="887"/>
      <c r="AX264" s="887"/>
      <c r="AY264" s="886" t="s">
        <v>41</v>
      </c>
      <c r="AZ264" s="891" t="s">
        <v>137</v>
      </c>
      <c r="BA264" s="887"/>
      <c r="BB264" s="887"/>
      <c r="BC264" s="887"/>
      <c r="BD264" s="448"/>
      <c r="BE264" s="448"/>
      <c r="BF264" s="886"/>
      <c r="BG264" s="887">
        <v>1</v>
      </c>
      <c r="BH264" s="887"/>
      <c r="BI264" s="887"/>
      <c r="BJ264" s="887">
        <v>4</v>
      </c>
      <c r="BK264" s="887"/>
      <c r="BL264" s="887"/>
      <c r="BM264" s="887">
        <v>2</v>
      </c>
      <c r="BN264" s="887">
        <v>276</v>
      </c>
      <c r="BO264" s="887">
        <v>320.46300000000002</v>
      </c>
      <c r="BP264" s="886" t="s">
        <v>41</v>
      </c>
      <c r="BQ264" s="893">
        <v>100</v>
      </c>
      <c r="BR264" s="892">
        <v>0.6</v>
      </c>
      <c r="BS264" s="886" t="s">
        <v>3036</v>
      </c>
      <c r="BT264" s="423"/>
      <c r="BU264" s="423"/>
      <c r="BV264" s="425"/>
      <c r="BW264" s="423">
        <v>0.01</v>
      </c>
      <c r="BX264" s="448"/>
      <c r="BY264" s="448"/>
      <c r="BZ264" s="448"/>
      <c r="CA264" s="448"/>
      <c r="CB264" s="448"/>
      <c r="CC264" s="777"/>
      <c r="CD264" s="448"/>
      <c r="CE264" s="894">
        <f>IFERROR(WWWW[[#This Row],['#_Water sources passed]]/WWWW[[#This Row],['#_Water sources tested for fecal coliform ]],"no test")</f>
        <v>0.9</v>
      </c>
      <c r="CF264" s="892" t="str">
        <f>IFERROR(WWWW[[#This Row],['#_Household passed]]/WWWW[[#This Row],['#_Household water samples tested for fecal coliform]],"no test")</f>
        <v>no test</v>
      </c>
      <c r="CG264" s="893" t="str">
        <f>IF(AND(WWWW[[#This Row],[% of water sources passed]]="no test",WWWW[[#This Row],[% Household passed]]="no test"),"No Test","Tested")</f>
        <v>Tested</v>
      </c>
      <c r="CH264" s="893">
        <f>WWWW[[#This Row],['#_Constructed/existing protected hand dug well]]-WWWW[[#This Row],['#_Non-functional protected hand dug well]]</f>
        <v>10</v>
      </c>
      <c r="CI264" s="893">
        <f>(WWWW[[#This Row],['#_Constructed/Existing tube wells/boreholes/handpumps_WASH_agency]]+WWWW[[#This Row],['#_Non-Cluster partner water tube-wells/boreholes/handpumps]])-WWWW[[#This Row],['#_Non-functional tube wells/boreholes/handpumps]]</f>
        <v>0</v>
      </c>
      <c r="CJ264" s="893">
        <f>WWWW[[#This Row],['#_Constructed/Existingwater storage tank with gravity fed reticulation system]]-WWWW[[#This Row],['#_Non-functional storage tank gravity fed reticulation system]]</f>
        <v>0</v>
      </c>
      <c r="CK264" s="893">
        <f>(WWWW[[#This Row],['#_Water_Liters_supplied_by_Water boating or water trucking]]/90)/15</f>
        <v>0</v>
      </c>
      <c r="CL264" s="893">
        <f>WWWW[[#This Row],['#_Water_Liters_from_Constructed/Existing water distribution system from river or natural spring]]/90/15</f>
        <v>0</v>
      </c>
      <c r="CM264" s="424">
        <f>IF(WWWW[[#This Row],['#_of water points in TLS/CFS]]*500&gt;WWWW[[#This Row],[Total PoP ]],WWWW[[#This Row],[Total PoP ]],WWWW[[#This Row],['#_of water points in TLS/CFS]]*500)</f>
        <v>0</v>
      </c>
      <c r="CN264" s="424">
        <f>IF(WWWW[[#This Row],['#_of water points in THF]]*500&gt;WWWW[[#This Row],[Total PoP ]],WWWW[[#This Row],[Total PoP ]],WWWW[[#This Row],['#_of water points in THF]]*500)</f>
        <v>0</v>
      </c>
      <c r="CO26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4" s="892">
        <f>IF(WWWW[[#This Row],[Location Type 1]]="Village",WWWW[[#This Row],[Access to safe drinking water for Village]],WWWW[[#This Row],[Access to safe drinking water for Camp]])</f>
        <v>1</v>
      </c>
      <c r="CR264" s="890">
        <f>WWWW[[#This Row],[%Equitable and continuous access to sufficient quantity of safe drinking water]]*WWWW[[#This Row],[Total PoP ]]</f>
        <v>1494</v>
      </c>
      <c r="CS264" s="892">
        <f>IF((WWWW[[#This Row],['#_Constructed/Existing protected/fenced ponds]]*250)/WWWW[[#This Row],[Total PoP ]]&gt;1,1,(WWWW[[#This Row],['#_Constructed/Existing protected/fenced ponds]]*250)/WWWW[[#This Row],[Total PoP ]])</f>
        <v>0</v>
      </c>
      <c r="CT264" s="890">
        <f>WWWW[[#This Row],[% Access to unimproved water points]]*WWWW[[#This Row],[Total PoP ]]</f>
        <v>0</v>
      </c>
      <c r="CU26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1494</v>
      </c>
      <c r="CW264" s="890">
        <f>WWWW[[#This Row],[HRP1]]/500</f>
        <v>2.988</v>
      </c>
      <c r="CX264" s="895">
        <f>1-WWWW[[#This Row],[% Equitable and continuous access to sufficient quantity of domestic water]]</f>
        <v>0</v>
      </c>
      <c r="CY264" s="890">
        <f>WWWW[[#This Row],[%equitable and continuous access to sufficient quantity of safe drinking and domestic water''s GAP]]*WWWW[[#This Row],[Total PoP ]]</f>
        <v>0</v>
      </c>
      <c r="CZ264" s="893">
        <f>IF(WWWW[[#This Row],[Total required water points]]-WWWW[[#This Row],['#Water points coverage]]&lt;0,0,WWWW[[#This Row],[Total required water points]]-WWWW[[#This Row],['#Water points coverage]])</f>
        <v>1.2000000000000011E-2</v>
      </c>
      <c r="DA264" s="893">
        <f>ROUND(IF(WWWW[[#This Row],[Total PoP ]]&lt;500,1,WWWW[[#This Row],[Total PoP ]]/500),0)</f>
        <v>3</v>
      </c>
      <c r="DB264" s="893">
        <f>(WWWW[[#This Row],['#_Constructed latrines_by_WASHAgencies]]+WWWW[[#This Row],['#_Non Cluster partner latrines]])-WWWW[[#This Row],['#_Non-functional latrines]]</f>
        <v>97</v>
      </c>
      <c r="DC264" s="631">
        <f>WWWW[[#This Row],[HRP2]]/WWWW[[#This Row],[Total PoP ]]</f>
        <v>1</v>
      </c>
      <c r="DD26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1494</v>
      </c>
      <c r="DE26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4" s="424">
        <f>IF(WWWW[[#This Row],['# of functional latrines in THF supported by WASH partners during the reporting period2]]="",0,WWWW[[#This Row],['# of functional latrines in THF supported by WASH partners during the reporting period2]]*50)</f>
        <v>0</v>
      </c>
      <c r="DH264" s="893">
        <f>ROUND(IF(WWWW[[#This Row],[Location Type 1]]="camp",WWWW[[#This Row],[Total PoP ]]/20,IF(WWWW[[#This Row],[Location Type 1]]="Temporary Location",WWWW[[#This Row],[Total PoP ]]/50,(WWWW[[#This Row],[Total PoP ]]/6))),0)</f>
        <v>75</v>
      </c>
      <c r="DI264" s="893">
        <f>IF(WWWW[[#This Row],[Total required Latrines]]-(WWWW[[#This Row],['#_Constructed latrines_by_WASHAgencies]]+WWWW[[#This Row],['#_Non Cluster partner latrines]])&lt;0,0,WWWW[[#This Row],[Total required Latrines]]-(WWWW[[#This Row],['#_Constructed latrines_by_WASHAgencies]]+WWWW[[#This Row],['#_Non Cluster partner latrines]]))</f>
        <v>0</v>
      </c>
      <c r="DJ264" s="895">
        <f>1-WWWW[[#This Row],[% people access to functioning Latrine]]</f>
        <v>0</v>
      </c>
      <c r="DK264" s="894">
        <f>IF(OR(WWWW[[#This Row],['#_Non-functional latrines]]="",WWWW[[#This Row],['#_Non-functional latrines]]=0),0,WWWW[[#This Row],['#_Non-functional latrines]]/(WWWW[[#This Row],['#_Constructed latrines_by_WASHAgencies]]+WWWW[[#This Row],['#_Non Cluster partner latrines]]))</f>
        <v>0</v>
      </c>
      <c r="DL264" s="890">
        <f>IF(500*(WWWW[[#This Row],['#_male hygiene promoters]]+WWWW[[#This Row],['#_female hygiene promoters]])&gt;WWWW[[#This Row],[Total PoP ]],WWWW[[#This Row],[Total PoP ]],500*(WWWW[[#This Row],['#_male hygiene promoters]]+WWWW[[#This Row],['#_female hygiene promoters]]))</f>
        <v>1000</v>
      </c>
      <c r="DM26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1494</v>
      </c>
      <c r="DN26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320.46300000000002</v>
      </c>
      <c r="DO264" s="893">
        <f>IF(WWWW[[#This Row],['# People with access to soap]]&gt;WWWW[[#This Row],['# People with access to Sanity Pads]],WWWW[[#This Row],['# People with access to soap]],WWWW[[#This Row],['# People with access to Sanity Pads]])</f>
        <v>1494</v>
      </c>
      <c r="DP264" s="893">
        <f>IF(WWWW[[#This Row],['# people reached by regular dedicated hygiene promotion_5]]&gt;WWWW[[#This Row],['# People received regular supply of hygiene items_6]],WWWW[[#This Row],['# people reached by regular dedicated hygiene promotion_5]],WWWW[[#This Row],['# People received regular supply of hygiene items_6]])</f>
        <v>1494</v>
      </c>
      <c r="DQ264" s="895">
        <f>IF(WWWW[[#This Row],[HRP3]]/WWWW[[#This Row],[Total PoP ]]&gt;1,1,WWWW[[#This Row],[HRP3]]/WWWW[[#This Row],[Total PoP ]])</f>
        <v>1</v>
      </c>
      <c r="DR264" s="894">
        <f>1-WWWW[[#This Row],[Hygiene Coverage%]]</f>
        <v>0</v>
      </c>
      <c r="DS264" s="892">
        <f>WWWW[[#This Row],['# people reached by regular dedicated hygiene promotion_5]]/WWWW[[#This Row],[Total PoP ]]</f>
        <v>0.66934404283801874</v>
      </c>
      <c r="DT26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64" s="893">
        <f>WWWW[[#This Row],['#_Constructed/Existing hand washing stations]]-WWWW[[#This Row],['#_Non-Functional_hand_washing_stations]]</f>
        <v>1</v>
      </c>
      <c r="DW264" s="890">
        <f>IF(WWWW[[#This Row],['# Functional hand washing stations during reporting period]]*20&gt;WWWW[[#This Row],[Total HH]],WWWW[[#This Row],[Total HH]],WWWW[[#This Row],['# Functional hand washing stations during reporting period]]*20)</f>
        <v>20</v>
      </c>
      <c r="DX264" s="890">
        <f>IF(WWWW[[#This Row],[Is sufficient soap available for TLS? (Yes/No)]]="yes",WWWW[[#This Row],['#_Constructed/Existing hand washing stations at TLS/CFS/THF]],0)</f>
        <v>5</v>
      </c>
      <c r="DY264" s="428">
        <f>IF(WWWW[[#This Row],['# Functional hand washing stations during reporting period]]*100&gt;WWWW[[#This Row],[Total PoP ]],WWWW[[#This Row],[Total PoP ]],WWWW[[#This Row],['# Functional hand washing stations during reporting period]]*100)</f>
        <v>100</v>
      </c>
      <c r="DZ264" s="428" t="str">
        <f>IF(OR(WWWW[[#This Row],['#_students at TLS_CFS]]="",WWWW[[#This Row],['#_students at TLS_CFS]]=0),"No","Yes")</f>
        <v>No</v>
      </c>
      <c r="EA26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4" s="886" t="str">
        <f>VLOOKUP(WWWW[[#This Row],[Site Name]],SiteDB6[[Site Name]:[CCCM Management]],6,FALSE)</f>
        <v>Yes</v>
      </c>
      <c r="EF264" s="886" t="str">
        <f>VLOOKUP(WWWW[[#This Row],[Site Name]],SiteDB6[[Site Name]:[CCCM Focal Agency]],7,FALSE)</f>
        <v>KMSS-MYT</v>
      </c>
      <c r="EG264" s="886" t="str">
        <f>VLOOKUP(WWWW[[#This Row],[Site Name]],SiteDB6[[Site Name]:[Location Type 1]],9,FALSE)</f>
        <v>Camp</v>
      </c>
      <c r="EH264" s="886" t="str">
        <f>VLOOKUP(WWWW[[#This Row],[Site Name]],SiteDB6[[Site Name]:[Type of Accommodation]],10,FALSE)</f>
        <v>Camp</v>
      </c>
      <c r="EI264" s="886" t="str">
        <f>VLOOKUP(WWWW[[#This Row],[Site Name]],SiteDB6[[Site Name]:[Ethnic or GCA/NGCA]],11,FALSE)</f>
        <v>GCA</v>
      </c>
      <c r="EJ264" s="886">
        <f>VLOOKUP(WWWW[[#This Row],[Site Name]],SiteDB6[[Site Name]:[Lat]],12,FALSE)</f>
        <v>25.415667500000001</v>
      </c>
      <c r="EK264" s="886">
        <f>VLOOKUP(WWWW[[#This Row],[Site Name]],SiteDB6[[Site Name]:[Long]],13,FALSE)</f>
        <v>97.437782499999997</v>
      </c>
      <c r="EL264" s="886" t="str">
        <f>VLOOKUP(WWWW[[#This Row],[Site Name]],SiteDB6[[Site Name]:[Pcode]],3,FALSE)</f>
        <v>MMR001CMP029</v>
      </c>
      <c r="EM264" s="891" t="str">
        <f t="shared" si="4"/>
        <v>Covered</v>
      </c>
      <c r="EN264" s="891"/>
      <c r="EO264" s="886">
        <f>VLOOKUP(WWWW[[#This Row],[Site Name]],SiteDB6[[Site Name]:[Pop
(Kachin/Shan-CCCM as of July 2021)]],16,FALSE)</f>
        <v>276</v>
      </c>
      <c r="EP264" s="886">
        <f>VLOOKUP(WWWW[[#This Row],[Site Name]],SiteDB6[[Site Name]:[Pop
(Kachin/Shan-CCCM as of July 2021)]],17,FALSE)</f>
        <v>1492</v>
      </c>
    </row>
    <row r="265" spans="1:146" hidden="1">
      <c r="A265" s="884" t="s">
        <v>2764</v>
      </c>
      <c r="B265" s="884" t="s">
        <v>3073</v>
      </c>
      <c r="C265" s="885" t="s">
        <v>141</v>
      </c>
      <c r="D265" s="885" t="s">
        <v>3081</v>
      </c>
      <c r="E265" s="885" t="s">
        <v>37</v>
      </c>
      <c r="F265" s="885" t="s">
        <v>142</v>
      </c>
      <c r="G265" s="591" t="str">
        <f>VLOOKUP(WWWW[[#This Row],[Site Name]],SiteDB6[[Site Name]:[Location Type]],8,FALSE)</f>
        <v>Camp</v>
      </c>
      <c r="H265" s="885" t="s">
        <v>178</v>
      </c>
      <c r="I265" s="887">
        <v>531</v>
      </c>
      <c r="J265" s="887">
        <v>2920</v>
      </c>
      <c r="K265" s="888">
        <v>44682</v>
      </c>
      <c r="L265" s="889">
        <v>44865</v>
      </c>
      <c r="M265" s="887"/>
      <c r="N265" s="887">
        <v>1</v>
      </c>
      <c r="O265" s="887"/>
      <c r="P265" s="887"/>
      <c r="Q265" s="890" t="s">
        <v>41</v>
      </c>
      <c r="R265" s="887">
        <v>3</v>
      </c>
      <c r="S265" s="887">
        <v>4</v>
      </c>
      <c r="T265" s="448">
        <v>13</v>
      </c>
      <c r="U265" s="887"/>
      <c r="V265" s="887"/>
      <c r="W265" s="887">
        <v>2</v>
      </c>
      <c r="X265" s="887"/>
      <c r="Y265" s="887"/>
      <c r="Z265" s="887"/>
      <c r="AA265" s="887"/>
      <c r="AB265" s="887"/>
      <c r="AC265" s="887"/>
      <c r="AD265" s="887"/>
      <c r="AE265" s="887"/>
      <c r="AF265" s="887"/>
      <c r="AG265" s="887"/>
      <c r="AH265" s="887">
        <v>9</v>
      </c>
      <c r="AI265" s="887"/>
      <c r="AJ265" s="887"/>
      <c r="AK265" s="887"/>
      <c r="AL265" s="887"/>
      <c r="AM265" s="887"/>
      <c r="AN265" s="887"/>
      <c r="AO265" s="448"/>
      <c r="AP265" s="891"/>
      <c r="AQ265" s="887">
        <v>130</v>
      </c>
      <c r="AR265" s="887"/>
      <c r="AS265" s="892"/>
      <c r="AT265" s="887"/>
      <c r="AU265" s="887"/>
      <c r="AV265" s="887"/>
      <c r="AW265" s="887"/>
      <c r="AX265" s="887">
        <v>130</v>
      </c>
      <c r="AY265" s="886" t="s">
        <v>41</v>
      </c>
      <c r="AZ265" s="891" t="s">
        <v>137</v>
      </c>
      <c r="BA265" s="887"/>
      <c r="BB265" s="887"/>
      <c r="BC265" s="887"/>
      <c r="BD265" s="448"/>
      <c r="BE265" s="448"/>
      <c r="BF265" s="886"/>
      <c r="BG265" s="887">
        <v>7</v>
      </c>
      <c r="BH265" s="887"/>
      <c r="BI265" s="887"/>
      <c r="BJ265" s="887">
        <v>7</v>
      </c>
      <c r="BK265" s="887"/>
      <c r="BL265" s="887">
        <v>2</v>
      </c>
      <c r="BM265" s="887">
        <v>4</v>
      </c>
      <c r="BN265" s="887"/>
      <c r="BO265" s="887"/>
      <c r="BP265" s="886"/>
      <c r="BQ265" s="893"/>
      <c r="BR265" s="892"/>
      <c r="BS265" s="886"/>
      <c r="BT265" s="423"/>
      <c r="BU265" s="423"/>
      <c r="BV265" s="425"/>
      <c r="BW265" s="423"/>
      <c r="BX265" s="448"/>
      <c r="BY265" s="448"/>
      <c r="BZ265" s="448"/>
      <c r="CA265" s="448"/>
      <c r="CB265" s="448"/>
      <c r="CC265" s="777"/>
      <c r="CD265" s="448"/>
      <c r="CE265" s="894" t="str">
        <f>IFERROR(WWWW[[#This Row],['#_Water sources passed]]/WWWW[[#This Row],['#_Water sources tested for fecal coliform ]],"no test")</f>
        <v>no test</v>
      </c>
      <c r="CF265" s="892" t="str">
        <f>IFERROR(WWWW[[#This Row],['#_Household passed]]/WWWW[[#This Row],['#_Household water samples tested for fecal coliform]],"no test")</f>
        <v>no test</v>
      </c>
      <c r="CG265" s="893" t="str">
        <f>IF(AND(WWWW[[#This Row],[% of water sources passed]]="no test",WWWW[[#This Row],[% Household passed]]="no test"),"No Test","Tested")</f>
        <v>No Test</v>
      </c>
      <c r="CH265" s="893">
        <f>WWWW[[#This Row],['#_Constructed/existing protected hand dug well]]-WWWW[[#This Row],['#_Non-functional protected hand dug well]]</f>
        <v>13</v>
      </c>
      <c r="CI265" s="893">
        <f>(WWWW[[#This Row],['#_Constructed/Existing tube wells/boreholes/handpumps_WASH_agency]]+WWWW[[#This Row],['#_Non-Cluster partner water tube-wells/boreholes/handpumps]])-WWWW[[#This Row],['#_Non-functional tube wells/boreholes/handpumps]]</f>
        <v>2</v>
      </c>
      <c r="CJ265" s="893">
        <f>WWWW[[#This Row],['#_Constructed/Existingwater storage tank with gravity fed reticulation system]]-WWWW[[#This Row],['#_Non-functional storage tank gravity fed reticulation system]]</f>
        <v>0</v>
      </c>
      <c r="CK265" s="893">
        <f>(WWWW[[#This Row],['#_Water_Liters_supplied_by_Water boating or water trucking]]/90)/15</f>
        <v>0</v>
      </c>
      <c r="CL265" s="893">
        <f>WWWW[[#This Row],['#_Water_Liters_from_Constructed/Existing water distribution system from river or natural spring]]/90/15</f>
        <v>0</v>
      </c>
      <c r="CM265" s="424">
        <f>IF(WWWW[[#This Row],['#_of water points in TLS/CFS]]*500&gt;WWWW[[#This Row],[Total PoP ]],WWWW[[#This Row],[Total PoP ]],WWWW[[#This Row],['#_of water points in TLS/CFS]]*500)</f>
        <v>0</v>
      </c>
      <c r="CN265" s="424">
        <f>IF(WWWW[[#This Row],['#_of water points in THF]]*500&gt;WWWW[[#This Row],[Total PoP ]],WWWW[[#This Row],[Total PoP ]],WWWW[[#This Row],['#_of water points in THF]]*500)</f>
        <v>0</v>
      </c>
      <c r="CO26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5" s="892">
        <f>IF(WWWW[[#This Row],[Location Type 1]]="Village",WWWW[[#This Row],[Access to safe drinking water for Village]],WWWW[[#This Row],[Access to safe drinking water for Camp]])</f>
        <v>1</v>
      </c>
      <c r="CR265" s="890">
        <f>WWWW[[#This Row],[%Equitable and continuous access to sufficient quantity of safe drinking water]]*WWWW[[#This Row],[Total PoP ]]</f>
        <v>2920</v>
      </c>
      <c r="CS265" s="892">
        <f>IF((WWWW[[#This Row],['#_Constructed/Existing protected/fenced ponds]]*250)/WWWW[[#This Row],[Total PoP ]]&gt;1,1,(WWWW[[#This Row],['#_Constructed/Existing protected/fenced ponds]]*250)/WWWW[[#This Row],[Total PoP ]])</f>
        <v>0</v>
      </c>
      <c r="CT265" s="890">
        <f>WWWW[[#This Row],[% Access to unimproved water points]]*WWWW[[#This Row],[Total PoP ]]</f>
        <v>0</v>
      </c>
      <c r="CU26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2920</v>
      </c>
      <c r="CW265" s="890">
        <f>WWWW[[#This Row],[HRP1]]/500</f>
        <v>5.84</v>
      </c>
      <c r="CX265" s="895">
        <f>1-WWWW[[#This Row],[% Equitable and continuous access to sufficient quantity of domestic water]]</f>
        <v>0</v>
      </c>
      <c r="CY265" s="890">
        <f>WWWW[[#This Row],[%equitable and continuous access to sufficient quantity of safe drinking and domestic water''s GAP]]*WWWW[[#This Row],[Total PoP ]]</f>
        <v>0</v>
      </c>
      <c r="CZ265" s="893">
        <f>IF(WWWW[[#This Row],[Total required water points]]-WWWW[[#This Row],['#Water points coverage]]&lt;0,0,WWWW[[#This Row],[Total required water points]]-WWWW[[#This Row],['#Water points coverage]])</f>
        <v>0.16000000000000014</v>
      </c>
      <c r="DA265" s="893">
        <f>ROUND(IF(WWWW[[#This Row],[Total PoP ]]&lt;500,1,WWWW[[#This Row],[Total PoP ]]/500),0)</f>
        <v>6</v>
      </c>
      <c r="DB265" s="893">
        <f>(WWWW[[#This Row],['#_Constructed latrines_by_WASHAgencies]]+WWWW[[#This Row],['#_Non Cluster partner latrines]])-WWWW[[#This Row],['#_Non-functional latrines]]</f>
        <v>130</v>
      </c>
      <c r="DC265" s="631">
        <f>WWWW[[#This Row],[HRP2]]/WWWW[[#This Row],[Total PoP ]]</f>
        <v>0.8904109589041096</v>
      </c>
      <c r="DD26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2600</v>
      </c>
      <c r="DE26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5" s="424">
        <f>IF(WWWW[[#This Row],['# of functional latrines in THF supported by WASH partners during the reporting period2]]="",0,WWWW[[#This Row],['# of functional latrines in THF supported by WASH partners during the reporting period2]]*50)</f>
        <v>0</v>
      </c>
      <c r="DH265" s="893">
        <f>ROUND(IF(WWWW[[#This Row],[Location Type 1]]="camp",WWWW[[#This Row],[Total PoP ]]/20,IF(WWWW[[#This Row],[Location Type 1]]="Temporary Location",WWWW[[#This Row],[Total PoP ]]/50,(WWWW[[#This Row],[Total PoP ]]/6))),0)</f>
        <v>146</v>
      </c>
      <c r="DI265" s="893">
        <f>IF(WWWW[[#This Row],[Total required Latrines]]-(WWWW[[#This Row],['#_Constructed latrines_by_WASHAgencies]]+WWWW[[#This Row],['#_Non Cluster partner latrines]])&lt;0,0,WWWW[[#This Row],[Total required Latrines]]-(WWWW[[#This Row],['#_Constructed latrines_by_WASHAgencies]]+WWWW[[#This Row],['#_Non Cluster partner latrines]]))</f>
        <v>16</v>
      </c>
      <c r="DJ265" s="895">
        <f>1-WWWW[[#This Row],[% people access to functioning Latrine]]</f>
        <v>0.1095890410958904</v>
      </c>
      <c r="DK265" s="894">
        <f>IF(OR(WWWW[[#This Row],['#_Non-functional latrines]]="",WWWW[[#This Row],['#_Non-functional latrines]]=0),0,WWWW[[#This Row],['#_Non-functional latrines]]/(WWWW[[#This Row],['#_Constructed latrines_by_WASHAgencies]]+WWWW[[#This Row],['#_Non Cluster partner latrines]]))</f>
        <v>0</v>
      </c>
      <c r="DL265" s="890">
        <f>IF(500*(WWWW[[#This Row],['#_male hygiene promoters]]+WWWW[[#This Row],['#_female hygiene promoters]])&gt;WWWW[[#This Row],[Total PoP ]],WWWW[[#This Row],[Total PoP ]],500*(WWWW[[#This Row],['#_male hygiene promoters]]+WWWW[[#This Row],['#_female hygiene promoters]]))</f>
        <v>2920</v>
      </c>
      <c r="DM26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6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65" s="893">
        <f>IF(WWWW[[#This Row],['# People with access to soap]]&gt;WWWW[[#This Row],['# People with access to Sanity Pads]],WWWW[[#This Row],['# People with access to soap]],WWWW[[#This Row],['# People with access to Sanity Pads]])</f>
        <v>0</v>
      </c>
      <c r="DP265" s="893">
        <f>IF(WWWW[[#This Row],['# people reached by regular dedicated hygiene promotion_5]]&gt;WWWW[[#This Row],['# People received regular supply of hygiene items_6]],WWWW[[#This Row],['# people reached by regular dedicated hygiene promotion_5]],WWWW[[#This Row],['# People received regular supply of hygiene items_6]])</f>
        <v>2920</v>
      </c>
      <c r="DQ265" s="895">
        <f>IF(WWWW[[#This Row],[HRP3]]/WWWW[[#This Row],[Total PoP ]]&gt;1,1,WWWW[[#This Row],[HRP3]]/WWWW[[#This Row],[Total PoP ]])</f>
        <v>1</v>
      </c>
      <c r="DR265" s="894">
        <f>1-WWWW[[#This Row],[Hygiene Coverage%]]</f>
        <v>0</v>
      </c>
      <c r="DS265" s="892">
        <f>WWWW[[#This Row],['# people reached by regular dedicated hygiene promotion_5]]/WWWW[[#This Row],[Total PoP ]]</f>
        <v>1</v>
      </c>
      <c r="DT26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6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65" s="893">
        <f>WWWW[[#This Row],['#_Constructed/Existing hand washing stations]]-WWWW[[#This Row],['#_Non-Functional_hand_washing_stations]]</f>
        <v>7</v>
      </c>
      <c r="DW265" s="890">
        <f>IF(WWWW[[#This Row],['# Functional hand washing stations during reporting period]]*20&gt;WWWW[[#This Row],[Total HH]],WWWW[[#This Row],[Total HH]],WWWW[[#This Row],['# Functional hand washing stations during reporting period]]*20)</f>
        <v>140</v>
      </c>
      <c r="DX265" s="890">
        <f>IF(WWWW[[#This Row],[Is sufficient soap available for TLS? (Yes/No)]]="yes",WWWW[[#This Row],['#_Constructed/Existing hand washing stations at TLS/CFS/THF]],0)</f>
        <v>0</v>
      </c>
      <c r="DY265" s="428">
        <f>IF(WWWW[[#This Row],['# Functional hand washing stations during reporting period]]*100&gt;WWWW[[#This Row],[Total PoP ]],WWWW[[#This Row],[Total PoP ]],WWWW[[#This Row],['# Functional hand washing stations during reporting period]]*100)</f>
        <v>700</v>
      </c>
      <c r="DZ265" s="428" t="str">
        <f>IF(OR(WWWW[[#This Row],['#_students at TLS_CFS]]="",WWWW[[#This Row],['#_students at TLS_CFS]]=0),"No","Yes")</f>
        <v>No</v>
      </c>
      <c r="EA26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5" s="886" t="str">
        <f>VLOOKUP(WWWW[[#This Row],[Site Name]],SiteDB6[[Site Name]:[CCCM Management]],6,FALSE)</f>
        <v>Yes</v>
      </c>
      <c r="EF265" s="886" t="str">
        <f>VLOOKUP(WWWW[[#This Row],[Site Name]],SiteDB6[[Site Name]:[CCCM Focal Agency]],7,FALSE)</f>
        <v>KBC-MYT</v>
      </c>
      <c r="EG265" s="886" t="str">
        <f>VLOOKUP(WWWW[[#This Row],[Site Name]],SiteDB6[[Site Name]:[Location Type 1]],9,FALSE)</f>
        <v>Camp</v>
      </c>
      <c r="EH265" s="886" t="str">
        <f>VLOOKUP(WWWW[[#This Row],[Site Name]],SiteDB6[[Site Name]:[Type of Accommodation]],10,FALSE)</f>
        <v>Camp</v>
      </c>
      <c r="EI265" s="886" t="str">
        <f>VLOOKUP(WWWW[[#This Row],[Site Name]],SiteDB6[[Site Name]:[Ethnic or GCA/NGCA]],11,FALSE)</f>
        <v>GCA</v>
      </c>
      <c r="EJ265" s="886">
        <f>VLOOKUP(WWWW[[#This Row],[Site Name]],SiteDB6[[Site Name]:[Lat]],12,FALSE)</f>
        <v>25.4118005797101</v>
      </c>
      <c r="EK265" s="886">
        <f>VLOOKUP(WWWW[[#This Row],[Site Name]],SiteDB6[[Site Name]:[Long]],13,FALSE)</f>
        <v>97.434855869565197</v>
      </c>
      <c r="EL265" s="886" t="str">
        <f>VLOOKUP(WWWW[[#This Row],[Site Name]],SiteDB6[[Site Name]:[Pcode]],3,FALSE)</f>
        <v>MMR001CMP040</v>
      </c>
      <c r="EM265" s="891" t="str">
        <f t="shared" si="4"/>
        <v>Covered</v>
      </c>
      <c r="EN265" s="891"/>
      <c r="EO265" s="886">
        <f>VLOOKUP(WWWW[[#This Row],[Site Name]],SiteDB6[[Site Name]:[Pop
(Kachin/Shan-CCCM as of July 2021)]],16,FALSE)</f>
        <v>531</v>
      </c>
      <c r="EP265" s="886">
        <f>VLOOKUP(WWWW[[#This Row],[Site Name]],SiteDB6[[Site Name]:[Pop
(Kachin/Shan-CCCM as of July 2021)]],17,FALSE)</f>
        <v>2920</v>
      </c>
    </row>
    <row r="266" spans="1:146" hidden="1">
      <c r="A266" s="884" t="s">
        <v>2764</v>
      </c>
      <c r="B266" s="884" t="s">
        <v>3073</v>
      </c>
      <c r="C266" s="885" t="s">
        <v>141</v>
      </c>
      <c r="D266" s="885" t="s">
        <v>3081</v>
      </c>
      <c r="E266" s="885" t="s">
        <v>37</v>
      </c>
      <c r="F266" s="885" t="s">
        <v>142</v>
      </c>
      <c r="G266" s="591" t="str">
        <f>VLOOKUP(WWWW[[#This Row],[Site Name]],SiteDB6[[Site Name]:[Location Type]],8,FALSE)</f>
        <v>Camp</v>
      </c>
      <c r="H266" s="885" t="s">
        <v>179</v>
      </c>
      <c r="I266" s="887">
        <v>55</v>
      </c>
      <c r="J266" s="887">
        <v>283</v>
      </c>
      <c r="K266" s="888">
        <v>44682</v>
      </c>
      <c r="L266" s="889">
        <v>44865</v>
      </c>
      <c r="M266" s="887"/>
      <c r="N266" s="887">
        <v>1</v>
      </c>
      <c r="O266" s="887"/>
      <c r="P266" s="887"/>
      <c r="Q266" s="890" t="s">
        <v>41</v>
      </c>
      <c r="R266" s="887">
        <v>1</v>
      </c>
      <c r="S266" s="887">
        <v>3</v>
      </c>
      <c r="T266" s="448">
        <v>1</v>
      </c>
      <c r="U266" s="887"/>
      <c r="V266" s="887"/>
      <c r="W266" s="887"/>
      <c r="X266" s="887"/>
      <c r="Y266" s="887"/>
      <c r="Z266" s="887"/>
      <c r="AA266" s="887"/>
      <c r="AB266" s="887"/>
      <c r="AC266" s="887"/>
      <c r="AD266" s="887"/>
      <c r="AE266" s="887"/>
      <c r="AF266" s="887"/>
      <c r="AG266" s="887"/>
      <c r="AH266" s="887">
        <v>2</v>
      </c>
      <c r="AI266" s="887"/>
      <c r="AJ266" s="887"/>
      <c r="AK266" s="887"/>
      <c r="AL266" s="887"/>
      <c r="AM266" s="887"/>
      <c r="AN266" s="887"/>
      <c r="AO266" s="448"/>
      <c r="AP266" s="891"/>
      <c r="AQ266" s="887">
        <v>10</v>
      </c>
      <c r="AR266" s="887"/>
      <c r="AS266" s="892"/>
      <c r="AT266" s="887"/>
      <c r="AU266" s="887"/>
      <c r="AV266" s="887"/>
      <c r="AW266" s="887"/>
      <c r="AX266" s="887">
        <v>10</v>
      </c>
      <c r="AY266" s="886" t="s">
        <v>41</v>
      </c>
      <c r="AZ266" s="891" t="s">
        <v>137</v>
      </c>
      <c r="BA266" s="887"/>
      <c r="BB266" s="887"/>
      <c r="BC266" s="887"/>
      <c r="BD266" s="448"/>
      <c r="BE266" s="448"/>
      <c r="BF266" s="886"/>
      <c r="BG266" s="887">
        <v>7</v>
      </c>
      <c r="BH266" s="887"/>
      <c r="BI266" s="887"/>
      <c r="BJ266" s="887">
        <v>4</v>
      </c>
      <c r="BK266" s="887"/>
      <c r="BL266" s="887">
        <v>1</v>
      </c>
      <c r="BM266" s="887"/>
      <c r="BN266" s="887"/>
      <c r="BO266" s="887"/>
      <c r="BP266" s="886"/>
      <c r="BQ266" s="893"/>
      <c r="BR266" s="892"/>
      <c r="BS266" s="886"/>
      <c r="BT266" s="423"/>
      <c r="BU266" s="423"/>
      <c r="BV266" s="425"/>
      <c r="BW266" s="423"/>
      <c r="BX266" s="448"/>
      <c r="BY266" s="448"/>
      <c r="BZ266" s="448"/>
      <c r="CA266" s="448"/>
      <c r="CB266" s="448"/>
      <c r="CC266" s="777"/>
      <c r="CD266" s="448"/>
      <c r="CE266" s="894" t="str">
        <f>IFERROR(WWWW[[#This Row],['#_Water sources passed]]/WWWW[[#This Row],['#_Water sources tested for fecal coliform ]],"no test")</f>
        <v>no test</v>
      </c>
      <c r="CF266" s="892" t="str">
        <f>IFERROR(WWWW[[#This Row],['#_Household passed]]/WWWW[[#This Row],['#_Household water samples tested for fecal coliform]],"no test")</f>
        <v>no test</v>
      </c>
      <c r="CG266" s="893" t="str">
        <f>IF(AND(WWWW[[#This Row],[% of water sources passed]]="no test",WWWW[[#This Row],[% Household passed]]="no test"),"No Test","Tested")</f>
        <v>No Test</v>
      </c>
      <c r="CH266" s="893">
        <f>WWWW[[#This Row],['#_Constructed/existing protected hand dug well]]-WWWW[[#This Row],['#_Non-functional protected hand dug well]]</f>
        <v>1</v>
      </c>
      <c r="CI266" s="893">
        <f>(WWWW[[#This Row],['#_Constructed/Existing tube wells/boreholes/handpumps_WASH_agency]]+WWWW[[#This Row],['#_Non-Cluster partner water tube-wells/boreholes/handpumps]])-WWWW[[#This Row],['#_Non-functional tube wells/boreholes/handpumps]]</f>
        <v>0</v>
      </c>
      <c r="CJ266" s="893">
        <f>WWWW[[#This Row],['#_Constructed/Existingwater storage tank with gravity fed reticulation system]]-WWWW[[#This Row],['#_Non-functional storage tank gravity fed reticulation system]]</f>
        <v>0</v>
      </c>
      <c r="CK266" s="893">
        <f>(WWWW[[#This Row],['#_Water_Liters_supplied_by_Water boating or water trucking]]/90)/15</f>
        <v>0</v>
      </c>
      <c r="CL266" s="893">
        <f>WWWW[[#This Row],['#_Water_Liters_from_Constructed/Existing water distribution system from river or natural spring]]/90/15</f>
        <v>0</v>
      </c>
      <c r="CM266" s="424">
        <f>IF(WWWW[[#This Row],['#_of water points in TLS/CFS]]*500&gt;WWWW[[#This Row],[Total PoP ]],WWWW[[#This Row],[Total PoP ]],WWWW[[#This Row],['#_of water points in TLS/CFS]]*500)</f>
        <v>0</v>
      </c>
      <c r="CN266" s="424">
        <f>IF(WWWW[[#This Row],['#_of water points in THF]]*500&gt;WWWW[[#This Row],[Total PoP ]],WWWW[[#This Row],[Total PoP ]],WWWW[[#This Row],['#_of water points in THF]]*500)</f>
        <v>0</v>
      </c>
      <c r="CO26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0.88339222614840984</v>
      </c>
      <c r="CQ266" s="892">
        <f>IF(WWWW[[#This Row],[Location Type 1]]="Village",WWWW[[#This Row],[Access to safe drinking water for Village]],WWWW[[#This Row],[Access to safe drinking water for Camp]])</f>
        <v>1</v>
      </c>
      <c r="CR266" s="890">
        <f>WWWW[[#This Row],[%Equitable and continuous access to sufficient quantity of safe drinking water]]*WWWW[[#This Row],[Total PoP ]]</f>
        <v>283</v>
      </c>
      <c r="CS266" s="892">
        <f>IF((WWWW[[#This Row],['#_Constructed/Existing protected/fenced ponds]]*250)/WWWW[[#This Row],[Total PoP ]]&gt;1,1,(WWWW[[#This Row],['#_Constructed/Existing protected/fenced ponds]]*250)/WWWW[[#This Row],[Total PoP ]])</f>
        <v>0</v>
      </c>
      <c r="CT266" s="890">
        <f>WWWW[[#This Row],[% Access to unimproved water points]]*WWWW[[#This Row],[Total PoP ]]</f>
        <v>0</v>
      </c>
      <c r="CU26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283</v>
      </c>
      <c r="CW266" s="890">
        <f>WWWW[[#This Row],[HRP1]]/500</f>
        <v>0.56599999999999995</v>
      </c>
      <c r="CX266" s="895">
        <f>1-WWWW[[#This Row],[% Equitable and continuous access to sufficient quantity of domestic water]]</f>
        <v>0</v>
      </c>
      <c r="CY266" s="890">
        <f>WWWW[[#This Row],[%equitable and continuous access to sufficient quantity of safe drinking and domestic water''s GAP]]*WWWW[[#This Row],[Total PoP ]]</f>
        <v>0</v>
      </c>
      <c r="CZ266" s="893">
        <f>IF(WWWW[[#This Row],[Total required water points]]-WWWW[[#This Row],['#Water points coverage]]&lt;0,0,WWWW[[#This Row],[Total required water points]]-WWWW[[#This Row],['#Water points coverage]])</f>
        <v>0.43400000000000005</v>
      </c>
      <c r="DA266" s="893">
        <f>ROUND(IF(WWWW[[#This Row],[Total PoP ]]&lt;500,1,WWWW[[#This Row],[Total PoP ]]/500),0)</f>
        <v>1</v>
      </c>
      <c r="DB266" s="893">
        <f>(WWWW[[#This Row],['#_Constructed latrines_by_WASHAgencies]]+WWWW[[#This Row],['#_Non Cluster partner latrines]])-WWWW[[#This Row],['#_Non-functional latrines]]</f>
        <v>10</v>
      </c>
      <c r="DC266" s="631">
        <f>WWWW[[#This Row],[HRP2]]/WWWW[[#This Row],[Total PoP ]]</f>
        <v>0.70671378091872794</v>
      </c>
      <c r="DD26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26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6" s="424">
        <f>IF(WWWW[[#This Row],['# of functional latrines in THF supported by WASH partners during the reporting period2]]="",0,WWWW[[#This Row],['# of functional latrines in THF supported by WASH partners during the reporting period2]]*50)</f>
        <v>0</v>
      </c>
      <c r="DH266" s="893">
        <f>ROUND(IF(WWWW[[#This Row],[Location Type 1]]="camp",WWWW[[#This Row],[Total PoP ]]/20,IF(WWWW[[#This Row],[Location Type 1]]="Temporary Location",WWWW[[#This Row],[Total PoP ]]/50,(WWWW[[#This Row],[Total PoP ]]/6))),0)</f>
        <v>14</v>
      </c>
      <c r="DI266" s="893">
        <f>IF(WWWW[[#This Row],[Total required Latrines]]-(WWWW[[#This Row],['#_Constructed latrines_by_WASHAgencies]]+WWWW[[#This Row],['#_Non Cluster partner latrines]])&lt;0,0,WWWW[[#This Row],[Total required Latrines]]-(WWWW[[#This Row],['#_Constructed latrines_by_WASHAgencies]]+WWWW[[#This Row],['#_Non Cluster partner latrines]]))</f>
        <v>4</v>
      </c>
      <c r="DJ266" s="895">
        <f>1-WWWW[[#This Row],[% people access to functioning Latrine]]</f>
        <v>0.29328621908127206</v>
      </c>
      <c r="DK266" s="894">
        <f>IF(OR(WWWW[[#This Row],['#_Non-functional latrines]]="",WWWW[[#This Row],['#_Non-functional latrines]]=0),0,WWWW[[#This Row],['#_Non-functional latrines]]/(WWWW[[#This Row],['#_Constructed latrines_by_WASHAgencies]]+WWWW[[#This Row],['#_Non Cluster partner latrines]]))</f>
        <v>0</v>
      </c>
      <c r="DL266" s="890">
        <f>IF(500*(WWWW[[#This Row],['#_male hygiene promoters]]+WWWW[[#This Row],['#_female hygiene promoters]])&gt;WWWW[[#This Row],[Total PoP ]],WWWW[[#This Row],[Total PoP ]],500*(WWWW[[#This Row],['#_male hygiene promoters]]+WWWW[[#This Row],['#_female hygiene promoters]]))</f>
        <v>283</v>
      </c>
      <c r="DM26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6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66" s="893">
        <f>IF(WWWW[[#This Row],['# People with access to soap]]&gt;WWWW[[#This Row],['# People with access to Sanity Pads]],WWWW[[#This Row],['# People with access to soap]],WWWW[[#This Row],['# People with access to Sanity Pads]])</f>
        <v>0</v>
      </c>
      <c r="DP266" s="893">
        <f>IF(WWWW[[#This Row],['# people reached by regular dedicated hygiene promotion_5]]&gt;WWWW[[#This Row],['# People received regular supply of hygiene items_6]],WWWW[[#This Row],['# people reached by regular dedicated hygiene promotion_5]],WWWW[[#This Row],['# People received regular supply of hygiene items_6]])</f>
        <v>283</v>
      </c>
      <c r="DQ266" s="895">
        <f>IF(WWWW[[#This Row],[HRP3]]/WWWW[[#This Row],[Total PoP ]]&gt;1,1,WWWW[[#This Row],[HRP3]]/WWWW[[#This Row],[Total PoP ]])</f>
        <v>1</v>
      </c>
      <c r="DR266" s="894">
        <f>1-WWWW[[#This Row],[Hygiene Coverage%]]</f>
        <v>0</v>
      </c>
      <c r="DS266" s="892">
        <f>WWWW[[#This Row],['# people reached by regular dedicated hygiene promotion_5]]/WWWW[[#This Row],[Total PoP ]]</f>
        <v>1</v>
      </c>
      <c r="DT26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6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66" s="893">
        <f>WWWW[[#This Row],['#_Constructed/Existing hand washing stations]]-WWWW[[#This Row],['#_Non-Functional_hand_washing_stations]]</f>
        <v>7</v>
      </c>
      <c r="DW266" s="890">
        <f>IF(WWWW[[#This Row],['# Functional hand washing stations during reporting period]]*20&gt;WWWW[[#This Row],[Total HH]],WWWW[[#This Row],[Total HH]],WWWW[[#This Row],['# Functional hand washing stations during reporting period]]*20)</f>
        <v>55</v>
      </c>
      <c r="DX266" s="890">
        <f>IF(WWWW[[#This Row],[Is sufficient soap available for TLS? (Yes/No)]]="yes",WWWW[[#This Row],['#_Constructed/Existing hand washing stations at TLS/CFS/THF]],0)</f>
        <v>0</v>
      </c>
      <c r="DY266" s="428">
        <f>IF(WWWW[[#This Row],['# Functional hand washing stations during reporting period]]*100&gt;WWWW[[#This Row],[Total PoP ]],WWWW[[#This Row],[Total PoP ]],WWWW[[#This Row],['# Functional hand washing stations during reporting period]]*100)</f>
        <v>283</v>
      </c>
      <c r="DZ266" s="428" t="str">
        <f>IF(OR(WWWW[[#This Row],['#_students at TLS_CFS]]="",WWWW[[#This Row],['#_students at TLS_CFS]]=0),"No","Yes")</f>
        <v>No</v>
      </c>
      <c r="EA26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6" s="886" t="str">
        <f>VLOOKUP(WWWW[[#This Row],[Site Name]],SiteDB6[[Site Name]:[CCCM Management]],6,FALSE)</f>
        <v>Yes</v>
      </c>
      <c r="EF266" s="886" t="str">
        <f>VLOOKUP(WWWW[[#This Row],[Site Name]],SiteDB6[[Site Name]:[CCCM Focal Agency]],7,FALSE)</f>
        <v>KBC-MYT</v>
      </c>
      <c r="EG266" s="886" t="str">
        <f>VLOOKUP(WWWW[[#This Row],[Site Name]],SiteDB6[[Site Name]:[Location Type 1]],9,FALSE)</f>
        <v>Camp</v>
      </c>
      <c r="EH266" s="886" t="str">
        <f>VLOOKUP(WWWW[[#This Row],[Site Name]],SiteDB6[[Site Name]:[Type of Accommodation]],10,FALSE)</f>
        <v>Camp</v>
      </c>
      <c r="EI266" s="886" t="str">
        <f>VLOOKUP(WWWW[[#This Row],[Site Name]],SiteDB6[[Site Name]:[Ethnic or GCA/NGCA]],11,FALSE)</f>
        <v>GCA</v>
      </c>
      <c r="EJ266" s="886">
        <f>VLOOKUP(WWWW[[#This Row],[Site Name]],SiteDB6[[Site Name]:[Lat]],12,FALSE)</f>
        <v>25.409612685185198</v>
      </c>
      <c r="EK266" s="886">
        <f>VLOOKUP(WWWW[[#This Row],[Site Name]],SiteDB6[[Site Name]:[Long]],13,FALSE)</f>
        <v>97.426536944444507</v>
      </c>
      <c r="EL266" s="886" t="str">
        <f>VLOOKUP(WWWW[[#This Row],[Site Name]],SiteDB6[[Site Name]:[Pcode]],3,FALSE)</f>
        <v>MMR001CMP039</v>
      </c>
      <c r="EM266" s="891" t="str">
        <f t="shared" si="4"/>
        <v>Covered</v>
      </c>
      <c r="EN266" s="891"/>
      <c r="EO266" s="886">
        <f>VLOOKUP(WWWW[[#This Row],[Site Name]],SiteDB6[[Site Name]:[Pop
(Kachin/Shan-CCCM as of July 2021)]],16,FALSE)</f>
        <v>55</v>
      </c>
      <c r="EP266" s="886">
        <f>VLOOKUP(WWWW[[#This Row],[Site Name]],SiteDB6[[Site Name]:[Pop
(Kachin/Shan-CCCM as of July 2021)]],17,FALSE)</f>
        <v>283</v>
      </c>
    </row>
    <row r="267" spans="1:146" hidden="1">
      <c r="A267" s="884" t="s">
        <v>2764</v>
      </c>
      <c r="B267" s="884" t="s">
        <v>242</v>
      </c>
      <c r="C267" s="885" t="s">
        <v>242</v>
      </c>
      <c r="D267" s="885" t="s">
        <v>299</v>
      </c>
      <c r="E267" s="885" t="s">
        <v>37</v>
      </c>
      <c r="F267" s="885" t="s">
        <v>142</v>
      </c>
      <c r="G267" s="591" t="str">
        <f>VLOOKUP(WWWW[[#This Row],[Site Name]],SiteDB6[[Site Name]:[Location Type]],8,FALSE)</f>
        <v>Camp</v>
      </c>
      <c r="H267" s="885" t="s">
        <v>3003</v>
      </c>
      <c r="I267" s="887">
        <v>40</v>
      </c>
      <c r="J267" s="887">
        <v>221</v>
      </c>
      <c r="K267" s="888">
        <v>44562</v>
      </c>
      <c r="L267" s="889">
        <v>44926</v>
      </c>
      <c r="M267" s="887"/>
      <c r="N267" s="887">
        <v>1</v>
      </c>
      <c r="O267" s="887"/>
      <c r="P267" s="887"/>
      <c r="Q267" s="890" t="s">
        <v>41</v>
      </c>
      <c r="R267" s="887">
        <v>1</v>
      </c>
      <c r="S267" s="887">
        <v>4</v>
      </c>
      <c r="T267" s="448">
        <v>1</v>
      </c>
      <c r="U267" s="887"/>
      <c r="V267" s="887"/>
      <c r="W267" s="887"/>
      <c r="X267" s="887"/>
      <c r="Y267" s="887"/>
      <c r="Z267" s="887"/>
      <c r="AA267" s="887"/>
      <c r="AB267" s="887"/>
      <c r="AC267" s="887"/>
      <c r="AD267" s="887"/>
      <c r="AE267" s="887"/>
      <c r="AF267" s="887"/>
      <c r="AG267" s="887"/>
      <c r="AH267" s="887"/>
      <c r="AI267" s="887"/>
      <c r="AJ267" s="887"/>
      <c r="AK267" s="887"/>
      <c r="AL267" s="887"/>
      <c r="AM267" s="887"/>
      <c r="AN267" s="887"/>
      <c r="AO267" s="448"/>
      <c r="AP267" s="891" t="s">
        <v>2887</v>
      </c>
      <c r="AQ267" s="887">
        <v>8</v>
      </c>
      <c r="AR267" s="887"/>
      <c r="AS267" s="892"/>
      <c r="AT267" s="887"/>
      <c r="AU267" s="887"/>
      <c r="AV267" s="887"/>
      <c r="AW267" s="887"/>
      <c r="AX267" s="887"/>
      <c r="AY267" s="886" t="s">
        <v>41</v>
      </c>
      <c r="AZ267" s="891" t="s">
        <v>137</v>
      </c>
      <c r="BA267" s="887"/>
      <c r="BB267" s="887"/>
      <c r="BC267" s="887"/>
      <c r="BD267" s="448"/>
      <c r="BE267" s="448"/>
      <c r="BF267" s="886"/>
      <c r="BG267" s="887">
        <v>10</v>
      </c>
      <c r="BH267" s="887">
        <v>5</v>
      </c>
      <c r="BI267" s="887"/>
      <c r="BJ267" s="887">
        <v>4</v>
      </c>
      <c r="BK267" s="887"/>
      <c r="BL267" s="887"/>
      <c r="BM267" s="887"/>
      <c r="BN267" s="887">
        <v>40</v>
      </c>
      <c r="BO267" s="887"/>
      <c r="BP267" s="886" t="s">
        <v>41</v>
      </c>
      <c r="BQ267" s="893"/>
      <c r="BR267" s="892">
        <v>0.5</v>
      </c>
      <c r="BS267" s="886"/>
      <c r="BT267" s="423">
        <v>0.98</v>
      </c>
      <c r="BU267" s="423">
        <v>0.9</v>
      </c>
      <c r="BV267" s="425">
        <v>4</v>
      </c>
      <c r="BW267" s="423">
        <v>0.99</v>
      </c>
      <c r="BX267" s="448"/>
      <c r="BY267" s="448"/>
      <c r="BZ267" s="448"/>
      <c r="CA267" s="448"/>
      <c r="CB267" s="448"/>
      <c r="CC267" s="777"/>
      <c r="CD267" s="448"/>
      <c r="CE267" s="894" t="str">
        <f>IFERROR(WWWW[[#This Row],['#_Water sources passed]]/WWWW[[#This Row],['#_Water sources tested for fecal coliform ]],"no test")</f>
        <v>no test</v>
      </c>
      <c r="CF267" s="892" t="str">
        <f>IFERROR(WWWW[[#This Row],['#_Household passed]]/WWWW[[#This Row],['#_Household water samples tested for fecal coliform]],"no test")</f>
        <v>no test</v>
      </c>
      <c r="CG267" s="893" t="str">
        <f>IF(AND(WWWW[[#This Row],[% of water sources passed]]="no test",WWWW[[#This Row],[% Household passed]]="no test"),"No Test","Tested")</f>
        <v>No Test</v>
      </c>
      <c r="CH267" s="893">
        <f>WWWW[[#This Row],['#_Constructed/existing protected hand dug well]]-WWWW[[#This Row],['#_Non-functional protected hand dug well]]</f>
        <v>1</v>
      </c>
      <c r="CI267" s="893">
        <f>(WWWW[[#This Row],['#_Constructed/Existing tube wells/boreholes/handpumps_WASH_agency]]+WWWW[[#This Row],['#_Non-Cluster partner water tube-wells/boreholes/handpumps]])-WWWW[[#This Row],['#_Non-functional tube wells/boreholes/handpumps]]</f>
        <v>0</v>
      </c>
      <c r="CJ267" s="893">
        <f>WWWW[[#This Row],['#_Constructed/Existingwater storage tank with gravity fed reticulation system]]-WWWW[[#This Row],['#_Non-functional storage tank gravity fed reticulation system]]</f>
        <v>0</v>
      </c>
      <c r="CK267" s="893">
        <f>(WWWW[[#This Row],['#_Water_Liters_supplied_by_Water boating or water trucking]]/90)/15</f>
        <v>0</v>
      </c>
      <c r="CL267" s="893">
        <f>WWWW[[#This Row],['#_Water_Liters_from_Constructed/Existing water distribution system from river or natural spring]]/90/15</f>
        <v>0</v>
      </c>
      <c r="CM267" s="424">
        <f>IF(WWWW[[#This Row],['#_of water points in TLS/CFS]]*500&gt;WWWW[[#This Row],[Total PoP ]],WWWW[[#This Row],[Total PoP ]],WWWW[[#This Row],['#_of water points in TLS/CFS]]*500)</f>
        <v>0</v>
      </c>
      <c r="CN267" s="424">
        <f>IF(WWWW[[#This Row],['#_of water points in THF]]*500&gt;WWWW[[#This Row],[Total PoP ]],WWWW[[#This Row],[Total PoP ]],WWWW[[#This Row],['#_of water points in THF]]*500)</f>
        <v>0</v>
      </c>
      <c r="CO26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7" s="892">
        <f>IF(WWWW[[#This Row],[Location Type 1]]="Village",WWWW[[#This Row],[Access to safe drinking water for Village]],WWWW[[#This Row],[Access to safe drinking water for Camp]])</f>
        <v>1</v>
      </c>
      <c r="CR267" s="890">
        <f>WWWW[[#This Row],[%Equitable and continuous access to sufficient quantity of safe drinking water]]*WWWW[[#This Row],[Total PoP ]]</f>
        <v>221</v>
      </c>
      <c r="CS267" s="892">
        <f>IF((WWWW[[#This Row],['#_Constructed/Existing protected/fenced ponds]]*250)/WWWW[[#This Row],[Total PoP ]]&gt;1,1,(WWWW[[#This Row],['#_Constructed/Existing protected/fenced ponds]]*250)/WWWW[[#This Row],[Total PoP ]])</f>
        <v>0</v>
      </c>
      <c r="CT267" s="890">
        <f>WWWW[[#This Row],[% Access to unimproved water points]]*WWWW[[#This Row],[Total PoP ]]</f>
        <v>0</v>
      </c>
      <c r="CU26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267" s="890">
        <f>WWWW[[#This Row],[HRP1]]/500</f>
        <v>0.442</v>
      </c>
      <c r="CX267" s="895">
        <f>1-WWWW[[#This Row],[% Equitable and continuous access to sufficient quantity of domestic water]]</f>
        <v>0</v>
      </c>
      <c r="CY267" s="890">
        <f>WWWW[[#This Row],[%equitable and continuous access to sufficient quantity of safe drinking and domestic water''s GAP]]*WWWW[[#This Row],[Total PoP ]]</f>
        <v>0</v>
      </c>
      <c r="CZ267" s="893">
        <f>IF(WWWW[[#This Row],[Total required water points]]-WWWW[[#This Row],['#Water points coverage]]&lt;0,0,WWWW[[#This Row],[Total required water points]]-WWWW[[#This Row],['#Water points coverage]])</f>
        <v>0.55800000000000005</v>
      </c>
      <c r="DA267" s="893">
        <f>ROUND(IF(WWWW[[#This Row],[Total PoP ]]&lt;500,1,WWWW[[#This Row],[Total PoP ]]/500),0)</f>
        <v>1</v>
      </c>
      <c r="DB267" s="893">
        <f>(WWWW[[#This Row],['#_Constructed latrines_by_WASHAgencies]]+WWWW[[#This Row],['#_Non Cluster partner latrines]])-WWWW[[#This Row],['#_Non-functional latrines]]</f>
        <v>8</v>
      </c>
      <c r="DC267" s="631">
        <f>WWWW[[#This Row],[HRP2]]/WWWW[[#This Row],[Total PoP ]]</f>
        <v>0.72398190045248867</v>
      </c>
      <c r="DD26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26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7" s="424">
        <f>IF(WWWW[[#This Row],['# of functional latrines in THF supported by WASH partners during the reporting period2]]="",0,WWWW[[#This Row],['# of functional latrines in THF supported by WASH partners during the reporting period2]]*50)</f>
        <v>0</v>
      </c>
      <c r="DH267" s="893">
        <f>ROUND(IF(WWWW[[#This Row],[Location Type 1]]="camp",WWWW[[#This Row],[Total PoP ]]/20,IF(WWWW[[#This Row],[Location Type 1]]="Temporary Location",WWWW[[#This Row],[Total PoP ]]/50,(WWWW[[#This Row],[Total PoP ]]/6))),0)</f>
        <v>11</v>
      </c>
      <c r="DI267" s="893">
        <f>IF(WWWW[[#This Row],[Total required Latrines]]-(WWWW[[#This Row],['#_Constructed latrines_by_WASHAgencies]]+WWWW[[#This Row],['#_Non Cluster partner latrines]])&lt;0,0,WWWW[[#This Row],[Total required Latrines]]-(WWWW[[#This Row],['#_Constructed latrines_by_WASHAgencies]]+WWWW[[#This Row],['#_Non Cluster partner latrines]]))</f>
        <v>3</v>
      </c>
      <c r="DJ267" s="895">
        <f>1-WWWW[[#This Row],[% people access to functioning Latrine]]</f>
        <v>0.27601809954751133</v>
      </c>
      <c r="DK267" s="894">
        <f>IF(OR(WWWW[[#This Row],['#_Non-functional latrines]]="",WWWW[[#This Row],['#_Non-functional latrines]]=0),0,WWWW[[#This Row],['#_Non-functional latrines]]/(WWWW[[#This Row],['#_Constructed latrines_by_WASHAgencies]]+WWWW[[#This Row],['#_Non Cluster partner latrines]]))</f>
        <v>0</v>
      </c>
      <c r="DL267" s="890">
        <f>IF(500*(WWWW[[#This Row],['#_male hygiene promoters]]+WWWW[[#This Row],['#_female hygiene promoters]])&gt;WWWW[[#This Row],[Total PoP ]],WWWW[[#This Row],[Total PoP ]],500*(WWWW[[#This Row],['#_male hygiene promoters]]+WWWW[[#This Row],['#_female hygiene promoters]]))</f>
        <v>0</v>
      </c>
      <c r="DM26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N26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67" s="893">
        <f>IF(WWWW[[#This Row],['# People with access to soap]]&gt;WWWW[[#This Row],['# People with access to Sanity Pads]],WWWW[[#This Row],['# People with access to soap]],WWWW[[#This Row],['# People with access to Sanity Pads]])</f>
        <v>221</v>
      </c>
      <c r="DP267" s="893">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Q267" s="895">
        <f>IF(WWWW[[#This Row],[HRP3]]/WWWW[[#This Row],[Total PoP ]]&gt;1,1,WWWW[[#This Row],[HRP3]]/WWWW[[#This Row],[Total PoP ]])</f>
        <v>1</v>
      </c>
      <c r="DR267" s="894">
        <f>1-WWWW[[#This Row],[Hygiene Coverage%]]</f>
        <v>0</v>
      </c>
      <c r="DS267" s="892">
        <f>WWWW[[#This Row],['# people reached by regular dedicated hygiene promotion_5]]/WWWW[[#This Row],[Total PoP ]]</f>
        <v>0</v>
      </c>
      <c r="DT26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67" s="893">
        <f>WWWW[[#This Row],['#_Constructed/Existing hand washing stations]]-WWWW[[#This Row],['#_Non-Functional_hand_washing_stations]]</f>
        <v>5</v>
      </c>
      <c r="DW267" s="890">
        <f>IF(WWWW[[#This Row],['# Functional hand washing stations during reporting period]]*20&gt;WWWW[[#This Row],[Total HH]],WWWW[[#This Row],[Total HH]],WWWW[[#This Row],['# Functional hand washing stations during reporting period]]*20)</f>
        <v>40</v>
      </c>
      <c r="DX267" s="890">
        <f>IF(WWWW[[#This Row],[Is sufficient soap available for TLS? (Yes/No)]]="yes",WWWW[[#This Row],['#_Constructed/Existing hand washing stations at TLS/CFS/THF]],0)</f>
        <v>0</v>
      </c>
      <c r="DY267" s="428">
        <f>IF(WWWW[[#This Row],['# Functional hand washing stations during reporting period]]*100&gt;WWWW[[#This Row],[Total PoP ]],WWWW[[#This Row],[Total PoP ]],WWWW[[#This Row],['# Functional hand washing stations during reporting period]]*100)</f>
        <v>221</v>
      </c>
      <c r="DZ267" s="428" t="str">
        <f>IF(OR(WWWW[[#This Row],['#_students at TLS_CFS]]="",WWWW[[#This Row],['#_students at TLS_CFS]]=0),"No","Yes")</f>
        <v>No</v>
      </c>
      <c r="EA267" s="631">
        <f>IF(WWWW[[#This Row],['#_of_affected_people_surveyed_who_report_feeling_informed_about_the_different_WASH_services_available_to_them]]="","",WWWW[[#This Row],['#_of_affected_people_surveyed_who_report_feeling_informed_about_the_different_WASH_services_available_to_them]]/WWWW[[#This Row],[Total PoP ]])</f>
        <v>1.8099547511312219E-2</v>
      </c>
      <c r="EB26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7" s="886" t="str">
        <f>VLOOKUP(WWWW[[#This Row],[Site Name]],SiteDB6[[Site Name]:[CCCM Management]],6,FALSE)</f>
        <v>Yes</v>
      </c>
      <c r="EF267" s="886" t="str">
        <f>VLOOKUP(WWWW[[#This Row],[Site Name]],SiteDB6[[Site Name]:[CCCM Focal Agency]],7,FALSE)</f>
        <v>Shalom</v>
      </c>
      <c r="EG267" s="886" t="str">
        <f>VLOOKUP(WWWW[[#This Row],[Site Name]],SiteDB6[[Site Name]:[Location Type 1]],9,FALSE)</f>
        <v>Camp</v>
      </c>
      <c r="EH267" s="886" t="str">
        <f>VLOOKUP(WWWW[[#This Row],[Site Name]],SiteDB6[[Site Name]:[Type of Accommodation]],10,FALSE)</f>
        <v>Camp</v>
      </c>
      <c r="EI267" s="886" t="str">
        <f>VLOOKUP(WWWW[[#This Row],[Site Name]],SiteDB6[[Site Name]:[Ethnic or GCA/NGCA]],11,FALSE)</f>
        <v>GCA</v>
      </c>
      <c r="EJ267" s="886">
        <f>VLOOKUP(WWWW[[#This Row],[Site Name]],SiteDB6[[Site Name]:[Lat]],12,FALSE)</f>
        <v>25.345918166666699</v>
      </c>
      <c r="EK267" s="886">
        <f>VLOOKUP(WWWW[[#This Row],[Site Name]],SiteDB6[[Site Name]:[Long]],13,FALSE)</f>
        <v>97.437472666666693</v>
      </c>
      <c r="EL267" s="886" t="str">
        <f>VLOOKUP(WWWW[[#This Row],[Site Name]],SiteDB6[[Site Name]:[Pcode]],3,FALSE)</f>
        <v>MMR001CMP030</v>
      </c>
      <c r="EM267" s="891" t="str">
        <f t="shared" si="4"/>
        <v>Covered</v>
      </c>
      <c r="EN267" s="891"/>
      <c r="EO267" s="886">
        <f>VLOOKUP(WWWW[[#This Row],[Site Name]],SiteDB6[[Site Name]:[Pop
(Kachin/Shan-CCCM as of July 2021)]],16,FALSE)</f>
        <v>40</v>
      </c>
      <c r="EP267" s="886">
        <f>VLOOKUP(WWWW[[#This Row],[Site Name]],SiteDB6[[Site Name]:[Pop
(Kachin/Shan-CCCM as of July 2021)]],17,FALSE)</f>
        <v>221</v>
      </c>
    </row>
    <row r="268" spans="1:146" hidden="1">
      <c r="A268" s="884" t="s">
        <v>2764</v>
      </c>
      <c r="B268" s="884" t="s">
        <v>2806</v>
      </c>
      <c r="C268" s="885" t="s">
        <v>141</v>
      </c>
      <c r="D268" s="885" t="s">
        <v>2587</v>
      </c>
      <c r="E268" s="885" t="s">
        <v>37</v>
      </c>
      <c r="F268" s="885" t="s">
        <v>38</v>
      </c>
      <c r="G268" s="591" t="str">
        <f>VLOOKUP(WWWW[[#This Row],[Site Name]],SiteDB6[[Site Name]:[Location Type]],8,FALSE)</f>
        <v>Camp</v>
      </c>
      <c r="H268" s="885" t="s">
        <v>183</v>
      </c>
      <c r="I268" s="904">
        <v>364</v>
      </c>
      <c r="J268" s="904">
        <v>1759</v>
      </c>
      <c r="K268" s="905">
        <v>44652</v>
      </c>
      <c r="L268" s="906">
        <v>44865</v>
      </c>
      <c r="M268" s="904">
        <v>489</v>
      </c>
      <c r="N268" s="887"/>
      <c r="O268" s="887"/>
      <c r="P268" s="887"/>
      <c r="Q268" s="890" t="s">
        <v>41</v>
      </c>
      <c r="R268" s="887">
        <v>5</v>
      </c>
      <c r="S268" s="887">
        <v>5</v>
      </c>
      <c r="T268" s="448">
        <v>1</v>
      </c>
      <c r="U268" s="887"/>
      <c r="V268" s="887"/>
      <c r="W268" s="887">
        <v>1</v>
      </c>
      <c r="X268" s="887"/>
      <c r="Y268" s="887">
        <v>1</v>
      </c>
      <c r="Z268" s="887">
        <v>1</v>
      </c>
      <c r="AA268" s="887"/>
      <c r="AB268" s="887"/>
      <c r="AC268" s="887"/>
      <c r="AD268" s="887"/>
      <c r="AE268" s="887"/>
      <c r="AF268" s="887"/>
      <c r="AG268" s="887"/>
      <c r="AH268" s="887"/>
      <c r="AI268" s="904">
        <v>4</v>
      </c>
      <c r="AJ268" s="904">
        <v>4</v>
      </c>
      <c r="AK268" s="904">
        <v>29</v>
      </c>
      <c r="AL268" s="904">
        <v>24</v>
      </c>
      <c r="AM268" s="887">
        <v>3</v>
      </c>
      <c r="AN268" s="887">
        <v>3</v>
      </c>
      <c r="AO268" s="448"/>
      <c r="AP268" s="891"/>
      <c r="AQ268" s="887">
        <v>119</v>
      </c>
      <c r="AR268" s="887"/>
      <c r="AS268" s="892"/>
      <c r="AT268" s="887"/>
      <c r="AU268" s="887"/>
      <c r="AV268" s="887"/>
      <c r="AW268" s="887"/>
      <c r="AX268" s="887"/>
      <c r="AY268" s="886" t="s">
        <v>41</v>
      </c>
      <c r="AZ268" s="891" t="s">
        <v>137</v>
      </c>
      <c r="BA268" s="887"/>
      <c r="BB268" s="887"/>
      <c r="BC268" s="887"/>
      <c r="BD268" s="448"/>
      <c r="BE268" s="448"/>
      <c r="BF268" s="886"/>
      <c r="BG268" s="887">
        <v>40</v>
      </c>
      <c r="BH268" s="887">
        <v>20</v>
      </c>
      <c r="BI268" s="887"/>
      <c r="BJ268" s="887">
        <v>3</v>
      </c>
      <c r="BK268" s="887">
        <v>2</v>
      </c>
      <c r="BL268" s="887">
        <v>5</v>
      </c>
      <c r="BM268" s="887">
        <v>5</v>
      </c>
      <c r="BN268" s="904">
        <v>364</v>
      </c>
      <c r="BO268" s="904">
        <v>616</v>
      </c>
      <c r="BP268" s="909" t="s">
        <v>41</v>
      </c>
      <c r="BQ268" s="907">
        <v>1</v>
      </c>
      <c r="BR268" s="908">
        <v>0.6</v>
      </c>
      <c r="BS268" s="909" t="s">
        <v>3014</v>
      </c>
      <c r="BT268" s="423">
        <v>0.6</v>
      </c>
      <c r="BU268" s="423">
        <v>0.8</v>
      </c>
      <c r="BV268" s="425">
        <v>20</v>
      </c>
      <c r="BW268" s="423">
        <v>0.8</v>
      </c>
      <c r="BX268" s="448"/>
      <c r="BY268" s="448"/>
      <c r="BZ268" s="448"/>
      <c r="CA268" s="448"/>
      <c r="CB268" s="448"/>
      <c r="CC268" s="777"/>
      <c r="CD268" s="448"/>
      <c r="CE268" s="894">
        <f>IFERROR(WWWW[[#This Row],['#_Water sources passed]]/WWWW[[#This Row],['#_Water sources tested for fecal coliform ]],"no test")</f>
        <v>1</v>
      </c>
      <c r="CF268" s="892">
        <f>IFERROR(WWWW[[#This Row],['#_Household passed]]/WWWW[[#This Row],['#_Household water samples tested for fecal coliform]],"no test")</f>
        <v>0.82758620689655171</v>
      </c>
      <c r="CG268" s="893" t="str">
        <f>IF(AND(WWWW[[#This Row],[% of water sources passed]]="no test",WWWW[[#This Row],[% Household passed]]="no test"),"No Test","Tested")</f>
        <v>Tested</v>
      </c>
      <c r="CH268" s="893">
        <f>WWWW[[#This Row],['#_Constructed/existing protected hand dug well]]-WWWW[[#This Row],['#_Non-functional protected hand dug well]]</f>
        <v>1</v>
      </c>
      <c r="CI268" s="893">
        <f>(WWWW[[#This Row],['#_Constructed/Existing tube wells/boreholes/handpumps_WASH_agency]]+WWWW[[#This Row],['#_Non-Cluster partner water tube-wells/boreholes/handpumps]])-WWWW[[#This Row],['#_Non-functional tube wells/boreholes/handpumps]]</f>
        <v>0</v>
      </c>
      <c r="CJ268" s="893">
        <f>WWWW[[#This Row],['#_Constructed/Existingwater storage tank with gravity fed reticulation system]]-WWWW[[#This Row],['#_Non-functional storage tank gravity fed reticulation system]]</f>
        <v>0</v>
      </c>
      <c r="CK268" s="893">
        <f>(WWWW[[#This Row],['#_Water_Liters_supplied_by_Water boating or water trucking]]/90)/15</f>
        <v>0</v>
      </c>
      <c r="CL268" s="893">
        <f>WWWW[[#This Row],['#_Water_Liters_from_Constructed/Existing water distribution system from river or natural spring]]/90/15</f>
        <v>0</v>
      </c>
      <c r="CM268" s="424">
        <f>IF(WWWW[[#This Row],['#_of water points in TLS/CFS]]*500&gt;WWWW[[#This Row],[Total PoP ]],WWWW[[#This Row],[Total PoP ]],WWWW[[#This Row],['#_of water points in TLS/CFS]]*500)</f>
        <v>1500</v>
      </c>
      <c r="CN268" s="424">
        <f>IF(WWWW[[#This Row],['#_of water points in THF]]*500&gt;WWWW[[#This Row],[Total PoP ]],WWWW[[#This Row],[Total PoP ]],WWWW[[#This Row],['#_of water points in THF]]*500)</f>
        <v>0</v>
      </c>
      <c r="CO26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0.22740193291642979</v>
      </c>
      <c r="CP26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0.14212620807276863</v>
      </c>
      <c r="CQ268" s="892">
        <f>IF(WWWW[[#This Row],[Location Type 1]]="Village",WWWW[[#This Row],[Access to safe drinking water for Village]],WWWW[[#This Row],[Access to safe drinking water for Camp]])</f>
        <v>0.22740193291642979</v>
      </c>
      <c r="CR268" s="890">
        <f>WWWW[[#This Row],[%Equitable and continuous access to sufficient quantity of safe drinking water]]*WWWW[[#This Row],[Total PoP ]]</f>
        <v>400</v>
      </c>
      <c r="CS268" s="892">
        <f>IF((WWWW[[#This Row],['#_Constructed/Existing protected/fenced ponds]]*250)/WWWW[[#This Row],[Total PoP ]]&gt;1,1,(WWWW[[#This Row],['#_Constructed/Existing protected/fenced ponds]]*250)/WWWW[[#This Row],[Total PoP ]])</f>
        <v>0</v>
      </c>
      <c r="CT268" s="890">
        <f>WWWW[[#This Row],[% Access to unimproved water points]]*WWWW[[#This Row],[Total PoP ]]</f>
        <v>0</v>
      </c>
      <c r="CU26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0.22740193291642979</v>
      </c>
      <c r="CV26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268" s="890">
        <f>WWWW[[#This Row],[HRP1]]/500</f>
        <v>0.8</v>
      </c>
      <c r="CX268" s="895">
        <f>1-WWWW[[#This Row],[% Equitable and continuous access to sufficient quantity of domestic water]]</f>
        <v>0.77259806708357015</v>
      </c>
      <c r="CY268" s="890">
        <f>WWWW[[#This Row],[%equitable and continuous access to sufficient quantity of safe drinking and domestic water''s GAP]]*WWWW[[#This Row],[Total PoP ]]</f>
        <v>1359</v>
      </c>
      <c r="CZ268" s="893">
        <f>IF(WWWW[[#This Row],[Total required water points]]-WWWW[[#This Row],['#Water points coverage]]&lt;0,0,WWWW[[#This Row],[Total required water points]]-WWWW[[#This Row],['#Water points coverage]])</f>
        <v>3.2</v>
      </c>
      <c r="DA268" s="893">
        <f>ROUND(IF(WWWW[[#This Row],[Total PoP ]]&lt;500,1,WWWW[[#This Row],[Total PoP ]]/500),0)</f>
        <v>4</v>
      </c>
      <c r="DB268" s="893">
        <f>(WWWW[[#This Row],['#_Constructed latrines_by_WASHAgencies]]+WWWW[[#This Row],['#_Non Cluster partner latrines]])-WWWW[[#This Row],['#_Non-functional latrines]]</f>
        <v>119</v>
      </c>
      <c r="DC268" s="631">
        <f>WWWW[[#This Row],[HRP2]]/WWWW[[#This Row],[Total PoP ]]</f>
        <v>1</v>
      </c>
      <c r="DD26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1759</v>
      </c>
      <c r="DE26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8" s="424">
        <f>IF(WWWW[[#This Row],['# of functional latrines in THF supported by WASH partners during the reporting period2]]="",0,WWWW[[#This Row],['# of functional latrines in THF supported by WASH partners during the reporting period2]]*50)</f>
        <v>0</v>
      </c>
      <c r="DH268" s="893">
        <f>ROUND(IF(WWWW[[#This Row],[Location Type 1]]="camp",WWWW[[#This Row],[Total PoP ]]/20,IF(WWWW[[#This Row],[Location Type 1]]="Temporary Location",WWWW[[#This Row],[Total PoP ]]/50,(WWWW[[#This Row],[Total PoP ]]/6))),0)</f>
        <v>88</v>
      </c>
      <c r="DI268" s="893">
        <f>IF(WWWW[[#This Row],[Total required Latrines]]-(WWWW[[#This Row],['#_Constructed latrines_by_WASHAgencies]]+WWWW[[#This Row],['#_Non Cluster partner latrines]])&lt;0,0,WWWW[[#This Row],[Total required Latrines]]-(WWWW[[#This Row],['#_Constructed latrines_by_WASHAgencies]]+WWWW[[#This Row],['#_Non Cluster partner latrines]]))</f>
        <v>0</v>
      </c>
      <c r="DJ268" s="895">
        <f>1-WWWW[[#This Row],[% people access to functioning Latrine]]</f>
        <v>0</v>
      </c>
      <c r="DK268" s="894">
        <f>IF(OR(WWWW[[#This Row],['#_Non-functional latrines]]="",WWWW[[#This Row],['#_Non-functional latrines]]=0),0,WWWW[[#This Row],['#_Non-functional latrines]]/(WWWW[[#This Row],['#_Constructed latrines_by_WASHAgencies]]+WWWW[[#This Row],['#_Non Cluster partner latrines]]))</f>
        <v>0</v>
      </c>
      <c r="DL268" s="890">
        <f>IF(500*(WWWW[[#This Row],['#_male hygiene promoters]]+WWWW[[#This Row],['#_female hygiene promoters]])&gt;WWWW[[#This Row],[Total PoP ]],WWWW[[#This Row],[Total PoP ]],500*(WWWW[[#This Row],['#_male hygiene promoters]]+WWWW[[#This Row],['#_female hygiene promoters]]))</f>
        <v>1759</v>
      </c>
      <c r="DM26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1759</v>
      </c>
      <c r="DN26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616</v>
      </c>
      <c r="DO268" s="893">
        <f>IF(WWWW[[#This Row],['# People with access to soap]]&gt;WWWW[[#This Row],['# People with access to Sanity Pads]],WWWW[[#This Row],['# People with access to soap]],WWWW[[#This Row],['# People with access to Sanity Pads]])</f>
        <v>1759</v>
      </c>
      <c r="DP268" s="893">
        <f>IF(WWWW[[#This Row],['# people reached by regular dedicated hygiene promotion_5]]&gt;WWWW[[#This Row],['# People received regular supply of hygiene items_6]],WWWW[[#This Row],['# people reached by regular dedicated hygiene promotion_5]],WWWW[[#This Row],['# People received regular supply of hygiene items_6]])</f>
        <v>1759</v>
      </c>
      <c r="DQ268" s="895">
        <f>IF(WWWW[[#This Row],[HRP3]]/WWWW[[#This Row],[Total PoP ]]&gt;1,1,WWWW[[#This Row],[HRP3]]/WWWW[[#This Row],[Total PoP ]])</f>
        <v>1</v>
      </c>
      <c r="DR268" s="894">
        <f>1-WWWW[[#This Row],[Hygiene Coverage%]]</f>
        <v>0</v>
      </c>
      <c r="DS268" s="892">
        <f>WWWW[[#This Row],['# people reached by regular dedicated hygiene promotion_5]]/WWWW[[#This Row],[Total PoP ]]</f>
        <v>1</v>
      </c>
      <c r="DT26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68" s="893">
        <f>WWWW[[#This Row],['#_Constructed/Existing hand washing stations]]-WWWW[[#This Row],['#_Non-Functional_hand_washing_stations]]</f>
        <v>20</v>
      </c>
      <c r="DW268" s="890">
        <f>IF(WWWW[[#This Row],['# Functional hand washing stations during reporting period]]*20&gt;WWWW[[#This Row],[Total HH]],WWWW[[#This Row],[Total HH]],WWWW[[#This Row],['# Functional hand washing stations during reporting period]]*20)</f>
        <v>364</v>
      </c>
      <c r="DX268" s="890">
        <f>IF(WWWW[[#This Row],[Is sufficient soap available for TLS? (Yes/No)]]="yes",WWWW[[#This Row],['#_Constructed/Existing hand washing stations at TLS/CFS/THF]],0)</f>
        <v>3</v>
      </c>
      <c r="DY268" s="428">
        <f>IF(WWWW[[#This Row],['# Functional hand washing stations during reporting period]]*100&gt;WWWW[[#This Row],[Total PoP ]],WWWW[[#This Row],[Total PoP ]],WWWW[[#This Row],['# Functional hand washing stations during reporting period]]*100)</f>
        <v>1759</v>
      </c>
      <c r="DZ268" s="428" t="str">
        <f>IF(OR(WWWW[[#This Row],['#_students at TLS_CFS]]="",WWWW[[#This Row],['#_students at TLS_CFS]]=0),"No","Yes")</f>
        <v>Yes</v>
      </c>
      <c r="EA268" s="631">
        <f>IF(WWWW[[#This Row],['#_of_affected_people_surveyed_who_report_feeling_informed_about_the_different_WASH_services_available_to_them]]="","",WWWW[[#This Row],['#_of_affected_people_surveyed_who_report_feeling_informed_about_the_different_WASH_services_available_to_them]]/WWWW[[#This Row],[Total PoP ]])</f>
        <v>1.137009664582149E-2</v>
      </c>
      <c r="EB26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26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8" s="886" t="str">
        <f>VLOOKUP(WWWW[[#This Row],[Site Name]],SiteDB6[[Site Name]:[CCCM Management]],6,FALSE)</f>
        <v>Yes</v>
      </c>
      <c r="EF268" s="886" t="str">
        <f>VLOOKUP(WWWW[[#This Row],[Site Name]],SiteDB6[[Site Name]:[CCCM Focal Agency]],7,FALSE)</f>
        <v>KBC-BMO</v>
      </c>
      <c r="EG268" s="886" t="str">
        <f>VLOOKUP(WWWW[[#This Row],[Site Name]],SiteDB6[[Site Name]:[Location Type 1]],9,FALSE)</f>
        <v>Camp</v>
      </c>
      <c r="EH268" s="886" t="str">
        <f>VLOOKUP(WWWW[[#This Row],[Site Name]],SiteDB6[[Site Name]:[Type of Accommodation]],10,FALSE)</f>
        <v>Camp</v>
      </c>
      <c r="EI268" s="886" t="str">
        <f>VLOOKUP(WWWW[[#This Row],[Site Name]],SiteDB6[[Site Name]:[Ethnic or GCA/NGCA]],11,FALSE)</f>
        <v>GCA</v>
      </c>
      <c r="EJ268" s="886">
        <f>VLOOKUP(WWWW[[#This Row],[Site Name]],SiteDB6[[Site Name]:[Lat]],12,FALSE)</f>
        <v>23.972453000000002</v>
      </c>
      <c r="EK268" s="886">
        <f>VLOOKUP(WWWW[[#This Row],[Site Name]],SiteDB6[[Site Name]:[Long]],13,FALSE)</f>
        <v>97.225881000000001</v>
      </c>
      <c r="EL268" s="886" t="str">
        <f>VLOOKUP(WWWW[[#This Row],[Site Name]],SiteDB6[[Site Name]:[Pcode]],3,FALSE)</f>
        <v>MMR001CMP218</v>
      </c>
      <c r="EM268" s="891" t="str">
        <f t="shared" si="4"/>
        <v>Covered</v>
      </c>
      <c r="EN268" s="891"/>
      <c r="EO268" s="886">
        <f>VLOOKUP(WWWW[[#This Row],[Site Name]],SiteDB6[[Site Name]:[Pop
(Kachin/Shan-CCCM as of July 2021)]],16,FALSE)</f>
        <v>363</v>
      </c>
      <c r="EP268" s="886">
        <f>VLOOKUP(WWWW[[#This Row],[Site Name]],SiteDB6[[Site Name]:[Pop
(Kachin/Shan-CCCM as of July 2021)]],17,FALSE)</f>
        <v>1757</v>
      </c>
    </row>
    <row r="269" spans="1:146" hidden="1">
      <c r="A269" s="884" t="s">
        <v>2764</v>
      </c>
      <c r="B269" s="884" t="s">
        <v>36</v>
      </c>
      <c r="C269" s="885" t="s">
        <v>36</v>
      </c>
      <c r="D269" s="885" t="s">
        <v>241</v>
      </c>
      <c r="E269" s="885" t="s">
        <v>37</v>
      </c>
      <c r="F269" s="885" t="s">
        <v>38</v>
      </c>
      <c r="G269" s="591" t="str">
        <f>VLOOKUP(WWWW[[#This Row],[Site Name]],SiteDB6[[Site Name]:[Location Type]],8,FALSE)</f>
        <v>Camp</v>
      </c>
      <c r="H269" s="885" t="s">
        <v>39</v>
      </c>
      <c r="I269" s="887">
        <v>154</v>
      </c>
      <c r="J269" s="887">
        <v>694</v>
      </c>
      <c r="K269" s="888">
        <v>44414</v>
      </c>
      <c r="L269" s="889">
        <v>44778</v>
      </c>
      <c r="M269" s="887"/>
      <c r="N269" s="887">
        <v>5</v>
      </c>
      <c r="O269" s="887"/>
      <c r="P269" s="887"/>
      <c r="Q269" s="890" t="s">
        <v>41</v>
      </c>
      <c r="R269" s="887">
        <v>3</v>
      </c>
      <c r="S269" s="887">
        <v>4</v>
      </c>
      <c r="T269" s="448">
        <v>1</v>
      </c>
      <c r="U269" s="887"/>
      <c r="V269" s="887"/>
      <c r="W269" s="887">
        <v>3</v>
      </c>
      <c r="X269" s="887">
        <v>2</v>
      </c>
      <c r="Y269" s="887"/>
      <c r="Z269" s="887"/>
      <c r="AA269" s="887"/>
      <c r="AB269" s="887"/>
      <c r="AC269" s="887"/>
      <c r="AD269" s="887"/>
      <c r="AE269" s="887"/>
      <c r="AF269" s="887"/>
      <c r="AG269" s="887"/>
      <c r="AH269" s="887"/>
      <c r="AI269" s="887"/>
      <c r="AJ269" s="887"/>
      <c r="AK269" s="887"/>
      <c r="AL269" s="887"/>
      <c r="AM269" s="887"/>
      <c r="AN269" s="887"/>
      <c r="AO269" s="448"/>
      <c r="AP269" s="891"/>
      <c r="AQ269" s="887">
        <v>61</v>
      </c>
      <c r="AR269" s="887"/>
      <c r="AS269" s="892"/>
      <c r="AT269" s="887"/>
      <c r="AU269" s="887"/>
      <c r="AV269" s="887"/>
      <c r="AW269" s="887"/>
      <c r="AX269" s="887"/>
      <c r="AY269" s="886" t="s">
        <v>41</v>
      </c>
      <c r="AZ269" s="891" t="s">
        <v>137</v>
      </c>
      <c r="BA269" s="887"/>
      <c r="BB269" s="887"/>
      <c r="BC269" s="887"/>
      <c r="BD269" s="448"/>
      <c r="BE269" s="448"/>
      <c r="BF269" s="886"/>
      <c r="BG269" s="887">
        <v>10</v>
      </c>
      <c r="BH269" s="887"/>
      <c r="BI269" s="887">
        <v>0</v>
      </c>
      <c r="BJ269" s="887">
        <v>7</v>
      </c>
      <c r="BK269" s="887"/>
      <c r="BL269" s="887"/>
      <c r="BM269" s="887">
        <v>2</v>
      </c>
      <c r="BN269" s="887">
        <v>154</v>
      </c>
      <c r="BO269" s="887">
        <v>148.86300000000003</v>
      </c>
      <c r="BP269" s="886" t="s">
        <v>41</v>
      </c>
      <c r="BQ269" s="893">
        <v>100</v>
      </c>
      <c r="BR269" s="892"/>
      <c r="BS269" s="886" t="s">
        <v>3035</v>
      </c>
      <c r="BT269" s="423"/>
      <c r="BU269" s="423"/>
      <c r="BV269" s="425"/>
      <c r="BW269" s="423">
        <v>0.01</v>
      </c>
      <c r="BX269" s="448"/>
      <c r="BY269" s="448"/>
      <c r="BZ269" s="448"/>
      <c r="CA269" s="448"/>
      <c r="CB269" s="448"/>
      <c r="CC269" s="777"/>
      <c r="CD269" s="448"/>
      <c r="CE269" s="894" t="str">
        <f>IFERROR(WWWW[[#This Row],['#_Water sources passed]]/WWWW[[#This Row],['#_Water sources tested for fecal coliform ]],"no test")</f>
        <v>no test</v>
      </c>
      <c r="CF269" s="892" t="str">
        <f>IFERROR(WWWW[[#This Row],['#_Household passed]]/WWWW[[#This Row],['#_Household water samples tested for fecal coliform]],"no test")</f>
        <v>no test</v>
      </c>
      <c r="CG269" s="893" t="str">
        <f>IF(AND(WWWW[[#This Row],[% of water sources passed]]="no test",WWWW[[#This Row],[% Household passed]]="no test"),"No Test","Tested")</f>
        <v>No Test</v>
      </c>
      <c r="CH269" s="893">
        <f>WWWW[[#This Row],['#_Constructed/existing protected hand dug well]]-WWWW[[#This Row],['#_Non-functional protected hand dug well]]</f>
        <v>1</v>
      </c>
      <c r="CI269" s="893">
        <f>(WWWW[[#This Row],['#_Constructed/Existing tube wells/boreholes/handpumps_WASH_agency]]+WWWW[[#This Row],['#_Non-Cluster partner water tube-wells/boreholes/handpumps]])-WWWW[[#This Row],['#_Non-functional tube wells/boreholes/handpumps]]</f>
        <v>5</v>
      </c>
      <c r="CJ269" s="893">
        <f>WWWW[[#This Row],['#_Constructed/Existingwater storage tank with gravity fed reticulation system]]-WWWW[[#This Row],['#_Non-functional storage tank gravity fed reticulation system]]</f>
        <v>0</v>
      </c>
      <c r="CK269" s="893">
        <f>(WWWW[[#This Row],['#_Water_Liters_supplied_by_Water boating or water trucking]]/90)/15</f>
        <v>0</v>
      </c>
      <c r="CL269" s="893">
        <f>WWWW[[#This Row],['#_Water_Liters_from_Constructed/Existing water distribution system from river or natural spring]]/90/15</f>
        <v>0</v>
      </c>
      <c r="CM269" s="424">
        <f>IF(WWWW[[#This Row],['#_of water points in TLS/CFS]]*500&gt;WWWW[[#This Row],[Total PoP ]],WWWW[[#This Row],[Total PoP ]],WWWW[[#This Row],['#_of water points in TLS/CFS]]*500)</f>
        <v>0</v>
      </c>
      <c r="CN269" s="424">
        <f>IF(WWWW[[#This Row],['#_of water points in THF]]*500&gt;WWWW[[#This Row],[Total PoP ]],WWWW[[#This Row],[Total PoP ]],WWWW[[#This Row],['#_of water points in THF]]*500)</f>
        <v>0</v>
      </c>
      <c r="CO26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9" s="892">
        <f>IF(WWWW[[#This Row],[Location Type 1]]="Village",WWWW[[#This Row],[Access to safe drinking water for Village]],WWWW[[#This Row],[Access to safe drinking water for Camp]])</f>
        <v>1</v>
      </c>
      <c r="CR269" s="890">
        <f>WWWW[[#This Row],[%Equitable and continuous access to sufficient quantity of safe drinking water]]*WWWW[[#This Row],[Total PoP ]]</f>
        <v>694</v>
      </c>
      <c r="CS269" s="892">
        <f>IF((WWWW[[#This Row],['#_Constructed/Existing protected/fenced ponds]]*250)/WWWW[[#This Row],[Total PoP ]]&gt;1,1,(WWWW[[#This Row],['#_Constructed/Existing protected/fenced ponds]]*250)/WWWW[[#This Row],[Total PoP ]])</f>
        <v>0</v>
      </c>
      <c r="CT269" s="890">
        <f>WWWW[[#This Row],[% Access to unimproved water points]]*WWWW[[#This Row],[Total PoP ]]</f>
        <v>0</v>
      </c>
      <c r="CU26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W269" s="890">
        <f>WWWW[[#This Row],[HRP1]]/500</f>
        <v>1.3879999999999999</v>
      </c>
      <c r="CX269" s="895">
        <f>1-WWWW[[#This Row],[% Equitable and continuous access to sufficient quantity of domestic water]]</f>
        <v>0</v>
      </c>
      <c r="CY269" s="890">
        <f>WWWW[[#This Row],[%equitable and continuous access to sufficient quantity of safe drinking and domestic water''s GAP]]*WWWW[[#This Row],[Total PoP ]]</f>
        <v>0</v>
      </c>
      <c r="CZ269" s="893">
        <f>IF(WWWW[[#This Row],[Total required water points]]-WWWW[[#This Row],['#Water points coverage]]&lt;0,0,WWWW[[#This Row],[Total required water points]]-WWWW[[#This Row],['#Water points coverage]])</f>
        <v>0</v>
      </c>
      <c r="DA269" s="893">
        <f>ROUND(IF(WWWW[[#This Row],[Total PoP ]]&lt;500,1,WWWW[[#This Row],[Total PoP ]]/500),0)</f>
        <v>1</v>
      </c>
      <c r="DB269" s="893">
        <f>(WWWW[[#This Row],['#_Constructed latrines_by_WASHAgencies]]+WWWW[[#This Row],['#_Non Cluster partner latrines]])-WWWW[[#This Row],['#_Non-functional latrines]]</f>
        <v>61</v>
      </c>
      <c r="DC269" s="631">
        <f>WWWW[[#This Row],[HRP2]]/WWWW[[#This Row],[Total PoP ]]</f>
        <v>1</v>
      </c>
      <c r="DD26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694</v>
      </c>
      <c r="DE26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9" s="424">
        <f>IF(WWWW[[#This Row],['# of functional latrines in THF supported by WASH partners during the reporting period2]]="",0,WWWW[[#This Row],['# of functional latrines in THF supported by WASH partners during the reporting period2]]*50)</f>
        <v>0</v>
      </c>
      <c r="DH269" s="893">
        <f>ROUND(IF(WWWW[[#This Row],[Location Type 1]]="camp",WWWW[[#This Row],[Total PoP ]]/20,IF(WWWW[[#This Row],[Location Type 1]]="Temporary Location",WWWW[[#This Row],[Total PoP ]]/50,(WWWW[[#This Row],[Total PoP ]]/6))),0)</f>
        <v>35</v>
      </c>
      <c r="DI269" s="893">
        <f>IF(WWWW[[#This Row],[Total required Latrines]]-(WWWW[[#This Row],['#_Constructed latrines_by_WASHAgencies]]+WWWW[[#This Row],['#_Non Cluster partner latrines]])&lt;0,0,WWWW[[#This Row],[Total required Latrines]]-(WWWW[[#This Row],['#_Constructed latrines_by_WASHAgencies]]+WWWW[[#This Row],['#_Non Cluster partner latrines]]))</f>
        <v>0</v>
      </c>
      <c r="DJ269" s="895">
        <f>1-WWWW[[#This Row],[% people access to functioning Latrine]]</f>
        <v>0</v>
      </c>
      <c r="DK269" s="894">
        <f>IF(OR(WWWW[[#This Row],['#_Non-functional latrines]]="",WWWW[[#This Row],['#_Non-functional latrines]]=0),0,WWWW[[#This Row],['#_Non-functional latrines]]/(WWWW[[#This Row],['#_Constructed latrines_by_WASHAgencies]]+WWWW[[#This Row],['#_Non Cluster partner latrines]]))</f>
        <v>0</v>
      </c>
      <c r="DL269" s="890">
        <f>IF(500*(WWWW[[#This Row],['#_male hygiene promoters]]+WWWW[[#This Row],['#_female hygiene promoters]])&gt;WWWW[[#This Row],[Total PoP ]],WWWW[[#This Row],[Total PoP ]],500*(WWWW[[#This Row],['#_male hygiene promoters]]+WWWW[[#This Row],['#_female hygiene promoters]]))</f>
        <v>694</v>
      </c>
      <c r="DM26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694</v>
      </c>
      <c r="DN26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148.86300000000003</v>
      </c>
      <c r="DO269" s="893">
        <f>IF(WWWW[[#This Row],['# People with access to soap]]&gt;WWWW[[#This Row],['# People with access to Sanity Pads]],WWWW[[#This Row],['# People with access to soap]],WWWW[[#This Row],['# People with access to Sanity Pads]])</f>
        <v>694</v>
      </c>
      <c r="DP269" s="893">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Q269" s="895">
        <f>IF(WWWW[[#This Row],[HRP3]]/WWWW[[#This Row],[Total PoP ]]&gt;1,1,WWWW[[#This Row],[HRP3]]/WWWW[[#This Row],[Total PoP ]])</f>
        <v>1</v>
      </c>
      <c r="DR269" s="894">
        <f>1-WWWW[[#This Row],[Hygiene Coverage%]]</f>
        <v>0</v>
      </c>
      <c r="DS269" s="892">
        <f>WWWW[[#This Row],['# people reached by regular dedicated hygiene promotion_5]]/WWWW[[#This Row],[Total PoP ]]</f>
        <v>1</v>
      </c>
      <c r="DT26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0.96664285714285736</v>
      </c>
      <c r="DV269" s="893">
        <f>WWWW[[#This Row],['#_Constructed/Existing hand washing stations]]-WWWW[[#This Row],['#_Non-Functional_hand_washing_stations]]</f>
        <v>10</v>
      </c>
      <c r="DW269" s="890">
        <f>IF(WWWW[[#This Row],['# Functional hand washing stations during reporting period]]*20&gt;WWWW[[#This Row],[Total HH]],WWWW[[#This Row],[Total HH]],WWWW[[#This Row],['# Functional hand washing stations during reporting period]]*20)</f>
        <v>154</v>
      </c>
      <c r="DX269" s="890">
        <f>IF(WWWW[[#This Row],[Is sufficient soap available for TLS? (Yes/No)]]="yes",WWWW[[#This Row],['#_Constructed/Existing hand washing stations at TLS/CFS/THF]],0)</f>
        <v>0</v>
      </c>
      <c r="DY269" s="428">
        <f>IF(WWWW[[#This Row],['# Functional hand washing stations during reporting period]]*100&gt;WWWW[[#This Row],[Total PoP ]],WWWW[[#This Row],[Total PoP ]],WWWW[[#This Row],['# Functional hand washing stations during reporting period]]*100)</f>
        <v>694</v>
      </c>
      <c r="DZ269" s="428" t="str">
        <f>IF(OR(WWWW[[#This Row],['#_students at TLS_CFS]]="",WWWW[[#This Row],['#_students at TLS_CFS]]=0),"No","Yes")</f>
        <v>No</v>
      </c>
      <c r="EA26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9" s="886" t="str">
        <f>VLOOKUP(WWWW[[#This Row],[Site Name]],SiteDB6[[Site Name]:[CCCM Management]],6,FALSE)</f>
        <v>Yes</v>
      </c>
      <c r="EF269" s="886" t="str">
        <f>VLOOKUP(WWWW[[#This Row],[Site Name]],SiteDB6[[Site Name]:[CCCM Focal Agency]],7,FALSE)</f>
        <v>KMSS-BMO</v>
      </c>
      <c r="EG269" s="886" t="str">
        <f>VLOOKUP(WWWW[[#This Row],[Site Name]],SiteDB6[[Site Name]:[Location Type 1]],9,FALSE)</f>
        <v>Camp</v>
      </c>
      <c r="EH269" s="886" t="str">
        <f>VLOOKUP(WWWW[[#This Row],[Site Name]],SiteDB6[[Site Name]:[Type of Accommodation]],10,FALSE)</f>
        <v>Camp</v>
      </c>
      <c r="EI269" s="886" t="str">
        <f>VLOOKUP(WWWW[[#This Row],[Site Name]],SiteDB6[[Site Name]:[Ethnic or GCA/NGCA]],11,FALSE)</f>
        <v>GCA</v>
      </c>
      <c r="EJ269" s="886">
        <f>VLOOKUP(WWWW[[#This Row],[Site Name]],SiteDB6[[Site Name]:[Lat]],12,FALSE)</f>
        <v>23.976571</v>
      </c>
      <c r="EK269" s="886">
        <f>VLOOKUP(WWWW[[#This Row],[Site Name]],SiteDB6[[Site Name]:[Long]],13,FALSE)</f>
        <v>97.227057000000002</v>
      </c>
      <c r="EL269" s="886" t="str">
        <f>VLOOKUP(WWWW[[#This Row],[Site Name]],SiteDB6[[Site Name]:[Pcode]],3,FALSE)</f>
        <v>MMR001CMP223</v>
      </c>
      <c r="EM269" s="891" t="str">
        <f t="shared" si="4"/>
        <v>Covered</v>
      </c>
      <c r="EN269" s="891"/>
      <c r="EO269" s="886">
        <f>VLOOKUP(WWWW[[#This Row],[Site Name]],SiteDB6[[Site Name]:[Pop
(Kachin/Shan-CCCM as of July 2021)]],16,FALSE)</f>
        <v>151</v>
      </c>
      <c r="EP269" s="886">
        <f>VLOOKUP(WWWW[[#This Row],[Site Name]],SiteDB6[[Site Name]:[Pop
(Kachin/Shan-CCCM as of July 2021)]],17,FALSE)</f>
        <v>732</v>
      </c>
    </row>
    <row r="270" spans="1:146" hidden="1">
      <c r="A270" s="884" t="s">
        <v>2764</v>
      </c>
      <c r="B270" s="884" t="s">
        <v>3073</v>
      </c>
      <c r="C270" s="885" t="s">
        <v>141</v>
      </c>
      <c r="D270" s="885" t="s">
        <v>3081</v>
      </c>
      <c r="E270" s="885" t="s">
        <v>37</v>
      </c>
      <c r="F270" s="885" t="s">
        <v>159</v>
      </c>
      <c r="G270" s="591" t="str">
        <f>VLOOKUP(WWWW[[#This Row],[Site Name]],SiteDB6[[Site Name]:[Location Type]],8,FALSE)</f>
        <v>Camp</v>
      </c>
      <c r="H270" s="885" t="s">
        <v>165</v>
      </c>
      <c r="I270" s="887">
        <v>59</v>
      </c>
      <c r="J270" s="887">
        <v>327</v>
      </c>
      <c r="K270" s="888">
        <v>44682</v>
      </c>
      <c r="L270" s="889">
        <v>44865</v>
      </c>
      <c r="M270" s="887"/>
      <c r="N270" s="887">
        <v>1</v>
      </c>
      <c r="O270" s="887"/>
      <c r="P270" s="887"/>
      <c r="Q270" s="890" t="s">
        <v>41</v>
      </c>
      <c r="R270" s="887">
        <v>1</v>
      </c>
      <c r="S270" s="887">
        <v>2</v>
      </c>
      <c r="T270" s="448">
        <v>3</v>
      </c>
      <c r="U270" s="887"/>
      <c r="V270" s="887"/>
      <c r="W270" s="887"/>
      <c r="X270" s="887"/>
      <c r="Y270" s="887"/>
      <c r="Z270" s="887"/>
      <c r="AA270" s="887"/>
      <c r="AB270" s="887"/>
      <c r="AC270" s="887"/>
      <c r="AD270" s="887"/>
      <c r="AE270" s="887"/>
      <c r="AF270" s="887"/>
      <c r="AG270" s="887"/>
      <c r="AH270" s="887">
        <v>2</v>
      </c>
      <c r="AI270" s="887"/>
      <c r="AJ270" s="887"/>
      <c r="AK270" s="887"/>
      <c r="AL270" s="887"/>
      <c r="AM270" s="887"/>
      <c r="AN270" s="887"/>
      <c r="AO270" s="448"/>
      <c r="AP270" s="891"/>
      <c r="AQ270" s="887">
        <v>7</v>
      </c>
      <c r="AR270" s="887"/>
      <c r="AS270" s="892"/>
      <c r="AT270" s="887"/>
      <c r="AU270" s="887"/>
      <c r="AV270" s="887"/>
      <c r="AW270" s="887"/>
      <c r="AX270" s="887">
        <v>7</v>
      </c>
      <c r="AY270" s="886" t="s">
        <v>41</v>
      </c>
      <c r="AZ270" s="891" t="s">
        <v>904</v>
      </c>
      <c r="BA270" s="887"/>
      <c r="BB270" s="887"/>
      <c r="BC270" s="887"/>
      <c r="BD270" s="448"/>
      <c r="BE270" s="448"/>
      <c r="BF270" s="886"/>
      <c r="BG270" s="887">
        <v>3</v>
      </c>
      <c r="BH270" s="887"/>
      <c r="BI270" s="887"/>
      <c r="BJ270" s="887">
        <v>2</v>
      </c>
      <c r="BK270" s="887"/>
      <c r="BL270" s="887"/>
      <c r="BM270" s="887"/>
      <c r="BN270" s="887"/>
      <c r="BO270" s="887"/>
      <c r="BP270" s="886"/>
      <c r="BQ270" s="893"/>
      <c r="BR270" s="892"/>
      <c r="BS270" s="886"/>
      <c r="BT270" s="423"/>
      <c r="BU270" s="423"/>
      <c r="BV270" s="425"/>
      <c r="BW270" s="423"/>
      <c r="BX270" s="448"/>
      <c r="BY270" s="448"/>
      <c r="BZ270" s="448"/>
      <c r="CA270" s="448"/>
      <c r="CB270" s="448"/>
      <c r="CC270" s="777"/>
      <c r="CD270" s="448"/>
      <c r="CE270" s="894" t="str">
        <f>IFERROR(WWWW[[#This Row],['#_Water sources passed]]/WWWW[[#This Row],['#_Water sources tested for fecal coliform ]],"no test")</f>
        <v>no test</v>
      </c>
      <c r="CF270" s="892" t="str">
        <f>IFERROR(WWWW[[#This Row],['#_Household passed]]/WWWW[[#This Row],['#_Household water samples tested for fecal coliform]],"no test")</f>
        <v>no test</v>
      </c>
      <c r="CG270" s="893" t="str">
        <f>IF(AND(WWWW[[#This Row],[% of water sources passed]]="no test",WWWW[[#This Row],[% Household passed]]="no test"),"No Test","Tested")</f>
        <v>No Test</v>
      </c>
      <c r="CH270" s="893">
        <f>WWWW[[#This Row],['#_Constructed/existing protected hand dug well]]-WWWW[[#This Row],['#_Non-functional protected hand dug well]]</f>
        <v>3</v>
      </c>
      <c r="CI270" s="893">
        <f>(WWWW[[#This Row],['#_Constructed/Existing tube wells/boreholes/handpumps_WASH_agency]]+WWWW[[#This Row],['#_Non-Cluster partner water tube-wells/boreholes/handpumps]])-WWWW[[#This Row],['#_Non-functional tube wells/boreholes/handpumps]]</f>
        <v>0</v>
      </c>
      <c r="CJ270" s="893">
        <f>WWWW[[#This Row],['#_Constructed/Existingwater storage tank with gravity fed reticulation system]]-WWWW[[#This Row],['#_Non-functional storage tank gravity fed reticulation system]]</f>
        <v>0</v>
      </c>
      <c r="CK270" s="893">
        <f>(WWWW[[#This Row],['#_Water_Liters_supplied_by_Water boating or water trucking]]/90)/15</f>
        <v>0</v>
      </c>
      <c r="CL270" s="893">
        <f>WWWW[[#This Row],['#_Water_Liters_from_Constructed/Existing water distribution system from river or natural spring]]/90/15</f>
        <v>0</v>
      </c>
      <c r="CM270" s="424">
        <f>IF(WWWW[[#This Row],['#_of water points in TLS/CFS]]*500&gt;WWWW[[#This Row],[Total PoP ]],WWWW[[#This Row],[Total PoP ]],WWWW[[#This Row],['#_of water points in TLS/CFS]]*500)</f>
        <v>0</v>
      </c>
      <c r="CN270" s="424">
        <f>IF(WWWW[[#This Row],['#_of water points in THF]]*500&gt;WWWW[[#This Row],[Total PoP ]],WWWW[[#This Row],[Total PoP ]],WWWW[[#This Row],['#_of water points in THF]]*500)</f>
        <v>0</v>
      </c>
      <c r="CO27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0" s="892">
        <f>IF(WWWW[[#This Row],[Location Type 1]]="Village",WWWW[[#This Row],[Access to safe drinking water for Village]],WWWW[[#This Row],[Access to safe drinking water for Camp]])</f>
        <v>1</v>
      </c>
      <c r="CR270" s="890">
        <f>WWWW[[#This Row],[%Equitable and continuous access to sufficient quantity of safe drinking water]]*WWWW[[#This Row],[Total PoP ]]</f>
        <v>327</v>
      </c>
      <c r="CS270" s="892">
        <f>IF((WWWW[[#This Row],['#_Constructed/Existing protected/fenced ponds]]*250)/WWWW[[#This Row],[Total PoP ]]&gt;1,1,(WWWW[[#This Row],['#_Constructed/Existing protected/fenced ponds]]*250)/WWWW[[#This Row],[Total PoP ]])</f>
        <v>0</v>
      </c>
      <c r="CT270" s="890">
        <f>WWWW[[#This Row],[% Access to unimproved water points]]*WWWW[[#This Row],[Total PoP ]]</f>
        <v>0</v>
      </c>
      <c r="CU27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327</v>
      </c>
      <c r="CW270" s="890">
        <f>WWWW[[#This Row],[HRP1]]/500</f>
        <v>0.65400000000000003</v>
      </c>
      <c r="CX270" s="895">
        <f>1-WWWW[[#This Row],[% Equitable and continuous access to sufficient quantity of domestic water]]</f>
        <v>0</v>
      </c>
      <c r="CY270" s="890">
        <f>WWWW[[#This Row],[%equitable and continuous access to sufficient quantity of safe drinking and domestic water''s GAP]]*WWWW[[#This Row],[Total PoP ]]</f>
        <v>0</v>
      </c>
      <c r="CZ270" s="893">
        <f>IF(WWWW[[#This Row],[Total required water points]]-WWWW[[#This Row],['#Water points coverage]]&lt;0,0,WWWW[[#This Row],[Total required water points]]-WWWW[[#This Row],['#Water points coverage]])</f>
        <v>0.34599999999999997</v>
      </c>
      <c r="DA270" s="893">
        <f>ROUND(IF(WWWW[[#This Row],[Total PoP ]]&lt;500,1,WWWW[[#This Row],[Total PoP ]]/500),0)</f>
        <v>1</v>
      </c>
      <c r="DB270" s="893">
        <f>(WWWW[[#This Row],['#_Constructed latrines_by_WASHAgencies]]+WWWW[[#This Row],['#_Non Cluster partner latrines]])-WWWW[[#This Row],['#_Non-functional latrines]]</f>
        <v>7</v>
      </c>
      <c r="DC270" s="631">
        <f>WWWW[[#This Row],[HRP2]]/WWWW[[#This Row],[Total PoP ]]</f>
        <v>0.42813455657492355</v>
      </c>
      <c r="DD27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27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0" s="424">
        <f>IF(WWWW[[#This Row],['# of functional latrines in THF supported by WASH partners during the reporting period2]]="",0,WWWW[[#This Row],['# of functional latrines in THF supported by WASH partners during the reporting period2]]*50)</f>
        <v>0</v>
      </c>
      <c r="DH270" s="893">
        <f>ROUND(IF(WWWW[[#This Row],[Location Type 1]]="camp",WWWW[[#This Row],[Total PoP ]]/20,IF(WWWW[[#This Row],[Location Type 1]]="Temporary Location",WWWW[[#This Row],[Total PoP ]]/50,(WWWW[[#This Row],[Total PoP ]]/6))),0)</f>
        <v>16</v>
      </c>
      <c r="DI270" s="893">
        <f>IF(WWWW[[#This Row],[Total required Latrines]]-(WWWW[[#This Row],['#_Constructed latrines_by_WASHAgencies]]+WWWW[[#This Row],['#_Non Cluster partner latrines]])&lt;0,0,WWWW[[#This Row],[Total required Latrines]]-(WWWW[[#This Row],['#_Constructed latrines_by_WASHAgencies]]+WWWW[[#This Row],['#_Non Cluster partner latrines]]))</f>
        <v>9</v>
      </c>
      <c r="DJ270" s="895">
        <f>1-WWWW[[#This Row],[% people access to functioning Latrine]]</f>
        <v>0.5718654434250765</v>
      </c>
      <c r="DK270" s="894">
        <f>IF(OR(WWWW[[#This Row],['#_Non-functional latrines]]="",WWWW[[#This Row],['#_Non-functional latrines]]=0),0,WWWW[[#This Row],['#_Non-functional latrines]]/(WWWW[[#This Row],['#_Constructed latrines_by_WASHAgencies]]+WWWW[[#This Row],['#_Non Cluster partner latrines]]))</f>
        <v>0</v>
      </c>
      <c r="DL270" s="890">
        <f>IF(500*(WWWW[[#This Row],['#_male hygiene promoters]]+WWWW[[#This Row],['#_female hygiene promoters]])&gt;WWWW[[#This Row],[Total PoP ]],WWWW[[#This Row],[Total PoP ]],500*(WWWW[[#This Row],['#_male hygiene promoters]]+WWWW[[#This Row],['#_female hygiene promoters]]))</f>
        <v>0</v>
      </c>
      <c r="DM27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0" s="893">
        <f>IF(WWWW[[#This Row],['# People with access to soap]]&gt;WWWW[[#This Row],['# People with access to Sanity Pads]],WWWW[[#This Row],['# People with access to soap]],WWWW[[#This Row],['# People with access to Sanity Pads]])</f>
        <v>0</v>
      </c>
      <c r="DP270"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70" s="895">
        <f>IF(WWWW[[#This Row],[HRP3]]/WWWW[[#This Row],[Total PoP ]]&gt;1,1,WWWW[[#This Row],[HRP3]]/WWWW[[#This Row],[Total PoP ]])</f>
        <v>0</v>
      </c>
      <c r="DR270" s="894">
        <f>1-WWWW[[#This Row],[Hygiene Coverage%]]</f>
        <v>1</v>
      </c>
      <c r="DS270" s="892">
        <f>WWWW[[#This Row],['# people reached by regular dedicated hygiene promotion_5]]/WWWW[[#This Row],[Total PoP ]]</f>
        <v>0</v>
      </c>
      <c r="DT27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0" s="893">
        <f>WWWW[[#This Row],['#_Constructed/Existing hand washing stations]]-WWWW[[#This Row],['#_Non-Functional_hand_washing_stations]]</f>
        <v>3</v>
      </c>
      <c r="DW270" s="890">
        <f>IF(WWWW[[#This Row],['# Functional hand washing stations during reporting period]]*20&gt;WWWW[[#This Row],[Total HH]],WWWW[[#This Row],[Total HH]],WWWW[[#This Row],['# Functional hand washing stations during reporting period]]*20)</f>
        <v>59</v>
      </c>
      <c r="DX270" s="890">
        <f>IF(WWWW[[#This Row],[Is sufficient soap available for TLS? (Yes/No)]]="yes",WWWW[[#This Row],['#_Constructed/Existing hand washing stations at TLS/CFS/THF]],0)</f>
        <v>0</v>
      </c>
      <c r="DY270" s="428">
        <f>IF(WWWW[[#This Row],['# Functional hand washing stations during reporting period]]*100&gt;WWWW[[#This Row],[Total PoP ]],WWWW[[#This Row],[Total PoP ]],WWWW[[#This Row],['# Functional hand washing stations during reporting period]]*100)</f>
        <v>300</v>
      </c>
      <c r="DZ270" s="428" t="str">
        <f>IF(OR(WWWW[[#This Row],['#_students at TLS_CFS]]="",WWWW[[#This Row],['#_students at TLS_CFS]]=0),"No","Yes")</f>
        <v>No</v>
      </c>
      <c r="EA27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0" s="886" t="str">
        <f>VLOOKUP(WWWW[[#This Row],[Site Name]],SiteDB6[[Site Name]:[CCCM Management]],6,FALSE)</f>
        <v>Yes</v>
      </c>
      <c r="EF270" s="886" t="str">
        <f>VLOOKUP(WWWW[[#This Row],[Site Name]],SiteDB6[[Site Name]:[CCCM Focal Agency]],7,FALSE)</f>
        <v>KBC-MYT</v>
      </c>
      <c r="EG270" s="886" t="str">
        <f>VLOOKUP(WWWW[[#This Row],[Site Name]],SiteDB6[[Site Name]:[Location Type 1]],9,FALSE)</f>
        <v>Camp</v>
      </c>
      <c r="EH270" s="886" t="str">
        <f>VLOOKUP(WWWW[[#This Row],[Site Name]],SiteDB6[[Site Name]:[Type of Accommodation]],10,FALSE)</f>
        <v>Camp</v>
      </c>
      <c r="EI270" s="886" t="str">
        <f>VLOOKUP(WWWW[[#This Row],[Site Name]],SiteDB6[[Site Name]:[Ethnic or GCA/NGCA]],11,FALSE)</f>
        <v>GCA</v>
      </c>
      <c r="EJ270" s="886">
        <f>VLOOKUP(WWWW[[#This Row],[Site Name]],SiteDB6[[Site Name]:[Lat]],12,FALSE)</f>
        <v>25.360463124999999</v>
      </c>
      <c r="EK270" s="886">
        <f>VLOOKUP(WWWW[[#This Row],[Site Name]],SiteDB6[[Site Name]:[Long]],13,FALSE)</f>
        <v>97.4113064583333</v>
      </c>
      <c r="EL270" s="886" t="str">
        <f>VLOOKUP(WWWW[[#This Row],[Site Name]],SiteDB6[[Site Name]:[Pcode]],3,FALSE)</f>
        <v>MMR001CMP016</v>
      </c>
      <c r="EM270" s="891" t="str">
        <f t="shared" si="4"/>
        <v>Covered</v>
      </c>
      <c r="EN270" s="891"/>
      <c r="EO270" s="886">
        <f>VLOOKUP(WWWW[[#This Row],[Site Name]],SiteDB6[[Site Name]:[Pop
(Kachin/Shan-CCCM as of July 2021)]],16,FALSE)</f>
        <v>59</v>
      </c>
      <c r="EP270" s="886">
        <f>VLOOKUP(WWWW[[#This Row],[Site Name]],SiteDB6[[Site Name]:[Pop
(Kachin/Shan-CCCM as of July 2021)]],17,FALSE)</f>
        <v>327</v>
      </c>
    </row>
    <row r="271" spans="1:146" hidden="1">
      <c r="A271" s="884" t="s">
        <v>2764</v>
      </c>
      <c r="B271" s="884" t="s">
        <v>276</v>
      </c>
      <c r="C271" s="885" t="s">
        <v>276</v>
      </c>
      <c r="D271" s="885" t="s">
        <v>3037</v>
      </c>
      <c r="E271" s="885" t="s">
        <v>37</v>
      </c>
      <c r="F271" s="885" t="s">
        <v>205</v>
      </c>
      <c r="G271" s="591" t="str">
        <f>VLOOKUP(WWWW[[#This Row],[Site Name]],SiteDB6[[Site Name]:[Location Type]],8,FALSE)</f>
        <v>Camp</v>
      </c>
      <c r="H271" s="885" t="s">
        <v>210</v>
      </c>
      <c r="I271" s="887">
        <v>127</v>
      </c>
      <c r="J271" s="887">
        <v>741</v>
      </c>
      <c r="K271" s="888">
        <v>44652</v>
      </c>
      <c r="L271" s="889">
        <v>44895</v>
      </c>
      <c r="M271" s="887"/>
      <c r="N271" s="887"/>
      <c r="O271" s="887"/>
      <c r="P271" s="887"/>
      <c r="Q271" s="890" t="s">
        <v>41</v>
      </c>
      <c r="R271" s="887">
        <v>3</v>
      </c>
      <c r="S271" s="887">
        <v>3</v>
      </c>
      <c r="T271" s="448"/>
      <c r="U271" s="887"/>
      <c r="V271" s="887"/>
      <c r="W271" s="887">
        <v>3</v>
      </c>
      <c r="X271" s="887"/>
      <c r="Y271" s="887"/>
      <c r="Z271" s="887"/>
      <c r="AA271" s="887"/>
      <c r="AB271" s="887"/>
      <c r="AC271" s="887"/>
      <c r="AD271" s="887"/>
      <c r="AE271" s="887"/>
      <c r="AF271" s="887"/>
      <c r="AG271" s="887"/>
      <c r="AH271" s="887"/>
      <c r="AI271" s="887"/>
      <c r="AJ271" s="887"/>
      <c r="AK271" s="887"/>
      <c r="AL271" s="887"/>
      <c r="AM271" s="887"/>
      <c r="AN271" s="887"/>
      <c r="AO271" s="448"/>
      <c r="AP271" s="891"/>
      <c r="AQ271" s="887">
        <v>50</v>
      </c>
      <c r="AR271" s="887"/>
      <c r="AS271" s="892"/>
      <c r="AT271" s="887"/>
      <c r="AU271" s="887"/>
      <c r="AV271" s="887">
        <v>50</v>
      </c>
      <c r="AW271" s="887">
        <v>9</v>
      </c>
      <c r="AX271" s="887"/>
      <c r="AY271" s="886" t="s">
        <v>41</v>
      </c>
      <c r="AZ271" s="891" t="s">
        <v>137</v>
      </c>
      <c r="BA271" s="887"/>
      <c r="BB271" s="887"/>
      <c r="BC271" s="887"/>
      <c r="BD271" s="448"/>
      <c r="BE271" s="448"/>
      <c r="BF271" s="886"/>
      <c r="BG271" s="887">
        <v>8</v>
      </c>
      <c r="BH271" s="887"/>
      <c r="BI271" s="887"/>
      <c r="BJ271" s="887">
        <v>7</v>
      </c>
      <c r="BK271" s="887"/>
      <c r="BL271" s="887"/>
      <c r="BM271" s="887"/>
      <c r="BN271" s="887"/>
      <c r="BO271" s="887"/>
      <c r="BP271" s="886"/>
      <c r="BQ271" s="893"/>
      <c r="BR271" s="892"/>
      <c r="BS271" s="886"/>
      <c r="BT271" s="423"/>
      <c r="BU271" s="423"/>
      <c r="BV271" s="425"/>
      <c r="BW271" s="423">
        <v>0</v>
      </c>
      <c r="BX271" s="448"/>
      <c r="BY271" s="448">
        <v>50</v>
      </c>
      <c r="BZ271" s="448">
        <v>7</v>
      </c>
      <c r="CA271" s="448"/>
      <c r="CB271" s="448"/>
      <c r="CC271" s="777"/>
      <c r="CD271" s="448"/>
      <c r="CE271" s="894" t="str">
        <f>IFERROR(WWWW[[#This Row],['#_Water sources passed]]/WWWW[[#This Row],['#_Water sources tested for fecal coliform ]],"no test")</f>
        <v>no test</v>
      </c>
      <c r="CF271" s="892" t="str">
        <f>IFERROR(WWWW[[#This Row],['#_Household passed]]/WWWW[[#This Row],['#_Household water samples tested for fecal coliform]],"no test")</f>
        <v>no test</v>
      </c>
      <c r="CG271" s="893" t="str">
        <f>IF(AND(WWWW[[#This Row],[% of water sources passed]]="no test",WWWW[[#This Row],[% Household passed]]="no test"),"No Test","Tested")</f>
        <v>No Test</v>
      </c>
      <c r="CH271" s="893">
        <f>WWWW[[#This Row],['#_Constructed/existing protected hand dug well]]-WWWW[[#This Row],['#_Non-functional protected hand dug well]]</f>
        <v>0</v>
      </c>
      <c r="CI271" s="893">
        <f>(WWWW[[#This Row],['#_Constructed/Existing tube wells/boreholes/handpumps_WASH_agency]]+WWWW[[#This Row],['#_Non-Cluster partner water tube-wells/boreholes/handpumps]])-WWWW[[#This Row],['#_Non-functional tube wells/boreholes/handpumps]]</f>
        <v>3</v>
      </c>
      <c r="CJ271" s="893">
        <f>WWWW[[#This Row],['#_Constructed/Existingwater storage tank with gravity fed reticulation system]]-WWWW[[#This Row],['#_Non-functional storage tank gravity fed reticulation system]]</f>
        <v>0</v>
      </c>
      <c r="CK271" s="893">
        <f>(WWWW[[#This Row],['#_Water_Liters_supplied_by_Water boating or water trucking]]/90)/15</f>
        <v>0</v>
      </c>
      <c r="CL271" s="893">
        <f>WWWW[[#This Row],['#_Water_Liters_from_Constructed/Existing water distribution system from river or natural spring]]/90/15</f>
        <v>0</v>
      </c>
      <c r="CM271" s="424">
        <f>IF(WWWW[[#This Row],['#_of water points in TLS/CFS]]*500&gt;WWWW[[#This Row],[Total PoP ]],WWWW[[#This Row],[Total PoP ]],WWWW[[#This Row],['#_of water points in TLS/CFS]]*500)</f>
        <v>0</v>
      </c>
      <c r="CN271" s="424">
        <f>IF(WWWW[[#This Row],['#_of water points in THF]]*500&gt;WWWW[[#This Row],[Total PoP ]],WWWW[[#This Row],[Total PoP ]],WWWW[[#This Row],['#_of water points in THF]]*500)</f>
        <v>0</v>
      </c>
      <c r="CO27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1" s="892">
        <f>IF(WWWW[[#This Row],[Location Type 1]]="Village",WWWW[[#This Row],[Access to safe drinking water for Village]],WWWW[[#This Row],[Access to safe drinking water for Camp]])</f>
        <v>1</v>
      </c>
      <c r="CR271" s="890">
        <f>WWWW[[#This Row],[%Equitable and continuous access to sufficient quantity of safe drinking water]]*WWWW[[#This Row],[Total PoP ]]</f>
        <v>741</v>
      </c>
      <c r="CS271" s="892">
        <f>IF((WWWW[[#This Row],['#_Constructed/Existing protected/fenced ponds]]*250)/WWWW[[#This Row],[Total PoP ]]&gt;1,1,(WWWW[[#This Row],['#_Constructed/Existing protected/fenced ponds]]*250)/WWWW[[#This Row],[Total PoP ]])</f>
        <v>0</v>
      </c>
      <c r="CT271" s="890">
        <f>WWWW[[#This Row],[% Access to unimproved water points]]*WWWW[[#This Row],[Total PoP ]]</f>
        <v>0</v>
      </c>
      <c r="CU27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W271" s="890">
        <f>WWWW[[#This Row],[HRP1]]/500</f>
        <v>1.482</v>
      </c>
      <c r="CX271" s="895">
        <f>1-WWWW[[#This Row],[% Equitable and continuous access to sufficient quantity of domestic water]]</f>
        <v>0</v>
      </c>
      <c r="CY271" s="890">
        <f>WWWW[[#This Row],[%equitable and continuous access to sufficient quantity of safe drinking and domestic water''s GAP]]*WWWW[[#This Row],[Total PoP ]]</f>
        <v>0</v>
      </c>
      <c r="CZ271" s="893">
        <f>IF(WWWW[[#This Row],[Total required water points]]-WWWW[[#This Row],['#Water points coverage]]&lt;0,0,WWWW[[#This Row],[Total required water points]]-WWWW[[#This Row],['#Water points coverage]])</f>
        <v>0</v>
      </c>
      <c r="DA271" s="893">
        <f>ROUND(IF(WWWW[[#This Row],[Total PoP ]]&lt;500,1,WWWW[[#This Row],[Total PoP ]]/500),0)</f>
        <v>1</v>
      </c>
      <c r="DB271" s="893">
        <f>(WWWW[[#This Row],['#_Constructed latrines_by_WASHAgencies]]+WWWW[[#This Row],['#_Non Cluster partner latrines]])-WWWW[[#This Row],['#_Non-functional latrines]]</f>
        <v>50</v>
      </c>
      <c r="DC271" s="631">
        <f>WWWW[[#This Row],[HRP2]]/WWWW[[#This Row],[Total PoP ]]</f>
        <v>1</v>
      </c>
      <c r="DD27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741</v>
      </c>
      <c r="DE27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741</v>
      </c>
      <c r="DF27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1" s="424">
        <f>IF(WWWW[[#This Row],['# of functional latrines in THF supported by WASH partners during the reporting period2]]="",0,WWWW[[#This Row],['# of functional latrines in THF supported by WASH partners during the reporting period2]]*50)</f>
        <v>0</v>
      </c>
      <c r="DH271" s="893">
        <f>ROUND(IF(WWWW[[#This Row],[Location Type 1]]="camp",WWWW[[#This Row],[Total PoP ]]/20,IF(WWWW[[#This Row],[Location Type 1]]="Temporary Location",WWWW[[#This Row],[Total PoP ]]/50,(WWWW[[#This Row],[Total PoP ]]/6))),0)</f>
        <v>37</v>
      </c>
      <c r="DI271" s="893">
        <f>IF(WWWW[[#This Row],[Total required Latrines]]-(WWWW[[#This Row],['#_Constructed latrines_by_WASHAgencies]]+WWWW[[#This Row],['#_Non Cluster partner latrines]])&lt;0,0,WWWW[[#This Row],[Total required Latrines]]-(WWWW[[#This Row],['#_Constructed latrines_by_WASHAgencies]]+WWWW[[#This Row],['#_Non Cluster partner latrines]]))</f>
        <v>0</v>
      </c>
      <c r="DJ271" s="895">
        <f>1-WWWW[[#This Row],[% people access to functioning Latrine]]</f>
        <v>0</v>
      </c>
      <c r="DK271" s="894">
        <f>IF(OR(WWWW[[#This Row],['#_Non-functional latrines]]="",WWWW[[#This Row],['#_Non-functional latrines]]=0),0,WWWW[[#This Row],['#_Non-functional latrines]]/(WWWW[[#This Row],['#_Constructed latrines_by_WASHAgencies]]+WWWW[[#This Row],['#_Non Cluster partner latrines]]))</f>
        <v>0</v>
      </c>
      <c r="DL271" s="890">
        <f>IF(500*(WWWW[[#This Row],['#_male hygiene promoters]]+WWWW[[#This Row],['#_female hygiene promoters]])&gt;WWWW[[#This Row],[Total PoP ]],WWWW[[#This Row],[Total PoP ]],500*(WWWW[[#This Row],['#_male hygiene promoters]]+WWWW[[#This Row],['#_female hygiene promoters]]))</f>
        <v>0</v>
      </c>
      <c r="DM27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1" s="893">
        <f>IF(WWWW[[#This Row],['# People with access to soap]]&gt;WWWW[[#This Row],['# People with access to Sanity Pads]],WWWW[[#This Row],['# People with access to soap]],WWWW[[#This Row],['# People with access to Sanity Pads]])</f>
        <v>0</v>
      </c>
      <c r="DP271"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71" s="895">
        <f>IF(WWWW[[#This Row],[HRP3]]/WWWW[[#This Row],[Total PoP ]]&gt;1,1,WWWW[[#This Row],[HRP3]]/WWWW[[#This Row],[Total PoP ]])</f>
        <v>0</v>
      </c>
      <c r="DR271" s="894">
        <f>1-WWWW[[#This Row],[Hygiene Coverage%]]</f>
        <v>1</v>
      </c>
      <c r="DS271" s="892">
        <f>WWWW[[#This Row],['# people reached by regular dedicated hygiene promotion_5]]/WWWW[[#This Row],[Total PoP ]]</f>
        <v>0</v>
      </c>
      <c r="DT27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1" s="893">
        <f>WWWW[[#This Row],['#_Constructed/Existing hand washing stations]]-WWWW[[#This Row],['#_Non-Functional_hand_washing_stations]]</f>
        <v>8</v>
      </c>
      <c r="DW271" s="890">
        <f>IF(WWWW[[#This Row],['# Functional hand washing stations during reporting period]]*20&gt;WWWW[[#This Row],[Total HH]],WWWW[[#This Row],[Total HH]],WWWW[[#This Row],['# Functional hand washing stations during reporting period]]*20)</f>
        <v>127</v>
      </c>
      <c r="DX271" s="890">
        <f>IF(WWWW[[#This Row],[Is sufficient soap available for TLS? (Yes/No)]]="yes",WWWW[[#This Row],['#_Constructed/Existing hand washing stations at TLS/CFS/THF]],0)</f>
        <v>0</v>
      </c>
      <c r="DY271" s="428">
        <f>IF(WWWW[[#This Row],['# Functional hand washing stations during reporting period]]*100&gt;WWWW[[#This Row],[Total PoP ]],WWWW[[#This Row],[Total PoP ]],WWWW[[#This Row],['# Functional hand washing stations during reporting period]]*100)</f>
        <v>741</v>
      </c>
      <c r="DZ271" s="428" t="str">
        <f>IF(OR(WWWW[[#This Row],['#_students at TLS_CFS]]="",WWWW[[#This Row],['#_students at TLS_CFS]]=0),"No","Yes")</f>
        <v>No</v>
      </c>
      <c r="EA27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57</v>
      </c>
      <c r="EC27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1" s="886" t="str">
        <f>VLOOKUP(WWWW[[#This Row],[Site Name]],SiteDB6[[Site Name]:[CCCM Management]],6,FALSE)</f>
        <v>Yes</v>
      </c>
      <c r="EF271" s="886" t="str">
        <f>VLOOKUP(WWWW[[#This Row],[Site Name]],SiteDB6[[Site Name]:[CCCM Focal Agency]],7,FALSE)</f>
        <v>KMSS-BMO</v>
      </c>
      <c r="EG271" s="886" t="str">
        <f>VLOOKUP(WWWW[[#This Row],[Site Name]],SiteDB6[[Site Name]:[Location Type 1]],9,FALSE)</f>
        <v>Camp</v>
      </c>
      <c r="EH271" s="886" t="str">
        <f>VLOOKUP(WWWW[[#This Row],[Site Name]],SiteDB6[[Site Name]:[Type of Accommodation]],10,FALSE)</f>
        <v>Camp</v>
      </c>
      <c r="EI271" s="886" t="str">
        <f>VLOOKUP(WWWW[[#This Row],[Site Name]],SiteDB6[[Site Name]:[Ethnic or GCA/NGCA]],11,FALSE)</f>
        <v>GCA</v>
      </c>
      <c r="EJ271" s="886">
        <f>VLOOKUP(WWWW[[#This Row],[Site Name]],SiteDB6[[Site Name]:[Lat]],12,FALSE)</f>
        <v>24.245100000000001</v>
      </c>
      <c r="EK271" s="886">
        <f>VLOOKUP(WWWW[[#This Row],[Site Name]],SiteDB6[[Site Name]:[Long]],13,FALSE)</f>
        <v>97.325019999999995</v>
      </c>
      <c r="EL271" s="886" t="str">
        <f>VLOOKUP(WWWW[[#This Row],[Site Name]],SiteDB6[[Site Name]:[Pcode]],3,FALSE)</f>
        <v>MMR001CMP062</v>
      </c>
      <c r="EM271" s="891" t="str">
        <f t="shared" si="4"/>
        <v>Covered</v>
      </c>
      <c r="EN271" s="891"/>
      <c r="EO271" s="886">
        <f>VLOOKUP(WWWW[[#This Row],[Site Name]],SiteDB6[[Site Name]:[Pop
(Kachin/Shan-CCCM as of July 2021)]],16,FALSE)</f>
        <v>122</v>
      </c>
      <c r="EP271" s="886">
        <f>VLOOKUP(WWWW[[#This Row],[Site Name]],SiteDB6[[Site Name]:[Pop
(Kachin/Shan-CCCM as of July 2021)]],17,FALSE)</f>
        <v>571</v>
      </c>
    </row>
    <row r="272" spans="1:146" hidden="1">
      <c r="A272" s="884" t="s">
        <v>2764</v>
      </c>
      <c r="B272" s="884" t="s">
        <v>276</v>
      </c>
      <c r="C272" s="885" t="s">
        <v>276</v>
      </c>
      <c r="D272" s="885" t="s">
        <v>3037</v>
      </c>
      <c r="E272" s="885" t="s">
        <v>37</v>
      </c>
      <c r="F272" s="885" t="s">
        <v>205</v>
      </c>
      <c r="G272" s="591" t="str">
        <f>VLOOKUP(WWWW[[#This Row],[Site Name]],SiteDB6[[Site Name]:[Location Type]],8,FALSE)</f>
        <v>Camp_not registered</v>
      </c>
      <c r="H272" s="885" t="s">
        <v>287</v>
      </c>
      <c r="I272" s="887">
        <v>114</v>
      </c>
      <c r="J272" s="887">
        <v>586</v>
      </c>
      <c r="K272" s="888">
        <v>44652</v>
      </c>
      <c r="L272" s="889">
        <v>44895</v>
      </c>
      <c r="M272" s="887"/>
      <c r="N272" s="887"/>
      <c r="O272" s="887"/>
      <c r="P272" s="887"/>
      <c r="Q272" s="890" t="s">
        <v>41</v>
      </c>
      <c r="R272" s="887">
        <v>4</v>
      </c>
      <c r="S272" s="887">
        <v>3</v>
      </c>
      <c r="T272" s="448">
        <v>1</v>
      </c>
      <c r="U272" s="887"/>
      <c r="V272" s="887"/>
      <c r="W272" s="887">
        <v>1</v>
      </c>
      <c r="X272" s="887"/>
      <c r="Y272" s="887"/>
      <c r="Z272" s="887"/>
      <c r="AA272" s="887"/>
      <c r="AB272" s="887"/>
      <c r="AC272" s="887"/>
      <c r="AD272" s="887"/>
      <c r="AE272" s="887"/>
      <c r="AF272" s="887"/>
      <c r="AG272" s="887"/>
      <c r="AH272" s="887"/>
      <c r="AI272" s="887">
        <v>2</v>
      </c>
      <c r="AJ272" s="887">
        <v>2</v>
      </c>
      <c r="AK272" s="887">
        <v>15</v>
      </c>
      <c r="AL272" s="887">
        <v>15</v>
      </c>
      <c r="AM272" s="887"/>
      <c r="AN272" s="887"/>
      <c r="AO272" s="448"/>
      <c r="AP272" s="891"/>
      <c r="AQ272" s="887">
        <v>28</v>
      </c>
      <c r="AR272" s="887"/>
      <c r="AS272" s="892"/>
      <c r="AT272" s="887"/>
      <c r="AU272" s="887"/>
      <c r="AV272" s="887">
        <v>38</v>
      </c>
      <c r="AW272" s="887">
        <v>50</v>
      </c>
      <c r="AX272" s="887"/>
      <c r="AY272" s="886" t="s">
        <v>41</v>
      </c>
      <c r="AZ272" s="891" t="s">
        <v>137</v>
      </c>
      <c r="BA272" s="887"/>
      <c r="BB272" s="887">
        <v>1</v>
      </c>
      <c r="BC272" s="887"/>
      <c r="BD272" s="448"/>
      <c r="BE272" s="448">
        <v>3</v>
      </c>
      <c r="BF272" s="886"/>
      <c r="BG272" s="887">
        <v>8</v>
      </c>
      <c r="BH272" s="887"/>
      <c r="BI272" s="887"/>
      <c r="BJ272" s="887">
        <v>4</v>
      </c>
      <c r="BK272" s="887"/>
      <c r="BL272" s="887">
        <v>0</v>
      </c>
      <c r="BM272" s="887">
        <v>2</v>
      </c>
      <c r="BN272" s="887">
        <v>114</v>
      </c>
      <c r="BO272" s="887">
        <v>206</v>
      </c>
      <c r="BP272" s="886"/>
      <c r="BQ272" s="893"/>
      <c r="BR272" s="892"/>
      <c r="BS272" s="886"/>
      <c r="BT272" s="423">
        <v>1</v>
      </c>
      <c r="BU272" s="423">
        <v>1</v>
      </c>
      <c r="BV272" s="425">
        <v>12</v>
      </c>
      <c r="BW272" s="423">
        <v>0</v>
      </c>
      <c r="BX272" s="448"/>
      <c r="BY272" s="448">
        <v>28</v>
      </c>
      <c r="BZ272" s="448">
        <v>4</v>
      </c>
      <c r="CA272" s="448"/>
      <c r="CB272" s="448"/>
      <c r="CC272" s="777"/>
      <c r="CD272" s="448"/>
      <c r="CE272" s="894">
        <f>IFERROR(WWWW[[#This Row],['#_Water sources passed]]/WWWW[[#This Row],['#_Water sources tested for fecal coliform ]],"no test")</f>
        <v>1</v>
      </c>
      <c r="CF272" s="892">
        <f>IFERROR(WWWW[[#This Row],['#_Household passed]]/WWWW[[#This Row],['#_Household water samples tested for fecal coliform]],"no test")</f>
        <v>1</v>
      </c>
      <c r="CG272" s="893" t="str">
        <f>IF(AND(WWWW[[#This Row],[% of water sources passed]]="no test",WWWW[[#This Row],[% Household passed]]="no test"),"No Test","Tested")</f>
        <v>Tested</v>
      </c>
      <c r="CH272" s="893">
        <f>WWWW[[#This Row],['#_Constructed/existing protected hand dug well]]-WWWW[[#This Row],['#_Non-functional protected hand dug well]]</f>
        <v>1</v>
      </c>
      <c r="CI272" s="893">
        <f>(WWWW[[#This Row],['#_Constructed/Existing tube wells/boreholes/handpumps_WASH_agency]]+WWWW[[#This Row],['#_Non-Cluster partner water tube-wells/boreholes/handpumps]])-WWWW[[#This Row],['#_Non-functional tube wells/boreholes/handpumps]]</f>
        <v>1</v>
      </c>
      <c r="CJ272" s="893">
        <f>WWWW[[#This Row],['#_Constructed/Existingwater storage tank with gravity fed reticulation system]]-WWWW[[#This Row],['#_Non-functional storage tank gravity fed reticulation system]]</f>
        <v>0</v>
      </c>
      <c r="CK272" s="893">
        <f>(WWWW[[#This Row],['#_Water_Liters_supplied_by_Water boating or water trucking]]/90)/15</f>
        <v>0</v>
      </c>
      <c r="CL272" s="893">
        <f>WWWW[[#This Row],['#_Water_Liters_from_Constructed/Existing water distribution system from river or natural spring]]/90/15</f>
        <v>0</v>
      </c>
      <c r="CM272" s="424">
        <f>IF(WWWW[[#This Row],['#_of water points in TLS/CFS]]*500&gt;WWWW[[#This Row],[Total PoP ]],WWWW[[#This Row],[Total PoP ]],WWWW[[#This Row],['#_of water points in TLS/CFS]]*500)</f>
        <v>0</v>
      </c>
      <c r="CN272" s="424">
        <f>IF(WWWW[[#This Row],['#_of water points in THF]]*500&gt;WWWW[[#This Row],[Total PoP ]],WWWW[[#This Row],[Total PoP ]],WWWW[[#This Row],['#_of water points in THF]]*500)</f>
        <v>0</v>
      </c>
      <c r="CO27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0.85324232081911267</v>
      </c>
      <c r="CQ272" s="892">
        <f>IF(WWWW[[#This Row],[Location Type 1]]="Village",WWWW[[#This Row],[Access to safe drinking water for Village]],WWWW[[#This Row],[Access to safe drinking water for Camp]])</f>
        <v>1</v>
      </c>
      <c r="CR272" s="890">
        <f>WWWW[[#This Row],[%Equitable and continuous access to sufficient quantity of safe drinking water]]*WWWW[[#This Row],[Total PoP ]]</f>
        <v>586</v>
      </c>
      <c r="CS272" s="892">
        <f>IF((WWWW[[#This Row],['#_Constructed/Existing protected/fenced ponds]]*250)/WWWW[[#This Row],[Total PoP ]]&gt;1,1,(WWWW[[#This Row],['#_Constructed/Existing protected/fenced ponds]]*250)/WWWW[[#This Row],[Total PoP ]])</f>
        <v>0</v>
      </c>
      <c r="CT272" s="890">
        <f>WWWW[[#This Row],[% Access to unimproved water points]]*WWWW[[#This Row],[Total PoP ]]</f>
        <v>0</v>
      </c>
      <c r="CU27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586</v>
      </c>
      <c r="CW272" s="890">
        <f>WWWW[[#This Row],[HRP1]]/500</f>
        <v>1.1719999999999999</v>
      </c>
      <c r="CX272" s="895">
        <f>1-WWWW[[#This Row],[% Equitable and continuous access to sufficient quantity of domestic water]]</f>
        <v>0</v>
      </c>
      <c r="CY272" s="890">
        <f>WWWW[[#This Row],[%equitable and continuous access to sufficient quantity of safe drinking and domestic water''s GAP]]*WWWW[[#This Row],[Total PoP ]]</f>
        <v>0</v>
      </c>
      <c r="CZ272" s="893">
        <f>IF(WWWW[[#This Row],[Total required water points]]-WWWW[[#This Row],['#Water points coverage]]&lt;0,0,WWWW[[#This Row],[Total required water points]]-WWWW[[#This Row],['#Water points coverage]])</f>
        <v>0</v>
      </c>
      <c r="DA272" s="893">
        <f>ROUND(IF(WWWW[[#This Row],[Total PoP ]]&lt;500,1,WWWW[[#This Row],[Total PoP ]]/500),0)</f>
        <v>1</v>
      </c>
      <c r="DB272" s="893">
        <f>(WWWW[[#This Row],['#_Constructed latrines_by_WASHAgencies]]+WWWW[[#This Row],['#_Non Cluster partner latrines]])-WWWW[[#This Row],['#_Non-functional latrines]]</f>
        <v>28</v>
      </c>
      <c r="DC272" s="631">
        <f>WWWW[[#This Row],[HRP2]]/WWWW[[#This Row],[Total PoP ]]</f>
        <v>0.96075085324232079</v>
      </c>
      <c r="DD27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563</v>
      </c>
      <c r="DE27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586</v>
      </c>
      <c r="DF27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2" s="424">
        <f>IF(WWWW[[#This Row],['# of functional latrines in THF supported by WASH partners during the reporting period2]]="",0,WWWW[[#This Row],['# of functional latrines in THF supported by WASH partners during the reporting period2]]*50)</f>
        <v>0</v>
      </c>
      <c r="DH272" s="893">
        <f>ROUND(IF(WWWW[[#This Row],[Location Type 1]]="camp",WWWW[[#This Row],[Total PoP ]]/20,IF(WWWW[[#This Row],[Location Type 1]]="Temporary Location",WWWW[[#This Row],[Total PoP ]]/50,(WWWW[[#This Row],[Total PoP ]]/6))),0)</f>
        <v>29</v>
      </c>
      <c r="DI272" s="893">
        <f>IF(WWWW[[#This Row],[Total required Latrines]]-(WWWW[[#This Row],['#_Constructed latrines_by_WASHAgencies]]+WWWW[[#This Row],['#_Non Cluster partner latrines]])&lt;0,0,WWWW[[#This Row],[Total required Latrines]]-(WWWW[[#This Row],['#_Constructed latrines_by_WASHAgencies]]+WWWW[[#This Row],['#_Non Cluster partner latrines]]))</f>
        <v>1</v>
      </c>
      <c r="DJ272" s="895">
        <f>1-WWWW[[#This Row],[% people access to functioning Latrine]]</f>
        <v>3.924914675767921E-2</v>
      </c>
      <c r="DK272" s="894">
        <f>IF(OR(WWWW[[#This Row],['#_Non-functional latrines]]="",WWWW[[#This Row],['#_Non-functional latrines]]=0),0,WWWW[[#This Row],['#_Non-functional latrines]]/(WWWW[[#This Row],['#_Constructed latrines_by_WASHAgencies]]+WWWW[[#This Row],['#_Non Cluster partner latrines]]))</f>
        <v>0</v>
      </c>
      <c r="DL272" s="890">
        <f>IF(500*(WWWW[[#This Row],['#_male hygiene promoters]]+WWWW[[#This Row],['#_female hygiene promoters]])&gt;WWWW[[#This Row],[Total PoP ]],WWWW[[#This Row],[Total PoP ]],500*(WWWW[[#This Row],['#_male hygiene promoters]]+WWWW[[#This Row],['#_female hygiene promoters]]))</f>
        <v>586</v>
      </c>
      <c r="DM27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586</v>
      </c>
      <c r="DN27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206</v>
      </c>
      <c r="DO272" s="893">
        <f>IF(WWWW[[#This Row],['# People with access to soap]]&gt;WWWW[[#This Row],['# People with access to Sanity Pads]],WWWW[[#This Row],['# People with access to soap]],WWWW[[#This Row],['# People with access to Sanity Pads]])</f>
        <v>586</v>
      </c>
      <c r="DP272" s="893">
        <f>IF(WWWW[[#This Row],['# people reached by regular dedicated hygiene promotion_5]]&gt;WWWW[[#This Row],['# People received regular supply of hygiene items_6]],WWWW[[#This Row],['# people reached by regular dedicated hygiene promotion_5]],WWWW[[#This Row],['# People received regular supply of hygiene items_6]])</f>
        <v>586</v>
      </c>
      <c r="DQ272" s="895">
        <f>IF(WWWW[[#This Row],[HRP3]]/WWWW[[#This Row],[Total PoP ]]&gt;1,1,WWWW[[#This Row],[HRP3]]/WWWW[[#This Row],[Total PoP ]])</f>
        <v>1</v>
      </c>
      <c r="DR272" s="894">
        <f>1-WWWW[[#This Row],[Hygiene Coverage%]]</f>
        <v>0</v>
      </c>
      <c r="DS272" s="892">
        <f>WWWW[[#This Row],['# people reached by regular dedicated hygiene promotion_5]]/WWWW[[#This Row],[Total PoP ]]</f>
        <v>1</v>
      </c>
      <c r="DT27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7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72" s="893">
        <f>WWWW[[#This Row],['#_Constructed/Existing hand washing stations]]-WWWW[[#This Row],['#_Non-Functional_hand_washing_stations]]</f>
        <v>8</v>
      </c>
      <c r="DW272" s="890">
        <f>IF(WWWW[[#This Row],['# Functional hand washing stations during reporting period]]*20&gt;WWWW[[#This Row],[Total HH]],WWWW[[#This Row],[Total HH]],WWWW[[#This Row],['# Functional hand washing stations during reporting period]]*20)</f>
        <v>114</v>
      </c>
      <c r="DX272" s="890">
        <f>IF(WWWW[[#This Row],[Is sufficient soap available for TLS? (Yes/No)]]="yes",WWWW[[#This Row],['#_Constructed/Existing hand washing stations at TLS/CFS/THF]],0)</f>
        <v>0</v>
      </c>
      <c r="DY272" s="428">
        <f>IF(WWWW[[#This Row],['# Functional hand washing stations during reporting period]]*100&gt;WWWW[[#This Row],[Total PoP ]],WWWW[[#This Row],[Total PoP ]],WWWW[[#This Row],['# Functional hand washing stations during reporting period]]*100)</f>
        <v>586</v>
      </c>
      <c r="DZ272" s="428" t="str">
        <f>IF(OR(WWWW[[#This Row],['#_students at TLS_CFS]]="",WWWW[[#This Row],['#_students at TLS_CFS]]=0),"No","Yes")</f>
        <v>No</v>
      </c>
      <c r="EA272" s="631">
        <f>IF(WWWW[[#This Row],['#_of_affected_people_surveyed_who_report_feeling_informed_about_the_different_WASH_services_available_to_them]]="","",WWWW[[#This Row],['#_of_affected_people_surveyed_who_report_feeling_informed_about_the_different_WASH_services_available_to_them]]/WWWW[[#This Row],[Total PoP ]])</f>
        <v>2.0477815699658702E-2</v>
      </c>
      <c r="EB27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32</v>
      </c>
      <c r="EC27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2" s="886">
        <f>VLOOKUP(WWWW[[#This Row],[Site Name]],SiteDB6[[Site Name]:[CCCM Management]],6,FALSE)</f>
        <v>0</v>
      </c>
      <c r="EF272" s="886">
        <f>VLOOKUP(WWWW[[#This Row],[Site Name]],SiteDB6[[Site Name]:[CCCM Focal Agency]],7,FALSE)</f>
        <v>0</v>
      </c>
      <c r="EG272" s="886" t="str">
        <f>VLOOKUP(WWWW[[#This Row],[Site Name]],SiteDB6[[Site Name]:[Location Type 1]],9,FALSE)</f>
        <v>Camp</v>
      </c>
      <c r="EH272" s="886" t="str">
        <f>VLOOKUP(WWWW[[#This Row],[Site Name]],SiteDB6[[Site Name]:[Type of Accommodation]],10,FALSE)</f>
        <v>Camp</v>
      </c>
      <c r="EI272" s="886" t="str">
        <f>VLOOKUP(WWWW[[#This Row],[Site Name]],SiteDB6[[Site Name]:[Ethnic or GCA/NGCA]],11,FALSE)</f>
        <v>GCA</v>
      </c>
      <c r="EJ272" s="886">
        <f>VLOOKUP(WWWW[[#This Row],[Site Name]],SiteDB6[[Site Name]:[Lat]],12,FALSE)</f>
        <v>0</v>
      </c>
      <c r="EK272" s="886">
        <f>VLOOKUP(WWWW[[#This Row],[Site Name]],SiteDB6[[Site Name]:[Long]],13,FALSE)</f>
        <v>0</v>
      </c>
      <c r="EL272" s="886">
        <f>VLOOKUP(WWWW[[#This Row],[Site Name]],SiteDB6[[Site Name]:[Pcode]],3,FALSE)</f>
        <v>0</v>
      </c>
      <c r="EM272" s="891" t="str">
        <f t="shared" si="4"/>
        <v>Covered</v>
      </c>
      <c r="EN272" s="891"/>
      <c r="EO272" s="886">
        <f>VLOOKUP(WWWW[[#This Row],[Site Name]],SiteDB6[[Site Name]:[Pop
(Kachin/Shan-CCCM as of July 2021)]],16,FALSE)</f>
        <v>0</v>
      </c>
      <c r="EP272" s="886">
        <f>VLOOKUP(WWWW[[#This Row],[Site Name]],SiteDB6[[Site Name]:[Pop
(Kachin/Shan-CCCM as of July 2021)]],17,FALSE)</f>
        <v>0</v>
      </c>
    </row>
    <row r="273" spans="1:146" hidden="1">
      <c r="A273" s="884" t="s">
        <v>2764</v>
      </c>
      <c r="B273" s="884" t="s">
        <v>3073</v>
      </c>
      <c r="C273" s="885" t="s">
        <v>141</v>
      </c>
      <c r="D273" s="885" t="s">
        <v>3081</v>
      </c>
      <c r="E273" s="885" t="s">
        <v>37</v>
      </c>
      <c r="F273" s="885" t="s">
        <v>159</v>
      </c>
      <c r="G273" s="591" t="str">
        <f>VLOOKUP(WWWW[[#This Row],[Site Name]],SiteDB6[[Site Name]:[Location Type]],8,FALSE)</f>
        <v>Camp</v>
      </c>
      <c r="H273" s="885" t="s">
        <v>166</v>
      </c>
      <c r="I273" s="887">
        <v>108</v>
      </c>
      <c r="J273" s="887">
        <v>622</v>
      </c>
      <c r="K273" s="888">
        <v>44682</v>
      </c>
      <c r="L273" s="889">
        <v>44865</v>
      </c>
      <c r="M273" s="887"/>
      <c r="N273" s="887">
        <v>1</v>
      </c>
      <c r="O273" s="887"/>
      <c r="P273" s="887"/>
      <c r="Q273" s="890" t="s">
        <v>41</v>
      </c>
      <c r="R273" s="887">
        <v>2</v>
      </c>
      <c r="S273" s="887">
        <v>3</v>
      </c>
      <c r="T273" s="448">
        <v>2</v>
      </c>
      <c r="U273" s="887">
        <v>1</v>
      </c>
      <c r="V273" s="887"/>
      <c r="W273" s="887">
        <v>3</v>
      </c>
      <c r="X273" s="887"/>
      <c r="Y273" s="887"/>
      <c r="Z273" s="887"/>
      <c r="AA273" s="887"/>
      <c r="AB273" s="887"/>
      <c r="AC273" s="887"/>
      <c r="AD273" s="887"/>
      <c r="AE273" s="887"/>
      <c r="AF273" s="887"/>
      <c r="AG273" s="887"/>
      <c r="AH273" s="887">
        <v>3</v>
      </c>
      <c r="AI273" s="887"/>
      <c r="AJ273" s="887"/>
      <c r="AK273" s="887"/>
      <c r="AL273" s="887"/>
      <c r="AM273" s="887"/>
      <c r="AN273" s="887"/>
      <c r="AO273" s="448"/>
      <c r="AP273" s="891"/>
      <c r="AQ273" s="887">
        <v>34</v>
      </c>
      <c r="AR273" s="887"/>
      <c r="AS273" s="892"/>
      <c r="AT273" s="887"/>
      <c r="AU273" s="887"/>
      <c r="AV273" s="887"/>
      <c r="AW273" s="887"/>
      <c r="AX273" s="887">
        <v>34</v>
      </c>
      <c r="AY273" s="886" t="s">
        <v>41</v>
      </c>
      <c r="AZ273" s="891" t="s">
        <v>904</v>
      </c>
      <c r="BA273" s="887"/>
      <c r="BB273" s="887"/>
      <c r="BC273" s="887"/>
      <c r="BD273" s="448"/>
      <c r="BE273" s="448"/>
      <c r="BF273" s="886"/>
      <c r="BG273" s="887">
        <v>3</v>
      </c>
      <c r="BH273" s="887"/>
      <c r="BI273" s="887"/>
      <c r="BJ273" s="887">
        <v>2</v>
      </c>
      <c r="BK273" s="887"/>
      <c r="BL273" s="887"/>
      <c r="BM273" s="887"/>
      <c r="BN273" s="887"/>
      <c r="BO273" s="887"/>
      <c r="BP273" s="886"/>
      <c r="BQ273" s="893"/>
      <c r="BR273" s="892"/>
      <c r="BS273" s="886"/>
      <c r="BT273" s="423"/>
      <c r="BU273" s="423"/>
      <c r="BV273" s="425"/>
      <c r="BW273" s="423"/>
      <c r="BX273" s="448"/>
      <c r="BY273" s="448"/>
      <c r="BZ273" s="448"/>
      <c r="CA273" s="448"/>
      <c r="CB273" s="448"/>
      <c r="CC273" s="777"/>
      <c r="CD273" s="448"/>
      <c r="CE273" s="894" t="str">
        <f>IFERROR(WWWW[[#This Row],['#_Water sources passed]]/WWWW[[#This Row],['#_Water sources tested for fecal coliform ]],"no test")</f>
        <v>no test</v>
      </c>
      <c r="CF273" s="892" t="str">
        <f>IFERROR(WWWW[[#This Row],['#_Household passed]]/WWWW[[#This Row],['#_Household water samples tested for fecal coliform]],"no test")</f>
        <v>no test</v>
      </c>
      <c r="CG273" s="893" t="str">
        <f>IF(AND(WWWW[[#This Row],[% of water sources passed]]="no test",WWWW[[#This Row],[% Household passed]]="no test"),"No Test","Tested")</f>
        <v>No Test</v>
      </c>
      <c r="CH273" s="893">
        <f>WWWW[[#This Row],['#_Constructed/existing protected hand dug well]]-WWWW[[#This Row],['#_Non-functional protected hand dug well]]</f>
        <v>1</v>
      </c>
      <c r="CI273" s="893">
        <f>(WWWW[[#This Row],['#_Constructed/Existing tube wells/boreholes/handpumps_WASH_agency]]+WWWW[[#This Row],['#_Non-Cluster partner water tube-wells/boreholes/handpumps]])-WWWW[[#This Row],['#_Non-functional tube wells/boreholes/handpumps]]</f>
        <v>3</v>
      </c>
      <c r="CJ273" s="893">
        <f>WWWW[[#This Row],['#_Constructed/Existingwater storage tank with gravity fed reticulation system]]-WWWW[[#This Row],['#_Non-functional storage tank gravity fed reticulation system]]</f>
        <v>0</v>
      </c>
      <c r="CK273" s="893">
        <f>(WWWW[[#This Row],['#_Water_Liters_supplied_by_Water boating or water trucking]]/90)/15</f>
        <v>0</v>
      </c>
      <c r="CL273" s="893">
        <f>WWWW[[#This Row],['#_Water_Liters_from_Constructed/Existing water distribution system from river or natural spring]]/90/15</f>
        <v>0</v>
      </c>
      <c r="CM273" s="424">
        <f>IF(WWWW[[#This Row],['#_of water points in TLS/CFS]]*500&gt;WWWW[[#This Row],[Total PoP ]],WWWW[[#This Row],[Total PoP ]],WWWW[[#This Row],['#_of water points in TLS/CFS]]*500)</f>
        <v>0</v>
      </c>
      <c r="CN273" s="424">
        <f>IF(WWWW[[#This Row],['#_of water points in THF]]*500&gt;WWWW[[#This Row],[Total PoP ]],WWWW[[#This Row],[Total PoP ]],WWWW[[#This Row],['#_of water points in THF]]*500)</f>
        <v>0</v>
      </c>
      <c r="CO27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3" s="892">
        <f>IF(WWWW[[#This Row],[Location Type 1]]="Village",WWWW[[#This Row],[Access to safe drinking water for Village]],WWWW[[#This Row],[Access to safe drinking water for Camp]])</f>
        <v>1</v>
      </c>
      <c r="CR273" s="890">
        <f>WWWW[[#This Row],[%Equitable and continuous access to sufficient quantity of safe drinking water]]*WWWW[[#This Row],[Total PoP ]]</f>
        <v>622</v>
      </c>
      <c r="CS273" s="892">
        <f>IF((WWWW[[#This Row],['#_Constructed/Existing protected/fenced ponds]]*250)/WWWW[[#This Row],[Total PoP ]]&gt;1,1,(WWWW[[#This Row],['#_Constructed/Existing protected/fenced ponds]]*250)/WWWW[[#This Row],[Total PoP ]])</f>
        <v>0</v>
      </c>
      <c r="CT273" s="890">
        <f>WWWW[[#This Row],[% Access to unimproved water points]]*WWWW[[#This Row],[Total PoP ]]</f>
        <v>0</v>
      </c>
      <c r="CU27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622</v>
      </c>
      <c r="CW273" s="890">
        <f>WWWW[[#This Row],[HRP1]]/500</f>
        <v>1.244</v>
      </c>
      <c r="CX273" s="895">
        <f>1-WWWW[[#This Row],[% Equitable and continuous access to sufficient quantity of domestic water]]</f>
        <v>0</v>
      </c>
      <c r="CY273" s="890">
        <f>WWWW[[#This Row],[%equitable and continuous access to sufficient quantity of safe drinking and domestic water''s GAP]]*WWWW[[#This Row],[Total PoP ]]</f>
        <v>0</v>
      </c>
      <c r="CZ273" s="893">
        <f>IF(WWWW[[#This Row],[Total required water points]]-WWWW[[#This Row],['#Water points coverage]]&lt;0,0,WWWW[[#This Row],[Total required water points]]-WWWW[[#This Row],['#Water points coverage]])</f>
        <v>0</v>
      </c>
      <c r="DA273" s="893">
        <f>ROUND(IF(WWWW[[#This Row],[Total PoP ]]&lt;500,1,WWWW[[#This Row],[Total PoP ]]/500),0)</f>
        <v>1</v>
      </c>
      <c r="DB273" s="893">
        <f>(WWWW[[#This Row],['#_Constructed latrines_by_WASHAgencies]]+WWWW[[#This Row],['#_Non Cluster partner latrines]])-WWWW[[#This Row],['#_Non-functional latrines]]</f>
        <v>34</v>
      </c>
      <c r="DC273" s="631">
        <f>WWWW[[#This Row],[HRP2]]/WWWW[[#This Row],[Total PoP ]]</f>
        <v>1</v>
      </c>
      <c r="DD27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622</v>
      </c>
      <c r="DE27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3" s="424">
        <f>IF(WWWW[[#This Row],['# of functional latrines in THF supported by WASH partners during the reporting period2]]="",0,WWWW[[#This Row],['# of functional latrines in THF supported by WASH partners during the reporting period2]]*50)</f>
        <v>0</v>
      </c>
      <c r="DH273" s="893">
        <f>ROUND(IF(WWWW[[#This Row],[Location Type 1]]="camp",WWWW[[#This Row],[Total PoP ]]/20,IF(WWWW[[#This Row],[Location Type 1]]="Temporary Location",WWWW[[#This Row],[Total PoP ]]/50,(WWWW[[#This Row],[Total PoP ]]/6))),0)</f>
        <v>31</v>
      </c>
      <c r="DI273" s="893">
        <f>IF(WWWW[[#This Row],[Total required Latrines]]-(WWWW[[#This Row],['#_Constructed latrines_by_WASHAgencies]]+WWWW[[#This Row],['#_Non Cluster partner latrines]])&lt;0,0,WWWW[[#This Row],[Total required Latrines]]-(WWWW[[#This Row],['#_Constructed latrines_by_WASHAgencies]]+WWWW[[#This Row],['#_Non Cluster partner latrines]]))</f>
        <v>0</v>
      </c>
      <c r="DJ273" s="895">
        <f>1-WWWW[[#This Row],[% people access to functioning Latrine]]</f>
        <v>0</v>
      </c>
      <c r="DK273" s="894">
        <f>IF(OR(WWWW[[#This Row],['#_Non-functional latrines]]="",WWWW[[#This Row],['#_Non-functional latrines]]=0),0,WWWW[[#This Row],['#_Non-functional latrines]]/(WWWW[[#This Row],['#_Constructed latrines_by_WASHAgencies]]+WWWW[[#This Row],['#_Non Cluster partner latrines]]))</f>
        <v>0</v>
      </c>
      <c r="DL273" s="890">
        <f>IF(500*(WWWW[[#This Row],['#_male hygiene promoters]]+WWWW[[#This Row],['#_female hygiene promoters]])&gt;WWWW[[#This Row],[Total PoP ]],WWWW[[#This Row],[Total PoP ]],500*(WWWW[[#This Row],['#_male hygiene promoters]]+WWWW[[#This Row],['#_female hygiene promoters]]))</f>
        <v>0</v>
      </c>
      <c r="DM27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3" s="893">
        <f>IF(WWWW[[#This Row],['# People with access to soap]]&gt;WWWW[[#This Row],['# People with access to Sanity Pads]],WWWW[[#This Row],['# People with access to soap]],WWWW[[#This Row],['# People with access to Sanity Pads]])</f>
        <v>0</v>
      </c>
      <c r="DP273"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73" s="895">
        <f>IF(WWWW[[#This Row],[HRP3]]/WWWW[[#This Row],[Total PoP ]]&gt;1,1,WWWW[[#This Row],[HRP3]]/WWWW[[#This Row],[Total PoP ]])</f>
        <v>0</v>
      </c>
      <c r="DR273" s="894">
        <f>1-WWWW[[#This Row],[Hygiene Coverage%]]</f>
        <v>1</v>
      </c>
      <c r="DS273" s="892">
        <f>WWWW[[#This Row],['# people reached by regular dedicated hygiene promotion_5]]/WWWW[[#This Row],[Total PoP ]]</f>
        <v>0</v>
      </c>
      <c r="DT27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3" s="893">
        <f>WWWW[[#This Row],['#_Constructed/Existing hand washing stations]]-WWWW[[#This Row],['#_Non-Functional_hand_washing_stations]]</f>
        <v>3</v>
      </c>
      <c r="DW273" s="890">
        <f>IF(WWWW[[#This Row],['# Functional hand washing stations during reporting period]]*20&gt;WWWW[[#This Row],[Total HH]],WWWW[[#This Row],[Total HH]],WWWW[[#This Row],['# Functional hand washing stations during reporting period]]*20)</f>
        <v>60</v>
      </c>
      <c r="DX273" s="890">
        <f>IF(WWWW[[#This Row],[Is sufficient soap available for TLS? (Yes/No)]]="yes",WWWW[[#This Row],['#_Constructed/Existing hand washing stations at TLS/CFS/THF]],0)</f>
        <v>0</v>
      </c>
      <c r="DY273" s="428">
        <f>IF(WWWW[[#This Row],['# Functional hand washing stations during reporting period]]*100&gt;WWWW[[#This Row],[Total PoP ]],WWWW[[#This Row],[Total PoP ]],WWWW[[#This Row],['# Functional hand washing stations during reporting period]]*100)</f>
        <v>300</v>
      </c>
      <c r="DZ273" s="428" t="str">
        <f>IF(OR(WWWW[[#This Row],['#_students at TLS_CFS]]="",WWWW[[#This Row],['#_students at TLS_CFS]]=0),"No","Yes")</f>
        <v>No</v>
      </c>
      <c r="EA27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3" s="886" t="str">
        <f>VLOOKUP(WWWW[[#This Row],[Site Name]],SiteDB6[[Site Name]:[CCCM Management]],6,FALSE)</f>
        <v>Yes</v>
      </c>
      <c r="EF273" s="886" t="str">
        <f>VLOOKUP(WWWW[[#This Row],[Site Name]],SiteDB6[[Site Name]:[CCCM Focal Agency]],7,FALSE)</f>
        <v>KBC-MYT</v>
      </c>
      <c r="EG273" s="886" t="str">
        <f>VLOOKUP(WWWW[[#This Row],[Site Name]],SiteDB6[[Site Name]:[Location Type 1]],9,FALSE)</f>
        <v>Camp</v>
      </c>
      <c r="EH273" s="886" t="str">
        <f>VLOOKUP(WWWW[[#This Row],[Site Name]],SiteDB6[[Site Name]:[Type of Accommodation]],10,FALSE)</f>
        <v>Camp</v>
      </c>
      <c r="EI273" s="886" t="str">
        <f>VLOOKUP(WWWW[[#This Row],[Site Name]],SiteDB6[[Site Name]:[Ethnic or GCA/NGCA]],11,FALSE)</f>
        <v>GCA</v>
      </c>
      <c r="EJ273" s="886">
        <f>VLOOKUP(WWWW[[#This Row],[Site Name]],SiteDB6[[Site Name]:[Lat]],12,FALSE)</f>
        <v>25.428910999999999</v>
      </c>
      <c r="EK273" s="886">
        <f>VLOOKUP(WWWW[[#This Row],[Site Name]],SiteDB6[[Site Name]:[Long]],13,FALSE)</f>
        <v>97.418694000000002</v>
      </c>
      <c r="EL273" s="886" t="str">
        <f>VLOOKUP(WWWW[[#This Row],[Site Name]],SiteDB6[[Site Name]:[Pcode]],3,FALSE)</f>
        <v>MMR001CMP008</v>
      </c>
      <c r="EM273" s="891" t="str">
        <f t="shared" si="4"/>
        <v>Covered</v>
      </c>
      <c r="EN273" s="891"/>
      <c r="EO273" s="886">
        <f>VLOOKUP(WWWW[[#This Row],[Site Name]],SiteDB6[[Site Name]:[Pop
(Kachin/Shan-CCCM as of July 2021)]],16,FALSE)</f>
        <v>108</v>
      </c>
      <c r="EP273" s="886">
        <f>VLOOKUP(WWWW[[#This Row],[Site Name]],SiteDB6[[Site Name]:[Pop
(Kachin/Shan-CCCM as of July 2021)]],17,FALSE)</f>
        <v>622</v>
      </c>
    </row>
    <row r="274" spans="1:146" hidden="1">
      <c r="A274" s="884" t="s">
        <v>2764</v>
      </c>
      <c r="B274" s="884" t="s">
        <v>2730</v>
      </c>
      <c r="C274" s="885" t="s">
        <v>2730</v>
      </c>
      <c r="D274" s="885" t="s">
        <v>2731</v>
      </c>
      <c r="E274" s="885" t="s">
        <v>37</v>
      </c>
      <c r="F274" s="885" t="s">
        <v>38</v>
      </c>
      <c r="G274" s="591" t="str">
        <f>VLOOKUP(WWWW[[#This Row],[Site Name]],SiteDB6[[Site Name]:[Location Type]],8,FALSE)</f>
        <v>Camp</v>
      </c>
      <c r="H274" s="885" t="s">
        <v>298</v>
      </c>
      <c r="I274" s="887">
        <v>155</v>
      </c>
      <c r="J274" s="887">
        <v>655</v>
      </c>
      <c r="K274" s="588" t="s">
        <v>3033</v>
      </c>
      <c r="L274" s="589" t="s">
        <v>3034</v>
      </c>
      <c r="M274" s="887"/>
      <c r="N274" s="887">
        <v>2</v>
      </c>
      <c r="O274" s="887"/>
      <c r="P274" s="887"/>
      <c r="Q274" s="890" t="s">
        <v>41</v>
      </c>
      <c r="R274" s="887">
        <v>4</v>
      </c>
      <c r="S274" s="887">
        <v>3</v>
      </c>
      <c r="T274" s="448">
        <v>2</v>
      </c>
      <c r="U274" s="887">
        <v>1</v>
      </c>
      <c r="V274" s="887">
        <v>1</v>
      </c>
      <c r="W274" s="887"/>
      <c r="X274" s="887">
        <v>1</v>
      </c>
      <c r="Y274" s="887"/>
      <c r="Z274" s="887"/>
      <c r="AA274" s="887">
        <v>1</v>
      </c>
      <c r="AB274" s="887"/>
      <c r="AC274" s="887">
        <v>1</v>
      </c>
      <c r="AD274" s="887"/>
      <c r="AE274" s="887"/>
      <c r="AF274" s="887"/>
      <c r="AG274" s="887"/>
      <c r="AH274" s="887"/>
      <c r="AI274" s="887"/>
      <c r="AJ274" s="887"/>
      <c r="AK274" s="887"/>
      <c r="AL274" s="887"/>
      <c r="AM274" s="887"/>
      <c r="AN274" s="887"/>
      <c r="AO274" s="448"/>
      <c r="AP274" s="891"/>
      <c r="AQ274" s="887">
        <v>18</v>
      </c>
      <c r="AR274" s="887"/>
      <c r="AS274" s="892"/>
      <c r="AT274" s="887"/>
      <c r="AU274" s="887"/>
      <c r="AV274" s="887"/>
      <c r="AW274" s="887"/>
      <c r="AX274" s="887"/>
      <c r="AY274" s="886" t="s">
        <v>140</v>
      </c>
      <c r="AZ274" s="891" t="s">
        <v>140</v>
      </c>
      <c r="BA274" s="887"/>
      <c r="BB274" s="887"/>
      <c r="BC274" s="887"/>
      <c r="BD274" s="448"/>
      <c r="BE274" s="448"/>
      <c r="BF274" s="886"/>
      <c r="BG274" s="887">
        <v>3</v>
      </c>
      <c r="BH274" s="887"/>
      <c r="BI274" s="887"/>
      <c r="BJ274" s="887">
        <v>2</v>
      </c>
      <c r="BK274" s="887"/>
      <c r="BL274" s="887"/>
      <c r="BM274" s="887">
        <v>2</v>
      </c>
      <c r="BN274" s="887">
        <v>155</v>
      </c>
      <c r="BO274" s="887">
        <v>140.4975</v>
      </c>
      <c r="BP274" s="886" t="s">
        <v>41</v>
      </c>
      <c r="BQ274" s="893">
        <v>100</v>
      </c>
      <c r="BR274" s="892"/>
      <c r="BS274" s="886" t="s">
        <v>3035</v>
      </c>
      <c r="BT274" s="423"/>
      <c r="BU274" s="423"/>
      <c r="BV274" s="425"/>
      <c r="BW274" s="423">
        <v>0.01</v>
      </c>
      <c r="BX274" s="448"/>
      <c r="BY274" s="448"/>
      <c r="BZ274" s="448"/>
      <c r="CA274" s="448"/>
      <c r="CB274" s="448"/>
      <c r="CC274" s="777"/>
      <c r="CD274" s="448"/>
      <c r="CE274" s="894" t="str">
        <f>IFERROR(WWWW[[#This Row],['#_Water sources passed]]/WWWW[[#This Row],['#_Water sources tested for fecal coliform ]],"no test")</f>
        <v>no test</v>
      </c>
      <c r="CF274" s="892" t="str">
        <f>IFERROR(WWWW[[#This Row],['#_Household passed]]/WWWW[[#This Row],['#_Household water samples tested for fecal coliform]],"no test")</f>
        <v>no test</v>
      </c>
      <c r="CG274" s="893" t="str">
        <f>IF(AND(WWWW[[#This Row],[% of water sources passed]]="no test",WWWW[[#This Row],[% Household passed]]="no test"),"No Test","Tested")</f>
        <v>No Test</v>
      </c>
      <c r="CH274" s="893">
        <f>WWWW[[#This Row],['#_Constructed/existing protected hand dug well]]-WWWW[[#This Row],['#_Non-functional protected hand dug well]]</f>
        <v>1</v>
      </c>
      <c r="CI274" s="893">
        <f>(WWWW[[#This Row],['#_Constructed/Existing tube wells/boreholes/handpumps_WASH_agency]]+WWWW[[#This Row],['#_Non-Cluster partner water tube-wells/boreholes/handpumps]])-WWWW[[#This Row],['#_Non-functional tube wells/boreholes/handpumps]]</f>
        <v>1</v>
      </c>
      <c r="CJ274" s="893">
        <f>WWWW[[#This Row],['#_Constructed/Existingwater storage tank with gravity fed reticulation system]]-WWWW[[#This Row],['#_Non-functional storage tank gravity fed reticulation system]]</f>
        <v>1</v>
      </c>
      <c r="CK274" s="893">
        <f>(WWWW[[#This Row],['#_Water_Liters_supplied_by_Water boating or water trucking]]/90)/15</f>
        <v>0</v>
      </c>
      <c r="CL274" s="893">
        <f>WWWW[[#This Row],['#_Water_Liters_from_Constructed/Existing water distribution system from river or natural spring]]/90/15</f>
        <v>0</v>
      </c>
      <c r="CM274" s="424">
        <f>IF(WWWW[[#This Row],['#_of water points in TLS/CFS]]*500&gt;WWWW[[#This Row],[Total PoP ]],WWWW[[#This Row],[Total PoP ]],WWWW[[#This Row],['#_of water points in TLS/CFS]]*500)</f>
        <v>0</v>
      </c>
      <c r="CN274" s="424">
        <f>IF(WWWW[[#This Row],['#_of water points in THF]]*500&gt;WWWW[[#This Row],[Total PoP ]],WWWW[[#This Row],[Total PoP ]],WWWW[[#This Row],['#_of water points in THF]]*500)</f>
        <v>0</v>
      </c>
      <c r="CO27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0.86513994910941472</v>
      </c>
      <c r="CQ274" s="892">
        <f>IF(WWWW[[#This Row],[Location Type 1]]="Village",WWWW[[#This Row],[Access to safe drinking water for Village]],WWWW[[#This Row],[Access to safe drinking water for Camp]])</f>
        <v>1</v>
      </c>
      <c r="CR274" s="890">
        <f>WWWW[[#This Row],[%Equitable and continuous access to sufficient quantity of safe drinking water]]*WWWW[[#This Row],[Total PoP ]]</f>
        <v>655</v>
      </c>
      <c r="CS274" s="892">
        <f>IF((WWWW[[#This Row],['#_Constructed/Existing protected/fenced ponds]]*250)/WWWW[[#This Row],[Total PoP ]]&gt;1,1,(WWWW[[#This Row],['#_Constructed/Existing protected/fenced ponds]]*250)/WWWW[[#This Row],[Total PoP ]])</f>
        <v>0</v>
      </c>
      <c r="CT274" s="890">
        <f>WWWW[[#This Row],[% Access to unimproved water points]]*WWWW[[#This Row],[Total PoP ]]</f>
        <v>0</v>
      </c>
      <c r="CU27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655</v>
      </c>
      <c r="CW274" s="890">
        <f>WWWW[[#This Row],[HRP1]]/500</f>
        <v>1.31</v>
      </c>
      <c r="CX274" s="895">
        <f>1-WWWW[[#This Row],[% Equitable and continuous access to sufficient quantity of domestic water]]</f>
        <v>0</v>
      </c>
      <c r="CY274" s="890">
        <f>WWWW[[#This Row],[%equitable and continuous access to sufficient quantity of safe drinking and domestic water''s GAP]]*WWWW[[#This Row],[Total PoP ]]</f>
        <v>0</v>
      </c>
      <c r="CZ274" s="893">
        <f>IF(WWWW[[#This Row],[Total required water points]]-WWWW[[#This Row],['#Water points coverage]]&lt;0,0,WWWW[[#This Row],[Total required water points]]-WWWW[[#This Row],['#Water points coverage]])</f>
        <v>0</v>
      </c>
      <c r="DA274" s="893">
        <f>ROUND(IF(WWWW[[#This Row],[Total PoP ]]&lt;500,1,WWWW[[#This Row],[Total PoP ]]/500),0)</f>
        <v>1</v>
      </c>
      <c r="DB274" s="893">
        <f>(WWWW[[#This Row],['#_Constructed latrines_by_WASHAgencies]]+WWWW[[#This Row],['#_Non Cluster partner latrines]])-WWWW[[#This Row],['#_Non-functional latrines]]</f>
        <v>18</v>
      </c>
      <c r="DC274" s="631">
        <f>WWWW[[#This Row],[HRP2]]/WWWW[[#This Row],[Total PoP ]]</f>
        <v>0.54961832061068705</v>
      </c>
      <c r="DD27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27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4" s="424">
        <f>IF(WWWW[[#This Row],['# of functional latrines in THF supported by WASH partners during the reporting period2]]="",0,WWWW[[#This Row],['# of functional latrines in THF supported by WASH partners during the reporting period2]]*50)</f>
        <v>0</v>
      </c>
      <c r="DH274" s="893">
        <f>ROUND(IF(WWWW[[#This Row],[Location Type 1]]="camp",WWWW[[#This Row],[Total PoP ]]/20,IF(WWWW[[#This Row],[Location Type 1]]="Temporary Location",WWWW[[#This Row],[Total PoP ]]/50,(WWWW[[#This Row],[Total PoP ]]/6))),0)</f>
        <v>33</v>
      </c>
      <c r="DI274" s="893">
        <f>IF(WWWW[[#This Row],[Total required Latrines]]-(WWWW[[#This Row],['#_Constructed latrines_by_WASHAgencies]]+WWWW[[#This Row],['#_Non Cluster partner latrines]])&lt;0,0,WWWW[[#This Row],[Total required Latrines]]-(WWWW[[#This Row],['#_Constructed latrines_by_WASHAgencies]]+WWWW[[#This Row],['#_Non Cluster partner latrines]]))</f>
        <v>15</v>
      </c>
      <c r="DJ274" s="895">
        <f>1-WWWW[[#This Row],[% people access to functioning Latrine]]</f>
        <v>0.45038167938931295</v>
      </c>
      <c r="DK274" s="894">
        <f>IF(OR(WWWW[[#This Row],['#_Non-functional latrines]]="",WWWW[[#This Row],['#_Non-functional latrines]]=0),0,WWWW[[#This Row],['#_Non-functional latrines]]/(WWWW[[#This Row],['#_Constructed latrines_by_WASHAgencies]]+WWWW[[#This Row],['#_Non Cluster partner latrines]]))</f>
        <v>0</v>
      </c>
      <c r="DL274" s="890">
        <f>IF(500*(WWWW[[#This Row],['#_male hygiene promoters]]+WWWW[[#This Row],['#_female hygiene promoters]])&gt;WWWW[[#This Row],[Total PoP ]],WWWW[[#This Row],[Total PoP ]],500*(WWWW[[#This Row],['#_male hygiene promoters]]+WWWW[[#This Row],['#_female hygiene promoters]]))</f>
        <v>655</v>
      </c>
      <c r="DM27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655</v>
      </c>
      <c r="DN27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140.4975</v>
      </c>
      <c r="DO274" s="893">
        <f>IF(WWWW[[#This Row],['# People with access to soap]]&gt;WWWW[[#This Row],['# People with access to Sanity Pads]],WWWW[[#This Row],['# People with access to soap]],WWWW[[#This Row],['# People with access to Sanity Pads]])</f>
        <v>655</v>
      </c>
      <c r="DP274" s="893">
        <f>IF(WWWW[[#This Row],['# people reached by regular dedicated hygiene promotion_5]]&gt;WWWW[[#This Row],['# People received regular supply of hygiene items_6]],WWWW[[#This Row],['# people reached by regular dedicated hygiene promotion_5]],WWWW[[#This Row],['# People received regular supply of hygiene items_6]])</f>
        <v>655</v>
      </c>
      <c r="DQ274" s="895">
        <f>IF(WWWW[[#This Row],[HRP3]]/WWWW[[#This Row],[Total PoP ]]&gt;1,1,WWWW[[#This Row],[HRP3]]/WWWW[[#This Row],[Total PoP ]])</f>
        <v>1</v>
      </c>
      <c r="DR274" s="894">
        <f>1-WWWW[[#This Row],[Hygiene Coverage%]]</f>
        <v>0</v>
      </c>
      <c r="DS274" s="892">
        <f>WWWW[[#This Row],['# people reached by regular dedicated hygiene promotion_5]]/WWWW[[#This Row],[Total PoP ]]</f>
        <v>1</v>
      </c>
      <c r="DT27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7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0.90643548387096773</v>
      </c>
      <c r="DV274" s="893">
        <f>WWWW[[#This Row],['#_Constructed/Existing hand washing stations]]-WWWW[[#This Row],['#_Non-Functional_hand_washing_stations]]</f>
        <v>3</v>
      </c>
      <c r="DW274" s="890">
        <f>IF(WWWW[[#This Row],['# Functional hand washing stations during reporting period]]*20&gt;WWWW[[#This Row],[Total HH]],WWWW[[#This Row],[Total HH]],WWWW[[#This Row],['# Functional hand washing stations during reporting period]]*20)</f>
        <v>60</v>
      </c>
      <c r="DX274" s="890">
        <f>IF(WWWW[[#This Row],[Is sufficient soap available for TLS? (Yes/No)]]="yes",WWWW[[#This Row],['#_Constructed/Existing hand washing stations at TLS/CFS/THF]],0)</f>
        <v>0</v>
      </c>
      <c r="DY274" s="428">
        <f>IF(WWWW[[#This Row],['# Functional hand washing stations during reporting period]]*100&gt;WWWW[[#This Row],[Total PoP ]],WWWW[[#This Row],[Total PoP ]],WWWW[[#This Row],['# Functional hand washing stations during reporting period]]*100)</f>
        <v>300</v>
      </c>
      <c r="DZ274" s="428" t="str">
        <f>IF(OR(WWWW[[#This Row],['#_students at TLS_CFS]]="",WWWW[[#This Row],['#_students at TLS_CFS]]=0),"No","Yes")</f>
        <v>No</v>
      </c>
      <c r="EA27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4" s="886" t="str">
        <f>VLOOKUP(WWWW[[#This Row],[Site Name]],SiteDB6[[Site Name]:[CCCM Management]],6,FALSE)</f>
        <v>Yes</v>
      </c>
      <c r="EF274" s="886" t="str">
        <f>VLOOKUP(WWWW[[#This Row],[Site Name]],SiteDB6[[Site Name]:[CCCM Focal Agency]],7,FALSE)</f>
        <v>KBC-NSS</v>
      </c>
      <c r="EG274" s="886" t="str">
        <f>VLOOKUP(WWWW[[#This Row],[Site Name]],SiteDB6[[Site Name]:[Location Type 1]],9,FALSE)</f>
        <v>Camp</v>
      </c>
      <c r="EH274" s="886" t="str">
        <f>VLOOKUP(WWWW[[#This Row],[Site Name]],SiteDB6[[Site Name]:[Type of Accommodation]],10,FALSE)</f>
        <v>Camp</v>
      </c>
      <c r="EI274" s="886" t="str">
        <f>VLOOKUP(WWWW[[#This Row],[Site Name]],SiteDB6[[Site Name]:[Ethnic or GCA/NGCA]],11,FALSE)</f>
        <v>GCA</v>
      </c>
      <c r="EJ274" s="886">
        <f>VLOOKUP(WWWW[[#This Row],[Site Name]],SiteDB6[[Site Name]:[Lat]],12,FALSE)</f>
        <v>23.83013</v>
      </c>
      <c r="EK274" s="886">
        <f>VLOOKUP(WWWW[[#This Row],[Site Name]],SiteDB6[[Site Name]:[Long]],13,FALSE)</f>
        <v>97.589979999999997</v>
      </c>
      <c r="EL274" s="886" t="str">
        <f>VLOOKUP(WWWW[[#This Row],[Site Name]],SiteDB6[[Site Name]:[Pcode]],3,FALSE)</f>
        <v>MMR001CMP133</v>
      </c>
      <c r="EM274" s="891" t="str">
        <f t="shared" si="4"/>
        <v>Covered</v>
      </c>
      <c r="EN274" s="891"/>
      <c r="EO274" s="886">
        <f>VLOOKUP(WWWW[[#This Row],[Site Name]],SiteDB6[[Site Name]:[Pop
(Kachin/Shan-CCCM as of July 2021)]],16,FALSE)</f>
        <v>132</v>
      </c>
      <c r="EP274" s="886">
        <f>VLOOKUP(WWWW[[#This Row],[Site Name]],SiteDB6[[Site Name]:[Pop
(Kachin/Shan-CCCM as of July 2021)]],17,FALSE)</f>
        <v>630</v>
      </c>
    </row>
    <row r="275" spans="1:146" hidden="1">
      <c r="A275" s="884" t="s">
        <v>2764</v>
      </c>
      <c r="B275" s="884" t="s">
        <v>2730</v>
      </c>
      <c r="C275" s="885" t="s">
        <v>2730</v>
      </c>
      <c r="D275" s="885" t="s">
        <v>2731</v>
      </c>
      <c r="E275" s="885" t="s">
        <v>37</v>
      </c>
      <c r="F275" s="885" t="s">
        <v>38</v>
      </c>
      <c r="G275" s="591" t="str">
        <f>VLOOKUP(WWWW[[#This Row],[Site Name]],SiteDB6[[Site Name]:[Location Type]],8,FALSE)</f>
        <v>Camp</v>
      </c>
      <c r="H275" s="885" t="s">
        <v>300</v>
      </c>
      <c r="I275" s="887">
        <v>119</v>
      </c>
      <c r="J275" s="887">
        <v>538</v>
      </c>
      <c r="K275" s="588" t="s">
        <v>3033</v>
      </c>
      <c r="L275" s="589" t="s">
        <v>3034</v>
      </c>
      <c r="M275" s="887"/>
      <c r="N275" s="887">
        <v>2</v>
      </c>
      <c r="O275" s="887"/>
      <c r="P275" s="887"/>
      <c r="Q275" s="890" t="s">
        <v>41</v>
      </c>
      <c r="R275" s="887">
        <v>3</v>
      </c>
      <c r="S275" s="887">
        <v>4</v>
      </c>
      <c r="T275" s="448">
        <v>3</v>
      </c>
      <c r="U275" s="887">
        <v>1</v>
      </c>
      <c r="V275" s="887">
        <v>1</v>
      </c>
      <c r="W275" s="887"/>
      <c r="X275" s="887">
        <v>2</v>
      </c>
      <c r="Y275" s="887"/>
      <c r="Z275" s="887"/>
      <c r="AA275" s="887">
        <v>1</v>
      </c>
      <c r="AB275" s="887"/>
      <c r="AC275" s="887">
        <v>1</v>
      </c>
      <c r="AD275" s="887"/>
      <c r="AE275" s="887"/>
      <c r="AF275" s="887"/>
      <c r="AG275" s="887"/>
      <c r="AH275" s="887"/>
      <c r="AI275" s="887"/>
      <c r="AJ275" s="887"/>
      <c r="AK275" s="887"/>
      <c r="AL275" s="887"/>
      <c r="AM275" s="887"/>
      <c r="AN275" s="887"/>
      <c r="AO275" s="448"/>
      <c r="AP275" s="891"/>
      <c r="AQ275" s="887">
        <v>29</v>
      </c>
      <c r="AR275" s="887"/>
      <c r="AS275" s="892"/>
      <c r="AT275" s="887">
        <v>2</v>
      </c>
      <c r="AU275" s="887"/>
      <c r="AV275" s="887"/>
      <c r="AW275" s="887"/>
      <c r="AX275" s="887"/>
      <c r="AY275" s="886" t="s">
        <v>140</v>
      </c>
      <c r="AZ275" s="891" t="s">
        <v>140</v>
      </c>
      <c r="BA275" s="887"/>
      <c r="BB275" s="887"/>
      <c r="BC275" s="887"/>
      <c r="BD275" s="448"/>
      <c r="BE275" s="448"/>
      <c r="BF275" s="886"/>
      <c r="BG275" s="887">
        <v>3</v>
      </c>
      <c r="BH275" s="887"/>
      <c r="BI275" s="887"/>
      <c r="BJ275" s="887">
        <v>2</v>
      </c>
      <c r="BK275" s="887"/>
      <c r="BL275" s="887"/>
      <c r="BM275" s="887">
        <v>2</v>
      </c>
      <c r="BN275" s="887">
        <v>119</v>
      </c>
      <c r="BO275" s="887">
        <v>115.401</v>
      </c>
      <c r="BP275" s="886" t="s">
        <v>41</v>
      </c>
      <c r="BQ275" s="893">
        <v>100</v>
      </c>
      <c r="BR275" s="892"/>
      <c r="BS275" s="886" t="s">
        <v>3035</v>
      </c>
      <c r="BT275" s="423"/>
      <c r="BU275" s="423"/>
      <c r="BV275" s="425"/>
      <c r="BW275" s="423">
        <v>0.01</v>
      </c>
      <c r="BX275" s="448"/>
      <c r="BY275" s="448"/>
      <c r="BZ275" s="448"/>
      <c r="CA275" s="448"/>
      <c r="CB275" s="448"/>
      <c r="CC275" s="777"/>
      <c r="CD275" s="448"/>
      <c r="CE275" s="894" t="str">
        <f>IFERROR(WWWW[[#This Row],['#_Water sources passed]]/WWWW[[#This Row],['#_Water sources tested for fecal coliform ]],"no test")</f>
        <v>no test</v>
      </c>
      <c r="CF275" s="892" t="str">
        <f>IFERROR(WWWW[[#This Row],['#_Household passed]]/WWWW[[#This Row],['#_Household water samples tested for fecal coliform]],"no test")</f>
        <v>no test</v>
      </c>
      <c r="CG275" s="893" t="str">
        <f>IF(AND(WWWW[[#This Row],[% of water sources passed]]="no test",WWWW[[#This Row],[% Household passed]]="no test"),"No Test","Tested")</f>
        <v>No Test</v>
      </c>
      <c r="CH275" s="893">
        <f>WWWW[[#This Row],['#_Constructed/existing protected hand dug well]]-WWWW[[#This Row],['#_Non-functional protected hand dug well]]</f>
        <v>2</v>
      </c>
      <c r="CI275" s="893">
        <f>(WWWW[[#This Row],['#_Constructed/Existing tube wells/boreholes/handpumps_WASH_agency]]+WWWW[[#This Row],['#_Non-Cluster partner water tube-wells/boreholes/handpumps]])-WWWW[[#This Row],['#_Non-functional tube wells/boreholes/handpumps]]</f>
        <v>2</v>
      </c>
      <c r="CJ275" s="893">
        <f>WWWW[[#This Row],['#_Constructed/Existingwater storage tank with gravity fed reticulation system]]-WWWW[[#This Row],['#_Non-functional storage tank gravity fed reticulation system]]</f>
        <v>1</v>
      </c>
      <c r="CK275" s="893">
        <f>(WWWW[[#This Row],['#_Water_Liters_supplied_by_Water boating or water trucking]]/90)/15</f>
        <v>0</v>
      </c>
      <c r="CL275" s="893">
        <f>WWWW[[#This Row],['#_Water_Liters_from_Constructed/Existing water distribution system from river or natural spring]]/90/15</f>
        <v>0</v>
      </c>
      <c r="CM275" s="424">
        <f>IF(WWWW[[#This Row],['#_of water points in TLS/CFS]]*500&gt;WWWW[[#This Row],[Total PoP ]],WWWW[[#This Row],[Total PoP ]],WWWW[[#This Row],['#_of water points in TLS/CFS]]*500)</f>
        <v>0</v>
      </c>
      <c r="CN275" s="424">
        <f>IF(WWWW[[#This Row],['#_of water points in THF]]*500&gt;WWWW[[#This Row],[Total PoP ]],WWWW[[#This Row],[Total PoP ]],WWWW[[#This Row],['#_of water points in THF]]*500)</f>
        <v>0</v>
      </c>
      <c r="CO27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5" s="892">
        <f>IF(WWWW[[#This Row],[Location Type 1]]="Village",WWWW[[#This Row],[Access to safe drinking water for Village]],WWWW[[#This Row],[Access to safe drinking water for Camp]])</f>
        <v>1</v>
      </c>
      <c r="CR275" s="890">
        <f>WWWW[[#This Row],[%Equitable and continuous access to sufficient quantity of safe drinking water]]*WWWW[[#This Row],[Total PoP ]]</f>
        <v>538</v>
      </c>
      <c r="CS275" s="892">
        <f>IF((WWWW[[#This Row],['#_Constructed/Existing protected/fenced ponds]]*250)/WWWW[[#This Row],[Total PoP ]]&gt;1,1,(WWWW[[#This Row],['#_Constructed/Existing protected/fenced ponds]]*250)/WWWW[[#This Row],[Total PoP ]])</f>
        <v>0</v>
      </c>
      <c r="CT275" s="890">
        <f>WWWW[[#This Row],[% Access to unimproved water points]]*WWWW[[#This Row],[Total PoP ]]</f>
        <v>0</v>
      </c>
      <c r="CU27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538</v>
      </c>
      <c r="CW275" s="890">
        <f>WWWW[[#This Row],[HRP1]]/500</f>
        <v>1.0760000000000001</v>
      </c>
      <c r="CX275" s="895">
        <f>1-WWWW[[#This Row],[% Equitable and continuous access to sufficient quantity of domestic water]]</f>
        <v>0</v>
      </c>
      <c r="CY275" s="890">
        <f>WWWW[[#This Row],[%equitable and continuous access to sufficient quantity of safe drinking and domestic water''s GAP]]*WWWW[[#This Row],[Total PoP ]]</f>
        <v>0</v>
      </c>
      <c r="CZ275" s="893">
        <f>IF(WWWW[[#This Row],[Total required water points]]-WWWW[[#This Row],['#Water points coverage]]&lt;0,0,WWWW[[#This Row],[Total required water points]]-WWWW[[#This Row],['#Water points coverage]])</f>
        <v>0</v>
      </c>
      <c r="DA275" s="893">
        <f>ROUND(IF(WWWW[[#This Row],[Total PoP ]]&lt;500,1,WWWW[[#This Row],[Total PoP ]]/500),0)</f>
        <v>1</v>
      </c>
      <c r="DB275" s="893">
        <f>(WWWW[[#This Row],['#_Constructed latrines_by_WASHAgencies]]+WWWW[[#This Row],['#_Non Cluster partner latrines]])-WWWW[[#This Row],['#_Non-functional latrines]]</f>
        <v>27</v>
      </c>
      <c r="DC275" s="631">
        <f>WWWW[[#This Row],[HRP2]]/WWWW[[#This Row],[Total PoP ]]</f>
        <v>1</v>
      </c>
      <c r="DD27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538</v>
      </c>
      <c r="DE27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5" s="424">
        <f>IF(WWWW[[#This Row],['# of functional latrines in THF supported by WASH partners during the reporting period2]]="",0,WWWW[[#This Row],['# of functional latrines in THF supported by WASH partners during the reporting period2]]*50)</f>
        <v>0</v>
      </c>
      <c r="DH275" s="893">
        <f>ROUND(IF(WWWW[[#This Row],[Location Type 1]]="camp",WWWW[[#This Row],[Total PoP ]]/20,IF(WWWW[[#This Row],[Location Type 1]]="Temporary Location",WWWW[[#This Row],[Total PoP ]]/50,(WWWW[[#This Row],[Total PoP ]]/6))),0)</f>
        <v>27</v>
      </c>
      <c r="DI275" s="893">
        <f>IF(WWWW[[#This Row],[Total required Latrines]]-(WWWW[[#This Row],['#_Constructed latrines_by_WASHAgencies]]+WWWW[[#This Row],['#_Non Cluster partner latrines]])&lt;0,0,WWWW[[#This Row],[Total required Latrines]]-(WWWW[[#This Row],['#_Constructed latrines_by_WASHAgencies]]+WWWW[[#This Row],['#_Non Cluster partner latrines]]))</f>
        <v>0</v>
      </c>
      <c r="DJ275" s="895">
        <f>1-WWWW[[#This Row],[% people access to functioning Latrine]]</f>
        <v>0</v>
      </c>
      <c r="DK275" s="894">
        <f>IF(OR(WWWW[[#This Row],['#_Non-functional latrines]]="",WWWW[[#This Row],['#_Non-functional latrines]]=0),0,WWWW[[#This Row],['#_Non-functional latrines]]/(WWWW[[#This Row],['#_Constructed latrines_by_WASHAgencies]]+WWWW[[#This Row],['#_Non Cluster partner latrines]]))</f>
        <v>6.8965517241379309E-2</v>
      </c>
      <c r="DL275" s="890">
        <f>IF(500*(WWWW[[#This Row],['#_male hygiene promoters]]+WWWW[[#This Row],['#_female hygiene promoters]])&gt;WWWW[[#This Row],[Total PoP ]],WWWW[[#This Row],[Total PoP ]],500*(WWWW[[#This Row],['#_male hygiene promoters]]+WWWW[[#This Row],['#_female hygiene promoters]]))</f>
        <v>538</v>
      </c>
      <c r="DM27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538</v>
      </c>
      <c r="DN27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115.401</v>
      </c>
      <c r="DO275" s="893">
        <f>IF(WWWW[[#This Row],['# People with access to soap]]&gt;WWWW[[#This Row],['# People with access to Sanity Pads]],WWWW[[#This Row],['# People with access to soap]],WWWW[[#This Row],['# People with access to Sanity Pads]])</f>
        <v>538</v>
      </c>
      <c r="DP275" s="893">
        <f>IF(WWWW[[#This Row],['# people reached by regular dedicated hygiene promotion_5]]&gt;WWWW[[#This Row],['# People received regular supply of hygiene items_6]],WWWW[[#This Row],['# people reached by regular dedicated hygiene promotion_5]],WWWW[[#This Row],['# People received regular supply of hygiene items_6]])</f>
        <v>538</v>
      </c>
      <c r="DQ275" s="895">
        <f>IF(WWWW[[#This Row],[HRP3]]/WWWW[[#This Row],[Total PoP ]]&gt;1,1,WWWW[[#This Row],[HRP3]]/WWWW[[#This Row],[Total PoP ]])</f>
        <v>1</v>
      </c>
      <c r="DR275" s="894">
        <f>1-WWWW[[#This Row],[Hygiene Coverage%]]</f>
        <v>0</v>
      </c>
      <c r="DS275" s="892">
        <f>WWWW[[#This Row],['# people reached by regular dedicated hygiene promotion_5]]/WWWW[[#This Row],[Total PoP ]]</f>
        <v>1</v>
      </c>
      <c r="DT27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7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0.96975630252100842</v>
      </c>
      <c r="DV275" s="893">
        <f>WWWW[[#This Row],['#_Constructed/Existing hand washing stations]]-WWWW[[#This Row],['#_Non-Functional_hand_washing_stations]]</f>
        <v>3</v>
      </c>
      <c r="DW275" s="890">
        <f>IF(WWWW[[#This Row],['# Functional hand washing stations during reporting period]]*20&gt;WWWW[[#This Row],[Total HH]],WWWW[[#This Row],[Total HH]],WWWW[[#This Row],['# Functional hand washing stations during reporting period]]*20)</f>
        <v>60</v>
      </c>
      <c r="DX275" s="890">
        <f>IF(WWWW[[#This Row],[Is sufficient soap available for TLS? (Yes/No)]]="yes",WWWW[[#This Row],['#_Constructed/Existing hand washing stations at TLS/CFS/THF]],0)</f>
        <v>0</v>
      </c>
      <c r="DY275" s="428">
        <f>IF(WWWW[[#This Row],['# Functional hand washing stations during reporting period]]*100&gt;WWWW[[#This Row],[Total PoP ]],WWWW[[#This Row],[Total PoP ]],WWWW[[#This Row],['# Functional hand washing stations during reporting period]]*100)</f>
        <v>300</v>
      </c>
      <c r="DZ275" s="428" t="str">
        <f>IF(OR(WWWW[[#This Row],['#_students at TLS_CFS]]="",WWWW[[#This Row],['#_students at TLS_CFS]]=0),"No","Yes")</f>
        <v>No</v>
      </c>
      <c r="EA27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5" s="886" t="str">
        <f>VLOOKUP(WWWW[[#This Row],[Site Name]],SiteDB6[[Site Name]:[CCCM Management]],6,FALSE)</f>
        <v>Yes</v>
      </c>
      <c r="EF275" s="886" t="str">
        <f>VLOOKUP(WWWW[[#This Row],[Site Name]],SiteDB6[[Site Name]:[CCCM Focal Agency]],7,FALSE)</f>
        <v>KBC-NSS</v>
      </c>
      <c r="EG275" s="886" t="str">
        <f>VLOOKUP(WWWW[[#This Row],[Site Name]],SiteDB6[[Site Name]:[Location Type 1]],9,FALSE)</f>
        <v>Camp</v>
      </c>
      <c r="EH275" s="886" t="str">
        <f>VLOOKUP(WWWW[[#This Row],[Site Name]],SiteDB6[[Site Name]:[Type of Accommodation]],10,FALSE)</f>
        <v>Camp</v>
      </c>
      <c r="EI275" s="886" t="str">
        <f>VLOOKUP(WWWW[[#This Row],[Site Name]],SiteDB6[[Site Name]:[Ethnic or GCA/NGCA]],11,FALSE)</f>
        <v>GCA</v>
      </c>
      <c r="EJ275" s="886">
        <f>VLOOKUP(WWWW[[#This Row],[Site Name]],SiteDB6[[Site Name]:[Lat]],12,FALSE)</f>
        <v>23.829599000000002</v>
      </c>
      <c r="EK275" s="886">
        <f>VLOOKUP(WWWW[[#This Row],[Site Name]],SiteDB6[[Site Name]:[Long]],13,FALSE)</f>
        <v>97.590767</v>
      </c>
      <c r="EL275" s="886" t="str">
        <f>VLOOKUP(WWWW[[#This Row],[Site Name]],SiteDB6[[Site Name]:[Pcode]],3,FALSE)</f>
        <v>MMR001CMP230</v>
      </c>
      <c r="EM275" s="891" t="str">
        <f t="shared" si="4"/>
        <v>Covered</v>
      </c>
      <c r="EN275" s="891"/>
      <c r="EO275" s="886">
        <f>VLOOKUP(WWWW[[#This Row],[Site Name]],SiteDB6[[Site Name]:[Pop
(Kachin/Shan-CCCM as of July 2021)]],16,FALSE)</f>
        <v>155</v>
      </c>
      <c r="EP275" s="886">
        <f>VLOOKUP(WWWW[[#This Row],[Site Name]],SiteDB6[[Site Name]:[Pop
(Kachin/Shan-CCCM as of July 2021)]],17,FALSE)</f>
        <v>677</v>
      </c>
    </row>
    <row r="276" spans="1:146" hidden="1">
      <c r="A276" s="884" t="s">
        <v>2764</v>
      </c>
      <c r="B276" s="884" t="s">
        <v>2730</v>
      </c>
      <c r="C276" s="885" t="s">
        <v>2730</v>
      </c>
      <c r="D276" s="885" t="s">
        <v>2731</v>
      </c>
      <c r="E276" s="885" t="s">
        <v>37</v>
      </c>
      <c r="F276" s="885" t="s">
        <v>38</v>
      </c>
      <c r="G276" s="591" t="str">
        <f>VLOOKUP(WWWW[[#This Row],[Site Name]],SiteDB6[[Site Name]:[Location Type]],8,FALSE)</f>
        <v>Camp</v>
      </c>
      <c r="H276" s="885" t="s">
        <v>301</v>
      </c>
      <c r="I276" s="887">
        <v>454</v>
      </c>
      <c r="J276" s="887">
        <v>2354</v>
      </c>
      <c r="K276" s="888">
        <v>44409</v>
      </c>
      <c r="L276" s="889">
        <v>44774</v>
      </c>
      <c r="M276" s="887"/>
      <c r="N276" s="887">
        <v>3</v>
      </c>
      <c r="O276" s="887"/>
      <c r="P276" s="887"/>
      <c r="Q276" s="890" t="s">
        <v>41</v>
      </c>
      <c r="R276" s="887">
        <v>4</v>
      </c>
      <c r="S276" s="887">
        <v>3</v>
      </c>
      <c r="T276" s="448">
        <v>2</v>
      </c>
      <c r="U276" s="887">
        <v>1</v>
      </c>
      <c r="V276" s="887">
        <v>1</v>
      </c>
      <c r="W276" s="887"/>
      <c r="X276" s="887">
        <v>1</v>
      </c>
      <c r="Y276" s="887"/>
      <c r="Z276" s="887"/>
      <c r="AA276" s="887">
        <v>1</v>
      </c>
      <c r="AB276" s="887"/>
      <c r="AC276" s="887">
        <v>1</v>
      </c>
      <c r="AD276" s="887"/>
      <c r="AE276" s="887"/>
      <c r="AF276" s="887"/>
      <c r="AG276" s="887"/>
      <c r="AH276" s="887"/>
      <c r="AI276" s="887"/>
      <c r="AJ276" s="887"/>
      <c r="AK276" s="887"/>
      <c r="AL276" s="887"/>
      <c r="AM276" s="887"/>
      <c r="AN276" s="887"/>
      <c r="AO276" s="448"/>
      <c r="AP276" s="891"/>
      <c r="AQ276" s="887">
        <v>40</v>
      </c>
      <c r="AR276" s="887"/>
      <c r="AS276" s="892"/>
      <c r="AT276" s="887">
        <v>3</v>
      </c>
      <c r="AU276" s="887"/>
      <c r="AV276" s="887"/>
      <c r="AW276" s="887"/>
      <c r="AX276" s="887"/>
      <c r="AY276" s="886" t="s">
        <v>140</v>
      </c>
      <c r="AZ276" s="891" t="s">
        <v>140</v>
      </c>
      <c r="BA276" s="887"/>
      <c r="BB276" s="887"/>
      <c r="BC276" s="887"/>
      <c r="BD276" s="448"/>
      <c r="BE276" s="448"/>
      <c r="BF276" s="886"/>
      <c r="BG276" s="887">
        <v>1</v>
      </c>
      <c r="BH276" s="887"/>
      <c r="BI276" s="887"/>
      <c r="BJ276" s="887">
        <v>3</v>
      </c>
      <c r="BK276" s="887"/>
      <c r="BL276" s="887"/>
      <c r="BM276" s="887">
        <v>2</v>
      </c>
      <c r="BN276" s="887">
        <v>454</v>
      </c>
      <c r="BO276" s="887">
        <v>504.93300000000005</v>
      </c>
      <c r="BP276" s="886" t="s">
        <v>41</v>
      </c>
      <c r="BQ276" s="893">
        <v>100</v>
      </c>
      <c r="BR276" s="892"/>
      <c r="BS276" s="886" t="s">
        <v>3035</v>
      </c>
      <c r="BT276" s="423"/>
      <c r="BU276" s="423"/>
      <c r="BV276" s="425"/>
      <c r="BW276" s="423">
        <v>0.01</v>
      </c>
      <c r="BX276" s="448"/>
      <c r="BY276" s="448"/>
      <c r="BZ276" s="448"/>
      <c r="CA276" s="448"/>
      <c r="CB276" s="448"/>
      <c r="CC276" s="777"/>
      <c r="CD276" s="448"/>
      <c r="CE276" s="894" t="str">
        <f>IFERROR(WWWW[[#This Row],['#_Water sources passed]]/WWWW[[#This Row],['#_Water sources tested for fecal coliform ]],"no test")</f>
        <v>no test</v>
      </c>
      <c r="CF276" s="892" t="str">
        <f>IFERROR(WWWW[[#This Row],['#_Household passed]]/WWWW[[#This Row],['#_Household water samples tested for fecal coliform]],"no test")</f>
        <v>no test</v>
      </c>
      <c r="CG276" s="893" t="str">
        <f>IF(AND(WWWW[[#This Row],[% of water sources passed]]="no test",WWWW[[#This Row],[% Household passed]]="no test"),"No Test","Tested")</f>
        <v>No Test</v>
      </c>
      <c r="CH276" s="893">
        <f>WWWW[[#This Row],['#_Constructed/existing protected hand dug well]]-WWWW[[#This Row],['#_Non-functional protected hand dug well]]</f>
        <v>1</v>
      </c>
      <c r="CI276" s="893">
        <f>(WWWW[[#This Row],['#_Constructed/Existing tube wells/boreholes/handpumps_WASH_agency]]+WWWW[[#This Row],['#_Non-Cluster partner water tube-wells/boreholes/handpumps]])-WWWW[[#This Row],['#_Non-functional tube wells/boreholes/handpumps]]</f>
        <v>1</v>
      </c>
      <c r="CJ276" s="893">
        <f>WWWW[[#This Row],['#_Constructed/Existingwater storage tank with gravity fed reticulation system]]-WWWW[[#This Row],['#_Non-functional storage tank gravity fed reticulation system]]</f>
        <v>1</v>
      </c>
      <c r="CK276" s="893">
        <f>(WWWW[[#This Row],['#_Water_Liters_supplied_by_Water boating or water trucking]]/90)/15</f>
        <v>0</v>
      </c>
      <c r="CL276" s="893">
        <f>WWWW[[#This Row],['#_Water_Liters_from_Constructed/Existing water distribution system from river or natural spring]]/90/15</f>
        <v>0</v>
      </c>
      <c r="CM276" s="424">
        <f>IF(WWWW[[#This Row],['#_of water points in TLS/CFS]]*500&gt;WWWW[[#This Row],[Total PoP ]],WWWW[[#This Row],[Total PoP ]],WWWW[[#This Row],['#_of water points in TLS/CFS]]*500)</f>
        <v>0</v>
      </c>
      <c r="CN276" s="424">
        <f>IF(WWWW[[#This Row],['#_of water points in THF]]*500&gt;WWWW[[#This Row],[Total PoP ]],WWWW[[#This Row],[Total PoP ]],WWWW[[#This Row],['#_of water points in THF]]*500)</f>
        <v>0</v>
      </c>
      <c r="CO27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0.41064854148966295</v>
      </c>
      <c r="CP27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0.24072500708014724</v>
      </c>
      <c r="CQ276" s="892">
        <f>IF(WWWW[[#This Row],[Location Type 1]]="Village",WWWW[[#This Row],[Access to safe drinking water for Village]],WWWW[[#This Row],[Access to safe drinking water for Camp]])</f>
        <v>0.41064854148966295</v>
      </c>
      <c r="CR276" s="890">
        <f>WWWW[[#This Row],[%Equitable and continuous access to sufficient quantity of safe drinking water]]*WWWW[[#This Row],[Total PoP ]]</f>
        <v>966.66666666666663</v>
      </c>
      <c r="CS276" s="892">
        <f>IF((WWWW[[#This Row],['#_Constructed/Existing protected/fenced ponds]]*250)/WWWW[[#This Row],[Total PoP ]]&gt;1,1,(WWWW[[#This Row],['#_Constructed/Existing protected/fenced ponds]]*250)/WWWW[[#This Row],[Total PoP ]])</f>
        <v>0</v>
      </c>
      <c r="CT276" s="890">
        <f>WWWW[[#This Row],[% Access to unimproved water points]]*WWWW[[#This Row],[Total PoP ]]</f>
        <v>0</v>
      </c>
      <c r="CU27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0.41064854148966295</v>
      </c>
      <c r="CV27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966.66666666666663</v>
      </c>
      <c r="CW276" s="890">
        <f>WWWW[[#This Row],[HRP1]]/500</f>
        <v>1.9333333333333333</v>
      </c>
      <c r="CX276" s="895">
        <f>1-WWWW[[#This Row],[% Equitable and continuous access to sufficient quantity of domestic water]]</f>
        <v>0.58935145851033699</v>
      </c>
      <c r="CY276" s="890">
        <f>WWWW[[#This Row],[%equitable and continuous access to sufficient quantity of safe drinking and domestic water''s GAP]]*WWWW[[#This Row],[Total PoP ]]</f>
        <v>1387.3333333333333</v>
      </c>
      <c r="CZ276" s="893">
        <f>IF(WWWW[[#This Row],[Total required water points]]-WWWW[[#This Row],['#Water points coverage]]&lt;0,0,WWWW[[#This Row],[Total required water points]]-WWWW[[#This Row],['#Water points coverage]])</f>
        <v>3.0666666666666664</v>
      </c>
      <c r="DA276" s="893">
        <f>ROUND(IF(WWWW[[#This Row],[Total PoP ]]&lt;500,1,WWWW[[#This Row],[Total PoP ]]/500),0)</f>
        <v>5</v>
      </c>
      <c r="DB276" s="893">
        <f>(WWWW[[#This Row],['#_Constructed latrines_by_WASHAgencies]]+WWWW[[#This Row],['#_Non Cluster partner latrines]])-WWWW[[#This Row],['#_Non-functional latrines]]</f>
        <v>37</v>
      </c>
      <c r="DC276" s="631">
        <f>WWWW[[#This Row],[HRP2]]/WWWW[[#This Row],[Total PoP ]]</f>
        <v>0.3143585386576041</v>
      </c>
      <c r="DD27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740</v>
      </c>
      <c r="DE27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6" s="424">
        <f>IF(WWWW[[#This Row],['# of functional latrines in THF supported by WASH partners during the reporting period2]]="",0,WWWW[[#This Row],['# of functional latrines in THF supported by WASH partners during the reporting period2]]*50)</f>
        <v>0</v>
      </c>
      <c r="DH276" s="893">
        <f>ROUND(IF(WWWW[[#This Row],[Location Type 1]]="camp",WWWW[[#This Row],[Total PoP ]]/20,IF(WWWW[[#This Row],[Location Type 1]]="Temporary Location",WWWW[[#This Row],[Total PoP ]]/50,(WWWW[[#This Row],[Total PoP ]]/6))),0)</f>
        <v>118</v>
      </c>
      <c r="DI276" s="893">
        <f>IF(WWWW[[#This Row],[Total required Latrines]]-(WWWW[[#This Row],['#_Constructed latrines_by_WASHAgencies]]+WWWW[[#This Row],['#_Non Cluster partner latrines]])&lt;0,0,WWWW[[#This Row],[Total required Latrines]]-(WWWW[[#This Row],['#_Constructed latrines_by_WASHAgencies]]+WWWW[[#This Row],['#_Non Cluster partner latrines]]))</f>
        <v>78</v>
      </c>
      <c r="DJ276" s="895">
        <f>1-WWWW[[#This Row],[% people access to functioning Latrine]]</f>
        <v>0.6856414613423959</v>
      </c>
      <c r="DK276" s="894">
        <f>IF(OR(WWWW[[#This Row],['#_Non-functional latrines]]="",WWWW[[#This Row],['#_Non-functional latrines]]=0),0,WWWW[[#This Row],['#_Non-functional latrines]]/(WWWW[[#This Row],['#_Constructed latrines_by_WASHAgencies]]+WWWW[[#This Row],['#_Non Cluster partner latrines]]))</f>
        <v>7.4999999999999997E-2</v>
      </c>
      <c r="DL276" s="890">
        <f>IF(500*(WWWW[[#This Row],['#_male hygiene promoters]]+WWWW[[#This Row],['#_female hygiene promoters]])&gt;WWWW[[#This Row],[Total PoP ]],WWWW[[#This Row],[Total PoP ]],500*(WWWW[[#This Row],['#_male hygiene promoters]]+WWWW[[#This Row],['#_female hygiene promoters]]))</f>
        <v>1000</v>
      </c>
      <c r="DM27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2354</v>
      </c>
      <c r="DN27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504.93300000000005</v>
      </c>
      <c r="DO276" s="893">
        <f>IF(WWWW[[#This Row],['# People with access to soap]]&gt;WWWW[[#This Row],['# People with access to Sanity Pads]],WWWW[[#This Row],['# People with access to soap]],WWWW[[#This Row],['# People with access to Sanity Pads]])</f>
        <v>2354</v>
      </c>
      <c r="DP276" s="893">
        <f>IF(WWWW[[#This Row],['# people reached by regular dedicated hygiene promotion_5]]&gt;WWWW[[#This Row],['# People received regular supply of hygiene items_6]],WWWW[[#This Row],['# people reached by regular dedicated hygiene promotion_5]],WWWW[[#This Row],['# People received regular supply of hygiene items_6]])</f>
        <v>2354</v>
      </c>
      <c r="DQ276" s="895">
        <f>IF(WWWW[[#This Row],[HRP3]]/WWWW[[#This Row],[Total PoP ]]&gt;1,1,WWWW[[#This Row],[HRP3]]/WWWW[[#This Row],[Total PoP ]])</f>
        <v>1</v>
      </c>
      <c r="DR276" s="894">
        <f>1-WWWW[[#This Row],[Hygiene Coverage%]]</f>
        <v>0</v>
      </c>
      <c r="DS276" s="892">
        <f>WWWW[[#This Row],['# people reached by regular dedicated hygiene promotion_5]]/WWWW[[#This Row],[Total PoP ]]</f>
        <v>0.42480883602378927</v>
      </c>
      <c r="DT27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7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76" s="893">
        <f>WWWW[[#This Row],['#_Constructed/Existing hand washing stations]]-WWWW[[#This Row],['#_Non-Functional_hand_washing_stations]]</f>
        <v>1</v>
      </c>
      <c r="DW276" s="890">
        <f>IF(WWWW[[#This Row],['# Functional hand washing stations during reporting period]]*20&gt;WWWW[[#This Row],[Total HH]],WWWW[[#This Row],[Total HH]],WWWW[[#This Row],['# Functional hand washing stations during reporting period]]*20)</f>
        <v>20</v>
      </c>
      <c r="DX276" s="890">
        <f>IF(WWWW[[#This Row],[Is sufficient soap available for TLS? (Yes/No)]]="yes",WWWW[[#This Row],['#_Constructed/Existing hand washing stations at TLS/CFS/THF]],0)</f>
        <v>0</v>
      </c>
      <c r="DY276" s="428">
        <f>IF(WWWW[[#This Row],['# Functional hand washing stations during reporting period]]*100&gt;WWWW[[#This Row],[Total PoP ]],WWWW[[#This Row],[Total PoP ]],WWWW[[#This Row],['# Functional hand washing stations during reporting period]]*100)</f>
        <v>100</v>
      </c>
      <c r="DZ276" s="428" t="str">
        <f>IF(OR(WWWW[[#This Row],['#_students at TLS_CFS]]="",WWWW[[#This Row],['#_students at TLS_CFS]]=0),"No","Yes")</f>
        <v>No</v>
      </c>
      <c r="EA27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6" s="886" t="str">
        <f>VLOOKUP(WWWW[[#This Row],[Site Name]],SiteDB6[[Site Name]:[CCCM Management]],6,FALSE)</f>
        <v>Yes</v>
      </c>
      <c r="EF276" s="886" t="str">
        <f>VLOOKUP(WWWW[[#This Row],[Site Name]],SiteDB6[[Site Name]:[CCCM Focal Agency]],7,FALSE)</f>
        <v>KMSS-BMO</v>
      </c>
      <c r="EG276" s="886" t="str">
        <f>VLOOKUP(WWWW[[#This Row],[Site Name]],SiteDB6[[Site Name]:[Location Type 1]],9,FALSE)</f>
        <v>Camp</v>
      </c>
      <c r="EH276" s="886" t="str">
        <f>VLOOKUP(WWWW[[#This Row],[Site Name]],SiteDB6[[Site Name]:[Type of Accommodation]],10,FALSE)</f>
        <v>Camp</v>
      </c>
      <c r="EI276" s="886" t="str">
        <f>VLOOKUP(WWWW[[#This Row],[Site Name]],SiteDB6[[Site Name]:[Ethnic or GCA/NGCA]],11,FALSE)</f>
        <v>GCA</v>
      </c>
      <c r="EJ276" s="886">
        <f>VLOOKUP(WWWW[[#This Row],[Site Name]],SiteDB6[[Site Name]:[Lat]],12,FALSE)</f>
        <v>23.835319999999999</v>
      </c>
      <c r="EK276" s="886">
        <f>VLOOKUP(WWWW[[#This Row],[Site Name]],SiteDB6[[Site Name]:[Long]],13,FALSE)</f>
        <v>97.578490000000002</v>
      </c>
      <c r="EL276" s="886" t="str">
        <f>VLOOKUP(WWWW[[#This Row],[Site Name]],SiteDB6[[Site Name]:[Pcode]],3,FALSE)</f>
        <v>MMR001CMP132</v>
      </c>
      <c r="EM276" s="891" t="str">
        <f t="shared" si="4"/>
        <v>Covered</v>
      </c>
      <c r="EN276" s="891"/>
      <c r="EO276" s="886">
        <f>VLOOKUP(WWWW[[#This Row],[Site Name]],SiteDB6[[Site Name]:[Pop
(Kachin/Shan-CCCM as of July 2021)]],16,FALSE)</f>
        <v>622</v>
      </c>
      <c r="EP276" s="886">
        <f>VLOOKUP(WWWW[[#This Row],[Site Name]],SiteDB6[[Site Name]:[Pop
(Kachin/Shan-CCCM as of July 2021)]],17,FALSE)</f>
        <v>3302</v>
      </c>
    </row>
    <row r="277" spans="1:146" hidden="1">
      <c r="A277" s="884" t="s">
        <v>2764</v>
      </c>
      <c r="B277" s="884" t="s">
        <v>2730</v>
      </c>
      <c r="C277" s="885" t="s">
        <v>2730</v>
      </c>
      <c r="D277" s="885" t="s">
        <v>2731</v>
      </c>
      <c r="E277" s="885" t="s">
        <v>37</v>
      </c>
      <c r="F277" s="885" t="s">
        <v>38</v>
      </c>
      <c r="G277" s="591" t="str">
        <f>VLOOKUP(WWWW[[#This Row],[Site Name]],SiteDB6[[Site Name]:[Location Type]],8,FALSE)</f>
        <v>Camp</v>
      </c>
      <c r="H277" s="885" t="s">
        <v>302</v>
      </c>
      <c r="I277" s="887">
        <v>142</v>
      </c>
      <c r="J277" s="887">
        <v>737</v>
      </c>
      <c r="K277" s="888">
        <v>44409</v>
      </c>
      <c r="L277" s="889">
        <v>44774</v>
      </c>
      <c r="M277" s="887"/>
      <c r="N277" s="887">
        <v>3</v>
      </c>
      <c r="O277" s="887"/>
      <c r="P277" s="887"/>
      <c r="Q277" s="890" t="s">
        <v>41</v>
      </c>
      <c r="R277" s="887">
        <v>3</v>
      </c>
      <c r="S277" s="887">
        <v>4</v>
      </c>
      <c r="T277" s="448">
        <v>1</v>
      </c>
      <c r="U277" s="887">
        <v>1</v>
      </c>
      <c r="V277" s="887">
        <v>1</v>
      </c>
      <c r="W277" s="887"/>
      <c r="X277" s="887">
        <v>1</v>
      </c>
      <c r="Y277" s="887"/>
      <c r="Z277" s="887"/>
      <c r="AA277" s="887">
        <v>1</v>
      </c>
      <c r="AB277" s="887"/>
      <c r="AC277" s="887">
        <v>1</v>
      </c>
      <c r="AD277" s="887"/>
      <c r="AE277" s="887"/>
      <c r="AF277" s="887"/>
      <c r="AG277" s="887"/>
      <c r="AH277" s="887"/>
      <c r="AI277" s="887"/>
      <c r="AJ277" s="887"/>
      <c r="AK277" s="887"/>
      <c r="AL277" s="887"/>
      <c r="AM277" s="887"/>
      <c r="AN277" s="887"/>
      <c r="AO277" s="448"/>
      <c r="AP277" s="891"/>
      <c r="AQ277" s="887">
        <v>48</v>
      </c>
      <c r="AR277" s="887"/>
      <c r="AS277" s="892"/>
      <c r="AT277" s="887">
        <v>4</v>
      </c>
      <c r="AU277" s="887"/>
      <c r="AV277" s="887"/>
      <c r="AW277" s="887"/>
      <c r="AX277" s="887"/>
      <c r="AY277" s="886" t="s">
        <v>140</v>
      </c>
      <c r="AZ277" s="891" t="s">
        <v>140</v>
      </c>
      <c r="BA277" s="887"/>
      <c r="BB277" s="887"/>
      <c r="BC277" s="887"/>
      <c r="BD277" s="448"/>
      <c r="BE277" s="448"/>
      <c r="BF277" s="886"/>
      <c r="BG277" s="887">
        <v>1</v>
      </c>
      <c r="BH277" s="887"/>
      <c r="BI277" s="887"/>
      <c r="BJ277" s="887">
        <v>1</v>
      </c>
      <c r="BK277" s="887"/>
      <c r="BL277" s="887"/>
      <c r="BM277" s="887">
        <v>2</v>
      </c>
      <c r="BN277" s="887">
        <v>142</v>
      </c>
      <c r="BO277" s="887">
        <v>158.0865</v>
      </c>
      <c r="BP277" s="886" t="s">
        <v>41</v>
      </c>
      <c r="BQ277" s="893">
        <v>100</v>
      </c>
      <c r="BR277" s="892"/>
      <c r="BS277" s="886" t="s">
        <v>3035</v>
      </c>
      <c r="BT277" s="423"/>
      <c r="BU277" s="423"/>
      <c r="BV277" s="425"/>
      <c r="BW277" s="423">
        <v>0.01</v>
      </c>
      <c r="BX277" s="448"/>
      <c r="BY277" s="448"/>
      <c r="BZ277" s="448"/>
      <c r="CA277" s="448"/>
      <c r="CB277" s="448"/>
      <c r="CC277" s="777"/>
      <c r="CD277" s="448"/>
      <c r="CE277" s="894" t="str">
        <f>IFERROR(WWWW[[#This Row],['#_Water sources passed]]/WWWW[[#This Row],['#_Water sources tested for fecal coliform ]],"no test")</f>
        <v>no test</v>
      </c>
      <c r="CF277" s="892" t="str">
        <f>IFERROR(WWWW[[#This Row],['#_Household passed]]/WWWW[[#This Row],['#_Household water samples tested for fecal coliform]],"no test")</f>
        <v>no test</v>
      </c>
      <c r="CG277" s="893" t="str">
        <f>IF(AND(WWWW[[#This Row],[% of water sources passed]]="no test",WWWW[[#This Row],[% Household passed]]="no test"),"No Test","Tested")</f>
        <v>No Test</v>
      </c>
      <c r="CH277" s="893">
        <f>WWWW[[#This Row],['#_Constructed/existing protected hand dug well]]-WWWW[[#This Row],['#_Non-functional protected hand dug well]]</f>
        <v>0</v>
      </c>
      <c r="CI277" s="893">
        <f>(WWWW[[#This Row],['#_Constructed/Existing tube wells/boreholes/handpumps_WASH_agency]]+WWWW[[#This Row],['#_Non-Cluster partner water tube-wells/boreholes/handpumps]])-WWWW[[#This Row],['#_Non-functional tube wells/boreholes/handpumps]]</f>
        <v>1</v>
      </c>
      <c r="CJ277" s="893">
        <f>WWWW[[#This Row],['#_Constructed/Existingwater storage tank with gravity fed reticulation system]]-WWWW[[#This Row],['#_Non-functional storage tank gravity fed reticulation system]]</f>
        <v>1</v>
      </c>
      <c r="CK277" s="893">
        <f>(WWWW[[#This Row],['#_Water_Liters_supplied_by_Water boating or water trucking]]/90)/15</f>
        <v>0</v>
      </c>
      <c r="CL277" s="893">
        <f>WWWW[[#This Row],['#_Water_Liters_from_Constructed/Existing water distribution system from river or natural spring]]/90/15</f>
        <v>0</v>
      </c>
      <c r="CM277" s="424">
        <f>IF(WWWW[[#This Row],['#_of water points in TLS/CFS]]*500&gt;WWWW[[#This Row],[Total PoP ]],WWWW[[#This Row],[Total PoP ]],WWWW[[#This Row],['#_of water points in TLS/CFS]]*500)</f>
        <v>0</v>
      </c>
      <c r="CN277" s="424">
        <f>IF(WWWW[[#This Row],['#_of water points in THF]]*500&gt;WWWW[[#This Row],[Total PoP ]],WWWW[[#This Row],[Total PoP ]],WWWW[[#This Row],['#_of water points in THF]]*500)</f>
        <v>0</v>
      </c>
      <c r="CO27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0.76888285843509718</v>
      </c>
      <c r="CP27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0.42966983265490732</v>
      </c>
      <c r="CQ277" s="892">
        <f>IF(WWWW[[#This Row],[Location Type 1]]="Village",WWWW[[#This Row],[Access to safe drinking water for Village]],WWWW[[#This Row],[Access to safe drinking water for Camp]])</f>
        <v>0.76888285843509718</v>
      </c>
      <c r="CR277" s="890">
        <f>WWWW[[#This Row],[%Equitable and continuous access to sufficient quantity of safe drinking water]]*WWWW[[#This Row],[Total PoP ]]</f>
        <v>566.66666666666663</v>
      </c>
      <c r="CS277" s="892">
        <f>IF((WWWW[[#This Row],['#_Constructed/Existing protected/fenced ponds]]*250)/WWWW[[#This Row],[Total PoP ]]&gt;1,1,(WWWW[[#This Row],['#_Constructed/Existing protected/fenced ponds]]*250)/WWWW[[#This Row],[Total PoP ]])</f>
        <v>0</v>
      </c>
      <c r="CT277" s="890">
        <f>WWWW[[#This Row],[% Access to unimproved water points]]*WWWW[[#This Row],[Total PoP ]]</f>
        <v>0</v>
      </c>
      <c r="CU27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0.76888285843509718</v>
      </c>
      <c r="CV27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566.66666666666663</v>
      </c>
      <c r="CW277" s="890">
        <f>WWWW[[#This Row],[HRP1]]/500</f>
        <v>1.1333333333333333</v>
      </c>
      <c r="CX277" s="895">
        <f>1-WWWW[[#This Row],[% Equitable and continuous access to sufficient quantity of domestic water]]</f>
        <v>0.23111714156490282</v>
      </c>
      <c r="CY277" s="890">
        <f>WWWW[[#This Row],[%equitable and continuous access to sufficient quantity of safe drinking and domestic water''s GAP]]*WWWW[[#This Row],[Total PoP ]]</f>
        <v>170.33333333333337</v>
      </c>
      <c r="CZ277" s="893">
        <f>IF(WWWW[[#This Row],[Total required water points]]-WWWW[[#This Row],['#Water points coverage]]&lt;0,0,WWWW[[#This Row],[Total required water points]]-WWWW[[#This Row],['#Water points coverage]])</f>
        <v>0</v>
      </c>
      <c r="DA277" s="893">
        <f>ROUND(IF(WWWW[[#This Row],[Total PoP ]]&lt;500,1,WWWW[[#This Row],[Total PoP ]]/500),0)</f>
        <v>1</v>
      </c>
      <c r="DB277" s="893">
        <f>(WWWW[[#This Row],['#_Constructed latrines_by_WASHAgencies]]+WWWW[[#This Row],['#_Non Cluster partner latrines]])-WWWW[[#This Row],['#_Non-functional latrines]]</f>
        <v>44</v>
      </c>
      <c r="DC277" s="631">
        <f>WWWW[[#This Row],[HRP2]]/WWWW[[#This Row],[Total PoP ]]</f>
        <v>1</v>
      </c>
      <c r="DD27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737</v>
      </c>
      <c r="DE27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7" s="424">
        <f>IF(WWWW[[#This Row],['# of functional latrines in THF supported by WASH partners during the reporting period2]]="",0,WWWW[[#This Row],['# of functional latrines in THF supported by WASH partners during the reporting period2]]*50)</f>
        <v>0</v>
      </c>
      <c r="DH277" s="893">
        <f>ROUND(IF(WWWW[[#This Row],[Location Type 1]]="camp",WWWW[[#This Row],[Total PoP ]]/20,IF(WWWW[[#This Row],[Location Type 1]]="Temporary Location",WWWW[[#This Row],[Total PoP ]]/50,(WWWW[[#This Row],[Total PoP ]]/6))),0)</f>
        <v>37</v>
      </c>
      <c r="DI277" s="893">
        <f>IF(WWWW[[#This Row],[Total required Latrines]]-(WWWW[[#This Row],['#_Constructed latrines_by_WASHAgencies]]+WWWW[[#This Row],['#_Non Cluster partner latrines]])&lt;0,0,WWWW[[#This Row],[Total required Latrines]]-(WWWW[[#This Row],['#_Constructed latrines_by_WASHAgencies]]+WWWW[[#This Row],['#_Non Cluster partner latrines]]))</f>
        <v>0</v>
      </c>
      <c r="DJ277" s="895">
        <f>1-WWWW[[#This Row],[% people access to functioning Latrine]]</f>
        <v>0</v>
      </c>
      <c r="DK277" s="894">
        <f>IF(OR(WWWW[[#This Row],['#_Non-functional latrines]]="",WWWW[[#This Row],['#_Non-functional latrines]]=0),0,WWWW[[#This Row],['#_Non-functional latrines]]/(WWWW[[#This Row],['#_Constructed latrines_by_WASHAgencies]]+WWWW[[#This Row],['#_Non Cluster partner latrines]]))</f>
        <v>8.3333333333333329E-2</v>
      </c>
      <c r="DL277" s="890">
        <f>IF(500*(WWWW[[#This Row],['#_male hygiene promoters]]+WWWW[[#This Row],['#_female hygiene promoters]])&gt;WWWW[[#This Row],[Total PoP ]],WWWW[[#This Row],[Total PoP ]],500*(WWWW[[#This Row],['#_male hygiene promoters]]+WWWW[[#This Row],['#_female hygiene promoters]]))</f>
        <v>737</v>
      </c>
      <c r="DM27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737</v>
      </c>
      <c r="DN27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158.0865</v>
      </c>
      <c r="DO277" s="893">
        <f>IF(WWWW[[#This Row],['# People with access to soap]]&gt;WWWW[[#This Row],['# People with access to Sanity Pads]],WWWW[[#This Row],['# People with access to soap]],WWWW[[#This Row],['# People with access to Sanity Pads]])</f>
        <v>737</v>
      </c>
      <c r="DP277" s="893">
        <f>IF(WWWW[[#This Row],['# people reached by regular dedicated hygiene promotion_5]]&gt;WWWW[[#This Row],['# People received regular supply of hygiene items_6]],WWWW[[#This Row],['# people reached by regular dedicated hygiene promotion_5]],WWWW[[#This Row],['# People received regular supply of hygiene items_6]])</f>
        <v>737</v>
      </c>
      <c r="DQ277" s="895">
        <f>IF(WWWW[[#This Row],[HRP3]]/WWWW[[#This Row],[Total PoP ]]&gt;1,1,WWWW[[#This Row],[HRP3]]/WWWW[[#This Row],[Total PoP ]])</f>
        <v>1</v>
      </c>
      <c r="DR277" s="894">
        <f>1-WWWW[[#This Row],[Hygiene Coverage%]]</f>
        <v>0</v>
      </c>
      <c r="DS277" s="892">
        <f>WWWW[[#This Row],['# people reached by regular dedicated hygiene promotion_5]]/WWWW[[#This Row],[Total PoP ]]</f>
        <v>1</v>
      </c>
      <c r="DT27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7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77" s="893">
        <f>WWWW[[#This Row],['#_Constructed/Existing hand washing stations]]-WWWW[[#This Row],['#_Non-Functional_hand_washing_stations]]</f>
        <v>1</v>
      </c>
      <c r="DW277" s="890">
        <f>IF(WWWW[[#This Row],['# Functional hand washing stations during reporting period]]*20&gt;WWWW[[#This Row],[Total HH]],WWWW[[#This Row],[Total HH]],WWWW[[#This Row],['# Functional hand washing stations during reporting period]]*20)</f>
        <v>20</v>
      </c>
      <c r="DX277" s="890">
        <f>IF(WWWW[[#This Row],[Is sufficient soap available for TLS? (Yes/No)]]="yes",WWWW[[#This Row],['#_Constructed/Existing hand washing stations at TLS/CFS/THF]],0)</f>
        <v>0</v>
      </c>
      <c r="DY277" s="428">
        <f>IF(WWWW[[#This Row],['# Functional hand washing stations during reporting period]]*100&gt;WWWW[[#This Row],[Total PoP ]],WWWW[[#This Row],[Total PoP ]],WWWW[[#This Row],['# Functional hand washing stations during reporting period]]*100)</f>
        <v>100</v>
      </c>
      <c r="DZ277" s="428" t="str">
        <f>IF(OR(WWWW[[#This Row],['#_students at TLS_CFS]]="",WWWW[[#This Row],['#_students at TLS_CFS]]=0),"No","Yes")</f>
        <v>No</v>
      </c>
      <c r="EA27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7" s="886" t="str">
        <f>VLOOKUP(WWWW[[#This Row],[Site Name]],SiteDB6[[Site Name]:[CCCM Management]],6,FALSE)</f>
        <v>Yes</v>
      </c>
      <c r="EF277" s="886" t="str">
        <f>VLOOKUP(WWWW[[#This Row],[Site Name]],SiteDB6[[Site Name]:[CCCM Focal Agency]],7,FALSE)</f>
        <v>KMSS-BMO</v>
      </c>
      <c r="EG277" s="886" t="str">
        <f>VLOOKUP(WWWW[[#This Row],[Site Name]],SiteDB6[[Site Name]:[Location Type 1]],9,FALSE)</f>
        <v>Camp</v>
      </c>
      <c r="EH277" s="886" t="str">
        <f>VLOOKUP(WWWW[[#This Row],[Site Name]],SiteDB6[[Site Name]:[Type of Accommodation]],10,FALSE)</f>
        <v>Camp</v>
      </c>
      <c r="EI277" s="886" t="str">
        <f>VLOOKUP(WWWW[[#This Row],[Site Name]],SiteDB6[[Site Name]:[Ethnic or GCA/NGCA]],11,FALSE)</f>
        <v>GCA</v>
      </c>
      <c r="EJ277" s="886">
        <f>VLOOKUP(WWWW[[#This Row],[Site Name]],SiteDB6[[Site Name]:[Lat]],12,FALSE)</f>
        <v>23.833477999999999</v>
      </c>
      <c r="EK277" s="886">
        <f>VLOOKUP(WWWW[[#This Row],[Site Name]],SiteDB6[[Site Name]:[Long]],13,FALSE)</f>
        <v>97.578367</v>
      </c>
      <c r="EL277" s="886" t="str">
        <f>VLOOKUP(WWWW[[#This Row],[Site Name]],SiteDB6[[Site Name]:[Pcode]],3,FALSE)</f>
        <v>MMR001CMP228</v>
      </c>
      <c r="EM277" s="891" t="str">
        <f t="shared" si="4"/>
        <v>Covered</v>
      </c>
      <c r="EN277" s="891"/>
      <c r="EO277" s="886">
        <f>VLOOKUP(WWWW[[#This Row],[Site Name]],SiteDB6[[Site Name]:[Pop
(Kachin/Shan-CCCM as of July 2021)]],16,FALSE)</f>
        <v>142</v>
      </c>
      <c r="EP277" s="886">
        <f>VLOOKUP(WWWW[[#This Row],[Site Name]],SiteDB6[[Site Name]:[Pop
(Kachin/Shan-CCCM as of July 2021)]],17,FALSE)</f>
        <v>830</v>
      </c>
    </row>
    <row r="278" spans="1:146" hidden="1">
      <c r="A278" s="884" t="s">
        <v>2764</v>
      </c>
      <c r="B278" s="884" t="s">
        <v>192</v>
      </c>
      <c r="C278" s="884" t="s">
        <v>192</v>
      </c>
      <c r="D278" s="885" t="s">
        <v>2673</v>
      </c>
      <c r="E278" s="885" t="s">
        <v>37</v>
      </c>
      <c r="F278" s="885" t="s">
        <v>38</v>
      </c>
      <c r="G278" s="591" t="str">
        <f>VLOOKUP(WWWW[[#This Row],[Site Name]],SiteDB6[[Site Name]:[Location Type]],8,FALSE)</f>
        <v>Camp</v>
      </c>
      <c r="H278" s="726" t="s">
        <v>3024</v>
      </c>
      <c r="I278" s="887">
        <v>97</v>
      </c>
      <c r="J278" s="887">
        <v>544</v>
      </c>
      <c r="K278" s="888" t="s">
        <v>2667</v>
      </c>
      <c r="L278" s="889" t="s">
        <v>2674</v>
      </c>
      <c r="M278" s="887"/>
      <c r="N278" s="887"/>
      <c r="O278" s="887"/>
      <c r="P278" s="887"/>
      <c r="Q278" s="890"/>
      <c r="R278" s="887"/>
      <c r="S278" s="887"/>
      <c r="T278" s="448">
        <v>3</v>
      </c>
      <c r="U278" s="887"/>
      <c r="V278" s="887"/>
      <c r="W278" s="887"/>
      <c r="X278" s="887"/>
      <c r="Y278" s="887"/>
      <c r="Z278" s="887"/>
      <c r="AA278" s="887"/>
      <c r="AB278" s="887"/>
      <c r="AC278" s="887"/>
      <c r="AD278" s="887"/>
      <c r="AE278" s="887"/>
      <c r="AF278" s="887"/>
      <c r="AG278" s="887"/>
      <c r="AH278" s="887"/>
      <c r="AI278" s="887"/>
      <c r="AJ278" s="887"/>
      <c r="AK278" s="887"/>
      <c r="AL278" s="887"/>
      <c r="AM278" s="887"/>
      <c r="AN278" s="887"/>
      <c r="AO278" s="448"/>
      <c r="AP278" s="891"/>
      <c r="AQ278" s="887"/>
      <c r="AR278" s="887"/>
      <c r="AS278" s="892"/>
      <c r="AT278" s="887"/>
      <c r="AU278" s="887"/>
      <c r="AV278" s="887"/>
      <c r="AW278" s="887"/>
      <c r="AX278" s="887"/>
      <c r="AY278" s="886" t="s">
        <v>140</v>
      </c>
      <c r="AZ278" s="891" t="s">
        <v>140</v>
      </c>
      <c r="BA278" s="887"/>
      <c r="BB278" s="887"/>
      <c r="BC278" s="887"/>
      <c r="BD278" s="448"/>
      <c r="BE278" s="448"/>
      <c r="BF278" s="886"/>
      <c r="BG278" s="887">
        <v>7</v>
      </c>
      <c r="BH278" s="887"/>
      <c r="BI278" s="887"/>
      <c r="BJ278" s="887">
        <v>7</v>
      </c>
      <c r="BK278" s="887"/>
      <c r="BL278" s="887"/>
      <c r="BM278" s="887"/>
      <c r="BN278" s="887"/>
      <c r="BO278" s="887"/>
      <c r="BP278" s="886"/>
      <c r="BQ278" s="893"/>
      <c r="BR278" s="892"/>
      <c r="BS278" s="886"/>
      <c r="BT278" s="423"/>
      <c r="BU278" s="423"/>
      <c r="BV278" s="425"/>
      <c r="BW278" s="423"/>
      <c r="BX278" s="448"/>
      <c r="BY278" s="448"/>
      <c r="BZ278" s="448"/>
      <c r="CA278" s="448"/>
      <c r="CB278" s="448"/>
      <c r="CC278" s="777"/>
      <c r="CD278" s="448"/>
      <c r="CE278" s="894" t="str">
        <f>IFERROR(WWWW[[#This Row],['#_Water sources passed]]/WWWW[[#This Row],['#_Water sources tested for fecal coliform ]],"no test")</f>
        <v>no test</v>
      </c>
      <c r="CF278" s="892" t="str">
        <f>IFERROR(WWWW[[#This Row],['#_Household passed]]/WWWW[[#This Row],['#_Household water samples tested for fecal coliform]],"no test")</f>
        <v>no test</v>
      </c>
      <c r="CG278" s="893" t="str">
        <f>IF(AND(WWWW[[#This Row],[% of water sources passed]]="no test",WWWW[[#This Row],[% Household passed]]="no test"),"No Test","Tested")</f>
        <v>No Test</v>
      </c>
      <c r="CH278" s="893">
        <f>WWWW[[#This Row],['#_Constructed/existing protected hand dug well]]-WWWW[[#This Row],['#_Non-functional protected hand dug well]]</f>
        <v>3</v>
      </c>
      <c r="CI278" s="893">
        <f>(WWWW[[#This Row],['#_Constructed/Existing tube wells/boreholes/handpumps_WASH_agency]]+WWWW[[#This Row],['#_Non-Cluster partner water tube-wells/boreholes/handpumps]])-WWWW[[#This Row],['#_Non-functional tube wells/boreholes/handpumps]]</f>
        <v>0</v>
      </c>
      <c r="CJ278" s="893">
        <f>WWWW[[#This Row],['#_Constructed/Existingwater storage tank with gravity fed reticulation system]]-WWWW[[#This Row],['#_Non-functional storage tank gravity fed reticulation system]]</f>
        <v>0</v>
      </c>
      <c r="CK278" s="893">
        <f>(WWWW[[#This Row],['#_Water_Liters_supplied_by_Water boating or water trucking]]/90)/15</f>
        <v>0</v>
      </c>
      <c r="CL278" s="893">
        <f>WWWW[[#This Row],['#_Water_Liters_from_Constructed/Existing water distribution system from river or natural spring]]/90/15</f>
        <v>0</v>
      </c>
      <c r="CM278" s="424">
        <f>IF(WWWW[[#This Row],['#_of water points in TLS/CFS]]*500&gt;WWWW[[#This Row],[Total PoP ]],WWWW[[#This Row],[Total PoP ]],WWWW[[#This Row],['#_of water points in TLS/CFS]]*500)</f>
        <v>0</v>
      </c>
      <c r="CN278" s="424">
        <f>IF(WWWW[[#This Row],['#_of water points in THF]]*500&gt;WWWW[[#This Row],[Total PoP ]],WWWW[[#This Row],[Total PoP ]],WWWW[[#This Row],['#_of water points in THF]]*500)</f>
        <v>0</v>
      </c>
      <c r="CO27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8" s="892">
        <f>IF(WWWW[[#This Row],[Location Type 1]]="Village",WWWW[[#This Row],[Access to safe drinking water for Village]],WWWW[[#This Row],[Access to safe drinking water for Camp]])</f>
        <v>1</v>
      </c>
      <c r="CR278" s="890">
        <f>WWWW[[#This Row],[%Equitable and continuous access to sufficient quantity of safe drinking water]]*WWWW[[#This Row],[Total PoP ]]</f>
        <v>544</v>
      </c>
      <c r="CS278" s="892">
        <f>IF((WWWW[[#This Row],['#_Constructed/Existing protected/fenced ponds]]*250)/WWWW[[#This Row],[Total PoP ]]&gt;1,1,(WWWW[[#This Row],['#_Constructed/Existing protected/fenced ponds]]*250)/WWWW[[#This Row],[Total PoP ]])</f>
        <v>0</v>
      </c>
      <c r="CT278" s="890">
        <f>WWWW[[#This Row],[% Access to unimproved water points]]*WWWW[[#This Row],[Total PoP ]]</f>
        <v>0</v>
      </c>
      <c r="CU27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W278" s="890">
        <f>WWWW[[#This Row],[HRP1]]/500</f>
        <v>1.0880000000000001</v>
      </c>
      <c r="CX278" s="895">
        <f>1-WWWW[[#This Row],[% Equitable and continuous access to sufficient quantity of domestic water]]</f>
        <v>0</v>
      </c>
      <c r="CY278" s="890">
        <f>WWWW[[#This Row],[%equitable and continuous access to sufficient quantity of safe drinking and domestic water''s GAP]]*WWWW[[#This Row],[Total PoP ]]</f>
        <v>0</v>
      </c>
      <c r="CZ278" s="893">
        <f>IF(WWWW[[#This Row],[Total required water points]]-WWWW[[#This Row],['#Water points coverage]]&lt;0,0,WWWW[[#This Row],[Total required water points]]-WWWW[[#This Row],['#Water points coverage]])</f>
        <v>0</v>
      </c>
      <c r="DA278" s="893">
        <f>ROUND(IF(WWWW[[#This Row],[Total PoP ]]&lt;500,1,WWWW[[#This Row],[Total PoP ]]/500),0)</f>
        <v>1</v>
      </c>
      <c r="DB278" s="893">
        <f>(WWWW[[#This Row],['#_Constructed latrines_by_WASHAgencies]]+WWWW[[#This Row],['#_Non Cluster partner latrines]])-WWWW[[#This Row],['#_Non-functional latrines]]</f>
        <v>0</v>
      </c>
      <c r="DC278" s="631">
        <f>WWWW[[#This Row],[HRP2]]/WWWW[[#This Row],[Total PoP ]]</f>
        <v>0</v>
      </c>
      <c r="DD27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7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8" s="424">
        <f>IF(WWWW[[#This Row],['# of functional latrines in THF supported by WASH partners during the reporting period2]]="",0,WWWW[[#This Row],['# of functional latrines in THF supported by WASH partners during the reporting period2]]*50)</f>
        <v>0</v>
      </c>
      <c r="DH278" s="893">
        <f>ROUND(IF(WWWW[[#This Row],[Location Type 1]]="camp",WWWW[[#This Row],[Total PoP ]]/20,IF(WWWW[[#This Row],[Location Type 1]]="Temporary Location",WWWW[[#This Row],[Total PoP ]]/50,(WWWW[[#This Row],[Total PoP ]]/6))),0)</f>
        <v>27</v>
      </c>
      <c r="DI278" s="893">
        <f>IF(WWWW[[#This Row],[Total required Latrines]]-(WWWW[[#This Row],['#_Constructed latrines_by_WASHAgencies]]+WWWW[[#This Row],['#_Non Cluster partner latrines]])&lt;0,0,WWWW[[#This Row],[Total required Latrines]]-(WWWW[[#This Row],['#_Constructed latrines_by_WASHAgencies]]+WWWW[[#This Row],['#_Non Cluster partner latrines]]))</f>
        <v>27</v>
      </c>
      <c r="DJ278" s="895">
        <f>1-WWWW[[#This Row],[% people access to functioning Latrine]]</f>
        <v>1</v>
      </c>
      <c r="DK278" s="894">
        <f>IF(OR(WWWW[[#This Row],['#_Non-functional latrines]]="",WWWW[[#This Row],['#_Non-functional latrines]]=0),0,WWWW[[#This Row],['#_Non-functional latrines]]/(WWWW[[#This Row],['#_Constructed latrines_by_WASHAgencies]]+WWWW[[#This Row],['#_Non Cluster partner latrines]]))</f>
        <v>0</v>
      </c>
      <c r="DL278" s="890">
        <f>IF(500*(WWWW[[#This Row],['#_male hygiene promoters]]+WWWW[[#This Row],['#_female hygiene promoters]])&gt;WWWW[[#This Row],[Total PoP ]],WWWW[[#This Row],[Total PoP ]],500*(WWWW[[#This Row],['#_male hygiene promoters]]+WWWW[[#This Row],['#_female hygiene promoters]]))</f>
        <v>0</v>
      </c>
      <c r="DM27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8" s="893">
        <f>IF(WWWW[[#This Row],['# People with access to soap]]&gt;WWWW[[#This Row],['# People with access to Sanity Pads]],WWWW[[#This Row],['# People with access to soap]],WWWW[[#This Row],['# People with access to Sanity Pads]])</f>
        <v>0</v>
      </c>
      <c r="DP278"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78" s="895">
        <f>IF(WWWW[[#This Row],[HRP3]]/WWWW[[#This Row],[Total PoP ]]&gt;1,1,WWWW[[#This Row],[HRP3]]/WWWW[[#This Row],[Total PoP ]])</f>
        <v>0</v>
      </c>
      <c r="DR278" s="894">
        <f>1-WWWW[[#This Row],[Hygiene Coverage%]]</f>
        <v>1</v>
      </c>
      <c r="DS278" s="892">
        <f>WWWW[[#This Row],['# people reached by regular dedicated hygiene promotion_5]]/WWWW[[#This Row],[Total PoP ]]</f>
        <v>0</v>
      </c>
      <c r="DT27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8" s="893">
        <f>WWWW[[#This Row],['#_Constructed/Existing hand washing stations]]-WWWW[[#This Row],['#_Non-Functional_hand_washing_stations]]</f>
        <v>7</v>
      </c>
      <c r="DW278" s="890">
        <f>IF(WWWW[[#This Row],['# Functional hand washing stations during reporting period]]*20&gt;WWWW[[#This Row],[Total HH]],WWWW[[#This Row],[Total HH]],WWWW[[#This Row],['# Functional hand washing stations during reporting period]]*20)</f>
        <v>97</v>
      </c>
      <c r="DX278" s="890">
        <f>IF(WWWW[[#This Row],[Is sufficient soap available for TLS? (Yes/No)]]="yes",WWWW[[#This Row],['#_Constructed/Existing hand washing stations at TLS/CFS/THF]],0)</f>
        <v>0</v>
      </c>
      <c r="DY278" s="428">
        <f>IF(WWWW[[#This Row],['# Functional hand washing stations during reporting period]]*100&gt;WWWW[[#This Row],[Total PoP ]],WWWW[[#This Row],[Total PoP ]],WWWW[[#This Row],['# Functional hand washing stations during reporting period]]*100)</f>
        <v>544</v>
      </c>
      <c r="DZ278" s="428" t="str">
        <f>IF(OR(WWWW[[#This Row],['#_students at TLS_CFS]]="",WWWW[[#This Row],['#_students at TLS_CFS]]=0),"No","Yes")</f>
        <v>No</v>
      </c>
      <c r="EA27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8" s="886">
        <f>VLOOKUP(WWWW[[#This Row],[Site Name]],SiteDB6[[Site Name]:[CCCM Management]],6,FALSE)</f>
        <v>0</v>
      </c>
      <c r="EF278" s="886" t="str">
        <f>VLOOKUP(WWWW[[#This Row],[Site Name]],SiteDB6[[Site Name]:[CCCM Focal Agency]],7,FALSE)</f>
        <v>uncovered</v>
      </c>
      <c r="EG278" s="886" t="str">
        <f>VLOOKUP(WWWW[[#This Row],[Site Name]],SiteDB6[[Site Name]:[Location Type 1]],9,FALSE)</f>
        <v>Camp</v>
      </c>
      <c r="EH278" s="886" t="str">
        <f>VLOOKUP(WWWW[[#This Row],[Site Name]],SiteDB6[[Site Name]:[Type of Accommodation]],10,FALSE)</f>
        <v>IDPs in host</v>
      </c>
      <c r="EI278" s="886" t="str">
        <f>VLOOKUP(WWWW[[#This Row],[Site Name]],SiteDB6[[Site Name]:[Ethnic or GCA/NGCA]],11,FALSE)</f>
        <v>GCA</v>
      </c>
      <c r="EJ278" s="886">
        <f>VLOOKUP(WWWW[[#This Row],[Site Name]],SiteDB6[[Site Name]:[Lat]],12,FALSE)</f>
        <v>23.827870999999998</v>
      </c>
      <c r="EK278" s="886">
        <f>VLOOKUP(WWWW[[#This Row],[Site Name]],SiteDB6[[Site Name]:[Long]],13,FALSE)</f>
        <v>97.588291999999996</v>
      </c>
      <c r="EL278" s="886" t="str">
        <f>VLOOKUP(WWWW[[#This Row],[Site Name]],SiteDB6[[Site Name]:[Pcode]],3,FALSE)</f>
        <v>MMR001CMP134</v>
      </c>
      <c r="EM278" s="891" t="str">
        <f t="shared" si="4"/>
        <v>Covered</v>
      </c>
      <c r="EN278" s="891"/>
      <c r="EO278" s="886">
        <f>VLOOKUP(WWWW[[#This Row],[Site Name]],SiteDB6[[Site Name]:[Pop
(Kachin/Shan-CCCM as of July 2021)]],16,FALSE)</f>
        <v>120</v>
      </c>
      <c r="EP278" s="886">
        <f>VLOOKUP(WWWW[[#This Row],[Site Name]],SiteDB6[[Site Name]:[Pop
(Kachin/Shan-CCCM as of July 2021)]],17,FALSE)</f>
        <v>664</v>
      </c>
    </row>
    <row r="279" spans="1:146" hidden="1">
      <c r="A279" s="884" t="s">
        <v>2764</v>
      </c>
      <c r="B279" s="884" t="s">
        <v>276</v>
      </c>
      <c r="C279" s="885" t="s">
        <v>276</v>
      </c>
      <c r="D279" s="885" t="s">
        <v>3037</v>
      </c>
      <c r="E279" s="885" t="s">
        <v>37</v>
      </c>
      <c r="F279" s="885" t="s">
        <v>38</v>
      </c>
      <c r="G279" s="591" t="str">
        <f>VLOOKUP(WWWW[[#This Row],[Site Name]],SiteDB6[[Site Name]:[Location Type]],8,FALSE)</f>
        <v>Camp</v>
      </c>
      <c r="H279" s="885" t="s">
        <v>193</v>
      </c>
      <c r="I279" s="887">
        <v>172</v>
      </c>
      <c r="J279" s="887">
        <v>789</v>
      </c>
      <c r="K279" s="588">
        <v>44652</v>
      </c>
      <c r="L279" s="589">
        <v>44895</v>
      </c>
      <c r="M279" s="887"/>
      <c r="N279" s="887"/>
      <c r="O279" s="887"/>
      <c r="P279" s="887"/>
      <c r="Q279" s="890" t="s">
        <v>41</v>
      </c>
      <c r="R279" s="887"/>
      <c r="S279" s="887">
        <v>7</v>
      </c>
      <c r="T279" s="448">
        <v>4</v>
      </c>
      <c r="U279" s="887"/>
      <c r="V279" s="887"/>
      <c r="W279" s="887">
        <v>4</v>
      </c>
      <c r="X279" s="887"/>
      <c r="Y279" s="887"/>
      <c r="Z279" s="887"/>
      <c r="AA279" s="887"/>
      <c r="AB279" s="887"/>
      <c r="AC279" s="887"/>
      <c r="AD279" s="887"/>
      <c r="AE279" s="887"/>
      <c r="AF279" s="887"/>
      <c r="AG279" s="887"/>
      <c r="AH279" s="887"/>
      <c r="AI279" s="887"/>
      <c r="AJ279" s="887"/>
      <c r="AK279" s="887"/>
      <c r="AL279" s="887"/>
      <c r="AM279" s="887"/>
      <c r="AN279" s="887"/>
      <c r="AO279" s="448"/>
      <c r="AP279" s="891"/>
      <c r="AQ279" s="448">
        <v>44</v>
      </c>
      <c r="AR279" s="887"/>
      <c r="AS279" s="892"/>
      <c r="AT279" s="887"/>
      <c r="AU279" s="887"/>
      <c r="AV279" s="448">
        <v>44</v>
      </c>
      <c r="AW279" s="448">
        <v>39</v>
      </c>
      <c r="AX279" s="887"/>
      <c r="AY279" s="886" t="s">
        <v>41</v>
      </c>
      <c r="AZ279" s="891" t="s">
        <v>137</v>
      </c>
      <c r="BA279" s="887"/>
      <c r="BB279" s="887">
        <v>1</v>
      </c>
      <c r="BC279" s="887"/>
      <c r="BD279" s="448"/>
      <c r="BE279" s="448">
        <v>1</v>
      </c>
      <c r="BF279" s="886"/>
      <c r="BG279" s="887">
        <v>4</v>
      </c>
      <c r="BH279" s="887"/>
      <c r="BI279" s="887"/>
      <c r="BJ279" s="887">
        <v>5</v>
      </c>
      <c r="BK279" s="887"/>
      <c r="BL279" s="887"/>
      <c r="BM279" s="887"/>
      <c r="BN279" s="887"/>
      <c r="BO279" s="887"/>
      <c r="BP279" s="886"/>
      <c r="BQ279" s="893"/>
      <c r="BR279" s="892"/>
      <c r="BS279" s="886"/>
      <c r="BT279" s="423"/>
      <c r="BU279" s="423"/>
      <c r="BV279" s="425"/>
      <c r="BW279" s="423"/>
      <c r="BX279" s="448"/>
      <c r="BY279" s="448">
        <v>44</v>
      </c>
      <c r="BZ279" s="448">
        <v>5</v>
      </c>
      <c r="CA279" s="448"/>
      <c r="CB279" s="448"/>
      <c r="CC279" s="777"/>
      <c r="CD279" s="448"/>
      <c r="CE279" s="894" t="str">
        <f>IFERROR(WWWW[[#This Row],['#_Water sources passed]]/WWWW[[#This Row],['#_Water sources tested for fecal coliform ]],"no test")</f>
        <v>no test</v>
      </c>
      <c r="CF279" s="892" t="str">
        <f>IFERROR(WWWW[[#This Row],['#_Household passed]]/WWWW[[#This Row],['#_Household water samples tested for fecal coliform]],"no test")</f>
        <v>no test</v>
      </c>
      <c r="CG279" s="893" t="str">
        <f>IF(AND(WWWW[[#This Row],[% of water sources passed]]="no test",WWWW[[#This Row],[% Household passed]]="no test"),"No Test","Tested")</f>
        <v>No Test</v>
      </c>
      <c r="CH279" s="893">
        <f>WWWW[[#This Row],['#_Constructed/existing protected hand dug well]]-WWWW[[#This Row],['#_Non-functional protected hand dug well]]</f>
        <v>4</v>
      </c>
      <c r="CI279" s="893">
        <f>(WWWW[[#This Row],['#_Constructed/Existing tube wells/boreholes/handpumps_WASH_agency]]+WWWW[[#This Row],['#_Non-Cluster partner water tube-wells/boreholes/handpumps]])-WWWW[[#This Row],['#_Non-functional tube wells/boreholes/handpumps]]</f>
        <v>4</v>
      </c>
      <c r="CJ279" s="893">
        <f>WWWW[[#This Row],['#_Constructed/Existingwater storage tank with gravity fed reticulation system]]-WWWW[[#This Row],['#_Non-functional storage tank gravity fed reticulation system]]</f>
        <v>0</v>
      </c>
      <c r="CK279" s="893">
        <f>(WWWW[[#This Row],['#_Water_Liters_supplied_by_Water boating or water trucking]]/90)/15</f>
        <v>0</v>
      </c>
      <c r="CL279" s="893">
        <f>WWWW[[#This Row],['#_Water_Liters_from_Constructed/Existing water distribution system from river or natural spring]]/90/15</f>
        <v>0</v>
      </c>
      <c r="CM279" s="424">
        <f>IF(WWWW[[#This Row],['#_of water points in TLS/CFS]]*500&gt;WWWW[[#This Row],[Total PoP ]],WWWW[[#This Row],[Total PoP ]],WWWW[[#This Row],['#_of water points in TLS/CFS]]*500)</f>
        <v>0</v>
      </c>
      <c r="CN279" s="424">
        <f>IF(WWWW[[#This Row],['#_of water points in THF]]*500&gt;WWWW[[#This Row],[Total PoP ]],WWWW[[#This Row],[Total PoP ]],WWWW[[#This Row],['#_of water points in THF]]*500)</f>
        <v>0</v>
      </c>
      <c r="CO27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9" s="892">
        <f>IF(WWWW[[#This Row],[Location Type 1]]="Village",WWWW[[#This Row],[Access to safe drinking water for Village]],WWWW[[#This Row],[Access to safe drinking water for Camp]])</f>
        <v>1</v>
      </c>
      <c r="CR279" s="890">
        <f>WWWW[[#This Row],[%Equitable and continuous access to sufficient quantity of safe drinking water]]*WWWW[[#This Row],[Total PoP ]]</f>
        <v>789</v>
      </c>
      <c r="CS279" s="892">
        <f>IF((WWWW[[#This Row],['#_Constructed/Existing protected/fenced ponds]]*250)/WWWW[[#This Row],[Total PoP ]]&gt;1,1,(WWWW[[#This Row],['#_Constructed/Existing protected/fenced ponds]]*250)/WWWW[[#This Row],[Total PoP ]])</f>
        <v>0</v>
      </c>
      <c r="CT279" s="890">
        <f>WWWW[[#This Row],[% Access to unimproved water points]]*WWWW[[#This Row],[Total PoP ]]</f>
        <v>0</v>
      </c>
      <c r="CU27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W279" s="890">
        <f>WWWW[[#This Row],[HRP1]]/500</f>
        <v>1.5780000000000001</v>
      </c>
      <c r="CX279" s="895">
        <f>1-WWWW[[#This Row],[% Equitable and continuous access to sufficient quantity of domestic water]]</f>
        <v>0</v>
      </c>
      <c r="CY279" s="890">
        <f>WWWW[[#This Row],[%equitable and continuous access to sufficient quantity of safe drinking and domestic water''s GAP]]*WWWW[[#This Row],[Total PoP ]]</f>
        <v>0</v>
      </c>
      <c r="CZ279" s="893">
        <f>IF(WWWW[[#This Row],[Total required water points]]-WWWW[[#This Row],['#Water points coverage]]&lt;0,0,WWWW[[#This Row],[Total required water points]]-WWWW[[#This Row],['#Water points coverage]])</f>
        <v>0.42199999999999993</v>
      </c>
      <c r="DA279" s="893">
        <f>ROUND(IF(WWWW[[#This Row],[Total PoP ]]&lt;500,1,WWWW[[#This Row],[Total PoP ]]/500),0)</f>
        <v>2</v>
      </c>
      <c r="DB279" s="893">
        <f>(WWWW[[#This Row],['#_Constructed latrines_by_WASHAgencies]]+WWWW[[#This Row],['#_Non Cluster partner latrines]])-WWWW[[#This Row],['#_Non-functional latrines]]</f>
        <v>44</v>
      </c>
      <c r="DC279" s="631">
        <f>WWWW[[#This Row],[HRP2]]/WWWW[[#This Row],[Total PoP ]]</f>
        <v>1</v>
      </c>
      <c r="DD27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DE27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789</v>
      </c>
      <c r="DF27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9" s="424">
        <f>IF(WWWW[[#This Row],['# of functional latrines in THF supported by WASH partners during the reporting period2]]="",0,WWWW[[#This Row],['# of functional latrines in THF supported by WASH partners during the reporting period2]]*50)</f>
        <v>0</v>
      </c>
      <c r="DH279" s="893">
        <f>ROUND(IF(WWWW[[#This Row],[Location Type 1]]="camp",WWWW[[#This Row],[Total PoP ]]/20,IF(WWWW[[#This Row],[Location Type 1]]="Temporary Location",WWWW[[#This Row],[Total PoP ]]/50,(WWWW[[#This Row],[Total PoP ]]/6))),0)</f>
        <v>39</v>
      </c>
      <c r="DI279" s="893">
        <f>IF(WWWW[[#This Row],[Total required Latrines]]-(WWWW[[#This Row],['#_Constructed latrines_by_WASHAgencies]]+WWWW[[#This Row],['#_Non Cluster partner latrines]])&lt;0,0,WWWW[[#This Row],[Total required Latrines]]-(WWWW[[#This Row],['#_Constructed latrines_by_WASHAgencies]]+WWWW[[#This Row],['#_Non Cluster partner latrines]]))</f>
        <v>0</v>
      </c>
      <c r="DJ279" s="895">
        <f>1-WWWW[[#This Row],[% people access to functioning Latrine]]</f>
        <v>0</v>
      </c>
      <c r="DK279" s="894">
        <f>IF(OR(WWWW[[#This Row],['#_Non-functional latrines]]="",WWWW[[#This Row],['#_Non-functional latrines]]=0),0,WWWW[[#This Row],['#_Non-functional latrines]]/(WWWW[[#This Row],['#_Constructed latrines_by_WASHAgencies]]+WWWW[[#This Row],['#_Non Cluster partner latrines]]))</f>
        <v>0</v>
      </c>
      <c r="DL279" s="890">
        <f>IF(500*(WWWW[[#This Row],['#_male hygiene promoters]]+WWWW[[#This Row],['#_female hygiene promoters]])&gt;WWWW[[#This Row],[Total PoP ]],WWWW[[#This Row],[Total PoP ]],500*(WWWW[[#This Row],['#_male hygiene promoters]]+WWWW[[#This Row],['#_female hygiene promoters]]))</f>
        <v>0</v>
      </c>
      <c r="DM27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9" s="893">
        <f>IF(WWWW[[#This Row],['# People with access to soap]]&gt;WWWW[[#This Row],['# People with access to Sanity Pads]],WWWW[[#This Row],['# People with access to soap]],WWWW[[#This Row],['# People with access to Sanity Pads]])</f>
        <v>0</v>
      </c>
      <c r="DP279"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79" s="895">
        <f>IF(WWWW[[#This Row],[HRP3]]/WWWW[[#This Row],[Total PoP ]]&gt;1,1,WWWW[[#This Row],[HRP3]]/WWWW[[#This Row],[Total PoP ]])</f>
        <v>0</v>
      </c>
      <c r="DR279" s="894">
        <f>1-WWWW[[#This Row],[Hygiene Coverage%]]</f>
        <v>1</v>
      </c>
      <c r="DS279" s="892">
        <f>WWWW[[#This Row],['# people reached by regular dedicated hygiene promotion_5]]/WWWW[[#This Row],[Total PoP ]]</f>
        <v>0</v>
      </c>
      <c r="DT27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9" s="893">
        <f>WWWW[[#This Row],['#_Constructed/Existing hand washing stations]]-WWWW[[#This Row],['#_Non-Functional_hand_washing_stations]]</f>
        <v>4</v>
      </c>
      <c r="DW279" s="890">
        <f>IF(WWWW[[#This Row],['# Functional hand washing stations during reporting period]]*20&gt;WWWW[[#This Row],[Total HH]],WWWW[[#This Row],[Total HH]],WWWW[[#This Row],['# Functional hand washing stations during reporting period]]*20)</f>
        <v>80</v>
      </c>
      <c r="DX279" s="890">
        <f>IF(WWWW[[#This Row],[Is sufficient soap available for TLS? (Yes/No)]]="yes",WWWW[[#This Row],['#_Constructed/Existing hand washing stations at TLS/CFS/THF]],0)</f>
        <v>0</v>
      </c>
      <c r="DY279" s="428">
        <f>IF(WWWW[[#This Row],['# Functional hand washing stations during reporting period]]*100&gt;WWWW[[#This Row],[Total PoP ]],WWWW[[#This Row],[Total PoP ]],WWWW[[#This Row],['# Functional hand washing stations during reporting period]]*100)</f>
        <v>400</v>
      </c>
      <c r="DZ279" s="428" t="str">
        <f>IF(OR(WWWW[[#This Row],['#_students at TLS_CFS]]="",WWWW[[#This Row],['#_students at TLS_CFS]]=0),"No","Yes")</f>
        <v>No</v>
      </c>
      <c r="EA27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49</v>
      </c>
      <c r="EC27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9" s="886" t="str">
        <f>VLOOKUP(WWWW[[#This Row],[Site Name]],SiteDB6[[Site Name]:[CCCM Management]],6,FALSE)</f>
        <v>Yes</v>
      </c>
      <c r="EF279" s="886" t="str">
        <f>VLOOKUP(WWWW[[#This Row],[Site Name]],SiteDB6[[Site Name]:[CCCM Focal Agency]],7,FALSE)</f>
        <v>KBC-BMO</v>
      </c>
      <c r="EG279" s="886" t="str">
        <f>VLOOKUP(WWWW[[#This Row],[Site Name]],SiteDB6[[Site Name]:[Location Type 1]],9,FALSE)</f>
        <v>Camp</v>
      </c>
      <c r="EH279" s="886" t="str">
        <f>VLOOKUP(WWWW[[#This Row],[Site Name]],SiteDB6[[Site Name]:[Type of Accommodation]],10,FALSE)</f>
        <v>Camp</v>
      </c>
      <c r="EI279" s="886" t="str">
        <f>VLOOKUP(WWWW[[#This Row],[Site Name]],SiteDB6[[Site Name]:[Ethnic or GCA/NGCA]],11,FALSE)</f>
        <v>GCA</v>
      </c>
      <c r="EJ279" s="886">
        <f>VLOOKUP(WWWW[[#This Row],[Site Name]],SiteDB6[[Site Name]:[Lat]],12,FALSE)</f>
        <v>24.129059999999999</v>
      </c>
      <c r="EK279" s="886">
        <f>VLOOKUP(WWWW[[#This Row],[Site Name]],SiteDB6[[Site Name]:[Long]],13,FALSE)</f>
        <v>97.291820000000001</v>
      </c>
      <c r="EL279" s="886" t="str">
        <f>VLOOKUP(WWWW[[#This Row],[Site Name]],SiteDB6[[Site Name]:[Pcode]],3,FALSE)</f>
        <v>MMR001CMP066</v>
      </c>
      <c r="EM279" s="891" t="str">
        <f t="shared" si="4"/>
        <v>Covered</v>
      </c>
      <c r="EN279" s="891"/>
      <c r="EO279" s="886">
        <f>VLOOKUP(WWWW[[#This Row],[Site Name]],SiteDB6[[Site Name]:[Pop
(Kachin/Shan-CCCM as of July 2021)]],16,FALSE)</f>
        <v>181</v>
      </c>
      <c r="EP279" s="886">
        <f>VLOOKUP(WWWW[[#This Row],[Site Name]],SiteDB6[[Site Name]:[Pop
(Kachin/Shan-CCCM as of July 2021)]],17,FALSE)</f>
        <v>815</v>
      </c>
    </row>
    <row r="280" spans="1:146" hidden="1">
      <c r="A280" s="884" t="s">
        <v>2764</v>
      </c>
      <c r="B280" s="884" t="s">
        <v>309</v>
      </c>
      <c r="C280" s="885" t="s">
        <v>309</v>
      </c>
      <c r="D280" s="885"/>
      <c r="E280" s="885" t="s">
        <v>37</v>
      </c>
      <c r="F280" s="885" t="s">
        <v>38</v>
      </c>
      <c r="G280" s="591" t="str">
        <f>VLOOKUP(WWWW[[#This Row],[Site Name]],SiteDB6[[Site Name]:[Location Type]],8,FALSE)</f>
        <v>Camp</v>
      </c>
      <c r="H280" s="726" t="s">
        <v>3025</v>
      </c>
      <c r="I280" s="887">
        <v>67</v>
      </c>
      <c r="J280" s="887">
        <v>308</v>
      </c>
      <c r="K280" s="888" t="s">
        <v>2650</v>
      </c>
      <c r="L280" s="889" t="s">
        <v>2651</v>
      </c>
      <c r="M280" s="887"/>
      <c r="N280" s="887"/>
      <c r="O280" s="887"/>
      <c r="P280" s="887"/>
      <c r="Q280" s="890"/>
      <c r="R280" s="887"/>
      <c r="S280" s="887">
        <v>4</v>
      </c>
      <c r="T280" s="448"/>
      <c r="U280" s="887"/>
      <c r="V280" s="887"/>
      <c r="W280" s="887"/>
      <c r="X280" s="887"/>
      <c r="Y280" s="887"/>
      <c r="Z280" s="887"/>
      <c r="AA280" s="887"/>
      <c r="AB280" s="887"/>
      <c r="AC280" s="887"/>
      <c r="AD280" s="887"/>
      <c r="AE280" s="887"/>
      <c r="AF280" s="887"/>
      <c r="AG280" s="887"/>
      <c r="AH280" s="887"/>
      <c r="AI280" s="887"/>
      <c r="AJ280" s="887"/>
      <c r="AK280" s="887"/>
      <c r="AL280" s="887"/>
      <c r="AM280" s="887"/>
      <c r="AN280" s="887"/>
      <c r="AO280" s="448"/>
      <c r="AP280" s="891"/>
      <c r="AQ280" s="887"/>
      <c r="AR280" s="887"/>
      <c r="AS280" s="892"/>
      <c r="AT280" s="887"/>
      <c r="AU280" s="887"/>
      <c r="AV280" s="887"/>
      <c r="AW280" s="887"/>
      <c r="AX280" s="887"/>
      <c r="AY280" s="886" t="s">
        <v>140</v>
      </c>
      <c r="AZ280" s="891" t="s">
        <v>140</v>
      </c>
      <c r="BA280" s="887"/>
      <c r="BB280" s="887"/>
      <c r="BC280" s="887"/>
      <c r="BD280" s="448"/>
      <c r="BE280" s="448"/>
      <c r="BF280" s="886"/>
      <c r="BG280" s="887">
        <v>7</v>
      </c>
      <c r="BH280" s="887"/>
      <c r="BI280" s="887"/>
      <c r="BJ280" s="887">
        <v>7</v>
      </c>
      <c r="BK280" s="887"/>
      <c r="BL280" s="887"/>
      <c r="BM280" s="887"/>
      <c r="BN280" s="887"/>
      <c r="BO280" s="887"/>
      <c r="BP280" s="886"/>
      <c r="BQ280" s="893"/>
      <c r="BR280" s="892"/>
      <c r="BS280" s="886"/>
      <c r="BT280" s="423"/>
      <c r="BU280" s="423"/>
      <c r="BV280" s="425"/>
      <c r="BW280" s="423"/>
      <c r="BX280" s="448"/>
      <c r="BY280" s="448"/>
      <c r="BZ280" s="448"/>
      <c r="CA280" s="448"/>
      <c r="CB280" s="448"/>
      <c r="CC280" s="777"/>
      <c r="CD280" s="448"/>
      <c r="CE280" s="894" t="str">
        <f>IFERROR(WWWW[[#This Row],['#_Water sources passed]]/WWWW[[#This Row],['#_Water sources tested for fecal coliform ]],"no test")</f>
        <v>no test</v>
      </c>
      <c r="CF280" s="892" t="str">
        <f>IFERROR(WWWW[[#This Row],['#_Household passed]]/WWWW[[#This Row],['#_Household water samples tested for fecal coliform]],"no test")</f>
        <v>no test</v>
      </c>
      <c r="CG280" s="893" t="str">
        <f>IF(AND(WWWW[[#This Row],[% of water sources passed]]="no test",WWWW[[#This Row],[% Household passed]]="no test"),"No Test","Tested")</f>
        <v>No Test</v>
      </c>
      <c r="CH280" s="893">
        <f>WWWW[[#This Row],['#_Constructed/existing protected hand dug well]]-WWWW[[#This Row],['#_Non-functional protected hand dug well]]</f>
        <v>0</v>
      </c>
      <c r="CI280" s="893">
        <f>(WWWW[[#This Row],['#_Constructed/Existing tube wells/boreholes/handpumps_WASH_agency]]+WWWW[[#This Row],['#_Non-Cluster partner water tube-wells/boreholes/handpumps]])-WWWW[[#This Row],['#_Non-functional tube wells/boreholes/handpumps]]</f>
        <v>0</v>
      </c>
      <c r="CJ280" s="893">
        <f>WWWW[[#This Row],['#_Constructed/Existingwater storage tank with gravity fed reticulation system]]-WWWW[[#This Row],['#_Non-functional storage tank gravity fed reticulation system]]</f>
        <v>0</v>
      </c>
      <c r="CK280" s="893">
        <f>(WWWW[[#This Row],['#_Water_Liters_supplied_by_Water boating or water trucking]]/90)/15</f>
        <v>0</v>
      </c>
      <c r="CL280" s="893">
        <f>WWWW[[#This Row],['#_Water_Liters_from_Constructed/Existing water distribution system from river or natural spring]]/90/15</f>
        <v>0</v>
      </c>
      <c r="CM280" s="424">
        <f>IF(WWWW[[#This Row],['#_of water points in TLS/CFS]]*500&gt;WWWW[[#This Row],[Total PoP ]],WWWW[[#This Row],[Total PoP ]],WWWW[[#This Row],['#_of water points in TLS/CFS]]*500)</f>
        <v>0</v>
      </c>
      <c r="CN280" s="424">
        <f>IF(WWWW[[#This Row],['#_of water points in THF]]*500&gt;WWWW[[#This Row],[Total PoP ]],WWWW[[#This Row],[Total PoP ]],WWWW[[#This Row],['#_of water points in THF]]*500)</f>
        <v>0</v>
      </c>
      <c r="CO28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8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80" s="892">
        <f>IF(WWWW[[#This Row],[Location Type 1]]="Village",WWWW[[#This Row],[Access to safe drinking water for Village]],WWWW[[#This Row],[Access to safe drinking water for Camp]])</f>
        <v>0</v>
      </c>
      <c r="CR280" s="890">
        <f>WWWW[[#This Row],[%Equitable and continuous access to sufficient quantity of safe drinking water]]*WWWW[[#This Row],[Total PoP ]]</f>
        <v>0</v>
      </c>
      <c r="CS280" s="892">
        <f>IF((WWWW[[#This Row],['#_Constructed/Existing protected/fenced ponds]]*250)/WWWW[[#This Row],[Total PoP ]]&gt;1,1,(WWWW[[#This Row],['#_Constructed/Existing protected/fenced ponds]]*250)/WWWW[[#This Row],[Total PoP ]])</f>
        <v>0</v>
      </c>
      <c r="CT280" s="890">
        <f>WWWW[[#This Row],[% Access to unimproved water points]]*WWWW[[#This Row],[Total PoP ]]</f>
        <v>0</v>
      </c>
      <c r="CU28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8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80" s="890">
        <f>WWWW[[#This Row],[HRP1]]/500</f>
        <v>0</v>
      </c>
      <c r="CX280" s="895">
        <f>1-WWWW[[#This Row],[% Equitable and continuous access to sufficient quantity of domestic water]]</f>
        <v>1</v>
      </c>
      <c r="CY280" s="890">
        <f>WWWW[[#This Row],[%equitable and continuous access to sufficient quantity of safe drinking and domestic water''s GAP]]*WWWW[[#This Row],[Total PoP ]]</f>
        <v>308</v>
      </c>
      <c r="CZ280" s="893">
        <f>IF(WWWW[[#This Row],[Total required water points]]-WWWW[[#This Row],['#Water points coverage]]&lt;0,0,WWWW[[#This Row],[Total required water points]]-WWWW[[#This Row],['#Water points coverage]])</f>
        <v>1</v>
      </c>
      <c r="DA280" s="893">
        <f>ROUND(IF(WWWW[[#This Row],[Total PoP ]]&lt;500,1,WWWW[[#This Row],[Total PoP ]]/500),0)</f>
        <v>1</v>
      </c>
      <c r="DB280" s="893">
        <f>(WWWW[[#This Row],['#_Constructed latrines_by_WASHAgencies]]+WWWW[[#This Row],['#_Non Cluster partner latrines]])-WWWW[[#This Row],['#_Non-functional latrines]]</f>
        <v>0</v>
      </c>
      <c r="DC280" s="631">
        <f>WWWW[[#This Row],[HRP2]]/WWWW[[#This Row],[Total PoP ]]</f>
        <v>0</v>
      </c>
      <c r="DD28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8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0" s="424">
        <f>IF(WWWW[[#This Row],['# of functional latrines in THF supported by WASH partners during the reporting period2]]="",0,WWWW[[#This Row],['# of functional latrines in THF supported by WASH partners during the reporting period2]]*50)</f>
        <v>0</v>
      </c>
      <c r="DH280" s="893">
        <f>ROUND(IF(WWWW[[#This Row],[Location Type 1]]="camp",WWWW[[#This Row],[Total PoP ]]/20,IF(WWWW[[#This Row],[Location Type 1]]="Temporary Location",WWWW[[#This Row],[Total PoP ]]/50,(WWWW[[#This Row],[Total PoP ]]/6))),0)</f>
        <v>15</v>
      </c>
      <c r="DI280" s="893">
        <f>IF(WWWW[[#This Row],[Total required Latrines]]-(WWWW[[#This Row],['#_Constructed latrines_by_WASHAgencies]]+WWWW[[#This Row],['#_Non Cluster partner latrines]])&lt;0,0,WWWW[[#This Row],[Total required Latrines]]-(WWWW[[#This Row],['#_Constructed latrines_by_WASHAgencies]]+WWWW[[#This Row],['#_Non Cluster partner latrines]]))</f>
        <v>15</v>
      </c>
      <c r="DJ280" s="895">
        <f>1-WWWW[[#This Row],[% people access to functioning Latrine]]</f>
        <v>1</v>
      </c>
      <c r="DK280" s="894">
        <f>IF(OR(WWWW[[#This Row],['#_Non-functional latrines]]="",WWWW[[#This Row],['#_Non-functional latrines]]=0),0,WWWW[[#This Row],['#_Non-functional latrines]]/(WWWW[[#This Row],['#_Constructed latrines_by_WASHAgencies]]+WWWW[[#This Row],['#_Non Cluster partner latrines]]))</f>
        <v>0</v>
      </c>
      <c r="DL280" s="890">
        <f>IF(500*(WWWW[[#This Row],['#_male hygiene promoters]]+WWWW[[#This Row],['#_female hygiene promoters]])&gt;WWWW[[#This Row],[Total PoP ]],WWWW[[#This Row],[Total PoP ]],500*(WWWW[[#This Row],['#_male hygiene promoters]]+WWWW[[#This Row],['#_female hygiene promoters]]))</f>
        <v>0</v>
      </c>
      <c r="DM28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0" s="893">
        <f>IF(WWWW[[#This Row],['# People with access to soap]]&gt;WWWW[[#This Row],['# People with access to Sanity Pads]],WWWW[[#This Row],['# People with access to soap]],WWWW[[#This Row],['# People with access to Sanity Pads]])</f>
        <v>0</v>
      </c>
      <c r="DP280"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80" s="895">
        <f>IF(WWWW[[#This Row],[HRP3]]/WWWW[[#This Row],[Total PoP ]]&gt;1,1,WWWW[[#This Row],[HRP3]]/WWWW[[#This Row],[Total PoP ]])</f>
        <v>0</v>
      </c>
      <c r="DR280" s="894">
        <f>1-WWWW[[#This Row],[Hygiene Coverage%]]</f>
        <v>1</v>
      </c>
      <c r="DS280" s="892">
        <f>WWWW[[#This Row],['# people reached by regular dedicated hygiene promotion_5]]/WWWW[[#This Row],[Total PoP ]]</f>
        <v>0</v>
      </c>
      <c r="DT28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0" s="893">
        <f>WWWW[[#This Row],['#_Constructed/Existing hand washing stations]]-WWWW[[#This Row],['#_Non-Functional_hand_washing_stations]]</f>
        <v>7</v>
      </c>
      <c r="DW280" s="890">
        <f>IF(WWWW[[#This Row],['# Functional hand washing stations during reporting period]]*20&gt;WWWW[[#This Row],[Total HH]],WWWW[[#This Row],[Total HH]],WWWW[[#This Row],['# Functional hand washing stations during reporting period]]*20)</f>
        <v>67</v>
      </c>
      <c r="DX280" s="890">
        <f>IF(WWWW[[#This Row],[Is sufficient soap available for TLS? (Yes/No)]]="yes",WWWW[[#This Row],['#_Constructed/Existing hand washing stations at TLS/CFS/THF]],0)</f>
        <v>0</v>
      </c>
      <c r="DY280" s="428">
        <f>IF(WWWW[[#This Row],['# Functional hand washing stations during reporting period]]*100&gt;WWWW[[#This Row],[Total PoP ]],WWWW[[#This Row],[Total PoP ]],WWWW[[#This Row],['# Functional hand washing stations during reporting period]]*100)</f>
        <v>308</v>
      </c>
      <c r="DZ280" s="428" t="str">
        <f>IF(OR(WWWW[[#This Row],['#_students at TLS_CFS]]="",WWWW[[#This Row],['#_students at TLS_CFS]]=0),"No","Yes")</f>
        <v>No</v>
      </c>
      <c r="EA28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0" s="886">
        <f>VLOOKUP(WWWW[[#This Row],[Site Name]],SiteDB6[[Site Name]:[CCCM Management]],6,FALSE)</f>
        <v>0</v>
      </c>
      <c r="EF280" s="886" t="str">
        <f>VLOOKUP(WWWW[[#This Row],[Site Name]],SiteDB6[[Site Name]:[CCCM Focal Agency]],7,FALSE)</f>
        <v>uncovered</v>
      </c>
      <c r="EG280" s="886" t="str">
        <f>VLOOKUP(WWWW[[#This Row],[Site Name]],SiteDB6[[Site Name]:[Location Type 1]],9,FALSE)</f>
        <v>Camp</v>
      </c>
      <c r="EH280" s="886" t="str">
        <f>VLOOKUP(WWWW[[#This Row],[Site Name]],SiteDB6[[Site Name]:[Type of Accommodation]],10,FALSE)</f>
        <v>IDPs in host</v>
      </c>
      <c r="EI280" s="886" t="str">
        <f>VLOOKUP(WWWW[[#This Row],[Site Name]],SiteDB6[[Site Name]:[Ethnic or GCA/NGCA]],11,FALSE)</f>
        <v>GCA</v>
      </c>
      <c r="EJ280" s="886">
        <f>VLOOKUP(WWWW[[#This Row],[Site Name]],SiteDB6[[Site Name]:[Lat]],12,FALSE)</f>
        <v>24.118618999999999</v>
      </c>
      <c r="EK280" s="886">
        <f>VLOOKUP(WWWW[[#This Row],[Site Name]],SiteDB6[[Site Name]:[Long]],13,FALSE)</f>
        <v>97.298055000000005</v>
      </c>
      <c r="EL280" s="886" t="str">
        <f>VLOOKUP(WWWW[[#This Row],[Site Name]],SiteDB6[[Site Name]:[Pcode]],3,FALSE)</f>
        <v>MMR001CMP196</v>
      </c>
      <c r="EM280" s="891" t="str">
        <f t="shared" si="4"/>
        <v>Notcovered</v>
      </c>
      <c r="EN280" s="891"/>
      <c r="EO280" s="886">
        <f>VLOOKUP(WWWW[[#This Row],[Site Name]],SiteDB6[[Site Name]:[Pop
(Kachin/Shan-CCCM as of July 2021)]],16,FALSE)</f>
        <v>70</v>
      </c>
      <c r="EP280" s="886">
        <f>VLOOKUP(WWWW[[#This Row],[Site Name]],SiteDB6[[Site Name]:[Pop
(Kachin/Shan-CCCM as of July 2021)]],17,FALSE)</f>
        <v>344</v>
      </c>
    </row>
    <row r="281" spans="1:146" hidden="1">
      <c r="A281" s="884" t="s">
        <v>2764</v>
      </c>
      <c r="B281" s="884" t="s">
        <v>242</v>
      </c>
      <c r="C281" s="885" t="s">
        <v>242</v>
      </c>
      <c r="D281" s="885" t="s">
        <v>299</v>
      </c>
      <c r="E281" s="885" t="s">
        <v>37</v>
      </c>
      <c r="F281" s="885" t="s">
        <v>159</v>
      </c>
      <c r="G281" s="591" t="str">
        <f>VLOOKUP(WWWW[[#This Row],[Site Name]],SiteDB6[[Site Name]:[Location Type]],8,FALSE)</f>
        <v>Camp</v>
      </c>
      <c r="H281" s="885" t="s">
        <v>263</v>
      </c>
      <c r="I281" s="887">
        <v>19</v>
      </c>
      <c r="J281" s="887">
        <v>84</v>
      </c>
      <c r="K281" s="888">
        <v>44562</v>
      </c>
      <c r="L281" s="889">
        <v>44926</v>
      </c>
      <c r="M281" s="887"/>
      <c r="N281" s="887">
        <v>1</v>
      </c>
      <c r="O281" s="887"/>
      <c r="P281" s="887"/>
      <c r="Q281" s="890" t="s">
        <v>41</v>
      </c>
      <c r="R281" s="887">
        <v>2</v>
      </c>
      <c r="S281" s="887">
        <v>3</v>
      </c>
      <c r="T281" s="448">
        <v>1</v>
      </c>
      <c r="U281" s="887"/>
      <c r="V281" s="887"/>
      <c r="W281" s="887"/>
      <c r="X281" s="887">
        <v>1</v>
      </c>
      <c r="Y281" s="887"/>
      <c r="Z281" s="887"/>
      <c r="AA281" s="887"/>
      <c r="AB281" s="887"/>
      <c r="AC281" s="887"/>
      <c r="AD281" s="887"/>
      <c r="AE281" s="887"/>
      <c r="AF281" s="887"/>
      <c r="AG281" s="887"/>
      <c r="AH281" s="887"/>
      <c r="AI281" s="887"/>
      <c r="AJ281" s="887"/>
      <c r="AK281" s="887"/>
      <c r="AL281" s="887"/>
      <c r="AM281" s="887"/>
      <c r="AN281" s="887"/>
      <c r="AO281" s="448"/>
      <c r="AP281" s="891"/>
      <c r="AQ281" s="887">
        <v>5</v>
      </c>
      <c r="AR281" s="887"/>
      <c r="AS281" s="892"/>
      <c r="AT281" s="887"/>
      <c r="AU281" s="887"/>
      <c r="AV281" s="887">
        <v>3</v>
      </c>
      <c r="AW281" s="887"/>
      <c r="AX281" s="887"/>
      <c r="AY281" s="886" t="s">
        <v>41</v>
      </c>
      <c r="AZ281" s="891" t="s">
        <v>137</v>
      </c>
      <c r="BA281" s="887"/>
      <c r="BB281" s="887"/>
      <c r="BC281" s="887"/>
      <c r="BD281" s="448"/>
      <c r="BE281" s="448"/>
      <c r="BF281" s="886"/>
      <c r="BG281" s="887">
        <v>4</v>
      </c>
      <c r="BH281" s="887"/>
      <c r="BI281" s="887"/>
      <c r="BJ281" s="887">
        <v>3</v>
      </c>
      <c r="BK281" s="887"/>
      <c r="BL281" s="887"/>
      <c r="BM281" s="887"/>
      <c r="BN281" s="887">
        <v>19</v>
      </c>
      <c r="BO281" s="887"/>
      <c r="BP281" s="886" t="s">
        <v>136</v>
      </c>
      <c r="BQ281" s="893"/>
      <c r="BR281" s="892">
        <v>0.5</v>
      </c>
      <c r="BS281" s="886"/>
      <c r="BT281" s="423">
        <v>0.5</v>
      </c>
      <c r="BU281" s="423">
        <v>0.8</v>
      </c>
      <c r="BV281" s="425">
        <v>20</v>
      </c>
      <c r="BW281" s="423">
        <v>0.8</v>
      </c>
      <c r="BX281" s="448"/>
      <c r="BY281" s="448"/>
      <c r="BZ281" s="448"/>
      <c r="CA281" s="448"/>
      <c r="CB281" s="448"/>
      <c r="CC281" s="777"/>
      <c r="CD281" s="448"/>
      <c r="CE281" s="894" t="str">
        <f>IFERROR(WWWW[[#This Row],['#_Water sources passed]]/WWWW[[#This Row],['#_Water sources tested for fecal coliform ]],"no test")</f>
        <v>no test</v>
      </c>
      <c r="CF281" s="892" t="str">
        <f>IFERROR(WWWW[[#This Row],['#_Household passed]]/WWWW[[#This Row],['#_Household water samples tested for fecal coliform]],"no test")</f>
        <v>no test</v>
      </c>
      <c r="CG281" s="893" t="str">
        <f>IF(AND(WWWW[[#This Row],[% of water sources passed]]="no test",WWWW[[#This Row],[% Household passed]]="no test"),"No Test","Tested")</f>
        <v>No Test</v>
      </c>
      <c r="CH281" s="893">
        <f>WWWW[[#This Row],['#_Constructed/existing protected hand dug well]]-WWWW[[#This Row],['#_Non-functional protected hand dug well]]</f>
        <v>1</v>
      </c>
      <c r="CI281" s="893">
        <f>(WWWW[[#This Row],['#_Constructed/Existing tube wells/boreholes/handpumps_WASH_agency]]+WWWW[[#This Row],['#_Non-Cluster partner water tube-wells/boreholes/handpumps]])-WWWW[[#This Row],['#_Non-functional tube wells/boreholes/handpumps]]</f>
        <v>1</v>
      </c>
      <c r="CJ281" s="893">
        <f>WWWW[[#This Row],['#_Constructed/Existingwater storage tank with gravity fed reticulation system]]-WWWW[[#This Row],['#_Non-functional storage tank gravity fed reticulation system]]</f>
        <v>0</v>
      </c>
      <c r="CK281" s="893">
        <f>(WWWW[[#This Row],['#_Water_Liters_supplied_by_Water boating or water trucking]]/90)/15</f>
        <v>0</v>
      </c>
      <c r="CL281" s="893">
        <f>WWWW[[#This Row],['#_Water_Liters_from_Constructed/Existing water distribution system from river or natural spring]]/90/15</f>
        <v>0</v>
      </c>
      <c r="CM281" s="424">
        <f>IF(WWWW[[#This Row],['#_of water points in TLS/CFS]]*500&gt;WWWW[[#This Row],[Total PoP ]],WWWW[[#This Row],[Total PoP ]],WWWW[[#This Row],['#_of water points in TLS/CFS]]*500)</f>
        <v>0</v>
      </c>
      <c r="CN281" s="424">
        <f>IF(WWWW[[#This Row],['#_of water points in THF]]*500&gt;WWWW[[#This Row],[Total PoP ]],WWWW[[#This Row],[Total PoP ]],WWWW[[#This Row],['#_of water points in THF]]*500)</f>
        <v>0</v>
      </c>
      <c r="CO28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1" s="892">
        <f>IF(WWWW[[#This Row],[Location Type 1]]="Village",WWWW[[#This Row],[Access to safe drinking water for Village]],WWWW[[#This Row],[Access to safe drinking water for Camp]])</f>
        <v>1</v>
      </c>
      <c r="CR281" s="890">
        <f>WWWW[[#This Row],[%Equitable and continuous access to sufficient quantity of safe drinking water]]*WWWW[[#This Row],[Total PoP ]]</f>
        <v>84</v>
      </c>
      <c r="CS281" s="892">
        <f>IF((WWWW[[#This Row],['#_Constructed/Existing protected/fenced ponds]]*250)/WWWW[[#This Row],[Total PoP ]]&gt;1,1,(WWWW[[#This Row],['#_Constructed/Existing protected/fenced ponds]]*250)/WWWW[[#This Row],[Total PoP ]])</f>
        <v>0</v>
      </c>
      <c r="CT281" s="890">
        <f>WWWW[[#This Row],[% Access to unimproved water points]]*WWWW[[#This Row],[Total PoP ]]</f>
        <v>0</v>
      </c>
      <c r="CU28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84</v>
      </c>
      <c r="CW281" s="890">
        <f>WWWW[[#This Row],[HRP1]]/500</f>
        <v>0.16800000000000001</v>
      </c>
      <c r="CX281" s="895">
        <f>1-WWWW[[#This Row],[% Equitable and continuous access to sufficient quantity of domestic water]]</f>
        <v>0</v>
      </c>
      <c r="CY281" s="890">
        <f>WWWW[[#This Row],[%equitable and continuous access to sufficient quantity of safe drinking and domestic water''s GAP]]*WWWW[[#This Row],[Total PoP ]]</f>
        <v>0</v>
      </c>
      <c r="CZ281" s="893">
        <f>IF(WWWW[[#This Row],[Total required water points]]-WWWW[[#This Row],['#Water points coverage]]&lt;0,0,WWWW[[#This Row],[Total required water points]]-WWWW[[#This Row],['#Water points coverage]])</f>
        <v>0.83199999999999996</v>
      </c>
      <c r="DA281" s="893">
        <f>ROUND(IF(WWWW[[#This Row],[Total PoP ]]&lt;500,1,WWWW[[#This Row],[Total PoP ]]/500),0)</f>
        <v>1</v>
      </c>
      <c r="DB281" s="893">
        <f>(WWWW[[#This Row],['#_Constructed latrines_by_WASHAgencies]]+WWWW[[#This Row],['#_Non Cluster partner latrines]])-WWWW[[#This Row],['#_Non-functional latrines]]</f>
        <v>5</v>
      </c>
      <c r="DC281" s="631">
        <f>WWWW[[#This Row],[HRP2]]/WWWW[[#This Row],[Total PoP ]]</f>
        <v>1</v>
      </c>
      <c r="DD28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84</v>
      </c>
      <c r="DE28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28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1" s="424">
        <f>IF(WWWW[[#This Row],['# of functional latrines in THF supported by WASH partners during the reporting period2]]="",0,WWWW[[#This Row],['# of functional latrines in THF supported by WASH partners during the reporting period2]]*50)</f>
        <v>0</v>
      </c>
      <c r="DH281" s="893">
        <f>ROUND(IF(WWWW[[#This Row],[Location Type 1]]="camp",WWWW[[#This Row],[Total PoP ]]/20,IF(WWWW[[#This Row],[Location Type 1]]="Temporary Location",WWWW[[#This Row],[Total PoP ]]/50,(WWWW[[#This Row],[Total PoP ]]/6))),0)</f>
        <v>4</v>
      </c>
      <c r="DI281" s="893">
        <f>IF(WWWW[[#This Row],[Total required Latrines]]-(WWWW[[#This Row],['#_Constructed latrines_by_WASHAgencies]]+WWWW[[#This Row],['#_Non Cluster partner latrines]])&lt;0,0,WWWW[[#This Row],[Total required Latrines]]-(WWWW[[#This Row],['#_Constructed latrines_by_WASHAgencies]]+WWWW[[#This Row],['#_Non Cluster partner latrines]]))</f>
        <v>0</v>
      </c>
      <c r="DJ281" s="895">
        <f>1-WWWW[[#This Row],[% people access to functioning Latrine]]</f>
        <v>0</v>
      </c>
      <c r="DK281" s="894">
        <f>IF(OR(WWWW[[#This Row],['#_Non-functional latrines]]="",WWWW[[#This Row],['#_Non-functional latrines]]=0),0,WWWW[[#This Row],['#_Non-functional latrines]]/(WWWW[[#This Row],['#_Constructed latrines_by_WASHAgencies]]+WWWW[[#This Row],['#_Non Cluster partner latrines]]))</f>
        <v>0</v>
      </c>
      <c r="DL281" s="890">
        <f>IF(500*(WWWW[[#This Row],['#_male hygiene promoters]]+WWWW[[#This Row],['#_female hygiene promoters]])&gt;WWWW[[#This Row],[Total PoP ]],WWWW[[#This Row],[Total PoP ]],500*(WWWW[[#This Row],['#_male hygiene promoters]]+WWWW[[#This Row],['#_female hygiene promoters]]))</f>
        <v>0</v>
      </c>
      <c r="DM28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84</v>
      </c>
      <c r="DN28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1" s="893">
        <f>IF(WWWW[[#This Row],['# People with access to soap]]&gt;WWWW[[#This Row],['# People with access to Sanity Pads]],WWWW[[#This Row],['# People with access to soap]],WWWW[[#This Row],['# People with access to Sanity Pads]])</f>
        <v>84</v>
      </c>
      <c r="DP281" s="893">
        <f>IF(WWWW[[#This Row],['# people reached by regular dedicated hygiene promotion_5]]&gt;WWWW[[#This Row],['# People received regular supply of hygiene items_6]],WWWW[[#This Row],['# people reached by regular dedicated hygiene promotion_5]],WWWW[[#This Row],['# People received regular supply of hygiene items_6]])</f>
        <v>84</v>
      </c>
      <c r="DQ281" s="895">
        <f>IF(WWWW[[#This Row],[HRP3]]/WWWW[[#This Row],[Total PoP ]]&gt;1,1,WWWW[[#This Row],[HRP3]]/WWWW[[#This Row],[Total PoP ]])</f>
        <v>1</v>
      </c>
      <c r="DR281" s="894">
        <f>1-WWWW[[#This Row],[Hygiene Coverage%]]</f>
        <v>0</v>
      </c>
      <c r="DS281" s="892">
        <f>WWWW[[#This Row],['# people reached by regular dedicated hygiene promotion_5]]/WWWW[[#This Row],[Total PoP ]]</f>
        <v>0</v>
      </c>
      <c r="DT28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8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1" s="893">
        <f>WWWW[[#This Row],['#_Constructed/Existing hand washing stations]]-WWWW[[#This Row],['#_Non-Functional_hand_washing_stations]]</f>
        <v>4</v>
      </c>
      <c r="DW281" s="890">
        <f>IF(WWWW[[#This Row],['# Functional hand washing stations during reporting period]]*20&gt;WWWW[[#This Row],[Total HH]],WWWW[[#This Row],[Total HH]],WWWW[[#This Row],['# Functional hand washing stations during reporting period]]*20)</f>
        <v>19</v>
      </c>
      <c r="DX281" s="890">
        <f>IF(WWWW[[#This Row],[Is sufficient soap available for TLS? (Yes/No)]]="yes",WWWW[[#This Row],['#_Constructed/Existing hand washing stations at TLS/CFS/THF]],0)</f>
        <v>0</v>
      </c>
      <c r="DY281" s="428">
        <f>IF(WWWW[[#This Row],['# Functional hand washing stations during reporting period]]*100&gt;WWWW[[#This Row],[Total PoP ]],WWWW[[#This Row],[Total PoP ]],WWWW[[#This Row],['# Functional hand washing stations during reporting period]]*100)</f>
        <v>84</v>
      </c>
      <c r="DZ281" s="428" t="str">
        <f>IF(OR(WWWW[[#This Row],['#_students at TLS_CFS]]="",WWWW[[#This Row],['#_students at TLS_CFS]]=0),"No","Yes")</f>
        <v>No</v>
      </c>
      <c r="EA281" s="631">
        <f>IF(WWWW[[#This Row],['#_of_affected_people_surveyed_who_report_feeling_informed_about_the_different_WASH_services_available_to_them]]="","",WWWW[[#This Row],['#_of_affected_people_surveyed_who_report_feeling_informed_about_the_different_WASH_services_available_to_them]]/WWWW[[#This Row],[Total PoP ]])</f>
        <v>0.23809523809523808</v>
      </c>
      <c r="EB28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1" s="886" t="str">
        <f>VLOOKUP(WWWW[[#This Row],[Site Name]],SiteDB6[[Site Name]:[CCCM Management]],6,FALSE)</f>
        <v>Yes</v>
      </c>
      <c r="EF281" s="886" t="str">
        <f>VLOOKUP(WWWW[[#This Row],[Site Name]],SiteDB6[[Site Name]:[CCCM Focal Agency]],7,FALSE)</f>
        <v>Shalom</v>
      </c>
      <c r="EG281" s="886" t="str">
        <f>VLOOKUP(WWWW[[#This Row],[Site Name]],SiteDB6[[Site Name]:[Location Type 1]],9,FALSE)</f>
        <v>Camp</v>
      </c>
      <c r="EH281" s="886" t="str">
        <f>VLOOKUP(WWWW[[#This Row],[Site Name]],SiteDB6[[Site Name]:[Type of Accommodation]],10,FALSE)</f>
        <v>Camp</v>
      </c>
      <c r="EI281" s="886" t="str">
        <f>VLOOKUP(WWWW[[#This Row],[Site Name]],SiteDB6[[Site Name]:[Ethnic or GCA/NGCA]],11,FALSE)</f>
        <v>GCA</v>
      </c>
      <c r="EJ281" s="886">
        <f>VLOOKUP(WWWW[[#This Row],[Site Name]],SiteDB6[[Site Name]:[Lat]],12,FALSE)</f>
        <v>25.374343974359</v>
      </c>
      <c r="EK281" s="886">
        <f>VLOOKUP(WWWW[[#This Row],[Site Name]],SiteDB6[[Site Name]:[Long]],13,FALSE)</f>
        <v>97.2843958974359</v>
      </c>
      <c r="EL281" s="886" t="str">
        <f>VLOOKUP(WWWW[[#This Row],[Site Name]],SiteDB6[[Site Name]:[Pcode]],3,FALSE)</f>
        <v>MMR001CMP020</v>
      </c>
      <c r="EM281" s="891" t="str">
        <f t="shared" si="4"/>
        <v>Covered</v>
      </c>
      <c r="EN281" s="891"/>
      <c r="EO281" s="886">
        <f>VLOOKUP(WWWW[[#This Row],[Site Name]],SiteDB6[[Site Name]:[Pop
(Kachin/Shan-CCCM as of July 2021)]],16,FALSE)</f>
        <v>22</v>
      </c>
      <c r="EP281" s="886">
        <f>VLOOKUP(WWWW[[#This Row],[Site Name]],SiteDB6[[Site Name]:[Pop
(Kachin/Shan-CCCM as of July 2021)]],17,FALSE)</f>
        <v>90</v>
      </c>
    </row>
    <row r="282" spans="1:146" hidden="1">
      <c r="A282" s="884" t="s">
        <v>2764</v>
      </c>
      <c r="B282" s="884" t="s">
        <v>242</v>
      </c>
      <c r="C282" s="885" t="s">
        <v>242</v>
      </c>
      <c r="D282" s="885" t="s">
        <v>299</v>
      </c>
      <c r="E282" s="885" t="s">
        <v>37</v>
      </c>
      <c r="F282" s="885" t="s">
        <v>159</v>
      </c>
      <c r="G282" s="591" t="str">
        <f>VLOOKUP(WWWW[[#This Row],[Site Name]],SiteDB6[[Site Name]:[Location Type]],8,FALSE)</f>
        <v>Camp</v>
      </c>
      <c r="H282" s="885" t="s">
        <v>264</v>
      </c>
      <c r="I282" s="887">
        <v>29</v>
      </c>
      <c r="J282" s="887">
        <v>174</v>
      </c>
      <c r="K282" s="888">
        <v>44562</v>
      </c>
      <c r="L282" s="889">
        <v>44926</v>
      </c>
      <c r="M282" s="887"/>
      <c r="N282" s="887">
        <v>1</v>
      </c>
      <c r="O282" s="887">
        <v>1</v>
      </c>
      <c r="P282" s="887"/>
      <c r="Q282" s="890" t="s">
        <v>41</v>
      </c>
      <c r="R282" s="887">
        <v>3</v>
      </c>
      <c r="S282" s="887">
        <v>5</v>
      </c>
      <c r="T282" s="448">
        <v>2</v>
      </c>
      <c r="U282" s="887"/>
      <c r="V282" s="887"/>
      <c r="W282" s="887">
        <v>1</v>
      </c>
      <c r="X282" s="887">
        <v>1</v>
      </c>
      <c r="Y282" s="887"/>
      <c r="Z282" s="887"/>
      <c r="AA282" s="887"/>
      <c r="AB282" s="887"/>
      <c r="AC282" s="887"/>
      <c r="AD282" s="887"/>
      <c r="AE282" s="887">
        <v>2</v>
      </c>
      <c r="AF282" s="887"/>
      <c r="AG282" s="887"/>
      <c r="AH282" s="887"/>
      <c r="AI282" s="887"/>
      <c r="AJ282" s="887"/>
      <c r="AK282" s="887"/>
      <c r="AL282" s="887"/>
      <c r="AM282" s="887"/>
      <c r="AN282" s="887"/>
      <c r="AO282" s="448"/>
      <c r="AP282" s="891"/>
      <c r="AQ282" s="887">
        <v>6</v>
      </c>
      <c r="AR282" s="887"/>
      <c r="AS282" s="892"/>
      <c r="AT282" s="887"/>
      <c r="AU282" s="887"/>
      <c r="AV282" s="887">
        <v>6</v>
      </c>
      <c r="AW282" s="887"/>
      <c r="AX282" s="887"/>
      <c r="AY282" s="886" t="s">
        <v>136</v>
      </c>
      <c r="AZ282" s="891" t="s">
        <v>137</v>
      </c>
      <c r="BA282" s="887"/>
      <c r="BB282" s="887"/>
      <c r="BC282" s="887"/>
      <c r="BD282" s="448"/>
      <c r="BE282" s="448"/>
      <c r="BF282" s="886"/>
      <c r="BG282" s="887">
        <v>4</v>
      </c>
      <c r="BH282" s="887"/>
      <c r="BI282" s="887"/>
      <c r="BJ282" s="887">
        <v>2</v>
      </c>
      <c r="BK282" s="887"/>
      <c r="BL282" s="887"/>
      <c r="BM282" s="887">
        <v>2</v>
      </c>
      <c r="BN282" s="887">
        <v>29</v>
      </c>
      <c r="BO282" s="887"/>
      <c r="BP282" s="886" t="s">
        <v>41</v>
      </c>
      <c r="BQ282" s="893">
        <v>4</v>
      </c>
      <c r="BR282" s="892">
        <v>0.4</v>
      </c>
      <c r="BS282" s="886"/>
      <c r="BT282" s="423">
        <v>1</v>
      </c>
      <c r="BU282" s="423">
        <v>1</v>
      </c>
      <c r="BV282" s="425">
        <v>40</v>
      </c>
      <c r="BW282" s="423">
        <v>0.7</v>
      </c>
      <c r="BX282" s="448"/>
      <c r="BY282" s="448"/>
      <c r="BZ282" s="448"/>
      <c r="CA282" s="448"/>
      <c r="CB282" s="448"/>
      <c r="CC282" s="777"/>
      <c r="CD282" s="448"/>
      <c r="CE282" s="894" t="str">
        <f>IFERROR(WWWW[[#This Row],['#_Water sources passed]]/WWWW[[#This Row],['#_Water sources tested for fecal coliform ]],"no test")</f>
        <v>no test</v>
      </c>
      <c r="CF282" s="892" t="str">
        <f>IFERROR(WWWW[[#This Row],['#_Household passed]]/WWWW[[#This Row],['#_Household water samples tested for fecal coliform]],"no test")</f>
        <v>no test</v>
      </c>
      <c r="CG282" s="893" t="str">
        <f>IF(AND(WWWW[[#This Row],[% of water sources passed]]="no test",WWWW[[#This Row],[% Household passed]]="no test"),"No Test","Tested")</f>
        <v>No Test</v>
      </c>
      <c r="CH282" s="893">
        <f>WWWW[[#This Row],['#_Constructed/existing protected hand dug well]]-WWWW[[#This Row],['#_Non-functional protected hand dug well]]</f>
        <v>2</v>
      </c>
      <c r="CI282" s="893">
        <f>(WWWW[[#This Row],['#_Constructed/Existing tube wells/boreholes/handpumps_WASH_agency]]+WWWW[[#This Row],['#_Non-Cluster partner water tube-wells/boreholes/handpumps]])-WWWW[[#This Row],['#_Non-functional tube wells/boreholes/handpumps]]</f>
        <v>2</v>
      </c>
      <c r="CJ282" s="893">
        <f>WWWW[[#This Row],['#_Constructed/Existingwater storage tank with gravity fed reticulation system]]-WWWW[[#This Row],['#_Non-functional storage tank gravity fed reticulation system]]</f>
        <v>0</v>
      </c>
      <c r="CK282" s="893">
        <f>(WWWW[[#This Row],['#_Water_Liters_supplied_by_Water boating or water trucking]]/90)/15</f>
        <v>0</v>
      </c>
      <c r="CL282" s="893">
        <f>WWWW[[#This Row],['#_Water_Liters_from_Constructed/Existing water distribution system from river or natural spring]]/90/15</f>
        <v>0</v>
      </c>
      <c r="CM282" s="424">
        <f>IF(WWWW[[#This Row],['#_of water points in TLS/CFS]]*500&gt;WWWW[[#This Row],[Total PoP ]],WWWW[[#This Row],[Total PoP ]],WWWW[[#This Row],['#_of water points in TLS/CFS]]*500)</f>
        <v>0</v>
      </c>
      <c r="CN282" s="424">
        <f>IF(WWWW[[#This Row],['#_of water points in THF]]*500&gt;WWWW[[#This Row],[Total PoP ]],WWWW[[#This Row],[Total PoP ]],WWWW[[#This Row],['#_of water points in THF]]*500)</f>
        <v>0</v>
      </c>
      <c r="CO28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2" s="892">
        <f>IF(WWWW[[#This Row],[Location Type 1]]="Village",WWWW[[#This Row],[Access to safe drinking water for Village]],WWWW[[#This Row],[Access to safe drinking water for Camp]])</f>
        <v>1</v>
      </c>
      <c r="CR282" s="890">
        <f>WWWW[[#This Row],[%Equitable and continuous access to sufficient quantity of safe drinking water]]*WWWW[[#This Row],[Total PoP ]]</f>
        <v>174</v>
      </c>
      <c r="CS282" s="892">
        <f>IF((WWWW[[#This Row],['#_Constructed/Existing protected/fenced ponds]]*250)/WWWW[[#This Row],[Total PoP ]]&gt;1,1,(WWWW[[#This Row],['#_Constructed/Existing protected/fenced ponds]]*250)/WWWW[[#This Row],[Total PoP ]])</f>
        <v>1</v>
      </c>
      <c r="CT282" s="890">
        <f>WWWW[[#This Row],[% Access to unimproved water points]]*WWWW[[#This Row],[Total PoP ]]</f>
        <v>174</v>
      </c>
      <c r="CU28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174</v>
      </c>
      <c r="CW282" s="890">
        <f>WWWW[[#This Row],[HRP1]]/500</f>
        <v>0.34799999999999998</v>
      </c>
      <c r="CX282" s="895">
        <f>1-WWWW[[#This Row],[% Equitable and continuous access to sufficient quantity of domestic water]]</f>
        <v>0</v>
      </c>
      <c r="CY282" s="890">
        <f>WWWW[[#This Row],[%equitable and continuous access to sufficient quantity of safe drinking and domestic water''s GAP]]*WWWW[[#This Row],[Total PoP ]]</f>
        <v>0</v>
      </c>
      <c r="CZ282" s="893">
        <f>IF(WWWW[[#This Row],[Total required water points]]-WWWW[[#This Row],['#Water points coverage]]&lt;0,0,WWWW[[#This Row],[Total required water points]]-WWWW[[#This Row],['#Water points coverage]])</f>
        <v>0.65200000000000002</v>
      </c>
      <c r="DA282" s="893">
        <f>ROUND(IF(WWWW[[#This Row],[Total PoP ]]&lt;500,1,WWWW[[#This Row],[Total PoP ]]/500),0)</f>
        <v>1</v>
      </c>
      <c r="DB282" s="893">
        <f>(WWWW[[#This Row],['#_Constructed latrines_by_WASHAgencies]]+WWWW[[#This Row],['#_Non Cluster partner latrines]])-WWWW[[#This Row],['#_Non-functional latrines]]</f>
        <v>6</v>
      </c>
      <c r="DC282" s="631">
        <f>WWWW[[#This Row],[HRP2]]/WWWW[[#This Row],[Total PoP ]]</f>
        <v>0.68965517241379315</v>
      </c>
      <c r="DD28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28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28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2" s="424">
        <f>IF(WWWW[[#This Row],['# of functional latrines in THF supported by WASH partners during the reporting period2]]="",0,WWWW[[#This Row],['# of functional latrines in THF supported by WASH partners during the reporting period2]]*50)</f>
        <v>0</v>
      </c>
      <c r="DH282" s="893">
        <f>ROUND(IF(WWWW[[#This Row],[Location Type 1]]="camp",WWWW[[#This Row],[Total PoP ]]/20,IF(WWWW[[#This Row],[Location Type 1]]="Temporary Location",WWWW[[#This Row],[Total PoP ]]/50,(WWWW[[#This Row],[Total PoP ]]/6))),0)</f>
        <v>9</v>
      </c>
      <c r="DI282" s="893">
        <f>IF(WWWW[[#This Row],[Total required Latrines]]-(WWWW[[#This Row],['#_Constructed latrines_by_WASHAgencies]]+WWWW[[#This Row],['#_Non Cluster partner latrines]])&lt;0,0,WWWW[[#This Row],[Total required Latrines]]-(WWWW[[#This Row],['#_Constructed latrines_by_WASHAgencies]]+WWWW[[#This Row],['#_Non Cluster partner latrines]]))</f>
        <v>3</v>
      </c>
      <c r="DJ282" s="895">
        <f>1-WWWW[[#This Row],[% people access to functioning Latrine]]</f>
        <v>0.31034482758620685</v>
      </c>
      <c r="DK282" s="894">
        <f>IF(OR(WWWW[[#This Row],['#_Non-functional latrines]]="",WWWW[[#This Row],['#_Non-functional latrines]]=0),0,WWWW[[#This Row],['#_Non-functional latrines]]/(WWWW[[#This Row],['#_Constructed latrines_by_WASHAgencies]]+WWWW[[#This Row],['#_Non Cluster partner latrines]]))</f>
        <v>0</v>
      </c>
      <c r="DL282" s="890">
        <f>IF(500*(WWWW[[#This Row],['#_male hygiene promoters]]+WWWW[[#This Row],['#_female hygiene promoters]])&gt;WWWW[[#This Row],[Total PoP ]],WWWW[[#This Row],[Total PoP ]],500*(WWWW[[#This Row],['#_male hygiene promoters]]+WWWW[[#This Row],['#_female hygiene promoters]]))</f>
        <v>174</v>
      </c>
      <c r="DM28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174</v>
      </c>
      <c r="DN28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2" s="893">
        <f>IF(WWWW[[#This Row],['# People with access to soap]]&gt;WWWW[[#This Row],['# People with access to Sanity Pads]],WWWW[[#This Row],['# People with access to soap]],WWWW[[#This Row],['# People with access to Sanity Pads]])</f>
        <v>174</v>
      </c>
      <c r="DP282" s="893">
        <f>IF(WWWW[[#This Row],['# people reached by regular dedicated hygiene promotion_5]]&gt;WWWW[[#This Row],['# People received regular supply of hygiene items_6]],WWWW[[#This Row],['# people reached by regular dedicated hygiene promotion_5]],WWWW[[#This Row],['# People received regular supply of hygiene items_6]])</f>
        <v>174</v>
      </c>
      <c r="DQ282" s="895">
        <f>IF(WWWW[[#This Row],[HRP3]]/WWWW[[#This Row],[Total PoP ]]&gt;1,1,WWWW[[#This Row],[HRP3]]/WWWW[[#This Row],[Total PoP ]])</f>
        <v>1</v>
      </c>
      <c r="DR282" s="894">
        <f>1-WWWW[[#This Row],[Hygiene Coverage%]]</f>
        <v>0</v>
      </c>
      <c r="DS282" s="892">
        <f>WWWW[[#This Row],['# people reached by regular dedicated hygiene promotion_5]]/WWWW[[#This Row],[Total PoP ]]</f>
        <v>1</v>
      </c>
      <c r="DT28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8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2" s="893">
        <f>WWWW[[#This Row],['#_Constructed/Existing hand washing stations]]-WWWW[[#This Row],['#_Non-Functional_hand_washing_stations]]</f>
        <v>4</v>
      </c>
      <c r="DW282" s="890">
        <f>IF(WWWW[[#This Row],['# Functional hand washing stations during reporting period]]*20&gt;WWWW[[#This Row],[Total HH]],WWWW[[#This Row],[Total HH]],WWWW[[#This Row],['# Functional hand washing stations during reporting period]]*20)</f>
        <v>29</v>
      </c>
      <c r="DX282" s="890">
        <f>IF(WWWW[[#This Row],[Is sufficient soap available for TLS? (Yes/No)]]="yes",WWWW[[#This Row],['#_Constructed/Existing hand washing stations at TLS/CFS/THF]],0)</f>
        <v>0</v>
      </c>
      <c r="DY282" s="428">
        <f>IF(WWWW[[#This Row],['# Functional hand washing stations during reporting period]]*100&gt;WWWW[[#This Row],[Total PoP ]],WWWW[[#This Row],[Total PoP ]],WWWW[[#This Row],['# Functional hand washing stations during reporting period]]*100)</f>
        <v>174</v>
      </c>
      <c r="DZ282" s="428" t="str">
        <f>IF(OR(WWWW[[#This Row],['#_students at TLS_CFS]]="",WWWW[[#This Row],['#_students at TLS_CFS]]=0),"No","Yes")</f>
        <v>No</v>
      </c>
      <c r="EA282" s="631">
        <f>IF(WWWW[[#This Row],['#_of_affected_people_surveyed_who_report_feeling_informed_about_the_different_WASH_services_available_to_them]]="","",WWWW[[#This Row],['#_of_affected_people_surveyed_who_report_feeling_informed_about_the_different_WASH_services_available_to_them]]/WWWW[[#This Row],[Total PoP ]])</f>
        <v>0.22988505747126436</v>
      </c>
      <c r="EB28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2" s="886" t="str">
        <f>VLOOKUP(WWWW[[#This Row],[Site Name]],SiteDB6[[Site Name]:[CCCM Management]],6,FALSE)</f>
        <v>Yes</v>
      </c>
      <c r="EF282" s="886" t="str">
        <f>VLOOKUP(WWWW[[#This Row],[Site Name]],SiteDB6[[Site Name]:[CCCM Focal Agency]],7,FALSE)</f>
        <v>Shalom</v>
      </c>
      <c r="EG282" s="886" t="str">
        <f>VLOOKUP(WWWW[[#This Row],[Site Name]],SiteDB6[[Site Name]:[Location Type 1]],9,FALSE)</f>
        <v>Camp</v>
      </c>
      <c r="EH282" s="886" t="str">
        <f>VLOOKUP(WWWW[[#This Row],[Site Name]],SiteDB6[[Site Name]:[Type of Accommodation]],10,FALSE)</f>
        <v>Camp</v>
      </c>
      <c r="EI282" s="886" t="str">
        <f>VLOOKUP(WWWW[[#This Row],[Site Name]],SiteDB6[[Site Name]:[Ethnic or GCA/NGCA]],11,FALSE)</f>
        <v>GCA</v>
      </c>
      <c r="EJ282" s="886">
        <f>VLOOKUP(WWWW[[#This Row],[Site Name]],SiteDB6[[Site Name]:[Lat]],12,FALSE)</f>
        <v>25.371049444444399</v>
      </c>
      <c r="EK282" s="886">
        <f>VLOOKUP(WWWW[[#This Row],[Site Name]],SiteDB6[[Site Name]:[Long]],13,FALSE)</f>
        <v>97.290952037037002</v>
      </c>
      <c r="EL282" s="886" t="str">
        <f>VLOOKUP(WWWW[[#This Row],[Site Name]],SiteDB6[[Site Name]:[Pcode]],3,FALSE)</f>
        <v>MMR001CMP021</v>
      </c>
      <c r="EM282" s="891" t="str">
        <f t="shared" si="4"/>
        <v>Covered</v>
      </c>
      <c r="EN282" s="891"/>
      <c r="EO282" s="886">
        <f>VLOOKUP(WWWW[[#This Row],[Site Name]],SiteDB6[[Site Name]:[Pop
(Kachin/Shan-CCCM as of July 2021)]],16,FALSE)</f>
        <v>30</v>
      </c>
      <c r="EP282" s="886">
        <f>VLOOKUP(WWWW[[#This Row],[Site Name]],SiteDB6[[Site Name]:[Pop
(Kachin/Shan-CCCM as of July 2021)]],17,FALSE)</f>
        <v>177</v>
      </c>
    </row>
    <row r="283" spans="1:146" hidden="1">
      <c r="A283" s="884" t="s">
        <v>2764</v>
      </c>
      <c r="B283" s="884" t="s">
        <v>309</v>
      </c>
      <c r="C283" s="885" t="s">
        <v>309</v>
      </c>
      <c r="D283" s="885"/>
      <c r="E283" s="885" t="s">
        <v>37</v>
      </c>
      <c r="F283" s="885" t="s">
        <v>148</v>
      </c>
      <c r="G283" s="591" t="str">
        <f>VLOOKUP(WWWW[[#This Row],[Site Name]],SiteDB6[[Site Name]:[Location Type]],8,FALSE)</f>
        <v>Camp</v>
      </c>
      <c r="H283" s="885" t="s">
        <v>257</v>
      </c>
      <c r="I283" s="887">
        <v>3</v>
      </c>
      <c r="J283" s="887">
        <v>15</v>
      </c>
      <c r="K283" s="888" t="s">
        <v>2650</v>
      </c>
      <c r="L283" s="889" t="s">
        <v>2651</v>
      </c>
      <c r="M283" s="887"/>
      <c r="N283" s="887">
        <v>0</v>
      </c>
      <c r="O283" s="887"/>
      <c r="P283" s="887"/>
      <c r="Q283" s="890" t="s">
        <v>41</v>
      </c>
      <c r="R283" s="887"/>
      <c r="S283" s="887">
        <v>5</v>
      </c>
      <c r="T283" s="448">
        <v>1</v>
      </c>
      <c r="U283" s="887"/>
      <c r="V283" s="887"/>
      <c r="W283" s="887">
        <v>1</v>
      </c>
      <c r="X283" s="887"/>
      <c r="Y283" s="887"/>
      <c r="Z283" s="887"/>
      <c r="AA283" s="887"/>
      <c r="AB283" s="887"/>
      <c r="AC283" s="887"/>
      <c r="AD283" s="887"/>
      <c r="AE283" s="887"/>
      <c r="AF283" s="887"/>
      <c r="AG283" s="887"/>
      <c r="AH283" s="887">
        <v>1</v>
      </c>
      <c r="AI283" s="887"/>
      <c r="AJ283" s="887"/>
      <c r="AK283" s="887"/>
      <c r="AL283" s="887"/>
      <c r="AM283" s="887"/>
      <c r="AN283" s="887"/>
      <c r="AO283" s="448"/>
      <c r="AP283" s="891"/>
      <c r="AQ283" s="887">
        <v>0</v>
      </c>
      <c r="AR283" s="887"/>
      <c r="AS283" s="892"/>
      <c r="AT283" s="887"/>
      <c r="AU283" s="887"/>
      <c r="AV283" s="887"/>
      <c r="AW283" s="887"/>
      <c r="AX283" s="887">
        <v>0</v>
      </c>
      <c r="AY283" s="886" t="s">
        <v>41</v>
      </c>
      <c r="AZ283" s="891" t="s">
        <v>904</v>
      </c>
      <c r="BA283" s="887"/>
      <c r="BB283" s="887"/>
      <c r="BC283" s="887"/>
      <c r="BD283" s="448"/>
      <c r="BE283" s="448"/>
      <c r="BF283" s="886"/>
      <c r="BG283" s="887">
        <v>7</v>
      </c>
      <c r="BH283" s="887"/>
      <c r="BI283" s="887">
        <v>0</v>
      </c>
      <c r="BJ283" s="887">
        <v>4</v>
      </c>
      <c r="BK283" s="887"/>
      <c r="BL283" s="887"/>
      <c r="BM283" s="887"/>
      <c r="BN283" s="887"/>
      <c r="BO283" s="887"/>
      <c r="BP283" s="886"/>
      <c r="BQ283" s="893"/>
      <c r="BR283" s="892"/>
      <c r="BS283" s="886"/>
      <c r="BT283" s="423"/>
      <c r="BU283" s="423"/>
      <c r="BV283" s="425"/>
      <c r="BW283" s="423"/>
      <c r="BX283" s="448"/>
      <c r="BY283" s="448"/>
      <c r="BZ283" s="448"/>
      <c r="CA283" s="448"/>
      <c r="CB283" s="448"/>
      <c r="CC283" s="777"/>
      <c r="CD283" s="448"/>
      <c r="CE283" s="894" t="str">
        <f>IFERROR(WWWW[[#This Row],['#_Water sources passed]]/WWWW[[#This Row],['#_Water sources tested for fecal coliform ]],"no test")</f>
        <v>no test</v>
      </c>
      <c r="CF283" s="892" t="str">
        <f>IFERROR(WWWW[[#This Row],['#_Household passed]]/WWWW[[#This Row],['#_Household water samples tested for fecal coliform]],"no test")</f>
        <v>no test</v>
      </c>
      <c r="CG283" s="893" t="str">
        <f>IF(AND(WWWW[[#This Row],[% of water sources passed]]="no test",WWWW[[#This Row],[% Household passed]]="no test"),"No Test","Tested")</f>
        <v>No Test</v>
      </c>
      <c r="CH283" s="893">
        <f>WWWW[[#This Row],['#_Constructed/existing protected hand dug well]]-WWWW[[#This Row],['#_Non-functional protected hand dug well]]</f>
        <v>1</v>
      </c>
      <c r="CI283" s="893">
        <f>(WWWW[[#This Row],['#_Constructed/Existing tube wells/boreholes/handpumps_WASH_agency]]+WWWW[[#This Row],['#_Non-Cluster partner water tube-wells/boreholes/handpumps]])-WWWW[[#This Row],['#_Non-functional tube wells/boreholes/handpumps]]</f>
        <v>1</v>
      </c>
      <c r="CJ283" s="893">
        <f>WWWW[[#This Row],['#_Constructed/Existingwater storage tank with gravity fed reticulation system]]-WWWW[[#This Row],['#_Non-functional storage tank gravity fed reticulation system]]</f>
        <v>0</v>
      </c>
      <c r="CK283" s="893">
        <f>(WWWW[[#This Row],['#_Water_Liters_supplied_by_Water boating or water trucking]]/90)/15</f>
        <v>0</v>
      </c>
      <c r="CL283" s="893">
        <f>WWWW[[#This Row],['#_Water_Liters_from_Constructed/Existing water distribution system from river or natural spring]]/90/15</f>
        <v>0</v>
      </c>
      <c r="CM283" s="424">
        <f>IF(WWWW[[#This Row],['#_of water points in TLS/CFS]]*500&gt;WWWW[[#This Row],[Total PoP ]],WWWW[[#This Row],[Total PoP ]],WWWW[[#This Row],['#_of water points in TLS/CFS]]*500)</f>
        <v>0</v>
      </c>
      <c r="CN283" s="424">
        <f>IF(WWWW[[#This Row],['#_of water points in THF]]*500&gt;WWWW[[#This Row],[Total PoP ]],WWWW[[#This Row],[Total PoP ]],WWWW[[#This Row],['#_of water points in THF]]*500)</f>
        <v>0</v>
      </c>
      <c r="CO28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3" s="892">
        <f>IF(WWWW[[#This Row],[Location Type 1]]="Village",WWWW[[#This Row],[Access to safe drinking water for Village]],WWWW[[#This Row],[Access to safe drinking water for Camp]])</f>
        <v>1</v>
      </c>
      <c r="CR283" s="890">
        <f>WWWW[[#This Row],[%Equitable and continuous access to sufficient quantity of safe drinking water]]*WWWW[[#This Row],[Total PoP ]]</f>
        <v>15</v>
      </c>
      <c r="CS283" s="892">
        <f>IF((WWWW[[#This Row],['#_Constructed/Existing protected/fenced ponds]]*250)/WWWW[[#This Row],[Total PoP ]]&gt;1,1,(WWWW[[#This Row],['#_Constructed/Existing protected/fenced ponds]]*250)/WWWW[[#This Row],[Total PoP ]])</f>
        <v>0</v>
      </c>
      <c r="CT283" s="890">
        <f>WWWW[[#This Row],[% Access to unimproved water points]]*WWWW[[#This Row],[Total PoP ]]</f>
        <v>0</v>
      </c>
      <c r="CU28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W283" s="890">
        <f>WWWW[[#This Row],[HRP1]]/500</f>
        <v>0.03</v>
      </c>
      <c r="CX283" s="895">
        <f>1-WWWW[[#This Row],[% Equitable and continuous access to sufficient quantity of domestic water]]</f>
        <v>0</v>
      </c>
      <c r="CY283" s="890">
        <f>WWWW[[#This Row],[%equitable and continuous access to sufficient quantity of safe drinking and domestic water''s GAP]]*WWWW[[#This Row],[Total PoP ]]</f>
        <v>0</v>
      </c>
      <c r="CZ283" s="893">
        <f>IF(WWWW[[#This Row],[Total required water points]]-WWWW[[#This Row],['#Water points coverage]]&lt;0,0,WWWW[[#This Row],[Total required water points]]-WWWW[[#This Row],['#Water points coverage]])</f>
        <v>0.97</v>
      </c>
      <c r="DA283" s="893">
        <f>ROUND(IF(WWWW[[#This Row],[Total PoP ]]&lt;500,1,WWWW[[#This Row],[Total PoP ]]/500),0)</f>
        <v>1</v>
      </c>
      <c r="DB283" s="893">
        <f>(WWWW[[#This Row],['#_Constructed latrines_by_WASHAgencies]]+WWWW[[#This Row],['#_Non Cluster partner latrines]])-WWWW[[#This Row],['#_Non-functional latrines]]</f>
        <v>0</v>
      </c>
      <c r="DC283" s="631">
        <f>WWWW[[#This Row],[HRP2]]/WWWW[[#This Row],[Total PoP ]]</f>
        <v>0</v>
      </c>
      <c r="DD28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8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3" s="424">
        <f>IF(WWWW[[#This Row],['# of functional latrines in THF supported by WASH partners during the reporting period2]]="",0,WWWW[[#This Row],['# of functional latrines in THF supported by WASH partners during the reporting period2]]*50)</f>
        <v>0</v>
      </c>
      <c r="DH283" s="893">
        <f>ROUND(IF(WWWW[[#This Row],[Location Type 1]]="camp",WWWW[[#This Row],[Total PoP ]]/20,IF(WWWW[[#This Row],[Location Type 1]]="Temporary Location",WWWW[[#This Row],[Total PoP ]]/50,(WWWW[[#This Row],[Total PoP ]]/6))),0)</f>
        <v>1</v>
      </c>
      <c r="DI283" s="893">
        <f>IF(WWWW[[#This Row],[Total required Latrines]]-(WWWW[[#This Row],['#_Constructed latrines_by_WASHAgencies]]+WWWW[[#This Row],['#_Non Cluster partner latrines]])&lt;0,0,WWWW[[#This Row],[Total required Latrines]]-(WWWW[[#This Row],['#_Constructed latrines_by_WASHAgencies]]+WWWW[[#This Row],['#_Non Cluster partner latrines]]))</f>
        <v>1</v>
      </c>
      <c r="DJ283" s="895">
        <f>1-WWWW[[#This Row],[% people access to functioning Latrine]]</f>
        <v>1</v>
      </c>
      <c r="DK283" s="894">
        <f>IF(OR(WWWW[[#This Row],['#_Non-functional latrines]]="",WWWW[[#This Row],['#_Non-functional latrines]]=0),0,WWWW[[#This Row],['#_Non-functional latrines]]/(WWWW[[#This Row],['#_Constructed latrines_by_WASHAgencies]]+WWWW[[#This Row],['#_Non Cluster partner latrines]]))</f>
        <v>0</v>
      </c>
      <c r="DL283" s="890">
        <f>IF(500*(WWWW[[#This Row],['#_male hygiene promoters]]+WWWW[[#This Row],['#_female hygiene promoters]])&gt;WWWW[[#This Row],[Total PoP ]],WWWW[[#This Row],[Total PoP ]],500*(WWWW[[#This Row],['#_male hygiene promoters]]+WWWW[[#This Row],['#_female hygiene promoters]]))</f>
        <v>0</v>
      </c>
      <c r="DM28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3" s="893">
        <f>IF(WWWW[[#This Row],['# People with access to soap]]&gt;WWWW[[#This Row],['# People with access to Sanity Pads]],WWWW[[#This Row],['# People with access to soap]],WWWW[[#This Row],['# People with access to Sanity Pads]])</f>
        <v>0</v>
      </c>
      <c r="DP283"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83" s="895">
        <f>IF(WWWW[[#This Row],[HRP3]]/WWWW[[#This Row],[Total PoP ]]&gt;1,1,WWWW[[#This Row],[HRP3]]/WWWW[[#This Row],[Total PoP ]])</f>
        <v>0</v>
      </c>
      <c r="DR283" s="894">
        <f>1-WWWW[[#This Row],[Hygiene Coverage%]]</f>
        <v>1</v>
      </c>
      <c r="DS283" s="892">
        <f>WWWW[[#This Row],['# people reached by regular dedicated hygiene promotion_5]]/WWWW[[#This Row],[Total PoP ]]</f>
        <v>0</v>
      </c>
      <c r="DT28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3" s="893">
        <f>WWWW[[#This Row],['#_Constructed/Existing hand washing stations]]-WWWW[[#This Row],['#_Non-Functional_hand_washing_stations]]</f>
        <v>7</v>
      </c>
      <c r="DW283" s="890">
        <f>IF(WWWW[[#This Row],['# Functional hand washing stations during reporting period]]*20&gt;WWWW[[#This Row],[Total HH]],WWWW[[#This Row],[Total HH]],WWWW[[#This Row],['# Functional hand washing stations during reporting period]]*20)</f>
        <v>3</v>
      </c>
      <c r="DX283" s="890">
        <f>IF(WWWW[[#This Row],[Is sufficient soap available for TLS? (Yes/No)]]="yes",WWWW[[#This Row],['#_Constructed/Existing hand washing stations at TLS/CFS/THF]],0)</f>
        <v>0</v>
      </c>
      <c r="DY283" s="428">
        <f>IF(WWWW[[#This Row],['# Functional hand washing stations during reporting period]]*100&gt;WWWW[[#This Row],[Total PoP ]],WWWW[[#This Row],[Total PoP ]],WWWW[[#This Row],['# Functional hand washing stations during reporting period]]*100)</f>
        <v>15</v>
      </c>
      <c r="DZ283" s="428" t="str">
        <f>IF(OR(WWWW[[#This Row],['#_students at TLS_CFS]]="",WWWW[[#This Row],['#_students at TLS_CFS]]=0),"No","Yes")</f>
        <v>No</v>
      </c>
      <c r="EA28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3" s="886" t="str">
        <f>VLOOKUP(WWWW[[#This Row],[Site Name]],SiteDB6[[Site Name]:[CCCM Management]],6,FALSE)</f>
        <v>Yes</v>
      </c>
      <c r="EF283" s="886" t="str">
        <f>VLOOKUP(WWWW[[#This Row],[Site Name]],SiteDB6[[Site Name]:[CCCM Focal Agency]],7,FALSE)</f>
        <v>Shalom</v>
      </c>
      <c r="EG283" s="886" t="str">
        <f>VLOOKUP(WWWW[[#This Row],[Site Name]],SiteDB6[[Site Name]:[Location Type 1]],9,FALSE)</f>
        <v>Camp</v>
      </c>
      <c r="EH283" s="886" t="str">
        <f>VLOOKUP(WWWW[[#This Row],[Site Name]],SiteDB6[[Site Name]:[Type of Accommodation]],10,FALSE)</f>
        <v>Camp like setting</v>
      </c>
      <c r="EI283" s="886" t="str">
        <f>VLOOKUP(WWWW[[#This Row],[Site Name]],SiteDB6[[Site Name]:[Ethnic or GCA/NGCA]],11,FALSE)</f>
        <v>GCA</v>
      </c>
      <c r="EJ283" s="886">
        <f>VLOOKUP(WWWW[[#This Row],[Site Name]],SiteDB6[[Site Name]:[Lat]],12,FALSE)</f>
        <v>25.6145</v>
      </c>
      <c r="EK283" s="886">
        <f>VLOOKUP(WWWW[[#This Row],[Site Name]],SiteDB6[[Site Name]:[Long]],13,FALSE)</f>
        <v>96.319829999999996</v>
      </c>
      <c r="EL283" s="886" t="str">
        <f>VLOOKUP(WWWW[[#This Row],[Site Name]],SiteDB6[[Site Name]:[Pcode]],3,FALSE)</f>
        <v>MMR001CMP091</v>
      </c>
      <c r="EM283" s="891" t="str">
        <f t="shared" si="4"/>
        <v>Notcovered</v>
      </c>
      <c r="EN283" s="891"/>
      <c r="EO283" s="886">
        <f>VLOOKUP(WWWW[[#This Row],[Site Name]],SiteDB6[[Site Name]:[Pop
(Kachin/Shan-CCCM as of July 2021)]],16,FALSE)</f>
        <v>3</v>
      </c>
      <c r="EP283" s="886">
        <f>VLOOKUP(WWWW[[#This Row],[Site Name]],SiteDB6[[Site Name]:[Pop
(Kachin/Shan-CCCM as of July 2021)]],17,FALSE)</f>
        <v>14</v>
      </c>
    </row>
    <row r="284" spans="1:146" hidden="1">
      <c r="A284" s="884" t="s">
        <v>2764</v>
      </c>
      <c r="B284" s="884" t="s">
        <v>309</v>
      </c>
      <c r="C284" s="885" t="s">
        <v>309</v>
      </c>
      <c r="D284" s="885"/>
      <c r="E284" s="885" t="s">
        <v>37</v>
      </c>
      <c r="F284" s="885" t="s">
        <v>157</v>
      </c>
      <c r="G284" s="591" t="str">
        <f>VLOOKUP(WWWW[[#This Row],[Site Name]],SiteDB6[[Site Name]:[Location Type]],8,FALSE)</f>
        <v>Camp</v>
      </c>
      <c r="H284" s="726" t="s">
        <v>3027</v>
      </c>
      <c r="I284" s="887">
        <v>15</v>
      </c>
      <c r="J284" s="887">
        <v>71</v>
      </c>
      <c r="K284" s="888" t="s">
        <v>2650</v>
      </c>
      <c r="L284" s="889" t="s">
        <v>2651</v>
      </c>
      <c r="M284" s="887"/>
      <c r="N284" s="887"/>
      <c r="O284" s="887"/>
      <c r="P284" s="887"/>
      <c r="Q284" s="890"/>
      <c r="R284" s="887"/>
      <c r="S284" s="887">
        <v>4</v>
      </c>
      <c r="T284" s="448"/>
      <c r="U284" s="887"/>
      <c r="V284" s="887"/>
      <c r="W284" s="887"/>
      <c r="X284" s="887"/>
      <c r="Y284" s="887"/>
      <c r="Z284" s="887"/>
      <c r="AA284" s="887"/>
      <c r="AB284" s="887"/>
      <c r="AC284" s="887"/>
      <c r="AD284" s="887"/>
      <c r="AE284" s="887"/>
      <c r="AF284" s="887"/>
      <c r="AG284" s="887"/>
      <c r="AH284" s="887"/>
      <c r="AI284" s="887"/>
      <c r="AJ284" s="887"/>
      <c r="AK284" s="887"/>
      <c r="AL284" s="887"/>
      <c r="AM284" s="887"/>
      <c r="AN284" s="887"/>
      <c r="AO284" s="448"/>
      <c r="AP284" s="891"/>
      <c r="AQ284" s="887"/>
      <c r="AR284" s="887"/>
      <c r="AS284" s="892"/>
      <c r="AT284" s="887"/>
      <c r="AU284" s="887"/>
      <c r="AV284" s="887"/>
      <c r="AW284" s="887"/>
      <c r="AX284" s="887"/>
      <c r="AY284" s="886" t="s">
        <v>140</v>
      </c>
      <c r="AZ284" s="891" t="s">
        <v>140</v>
      </c>
      <c r="BA284" s="887"/>
      <c r="BB284" s="887"/>
      <c r="BC284" s="887"/>
      <c r="BD284" s="448"/>
      <c r="BE284" s="448"/>
      <c r="BF284" s="886"/>
      <c r="BG284" s="887">
        <v>3</v>
      </c>
      <c r="BH284" s="887"/>
      <c r="BI284" s="887"/>
      <c r="BJ284" s="887">
        <v>2</v>
      </c>
      <c r="BK284" s="887"/>
      <c r="BL284" s="887"/>
      <c r="BM284" s="887"/>
      <c r="BN284" s="887"/>
      <c r="BO284" s="887"/>
      <c r="BP284" s="886"/>
      <c r="BQ284" s="893"/>
      <c r="BR284" s="892"/>
      <c r="BS284" s="886"/>
      <c r="BT284" s="423"/>
      <c r="BU284" s="423"/>
      <c r="BV284" s="425"/>
      <c r="BW284" s="423"/>
      <c r="BX284" s="448"/>
      <c r="BY284" s="448"/>
      <c r="BZ284" s="448"/>
      <c r="CA284" s="448"/>
      <c r="CB284" s="448"/>
      <c r="CC284" s="777"/>
      <c r="CD284" s="448"/>
      <c r="CE284" s="894" t="str">
        <f>IFERROR(WWWW[[#This Row],['#_Water sources passed]]/WWWW[[#This Row],['#_Water sources tested for fecal coliform ]],"no test")</f>
        <v>no test</v>
      </c>
      <c r="CF284" s="892" t="str">
        <f>IFERROR(WWWW[[#This Row],['#_Household passed]]/WWWW[[#This Row],['#_Household water samples tested for fecal coliform]],"no test")</f>
        <v>no test</v>
      </c>
      <c r="CG284" s="893" t="str">
        <f>IF(AND(WWWW[[#This Row],[% of water sources passed]]="no test",WWWW[[#This Row],[% Household passed]]="no test"),"No Test","Tested")</f>
        <v>No Test</v>
      </c>
      <c r="CH284" s="893">
        <f>WWWW[[#This Row],['#_Constructed/existing protected hand dug well]]-WWWW[[#This Row],['#_Non-functional protected hand dug well]]</f>
        <v>0</v>
      </c>
      <c r="CI284" s="893">
        <f>(WWWW[[#This Row],['#_Constructed/Existing tube wells/boreholes/handpumps_WASH_agency]]+WWWW[[#This Row],['#_Non-Cluster partner water tube-wells/boreholes/handpumps]])-WWWW[[#This Row],['#_Non-functional tube wells/boreholes/handpumps]]</f>
        <v>0</v>
      </c>
      <c r="CJ284" s="893">
        <f>WWWW[[#This Row],['#_Constructed/Existingwater storage tank with gravity fed reticulation system]]-WWWW[[#This Row],['#_Non-functional storage tank gravity fed reticulation system]]</f>
        <v>0</v>
      </c>
      <c r="CK284" s="893">
        <f>(WWWW[[#This Row],['#_Water_Liters_supplied_by_Water boating or water trucking]]/90)/15</f>
        <v>0</v>
      </c>
      <c r="CL284" s="893">
        <f>WWWW[[#This Row],['#_Water_Liters_from_Constructed/Existing water distribution system from river or natural spring]]/90/15</f>
        <v>0</v>
      </c>
      <c r="CM284" s="424">
        <f>IF(WWWW[[#This Row],['#_of water points in TLS/CFS]]*500&gt;WWWW[[#This Row],[Total PoP ]],WWWW[[#This Row],[Total PoP ]],WWWW[[#This Row],['#_of water points in TLS/CFS]]*500)</f>
        <v>0</v>
      </c>
      <c r="CN284" s="424">
        <f>IF(WWWW[[#This Row],['#_of water points in THF]]*500&gt;WWWW[[#This Row],[Total PoP ]],WWWW[[#This Row],[Total PoP ]],WWWW[[#This Row],['#_of water points in THF]]*500)</f>
        <v>0</v>
      </c>
      <c r="CO28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8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84" s="892">
        <f>IF(WWWW[[#This Row],[Location Type 1]]="Village",WWWW[[#This Row],[Access to safe drinking water for Village]],WWWW[[#This Row],[Access to safe drinking water for Camp]])</f>
        <v>0</v>
      </c>
      <c r="CR284" s="890">
        <f>WWWW[[#This Row],[%Equitable and continuous access to sufficient quantity of safe drinking water]]*WWWW[[#This Row],[Total PoP ]]</f>
        <v>0</v>
      </c>
      <c r="CS284" s="892">
        <f>IF((WWWW[[#This Row],['#_Constructed/Existing protected/fenced ponds]]*250)/WWWW[[#This Row],[Total PoP ]]&gt;1,1,(WWWW[[#This Row],['#_Constructed/Existing protected/fenced ponds]]*250)/WWWW[[#This Row],[Total PoP ]])</f>
        <v>0</v>
      </c>
      <c r="CT284" s="890">
        <f>WWWW[[#This Row],[% Access to unimproved water points]]*WWWW[[#This Row],[Total PoP ]]</f>
        <v>0</v>
      </c>
      <c r="CU28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8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84" s="890">
        <f>WWWW[[#This Row],[HRP1]]/500</f>
        <v>0</v>
      </c>
      <c r="CX284" s="895">
        <f>1-WWWW[[#This Row],[% Equitable and continuous access to sufficient quantity of domestic water]]</f>
        <v>1</v>
      </c>
      <c r="CY284" s="890">
        <f>WWWW[[#This Row],[%equitable and continuous access to sufficient quantity of safe drinking and domestic water''s GAP]]*WWWW[[#This Row],[Total PoP ]]</f>
        <v>71</v>
      </c>
      <c r="CZ284" s="893">
        <f>IF(WWWW[[#This Row],[Total required water points]]-WWWW[[#This Row],['#Water points coverage]]&lt;0,0,WWWW[[#This Row],[Total required water points]]-WWWW[[#This Row],['#Water points coverage]])</f>
        <v>1</v>
      </c>
      <c r="DA284" s="893">
        <f>ROUND(IF(WWWW[[#This Row],[Total PoP ]]&lt;500,1,WWWW[[#This Row],[Total PoP ]]/500),0)</f>
        <v>1</v>
      </c>
      <c r="DB284" s="893">
        <f>(WWWW[[#This Row],['#_Constructed latrines_by_WASHAgencies]]+WWWW[[#This Row],['#_Non Cluster partner latrines]])-WWWW[[#This Row],['#_Non-functional latrines]]</f>
        <v>0</v>
      </c>
      <c r="DC284" s="631">
        <f>WWWW[[#This Row],[HRP2]]/WWWW[[#This Row],[Total PoP ]]</f>
        <v>0</v>
      </c>
      <c r="DD28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8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4" s="424">
        <f>IF(WWWW[[#This Row],['# of functional latrines in THF supported by WASH partners during the reporting period2]]="",0,WWWW[[#This Row],['# of functional latrines in THF supported by WASH partners during the reporting period2]]*50)</f>
        <v>0</v>
      </c>
      <c r="DH284" s="893">
        <f>ROUND(IF(WWWW[[#This Row],[Location Type 1]]="camp",WWWW[[#This Row],[Total PoP ]]/20,IF(WWWW[[#This Row],[Location Type 1]]="Temporary Location",WWWW[[#This Row],[Total PoP ]]/50,(WWWW[[#This Row],[Total PoP ]]/6))),0)</f>
        <v>4</v>
      </c>
      <c r="DI284" s="893">
        <f>IF(WWWW[[#This Row],[Total required Latrines]]-(WWWW[[#This Row],['#_Constructed latrines_by_WASHAgencies]]+WWWW[[#This Row],['#_Non Cluster partner latrines]])&lt;0,0,WWWW[[#This Row],[Total required Latrines]]-(WWWW[[#This Row],['#_Constructed latrines_by_WASHAgencies]]+WWWW[[#This Row],['#_Non Cluster partner latrines]]))</f>
        <v>4</v>
      </c>
      <c r="DJ284" s="895">
        <f>1-WWWW[[#This Row],[% people access to functioning Latrine]]</f>
        <v>1</v>
      </c>
      <c r="DK284" s="894">
        <f>IF(OR(WWWW[[#This Row],['#_Non-functional latrines]]="",WWWW[[#This Row],['#_Non-functional latrines]]=0),0,WWWW[[#This Row],['#_Non-functional latrines]]/(WWWW[[#This Row],['#_Constructed latrines_by_WASHAgencies]]+WWWW[[#This Row],['#_Non Cluster partner latrines]]))</f>
        <v>0</v>
      </c>
      <c r="DL284" s="890">
        <f>IF(500*(WWWW[[#This Row],['#_male hygiene promoters]]+WWWW[[#This Row],['#_female hygiene promoters]])&gt;WWWW[[#This Row],[Total PoP ]],WWWW[[#This Row],[Total PoP ]],500*(WWWW[[#This Row],['#_male hygiene promoters]]+WWWW[[#This Row],['#_female hygiene promoters]]))</f>
        <v>0</v>
      </c>
      <c r="DM28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4" s="893">
        <f>IF(WWWW[[#This Row],['# People with access to soap]]&gt;WWWW[[#This Row],['# People with access to Sanity Pads]],WWWW[[#This Row],['# People with access to soap]],WWWW[[#This Row],['# People with access to Sanity Pads]])</f>
        <v>0</v>
      </c>
      <c r="DP284"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84" s="895">
        <f>IF(WWWW[[#This Row],[HRP3]]/WWWW[[#This Row],[Total PoP ]]&gt;1,1,WWWW[[#This Row],[HRP3]]/WWWW[[#This Row],[Total PoP ]])</f>
        <v>0</v>
      </c>
      <c r="DR284" s="894">
        <f>1-WWWW[[#This Row],[Hygiene Coverage%]]</f>
        <v>1</v>
      </c>
      <c r="DS284" s="892">
        <f>WWWW[[#This Row],['# people reached by regular dedicated hygiene promotion_5]]/WWWW[[#This Row],[Total PoP ]]</f>
        <v>0</v>
      </c>
      <c r="DT28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4" s="893">
        <f>WWWW[[#This Row],['#_Constructed/Existing hand washing stations]]-WWWW[[#This Row],['#_Non-Functional_hand_washing_stations]]</f>
        <v>3</v>
      </c>
      <c r="DW284" s="890">
        <f>IF(WWWW[[#This Row],['# Functional hand washing stations during reporting period]]*20&gt;WWWW[[#This Row],[Total HH]],WWWW[[#This Row],[Total HH]],WWWW[[#This Row],['# Functional hand washing stations during reporting period]]*20)</f>
        <v>15</v>
      </c>
      <c r="DX284" s="890">
        <f>IF(WWWW[[#This Row],[Is sufficient soap available for TLS? (Yes/No)]]="yes",WWWW[[#This Row],['#_Constructed/Existing hand washing stations at TLS/CFS/THF]],0)</f>
        <v>0</v>
      </c>
      <c r="DY284" s="428">
        <f>IF(WWWW[[#This Row],['# Functional hand washing stations during reporting period]]*100&gt;WWWW[[#This Row],[Total PoP ]],WWWW[[#This Row],[Total PoP ]],WWWW[[#This Row],['# Functional hand washing stations during reporting period]]*100)</f>
        <v>71</v>
      </c>
      <c r="DZ284" s="428" t="str">
        <f>IF(OR(WWWW[[#This Row],['#_students at TLS_CFS]]="",WWWW[[#This Row],['#_students at TLS_CFS]]=0),"No","Yes")</f>
        <v>No</v>
      </c>
      <c r="EA28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4" s="886">
        <f>VLOOKUP(WWWW[[#This Row],[Site Name]],SiteDB6[[Site Name]:[CCCM Management]],6,FALSE)</f>
        <v>0</v>
      </c>
      <c r="EF284" s="886" t="str">
        <f>VLOOKUP(WWWW[[#This Row],[Site Name]],SiteDB6[[Site Name]:[CCCM Focal Agency]],7,FALSE)</f>
        <v>uncovered</v>
      </c>
      <c r="EG284" s="886" t="str">
        <f>VLOOKUP(WWWW[[#This Row],[Site Name]],SiteDB6[[Site Name]:[Location Type 1]],9,FALSE)</f>
        <v>Camp</v>
      </c>
      <c r="EH284" s="886" t="str">
        <f>VLOOKUP(WWWW[[#This Row],[Site Name]],SiteDB6[[Site Name]:[Type of Accommodation]],10,FALSE)</f>
        <v>IDPs in host</v>
      </c>
      <c r="EI284" s="886" t="str">
        <f>VLOOKUP(WWWW[[#This Row],[Site Name]],SiteDB6[[Site Name]:[Ethnic or GCA/NGCA]],11,FALSE)</f>
        <v>GCA</v>
      </c>
      <c r="EJ284" s="886">
        <f>VLOOKUP(WWWW[[#This Row],[Site Name]],SiteDB6[[Site Name]:[Lat]],12,FALSE)</f>
        <v>24.764959999999999</v>
      </c>
      <c r="EK284" s="886">
        <f>VLOOKUP(WWWW[[#This Row],[Site Name]],SiteDB6[[Site Name]:[Long]],13,FALSE)</f>
        <v>96.366919999999993</v>
      </c>
      <c r="EL284" s="886" t="str">
        <f>VLOOKUP(WWWW[[#This Row],[Site Name]],SiteDB6[[Site Name]:[Pcode]],3,FALSE)</f>
        <v>MMR001CMP233</v>
      </c>
      <c r="EM284" s="891" t="str">
        <f t="shared" si="4"/>
        <v>Notcovered</v>
      </c>
      <c r="EN284" s="891"/>
      <c r="EO284" s="886">
        <f>VLOOKUP(WWWW[[#This Row],[Site Name]],SiteDB6[[Site Name]:[Pop
(Kachin/Shan-CCCM as of July 2021)]],16,FALSE)</f>
        <v>7</v>
      </c>
      <c r="EP284" s="886">
        <f>VLOOKUP(WWWW[[#This Row],[Site Name]],SiteDB6[[Site Name]:[Pop
(Kachin/Shan-CCCM as of July 2021)]],17,FALSE)</f>
        <v>35</v>
      </c>
    </row>
    <row r="285" spans="1:146" hidden="1">
      <c r="A285" s="884" t="s">
        <v>2764</v>
      </c>
      <c r="B285" s="884" t="s">
        <v>276</v>
      </c>
      <c r="C285" s="885" t="s">
        <v>276</v>
      </c>
      <c r="D285" s="885" t="s">
        <v>3037</v>
      </c>
      <c r="E285" s="885" t="s">
        <v>37</v>
      </c>
      <c r="F285" s="885" t="s">
        <v>205</v>
      </c>
      <c r="G285" s="591" t="str">
        <f>VLOOKUP(WWWW[[#This Row],[Site Name]],SiteDB6[[Site Name]:[Location Type]],8,FALSE)</f>
        <v>Camp</v>
      </c>
      <c r="H285" s="885" t="s">
        <v>213</v>
      </c>
      <c r="I285" s="887">
        <v>86</v>
      </c>
      <c r="J285" s="887">
        <v>424</v>
      </c>
      <c r="K285" s="888">
        <v>44652</v>
      </c>
      <c r="L285" s="889">
        <v>44895</v>
      </c>
      <c r="M285" s="887"/>
      <c r="N285" s="887"/>
      <c r="O285" s="887"/>
      <c r="P285" s="887"/>
      <c r="Q285" s="890" t="s">
        <v>41</v>
      </c>
      <c r="R285" s="887">
        <v>2</v>
      </c>
      <c r="S285" s="887">
        <v>5</v>
      </c>
      <c r="T285" s="448">
        <v>2</v>
      </c>
      <c r="U285" s="887"/>
      <c r="V285" s="887"/>
      <c r="W285" s="887"/>
      <c r="X285" s="887"/>
      <c r="Y285" s="887"/>
      <c r="Z285" s="887"/>
      <c r="AA285" s="887"/>
      <c r="AB285" s="887"/>
      <c r="AC285" s="887"/>
      <c r="AD285" s="887"/>
      <c r="AE285" s="887"/>
      <c r="AF285" s="887"/>
      <c r="AG285" s="887"/>
      <c r="AH285" s="887"/>
      <c r="AI285" s="887">
        <v>2</v>
      </c>
      <c r="AJ285" s="887">
        <v>1</v>
      </c>
      <c r="AK285" s="887"/>
      <c r="AL285" s="887"/>
      <c r="AM285" s="887"/>
      <c r="AN285" s="887"/>
      <c r="AO285" s="448"/>
      <c r="AP285" s="891"/>
      <c r="AQ285" s="887">
        <v>6</v>
      </c>
      <c r="AR285" s="887"/>
      <c r="AS285" s="892"/>
      <c r="AT285" s="887"/>
      <c r="AU285" s="887"/>
      <c r="AV285" s="887">
        <v>6</v>
      </c>
      <c r="AW285" s="887">
        <v>5</v>
      </c>
      <c r="AX285" s="887"/>
      <c r="AY285" s="886" t="s">
        <v>41</v>
      </c>
      <c r="AZ285" s="891" t="s">
        <v>137</v>
      </c>
      <c r="BA285" s="887"/>
      <c r="BB285" s="887"/>
      <c r="BC285" s="887"/>
      <c r="BD285" s="448"/>
      <c r="BE285" s="448"/>
      <c r="BF285" s="886"/>
      <c r="BG285" s="887"/>
      <c r="BH285" s="887"/>
      <c r="BI285" s="887"/>
      <c r="BJ285" s="887">
        <v>1</v>
      </c>
      <c r="BK285" s="887"/>
      <c r="BL285" s="887"/>
      <c r="BM285" s="887"/>
      <c r="BN285" s="887"/>
      <c r="BO285" s="887"/>
      <c r="BP285" s="886"/>
      <c r="BQ285" s="893"/>
      <c r="BR285" s="892"/>
      <c r="BS285" s="886"/>
      <c r="BT285" s="423"/>
      <c r="BU285" s="423"/>
      <c r="BV285" s="425"/>
      <c r="BW285" s="423">
        <v>0</v>
      </c>
      <c r="BX285" s="448"/>
      <c r="BY285" s="448">
        <v>6</v>
      </c>
      <c r="BZ285" s="448">
        <v>1</v>
      </c>
      <c r="CA285" s="448"/>
      <c r="CB285" s="448"/>
      <c r="CC285" s="777"/>
      <c r="CD285" s="448"/>
      <c r="CE285" s="894">
        <f>IFERROR(WWWW[[#This Row],['#_Water sources passed]]/WWWW[[#This Row],['#_Water sources tested for fecal coliform ]],"no test")</f>
        <v>0.5</v>
      </c>
      <c r="CF285" s="892" t="str">
        <f>IFERROR(WWWW[[#This Row],['#_Household passed]]/WWWW[[#This Row],['#_Household water samples tested for fecal coliform]],"no test")</f>
        <v>no test</v>
      </c>
      <c r="CG285" s="893" t="str">
        <f>IF(AND(WWWW[[#This Row],[% of water sources passed]]="no test",WWWW[[#This Row],[% Household passed]]="no test"),"No Test","Tested")</f>
        <v>Tested</v>
      </c>
      <c r="CH285" s="893">
        <f>WWWW[[#This Row],['#_Constructed/existing protected hand dug well]]-WWWW[[#This Row],['#_Non-functional protected hand dug well]]</f>
        <v>2</v>
      </c>
      <c r="CI285" s="893">
        <f>(WWWW[[#This Row],['#_Constructed/Existing tube wells/boreholes/handpumps_WASH_agency]]+WWWW[[#This Row],['#_Non-Cluster partner water tube-wells/boreholes/handpumps]])-WWWW[[#This Row],['#_Non-functional tube wells/boreholes/handpumps]]</f>
        <v>0</v>
      </c>
      <c r="CJ285" s="893">
        <f>WWWW[[#This Row],['#_Constructed/Existingwater storage tank with gravity fed reticulation system]]-WWWW[[#This Row],['#_Non-functional storage tank gravity fed reticulation system]]</f>
        <v>0</v>
      </c>
      <c r="CK285" s="893">
        <f>(WWWW[[#This Row],['#_Water_Liters_supplied_by_Water boating or water trucking]]/90)/15</f>
        <v>0</v>
      </c>
      <c r="CL285" s="893">
        <f>WWWW[[#This Row],['#_Water_Liters_from_Constructed/Existing water distribution system from river or natural spring]]/90/15</f>
        <v>0</v>
      </c>
      <c r="CM285" s="424">
        <f>IF(WWWW[[#This Row],['#_of water points in TLS/CFS]]*500&gt;WWWW[[#This Row],[Total PoP ]],WWWW[[#This Row],[Total PoP ]],WWWW[[#This Row],['#_of water points in TLS/CFS]]*500)</f>
        <v>0</v>
      </c>
      <c r="CN285" s="424">
        <f>IF(WWWW[[#This Row],['#_of water points in THF]]*500&gt;WWWW[[#This Row],[Total PoP ]],WWWW[[#This Row],[Total PoP ]],WWWW[[#This Row],['#_of water points in THF]]*500)</f>
        <v>0</v>
      </c>
      <c r="CO28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5" s="892">
        <f>IF(WWWW[[#This Row],[Location Type 1]]="Village",WWWW[[#This Row],[Access to safe drinking water for Village]],WWWW[[#This Row],[Access to safe drinking water for Camp]])</f>
        <v>1</v>
      </c>
      <c r="CR285" s="890">
        <f>WWWW[[#This Row],[%Equitable and continuous access to sufficient quantity of safe drinking water]]*WWWW[[#This Row],[Total PoP ]]</f>
        <v>424</v>
      </c>
      <c r="CS285" s="892">
        <f>IF((WWWW[[#This Row],['#_Constructed/Existing protected/fenced ponds]]*250)/WWWW[[#This Row],[Total PoP ]]&gt;1,1,(WWWW[[#This Row],['#_Constructed/Existing protected/fenced ponds]]*250)/WWWW[[#This Row],[Total PoP ]])</f>
        <v>0</v>
      </c>
      <c r="CT285" s="890">
        <f>WWWW[[#This Row],[% Access to unimproved water points]]*WWWW[[#This Row],[Total PoP ]]</f>
        <v>0</v>
      </c>
      <c r="CU28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W285" s="890">
        <f>WWWW[[#This Row],[HRP1]]/500</f>
        <v>0.84799999999999998</v>
      </c>
      <c r="CX285" s="895">
        <f>1-WWWW[[#This Row],[% Equitable and continuous access to sufficient quantity of domestic water]]</f>
        <v>0</v>
      </c>
      <c r="CY285" s="890">
        <f>WWWW[[#This Row],[%equitable and continuous access to sufficient quantity of safe drinking and domestic water''s GAP]]*WWWW[[#This Row],[Total PoP ]]</f>
        <v>0</v>
      </c>
      <c r="CZ285" s="893">
        <f>IF(WWWW[[#This Row],[Total required water points]]-WWWW[[#This Row],['#Water points coverage]]&lt;0,0,WWWW[[#This Row],[Total required water points]]-WWWW[[#This Row],['#Water points coverage]])</f>
        <v>0.15200000000000002</v>
      </c>
      <c r="DA285" s="893">
        <f>ROUND(IF(WWWW[[#This Row],[Total PoP ]]&lt;500,1,WWWW[[#This Row],[Total PoP ]]/500),0)</f>
        <v>1</v>
      </c>
      <c r="DB285" s="893">
        <f>(WWWW[[#This Row],['#_Constructed latrines_by_WASHAgencies]]+WWWW[[#This Row],['#_Non Cluster partner latrines]])-WWWW[[#This Row],['#_Non-functional latrines]]</f>
        <v>6</v>
      </c>
      <c r="DC285" s="631">
        <f>WWWW[[#This Row],[HRP2]]/WWWW[[#This Row],[Total PoP ]]</f>
        <v>0.28301886792452829</v>
      </c>
      <c r="DD28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28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28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5" s="424">
        <f>IF(WWWW[[#This Row],['# of functional latrines in THF supported by WASH partners during the reporting period2]]="",0,WWWW[[#This Row],['# of functional latrines in THF supported by WASH partners during the reporting period2]]*50)</f>
        <v>0</v>
      </c>
      <c r="DH285" s="893">
        <f>ROUND(IF(WWWW[[#This Row],[Location Type 1]]="camp",WWWW[[#This Row],[Total PoP ]]/20,IF(WWWW[[#This Row],[Location Type 1]]="Temporary Location",WWWW[[#This Row],[Total PoP ]]/50,(WWWW[[#This Row],[Total PoP ]]/6))),0)</f>
        <v>21</v>
      </c>
      <c r="DI285" s="893">
        <f>IF(WWWW[[#This Row],[Total required Latrines]]-(WWWW[[#This Row],['#_Constructed latrines_by_WASHAgencies]]+WWWW[[#This Row],['#_Non Cluster partner latrines]])&lt;0,0,WWWW[[#This Row],[Total required Latrines]]-(WWWW[[#This Row],['#_Constructed latrines_by_WASHAgencies]]+WWWW[[#This Row],['#_Non Cluster partner latrines]]))</f>
        <v>15</v>
      </c>
      <c r="DJ285" s="895">
        <f>1-WWWW[[#This Row],[% people access to functioning Latrine]]</f>
        <v>0.71698113207547176</v>
      </c>
      <c r="DK285" s="894">
        <f>IF(OR(WWWW[[#This Row],['#_Non-functional latrines]]="",WWWW[[#This Row],['#_Non-functional latrines]]=0),0,WWWW[[#This Row],['#_Non-functional latrines]]/(WWWW[[#This Row],['#_Constructed latrines_by_WASHAgencies]]+WWWW[[#This Row],['#_Non Cluster partner latrines]]))</f>
        <v>0</v>
      </c>
      <c r="DL285" s="890">
        <f>IF(500*(WWWW[[#This Row],['#_male hygiene promoters]]+WWWW[[#This Row],['#_female hygiene promoters]])&gt;WWWW[[#This Row],[Total PoP ]],WWWW[[#This Row],[Total PoP ]],500*(WWWW[[#This Row],['#_male hygiene promoters]]+WWWW[[#This Row],['#_female hygiene promoters]]))</f>
        <v>0</v>
      </c>
      <c r="DM28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5" s="893">
        <f>IF(WWWW[[#This Row],['# People with access to soap]]&gt;WWWW[[#This Row],['# People with access to Sanity Pads]],WWWW[[#This Row],['# People with access to soap]],WWWW[[#This Row],['# People with access to Sanity Pads]])</f>
        <v>0</v>
      </c>
      <c r="DP285"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85" s="895">
        <f>IF(WWWW[[#This Row],[HRP3]]/WWWW[[#This Row],[Total PoP ]]&gt;1,1,WWWW[[#This Row],[HRP3]]/WWWW[[#This Row],[Total PoP ]])</f>
        <v>0</v>
      </c>
      <c r="DR285" s="894">
        <f>1-WWWW[[#This Row],[Hygiene Coverage%]]</f>
        <v>1</v>
      </c>
      <c r="DS285" s="892">
        <f>WWWW[[#This Row],['# people reached by regular dedicated hygiene promotion_5]]/WWWW[[#This Row],[Total PoP ]]</f>
        <v>0</v>
      </c>
      <c r="DT28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5" s="893">
        <f>WWWW[[#This Row],['#_Constructed/Existing hand washing stations]]-WWWW[[#This Row],['#_Non-Functional_hand_washing_stations]]</f>
        <v>0</v>
      </c>
      <c r="DW285" s="890">
        <f>IF(WWWW[[#This Row],['# Functional hand washing stations during reporting period]]*20&gt;WWWW[[#This Row],[Total HH]],WWWW[[#This Row],[Total HH]],WWWW[[#This Row],['# Functional hand washing stations during reporting period]]*20)</f>
        <v>0</v>
      </c>
      <c r="DX285" s="890">
        <f>IF(WWWW[[#This Row],[Is sufficient soap available for TLS? (Yes/No)]]="yes",WWWW[[#This Row],['#_Constructed/Existing hand washing stations at TLS/CFS/THF]],0)</f>
        <v>0</v>
      </c>
      <c r="DY285" s="428">
        <f>IF(WWWW[[#This Row],['# Functional hand washing stations during reporting period]]*100&gt;WWWW[[#This Row],[Total PoP ]],WWWW[[#This Row],[Total PoP ]],WWWW[[#This Row],['# Functional hand washing stations during reporting period]]*100)</f>
        <v>0</v>
      </c>
      <c r="DZ285" s="428" t="str">
        <f>IF(OR(WWWW[[#This Row],['#_students at TLS_CFS]]="",WWWW[[#This Row],['#_students at TLS_CFS]]=0),"No","Yes")</f>
        <v>No</v>
      </c>
      <c r="EA28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7</v>
      </c>
      <c r="EC28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5" s="886" t="str">
        <f>VLOOKUP(WWWW[[#This Row],[Site Name]],SiteDB6[[Site Name]:[CCCM Management]],6,FALSE)</f>
        <v>Yes</v>
      </c>
      <c r="EF285" s="886" t="str">
        <f>VLOOKUP(WWWW[[#This Row],[Site Name]],SiteDB6[[Site Name]:[CCCM Focal Agency]],7,FALSE)</f>
        <v>KBC-BMO</v>
      </c>
      <c r="EG285" s="886" t="str">
        <f>VLOOKUP(WWWW[[#This Row],[Site Name]],SiteDB6[[Site Name]:[Location Type 1]],9,FALSE)</f>
        <v>Camp</v>
      </c>
      <c r="EH285" s="886" t="str">
        <f>VLOOKUP(WWWW[[#This Row],[Site Name]],SiteDB6[[Site Name]:[Type of Accommodation]],10,FALSE)</f>
        <v>Camp</v>
      </c>
      <c r="EI285" s="886" t="str">
        <f>VLOOKUP(WWWW[[#This Row],[Site Name]],SiteDB6[[Site Name]:[Ethnic or GCA/NGCA]],11,FALSE)</f>
        <v>GCA</v>
      </c>
      <c r="EJ285" s="886">
        <f>VLOOKUP(WWWW[[#This Row],[Site Name]],SiteDB6[[Site Name]:[Lat]],12,FALSE)</f>
        <v>24.250689999999999</v>
      </c>
      <c r="EK285" s="886">
        <f>VLOOKUP(WWWW[[#This Row],[Site Name]],SiteDB6[[Site Name]:[Long]],13,FALSE)</f>
        <v>97.344359999999995</v>
      </c>
      <c r="EL285" s="886" t="str">
        <f>VLOOKUP(WWWW[[#This Row],[Site Name]],SiteDB6[[Site Name]:[Pcode]],3,FALSE)</f>
        <v>MMR001CMP056</v>
      </c>
      <c r="EM285" s="891" t="str">
        <f t="shared" si="4"/>
        <v>Covered</v>
      </c>
      <c r="EN285" s="891"/>
      <c r="EO285" s="886">
        <f>VLOOKUP(WWWW[[#This Row],[Site Name]],SiteDB6[[Site Name]:[Pop
(Kachin/Shan-CCCM as of July 2021)]],16,FALSE)</f>
        <v>646</v>
      </c>
      <c r="EP285" s="886">
        <f>VLOOKUP(WWWW[[#This Row],[Site Name]],SiteDB6[[Site Name]:[Pop
(Kachin/Shan-CCCM as of July 2021)]],17,FALSE)</f>
        <v>2978</v>
      </c>
    </row>
    <row r="286" spans="1:146" hidden="1">
      <c r="A286" s="884" t="s">
        <v>2764</v>
      </c>
      <c r="B286" s="884" t="s">
        <v>141</v>
      </c>
      <c r="C286" s="885" t="s">
        <v>141</v>
      </c>
      <c r="D286" s="885" t="s">
        <v>299</v>
      </c>
      <c r="E286" s="885" t="s">
        <v>37</v>
      </c>
      <c r="F286" s="885" t="s">
        <v>195</v>
      </c>
      <c r="G286" s="591" t="str">
        <f>VLOOKUP(WWWW[[#This Row],[Site Name]],SiteDB6[[Site Name]:[Location Type]],8,FALSE)</f>
        <v>Camp_not registered</v>
      </c>
      <c r="H286" s="885" t="s">
        <v>2233</v>
      </c>
      <c r="I286" s="904">
        <v>49</v>
      </c>
      <c r="J286" s="904">
        <v>203</v>
      </c>
      <c r="K286" s="905">
        <v>44652</v>
      </c>
      <c r="L286" s="906">
        <v>44865</v>
      </c>
      <c r="M286" s="904">
        <v>53</v>
      </c>
      <c r="N286" s="887"/>
      <c r="O286" s="887"/>
      <c r="P286" s="887"/>
      <c r="Q286" s="890" t="s">
        <v>41</v>
      </c>
      <c r="R286" s="887">
        <v>1</v>
      </c>
      <c r="S286" s="887">
        <v>1</v>
      </c>
      <c r="T286" s="448">
        <v>4</v>
      </c>
      <c r="U286" s="887"/>
      <c r="V286" s="887"/>
      <c r="W286" s="887"/>
      <c r="X286" s="887"/>
      <c r="Y286" s="887"/>
      <c r="Z286" s="887"/>
      <c r="AA286" s="887"/>
      <c r="AB286" s="887"/>
      <c r="AC286" s="887"/>
      <c r="AD286" s="887"/>
      <c r="AE286" s="887"/>
      <c r="AF286" s="887"/>
      <c r="AG286" s="887"/>
      <c r="AH286" s="887"/>
      <c r="AI286" s="904">
        <v>1</v>
      </c>
      <c r="AJ286" s="904">
        <v>1</v>
      </c>
      <c r="AK286" s="904">
        <v>3</v>
      </c>
      <c r="AL286" s="904">
        <v>3</v>
      </c>
      <c r="AM286" s="904">
        <v>1</v>
      </c>
      <c r="AN286" s="887"/>
      <c r="AO286" s="448"/>
      <c r="AP286" s="590" t="s">
        <v>3011</v>
      </c>
      <c r="AQ286" s="887">
        <v>7</v>
      </c>
      <c r="AR286" s="887"/>
      <c r="AS286" s="892"/>
      <c r="AT286" s="887"/>
      <c r="AU286" s="887"/>
      <c r="AV286" s="904">
        <v>4</v>
      </c>
      <c r="AW286" s="904">
        <v>2</v>
      </c>
      <c r="AX286" s="887"/>
      <c r="AY286" s="886" t="s">
        <v>41</v>
      </c>
      <c r="AZ286" s="891" t="s">
        <v>137</v>
      </c>
      <c r="BA286" s="887"/>
      <c r="BB286" s="887"/>
      <c r="BC286" s="887"/>
      <c r="BD286" s="448"/>
      <c r="BE286" s="448">
        <v>4</v>
      </c>
      <c r="BF286" s="425" t="s">
        <v>3012</v>
      </c>
      <c r="BG286" s="887">
        <v>2</v>
      </c>
      <c r="BH286" s="887"/>
      <c r="BI286" s="887"/>
      <c r="BJ286" s="887">
        <v>2</v>
      </c>
      <c r="BK286" s="887"/>
      <c r="BL286" s="904">
        <v>1</v>
      </c>
      <c r="BM286" s="887"/>
      <c r="BN286" s="904"/>
      <c r="BO286" s="904"/>
      <c r="BP286" s="425" t="s">
        <v>41</v>
      </c>
      <c r="BQ286" s="907">
        <v>1</v>
      </c>
      <c r="BR286" s="908">
        <v>0.5</v>
      </c>
      <c r="BS286" s="425" t="s">
        <v>3013</v>
      </c>
      <c r="BT286" s="423"/>
      <c r="BU286" s="423">
        <v>0.8</v>
      </c>
      <c r="BV286" s="425">
        <v>10</v>
      </c>
      <c r="BW286" s="423">
        <v>0.75</v>
      </c>
      <c r="BX286" s="448"/>
      <c r="BY286" s="448"/>
      <c r="BZ286" s="448"/>
      <c r="CA286" s="448"/>
      <c r="CB286" s="448"/>
      <c r="CC286" s="777"/>
      <c r="CD286" s="448"/>
      <c r="CE286" s="894">
        <f>IFERROR(WWWW[[#This Row],['#_Water sources passed]]/WWWW[[#This Row],['#_Water sources tested for fecal coliform ]],"no test")</f>
        <v>1</v>
      </c>
      <c r="CF286" s="892">
        <f>IFERROR(WWWW[[#This Row],['#_Household passed]]/WWWW[[#This Row],['#_Household water samples tested for fecal coliform]],"no test")</f>
        <v>1</v>
      </c>
      <c r="CG286" s="893" t="str">
        <f>IF(AND(WWWW[[#This Row],[% of water sources passed]]="no test",WWWW[[#This Row],[% Household passed]]="no test"),"No Test","Tested")</f>
        <v>Tested</v>
      </c>
      <c r="CH286" s="893">
        <f>WWWW[[#This Row],['#_Constructed/existing protected hand dug well]]-WWWW[[#This Row],['#_Non-functional protected hand dug well]]</f>
        <v>4</v>
      </c>
      <c r="CI286" s="893">
        <f>(WWWW[[#This Row],['#_Constructed/Existing tube wells/boreholes/handpumps_WASH_agency]]+WWWW[[#This Row],['#_Non-Cluster partner water tube-wells/boreholes/handpumps]])-WWWW[[#This Row],['#_Non-functional tube wells/boreholes/handpumps]]</f>
        <v>0</v>
      </c>
      <c r="CJ286" s="893">
        <f>WWWW[[#This Row],['#_Constructed/Existingwater storage tank with gravity fed reticulation system]]-WWWW[[#This Row],['#_Non-functional storage tank gravity fed reticulation system]]</f>
        <v>0</v>
      </c>
      <c r="CK286" s="893">
        <f>(WWWW[[#This Row],['#_Water_Liters_supplied_by_Water boating or water trucking]]/90)/15</f>
        <v>0</v>
      </c>
      <c r="CL286" s="893">
        <f>WWWW[[#This Row],['#_Water_Liters_from_Constructed/Existing water distribution system from river or natural spring]]/90/15</f>
        <v>0</v>
      </c>
      <c r="CM286" s="424">
        <f>IF(WWWW[[#This Row],['#_of water points in TLS/CFS]]*500&gt;WWWW[[#This Row],[Total PoP ]],WWWW[[#This Row],[Total PoP ]],WWWW[[#This Row],['#_of water points in TLS/CFS]]*500)</f>
        <v>0</v>
      </c>
      <c r="CN286" s="424">
        <f>IF(WWWW[[#This Row],['#_of water points in THF]]*500&gt;WWWW[[#This Row],[Total PoP ]],WWWW[[#This Row],[Total PoP ]],WWWW[[#This Row],['#_of water points in THF]]*500)</f>
        <v>0</v>
      </c>
      <c r="CO28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6" s="892">
        <f>IF(WWWW[[#This Row],[Location Type 1]]="Village",WWWW[[#This Row],[Access to safe drinking water for Village]],WWWW[[#This Row],[Access to safe drinking water for Camp]])</f>
        <v>1</v>
      </c>
      <c r="CR286" s="890">
        <f>WWWW[[#This Row],[%Equitable and continuous access to sufficient quantity of safe drinking water]]*WWWW[[#This Row],[Total PoP ]]</f>
        <v>203</v>
      </c>
      <c r="CS286" s="892">
        <f>IF((WWWW[[#This Row],['#_Constructed/Existing protected/fenced ponds]]*250)/WWWW[[#This Row],[Total PoP ]]&gt;1,1,(WWWW[[#This Row],['#_Constructed/Existing protected/fenced ponds]]*250)/WWWW[[#This Row],[Total PoP ]])</f>
        <v>0</v>
      </c>
      <c r="CT286" s="890">
        <f>WWWW[[#This Row],[% Access to unimproved water points]]*WWWW[[#This Row],[Total PoP ]]</f>
        <v>0</v>
      </c>
      <c r="CU28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CW286" s="890">
        <f>WWWW[[#This Row],[HRP1]]/500</f>
        <v>0.40600000000000003</v>
      </c>
      <c r="CX286" s="895">
        <f>1-WWWW[[#This Row],[% Equitable and continuous access to sufficient quantity of domestic water]]</f>
        <v>0</v>
      </c>
      <c r="CY286" s="890">
        <f>WWWW[[#This Row],[%equitable and continuous access to sufficient quantity of safe drinking and domestic water''s GAP]]*WWWW[[#This Row],[Total PoP ]]</f>
        <v>0</v>
      </c>
      <c r="CZ286" s="893">
        <f>IF(WWWW[[#This Row],[Total required water points]]-WWWW[[#This Row],['#Water points coverage]]&lt;0,0,WWWW[[#This Row],[Total required water points]]-WWWW[[#This Row],['#Water points coverage]])</f>
        <v>0.59399999999999997</v>
      </c>
      <c r="DA286" s="893">
        <f>ROUND(IF(WWWW[[#This Row],[Total PoP ]]&lt;500,1,WWWW[[#This Row],[Total PoP ]]/500),0)</f>
        <v>1</v>
      </c>
      <c r="DB286" s="893">
        <f>(WWWW[[#This Row],['#_Constructed latrines_by_WASHAgencies]]+WWWW[[#This Row],['#_Non Cluster partner latrines]])-WWWW[[#This Row],['#_Non-functional latrines]]</f>
        <v>7</v>
      </c>
      <c r="DC286" s="631">
        <f>WWWW[[#This Row],[HRP2]]/WWWW[[#This Row],[Total PoP ]]</f>
        <v>0.70935960591133007</v>
      </c>
      <c r="DD28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144</v>
      </c>
      <c r="DE28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F28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6" s="424">
        <f>IF(WWWW[[#This Row],['# of functional latrines in THF supported by WASH partners during the reporting period2]]="",0,WWWW[[#This Row],['# of functional latrines in THF supported by WASH partners during the reporting period2]]*50)</f>
        <v>0</v>
      </c>
      <c r="DH286" s="893">
        <f>ROUND(IF(WWWW[[#This Row],[Location Type 1]]="camp",WWWW[[#This Row],[Total PoP ]]/20,IF(WWWW[[#This Row],[Location Type 1]]="Temporary Location",WWWW[[#This Row],[Total PoP ]]/50,(WWWW[[#This Row],[Total PoP ]]/6))),0)</f>
        <v>10</v>
      </c>
      <c r="DI286" s="893">
        <f>IF(WWWW[[#This Row],[Total required Latrines]]-(WWWW[[#This Row],['#_Constructed latrines_by_WASHAgencies]]+WWWW[[#This Row],['#_Non Cluster partner latrines]])&lt;0,0,WWWW[[#This Row],[Total required Latrines]]-(WWWW[[#This Row],['#_Constructed latrines_by_WASHAgencies]]+WWWW[[#This Row],['#_Non Cluster partner latrines]]))</f>
        <v>3</v>
      </c>
      <c r="DJ286" s="895">
        <f>1-WWWW[[#This Row],[% people access to functioning Latrine]]</f>
        <v>0.29064039408866993</v>
      </c>
      <c r="DK286" s="894">
        <f>IF(OR(WWWW[[#This Row],['#_Non-functional latrines]]="",WWWW[[#This Row],['#_Non-functional latrines]]=0),0,WWWW[[#This Row],['#_Non-functional latrines]]/(WWWW[[#This Row],['#_Constructed latrines_by_WASHAgencies]]+WWWW[[#This Row],['#_Non Cluster partner latrines]]))</f>
        <v>0</v>
      </c>
      <c r="DL286" s="890">
        <f>IF(500*(WWWW[[#This Row],['#_male hygiene promoters]]+WWWW[[#This Row],['#_female hygiene promoters]])&gt;WWWW[[#This Row],[Total PoP ]],WWWW[[#This Row],[Total PoP ]],500*(WWWW[[#This Row],['#_male hygiene promoters]]+WWWW[[#This Row],['#_female hygiene promoters]]))</f>
        <v>203</v>
      </c>
      <c r="DM28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6" s="893">
        <f>IF(WWWW[[#This Row],['# People with access to soap]]&gt;WWWW[[#This Row],['# People with access to Sanity Pads]],WWWW[[#This Row],['# People with access to soap]],WWWW[[#This Row],['# People with access to Sanity Pads]])</f>
        <v>0</v>
      </c>
      <c r="DP286" s="893">
        <f>IF(WWWW[[#This Row],['# people reached by regular dedicated hygiene promotion_5]]&gt;WWWW[[#This Row],['# People received regular supply of hygiene items_6]],WWWW[[#This Row],['# people reached by regular dedicated hygiene promotion_5]],WWWW[[#This Row],['# People received regular supply of hygiene items_6]])</f>
        <v>203</v>
      </c>
      <c r="DQ286" s="895">
        <f>IF(WWWW[[#This Row],[HRP3]]/WWWW[[#This Row],[Total PoP ]]&gt;1,1,WWWW[[#This Row],[HRP3]]/WWWW[[#This Row],[Total PoP ]])</f>
        <v>1</v>
      </c>
      <c r="DR286" s="894">
        <f>1-WWWW[[#This Row],[Hygiene Coverage%]]</f>
        <v>0</v>
      </c>
      <c r="DS286" s="892">
        <f>WWWW[[#This Row],['# people reached by regular dedicated hygiene promotion_5]]/WWWW[[#This Row],[Total PoP ]]</f>
        <v>1</v>
      </c>
      <c r="DT28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6" s="893">
        <f>WWWW[[#This Row],['#_Constructed/Existing hand washing stations]]-WWWW[[#This Row],['#_Non-Functional_hand_washing_stations]]</f>
        <v>2</v>
      </c>
      <c r="DW286" s="890">
        <f>IF(WWWW[[#This Row],['# Functional hand washing stations during reporting period]]*20&gt;WWWW[[#This Row],[Total HH]],WWWW[[#This Row],[Total HH]],WWWW[[#This Row],['# Functional hand washing stations during reporting period]]*20)</f>
        <v>40</v>
      </c>
      <c r="DX286" s="890">
        <f>IF(WWWW[[#This Row],[Is sufficient soap available for TLS? (Yes/No)]]="yes",WWWW[[#This Row],['#_Constructed/Existing hand washing stations at TLS/CFS/THF]],0)</f>
        <v>1</v>
      </c>
      <c r="DY286" s="428">
        <f>IF(WWWW[[#This Row],['# Functional hand washing stations during reporting period]]*100&gt;WWWW[[#This Row],[Total PoP ]],WWWW[[#This Row],[Total PoP ]],WWWW[[#This Row],['# Functional hand washing stations during reporting period]]*100)</f>
        <v>200</v>
      </c>
      <c r="DZ286" s="428" t="str">
        <f>IF(OR(WWWW[[#This Row],['#_students at TLS_CFS]]="",WWWW[[#This Row],['#_students at TLS_CFS]]=0),"No","Yes")</f>
        <v>Yes</v>
      </c>
      <c r="EA286" s="631">
        <f>IF(WWWW[[#This Row],['#_of_affected_people_surveyed_who_report_feeling_informed_about_the_different_WASH_services_available_to_them]]="","",WWWW[[#This Row],['#_of_affected_people_surveyed_who_report_feeling_informed_about_the_different_WASH_services_available_to_them]]/WWWW[[#This Row],[Total PoP ]])</f>
        <v>4.9261083743842367E-2</v>
      </c>
      <c r="EB28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6" s="886">
        <f>VLOOKUP(WWWW[[#This Row],[Site Name]],SiteDB6[[Site Name]:[CCCM Management]],6,FALSE)</f>
        <v>0</v>
      </c>
      <c r="EF286" s="886">
        <f>VLOOKUP(WWWW[[#This Row],[Site Name]],SiteDB6[[Site Name]:[CCCM Focal Agency]],7,FALSE)</f>
        <v>0</v>
      </c>
      <c r="EG286" s="886" t="str">
        <f>VLOOKUP(WWWW[[#This Row],[Site Name]],SiteDB6[[Site Name]:[Location Type 1]],9,FALSE)</f>
        <v>Camp</v>
      </c>
      <c r="EH286" s="886" t="str">
        <f>VLOOKUP(WWWW[[#This Row],[Site Name]],SiteDB6[[Site Name]:[Type of Accommodation]],10,FALSE)</f>
        <v>Camp like setting</v>
      </c>
      <c r="EI286" s="886" t="str">
        <f>VLOOKUP(WWWW[[#This Row],[Site Name]],SiteDB6[[Site Name]:[Ethnic or GCA/NGCA]],11,FALSE)</f>
        <v>GCA</v>
      </c>
      <c r="EJ286" s="886">
        <f>VLOOKUP(WWWW[[#This Row],[Site Name]],SiteDB6[[Site Name]:[Lat]],12,FALSE)</f>
        <v>0</v>
      </c>
      <c r="EK286" s="886">
        <f>VLOOKUP(WWWW[[#This Row],[Site Name]],SiteDB6[[Site Name]:[Long]],13,FALSE)</f>
        <v>0</v>
      </c>
      <c r="EL286" s="886">
        <f>VLOOKUP(WWWW[[#This Row],[Site Name]],SiteDB6[[Site Name]:[Pcode]],3,FALSE)</f>
        <v>0</v>
      </c>
      <c r="EM286" s="891" t="str">
        <f t="shared" si="4"/>
        <v>Covered</v>
      </c>
      <c r="EN286" s="891"/>
      <c r="EO286" s="886">
        <f>VLOOKUP(WWWW[[#This Row],[Site Name]],SiteDB6[[Site Name]:[Pop
(Kachin/Shan-CCCM as of July 2021)]],16,FALSE)</f>
        <v>0</v>
      </c>
      <c r="EP286" s="886">
        <f>VLOOKUP(WWWW[[#This Row],[Site Name]],SiteDB6[[Site Name]:[Pop
(Kachin/Shan-CCCM as of July 2021)]],17,FALSE)</f>
        <v>0</v>
      </c>
    </row>
    <row r="287" spans="1:146" hidden="1">
      <c r="A287" s="884" t="s">
        <v>2764</v>
      </c>
      <c r="B287" s="884" t="s">
        <v>2081</v>
      </c>
      <c r="C287" s="885" t="s">
        <v>141</v>
      </c>
      <c r="D287" s="885" t="s">
        <v>299</v>
      </c>
      <c r="E287" s="885" t="s">
        <v>37</v>
      </c>
      <c r="F287" s="885" t="s">
        <v>205</v>
      </c>
      <c r="G287" s="591" t="str">
        <f>VLOOKUP(WWWW[[#This Row],[Site Name]],SiteDB6[[Site Name]:[Location Type]],8,FALSE)</f>
        <v>Camp_not registered</v>
      </c>
      <c r="H287" s="885" t="s">
        <v>1534</v>
      </c>
      <c r="I287" s="904">
        <v>311</v>
      </c>
      <c r="J287" s="904">
        <v>1340</v>
      </c>
      <c r="K287" s="905">
        <v>44501</v>
      </c>
      <c r="L287" s="906">
        <v>44865</v>
      </c>
      <c r="M287" s="904">
        <v>153</v>
      </c>
      <c r="N287" s="887">
        <v>4</v>
      </c>
      <c r="O287" s="887"/>
      <c r="P287" s="887"/>
      <c r="Q287" s="890" t="s">
        <v>136</v>
      </c>
      <c r="R287" s="904">
        <v>3</v>
      </c>
      <c r="S287" s="904">
        <v>5</v>
      </c>
      <c r="T287" s="448">
        <v>3</v>
      </c>
      <c r="U287" s="887"/>
      <c r="V287" s="887"/>
      <c r="W287" s="887"/>
      <c r="X287" s="887"/>
      <c r="Y287" s="887"/>
      <c r="Z287" s="887"/>
      <c r="AA287" s="887"/>
      <c r="AB287" s="887"/>
      <c r="AC287" s="887"/>
      <c r="AD287" s="887"/>
      <c r="AE287" s="887"/>
      <c r="AF287" s="887"/>
      <c r="AG287" s="887"/>
      <c r="AH287" s="887"/>
      <c r="AI287" s="887">
        <v>5</v>
      </c>
      <c r="AJ287" s="887">
        <v>5</v>
      </c>
      <c r="AK287" s="887">
        <v>9</v>
      </c>
      <c r="AL287" s="887">
        <v>9</v>
      </c>
      <c r="AM287" s="887"/>
      <c r="AN287" s="887"/>
      <c r="AO287" s="448"/>
      <c r="AP287" s="891"/>
      <c r="AQ287" s="904">
        <v>19</v>
      </c>
      <c r="AR287" s="887"/>
      <c r="AS287" s="892"/>
      <c r="AT287" s="887"/>
      <c r="AU287" s="887"/>
      <c r="AV287" s="887"/>
      <c r="AW287" s="887"/>
      <c r="AX287" s="887">
        <v>0</v>
      </c>
      <c r="AY287" s="886" t="s">
        <v>41</v>
      </c>
      <c r="AZ287" s="891" t="s">
        <v>137</v>
      </c>
      <c r="BA287" s="887"/>
      <c r="BB287" s="887"/>
      <c r="BC287" s="887"/>
      <c r="BD287" s="448"/>
      <c r="BE287" s="448"/>
      <c r="BF287" s="886"/>
      <c r="BG287" s="904">
        <v>14</v>
      </c>
      <c r="BH287" s="887"/>
      <c r="BI287" s="887"/>
      <c r="BJ287" s="887">
        <v>2</v>
      </c>
      <c r="BK287" s="887"/>
      <c r="BL287" s="904">
        <v>3</v>
      </c>
      <c r="BM287" s="904">
        <v>5</v>
      </c>
      <c r="BN287" s="904">
        <v>311</v>
      </c>
      <c r="BO287" s="904">
        <f>1340*0.35</f>
        <v>468.99999999999994</v>
      </c>
      <c r="BP287" s="886" t="s">
        <v>41</v>
      </c>
      <c r="BQ287" s="907">
        <v>1</v>
      </c>
      <c r="BR287" s="908">
        <v>0.3</v>
      </c>
      <c r="BS287" s="886"/>
      <c r="BT287" s="423">
        <v>0.8</v>
      </c>
      <c r="BU287" s="423">
        <v>0.8</v>
      </c>
      <c r="BV287" s="425">
        <v>20</v>
      </c>
      <c r="BW287" s="423">
        <v>0.8</v>
      </c>
      <c r="BX287" s="448"/>
      <c r="BY287" s="448"/>
      <c r="BZ287" s="448"/>
      <c r="CA287" s="448"/>
      <c r="CB287" s="448"/>
      <c r="CC287" s="777"/>
      <c r="CD287" s="448"/>
      <c r="CE287" s="894">
        <f>IFERROR(WWWW[[#This Row],['#_Water sources passed]]/WWWW[[#This Row],['#_Water sources tested for fecal coliform ]],"no test")</f>
        <v>1</v>
      </c>
      <c r="CF287" s="892">
        <f>IFERROR(WWWW[[#This Row],['#_Household passed]]/WWWW[[#This Row],['#_Household water samples tested for fecal coliform]],"no test")</f>
        <v>1</v>
      </c>
      <c r="CG287" s="893" t="str">
        <f>IF(AND(WWWW[[#This Row],[% of water sources passed]]="no test",WWWW[[#This Row],[% Household passed]]="no test"),"No Test","Tested")</f>
        <v>Tested</v>
      </c>
      <c r="CH287" s="893">
        <f>WWWW[[#This Row],['#_Constructed/existing protected hand dug well]]-WWWW[[#This Row],['#_Non-functional protected hand dug well]]</f>
        <v>3</v>
      </c>
      <c r="CI287" s="893">
        <f>(WWWW[[#This Row],['#_Constructed/Existing tube wells/boreholes/handpumps_WASH_agency]]+WWWW[[#This Row],['#_Non-Cluster partner water tube-wells/boreholes/handpumps]])-WWWW[[#This Row],['#_Non-functional tube wells/boreholes/handpumps]]</f>
        <v>0</v>
      </c>
      <c r="CJ287" s="893">
        <f>WWWW[[#This Row],['#_Constructed/Existingwater storage tank with gravity fed reticulation system]]-WWWW[[#This Row],['#_Non-functional storage tank gravity fed reticulation system]]</f>
        <v>0</v>
      </c>
      <c r="CK287" s="893">
        <f>(WWWW[[#This Row],['#_Water_Liters_supplied_by_Water boating or water trucking]]/90)/15</f>
        <v>0</v>
      </c>
      <c r="CL287" s="893">
        <f>WWWW[[#This Row],['#_Water_Liters_from_Constructed/Existing water distribution system from river or natural spring]]/90/15</f>
        <v>0</v>
      </c>
      <c r="CM287" s="424">
        <f>IF(WWWW[[#This Row],['#_of water points in TLS/CFS]]*500&gt;WWWW[[#This Row],[Total PoP ]],WWWW[[#This Row],[Total PoP ]],WWWW[[#This Row],['#_of water points in TLS/CFS]]*500)</f>
        <v>0</v>
      </c>
      <c r="CN287" s="424">
        <f>IF(WWWW[[#This Row],['#_of water points in THF]]*500&gt;WWWW[[#This Row],[Total PoP ]],WWWW[[#This Row],[Total PoP ]],WWWW[[#This Row],['#_of water points in THF]]*500)</f>
        <v>0</v>
      </c>
      <c r="CO28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0.89552238805970152</v>
      </c>
      <c r="CP28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0.55970149253731338</v>
      </c>
      <c r="CQ287" s="892">
        <f>IF(WWWW[[#This Row],[Location Type 1]]="Village",WWWW[[#This Row],[Access to safe drinking water for Village]],WWWW[[#This Row],[Access to safe drinking water for Camp]])</f>
        <v>0.89552238805970152</v>
      </c>
      <c r="CR287" s="890">
        <f>WWWW[[#This Row],[%Equitable and continuous access to sufficient quantity of safe drinking water]]*WWWW[[#This Row],[Total PoP ]]</f>
        <v>1200</v>
      </c>
      <c r="CS287" s="892">
        <f>IF((WWWW[[#This Row],['#_Constructed/Existing protected/fenced ponds]]*250)/WWWW[[#This Row],[Total PoP ]]&gt;1,1,(WWWW[[#This Row],['#_Constructed/Existing protected/fenced ponds]]*250)/WWWW[[#This Row],[Total PoP ]])</f>
        <v>0</v>
      </c>
      <c r="CT287" s="890">
        <f>WWWW[[#This Row],[% Access to unimproved water points]]*WWWW[[#This Row],[Total PoP ]]</f>
        <v>0</v>
      </c>
      <c r="CU28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0.89552238805970152</v>
      </c>
      <c r="CV28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1200</v>
      </c>
      <c r="CW287" s="890">
        <f>WWWW[[#This Row],[HRP1]]/500</f>
        <v>2.4</v>
      </c>
      <c r="CX287" s="895">
        <f>1-WWWW[[#This Row],[% Equitable and continuous access to sufficient quantity of domestic water]]</f>
        <v>0.10447761194029848</v>
      </c>
      <c r="CY287" s="890">
        <f>WWWW[[#This Row],[%equitable and continuous access to sufficient quantity of safe drinking and domestic water''s GAP]]*WWWW[[#This Row],[Total PoP ]]</f>
        <v>139.99999999999997</v>
      </c>
      <c r="CZ287" s="893">
        <f>IF(WWWW[[#This Row],[Total required water points]]-WWWW[[#This Row],['#Water points coverage]]&lt;0,0,WWWW[[#This Row],[Total required water points]]-WWWW[[#This Row],['#Water points coverage]])</f>
        <v>0.60000000000000009</v>
      </c>
      <c r="DA287" s="893">
        <f>ROUND(IF(WWWW[[#This Row],[Total PoP ]]&lt;500,1,WWWW[[#This Row],[Total PoP ]]/500),0)</f>
        <v>3</v>
      </c>
      <c r="DB287" s="893">
        <f>(WWWW[[#This Row],['#_Constructed latrines_by_WASHAgencies]]+WWWW[[#This Row],['#_Non Cluster partner latrines]])-WWWW[[#This Row],['#_Non-functional latrines]]</f>
        <v>19</v>
      </c>
      <c r="DC287" s="631">
        <f>WWWW[[#This Row],[HRP2]]/WWWW[[#This Row],[Total PoP ]]</f>
        <v>0.28358208955223879</v>
      </c>
      <c r="DD28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380</v>
      </c>
      <c r="DE28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7" s="424">
        <f>IF(WWWW[[#This Row],['# of functional latrines in THF supported by WASH partners during the reporting period2]]="",0,WWWW[[#This Row],['# of functional latrines in THF supported by WASH partners during the reporting period2]]*50)</f>
        <v>0</v>
      </c>
      <c r="DH287" s="893">
        <f>ROUND(IF(WWWW[[#This Row],[Location Type 1]]="camp",WWWW[[#This Row],[Total PoP ]]/20,IF(WWWW[[#This Row],[Location Type 1]]="Temporary Location",WWWW[[#This Row],[Total PoP ]]/50,(WWWW[[#This Row],[Total PoP ]]/6))),0)</f>
        <v>67</v>
      </c>
      <c r="DI287" s="893">
        <f>IF(WWWW[[#This Row],[Total required Latrines]]-(WWWW[[#This Row],['#_Constructed latrines_by_WASHAgencies]]+WWWW[[#This Row],['#_Non Cluster partner latrines]])&lt;0,0,WWWW[[#This Row],[Total required Latrines]]-(WWWW[[#This Row],['#_Constructed latrines_by_WASHAgencies]]+WWWW[[#This Row],['#_Non Cluster partner latrines]]))</f>
        <v>48</v>
      </c>
      <c r="DJ287" s="895">
        <f>1-WWWW[[#This Row],[% people access to functioning Latrine]]</f>
        <v>0.71641791044776126</v>
      </c>
      <c r="DK287" s="894">
        <f>IF(OR(WWWW[[#This Row],['#_Non-functional latrines]]="",WWWW[[#This Row],['#_Non-functional latrines]]=0),0,WWWW[[#This Row],['#_Non-functional latrines]]/(WWWW[[#This Row],['#_Constructed latrines_by_WASHAgencies]]+WWWW[[#This Row],['#_Non Cluster partner latrines]]))</f>
        <v>0</v>
      </c>
      <c r="DL287" s="890">
        <f>IF(500*(WWWW[[#This Row],['#_male hygiene promoters]]+WWWW[[#This Row],['#_female hygiene promoters]])&gt;WWWW[[#This Row],[Total PoP ]],WWWW[[#This Row],[Total PoP ]],500*(WWWW[[#This Row],['#_male hygiene promoters]]+WWWW[[#This Row],['#_female hygiene promoters]]))</f>
        <v>1340</v>
      </c>
      <c r="DM28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1340</v>
      </c>
      <c r="DN28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468.99999999999994</v>
      </c>
      <c r="DO287" s="893">
        <f>IF(WWWW[[#This Row],['# People with access to soap]]&gt;WWWW[[#This Row],['# People with access to Sanity Pads]],WWWW[[#This Row],['# People with access to soap]],WWWW[[#This Row],['# People with access to Sanity Pads]])</f>
        <v>1340</v>
      </c>
      <c r="DP287" s="893">
        <f>IF(WWWW[[#This Row],['# people reached by regular dedicated hygiene promotion_5]]&gt;WWWW[[#This Row],['# People received regular supply of hygiene items_6]],WWWW[[#This Row],['# people reached by regular dedicated hygiene promotion_5]],WWWW[[#This Row],['# People received regular supply of hygiene items_6]])</f>
        <v>1340</v>
      </c>
      <c r="DQ287" s="895">
        <f>IF(WWWW[[#This Row],[HRP3]]/WWWW[[#This Row],[Total PoP ]]&gt;1,1,WWWW[[#This Row],[HRP3]]/WWWW[[#This Row],[Total PoP ]])</f>
        <v>1</v>
      </c>
      <c r="DR287" s="894">
        <f>1-WWWW[[#This Row],[Hygiene Coverage%]]</f>
        <v>0</v>
      </c>
      <c r="DS287" s="892">
        <f>WWWW[[#This Row],['# people reached by regular dedicated hygiene promotion_5]]/WWWW[[#This Row],[Total PoP ]]</f>
        <v>1</v>
      </c>
      <c r="DT28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8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87" s="893">
        <f>WWWW[[#This Row],['#_Constructed/Existing hand washing stations]]-WWWW[[#This Row],['#_Non-Functional_hand_washing_stations]]</f>
        <v>14</v>
      </c>
      <c r="DW287" s="890">
        <f>IF(WWWW[[#This Row],['# Functional hand washing stations during reporting period]]*20&gt;WWWW[[#This Row],[Total HH]],WWWW[[#This Row],[Total HH]],WWWW[[#This Row],['# Functional hand washing stations during reporting period]]*20)</f>
        <v>280</v>
      </c>
      <c r="DX287" s="890">
        <f>IF(WWWW[[#This Row],[Is sufficient soap available for TLS? (Yes/No)]]="yes",WWWW[[#This Row],['#_Constructed/Existing hand washing stations at TLS/CFS/THF]],0)</f>
        <v>0</v>
      </c>
      <c r="DY287" s="428">
        <f>IF(WWWW[[#This Row],['# Functional hand washing stations during reporting period]]*100&gt;WWWW[[#This Row],[Total PoP ]],WWWW[[#This Row],[Total PoP ]],WWWW[[#This Row],['# Functional hand washing stations during reporting period]]*100)</f>
        <v>1340</v>
      </c>
      <c r="DZ287" s="428" t="str">
        <f>IF(OR(WWWW[[#This Row],['#_students at TLS_CFS]]="",WWWW[[#This Row],['#_students at TLS_CFS]]=0),"No","Yes")</f>
        <v>Yes</v>
      </c>
      <c r="EA287" s="631">
        <f>IF(WWWW[[#This Row],['#_of_affected_people_surveyed_who_report_feeling_informed_about_the_different_WASH_services_available_to_them]]="","",WWWW[[#This Row],['#_of_affected_people_surveyed_who_report_feeling_informed_about_the_different_WASH_services_available_to_them]]/WWWW[[#This Row],[Total PoP ]])</f>
        <v>1.4925373134328358E-2</v>
      </c>
      <c r="EB28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7" s="886">
        <f>VLOOKUP(WWWW[[#This Row],[Site Name]],SiteDB6[[Site Name]:[CCCM Management]],6,FALSE)</f>
        <v>0</v>
      </c>
      <c r="EF287" s="886">
        <f>VLOOKUP(WWWW[[#This Row],[Site Name]],SiteDB6[[Site Name]:[CCCM Focal Agency]],7,FALSE)</f>
        <v>0</v>
      </c>
      <c r="EG287" s="886" t="str">
        <f>VLOOKUP(WWWW[[#This Row],[Site Name]],SiteDB6[[Site Name]:[Location Type 1]],9,FALSE)</f>
        <v>Camp</v>
      </c>
      <c r="EH287" s="886" t="str">
        <f>VLOOKUP(WWWW[[#This Row],[Site Name]],SiteDB6[[Site Name]:[Type of Accommodation]],10,FALSE)</f>
        <v>Camp</v>
      </c>
      <c r="EI287" s="886" t="str">
        <f>VLOOKUP(WWWW[[#This Row],[Site Name]],SiteDB6[[Site Name]:[Ethnic or GCA/NGCA]],11,FALSE)</f>
        <v>GCA</v>
      </c>
      <c r="EJ287" s="886">
        <f>VLOOKUP(WWWW[[#This Row],[Site Name]],SiteDB6[[Site Name]:[Lat]],12,FALSE)</f>
        <v>0</v>
      </c>
      <c r="EK287" s="886">
        <f>VLOOKUP(WWWW[[#This Row],[Site Name]],SiteDB6[[Site Name]:[Long]],13,FALSE)</f>
        <v>0</v>
      </c>
      <c r="EL287" s="886">
        <f>VLOOKUP(WWWW[[#This Row],[Site Name]],SiteDB6[[Site Name]:[Pcode]],3,FALSE)</f>
        <v>0</v>
      </c>
      <c r="EM287" s="891" t="str">
        <f t="shared" si="4"/>
        <v>Covered</v>
      </c>
      <c r="EN287" s="891"/>
      <c r="EO287" s="886">
        <f>VLOOKUP(WWWW[[#This Row],[Site Name]],SiteDB6[[Site Name]:[Pop
(Kachin/Shan-CCCM as of July 2021)]],16,FALSE)</f>
        <v>0</v>
      </c>
      <c r="EP287" s="886">
        <f>VLOOKUP(WWWW[[#This Row],[Site Name]],SiteDB6[[Site Name]:[Pop
(Kachin/Shan-CCCM as of July 2021)]],17,FALSE)</f>
        <v>0</v>
      </c>
    </row>
    <row r="288" spans="1:146" hidden="1">
      <c r="A288" s="884" t="s">
        <v>2764</v>
      </c>
      <c r="B288" s="884" t="s">
        <v>309</v>
      </c>
      <c r="C288" s="885" t="s">
        <v>309</v>
      </c>
      <c r="D288" s="885"/>
      <c r="E288" s="885" t="s">
        <v>37</v>
      </c>
      <c r="F288" s="885" t="s">
        <v>205</v>
      </c>
      <c r="G288" s="591" t="str">
        <f>VLOOKUP(WWWW[[#This Row],[Site Name]],SiteDB6[[Site Name]:[Location Type]],8,FALSE)</f>
        <v>Camp</v>
      </c>
      <c r="H288" s="726" t="s">
        <v>3022</v>
      </c>
      <c r="I288" s="887">
        <v>223</v>
      </c>
      <c r="J288" s="887">
        <v>1067</v>
      </c>
      <c r="K288" s="888" t="s">
        <v>2650</v>
      </c>
      <c r="L288" s="889" t="s">
        <v>2651</v>
      </c>
      <c r="M288" s="887"/>
      <c r="N288" s="887"/>
      <c r="O288" s="887"/>
      <c r="P288" s="887"/>
      <c r="Q288" s="890"/>
      <c r="R288" s="887"/>
      <c r="S288" s="887">
        <v>4</v>
      </c>
      <c r="T288" s="448"/>
      <c r="U288" s="887"/>
      <c r="V288" s="887"/>
      <c r="W288" s="887"/>
      <c r="X288" s="887"/>
      <c r="Y288" s="887"/>
      <c r="Z288" s="887"/>
      <c r="AA288" s="887"/>
      <c r="AB288" s="887"/>
      <c r="AC288" s="887"/>
      <c r="AD288" s="887"/>
      <c r="AE288" s="887"/>
      <c r="AF288" s="887"/>
      <c r="AG288" s="887"/>
      <c r="AH288" s="887"/>
      <c r="AI288" s="887"/>
      <c r="AJ288" s="887"/>
      <c r="AK288" s="887"/>
      <c r="AL288" s="887"/>
      <c r="AM288" s="887"/>
      <c r="AN288" s="887"/>
      <c r="AO288" s="448"/>
      <c r="AP288" s="891"/>
      <c r="AQ288" s="887"/>
      <c r="AR288" s="887"/>
      <c r="AS288" s="892"/>
      <c r="AT288" s="887"/>
      <c r="AU288" s="887"/>
      <c r="AV288" s="887"/>
      <c r="AW288" s="887"/>
      <c r="AX288" s="887"/>
      <c r="AY288" s="886" t="s">
        <v>140</v>
      </c>
      <c r="AZ288" s="891" t="s">
        <v>140</v>
      </c>
      <c r="BA288" s="887"/>
      <c r="BB288" s="887"/>
      <c r="BC288" s="887"/>
      <c r="BD288" s="448"/>
      <c r="BE288" s="448"/>
      <c r="BF288" s="886"/>
      <c r="BG288" s="887">
        <v>3</v>
      </c>
      <c r="BH288" s="887"/>
      <c r="BI288" s="887"/>
      <c r="BJ288" s="887">
        <v>2</v>
      </c>
      <c r="BK288" s="887"/>
      <c r="BL288" s="887"/>
      <c r="BM288" s="887"/>
      <c r="BN288" s="887"/>
      <c r="BO288" s="887"/>
      <c r="BP288" s="886"/>
      <c r="BQ288" s="893"/>
      <c r="BR288" s="892"/>
      <c r="BS288" s="886"/>
      <c r="BT288" s="423"/>
      <c r="BU288" s="423"/>
      <c r="BV288" s="425"/>
      <c r="BW288" s="423"/>
      <c r="BX288" s="448"/>
      <c r="BY288" s="448"/>
      <c r="BZ288" s="448"/>
      <c r="CA288" s="448"/>
      <c r="CB288" s="448"/>
      <c r="CC288" s="777"/>
      <c r="CD288" s="448"/>
      <c r="CE288" s="894" t="str">
        <f>IFERROR(WWWW[[#This Row],['#_Water sources passed]]/WWWW[[#This Row],['#_Water sources tested for fecal coliform ]],"no test")</f>
        <v>no test</v>
      </c>
      <c r="CF288" s="892" t="str">
        <f>IFERROR(WWWW[[#This Row],['#_Household passed]]/WWWW[[#This Row],['#_Household water samples tested for fecal coliform]],"no test")</f>
        <v>no test</v>
      </c>
      <c r="CG288" s="893" t="str">
        <f>IF(AND(WWWW[[#This Row],[% of water sources passed]]="no test",WWWW[[#This Row],[% Household passed]]="no test"),"No Test","Tested")</f>
        <v>No Test</v>
      </c>
      <c r="CH288" s="893">
        <f>WWWW[[#This Row],['#_Constructed/existing protected hand dug well]]-WWWW[[#This Row],['#_Non-functional protected hand dug well]]</f>
        <v>0</v>
      </c>
      <c r="CI288" s="893">
        <f>(WWWW[[#This Row],['#_Constructed/Existing tube wells/boreholes/handpumps_WASH_agency]]+WWWW[[#This Row],['#_Non-Cluster partner water tube-wells/boreholes/handpumps]])-WWWW[[#This Row],['#_Non-functional tube wells/boreholes/handpumps]]</f>
        <v>0</v>
      </c>
      <c r="CJ288" s="893">
        <f>WWWW[[#This Row],['#_Constructed/Existingwater storage tank with gravity fed reticulation system]]-WWWW[[#This Row],['#_Non-functional storage tank gravity fed reticulation system]]</f>
        <v>0</v>
      </c>
      <c r="CK288" s="893">
        <f>(WWWW[[#This Row],['#_Water_Liters_supplied_by_Water boating or water trucking]]/90)/15</f>
        <v>0</v>
      </c>
      <c r="CL288" s="893">
        <f>WWWW[[#This Row],['#_Water_Liters_from_Constructed/Existing water distribution system from river or natural spring]]/90/15</f>
        <v>0</v>
      </c>
      <c r="CM288" s="424">
        <f>IF(WWWW[[#This Row],['#_of water points in TLS/CFS]]*500&gt;WWWW[[#This Row],[Total PoP ]],WWWW[[#This Row],[Total PoP ]],WWWW[[#This Row],['#_of water points in TLS/CFS]]*500)</f>
        <v>0</v>
      </c>
      <c r="CN288" s="424">
        <f>IF(WWWW[[#This Row],['#_of water points in THF]]*500&gt;WWWW[[#This Row],[Total PoP ]],WWWW[[#This Row],[Total PoP ]],WWWW[[#This Row],['#_of water points in THF]]*500)</f>
        <v>0</v>
      </c>
      <c r="CO28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8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88" s="892">
        <f>IF(WWWW[[#This Row],[Location Type 1]]="Village",WWWW[[#This Row],[Access to safe drinking water for Village]],WWWW[[#This Row],[Access to safe drinking water for Camp]])</f>
        <v>0</v>
      </c>
      <c r="CR288" s="890">
        <f>WWWW[[#This Row],[%Equitable and continuous access to sufficient quantity of safe drinking water]]*WWWW[[#This Row],[Total PoP ]]</f>
        <v>0</v>
      </c>
      <c r="CS288" s="892">
        <f>IF((WWWW[[#This Row],['#_Constructed/Existing protected/fenced ponds]]*250)/WWWW[[#This Row],[Total PoP ]]&gt;1,1,(WWWW[[#This Row],['#_Constructed/Existing protected/fenced ponds]]*250)/WWWW[[#This Row],[Total PoP ]])</f>
        <v>0</v>
      </c>
      <c r="CT288" s="890">
        <f>WWWW[[#This Row],[% Access to unimproved water points]]*WWWW[[#This Row],[Total PoP ]]</f>
        <v>0</v>
      </c>
      <c r="CU28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8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88" s="890">
        <f>WWWW[[#This Row],[HRP1]]/500</f>
        <v>0</v>
      </c>
      <c r="CX288" s="895">
        <f>1-WWWW[[#This Row],[% Equitable and continuous access to sufficient quantity of domestic water]]</f>
        <v>1</v>
      </c>
      <c r="CY288" s="890">
        <f>WWWW[[#This Row],[%equitable and continuous access to sufficient quantity of safe drinking and domestic water''s GAP]]*WWWW[[#This Row],[Total PoP ]]</f>
        <v>1067</v>
      </c>
      <c r="CZ288" s="893">
        <f>IF(WWWW[[#This Row],[Total required water points]]-WWWW[[#This Row],['#Water points coverage]]&lt;0,0,WWWW[[#This Row],[Total required water points]]-WWWW[[#This Row],['#Water points coverage]])</f>
        <v>2</v>
      </c>
      <c r="DA288" s="893">
        <f>ROUND(IF(WWWW[[#This Row],[Total PoP ]]&lt;500,1,WWWW[[#This Row],[Total PoP ]]/500),0)</f>
        <v>2</v>
      </c>
      <c r="DB288" s="893">
        <f>(WWWW[[#This Row],['#_Constructed latrines_by_WASHAgencies]]+WWWW[[#This Row],['#_Non Cluster partner latrines]])-WWWW[[#This Row],['#_Non-functional latrines]]</f>
        <v>0</v>
      </c>
      <c r="DC288" s="631">
        <f>WWWW[[#This Row],[HRP2]]/WWWW[[#This Row],[Total PoP ]]</f>
        <v>0</v>
      </c>
      <c r="DD28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8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8" s="424">
        <f>IF(WWWW[[#This Row],['# of functional latrines in THF supported by WASH partners during the reporting period2]]="",0,WWWW[[#This Row],['# of functional latrines in THF supported by WASH partners during the reporting period2]]*50)</f>
        <v>0</v>
      </c>
      <c r="DH288" s="893">
        <f>ROUND(IF(WWWW[[#This Row],[Location Type 1]]="camp",WWWW[[#This Row],[Total PoP ]]/20,IF(WWWW[[#This Row],[Location Type 1]]="Temporary Location",WWWW[[#This Row],[Total PoP ]]/50,(WWWW[[#This Row],[Total PoP ]]/6))),0)</f>
        <v>53</v>
      </c>
      <c r="DI288" s="893">
        <f>IF(WWWW[[#This Row],[Total required Latrines]]-(WWWW[[#This Row],['#_Constructed latrines_by_WASHAgencies]]+WWWW[[#This Row],['#_Non Cluster partner latrines]])&lt;0,0,WWWW[[#This Row],[Total required Latrines]]-(WWWW[[#This Row],['#_Constructed latrines_by_WASHAgencies]]+WWWW[[#This Row],['#_Non Cluster partner latrines]]))</f>
        <v>53</v>
      </c>
      <c r="DJ288" s="895">
        <f>1-WWWW[[#This Row],[% people access to functioning Latrine]]</f>
        <v>1</v>
      </c>
      <c r="DK288" s="894">
        <f>IF(OR(WWWW[[#This Row],['#_Non-functional latrines]]="",WWWW[[#This Row],['#_Non-functional latrines]]=0),0,WWWW[[#This Row],['#_Non-functional latrines]]/(WWWW[[#This Row],['#_Constructed latrines_by_WASHAgencies]]+WWWW[[#This Row],['#_Non Cluster partner latrines]]))</f>
        <v>0</v>
      </c>
      <c r="DL288" s="890">
        <f>IF(500*(WWWW[[#This Row],['#_male hygiene promoters]]+WWWW[[#This Row],['#_female hygiene promoters]])&gt;WWWW[[#This Row],[Total PoP ]],WWWW[[#This Row],[Total PoP ]],500*(WWWW[[#This Row],['#_male hygiene promoters]]+WWWW[[#This Row],['#_female hygiene promoters]]))</f>
        <v>0</v>
      </c>
      <c r="DM28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8" s="893">
        <f>IF(WWWW[[#This Row],['# People with access to soap]]&gt;WWWW[[#This Row],['# People with access to Sanity Pads]],WWWW[[#This Row],['# People with access to soap]],WWWW[[#This Row],['# People with access to Sanity Pads]])</f>
        <v>0</v>
      </c>
      <c r="DP288"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88" s="895">
        <f>IF(WWWW[[#This Row],[HRP3]]/WWWW[[#This Row],[Total PoP ]]&gt;1,1,WWWW[[#This Row],[HRP3]]/WWWW[[#This Row],[Total PoP ]])</f>
        <v>0</v>
      </c>
      <c r="DR288" s="894">
        <f>1-WWWW[[#This Row],[Hygiene Coverage%]]</f>
        <v>1</v>
      </c>
      <c r="DS288" s="892">
        <f>WWWW[[#This Row],['# people reached by regular dedicated hygiene promotion_5]]/WWWW[[#This Row],[Total PoP ]]</f>
        <v>0</v>
      </c>
      <c r="DT28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8" s="893">
        <f>WWWW[[#This Row],['#_Constructed/Existing hand washing stations]]-WWWW[[#This Row],['#_Non-Functional_hand_washing_stations]]</f>
        <v>3</v>
      </c>
      <c r="DW288" s="890">
        <f>IF(WWWW[[#This Row],['# Functional hand washing stations during reporting period]]*20&gt;WWWW[[#This Row],[Total HH]],WWWW[[#This Row],[Total HH]],WWWW[[#This Row],['# Functional hand washing stations during reporting period]]*20)</f>
        <v>60</v>
      </c>
      <c r="DX288" s="890">
        <f>IF(WWWW[[#This Row],[Is sufficient soap available for TLS? (Yes/No)]]="yes",WWWW[[#This Row],['#_Constructed/Existing hand washing stations at TLS/CFS/THF]],0)</f>
        <v>0</v>
      </c>
      <c r="DY288" s="428">
        <f>IF(WWWW[[#This Row],['# Functional hand washing stations during reporting period]]*100&gt;WWWW[[#This Row],[Total PoP ]],WWWW[[#This Row],[Total PoP ]],WWWW[[#This Row],['# Functional hand washing stations during reporting period]]*100)</f>
        <v>300</v>
      </c>
      <c r="DZ288" s="428" t="str">
        <f>IF(OR(WWWW[[#This Row],['#_students at TLS_CFS]]="",WWWW[[#This Row],['#_students at TLS_CFS]]=0),"No","Yes")</f>
        <v>No</v>
      </c>
      <c r="EA28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8" s="886">
        <f>VLOOKUP(WWWW[[#This Row],[Site Name]],SiteDB6[[Site Name]:[CCCM Management]],6,FALSE)</f>
        <v>0</v>
      </c>
      <c r="EF288" s="886" t="str">
        <f>VLOOKUP(WWWW[[#This Row],[Site Name]],SiteDB6[[Site Name]:[CCCM Focal Agency]],7,FALSE)</f>
        <v>uncovered</v>
      </c>
      <c r="EG288" s="886" t="str">
        <f>VLOOKUP(WWWW[[#This Row],[Site Name]],SiteDB6[[Site Name]:[Location Type 1]],9,FALSE)</f>
        <v>Camp</v>
      </c>
      <c r="EH288" s="886" t="str">
        <f>VLOOKUP(WWWW[[#This Row],[Site Name]],SiteDB6[[Site Name]:[Type of Accommodation]],10,FALSE)</f>
        <v>IDPs in host</v>
      </c>
      <c r="EI288" s="886" t="str">
        <f>VLOOKUP(WWWW[[#This Row],[Site Name]],SiteDB6[[Site Name]:[Ethnic or GCA/NGCA]],11,FALSE)</f>
        <v>GCA</v>
      </c>
      <c r="EJ288" s="886">
        <f>VLOOKUP(WWWW[[#This Row],[Site Name]],SiteDB6[[Site Name]:[Lat]],12,FALSE)</f>
        <v>24.251232000000002</v>
      </c>
      <c r="EK288" s="886">
        <f>VLOOKUP(WWWW[[#This Row],[Site Name]],SiteDB6[[Site Name]:[Long]],13,FALSE)</f>
        <v>97.348405</v>
      </c>
      <c r="EL288" s="886" t="str">
        <f>VLOOKUP(WWWW[[#This Row],[Site Name]],SiteDB6[[Site Name]:[Pcode]],3,FALSE)</f>
        <v>MMR001CMP197</v>
      </c>
      <c r="EM288" s="891" t="str">
        <f t="shared" si="4"/>
        <v>Notcovered</v>
      </c>
      <c r="EN288" s="891"/>
      <c r="EO288" s="886">
        <f>VLOOKUP(WWWW[[#This Row],[Site Name]],SiteDB6[[Site Name]:[Pop
(Kachin/Shan-CCCM as of July 2021)]],16,FALSE)</f>
        <v>171</v>
      </c>
      <c r="EP288" s="886">
        <f>VLOOKUP(WWWW[[#This Row],[Site Name]],SiteDB6[[Site Name]:[Pop
(Kachin/Shan-CCCM as of July 2021)]],17,FALSE)</f>
        <v>882</v>
      </c>
    </row>
    <row r="289" spans="1:146" hidden="1">
      <c r="A289" s="884" t="s">
        <v>2764</v>
      </c>
      <c r="B289" s="884" t="s">
        <v>3073</v>
      </c>
      <c r="C289" s="885" t="s">
        <v>141</v>
      </c>
      <c r="D289" s="885" t="s">
        <v>3074</v>
      </c>
      <c r="E289" s="885" t="s">
        <v>37</v>
      </c>
      <c r="F289" s="885" t="s">
        <v>148</v>
      </c>
      <c r="G289" s="591" t="str">
        <f>VLOOKUP(WWWW[[#This Row],[Site Name]],SiteDB6[[Site Name]:[Location Type]],8,FALSE)</f>
        <v>Camp</v>
      </c>
      <c r="H289" s="885" t="s">
        <v>190</v>
      </c>
      <c r="I289" s="887">
        <v>10</v>
      </c>
      <c r="J289" s="887">
        <v>18</v>
      </c>
      <c r="K289" s="888">
        <v>44105</v>
      </c>
      <c r="L289" s="889">
        <v>44681</v>
      </c>
      <c r="M289" s="887"/>
      <c r="N289" s="887">
        <v>1</v>
      </c>
      <c r="O289" s="887"/>
      <c r="P289" s="887"/>
      <c r="Q289" s="890"/>
      <c r="R289" s="448">
        <v>2</v>
      </c>
      <c r="S289" s="448">
        <v>2</v>
      </c>
      <c r="T289" s="448">
        <v>1</v>
      </c>
      <c r="U289" s="887"/>
      <c r="V289" s="887"/>
      <c r="W289" s="887">
        <v>1</v>
      </c>
      <c r="X289" s="887"/>
      <c r="Y289" s="887"/>
      <c r="Z289" s="887"/>
      <c r="AA289" s="887"/>
      <c r="AB289" s="887"/>
      <c r="AC289" s="887"/>
      <c r="AD289" s="887"/>
      <c r="AE289" s="887"/>
      <c r="AF289" s="887"/>
      <c r="AG289" s="887"/>
      <c r="AH289" s="887"/>
      <c r="AI289" s="887"/>
      <c r="AJ289" s="887"/>
      <c r="AK289" s="887"/>
      <c r="AL289" s="887"/>
      <c r="AM289" s="887"/>
      <c r="AN289" s="887"/>
      <c r="AO289" s="448"/>
      <c r="AP289" s="891"/>
      <c r="AQ289" s="887"/>
      <c r="AR289" s="887"/>
      <c r="AS289" s="892"/>
      <c r="AT289" s="887"/>
      <c r="AU289" s="887"/>
      <c r="AV289" s="887"/>
      <c r="AW289" s="887"/>
      <c r="AX289" s="887"/>
      <c r="AY289" s="886" t="s">
        <v>140</v>
      </c>
      <c r="AZ289" s="891" t="s">
        <v>140</v>
      </c>
      <c r="BA289" s="887"/>
      <c r="BB289" s="887"/>
      <c r="BC289" s="887"/>
      <c r="BD289" s="448"/>
      <c r="BE289" s="448"/>
      <c r="BF289" s="886"/>
      <c r="BG289" s="887">
        <v>5</v>
      </c>
      <c r="BH289" s="887"/>
      <c r="BI289" s="887"/>
      <c r="BJ289" s="887">
        <v>3</v>
      </c>
      <c r="BK289" s="887"/>
      <c r="BL289" s="887"/>
      <c r="BM289" s="887"/>
      <c r="BN289" s="887"/>
      <c r="BO289" s="887"/>
      <c r="BP289" s="886"/>
      <c r="BQ289" s="893"/>
      <c r="BR289" s="892"/>
      <c r="BS289" s="886"/>
      <c r="BT289" s="423"/>
      <c r="BU289" s="423"/>
      <c r="BV289" s="425"/>
      <c r="BW289" s="423"/>
      <c r="BX289" s="448"/>
      <c r="BY289" s="448"/>
      <c r="BZ289" s="448"/>
      <c r="CA289" s="448"/>
      <c r="CB289" s="448"/>
      <c r="CC289" s="777"/>
      <c r="CD289" s="448"/>
      <c r="CE289" s="894" t="str">
        <f>IFERROR(WWWW[[#This Row],['#_Water sources passed]]/WWWW[[#This Row],['#_Water sources tested for fecal coliform ]],"no test")</f>
        <v>no test</v>
      </c>
      <c r="CF289" s="892" t="str">
        <f>IFERROR(WWWW[[#This Row],['#_Household passed]]/WWWW[[#This Row],['#_Household water samples tested for fecal coliform]],"no test")</f>
        <v>no test</v>
      </c>
      <c r="CG289" s="893" t="str">
        <f>IF(AND(WWWW[[#This Row],[% of water sources passed]]="no test",WWWW[[#This Row],[% Household passed]]="no test"),"No Test","Tested")</f>
        <v>No Test</v>
      </c>
      <c r="CH289" s="893">
        <f>WWWW[[#This Row],['#_Constructed/existing protected hand dug well]]-WWWW[[#This Row],['#_Non-functional protected hand dug well]]</f>
        <v>1</v>
      </c>
      <c r="CI289" s="893">
        <f>(WWWW[[#This Row],['#_Constructed/Existing tube wells/boreholes/handpumps_WASH_agency]]+WWWW[[#This Row],['#_Non-Cluster partner water tube-wells/boreholes/handpumps]])-WWWW[[#This Row],['#_Non-functional tube wells/boreholes/handpumps]]</f>
        <v>1</v>
      </c>
      <c r="CJ289" s="893">
        <f>WWWW[[#This Row],['#_Constructed/Existingwater storage tank with gravity fed reticulation system]]-WWWW[[#This Row],['#_Non-functional storage tank gravity fed reticulation system]]</f>
        <v>0</v>
      </c>
      <c r="CK289" s="893">
        <f>(WWWW[[#This Row],['#_Water_Liters_supplied_by_Water boating or water trucking]]/90)/15</f>
        <v>0</v>
      </c>
      <c r="CL289" s="893">
        <f>WWWW[[#This Row],['#_Water_Liters_from_Constructed/Existing water distribution system from river or natural spring]]/90/15</f>
        <v>0</v>
      </c>
      <c r="CM289" s="424">
        <f>IF(WWWW[[#This Row],['#_of water points in TLS/CFS]]*500&gt;WWWW[[#This Row],[Total PoP ]],WWWW[[#This Row],[Total PoP ]],WWWW[[#This Row],['#_of water points in TLS/CFS]]*500)</f>
        <v>0</v>
      </c>
      <c r="CN289" s="424">
        <f>IF(WWWW[[#This Row],['#_of water points in THF]]*500&gt;WWWW[[#This Row],[Total PoP ]],WWWW[[#This Row],[Total PoP ]],WWWW[[#This Row],['#_of water points in THF]]*500)</f>
        <v>0</v>
      </c>
      <c r="CO28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9" s="892">
        <f>IF(WWWW[[#This Row],[Location Type 1]]="Village",WWWW[[#This Row],[Access to safe drinking water for Village]],WWWW[[#This Row],[Access to safe drinking water for Camp]])</f>
        <v>1</v>
      </c>
      <c r="CR289" s="890">
        <f>WWWW[[#This Row],[%Equitable and continuous access to sufficient quantity of safe drinking water]]*WWWW[[#This Row],[Total PoP ]]</f>
        <v>18</v>
      </c>
      <c r="CS289" s="892">
        <f>IF((WWWW[[#This Row],['#_Constructed/Existing protected/fenced ponds]]*250)/WWWW[[#This Row],[Total PoP ]]&gt;1,1,(WWWW[[#This Row],['#_Constructed/Existing protected/fenced ponds]]*250)/WWWW[[#This Row],[Total PoP ]])</f>
        <v>0</v>
      </c>
      <c r="CT289" s="890">
        <f>WWWW[[#This Row],[% Access to unimproved water points]]*WWWW[[#This Row],[Total PoP ]]</f>
        <v>0</v>
      </c>
      <c r="CU28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v>
      </c>
      <c r="CW289" s="890">
        <f>WWWW[[#This Row],[HRP1]]/500</f>
        <v>3.5999999999999997E-2</v>
      </c>
      <c r="CX289" s="895">
        <f>1-WWWW[[#This Row],[% Equitable and continuous access to sufficient quantity of domestic water]]</f>
        <v>0</v>
      </c>
      <c r="CY289" s="890">
        <f>WWWW[[#This Row],[%equitable and continuous access to sufficient quantity of safe drinking and domestic water''s GAP]]*WWWW[[#This Row],[Total PoP ]]</f>
        <v>0</v>
      </c>
      <c r="CZ289" s="893">
        <f>IF(WWWW[[#This Row],[Total required water points]]-WWWW[[#This Row],['#Water points coverage]]&lt;0,0,WWWW[[#This Row],[Total required water points]]-WWWW[[#This Row],['#Water points coverage]])</f>
        <v>0.96399999999999997</v>
      </c>
      <c r="DA289" s="893">
        <f>ROUND(IF(WWWW[[#This Row],[Total PoP ]]&lt;500,1,WWWW[[#This Row],[Total PoP ]]/500),0)</f>
        <v>1</v>
      </c>
      <c r="DB289" s="893">
        <f>(WWWW[[#This Row],['#_Constructed latrines_by_WASHAgencies]]+WWWW[[#This Row],['#_Non Cluster partner latrines]])-WWWW[[#This Row],['#_Non-functional latrines]]</f>
        <v>0</v>
      </c>
      <c r="DC289" s="631">
        <f>WWWW[[#This Row],[HRP2]]/WWWW[[#This Row],[Total PoP ]]</f>
        <v>0</v>
      </c>
      <c r="DD28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8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9" s="424">
        <f>IF(WWWW[[#This Row],['# of functional latrines in THF supported by WASH partners during the reporting period2]]="",0,WWWW[[#This Row],['# of functional latrines in THF supported by WASH partners during the reporting period2]]*50)</f>
        <v>0</v>
      </c>
      <c r="DH289" s="893">
        <f>ROUND(IF(WWWW[[#This Row],[Location Type 1]]="camp",WWWW[[#This Row],[Total PoP ]]/20,IF(WWWW[[#This Row],[Location Type 1]]="Temporary Location",WWWW[[#This Row],[Total PoP ]]/50,(WWWW[[#This Row],[Total PoP ]]/6))),0)</f>
        <v>1</v>
      </c>
      <c r="DI289" s="893">
        <f>IF(WWWW[[#This Row],[Total required Latrines]]-(WWWW[[#This Row],['#_Constructed latrines_by_WASHAgencies]]+WWWW[[#This Row],['#_Non Cluster partner latrines]])&lt;0,0,WWWW[[#This Row],[Total required Latrines]]-(WWWW[[#This Row],['#_Constructed latrines_by_WASHAgencies]]+WWWW[[#This Row],['#_Non Cluster partner latrines]]))</f>
        <v>1</v>
      </c>
      <c r="DJ289" s="895">
        <f>1-WWWW[[#This Row],[% people access to functioning Latrine]]</f>
        <v>1</v>
      </c>
      <c r="DK289" s="894">
        <f>IF(OR(WWWW[[#This Row],['#_Non-functional latrines]]="",WWWW[[#This Row],['#_Non-functional latrines]]=0),0,WWWW[[#This Row],['#_Non-functional latrines]]/(WWWW[[#This Row],['#_Constructed latrines_by_WASHAgencies]]+WWWW[[#This Row],['#_Non Cluster partner latrines]]))</f>
        <v>0</v>
      </c>
      <c r="DL289" s="890">
        <f>IF(500*(WWWW[[#This Row],['#_male hygiene promoters]]+WWWW[[#This Row],['#_female hygiene promoters]])&gt;WWWW[[#This Row],[Total PoP ]],WWWW[[#This Row],[Total PoP ]],500*(WWWW[[#This Row],['#_male hygiene promoters]]+WWWW[[#This Row],['#_female hygiene promoters]]))</f>
        <v>0</v>
      </c>
      <c r="DM28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9" s="893">
        <f>IF(WWWW[[#This Row],['# People with access to soap]]&gt;WWWW[[#This Row],['# People with access to Sanity Pads]],WWWW[[#This Row],['# People with access to soap]],WWWW[[#This Row],['# People with access to Sanity Pads]])</f>
        <v>0</v>
      </c>
      <c r="DP289"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89" s="895">
        <f>IF(WWWW[[#This Row],[HRP3]]/WWWW[[#This Row],[Total PoP ]]&gt;1,1,WWWW[[#This Row],[HRP3]]/WWWW[[#This Row],[Total PoP ]])</f>
        <v>0</v>
      </c>
      <c r="DR289" s="894">
        <f>1-WWWW[[#This Row],[Hygiene Coverage%]]</f>
        <v>1</v>
      </c>
      <c r="DS289" s="892">
        <f>WWWW[[#This Row],['# people reached by regular dedicated hygiene promotion_5]]/WWWW[[#This Row],[Total PoP ]]</f>
        <v>0</v>
      </c>
      <c r="DT28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9" s="893">
        <f>WWWW[[#This Row],['#_Constructed/Existing hand washing stations]]-WWWW[[#This Row],['#_Non-Functional_hand_washing_stations]]</f>
        <v>5</v>
      </c>
      <c r="DW289" s="890">
        <f>IF(WWWW[[#This Row],['# Functional hand washing stations during reporting period]]*20&gt;WWWW[[#This Row],[Total HH]],WWWW[[#This Row],[Total HH]],WWWW[[#This Row],['# Functional hand washing stations during reporting period]]*20)</f>
        <v>10</v>
      </c>
      <c r="DX289" s="890">
        <f>IF(WWWW[[#This Row],[Is sufficient soap available for TLS? (Yes/No)]]="yes",WWWW[[#This Row],['#_Constructed/Existing hand washing stations at TLS/CFS/THF]],0)</f>
        <v>0</v>
      </c>
      <c r="DY289" s="428">
        <f>IF(WWWW[[#This Row],['# Functional hand washing stations during reporting period]]*100&gt;WWWW[[#This Row],[Total PoP ]],WWWW[[#This Row],[Total PoP ]],WWWW[[#This Row],['# Functional hand washing stations during reporting period]]*100)</f>
        <v>18</v>
      </c>
      <c r="DZ289" s="428" t="str">
        <f>IF(OR(WWWW[[#This Row],['#_students at TLS_CFS]]="",WWWW[[#This Row],['#_students at TLS_CFS]]=0),"No","Yes")</f>
        <v>No</v>
      </c>
      <c r="EA28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9" s="886" t="str">
        <f>VLOOKUP(WWWW[[#This Row],[Site Name]],SiteDB6[[Site Name]:[CCCM Management]],6,FALSE)</f>
        <v>Yes</v>
      </c>
      <c r="EF289" s="886" t="str">
        <f>VLOOKUP(WWWW[[#This Row],[Site Name]],SiteDB6[[Site Name]:[CCCM Focal Agency]],7,FALSE)</f>
        <v>KMSS-MYT</v>
      </c>
      <c r="EG289" s="886" t="str">
        <f>VLOOKUP(WWWW[[#This Row],[Site Name]],SiteDB6[[Site Name]:[Location Type 1]],9,FALSE)</f>
        <v>Camp</v>
      </c>
      <c r="EH289" s="886" t="str">
        <f>VLOOKUP(WWWW[[#This Row],[Site Name]],SiteDB6[[Site Name]:[Type of Accommodation]],10,FALSE)</f>
        <v>Camp</v>
      </c>
      <c r="EI289" s="886" t="str">
        <f>VLOOKUP(WWWW[[#This Row],[Site Name]],SiteDB6[[Site Name]:[Ethnic or GCA/NGCA]],11,FALSE)</f>
        <v>GCA</v>
      </c>
      <c r="EJ289" s="886">
        <f>VLOOKUP(WWWW[[#This Row],[Site Name]],SiteDB6[[Site Name]:[Lat]],12,FALSE)</f>
        <v>25.920006000000001</v>
      </c>
      <c r="EK289" s="886">
        <f>VLOOKUP(WWWW[[#This Row],[Site Name]],SiteDB6[[Site Name]:[Long]],13,FALSE)</f>
        <v>96.662092000000001</v>
      </c>
      <c r="EL289" s="886" t="str">
        <f>VLOOKUP(WWWW[[#This Row],[Site Name]],SiteDB6[[Site Name]:[Pcode]],3,FALSE)</f>
        <v>MMR001CMP247</v>
      </c>
      <c r="EM289" s="891" t="str">
        <f t="shared" si="4"/>
        <v>Covered</v>
      </c>
      <c r="EN289" s="891"/>
      <c r="EO289" s="886">
        <f>VLOOKUP(WWWW[[#This Row],[Site Name]],SiteDB6[[Site Name]:[Pop
(Kachin/Shan-CCCM as of July 2021)]],16,FALSE)</f>
        <v>24</v>
      </c>
      <c r="EP289" s="886">
        <f>VLOOKUP(WWWW[[#This Row],[Site Name]],SiteDB6[[Site Name]:[Pop
(Kachin/Shan-CCCM as of July 2021)]],17,FALSE)</f>
        <v>101</v>
      </c>
    </row>
    <row r="290" spans="1:146" hidden="1">
      <c r="A290" s="884" t="s">
        <v>2764</v>
      </c>
      <c r="B290" s="884" t="s">
        <v>309</v>
      </c>
      <c r="C290" s="885" t="s">
        <v>309</v>
      </c>
      <c r="D290" s="885"/>
      <c r="E290" s="885" t="s">
        <v>37</v>
      </c>
      <c r="F290" s="885" t="s">
        <v>205</v>
      </c>
      <c r="G290" s="591" t="str">
        <f>VLOOKUP(WWWW[[#This Row],[Site Name]],SiteDB6[[Site Name]:[Location Type]],8,FALSE)</f>
        <v>Camp</v>
      </c>
      <c r="H290" s="726" t="s">
        <v>3019</v>
      </c>
      <c r="I290" s="887">
        <v>15</v>
      </c>
      <c r="J290" s="887">
        <v>101</v>
      </c>
      <c r="K290" s="888" t="s">
        <v>2650</v>
      </c>
      <c r="L290" s="889" t="s">
        <v>2651</v>
      </c>
      <c r="M290" s="887"/>
      <c r="N290" s="887"/>
      <c r="O290" s="887"/>
      <c r="P290" s="887"/>
      <c r="Q290" s="890"/>
      <c r="R290" s="887"/>
      <c r="S290" s="887">
        <v>1</v>
      </c>
      <c r="T290" s="448"/>
      <c r="U290" s="887"/>
      <c r="V290" s="887"/>
      <c r="W290" s="887"/>
      <c r="X290" s="887"/>
      <c r="Y290" s="887"/>
      <c r="Z290" s="887"/>
      <c r="AA290" s="887"/>
      <c r="AB290" s="887"/>
      <c r="AC290" s="887"/>
      <c r="AD290" s="887"/>
      <c r="AE290" s="887"/>
      <c r="AF290" s="887"/>
      <c r="AG290" s="887"/>
      <c r="AH290" s="887"/>
      <c r="AI290" s="887"/>
      <c r="AJ290" s="887"/>
      <c r="AK290" s="887"/>
      <c r="AL290" s="887"/>
      <c r="AM290" s="887"/>
      <c r="AN290" s="887"/>
      <c r="AO290" s="448"/>
      <c r="AP290" s="891"/>
      <c r="AQ290" s="887"/>
      <c r="AR290" s="887"/>
      <c r="AS290" s="892"/>
      <c r="AT290" s="887"/>
      <c r="AU290" s="887"/>
      <c r="AV290" s="887"/>
      <c r="AW290" s="887"/>
      <c r="AX290" s="887"/>
      <c r="AY290" s="886" t="s">
        <v>140</v>
      </c>
      <c r="AZ290" s="891" t="s">
        <v>140</v>
      </c>
      <c r="BA290" s="887"/>
      <c r="BB290" s="887"/>
      <c r="BC290" s="887"/>
      <c r="BD290" s="448"/>
      <c r="BE290" s="448"/>
      <c r="BF290" s="886"/>
      <c r="BG290" s="887">
        <v>1</v>
      </c>
      <c r="BH290" s="887"/>
      <c r="BI290" s="887"/>
      <c r="BJ290" s="887">
        <v>3</v>
      </c>
      <c r="BK290" s="887"/>
      <c r="BL290" s="887"/>
      <c r="BM290" s="887"/>
      <c r="BN290" s="887"/>
      <c r="BO290" s="887"/>
      <c r="BP290" s="886"/>
      <c r="BQ290" s="893"/>
      <c r="BR290" s="892"/>
      <c r="BS290" s="886"/>
      <c r="BT290" s="423"/>
      <c r="BU290" s="423"/>
      <c r="BV290" s="425"/>
      <c r="BW290" s="423"/>
      <c r="BX290" s="448"/>
      <c r="BY290" s="448"/>
      <c r="BZ290" s="448"/>
      <c r="CA290" s="448"/>
      <c r="CB290" s="448"/>
      <c r="CC290" s="777"/>
      <c r="CD290" s="448"/>
      <c r="CE290" s="894" t="str">
        <f>IFERROR(WWWW[[#This Row],['#_Water sources passed]]/WWWW[[#This Row],['#_Water sources tested for fecal coliform ]],"no test")</f>
        <v>no test</v>
      </c>
      <c r="CF290" s="892" t="str">
        <f>IFERROR(WWWW[[#This Row],['#_Household passed]]/WWWW[[#This Row],['#_Household water samples tested for fecal coliform]],"no test")</f>
        <v>no test</v>
      </c>
      <c r="CG290" s="893" t="str">
        <f>IF(AND(WWWW[[#This Row],[% of water sources passed]]="no test",WWWW[[#This Row],[% Household passed]]="no test"),"No Test","Tested")</f>
        <v>No Test</v>
      </c>
      <c r="CH290" s="893">
        <f>WWWW[[#This Row],['#_Constructed/existing protected hand dug well]]-WWWW[[#This Row],['#_Non-functional protected hand dug well]]</f>
        <v>0</v>
      </c>
      <c r="CI290" s="893">
        <f>(WWWW[[#This Row],['#_Constructed/Existing tube wells/boreholes/handpumps_WASH_agency]]+WWWW[[#This Row],['#_Non-Cluster partner water tube-wells/boreholes/handpumps]])-WWWW[[#This Row],['#_Non-functional tube wells/boreholes/handpumps]]</f>
        <v>0</v>
      </c>
      <c r="CJ290" s="893">
        <f>WWWW[[#This Row],['#_Constructed/Existingwater storage tank with gravity fed reticulation system]]-WWWW[[#This Row],['#_Non-functional storage tank gravity fed reticulation system]]</f>
        <v>0</v>
      </c>
      <c r="CK290" s="893">
        <f>(WWWW[[#This Row],['#_Water_Liters_supplied_by_Water boating or water trucking]]/90)/15</f>
        <v>0</v>
      </c>
      <c r="CL290" s="893">
        <f>WWWW[[#This Row],['#_Water_Liters_from_Constructed/Existing water distribution system from river or natural spring]]/90/15</f>
        <v>0</v>
      </c>
      <c r="CM290" s="424">
        <f>IF(WWWW[[#This Row],['#_of water points in TLS/CFS]]*500&gt;WWWW[[#This Row],[Total PoP ]],WWWW[[#This Row],[Total PoP ]],WWWW[[#This Row],['#_of water points in TLS/CFS]]*500)</f>
        <v>0</v>
      </c>
      <c r="CN290" s="424">
        <f>IF(WWWW[[#This Row],['#_of water points in THF]]*500&gt;WWWW[[#This Row],[Total PoP ]],WWWW[[#This Row],[Total PoP ]],WWWW[[#This Row],['#_of water points in THF]]*500)</f>
        <v>0</v>
      </c>
      <c r="CO29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9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90" s="892">
        <f>IF(WWWW[[#This Row],[Location Type 1]]="Village",WWWW[[#This Row],[Access to safe drinking water for Village]],WWWW[[#This Row],[Access to safe drinking water for Camp]])</f>
        <v>0</v>
      </c>
      <c r="CR290" s="890">
        <f>WWWW[[#This Row],[%Equitable and continuous access to sufficient quantity of safe drinking water]]*WWWW[[#This Row],[Total PoP ]]</f>
        <v>0</v>
      </c>
      <c r="CS290" s="892">
        <f>IF((WWWW[[#This Row],['#_Constructed/Existing protected/fenced ponds]]*250)/WWWW[[#This Row],[Total PoP ]]&gt;1,1,(WWWW[[#This Row],['#_Constructed/Existing protected/fenced ponds]]*250)/WWWW[[#This Row],[Total PoP ]])</f>
        <v>0</v>
      </c>
      <c r="CT290" s="890">
        <f>WWWW[[#This Row],[% Access to unimproved water points]]*WWWW[[#This Row],[Total PoP ]]</f>
        <v>0</v>
      </c>
      <c r="CU29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9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90" s="890">
        <f>WWWW[[#This Row],[HRP1]]/500</f>
        <v>0</v>
      </c>
      <c r="CX290" s="895">
        <f>1-WWWW[[#This Row],[% Equitable and continuous access to sufficient quantity of domestic water]]</f>
        <v>1</v>
      </c>
      <c r="CY290" s="890">
        <f>WWWW[[#This Row],[%equitable and continuous access to sufficient quantity of safe drinking and domestic water''s GAP]]*WWWW[[#This Row],[Total PoP ]]</f>
        <v>101</v>
      </c>
      <c r="CZ290" s="893">
        <f>IF(WWWW[[#This Row],[Total required water points]]-WWWW[[#This Row],['#Water points coverage]]&lt;0,0,WWWW[[#This Row],[Total required water points]]-WWWW[[#This Row],['#Water points coverage]])</f>
        <v>1</v>
      </c>
      <c r="DA290" s="893">
        <f>ROUND(IF(WWWW[[#This Row],[Total PoP ]]&lt;500,1,WWWW[[#This Row],[Total PoP ]]/500),0)</f>
        <v>1</v>
      </c>
      <c r="DB290" s="893">
        <f>(WWWW[[#This Row],['#_Constructed latrines_by_WASHAgencies]]+WWWW[[#This Row],['#_Non Cluster partner latrines]])-WWWW[[#This Row],['#_Non-functional latrines]]</f>
        <v>0</v>
      </c>
      <c r="DC290" s="631">
        <f>WWWW[[#This Row],[HRP2]]/WWWW[[#This Row],[Total PoP ]]</f>
        <v>0</v>
      </c>
      <c r="DD29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9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0" s="424">
        <f>IF(WWWW[[#This Row],['# of functional latrines in THF supported by WASH partners during the reporting period2]]="",0,WWWW[[#This Row],['# of functional latrines in THF supported by WASH partners during the reporting period2]]*50)</f>
        <v>0</v>
      </c>
      <c r="DH290" s="893">
        <f>ROUND(IF(WWWW[[#This Row],[Location Type 1]]="camp",WWWW[[#This Row],[Total PoP ]]/20,IF(WWWW[[#This Row],[Location Type 1]]="Temporary Location",WWWW[[#This Row],[Total PoP ]]/50,(WWWW[[#This Row],[Total PoP ]]/6))),0)</f>
        <v>5</v>
      </c>
      <c r="DI290" s="893">
        <f>IF(WWWW[[#This Row],[Total required Latrines]]-(WWWW[[#This Row],['#_Constructed latrines_by_WASHAgencies]]+WWWW[[#This Row],['#_Non Cluster partner latrines]])&lt;0,0,WWWW[[#This Row],[Total required Latrines]]-(WWWW[[#This Row],['#_Constructed latrines_by_WASHAgencies]]+WWWW[[#This Row],['#_Non Cluster partner latrines]]))</f>
        <v>5</v>
      </c>
      <c r="DJ290" s="895">
        <f>1-WWWW[[#This Row],[% people access to functioning Latrine]]</f>
        <v>1</v>
      </c>
      <c r="DK290" s="894">
        <f>IF(OR(WWWW[[#This Row],['#_Non-functional latrines]]="",WWWW[[#This Row],['#_Non-functional latrines]]=0),0,WWWW[[#This Row],['#_Non-functional latrines]]/(WWWW[[#This Row],['#_Constructed latrines_by_WASHAgencies]]+WWWW[[#This Row],['#_Non Cluster partner latrines]]))</f>
        <v>0</v>
      </c>
      <c r="DL290" s="890">
        <f>IF(500*(WWWW[[#This Row],['#_male hygiene promoters]]+WWWW[[#This Row],['#_female hygiene promoters]])&gt;WWWW[[#This Row],[Total PoP ]],WWWW[[#This Row],[Total PoP ]],500*(WWWW[[#This Row],['#_male hygiene promoters]]+WWWW[[#This Row],['#_female hygiene promoters]]))</f>
        <v>0</v>
      </c>
      <c r="DM29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0" s="893">
        <f>IF(WWWW[[#This Row],['# People with access to soap]]&gt;WWWW[[#This Row],['# People with access to Sanity Pads]],WWWW[[#This Row],['# People with access to soap]],WWWW[[#This Row],['# People with access to Sanity Pads]])</f>
        <v>0</v>
      </c>
      <c r="DP290"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90" s="895">
        <f>IF(WWWW[[#This Row],[HRP3]]/WWWW[[#This Row],[Total PoP ]]&gt;1,1,WWWW[[#This Row],[HRP3]]/WWWW[[#This Row],[Total PoP ]])</f>
        <v>0</v>
      </c>
      <c r="DR290" s="894">
        <f>1-WWWW[[#This Row],[Hygiene Coverage%]]</f>
        <v>1</v>
      </c>
      <c r="DS290" s="892">
        <f>WWWW[[#This Row],['# people reached by regular dedicated hygiene promotion_5]]/WWWW[[#This Row],[Total PoP ]]</f>
        <v>0</v>
      </c>
      <c r="DT29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0" s="893">
        <f>WWWW[[#This Row],['#_Constructed/Existing hand washing stations]]-WWWW[[#This Row],['#_Non-Functional_hand_washing_stations]]</f>
        <v>1</v>
      </c>
      <c r="DW290" s="890">
        <f>IF(WWWW[[#This Row],['# Functional hand washing stations during reporting period]]*20&gt;WWWW[[#This Row],[Total HH]],WWWW[[#This Row],[Total HH]],WWWW[[#This Row],['# Functional hand washing stations during reporting period]]*20)</f>
        <v>15</v>
      </c>
      <c r="DX290" s="890">
        <f>IF(WWWW[[#This Row],[Is sufficient soap available for TLS? (Yes/No)]]="yes",WWWW[[#This Row],['#_Constructed/Existing hand washing stations at TLS/CFS/THF]],0)</f>
        <v>0</v>
      </c>
      <c r="DY290" s="428">
        <f>IF(WWWW[[#This Row],['# Functional hand washing stations during reporting period]]*100&gt;WWWW[[#This Row],[Total PoP ]],WWWW[[#This Row],[Total PoP ]],WWWW[[#This Row],['# Functional hand washing stations during reporting period]]*100)</f>
        <v>100</v>
      </c>
      <c r="DZ290" s="428" t="str">
        <f>IF(OR(WWWW[[#This Row],['#_students at TLS_CFS]]="",WWWW[[#This Row],['#_students at TLS_CFS]]=0),"No","Yes")</f>
        <v>No</v>
      </c>
      <c r="EA29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0" s="886">
        <f>VLOOKUP(WWWW[[#This Row],[Site Name]],SiteDB6[[Site Name]:[CCCM Management]],6,FALSE)</f>
        <v>0</v>
      </c>
      <c r="EF290" s="886" t="str">
        <f>VLOOKUP(WWWW[[#This Row],[Site Name]],SiteDB6[[Site Name]:[CCCM Focal Agency]],7,FALSE)</f>
        <v>uncovered</v>
      </c>
      <c r="EG290" s="886" t="str">
        <f>VLOOKUP(WWWW[[#This Row],[Site Name]],SiteDB6[[Site Name]:[Location Type 1]],9,FALSE)</f>
        <v>Camp</v>
      </c>
      <c r="EH290" s="886" t="str">
        <f>VLOOKUP(WWWW[[#This Row],[Site Name]],SiteDB6[[Site Name]:[Type of Accommodation]],10,FALSE)</f>
        <v>IDPs in host</v>
      </c>
      <c r="EI290" s="886" t="str">
        <f>VLOOKUP(WWWW[[#This Row],[Site Name]],SiteDB6[[Site Name]:[Ethnic or GCA/NGCA]],11,FALSE)</f>
        <v>GCA</v>
      </c>
      <c r="EJ290" s="886">
        <f>VLOOKUP(WWWW[[#This Row],[Site Name]],SiteDB6[[Site Name]:[Lat]],12,FALSE)</f>
        <v>24.404876999999999</v>
      </c>
      <c r="EK290" s="886">
        <f>VLOOKUP(WWWW[[#This Row],[Site Name]],SiteDB6[[Site Name]:[Long]],13,FALSE)</f>
        <v>97.407787999999996</v>
      </c>
      <c r="EL290" s="886" t="str">
        <f>VLOOKUP(WWWW[[#This Row],[Site Name]],SiteDB6[[Site Name]:[Pcode]],3,FALSE)</f>
        <v>MMR001CMP061</v>
      </c>
      <c r="EM290" s="891" t="str">
        <f t="shared" si="4"/>
        <v>Notcovered</v>
      </c>
      <c r="EN290" s="891"/>
      <c r="EO290" s="886">
        <f>VLOOKUP(WWWW[[#This Row],[Site Name]],SiteDB6[[Site Name]:[Pop
(Kachin/Shan-CCCM as of July 2021)]],16,FALSE)</f>
        <v>15</v>
      </c>
      <c r="EP290" s="886">
        <f>VLOOKUP(WWWW[[#This Row],[Site Name]],SiteDB6[[Site Name]:[Pop
(Kachin/Shan-CCCM as of July 2021)]],17,FALSE)</f>
        <v>101</v>
      </c>
    </row>
    <row r="291" spans="1:146" hidden="1">
      <c r="A291" s="884" t="s">
        <v>2764</v>
      </c>
      <c r="B291" s="884" t="s">
        <v>36</v>
      </c>
      <c r="C291" s="885" t="s">
        <v>36</v>
      </c>
      <c r="D291" s="885" t="s">
        <v>241</v>
      </c>
      <c r="E291" s="885" t="s">
        <v>37</v>
      </c>
      <c r="F291" s="885" t="s">
        <v>142</v>
      </c>
      <c r="G291" s="591" t="str">
        <f>VLOOKUP(WWWW[[#This Row],[Site Name]],SiteDB6[[Site Name]:[Location Type]],8,FALSE)</f>
        <v>Camp</v>
      </c>
      <c r="H291" s="979" t="s">
        <v>3002</v>
      </c>
      <c r="I291" s="887">
        <v>57</v>
      </c>
      <c r="J291" s="887">
        <v>344</v>
      </c>
      <c r="K291" s="888">
        <v>44414</v>
      </c>
      <c r="L291" s="889">
        <v>44778</v>
      </c>
      <c r="M291" s="887"/>
      <c r="N291" s="887">
        <v>3</v>
      </c>
      <c r="O291" s="887"/>
      <c r="P291" s="887"/>
      <c r="Q291" s="890" t="s">
        <v>41</v>
      </c>
      <c r="R291" s="887">
        <v>3</v>
      </c>
      <c r="S291" s="887">
        <v>4</v>
      </c>
      <c r="T291" s="448">
        <v>2</v>
      </c>
      <c r="U291" s="887">
        <v>1</v>
      </c>
      <c r="V291" s="887">
        <v>1</v>
      </c>
      <c r="W291" s="887">
        <v>1</v>
      </c>
      <c r="X291" s="887"/>
      <c r="Y291" s="887"/>
      <c r="Z291" s="887"/>
      <c r="AA291" s="887">
        <v>1</v>
      </c>
      <c r="AB291" s="887"/>
      <c r="AC291" s="887"/>
      <c r="AD291" s="887"/>
      <c r="AE291" s="887"/>
      <c r="AF291" s="887"/>
      <c r="AG291" s="887"/>
      <c r="AH291" s="887"/>
      <c r="AI291" s="887"/>
      <c r="AJ291" s="887"/>
      <c r="AK291" s="887"/>
      <c r="AL291" s="887"/>
      <c r="AM291" s="887">
        <v>4</v>
      </c>
      <c r="AN291" s="887"/>
      <c r="AO291" s="448"/>
      <c r="AP291" s="891"/>
      <c r="AQ291" s="887">
        <v>98</v>
      </c>
      <c r="AR291" s="887"/>
      <c r="AS291" s="892"/>
      <c r="AT291" s="887"/>
      <c r="AU291" s="887"/>
      <c r="AV291" s="887"/>
      <c r="AW291" s="887"/>
      <c r="AX291" s="887"/>
      <c r="AY291" s="886" t="s">
        <v>41</v>
      </c>
      <c r="AZ291" s="891" t="s">
        <v>137</v>
      </c>
      <c r="BA291" s="887">
        <v>3</v>
      </c>
      <c r="BB291" s="887"/>
      <c r="BC291" s="887"/>
      <c r="BD291" s="448"/>
      <c r="BE291" s="448"/>
      <c r="BF291" s="886"/>
      <c r="BG291" s="887">
        <v>1</v>
      </c>
      <c r="BH291" s="887"/>
      <c r="BI291" s="887"/>
      <c r="BJ291" s="887">
        <v>4</v>
      </c>
      <c r="BK291" s="887">
        <v>1</v>
      </c>
      <c r="BL291" s="887"/>
      <c r="BM291" s="887">
        <v>1</v>
      </c>
      <c r="BN291" s="887">
        <v>57</v>
      </c>
      <c r="BO291" s="887">
        <v>73.787999999999997</v>
      </c>
      <c r="BP291" s="886" t="s">
        <v>41</v>
      </c>
      <c r="BQ291" s="893">
        <v>100</v>
      </c>
      <c r="BR291" s="892"/>
      <c r="BS291" s="886" t="s">
        <v>3036</v>
      </c>
      <c r="BT291" s="423"/>
      <c r="BU291" s="423"/>
      <c r="BV291" s="425"/>
      <c r="BW291" s="423">
        <v>0.01</v>
      </c>
      <c r="BX291" s="448"/>
      <c r="BY291" s="448"/>
      <c r="BZ291" s="448"/>
      <c r="CA291" s="448"/>
      <c r="CB291" s="448"/>
      <c r="CC291" s="777"/>
      <c r="CD291" s="448"/>
      <c r="CE291" s="894" t="str">
        <f>IFERROR(WWWW[[#This Row],['#_Water sources passed]]/WWWW[[#This Row],['#_Water sources tested for fecal coliform ]],"no test")</f>
        <v>no test</v>
      </c>
      <c r="CF291" s="892" t="str">
        <f>IFERROR(WWWW[[#This Row],['#_Household passed]]/WWWW[[#This Row],['#_Household water samples tested for fecal coliform]],"no test")</f>
        <v>no test</v>
      </c>
      <c r="CG291" s="893" t="str">
        <f>IF(AND(WWWW[[#This Row],[% of water sources passed]]="no test",WWWW[[#This Row],[% Household passed]]="no test"),"No Test","Tested")</f>
        <v>No Test</v>
      </c>
      <c r="CH291" s="893">
        <f>WWWW[[#This Row],['#_Constructed/existing protected hand dug well]]-WWWW[[#This Row],['#_Non-functional protected hand dug well]]</f>
        <v>1</v>
      </c>
      <c r="CI291" s="893">
        <f>(WWWW[[#This Row],['#_Constructed/Existing tube wells/boreholes/handpumps_WASH_agency]]+WWWW[[#This Row],['#_Non-Cluster partner water tube-wells/boreholes/handpumps]])-WWWW[[#This Row],['#_Non-functional tube wells/boreholes/handpumps]]</f>
        <v>1</v>
      </c>
      <c r="CJ291" s="893">
        <f>WWWW[[#This Row],['#_Constructed/Existingwater storage tank with gravity fed reticulation system]]-WWWW[[#This Row],['#_Non-functional storage tank gravity fed reticulation system]]</f>
        <v>1</v>
      </c>
      <c r="CK291" s="893">
        <f>(WWWW[[#This Row],['#_Water_Liters_supplied_by_Water boating or water trucking]]/90)/15</f>
        <v>0</v>
      </c>
      <c r="CL291" s="893">
        <f>WWWW[[#This Row],['#_Water_Liters_from_Constructed/Existing water distribution system from river or natural spring]]/90/15</f>
        <v>0</v>
      </c>
      <c r="CM291" s="424">
        <f>IF(WWWW[[#This Row],['#_of water points in TLS/CFS]]*500&gt;WWWW[[#This Row],[Total PoP ]],WWWW[[#This Row],[Total PoP ]],WWWW[[#This Row],['#_of water points in TLS/CFS]]*500)</f>
        <v>0</v>
      </c>
      <c r="CN291" s="424">
        <f>IF(WWWW[[#This Row],['#_of water points in THF]]*500&gt;WWWW[[#This Row],[Total PoP ]],WWWW[[#This Row],[Total PoP ]],WWWW[[#This Row],['#_of water points in THF]]*500)</f>
        <v>0</v>
      </c>
      <c r="CO29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1" s="892">
        <f>IF(WWWW[[#This Row],[Location Type 1]]="Village",WWWW[[#This Row],[Access to safe drinking water for Village]],WWWW[[#This Row],[Access to safe drinking water for Camp]])</f>
        <v>1</v>
      </c>
      <c r="CR291" s="890">
        <f>WWWW[[#This Row],[%Equitable and continuous access to sufficient quantity of safe drinking water]]*WWWW[[#This Row],[Total PoP ]]</f>
        <v>344</v>
      </c>
      <c r="CS291" s="892">
        <f>IF((WWWW[[#This Row],['#_Constructed/Existing protected/fenced ponds]]*250)/WWWW[[#This Row],[Total PoP ]]&gt;1,1,(WWWW[[#This Row],['#_Constructed/Existing protected/fenced ponds]]*250)/WWWW[[#This Row],[Total PoP ]])</f>
        <v>0</v>
      </c>
      <c r="CT291" s="890">
        <f>WWWW[[#This Row],[% Access to unimproved water points]]*WWWW[[#This Row],[Total PoP ]]</f>
        <v>0</v>
      </c>
      <c r="CU29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344</v>
      </c>
      <c r="CW291" s="890">
        <f>WWWW[[#This Row],[HRP1]]/500</f>
        <v>0.68799999999999994</v>
      </c>
      <c r="CX291" s="895">
        <f>1-WWWW[[#This Row],[% Equitable and continuous access to sufficient quantity of domestic water]]</f>
        <v>0</v>
      </c>
      <c r="CY291" s="890">
        <f>WWWW[[#This Row],[%equitable and continuous access to sufficient quantity of safe drinking and domestic water''s GAP]]*WWWW[[#This Row],[Total PoP ]]</f>
        <v>0</v>
      </c>
      <c r="CZ291" s="893">
        <f>IF(WWWW[[#This Row],[Total required water points]]-WWWW[[#This Row],['#Water points coverage]]&lt;0,0,WWWW[[#This Row],[Total required water points]]-WWWW[[#This Row],['#Water points coverage]])</f>
        <v>0.31200000000000006</v>
      </c>
      <c r="DA291" s="893">
        <f>ROUND(IF(WWWW[[#This Row],[Total PoP ]]&lt;500,1,WWWW[[#This Row],[Total PoP ]]/500),0)</f>
        <v>1</v>
      </c>
      <c r="DB291" s="893">
        <f>(WWWW[[#This Row],['#_Constructed latrines_by_WASHAgencies]]+WWWW[[#This Row],['#_Non Cluster partner latrines]])-WWWW[[#This Row],['#_Non-functional latrines]]</f>
        <v>98</v>
      </c>
      <c r="DC291" s="631">
        <f>WWWW[[#This Row],[HRP2]]/WWWW[[#This Row],[Total PoP ]]</f>
        <v>1</v>
      </c>
      <c r="DD29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344</v>
      </c>
      <c r="DE29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1" s="424">
        <f>IF(WWWW[[#This Row],['# of functional latrines in THF supported by WASH partners during the reporting period2]]="",0,WWWW[[#This Row],['# of functional latrines in THF supported by WASH partners during the reporting period2]]*50)</f>
        <v>0</v>
      </c>
      <c r="DH291" s="893">
        <f>ROUND(IF(WWWW[[#This Row],[Location Type 1]]="camp",WWWW[[#This Row],[Total PoP ]]/20,IF(WWWW[[#This Row],[Location Type 1]]="Temporary Location",WWWW[[#This Row],[Total PoP ]]/50,(WWWW[[#This Row],[Total PoP ]]/6))),0)</f>
        <v>17</v>
      </c>
      <c r="DI291" s="893">
        <f>IF(WWWW[[#This Row],[Total required Latrines]]-(WWWW[[#This Row],['#_Constructed latrines_by_WASHAgencies]]+WWWW[[#This Row],['#_Non Cluster partner latrines]])&lt;0,0,WWWW[[#This Row],[Total required Latrines]]-(WWWW[[#This Row],['#_Constructed latrines_by_WASHAgencies]]+WWWW[[#This Row],['#_Non Cluster partner latrines]]))</f>
        <v>0</v>
      </c>
      <c r="DJ291" s="895">
        <f>1-WWWW[[#This Row],[% people access to functioning Latrine]]</f>
        <v>0</v>
      </c>
      <c r="DK291" s="894">
        <f>IF(OR(WWWW[[#This Row],['#_Non-functional latrines]]="",WWWW[[#This Row],['#_Non-functional latrines]]=0),0,WWWW[[#This Row],['#_Non-functional latrines]]/(WWWW[[#This Row],['#_Constructed latrines_by_WASHAgencies]]+WWWW[[#This Row],['#_Non Cluster partner latrines]]))</f>
        <v>0</v>
      </c>
      <c r="DL291" s="890">
        <f>IF(500*(WWWW[[#This Row],['#_male hygiene promoters]]+WWWW[[#This Row],['#_female hygiene promoters]])&gt;WWWW[[#This Row],[Total PoP ]],WWWW[[#This Row],[Total PoP ]],500*(WWWW[[#This Row],['#_male hygiene promoters]]+WWWW[[#This Row],['#_female hygiene promoters]]))</f>
        <v>344</v>
      </c>
      <c r="DM29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344</v>
      </c>
      <c r="DN29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73.787999999999997</v>
      </c>
      <c r="DO291" s="893">
        <f>IF(WWWW[[#This Row],['# People with access to soap]]&gt;WWWW[[#This Row],['# People with access to Sanity Pads]],WWWW[[#This Row],['# People with access to soap]],WWWW[[#This Row],['# People with access to Sanity Pads]])</f>
        <v>344</v>
      </c>
      <c r="DP291" s="893">
        <f>IF(WWWW[[#This Row],['# people reached by regular dedicated hygiene promotion_5]]&gt;WWWW[[#This Row],['# People received regular supply of hygiene items_6]],WWWW[[#This Row],['# people reached by regular dedicated hygiene promotion_5]],WWWW[[#This Row],['# People received regular supply of hygiene items_6]])</f>
        <v>344</v>
      </c>
      <c r="DQ291" s="895">
        <f>IF(WWWW[[#This Row],[HRP3]]/WWWW[[#This Row],[Total PoP ]]&gt;1,1,WWWW[[#This Row],[HRP3]]/WWWW[[#This Row],[Total PoP ]])</f>
        <v>1</v>
      </c>
      <c r="DR291" s="894">
        <f>1-WWWW[[#This Row],[Hygiene Coverage%]]</f>
        <v>0</v>
      </c>
      <c r="DS291" s="892">
        <f>WWWW[[#This Row],['# people reached by regular dedicated hygiene promotion_5]]/WWWW[[#This Row],[Total PoP ]]</f>
        <v>1</v>
      </c>
      <c r="DT29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9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91" s="893">
        <f>WWWW[[#This Row],['#_Constructed/Existing hand washing stations]]-WWWW[[#This Row],['#_Non-Functional_hand_washing_stations]]</f>
        <v>1</v>
      </c>
      <c r="DW291" s="890">
        <f>IF(WWWW[[#This Row],['# Functional hand washing stations during reporting period]]*20&gt;WWWW[[#This Row],[Total HH]],WWWW[[#This Row],[Total HH]],WWWW[[#This Row],['# Functional hand washing stations during reporting period]]*20)</f>
        <v>20</v>
      </c>
      <c r="DX291" s="890">
        <f>IF(WWWW[[#This Row],[Is sufficient soap available for TLS? (Yes/No)]]="yes",WWWW[[#This Row],['#_Constructed/Existing hand washing stations at TLS/CFS/THF]],0)</f>
        <v>4</v>
      </c>
      <c r="DY291" s="428">
        <f>IF(WWWW[[#This Row],['# Functional hand washing stations during reporting period]]*100&gt;WWWW[[#This Row],[Total PoP ]],WWWW[[#This Row],[Total PoP ]],WWWW[[#This Row],['# Functional hand washing stations during reporting period]]*100)</f>
        <v>100</v>
      </c>
      <c r="DZ291" s="428" t="str">
        <f>IF(OR(WWWW[[#This Row],['#_students at TLS_CFS]]="",WWWW[[#This Row],['#_students at TLS_CFS]]=0),"No","Yes")</f>
        <v>No</v>
      </c>
      <c r="EA29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1" s="886">
        <f>VLOOKUP(WWWW[[#This Row],[Site Name]],SiteDB6[[Site Name]:[CCCM Management]],6,FALSE)</f>
        <v>0</v>
      </c>
      <c r="EF291" s="886">
        <f>VLOOKUP(WWWW[[#This Row],[Site Name]],SiteDB6[[Site Name]:[CCCM Focal Agency]],7,FALSE)</f>
        <v>0</v>
      </c>
      <c r="EG291" s="886" t="str">
        <f>VLOOKUP(WWWW[[#This Row],[Site Name]],SiteDB6[[Site Name]:[Location Type 1]],9,FALSE)</f>
        <v>Camp</v>
      </c>
      <c r="EH291" s="886" t="str">
        <f>VLOOKUP(WWWW[[#This Row],[Site Name]],SiteDB6[[Site Name]:[Type of Accommodation]],10,FALSE)</f>
        <v>Camp</v>
      </c>
      <c r="EI291" s="886" t="str">
        <f>VLOOKUP(WWWW[[#This Row],[Site Name]],SiteDB6[[Site Name]:[Ethnic or GCA/NGCA]],11,FALSE)</f>
        <v>GCA</v>
      </c>
      <c r="EJ291" s="886">
        <f>VLOOKUP(WWWW[[#This Row],[Site Name]],SiteDB6[[Site Name]:[Lat]],12,FALSE)</f>
        <v>25.428995</v>
      </c>
      <c r="EK291" s="886">
        <f>VLOOKUP(WWWW[[#This Row],[Site Name]],SiteDB6[[Site Name]:[Long]],13,FALSE)</f>
        <v>97.957487999999998</v>
      </c>
      <c r="EL291" s="886" t="str">
        <f>VLOOKUP(WWWW[[#This Row],[Site Name]],SiteDB6[[Site Name]:[Pcode]],3,FALSE)</f>
        <v>MMR001CMP279</v>
      </c>
      <c r="EM291" s="891" t="str">
        <f t="shared" si="4"/>
        <v>Covered</v>
      </c>
      <c r="EN291" s="891"/>
      <c r="EO291" s="886">
        <f>VLOOKUP(WWWW[[#This Row],[Site Name]],SiteDB6[[Site Name]:[Pop
(Kachin/Shan-CCCM as of July 2021)]],16,FALSE)</f>
        <v>55</v>
      </c>
      <c r="EP291" s="886">
        <f>VLOOKUP(WWWW[[#This Row],[Site Name]],SiteDB6[[Site Name]:[Pop
(Kachin/Shan-CCCM as of July 2021)]],17,FALSE)</f>
        <v>320</v>
      </c>
    </row>
    <row r="292" spans="1:146" hidden="1">
      <c r="A292" s="884" t="s">
        <v>2764</v>
      </c>
      <c r="B292" s="884" t="s">
        <v>276</v>
      </c>
      <c r="C292" s="885" t="s">
        <v>276</v>
      </c>
      <c r="D292" s="885" t="s">
        <v>3037</v>
      </c>
      <c r="E292" s="885" t="s">
        <v>37</v>
      </c>
      <c r="F292" s="885" t="s">
        <v>195</v>
      </c>
      <c r="G292" s="591" t="str">
        <f>VLOOKUP(WWWW[[#This Row],[Site Name]],SiteDB6[[Site Name]:[Location Type]],8,FALSE)</f>
        <v>Camp</v>
      </c>
      <c r="H292" s="885" t="s">
        <v>2773</v>
      </c>
      <c r="I292" s="887">
        <v>40</v>
      </c>
      <c r="J292" s="887">
        <v>168</v>
      </c>
      <c r="K292" s="888">
        <v>44652</v>
      </c>
      <c r="L292" s="889">
        <v>44895</v>
      </c>
      <c r="M292" s="887"/>
      <c r="N292" s="887"/>
      <c r="O292" s="887"/>
      <c r="P292" s="887"/>
      <c r="Q292" s="890" t="s">
        <v>41</v>
      </c>
      <c r="R292" s="887">
        <v>4</v>
      </c>
      <c r="S292" s="887">
        <v>4</v>
      </c>
      <c r="T292" s="448">
        <v>1</v>
      </c>
      <c r="U292" s="887"/>
      <c r="V292" s="887"/>
      <c r="W292" s="887">
        <v>1</v>
      </c>
      <c r="X292" s="887"/>
      <c r="Y292" s="887"/>
      <c r="Z292" s="887"/>
      <c r="AA292" s="887"/>
      <c r="AB292" s="887"/>
      <c r="AC292" s="887"/>
      <c r="AD292" s="887"/>
      <c r="AE292" s="887"/>
      <c r="AF292" s="887"/>
      <c r="AG292" s="887"/>
      <c r="AH292" s="887"/>
      <c r="AI292" s="887">
        <v>2</v>
      </c>
      <c r="AJ292" s="887">
        <v>2</v>
      </c>
      <c r="AK292" s="887">
        <v>3</v>
      </c>
      <c r="AL292" s="887">
        <v>1</v>
      </c>
      <c r="AM292" s="887"/>
      <c r="AN292" s="887"/>
      <c r="AO292" s="448"/>
      <c r="AP292" s="891" t="s">
        <v>3038</v>
      </c>
      <c r="AQ292" s="887">
        <v>7</v>
      </c>
      <c r="AR292" s="887"/>
      <c r="AS292" s="892"/>
      <c r="AT292" s="887"/>
      <c r="AU292" s="887"/>
      <c r="AV292" s="887">
        <v>3</v>
      </c>
      <c r="AW292" s="887">
        <v>4</v>
      </c>
      <c r="AX292" s="887"/>
      <c r="AY292" s="886" t="s">
        <v>41</v>
      </c>
      <c r="AZ292" s="891" t="s">
        <v>137</v>
      </c>
      <c r="BA292" s="887"/>
      <c r="BB292" s="887"/>
      <c r="BC292" s="887"/>
      <c r="BD292" s="448"/>
      <c r="BE292" s="448">
        <v>7</v>
      </c>
      <c r="BF292" s="886"/>
      <c r="BG292" s="887">
        <v>9</v>
      </c>
      <c r="BH292" s="887"/>
      <c r="BI292" s="887"/>
      <c r="BJ292" s="887">
        <v>2</v>
      </c>
      <c r="BK292" s="887"/>
      <c r="BL292" s="887"/>
      <c r="BM292" s="887"/>
      <c r="BN292" s="887">
        <v>40</v>
      </c>
      <c r="BO292" s="887">
        <v>64</v>
      </c>
      <c r="BP292" s="886"/>
      <c r="BQ292" s="893"/>
      <c r="BR292" s="892"/>
      <c r="BS292" s="886"/>
      <c r="BT292" s="423"/>
      <c r="BU292" s="423"/>
      <c r="BV292" s="425"/>
      <c r="BW292" s="423">
        <v>0</v>
      </c>
      <c r="BX292" s="448"/>
      <c r="BY292" s="448">
        <v>9</v>
      </c>
      <c r="BZ292" s="448">
        <v>2</v>
      </c>
      <c r="CA292" s="448"/>
      <c r="CB292" s="448"/>
      <c r="CC292" s="777"/>
      <c r="CD292" s="448"/>
      <c r="CE292" s="894">
        <f>IFERROR(WWWW[[#This Row],['#_Water sources passed]]/WWWW[[#This Row],['#_Water sources tested for fecal coliform ]],"no test")</f>
        <v>1</v>
      </c>
      <c r="CF292" s="892">
        <f>IFERROR(WWWW[[#This Row],['#_Household passed]]/WWWW[[#This Row],['#_Household water samples tested for fecal coliform]],"no test")</f>
        <v>0.33333333333333331</v>
      </c>
      <c r="CG292" s="893" t="str">
        <f>IF(AND(WWWW[[#This Row],[% of water sources passed]]="no test",WWWW[[#This Row],[% Household passed]]="no test"),"No Test","Tested")</f>
        <v>Tested</v>
      </c>
      <c r="CH292" s="893">
        <f>WWWW[[#This Row],['#_Constructed/existing protected hand dug well]]-WWWW[[#This Row],['#_Non-functional protected hand dug well]]</f>
        <v>1</v>
      </c>
      <c r="CI292" s="893">
        <f>(WWWW[[#This Row],['#_Constructed/Existing tube wells/boreholes/handpumps_WASH_agency]]+WWWW[[#This Row],['#_Non-Cluster partner water tube-wells/boreholes/handpumps]])-WWWW[[#This Row],['#_Non-functional tube wells/boreholes/handpumps]]</f>
        <v>1</v>
      </c>
      <c r="CJ292" s="893">
        <f>WWWW[[#This Row],['#_Constructed/Existingwater storage tank with gravity fed reticulation system]]-WWWW[[#This Row],['#_Non-functional storage tank gravity fed reticulation system]]</f>
        <v>0</v>
      </c>
      <c r="CK292" s="893">
        <f>(WWWW[[#This Row],['#_Water_Liters_supplied_by_Water boating or water trucking]]/90)/15</f>
        <v>0</v>
      </c>
      <c r="CL292" s="893">
        <f>WWWW[[#This Row],['#_Water_Liters_from_Constructed/Existing water distribution system from river or natural spring]]/90/15</f>
        <v>0</v>
      </c>
      <c r="CM292" s="424">
        <f>IF(WWWW[[#This Row],['#_of water points in TLS/CFS]]*500&gt;WWWW[[#This Row],[Total PoP ]],WWWW[[#This Row],[Total PoP ]],WWWW[[#This Row],['#_of water points in TLS/CFS]]*500)</f>
        <v>0</v>
      </c>
      <c r="CN292" s="424">
        <f>IF(WWWW[[#This Row],['#_of water points in THF]]*500&gt;WWWW[[#This Row],[Total PoP ]],WWWW[[#This Row],[Total PoP ]],WWWW[[#This Row],['#_of water points in THF]]*500)</f>
        <v>0</v>
      </c>
      <c r="CO29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2" s="892">
        <f>IF(WWWW[[#This Row],[Location Type 1]]="Village",WWWW[[#This Row],[Access to safe drinking water for Village]],WWWW[[#This Row],[Access to safe drinking water for Camp]])</f>
        <v>1</v>
      </c>
      <c r="CR292" s="890">
        <f>WWWW[[#This Row],[%Equitable and continuous access to sufficient quantity of safe drinking water]]*WWWW[[#This Row],[Total PoP ]]</f>
        <v>168</v>
      </c>
      <c r="CS292" s="892">
        <f>IF((WWWW[[#This Row],['#_Constructed/Existing protected/fenced ponds]]*250)/WWWW[[#This Row],[Total PoP ]]&gt;1,1,(WWWW[[#This Row],['#_Constructed/Existing protected/fenced ponds]]*250)/WWWW[[#This Row],[Total PoP ]])</f>
        <v>0</v>
      </c>
      <c r="CT292" s="890">
        <f>WWWW[[#This Row],[% Access to unimproved water points]]*WWWW[[#This Row],[Total PoP ]]</f>
        <v>0</v>
      </c>
      <c r="CU29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168</v>
      </c>
      <c r="CW292" s="890">
        <f>WWWW[[#This Row],[HRP1]]/500</f>
        <v>0.33600000000000002</v>
      </c>
      <c r="CX292" s="895">
        <f>1-WWWW[[#This Row],[% Equitable and continuous access to sufficient quantity of domestic water]]</f>
        <v>0</v>
      </c>
      <c r="CY292" s="890">
        <f>WWWW[[#This Row],[%equitable and continuous access to sufficient quantity of safe drinking and domestic water''s GAP]]*WWWW[[#This Row],[Total PoP ]]</f>
        <v>0</v>
      </c>
      <c r="CZ292" s="893">
        <f>IF(WWWW[[#This Row],[Total required water points]]-WWWW[[#This Row],['#Water points coverage]]&lt;0,0,WWWW[[#This Row],[Total required water points]]-WWWW[[#This Row],['#Water points coverage]])</f>
        <v>0.66399999999999992</v>
      </c>
      <c r="DA292" s="893">
        <f>ROUND(IF(WWWW[[#This Row],[Total PoP ]]&lt;500,1,WWWW[[#This Row],[Total PoP ]]/500),0)</f>
        <v>1</v>
      </c>
      <c r="DB292" s="893">
        <f>(WWWW[[#This Row],['#_Constructed latrines_by_WASHAgencies]]+WWWW[[#This Row],['#_Non Cluster partner latrines]])-WWWW[[#This Row],['#_Non-functional latrines]]</f>
        <v>7</v>
      </c>
      <c r="DC292" s="631">
        <f>WWWW[[#This Row],[HRP2]]/WWWW[[#This Row],[Total PoP ]]</f>
        <v>0.875</v>
      </c>
      <c r="DD29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147</v>
      </c>
      <c r="DE29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29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2" s="424">
        <f>IF(WWWW[[#This Row],['# of functional latrines in THF supported by WASH partners during the reporting period2]]="",0,WWWW[[#This Row],['# of functional latrines in THF supported by WASH partners during the reporting period2]]*50)</f>
        <v>0</v>
      </c>
      <c r="DH292" s="893">
        <f>ROUND(IF(WWWW[[#This Row],[Location Type 1]]="camp",WWWW[[#This Row],[Total PoP ]]/20,IF(WWWW[[#This Row],[Location Type 1]]="Temporary Location",WWWW[[#This Row],[Total PoP ]]/50,(WWWW[[#This Row],[Total PoP ]]/6))),0)</f>
        <v>8</v>
      </c>
      <c r="DI292" s="893">
        <f>IF(WWWW[[#This Row],[Total required Latrines]]-(WWWW[[#This Row],['#_Constructed latrines_by_WASHAgencies]]+WWWW[[#This Row],['#_Non Cluster partner latrines]])&lt;0,0,WWWW[[#This Row],[Total required Latrines]]-(WWWW[[#This Row],['#_Constructed latrines_by_WASHAgencies]]+WWWW[[#This Row],['#_Non Cluster partner latrines]]))</f>
        <v>1</v>
      </c>
      <c r="DJ292" s="895">
        <f>1-WWWW[[#This Row],[% people access to functioning Latrine]]</f>
        <v>0.125</v>
      </c>
      <c r="DK292" s="894">
        <f>IF(OR(WWWW[[#This Row],['#_Non-functional latrines]]="",WWWW[[#This Row],['#_Non-functional latrines]]=0),0,WWWW[[#This Row],['#_Non-functional latrines]]/(WWWW[[#This Row],['#_Constructed latrines_by_WASHAgencies]]+WWWW[[#This Row],['#_Non Cluster partner latrines]]))</f>
        <v>0</v>
      </c>
      <c r="DL292" s="890">
        <f>IF(500*(WWWW[[#This Row],['#_male hygiene promoters]]+WWWW[[#This Row],['#_female hygiene promoters]])&gt;WWWW[[#This Row],[Total PoP ]],WWWW[[#This Row],[Total PoP ]],500*(WWWW[[#This Row],['#_male hygiene promoters]]+WWWW[[#This Row],['#_female hygiene promoters]]))</f>
        <v>0</v>
      </c>
      <c r="DM29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168</v>
      </c>
      <c r="DN29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64</v>
      </c>
      <c r="DO292" s="893">
        <f>IF(WWWW[[#This Row],['# People with access to soap]]&gt;WWWW[[#This Row],['# People with access to Sanity Pads]],WWWW[[#This Row],['# People with access to soap]],WWWW[[#This Row],['# People with access to Sanity Pads]])</f>
        <v>168</v>
      </c>
      <c r="DP292" s="893">
        <f>IF(WWWW[[#This Row],['# people reached by regular dedicated hygiene promotion_5]]&gt;WWWW[[#This Row],['# People received regular supply of hygiene items_6]],WWWW[[#This Row],['# people reached by regular dedicated hygiene promotion_5]],WWWW[[#This Row],['# People received regular supply of hygiene items_6]])</f>
        <v>168</v>
      </c>
      <c r="DQ292" s="895">
        <f>IF(WWWW[[#This Row],[HRP3]]/WWWW[[#This Row],[Total PoP ]]&gt;1,1,WWWW[[#This Row],[HRP3]]/WWWW[[#This Row],[Total PoP ]])</f>
        <v>1</v>
      </c>
      <c r="DR292" s="894">
        <f>1-WWWW[[#This Row],[Hygiene Coverage%]]</f>
        <v>0</v>
      </c>
      <c r="DS292" s="892">
        <f>WWWW[[#This Row],['# people reached by regular dedicated hygiene promotion_5]]/WWWW[[#This Row],[Total PoP ]]</f>
        <v>0</v>
      </c>
      <c r="DT29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9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92" s="893">
        <f>WWWW[[#This Row],['#_Constructed/Existing hand washing stations]]-WWWW[[#This Row],['#_Non-Functional_hand_washing_stations]]</f>
        <v>9</v>
      </c>
      <c r="DW292" s="890">
        <f>IF(WWWW[[#This Row],['# Functional hand washing stations during reporting period]]*20&gt;WWWW[[#This Row],[Total HH]],WWWW[[#This Row],[Total HH]],WWWW[[#This Row],['# Functional hand washing stations during reporting period]]*20)</f>
        <v>40</v>
      </c>
      <c r="DX292" s="890">
        <f>IF(WWWW[[#This Row],[Is sufficient soap available for TLS? (Yes/No)]]="yes",WWWW[[#This Row],['#_Constructed/Existing hand washing stations at TLS/CFS/THF]],0)</f>
        <v>0</v>
      </c>
      <c r="DY292" s="428">
        <f>IF(WWWW[[#This Row],['# Functional hand washing stations during reporting period]]*100&gt;WWWW[[#This Row],[Total PoP ]],WWWW[[#This Row],[Total PoP ]],WWWW[[#This Row],['# Functional hand washing stations during reporting period]]*100)</f>
        <v>168</v>
      </c>
      <c r="DZ292" s="428" t="str">
        <f>IF(OR(WWWW[[#This Row],['#_students at TLS_CFS]]="",WWWW[[#This Row],['#_students at TLS_CFS]]=0),"No","Yes")</f>
        <v>No</v>
      </c>
      <c r="EA29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11</v>
      </c>
      <c r="EC29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2" s="886">
        <f>VLOOKUP(WWWW[[#This Row],[Site Name]],SiteDB6[[Site Name]:[CCCM Management]],6,FALSE)</f>
        <v>0</v>
      </c>
      <c r="EF292" s="886">
        <f>VLOOKUP(WWWW[[#This Row],[Site Name]],SiteDB6[[Site Name]:[CCCM Focal Agency]],7,FALSE)</f>
        <v>0</v>
      </c>
      <c r="EG292" s="886" t="str">
        <f>VLOOKUP(WWWW[[#This Row],[Site Name]],SiteDB6[[Site Name]:[Location Type 1]],9,FALSE)</f>
        <v>Camp</v>
      </c>
      <c r="EH292" s="886" t="str">
        <f>VLOOKUP(WWWW[[#This Row],[Site Name]],SiteDB6[[Site Name]:[Type of Accommodation]],10,FALSE)</f>
        <v>Camp</v>
      </c>
      <c r="EI292" s="886" t="str">
        <f>VLOOKUP(WWWW[[#This Row],[Site Name]],SiteDB6[[Site Name]:[Ethnic or GCA/NGCA]],11,FALSE)</f>
        <v>GCA</v>
      </c>
      <c r="EJ292" s="886">
        <f>VLOOKUP(WWWW[[#This Row],[Site Name]],SiteDB6[[Site Name]:[Lat]],12,FALSE)</f>
        <v>24.314934000000001</v>
      </c>
      <c r="EK292" s="886">
        <f>VLOOKUP(WWWW[[#This Row],[Site Name]],SiteDB6[[Site Name]:[Long]],13,FALSE)</f>
        <v>97.305190999999994</v>
      </c>
      <c r="EL292" s="886" t="str">
        <f>VLOOKUP(WWWW[[#This Row],[Site Name]],SiteDB6[[Site Name]:[Pcode]],3,FALSE)</f>
        <v>MMR001CMP285</v>
      </c>
      <c r="EM292" s="891" t="str">
        <f t="shared" si="4"/>
        <v>Covered</v>
      </c>
      <c r="EN292" s="891"/>
      <c r="EO292" s="886">
        <f>VLOOKUP(WWWW[[#This Row],[Site Name]],SiteDB6[[Site Name]:[Pop
(Kachin/Shan-CCCM as of July 2021)]],16,FALSE)</f>
        <v>40</v>
      </c>
      <c r="EP292" s="886">
        <f>VLOOKUP(WWWW[[#This Row],[Site Name]],SiteDB6[[Site Name]:[Pop
(Kachin/Shan-CCCM as of July 2021)]],17,FALSE)</f>
        <v>190</v>
      </c>
    </row>
    <row r="293" spans="1:146" hidden="1">
      <c r="A293" s="884" t="s">
        <v>2764</v>
      </c>
      <c r="B293" s="884" t="s">
        <v>242</v>
      </c>
      <c r="C293" s="885" t="s">
        <v>242</v>
      </c>
      <c r="D293" s="885" t="s">
        <v>299</v>
      </c>
      <c r="E293" s="885" t="s">
        <v>37</v>
      </c>
      <c r="F293" s="885" t="s">
        <v>148</v>
      </c>
      <c r="G293" s="591" t="str">
        <f>VLOOKUP(WWWW[[#This Row],[Site Name]],SiteDB6[[Site Name]:[Location Type]],8,FALSE)</f>
        <v>Camp</v>
      </c>
      <c r="H293" s="885" t="s">
        <v>258</v>
      </c>
      <c r="I293" s="887">
        <v>7</v>
      </c>
      <c r="J293" s="887">
        <v>24</v>
      </c>
      <c r="K293" s="888">
        <v>44562</v>
      </c>
      <c r="L293" s="889">
        <v>44926</v>
      </c>
      <c r="M293" s="887"/>
      <c r="N293" s="887">
        <v>1</v>
      </c>
      <c r="O293" s="887"/>
      <c r="P293" s="887"/>
      <c r="Q293" s="890" t="s">
        <v>41</v>
      </c>
      <c r="R293" s="887">
        <v>2</v>
      </c>
      <c r="S293" s="887">
        <v>2</v>
      </c>
      <c r="T293" s="448">
        <v>1</v>
      </c>
      <c r="U293" s="887"/>
      <c r="V293" s="887"/>
      <c r="W293" s="887"/>
      <c r="X293" s="887"/>
      <c r="Y293" s="887"/>
      <c r="Z293" s="887"/>
      <c r="AA293" s="887">
        <v>1</v>
      </c>
      <c r="AB293" s="887"/>
      <c r="AC293" s="887"/>
      <c r="AD293" s="887"/>
      <c r="AE293" s="887">
        <v>2</v>
      </c>
      <c r="AF293" s="887">
        <v>1000</v>
      </c>
      <c r="AG293" s="887"/>
      <c r="AH293" s="887"/>
      <c r="AI293" s="887"/>
      <c r="AJ293" s="887"/>
      <c r="AK293" s="887"/>
      <c r="AL293" s="887"/>
      <c r="AM293" s="887"/>
      <c r="AN293" s="887"/>
      <c r="AO293" s="448"/>
      <c r="AP293" s="891"/>
      <c r="AQ293" s="887">
        <v>3</v>
      </c>
      <c r="AR293" s="887"/>
      <c r="AS293" s="892"/>
      <c r="AT293" s="887"/>
      <c r="AU293" s="887"/>
      <c r="AV293" s="887"/>
      <c r="AW293" s="887"/>
      <c r="AX293" s="887"/>
      <c r="AY293" s="886" t="s">
        <v>41</v>
      </c>
      <c r="AZ293" s="891" t="s">
        <v>136</v>
      </c>
      <c r="BA293" s="887"/>
      <c r="BB293" s="887"/>
      <c r="BC293" s="887"/>
      <c r="BD293" s="448"/>
      <c r="BE293" s="448"/>
      <c r="BF293" s="886"/>
      <c r="BG293" s="887">
        <v>2</v>
      </c>
      <c r="BH293" s="887"/>
      <c r="BI293" s="887"/>
      <c r="BJ293" s="887">
        <v>2</v>
      </c>
      <c r="BK293" s="887"/>
      <c r="BL293" s="887">
        <v>1</v>
      </c>
      <c r="BM293" s="887"/>
      <c r="BN293" s="887">
        <v>7</v>
      </c>
      <c r="BO293" s="887"/>
      <c r="BP293" s="886"/>
      <c r="BQ293" s="893"/>
      <c r="BR293" s="892"/>
      <c r="BS293" s="886" t="s">
        <v>3068</v>
      </c>
      <c r="BT293" s="423">
        <v>0.5</v>
      </c>
      <c r="BU293" s="423">
        <v>0.5</v>
      </c>
      <c r="BV293" s="425">
        <v>5</v>
      </c>
      <c r="BW293" s="423">
        <v>0.6</v>
      </c>
      <c r="BX293" s="448"/>
      <c r="BY293" s="448"/>
      <c r="BZ293" s="448"/>
      <c r="CA293" s="448"/>
      <c r="CB293" s="448"/>
      <c r="CC293" s="777"/>
      <c r="CD293" s="448"/>
      <c r="CE293" s="894" t="str">
        <f>IFERROR(WWWW[[#This Row],['#_Water sources passed]]/WWWW[[#This Row],['#_Water sources tested for fecal coliform ]],"no test")</f>
        <v>no test</v>
      </c>
      <c r="CF293" s="892" t="str">
        <f>IFERROR(WWWW[[#This Row],['#_Household passed]]/WWWW[[#This Row],['#_Household water samples tested for fecal coliform]],"no test")</f>
        <v>no test</v>
      </c>
      <c r="CG293" s="893" t="str">
        <f>IF(AND(WWWW[[#This Row],[% of water sources passed]]="no test",WWWW[[#This Row],[% Household passed]]="no test"),"No Test","Tested")</f>
        <v>No Test</v>
      </c>
      <c r="CH293" s="893">
        <f>WWWW[[#This Row],['#_Constructed/existing protected hand dug well]]-WWWW[[#This Row],['#_Non-functional protected hand dug well]]</f>
        <v>1</v>
      </c>
      <c r="CI293" s="893">
        <f>(WWWW[[#This Row],['#_Constructed/Existing tube wells/boreholes/handpumps_WASH_agency]]+WWWW[[#This Row],['#_Non-Cluster partner water tube-wells/boreholes/handpumps]])-WWWW[[#This Row],['#_Non-functional tube wells/boreholes/handpumps]]</f>
        <v>0</v>
      </c>
      <c r="CJ293" s="893">
        <f>WWWW[[#This Row],['#_Constructed/Existingwater storage tank with gravity fed reticulation system]]-WWWW[[#This Row],['#_Non-functional storage tank gravity fed reticulation system]]</f>
        <v>1</v>
      </c>
      <c r="CK293" s="893">
        <f>(WWWW[[#This Row],['#_Water_Liters_supplied_by_Water boating or water trucking]]/90)/15</f>
        <v>0</v>
      </c>
      <c r="CL293" s="893">
        <f>WWWW[[#This Row],['#_Water_Liters_from_Constructed/Existing water distribution system from river or natural spring]]/90/15</f>
        <v>0.7407407407407407</v>
      </c>
      <c r="CM293" s="424">
        <f>IF(WWWW[[#This Row],['#_of water points in TLS/CFS]]*500&gt;WWWW[[#This Row],[Total PoP ]],WWWW[[#This Row],[Total PoP ]],WWWW[[#This Row],['#_of water points in TLS/CFS]]*500)</f>
        <v>0</v>
      </c>
      <c r="CN293" s="424">
        <f>IF(WWWW[[#This Row],['#_of water points in THF]]*500&gt;WWWW[[#This Row],[Total PoP ]],WWWW[[#This Row],[Total PoP ]],WWWW[[#This Row],['#_of water points in THF]]*500)</f>
        <v>0</v>
      </c>
      <c r="CO29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3" s="892">
        <f>IF(WWWW[[#This Row],[Location Type 1]]="Village",WWWW[[#This Row],[Access to safe drinking water for Village]],WWWW[[#This Row],[Access to safe drinking water for Camp]])</f>
        <v>1</v>
      </c>
      <c r="CR293" s="890">
        <f>WWWW[[#This Row],[%Equitable and continuous access to sufficient quantity of safe drinking water]]*WWWW[[#This Row],[Total PoP ]]</f>
        <v>24</v>
      </c>
      <c r="CS293" s="892">
        <f>IF((WWWW[[#This Row],['#_Constructed/Existing protected/fenced ponds]]*250)/WWWW[[#This Row],[Total PoP ]]&gt;1,1,(WWWW[[#This Row],['#_Constructed/Existing protected/fenced ponds]]*250)/WWWW[[#This Row],[Total PoP ]])</f>
        <v>1</v>
      </c>
      <c r="CT293" s="890">
        <f>WWWW[[#This Row],[% Access to unimproved water points]]*WWWW[[#This Row],[Total PoP ]]</f>
        <v>24</v>
      </c>
      <c r="CU29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W293" s="890">
        <f>WWWW[[#This Row],[HRP1]]/500</f>
        <v>4.8000000000000001E-2</v>
      </c>
      <c r="CX293" s="895">
        <f>1-WWWW[[#This Row],[% Equitable and continuous access to sufficient quantity of domestic water]]</f>
        <v>0</v>
      </c>
      <c r="CY293" s="890">
        <f>WWWW[[#This Row],[%equitable and continuous access to sufficient quantity of safe drinking and domestic water''s GAP]]*WWWW[[#This Row],[Total PoP ]]</f>
        <v>0</v>
      </c>
      <c r="CZ293" s="893">
        <f>IF(WWWW[[#This Row],[Total required water points]]-WWWW[[#This Row],['#Water points coverage]]&lt;0,0,WWWW[[#This Row],[Total required water points]]-WWWW[[#This Row],['#Water points coverage]])</f>
        <v>0.95199999999999996</v>
      </c>
      <c r="DA293" s="893">
        <f>ROUND(IF(WWWW[[#This Row],[Total PoP ]]&lt;500,1,WWWW[[#This Row],[Total PoP ]]/500),0)</f>
        <v>1</v>
      </c>
      <c r="DB293" s="893">
        <f>(WWWW[[#This Row],['#_Constructed latrines_by_WASHAgencies]]+WWWW[[#This Row],['#_Non Cluster partner latrines]])-WWWW[[#This Row],['#_Non-functional latrines]]</f>
        <v>3</v>
      </c>
      <c r="DC293" s="631">
        <f>WWWW[[#This Row],[HRP2]]/WWWW[[#This Row],[Total PoP ]]</f>
        <v>1</v>
      </c>
      <c r="DD29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29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3" s="424">
        <f>IF(WWWW[[#This Row],['# of functional latrines in THF supported by WASH partners during the reporting period2]]="",0,WWWW[[#This Row],['# of functional latrines in THF supported by WASH partners during the reporting period2]]*50)</f>
        <v>0</v>
      </c>
      <c r="DH293" s="893">
        <f>ROUND(IF(WWWW[[#This Row],[Location Type 1]]="camp",WWWW[[#This Row],[Total PoP ]]/20,IF(WWWW[[#This Row],[Location Type 1]]="Temporary Location",WWWW[[#This Row],[Total PoP ]]/50,(WWWW[[#This Row],[Total PoP ]]/6))),0)</f>
        <v>1</v>
      </c>
      <c r="DI293" s="893">
        <f>IF(WWWW[[#This Row],[Total required Latrines]]-(WWWW[[#This Row],['#_Constructed latrines_by_WASHAgencies]]+WWWW[[#This Row],['#_Non Cluster partner latrines]])&lt;0,0,WWWW[[#This Row],[Total required Latrines]]-(WWWW[[#This Row],['#_Constructed latrines_by_WASHAgencies]]+WWWW[[#This Row],['#_Non Cluster partner latrines]]))</f>
        <v>0</v>
      </c>
      <c r="DJ293" s="895">
        <f>1-WWWW[[#This Row],[% people access to functioning Latrine]]</f>
        <v>0</v>
      </c>
      <c r="DK293" s="894">
        <f>IF(OR(WWWW[[#This Row],['#_Non-functional latrines]]="",WWWW[[#This Row],['#_Non-functional latrines]]=0),0,WWWW[[#This Row],['#_Non-functional latrines]]/(WWWW[[#This Row],['#_Constructed latrines_by_WASHAgencies]]+WWWW[[#This Row],['#_Non Cluster partner latrines]]))</f>
        <v>0</v>
      </c>
      <c r="DL293" s="890">
        <f>IF(500*(WWWW[[#This Row],['#_male hygiene promoters]]+WWWW[[#This Row],['#_female hygiene promoters]])&gt;WWWW[[#This Row],[Total PoP ]],WWWW[[#This Row],[Total PoP ]],500*(WWWW[[#This Row],['#_male hygiene promoters]]+WWWW[[#This Row],['#_female hygiene promoters]]))</f>
        <v>24</v>
      </c>
      <c r="DM29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N29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3" s="893">
        <f>IF(WWWW[[#This Row],['# People with access to soap]]&gt;WWWW[[#This Row],['# People with access to Sanity Pads]],WWWW[[#This Row],['# People with access to soap]],WWWW[[#This Row],['# People with access to Sanity Pads]])</f>
        <v>24</v>
      </c>
      <c r="DP293" s="893">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293" s="895">
        <f>IF(WWWW[[#This Row],[HRP3]]/WWWW[[#This Row],[Total PoP ]]&gt;1,1,WWWW[[#This Row],[HRP3]]/WWWW[[#This Row],[Total PoP ]])</f>
        <v>1</v>
      </c>
      <c r="DR293" s="894">
        <f>1-WWWW[[#This Row],[Hygiene Coverage%]]</f>
        <v>0</v>
      </c>
      <c r="DS293" s="892">
        <f>WWWW[[#This Row],['# people reached by regular dedicated hygiene promotion_5]]/WWWW[[#This Row],[Total PoP ]]</f>
        <v>1</v>
      </c>
      <c r="DT29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9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3" s="893">
        <f>WWWW[[#This Row],['#_Constructed/Existing hand washing stations]]-WWWW[[#This Row],['#_Non-Functional_hand_washing_stations]]</f>
        <v>2</v>
      </c>
      <c r="DW293" s="890">
        <f>IF(WWWW[[#This Row],['# Functional hand washing stations during reporting period]]*20&gt;WWWW[[#This Row],[Total HH]],WWWW[[#This Row],[Total HH]],WWWW[[#This Row],['# Functional hand washing stations during reporting period]]*20)</f>
        <v>7</v>
      </c>
      <c r="DX293" s="890">
        <f>IF(WWWW[[#This Row],[Is sufficient soap available for TLS? (Yes/No)]]="yes",WWWW[[#This Row],['#_Constructed/Existing hand washing stations at TLS/CFS/THF]],0)</f>
        <v>0</v>
      </c>
      <c r="DY293" s="428">
        <f>IF(WWWW[[#This Row],['# Functional hand washing stations during reporting period]]*100&gt;WWWW[[#This Row],[Total PoP ]],WWWW[[#This Row],[Total PoP ]],WWWW[[#This Row],['# Functional hand washing stations during reporting period]]*100)</f>
        <v>24</v>
      </c>
      <c r="DZ293" s="428" t="str">
        <f>IF(OR(WWWW[[#This Row],['#_students at TLS_CFS]]="",WWWW[[#This Row],['#_students at TLS_CFS]]=0),"No","Yes")</f>
        <v>No</v>
      </c>
      <c r="EA293" s="631">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29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3" s="886" t="str">
        <f>VLOOKUP(WWWW[[#This Row],[Site Name]],SiteDB6[[Site Name]:[CCCM Management]],6,FALSE)</f>
        <v>Yes</v>
      </c>
      <c r="EF293" s="886" t="str">
        <f>VLOOKUP(WWWW[[#This Row],[Site Name]],SiteDB6[[Site Name]:[CCCM Focal Agency]],7,FALSE)</f>
        <v>Shalom</v>
      </c>
      <c r="EG293" s="886" t="str">
        <f>VLOOKUP(WWWW[[#This Row],[Site Name]],SiteDB6[[Site Name]:[Location Type 1]],9,FALSE)</f>
        <v>Camp</v>
      </c>
      <c r="EH293" s="886" t="str">
        <f>VLOOKUP(WWWW[[#This Row],[Site Name]],SiteDB6[[Site Name]:[Type of Accommodation]],10,FALSE)</f>
        <v>Camp like setting</v>
      </c>
      <c r="EI293" s="886" t="str">
        <f>VLOOKUP(WWWW[[#This Row],[Site Name]],SiteDB6[[Site Name]:[Ethnic or GCA/NGCA]],11,FALSE)</f>
        <v>GCA</v>
      </c>
      <c r="EJ293" s="886">
        <f>VLOOKUP(WWWW[[#This Row],[Site Name]],SiteDB6[[Site Name]:[Lat]],12,FALSE)</f>
        <v>25.617998</v>
      </c>
      <c r="EK293" s="886">
        <f>VLOOKUP(WWWW[[#This Row],[Site Name]],SiteDB6[[Site Name]:[Long]],13,FALSE)</f>
        <v>96.339590000000001</v>
      </c>
      <c r="EL293" s="886" t="str">
        <f>VLOOKUP(WWWW[[#This Row],[Site Name]],SiteDB6[[Site Name]:[Pcode]],3,FALSE)</f>
        <v>MMR001CMP192</v>
      </c>
      <c r="EM293" s="891" t="str">
        <f t="shared" si="4"/>
        <v>Covered</v>
      </c>
      <c r="EN293" s="891"/>
      <c r="EO293" s="886">
        <f>VLOOKUP(WWWW[[#This Row],[Site Name]],SiteDB6[[Site Name]:[Pop
(Kachin/Shan-CCCM as of July 2021)]],16,FALSE)</f>
        <v>7</v>
      </c>
      <c r="EP293" s="886">
        <f>VLOOKUP(WWWW[[#This Row],[Site Name]],SiteDB6[[Site Name]:[Pop
(Kachin/Shan-CCCM as of July 2021)]],17,FALSE)</f>
        <v>24</v>
      </c>
    </row>
    <row r="294" spans="1:146" hidden="1">
      <c r="A294" s="884" t="s">
        <v>2764</v>
      </c>
      <c r="B294" s="884" t="s">
        <v>919</v>
      </c>
      <c r="C294" s="885" t="s">
        <v>141</v>
      </c>
      <c r="D294" s="885" t="s">
        <v>3076</v>
      </c>
      <c r="E294" s="885" t="s">
        <v>37</v>
      </c>
      <c r="F294" s="885" t="s">
        <v>152</v>
      </c>
      <c r="G294" s="591" t="str">
        <f>VLOOKUP(WWWW[[#This Row],[Site Name]],SiteDB6[[Site Name]:[Location Type]],8,FALSE)</f>
        <v>Camp_not registered</v>
      </c>
      <c r="H294" s="885" t="s">
        <v>2624</v>
      </c>
      <c r="I294" s="887">
        <v>5</v>
      </c>
      <c r="J294" s="887">
        <v>28</v>
      </c>
      <c r="K294" s="888">
        <v>44682</v>
      </c>
      <c r="L294" s="889">
        <v>44865</v>
      </c>
      <c r="M294" s="887"/>
      <c r="N294" s="887"/>
      <c r="O294" s="887"/>
      <c r="P294" s="887"/>
      <c r="Q294" s="890" t="s">
        <v>41</v>
      </c>
      <c r="R294" s="887">
        <v>3</v>
      </c>
      <c r="S294" s="887"/>
      <c r="T294" s="448">
        <v>1</v>
      </c>
      <c r="U294" s="887"/>
      <c r="V294" s="887"/>
      <c r="W294" s="887">
        <v>1</v>
      </c>
      <c r="X294" s="887"/>
      <c r="Y294" s="887"/>
      <c r="Z294" s="887"/>
      <c r="AA294" s="887"/>
      <c r="AB294" s="887"/>
      <c r="AC294" s="887"/>
      <c r="AD294" s="887"/>
      <c r="AE294" s="887"/>
      <c r="AF294" s="887"/>
      <c r="AG294" s="887"/>
      <c r="AH294" s="887">
        <v>3</v>
      </c>
      <c r="AI294" s="887"/>
      <c r="AJ294" s="887"/>
      <c r="AK294" s="887"/>
      <c r="AL294" s="887"/>
      <c r="AM294" s="887"/>
      <c r="AN294" s="887"/>
      <c r="AO294" s="448"/>
      <c r="AP294" s="891"/>
      <c r="AQ294" s="887">
        <v>2</v>
      </c>
      <c r="AR294" s="887"/>
      <c r="AS294" s="892"/>
      <c r="AT294" s="887"/>
      <c r="AU294" s="887"/>
      <c r="AV294" s="887"/>
      <c r="AW294" s="887"/>
      <c r="AX294" s="887">
        <v>2</v>
      </c>
      <c r="AY294" s="886" t="s">
        <v>41</v>
      </c>
      <c r="AZ294" s="891" t="s">
        <v>137</v>
      </c>
      <c r="BA294" s="887"/>
      <c r="BB294" s="887"/>
      <c r="BC294" s="887"/>
      <c r="BD294" s="448"/>
      <c r="BE294" s="448"/>
      <c r="BF294" s="886"/>
      <c r="BG294" s="887">
        <v>1</v>
      </c>
      <c r="BH294" s="887">
        <v>1</v>
      </c>
      <c r="BI294" s="887"/>
      <c r="BJ294" s="887">
        <v>2</v>
      </c>
      <c r="BK294" s="887"/>
      <c r="BL294" s="887"/>
      <c r="BM294" s="887"/>
      <c r="BN294" s="887"/>
      <c r="BO294" s="887"/>
      <c r="BP294" s="886"/>
      <c r="BQ294" s="893"/>
      <c r="BR294" s="892"/>
      <c r="BS294" s="886"/>
      <c r="BT294" s="423"/>
      <c r="BU294" s="423"/>
      <c r="BV294" s="425"/>
      <c r="BW294" s="423"/>
      <c r="BX294" s="448"/>
      <c r="BY294" s="448"/>
      <c r="BZ294" s="448"/>
      <c r="CA294" s="448"/>
      <c r="CB294" s="448"/>
      <c r="CC294" s="777"/>
      <c r="CD294" s="448"/>
      <c r="CE294" s="894" t="str">
        <f>IFERROR(WWWW[[#This Row],['#_Water sources passed]]/WWWW[[#This Row],['#_Water sources tested for fecal coliform ]],"no test")</f>
        <v>no test</v>
      </c>
      <c r="CF294" s="892" t="str">
        <f>IFERROR(WWWW[[#This Row],['#_Household passed]]/WWWW[[#This Row],['#_Household water samples tested for fecal coliform]],"no test")</f>
        <v>no test</v>
      </c>
      <c r="CG294" s="893" t="str">
        <f>IF(AND(WWWW[[#This Row],[% of water sources passed]]="no test",WWWW[[#This Row],[% Household passed]]="no test"),"No Test","Tested")</f>
        <v>No Test</v>
      </c>
      <c r="CH294" s="893">
        <f>WWWW[[#This Row],['#_Constructed/existing protected hand dug well]]-WWWW[[#This Row],['#_Non-functional protected hand dug well]]</f>
        <v>1</v>
      </c>
      <c r="CI294" s="893">
        <f>(WWWW[[#This Row],['#_Constructed/Existing tube wells/boreholes/handpumps_WASH_agency]]+WWWW[[#This Row],['#_Non-Cluster partner water tube-wells/boreholes/handpumps]])-WWWW[[#This Row],['#_Non-functional tube wells/boreholes/handpumps]]</f>
        <v>1</v>
      </c>
      <c r="CJ294" s="893">
        <f>WWWW[[#This Row],['#_Constructed/Existingwater storage tank with gravity fed reticulation system]]-WWWW[[#This Row],['#_Non-functional storage tank gravity fed reticulation system]]</f>
        <v>0</v>
      </c>
      <c r="CK294" s="893">
        <f>(WWWW[[#This Row],['#_Water_Liters_supplied_by_Water boating or water trucking]]/90)/15</f>
        <v>0</v>
      </c>
      <c r="CL294" s="893">
        <f>WWWW[[#This Row],['#_Water_Liters_from_Constructed/Existing water distribution system from river or natural spring]]/90/15</f>
        <v>0</v>
      </c>
      <c r="CM294" s="424">
        <f>IF(WWWW[[#This Row],['#_of water points in TLS/CFS]]*500&gt;WWWW[[#This Row],[Total PoP ]],WWWW[[#This Row],[Total PoP ]],WWWW[[#This Row],['#_of water points in TLS/CFS]]*500)</f>
        <v>0</v>
      </c>
      <c r="CN294" s="424">
        <f>IF(WWWW[[#This Row],['#_of water points in THF]]*500&gt;WWWW[[#This Row],[Total PoP ]],WWWW[[#This Row],[Total PoP ]],WWWW[[#This Row],['#_of water points in THF]]*500)</f>
        <v>0</v>
      </c>
      <c r="CO29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4" s="892">
        <f>IF(WWWW[[#This Row],[Location Type 1]]="Village",WWWW[[#This Row],[Access to safe drinking water for Village]],WWWW[[#This Row],[Access to safe drinking water for Camp]])</f>
        <v>1</v>
      </c>
      <c r="CR294" s="890">
        <f>WWWW[[#This Row],[%Equitable and continuous access to sufficient quantity of safe drinking water]]*WWWW[[#This Row],[Total PoP ]]</f>
        <v>28</v>
      </c>
      <c r="CS294" s="892">
        <f>IF((WWWW[[#This Row],['#_Constructed/Existing protected/fenced ponds]]*250)/WWWW[[#This Row],[Total PoP ]]&gt;1,1,(WWWW[[#This Row],['#_Constructed/Existing protected/fenced ponds]]*250)/WWWW[[#This Row],[Total PoP ]])</f>
        <v>0</v>
      </c>
      <c r="CT294" s="890">
        <f>WWWW[[#This Row],[% Access to unimproved water points]]*WWWW[[#This Row],[Total PoP ]]</f>
        <v>0</v>
      </c>
      <c r="CU29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v>
      </c>
      <c r="CW294" s="890">
        <f>WWWW[[#This Row],[HRP1]]/500</f>
        <v>5.6000000000000001E-2</v>
      </c>
      <c r="CX294" s="895">
        <f>1-WWWW[[#This Row],[% Equitable and continuous access to sufficient quantity of domestic water]]</f>
        <v>0</v>
      </c>
      <c r="CY294" s="890">
        <f>WWWW[[#This Row],[%equitable and continuous access to sufficient quantity of safe drinking and domestic water''s GAP]]*WWWW[[#This Row],[Total PoP ]]</f>
        <v>0</v>
      </c>
      <c r="CZ294" s="893">
        <f>IF(WWWW[[#This Row],[Total required water points]]-WWWW[[#This Row],['#Water points coverage]]&lt;0,0,WWWW[[#This Row],[Total required water points]]-WWWW[[#This Row],['#Water points coverage]])</f>
        <v>0.94399999999999995</v>
      </c>
      <c r="DA294" s="893">
        <f>ROUND(IF(WWWW[[#This Row],[Total PoP ]]&lt;500,1,WWWW[[#This Row],[Total PoP ]]/500),0)</f>
        <v>1</v>
      </c>
      <c r="DB294" s="893">
        <f>(WWWW[[#This Row],['#_Constructed latrines_by_WASHAgencies]]+WWWW[[#This Row],['#_Non Cluster partner latrines]])-WWWW[[#This Row],['#_Non-functional latrines]]</f>
        <v>2</v>
      </c>
      <c r="DC294" s="631">
        <f>WWWW[[#This Row],[HRP2]]/WWWW[[#This Row],[Total PoP ]]</f>
        <v>1</v>
      </c>
      <c r="DD29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v>
      </c>
      <c r="DE29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4" s="424">
        <f>IF(WWWW[[#This Row],['# of functional latrines in THF supported by WASH partners during the reporting period2]]="",0,WWWW[[#This Row],['# of functional latrines in THF supported by WASH partners during the reporting period2]]*50)</f>
        <v>0</v>
      </c>
      <c r="DH294" s="893">
        <f>ROUND(IF(WWWW[[#This Row],[Location Type 1]]="camp",WWWW[[#This Row],[Total PoP ]]/20,IF(WWWW[[#This Row],[Location Type 1]]="Temporary Location",WWWW[[#This Row],[Total PoP ]]/50,(WWWW[[#This Row],[Total PoP ]]/6))),0)</f>
        <v>1</v>
      </c>
      <c r="DI294" s="893">
        <f>IF(WWWW[[#This Row],[Total required Latrines]]-(WWWW[[#This Row],['#_Constructed latrines_by_WASHAgencies]]+WWWW[[#This Row],['#_Non Cluster partner latrines]])&lt;0,0,WWWW[[#This Row],[Total required Latrines]]-(WWWW[[#This Row],['#_Constructed latrines_by_WASHAgencies]]+WWWW[[#This Row],['#_Non Cluster partner latrines]]))</f>
        <v>0</v>
      </c>
      <c r="DJ294" s="895">
        <f>1-WWWW[[#This Row],[% people access to functioning Latrine]]</f>
        <v>0</v>
      </c>
      <c r="DK294" s="894">
        <f>IF(OR(WWWW[[#This Row],['#_Non-functional latrines]]="",WWWW[[#This Row],['#_Non-functional latrines]]=0),0,WWWW[[#This Row],['#_Non-functional latrines]]/(WWWW[[#This Row],['#_Constructed latrines_by_WASHAgencies]]+WWWW[[#This Row],['#_Non Cluster partner latrines]]))</f>
        <v>0</v>
      </c>
      <c r="DL294" s="890">
        <f>IF(500*(WWWW[[#This Row],['#_male hygiene promoters]]+WWWW[[#This Row],['#_female hygiene promoters]])&gt;WWWW[[#This Row],[Total PoP ]],WWWW[[#This Row],[Total PoP ]],500*(WWWW[[#This Row],['#_male hygiene promoters]]+WWWW[[#This Row],['#_female hygiene promoters]]))</f>
        <v>0</v>
      </c>
      <c r="DM29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4" s="893">
        <f>IF(WWWW[[#This Row],['# People with access to soap]]&gt;WWWW[[#This Row],['# People with access to Sanity Pads]],WWWW[[#This Row],['# People with access to soap]],WWWW[[#This Row],['# People with access to Sanity Pads]])</f>
        <v>0</v>
      </c>
      <c r="DP294"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94" s="895">
        <f>IF(WWWW[[#This Row],[HRP3]]/WWWW[[#This Row],[Total PoP ]]&gt;1,1,WWWW[[#This Row],[HRP3]]/WWWW[[#This Row],[Total PoP ]])</f>
        <v>0</v>
      </c>
      <c r="DR294" s="894">
        <f>1-WWWW[[#This Row],[Hygiene Coverage%]]</f>
        <v>1</v>
      </c>
      <c r="DS294" s="892">
        <f>WWWW[[#This Row],['# people reached by regular dedicated hygiene promotion_5]]/WWWW[[#This Row],[Total PoP ]]</f>
        <v>0</v>
      </c>
      <c r="DT29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4" s="893">
        <f>WWWW[[#This Row],['#_Constructed/Existing hand washing stations]]-WWWW[[#This Row],['#_Non-Functional_hand_washing_stations]]</f>
        <v>0</v>
      </c>
      <c r="DW294" s="890">
        <f>IF(WWWW[[#This Row],['# Functional hand washing stations during reporting period]]*20&gt;WWWW[[#This Row],[Total HH]],WWWW[[#This Row],[Total HH]],WWWW[[#This Row],['# Functional hand washing stations during reporting period]]*20)</f>
        <v>0</v>
      </c>
      <c r="DX294" s="890">
        <f>IF(WWWW[[#This Row],[Is sufficient soap available for TLS? (Yes/No)]]="yes",WWWW[[#This Row],['#_Constructed/Existing hand washing stations at TLS/CFS/THF]],0)</f>
        <v>0</v>
      </c>
      <c r="DY294" s="428">
        <f>IF(WWWW[[#This Row],['# Functional hand washing stations during reporting period]]*100&gt;WWWW[[#This Row],[Total PoP ]],WWWW[[#This Row],[Total PoP ]],WWWW[[#This Row],['# Functional hand washing stations during reporting period]]*100)</f>
        <v>0</v>
      </c>
      <c r="DZ294" s="428" t="str">
        <f>IF(OR(WWWW[[#This Row],['#_students at TLS_CFS]]="",WWWW[[#This Row],['#_students at TLS_CFS]]=0),"No","Yes")</f>
        <v>No</v>
      </c>
      <c r="EA29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4" s="886">
        <f>VLOOKUP(WWWW[[#This Row],[Site Name]],SiteDB6[[Site Name]:[CCCM Management]],6,FALSE)</f>
        <v>0</v>
      </c>
      <c r="EF294" s="886">
        <f>VLOOKUP(WWWW[[#This Row],[Site Name]],SiteDB6[[Site Name]:[CCCM Focal Agency]],7,FALSE)</f>
        <v>0</v>
      </c>
      <c r="EG294" s="886" t="str">
        <f>VLOOKUP(WWWW[[#This Row],[Site Name]],SiteDB6[[Site Name]:[Location Type 1]],9,FALSE)</f>
        <v>Camp</v>
      </c>
      <c r="EH294" s="886" t="str">
        <f>VLOOKUP(WWWW[[#This Row],[Site Name]],SiteDB6[[Site Name]:[Type of Accommodation]],10,FALSE)</f>
        <v>Camp like setting</v>
      </c>
      <c r="EI294" s="886" t="str">
        <f>VLOOKUP(WWWW[[#This Row],[Site Name]],SiteDB6[[Site Name]:[Ethnic or GCA/NGCA]],11,FALSE)</f>
        <v>GCA</v>
      </c>
      <c r="EJ294" s="886">
        <f>VLOOKUP(WWWW[[#This Row],[Site Name]],SiteDB6[[Site Name]:[Lat]],12,FALSE)</f>
        <v>0</v>
      </c>
      <c r="EK294" s="886">
        <f>VLOOKUP(WWWW[[#This Row],[Site Name]],SiteDB6[[Site Name]:[Long]],13,FALSE)</f>
        <v>0</v>
      </c>
      <c r="EL294" s="886">
        <f>VLOOKUP(WWWW[[#This Row],[Site Name]],SiteDB6[[Site Name]:[Pcode]],3,FALSE)</f>
        <v>0</v>
      </c>
      <c r="EM294" s="891" t="str">
        <f t="shared" si="4"/>
        <v>Covered</v>
      </c>
      <c r="EN294" s="891"/>
      <c r="EO294" s="886">
        <f>VLOOKUP(WWWW[[#This Row],[Site Name]],SiteDB6[[Site Name]:[Pop
(Kachin/Shan-CCCM as of July 2021)]],16,FALSE)</f>
        <v>0</v>
      </c>
      <c r="EP294" s="886">
        <f>VLOOKUP(WWWW[[#This Row],[Site Name]],SiteDB6[[Site Name]:[Pop
(Kachin/Shan-CCCM as of July 2021)]],17,FALSE)</f>
        <v>0</v>
      </c>
    </row>
    <row r="295" spans="1:146" hidden="1">
      <c r="A295" s="884" t="s">
        <v>2764</v>
      </c>
      <c r="B295" s="884" t="s">
        <v>3077</v>
      </c>
      <c r="C295" s="885" t="s">
        <v>141</v>
      </c>
      <c r="D295" s="369" t="s">
        <v>3078</v>
      </c>
      <c r="E295" s="885" t="s">
        <v>37</v>
      </c>
      <c r="F295" s="885" t="s">
        <v>152</v>
      </c>
      <c r="G295" s="591" t="str">
        <f>VLOOKUP(WWWW[[#This Row],[Site Name]],SiteDB6[[Site Name]:[Location Type]],8,FALSE)</f>
        <v>Camp</v>
      </c>
      <c r="H295" s="885" t="s">
        <v>1612</v>
      </c>
      <c r="I295" s="887">
        <v>110</v>
      </c>
      <c r="J295" s="887">
        <v>611</v>
      </c>
      <c r="K295" s="800" t="s">
        <v>3079</v>
      </c>
      <c r="L295" s="56" t="s">
        <v>3080</v>
      </c>
      <c r="M295" s="887"/>
      <c r="N295" s="887"/>
      <c r="O295" s="887"/>
      <c r="P295" s="887"/>
      <c r="Q295" s="890" t="s">
        <v>41</v>
      </c>
      <c r="R295" s="887">
        <v>1</v>
      </c>
      <c r="S295" s="887">
        <v>2</v>
      </c>
      <c r="T295" s="448">
        <v>5</v>
      </c>
      <c r="U295" s="887"/>
      <c r="V295" s="887"/>
      <c r="W295" s="887">
        <v>3</v>
      </c>
      <c r="X295" s="887"/>
      <c r="Y295" s="887"/>
      <c r="Z295" s="887"/>
      <c r="AA295" s="887"/>
      <c r="AB295" s="887"/>
      <c r="AC295" s="887"/>
      <c r="AD295" s="887"/>
      <c r="AE295" s="887"/>
      <c r="AF295" s="887"/>
      <c r="AG295" s="887"/>
      <c r="AH295" s="887">
        <v>2</v>
      </c>
      <c r="AI295" s="887"/>
      <c r="AJ295" s="887"/>
      <c r="AK295" s="887"/>
      <c r="AL295" s="887"/>
      <c r="AM295" s="887"/>
      <c r="AN295" s="887"/>
      <c r="AO295" s="448"/>
      <c r="AP295" s="891"/>
      <c r="AQ295" s="887">
        <v>20</v>
      </c>
      <c r="AR295" s="887"/>
      <c r="AS295" s="892"/>
      <c r="AT295" s="887">
        <v>2</v>
      </c>
      <c r="AU295" s="887"/>
      <c r="AV295" s="887"/>
      <c r="AW295" s="887"/>
      <c r="AX295" s="887">
        <v>12</v>
      </c>
      <c r="AY295" s="886" t="s">
        <v>41</v>
      </c>
      <c r="AZ295" s="891" t="s">
        <v>137</v>
      </c>
      <c r="BA295" s="887"/>
      <c r="BB295" s="887"/>
      <c r="BC295" s="887"/>
      <c r="BD295" s="448"/>
      <c r="BE295" s="448"/>
      <c r="BF295" s="886"/>
      <c r="BG295" s="887">
        <v>4</v>
      </c>
      <c r="BH295" s="887"/>
      <c r="BI295" s="887"/>
      <c r="BJ295" s="887">
        <v>5</v>
      </c>
      <c r="BK295" s="887"/>
      <c r="BL295" s="887">
        <v>2</v>
      </c>
      <c r="BM295" s="887">
        <v>1</v>
      </c>
      <c r="BN295" s="448">
        <v>37</v>
      </c>
      <c r="BO295" s="448">
        <v>39</v>
      </c>
      <c r="BP295" s="886"/>
      <c r="BQ295" s="893"/>
      <c r="BR295" s="892"/>
      <c r="BS295" s="425" t="s">
        <v>3053</v>
      </c>
      <c r="BT295" s="423"/>
      <c r="BU295" s="423"/>
      <c r="BV295" s="425"/>
      <c r="BW295" s="423"/>
      <c r="BX295" s="448"/>
      <c r="BY295" s="448"/>
      <c r="BZ295" s="448"/>
      <c r="CA295" s="448"/>
      <c r="CB295" s="448"/>
      <c r="CC295" s="777"/>
      <c r="CD295" s="448"/>
      <c r="CE295" s="894" t="str">
        <f>IFERROR(WWWW[[#This Row],['#_Water sources passed]]/WWWW[[#This Row],['#_Water sources tested for fecal coliform ]],"no test")</f>
        <v>no test</v>
      </c>
      <c r="CF295" s="892" t="str">
        <f>IFERROR(WWWW[[#This Row],['#_Household passed]]/WWWW[[#This Row],['#_Household water samples tested for fecal coliform]],"no test")</f>
        <v>no test</v>
      </c>
      <c r="CG295" s="893" t="str">
        <f>IF(AND(WWWW[[#This Row],[% of water sources passed]]="no test",WWWW[[#This Row],[% Household passed]]="no test"),"No Test","Tested")</f>
        <v>No Test</v>
      </c>
      <c r="CH295" s="893">
        <f>WWWW[[#This Row],['#_Constructed/existing protected hand dug well]]-WWWW[[#This Row],['#_Non-functional protected hand dug well]]</f>
        <v>5</v>
      </c>
      <c r="CI295" s="893">
        <f>(WWWW[[#This Row],['#_Constructed/Existing tube wells/boreholes/handpumps_WASH_agency]]+WWWW[[#This Row],['#_Non-Cluster partner water tube-wells/boreholes/handpumps]])-WWWW[[#This Row],['#_Non-functional tube wells/boreholes/handpumps]]</f>
        <v>3</v>
      </c>
      <c r="CJ295" s="893">
        <f>WWWW[[#This Row],['#_Constructed/Existingwater storage tank with gravity fed reticulation system]]-WWWW[[#This Row],['#_Non-functional storage tank gravity fed reticulation system]]</f>
        <v>0</v>
      </c>
      <c r="CK295" s="893">
        <f>(WWWW[[#This Row],['#_Water_Liters_supplied_by_Water boating or water trucking]]/90)/15</f>
        <v>0</v>
      </c>
      <c r="CL295" s="893">
        <f>WWWW[[#This Row],['#_Water_Liters_from_Constructed/Existing water distribution system from river or natural spring]]/90/15</f>
        <v>0</v>
      </c>
      <c r="CM295" s="424">
        <f>IF(WWWW[[#This Row],['#_of water points in TLS/CFS]]*500&gt;WWWW[[#This Row],[Total PoP ]],WWWW[[#This Row],[Total PoP ]],WWWW[[#This Row],['#_of water points in TLS/CFS]]*500)</f>
        <v>0</v>
      </c>
      <c r="CN295" s="424">
        <f>IF(WWWW[[#This Row],['#_of water points in THF]]*500&gt;WWWW[[#This Row],[Total PoP ]],WWWW[[#This Row],[Total PoP ]],WWWW[[#This Row],['#_of water points in THF]]*500)</f>
        <v>0</v>
      </c>
      <c r="CO29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5" s="892">
        <f>IF(WWWW[[#This Row],[Location Type 1]]="Village",WWWW[[#This Row],[Access to safe drinking water for Village]],WWWW[[#This Row],[Access to safe drinking water for Camp]])</f>
        <v>1</v>
      </c>
      <c r="CR295" s="890">
        <f>WWWW[[#This Row],[%Equitable and continuous access to sufficient quantity of safe drinking water]]*WWWW[[#This Row],[Total PoP ]]</f>
        <v>611</v>
      </c>
      <c r="CS295" s="892">
        <f>IF((WWWW[[#This Row],['#_Constructed/Existing protected/fenced ponds]]*250)/WWWW[[#This Row],[Total PoP ]]&gt;1,1,(WWWW[[#This Row],['#_Constructed/Existing protected/fenced ponds]]*250)/WWWW[[#This Row],[Total PoP ]])</f>
        <v>0</v>
      </c>
      <c r="CT295" s="890">
        <f>WWWW[[#This Row],[% Access to unimproved water points]]*WWWW[[#This Row],[Total PoP ]]</f>
        <v>0</v>
      </c>
      <c r="CU29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611</v>
      </c>
      <c r="CW295" s="890">
        <f>WWWW[[#This Row],[HRP1]]/500</f>
        <v>1.222</v>
      </c>
      <c r="CX295" s="895">
        <f>1-WWWW[[#This Row],[% Equitable and continuous access to sufficient quantity of domestic water]]</f>
        <v>0</v>
      </c>
      <c r="CY295" s="890">
        <f>WWWW[[#This Row],[%equitable and continuous access to sufficient quantity of safe drinking and domestic water''s GAP]]*WWWW[[#This Row],[Total PoP ]]</f>
        <v>0</v>
      </c>
      <c r="CZ295" s="893">
        <f>IF(WWWW[[#This Row],[Total required water points]]-WWWW[[#This Row],['#Water points coverage]]&lt;0,0,WWWW[[#This Row],[Total required water points]]-WWWW[[#This Row],['#Water points coverage]])</f>
        <v>0</v>
      </c>
      <c r="DA295" s="893">
        <f>ROUND(IF(WWWW[[#This Row],[Total PoP ]]&lt;500,1,WWWW[[#This Row],[Total PoP ]]/500),0)</f>
        <v>1</v>
      </c>
      <c r="DB295" s="893">
        <f>(WWWW[[#This Row],['#_Constructed latrines_by_WASHAgencies]]+WWWW[[#This Row],['#_Non Cluster partner latrines]])-WWWW[[#This Row],['#_Non-functional latrines]]</f>
        <v>18</v>
      </c>
      <c r="DC295" s="631">
        <f>WWWW[[#This Row],[HRP2]]/WWWW[[#This Row],[Total PoP ]]</f>
        <v>0.58919803600654663</v>
      </c>
      <c r="DD29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29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5" s="424">
        <f>IF(WWWW[[#This Row],['# of functional latrines in THF supported by WASH partners during the reporting period2]]="",0,WWWW[[#This Row],['# of functional latrines in THF supported by WASH partners during the reporting period2]]*50)</f>
        <v>0</v>
      </c>
      <c r="DH295" s="893">
        <f>ROUND(IF(WWWW[[#This Row],[Location Type 1]]="camp",WWWW[[#This Row],[Total PoP ]]/20,IF(WWWW[[#This Row],[Location Type 1]]="Temporary Location",WWWW[[#This Row],[Total PoP ]]/50,(WWWW[[#This Row],[Total PoP ]]/6))),0)</f>
        <v>31</v>
      </c>
      <c r="DI295" s="893">
        <f>IF(WWWW[[#This Row],[Total required Latrines]]-(WWWW[[#This Row],['#_Constructed latrines_by_WASHAgencies]]+WWWW[[#This Row],['#_Non Cluster partner latrines]])&lt;0,0,WWWW[[#This Row],[Total required Latrines]]-(WWWW[[#This Row],['#_Constructed latrines_by_WASHAgencies]]+WWWW[[#This Row],['#_Non Cluster partner latrines]]))</f>
        <v>11</v>
      </c>
      <c r="DJ295" s="895">
        <f>1-WWWW[[#This Row],[% people access to functioning Latrine]]</f>
        <v>0.41080196399345337</v>
      </c>
      <c r="DK295" s="894">
        <f>IF(OR(WWWW[[#This Row],['#_Non-functional latrines]]="",WWWW[[#This Row],['#_Non-functional latrines]]=0),0,WWWW[[#This Row],['#_Non-functional latrines]]/(WWWW[[#This Row],['#_Constructed latrines_by_WASHAgencies]]+WWWW[[#This Row],['#_Non Cluster partner latrines]]))</f>
        <v>0.1</v>
      </c>
      <c r="DL295" s="890">
        <f>IF(500*(WWWW[[#This Row],['#_male hygiene promoters]]+WWWW[[#This Row],['#_female hygiene promoters]])&gt;WWWW[[#This Row],[Total PoP ]],WWWW[[#This Row],[Total PoP ]],500*(WWWW[[#This Row],['#_male hygiene promoters]]+WWWW[[#This Row],['#_female hygiene promoters]]))</f>
        <v>611</v>
      </c>
      <c r="DM29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185</v>
      </c>
      <c r="DN29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39</v>
      </c>
      <c r="DO295" s="893">
        <f>IF(WWWW[[#This Row],['# People with access to soap]]&gt;WWWW[[#This Row],['# People with access to Sanity Pads]],WWWW[[#This Row],['# People with access to soap]],WWWW[[#This Row],['# People with access to Sanity Pads]])</f>
        <v>185</v>
      </c>
      <c r="DP295" s="893">
        <f>IF(WWWW[[#This Row],['# people reached by regular dedicated hygiene promotion_5]]&gt;WWWW[[#This Row],['# People received regular supply of hygiene items_6]],WWWW[[#This Row],['# people reached by regular dedicated hygiene promotion_5]],WWWW[[#This Row],['# People received regular supply of hygiene items_6]])</f>
        <v>611</v>
      </c>
      <c r="DQ295" s="895">
        <f>IF(WWWW[[#This Row],[HRP3]]/WWWW[[#This Row],[Total PoP ]]&gt;1,1,WWWW[[#This Row],[HRP3]]/WWWW[[#This Row],[Total PoP ]])</f>
        <v>1</v>
      </c>
      <c r="DR295" s="894">
        <f>1-WWWW[[#This Row],[Hygiene Coverage%]]</f>
        <v>0</v>
      </c>
      <c r="DS295" s="892">
        <f>WWWW[[#This Row],['# people reached by regular dedicated hygiene promotion_5]]/WWWW[[#This Row],[Total PoP ]]</f>
        <v>1</v>
      </c>
      <c r="DT29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9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0.35454545454545455</v>
      </c>
      <c r="DV295" s="893">
        <f>WWWW[[#This Row],['#_Constructed/Existing hand washing stations]]-WWWW[[#This Row],['#_Non-Functional_hand_washing_stations]]</f>
        <v>4</v>
      </c>
      <c r="DW295" s="890">
        <f>IF(WWWW[[#This Row],['# Functional hand washing stations during reporting period]]*20&gt;WWWW[[#This Row],[Total HH]],WWWW[[#This Row],[Total HH]],WWWW[[#This Row],['# Functional hand washing stations during reporting period]]*20)</f>
        <v>80</v>
      </c>
      <c r="DX295" s="890">
        <f>IF(WWWW[[#This Row],[Is sufficient soap available for TLS? (Yes/No)]]="yes",WWWW[[#This Row],['#_Constructed/Existing hand washing stations at TLS/CFS/THF]],0)</f>
        <v>0</v>
      </c>
      <c r="DY295" s="428">
        <f>IF(WWWW[[#This Row],['# Functional hand washing stations during reporting period]]*100&gt;WWWW[[#This Row],[Total PoP ]],WWWW[[#This Row],[Total PoP ]],WWWW[[#This Row],['# Functional hand washing stations during reporting period]]*100)</f>
        <v>400</v>
      </c>
      <c r="DZ295" s="428" t="str">
        <f>IF(OR(WWWW[[#This Row],['#_students at TLS_CFS]]="",WWWW[[#This Row],['#_students at TLS_CFS]]=0),"No","Yes")</f>
        <v>No</v>
      </c>
      <c r="EA29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5" s="886">
        <f>VLOOKUP(WWWW[[#This Row],[Site Name]],SiteDB6[[Site Name]:[CCCM Management]],6,FALSE)</f>
        <v>0</v>
      </c>
      <c r="EF295" s="886" t="str">
        <f>VLOOKUP(WWWW[[#This Row],[Site Name]],SiteDB6[[Site Name]:[CCCM Focal Agency]],7,FALSE)</f>
        <v>KBC-MYT</v>
      </c>
      <c r="EG295" s="886" t="str">
        <f>VLOOKUP(WWWW[[#This Row],[Site Name]],SiteDB6[[Site Name]:[Location Type 1]],9,FALSE)</f>
        <v>Camp</v>
      </c>
      <c r="EH295" s="886" t="str">
        <f>VLOOKUP(WWWW[[#This Row],[Site Name]],SiteDB6[[Site Name]:[Type of Accommodation]],10,FALSE)</f>
        <v>Camp</v>
      </c>
      <c r="EI295" s="886" t="str">
        <f>VLOOKUP(WWWW[[#This Row],[Site Name]],SiteDB6[[Site Name]:[Ethnic or GCA/NGCA]],11,FALSE)</f>
        <v>GCA</v>
      </c>
      <c r="EJ295" s="886">
        <f>VLOOKUP(WWWW[[#This Row],[Site Name]],SiteDB6[[Site Name]:[Lat]],12,FALSE)</f>
        <v>25.2226</v>
      </c>
      <c r="EK295" s="886">
        <f>VLOOKUP(WWWW[[#This Row],[Site Name]],SiteDB6[[Site Name]:[Long]],13,FALSE)</f>
        <v>97.012299999999996</v>
      </c>
      <c r="EL295" s="886" t="str">
        <f>VLOOKUP(WWWW[[#This Row],[Site Name]],SiteDB6[[Site Name]:[Pcode]],3,FALSE)</f>
        <v>MMR001CMP261</v>
      </c>
      <c r="EM295" s="891" t="str">
        <f t="shared" si="4"/>
        <v>Covered</v>
      </c>
      <c r="EN295" s="891"/>
      <c r="EO295" s="886">
        <f>VLOOKUP(WWWW[[#This Row],[Site Name]],SiteDB6[[Site Name]:[Pop
(Kachin/Shan-CCCM as of July 2021)]],16,FALSE)</f>
        <v>111</v>
      </c>
      <c r="EP295" s="886">
        <f>VLOOKUP(WWWW[[#This Row],[Site Name]],SiteDB6[[Site Name]:[Pop
(Kachin/Shan-CCCM as of July 2021)]],17,FALSE)</f>
        <v>599</v>
      </c>
    </row>
    <row r="296" spans="1:146" ht="12" hidden="1" customHeight="1">
      <c r="A296" s="884" t="s">
        <v>2764</v>
      </c>
      <c r="B296" s="884" t="s">
        <v>36</v>
      </c>
      <c r="C296" s="885" t="s">
        <v>36</v>
      </c>
      <c r="D296" s="885" t="s">
        <v>241</v>
      </c>
      <c r="E296" s="885" t="s">
        <v>37</v>
      </c>
      <c r="F296" s="885" t="s">
        <v>159</v>
      </c>
      <c r="G296" s="591" t="str">
        <f>VLOOKUP(WWWW[[#This Row],[Site Name]],SiteDB6[[Site Name]:[Location Type]],8,FALSE)</f>
        <v>Camp</v>
      </c>
      <c r="H296" s="885" t="s">
        <v>234</v>
      </c>
      <c r="I296" s="887">
        <v>62</v>
      </c>
      <c r="J296" s="887">
        <v>291</v>
      </c>
      <c r="K296" s="888">
        <v>44414</v>
      </c>
      <c r="L296" s="889">
        <v>44778</v>
      </c>
      <c r="M296" s="887"/>
      <c r="N296" s="887">
        <v>2</v>
      </c>
      <c r="O296" s="887"/>
      <c r="P296" s="887"/>
      <c r="Q296" s="890" t="s">
        <v>41</v>
      </c>
      <c r="R296" s="887">
        <v>2</v>
      </c>
      <c r="S296" s="887">
        <v>9</v>
      </c>
      <c r="T296" s="448"/>
      <c r="U296" s="887"/>
      <c r="V296" s="887"/>
      <c r="W296" s="887">
        <v>4</v>
      </c>
      <c r="X296" s="887"/>
      <c r="Y296" s="887"/>
      <c r="Z296" s="887"/>
      <c r="AA296" s="887"/>
      <c r="AB296" s="887"/>
      <c r="AC296" s="887"/>
      <c r="AD296" s="887"/>
      <c r="AE296" s="887"/>
      <c r="AF296" s="887"/>
      <c r="AG296" s="887"/>
      <c r="AH296" s="887"/>
      <c r="AI296" s="887">
        <v>6</v>
      </c>
      <c r="AJ296" s="887">
        <v>4</v>
      </c>
      <c r="AK296" s="887"/>
      <c r="AL296" s="887"/>
      <c r="AM296" s="887">
        <v>4</v>
      </c>
      <c r="AN296" s="887"/>
      <c r="AO296" s="448"/>
      <c r="AP296" s="891"/>
      <c r="AQ296" s="887">
        <v>20</v>
      </c>
      <c r="AR296" s="887"/>
      <c r="AS296" s="892"/>
      <c r="AT296" s="887">
        <v>1</v>
      </c>
      <c r="AU296" s="887"/>
      <c r="AV296" s="887"/>
      <c r="AW296" s="887"/>
      <c r="AX296" s="887"/>
      <c r="AY296" s="886" t="s">
        <v>41</v>
      </c>
      <c r="AZ296" s="891" t="s">
        <v>137</v>
      </c>
      <c r="BA296" s="887">
        <v>1</v>
      </c>
      <c r="BB296" s="887"/>
      <c r="BC296" s="887"/>
      <c r="BD296" s="448"/>
      <c r="BE296" s="448"/>
      <c r="BF296" s="886"/>
      <c r="BG296" s="887">
        <v>7</v>
      </c>
      <c r="BH296" s="887"/>
      <c r="BI296" s="887"/>
      <c r="BJ296" s="887">
        <v>2</v>
      </c>
      <c r="BK296" s="887"/>
      <c r="BL296" s="887"/>
      <c r="BM296" s="887">
        <v>1</v>
      </c>
      <c r="BN296" s="887">
        <v>62</v>
      </c>
      <c r="BO296" s="887">
        <v>62.419500000000006</v>
      </c>
      <c r="BP296" s="886" t="s">
        <v>41</v>
      </c>
      <c r="BQ296" s="893">
        <v>100</v>
      </c>
      <c r="BR296" s="892"/>
      <c r="BS296" s="886" t="s">
        <v>3036</v>
      </c>
      <c r="BT296" s="423"/>
      <c r="BU296" s="423"/>
      <c r="BV296" s="425"/>
      <c r="BW296" s="423">
        <v>0.01</v>
      </c>
      <c r="BX296" s="448"/>
      <c r="BY296" s="448"/>
      <c r="BZ296" s="448"/>
      <c r="CA296" s="448"/>
      <c r="CB296" s="448"/>
      <c r="CC296" s="777"/>
      <c r="CD296" s="448"/>
      <c r="CE296" s="894">
        <f>IFERROR(WWWW[[#This Row],['#_Water sources passed]]/WWWW[[#This Row],['#_Water sources tested for fecal coliform ]],"no test")</f>
        <v>0.66666666666666663</v>
      </c>
      <c r="CF296" s="892" t="str">
        <f>IFERROR(WWWW[[#This Row],['#_Household passed]]/WWWW[[#This Row],['#_Household water samples tested for fecal coliform]],"no test")</f>
        <v>no test</v>
      </c>
      <c r="CG296" s="893" t="str">
        <f>IF(AND(WWWW[[#This Row],[% of water sources passed]]="no test",WWWW[[#This Row],[% Household passed]]="no test"),"No Test","Tested")</f>
        <v>Tested</v>
      </c>
      <c r="CH296" s="893">
        <f>WWWW[[#This Row],['#_Constructed/existing protected hand dug well]]-WWWW[[#This Row],['#_Non-functional protected hand dug well]]</f>
        <v>0</v>
      </c>
      <c r="CI296" s="893">
        <f>(WWWW[[#This Row],['#_Constructed/Existing tube wells/boreholes/handpumps_WASH_agency]]+WWWW[[#This Row],['#_Non-Cluster partner water tube-wells/boreholes/handpumps]])-WWWW[[#This Row],['#_Non-functional tube wells/boreholes/handpumps]]</f>
        <v>4</v>
      </c>
      <c r="CJ296" s="893">
        <f>WWWW[[#This Row],['#_Constructed/Existingwater storage tank with gravity fed reticulation system]]-WWWW[[#This Row],['#_Non-functional storage tank gravity fed reticulation system]]</f>
        <v>0</v>
      </c>
      <c r="CK296" s="893">
        <f>(WWWW[[#This Row],['#_Water_Liters_supplied_by_Water boating or water trucking]]/90)/15</f>
        <v>0</v>
      </c>
      <c r="CL296" s="893">
        <f>WWWW[[#This Row],['#_Water_Liters_from_Constructed/Existing water distribution system from river or natural spring]]/90/15</f>
        <v>0</v>
      </c>
      <c r="CM296" s="424">
        <f>IF(WWWW[[#This Row],['#_of water points in TLS/CFS]]*500&gt;WWWW[[#This Row],[Total PoP ]],WWWW[[#This Row],[Total PoP ]],WWWW[[#This Row],['#_of water points in TLS/CFS]]*500)</f>
        <v>0</v>
      </c>
      <c r="CN296" s="424">
        <f>IF(WWWW[[#This Row],['#_of water points in THF]]*500&gt;WWWW[[#This Row],[Total PoP ]],WWWW[[#This Row],[Total PoP ]],WWWW[[#This Row],['#_of water points in THF]]*500)</f>
        <v>0</v>
      </c>
      <c r="CO29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6" s="892">
        <f>IF(WWWW[[#This Row],[Location Type 1]]="Village",WWWW[[#This Row],[Access to safe drinking water for Village]],WWWW[[#This Row],[Access to safe drinking water for Camp]])</f>
        <v>1</v>
      </c>
      <c r="CR296" s="890">
        <f>WWWW[[#This Row],[%Equitable and continuous access to sufficient quantity of safe drinking water]]*WWWW[[#This Row],[Total PoP ]]</f>
        <v>291</v>
      </c>
      <c r="CS296" s="892">
        <f>IF((WWWW[[#This Row],['#_Constructed/Existing protected/fenced ponds]]*250)/WWWW[[#This Row],[Total PoP ]]&gt;1,1,(WWWW[[#This Row],['#_Constructed/Existing protected/fenced ponds]]*250)/WWWW[[#This Row],[Total PoP ]])</f>
        <v>0</v>
      </c>
      <c r="CT296" s="890">
        <f>WWWW[[#This Row],[% Access to unimproved water points]]*WWWW[[#This Row],[Total PoP ]]</f>
        <v>0</v>
      </c>
      <c r="CU29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291</v>
      </c>
      <c r="CW296" s="890">
        <f>WWWW[[#This Row],[HRP1]]/500</f>
        <v>0.58199999999999996</v>
      </c>
      <c r="CX296" s="895">
        <f>1-WWWW[[#This Row],[% Equitable and continuous access to sufficient quantity of domestic water]]</f>
        <v>0</v>
      </c>
      <c r="CY296" s="890">
        <f>WWWW[[#This Row],[%equitable and continuous access to sufficient quantity of safe drinking and domestic water''s GAP]]*WWWW[[#This Row],[Total PoP ]]</f>
        <v>0</v>
      </c>
      <c r="CZ296" s="893">
        <f>IF(WWWW[[#This Row],[Total required water points]]-WWWW[[#This Row],['#Water points coverage]]&lt;0,0,WWWW[[#This Row],[Total required water points]]-WWWW[[#This Row],['#Water points coverage]])</f>
        <v>0.41800000000000004</v>
      </c>
      <c r="DA296" s="893">
        <f>ROUND(IF(WWWW[[#This Row],[Total PoP ]]&lt;500,1,WWWW[[#This Row],[Total PoP ]]/500),0)</f>
        <v>1</v>
      </c>
      <c r="DB296" s="893">
        <f>(WWWW[[#This Row],['#_Constructed latrines_by_WASHAgencies]]+WWWW[[#This Row],['#_Non Cluster partner latrines]])-WWWW[[#This Row],['#_Non-functional latrines]]</f>
        <v>19</v>
      </c>
      <c r="DC296" s="631">
        <f>WWWW[[#This Row],[HRP2]]/WWWW[[#This Row],[Total PoP ]]</f>
        <v>1</v>
      </c>
      <c r="DD29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291</v>
      </c>
      <c r="DE29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6" s="424">
        <f>IF(WWWW[[#This Row],['# of functional latrines in THF supported by WASH partners during the reporting period2]]="",0,WWWW[[#This Row],['# of functional latrines in THF supported by WASH partners during the reporting period2]]*50)</f>
        <v>0</v>
      </c>
      <c r="DH296" s="893">
        <f>ROUND(IF(WWWW[[#This Row],[Location Type 1]]="camp",WWWW[[#This Row],[Total PoP ]]/20,IF(WWWW[[#This Row],[Location Type 1]]="Temporary Location",WWWW[[#This Row],[Total PoP ]]/50,(WWWW[[#This Row],[Total PoP ]]/6))),0)</f>
        <v>15</v>
      </c>
      <c r="DI296" s="893">
        <f>IF(WWWW[[#This Row],[Total required Latrines]]-(WWWW[[#This Row],['#_Constructed latrines_by_WASHAgencies]]+WWWW[[#This Row],['#_Non Cluster partner latrines]])&lt;0,0,WWWW[[#This Row],[Total required Latrines]]-(WWWW[[#This Row],['#_Constructed latrines_by_WASHAgencies]]+WWWW[[#This Row],['#_Non Cluster partner latrines]]))</f>
        <v>0</v>
      </c>
      <c r="DJ296" s="895">
        <f>1-WWWW[[#This Row],[% people access to functioning Latrine]]</f>
        <v>0</v>
      </c>
      <c r="DK296" s="894">
        <f>IF(OR(WWWW[[#This Row],['#_Non-functional latrines]]="",WWWW[[#This Row],['#_Non-functional latrines]]=0),0,WWWW[[#This Row],['#_Non-functional latrines]]/(WWWW[[#This Row],['#_Constructed latrines_by_WASHAgencies]]+WWWW[[#This Row],['#_Non Cluster partner latrines]]))</f>
        <v>0.05</v>
      </c>
      <c r="DL296" s="890">
        <f>IF(500*(WWWW[[#This Row],['#_male hygiene promoters]]+WWWW[[#This Row],['#_female hygiene promoters]])&gt;WWWW[[#This Row],[Total PoP ]],WWWW[[#This Row],[Total PoP ]],500*(WWWW[[#This Row],['#_male hygiene promoters]]+WWWW[[#This Row],['#_female hygiene promoters]]))</f>
        <v>291</v>
      </c>
      <c r="DM29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291</v>
      </c>
      <c r="DN29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62.419500000000006</v>
      </c>
      <c r="DO296" s="893">
        <f>IF(WWWW[[#This Row],['# People with access to soap]]&gt;WWWW[[#This Row],['# People with access to Sanity Pads]],WWWW[[#This Row],['# People with access to soap]],WWWW[[#This Row],['# People with access to Sanity Pads]])</f>
        <v>291</v>
      </c>
      <c r="DP296" s="893">
        <f>IF(WWWW[[#This Row],['# people reached by regular dedicated hygiene promotion_5]]&gt;WWWW[[#This Row],['# People received regular supply of hygiene items_6]],WWWW[[#This Row],['# people reached by regular dedicated hygiene promotion_5]],WWWW[[#This Row],['# People received regular supply of hygiene items_6]])</f>
        <v>291</v>
      </c>
      <c r="DQ296" s="895">
        <f>IF(WWWW[[#This Row],[HRP3]]/WWWW[[#This Row],[Total PoP ]]&gt;1,1,WWWW[[#This Row],[HRP3]]/WWWW[[#This Row],[Total PoP ]])</f>
        <v>1</v>
      </c>
      <c r="DR296" s="894">
        <f>1-WWWW[[#This Row],[Hygiene Coverage%]]</f>
        <v>0</v>
      </c>
      <c r="DS296" s="892">
        <f>WWWW[[#This Row],['# people reached by regular dedicated hygiene promotion_5]]/WWWW[[#This Row],[Total PoP ]]</f>
        <v>1</v>
      </c>
      <c r="DT29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9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96" s="893">
        <f>WWWW[[#This Row],['#_Constructed/Existing hand washing stations]]-WWWW[[#This Row],['#_Non-Functional_hand_washing_stations]]</f>
        <v>7</v>
      </c>
      <c r="DW296" s="890">
        <f>IF(WWWW[[#This Row],['# Functional hand washing stations during reporting period]]*20&gt;WWWW[[#This Row],[Total HH]],WWWW[[#This Row],[Total HH]],WWWW[[#This Row],['# Functional hand washing stations during reporting period]]*20)</f>
        <v>62</v>
      </c>
      <c r="DX296" s="890">
        <f>IF(WWWW[[#This Row],[Is sufficient soap available for TLS? (Yes/No)]]="yes",WWWW[[#This Row],['#_Constructed/Existing hand washing stations at TLS/CFS/THF]],0)</f>
        <v>4</v>
      </c>
      <c r="DY296" s="428">
        <f>IF(WWWW[[#This Row],['# Functional hand washing stations during reporting period]]*100&gt;WWWW[[#This Row],[Total PoP ]],WWWW[[#This Row],[Total PoP ]],WWWW[[#This Row],['# Functional hand washing stations during reporting period]]*100)</f>
        <v>291</v>
      </c>
      <c r="DZ296" s="428" t="str">
        <f>IF(OR(WWWW[[#This Row],['#_students at TLS_CFS]]="",WWWW[[#This Row],['#_students at TLS_CFS]]=0),"No","Yes")</f>
        <v>No</v>
      </c>
      <c r="EA29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6" s="886" t="str">
        <f>VLOOKUP(WWWW[[#This Row],[Site Name]],SiteDB6[[Site Name]:[CCCM Management]],6,FALSE)</f>
        <v>Yes</v>
      </c>
      <c r="EF296" s="886" t="str">
        <f>VLOOKUP(WWWW[[#This Row],[Site Name]],SiteDB6[[Site Name]:[CCCM Focal Agency]],7,FALSE)</f>
        <v>KMSS-MYT</v>
      </c>
      <c r="EG296" s="886" t="str">
        <f>VLOOKUP(WWWW[[#This Row],[Site Name]],SiteDB6[[Site Name]:[Location Type 1]],9,FALSE)</f>
        <v>Camp</v>
      </c>
      <c r="EH296" s="886" t="str">
        <f>VLOOKUP(WWWW[[#This Row],[Site Name]],SiteDB6[[Site Name]:[Type of Accommodation]],10,FALSE)</f>
        <v>Camp</v>
      </c>
      <c r="EI296" s="886" t="str">
        <f>VLOOKUP(WWWW[[#This Row],[Site Name]],SiteDB6[[Site Name]:[Ethnic or GCA/NGCA]],11,FALSE)</f>
        <v>GCA</v>
      </c>
      <c r="EJ296" s="886">
        <f>VLOOKUP(WWWW[[#This Row],[Site Name]],SiteDB6[[Site Name]:[Lat]],12,FALSE)</f>
        <v>25.410569299999999</v>
      </c>
      <c r="EK296" s="886">
        <f>VLOOKUP(WWWW[[#This Row],[Site Name]],SiteDB6[[Site Name]:[Long]],13,FALSE)</f>
        <v>97.359320179999997</v>
      </c>
      <c r="EL296" s="886" t="str">
        <f>VLOOKUP(WWWW[[#This Row],[Site Name]],SiteDB6[[Site Name]:[Pcode]],3,FALSE)</f>
        <v>MMR001CMP024</v>
      </c>
      <c r="EM296" s="891" t="str">
        <f t="shared" si="4"/>
        <v>Covered</v>
      </c>
      <c r="EN296" s="891"/>
      <c r="EO296" s="886">
        <f>VLOOKUP(WWWW[[#This Row],[Site Name]],SiteDB6[[Site Name]:[Pop
(Kachin/Shan-CCCM as of July 2021)]],16,FALSE)</f>
        <v>61</v>
      </c>
      <c r="EP296" s="886">
        <f>VLOOKUP(WWWW[[#This Row],[Site Name]],SiteDB6[[Site Name]:[Pop
(Kachin/Shan-CCCM as of July 2021)]],17,FALSE)</f>
        <v>290</v>
      </c>
    </row>
    <row r="297" spans="1:146" hidden="1">
      <c r="A297" s="884" t="s">
        <v>2764</v>
      </c>
      <c r="B297" s="884" t="s">
        <v>36</v>
      </c>
      <c r="C297" s="885" t="s">
        <v>36</v>
      </c>
      <c r="D297" s="885" t="s">
        <v>241</v>
      </c>
      <c r="E297" s="885" t="s">
        <v>37</v>
      </c>
      <c r="F297" s="885" t="s">
        <v>148</v>
      </c>
      <c r="G297" s="591" t="str">
        <f>VLOOKUP(WWWW[[#This Row],[Site Name]],SiteDB6[[Site Name]:[Location Type]],8,FALSE)</f>
        <v>Camp</v>
      </c>
      <c r="H297" s="885" t="s">
        <v>231</v>
      </c>
      <c r="I297" s="887">
        <v>50</v>
      </c>
      <c r="J297" s="887">
        <v>218</v>
      </c>
      <c r="K297" s="888">
        <v>44414</v>
      </c>
      <c r="L297" s="889">
        <v>44778</v>
      </c>
      <c r="M297" s="887"/>
      <c r="N297" s="887">
        <v>2</v>
      </c>
      <c r="O297" s="887"/>
      <c r="P297" s="887"/>
      <c r="Q297" s="890" t="s">
        <v>41</v>
      </c>
      <c r="R297" s="887">
        <v>3</v>
      </c>
      <c r="S297" s="887">
        <v>3</v>
      </c>
      <c r="T297" s="448">
        <v>1</v>
      </c>
      <c r="U297" s="887"/>
      <c r="V297" s="887"/>
      <c r="W297" s="887"/>
      <c r="X297" s="887"/>
      <c r="Y297" s="887"/>
      <c r="Z297" s="887"/>
      <c r="AA297" s="887"/>
      <c r="AB297" s="887"/>
      <c r="AC297" s="887"/>
      <c r="AD297" s="887"/>
      <c r="AE297" s="887"/>
      <c r="AF297" s="887"/>
      <c r="AG297" s="887"/>
      <c r="AH297" s="887">
        <v>5</v>
      </c>
      <c r="AI297" s="887"/>
      <c r="AJ297" s="887">
        <v>1</v>
      </c>
      <c r="AK297" s="887"/>
      <c r="AL297" s="887"/>
      <c r="AM297" s="887">
        <v>4</v>
      </c>
      <c r="AN297" s="887"/>
      <c r="AO297" s="448"/>
      <c r="AP297" s="891"/>
      <c r="AQ297" s="887">
        <v>16</v>
      </c>
      <c r="AR297" s="887"/>
      <c r="AS297" s="892"/>
      <c r="AT297" s="887"/>
      <c r="AU297" s="887"/>
      <c r="AV297" s="887"/>
      <c r="AW297" s="887"/>
      <c r="AX297" s="887"/>
      <c r="AY297" s="886" t="s">
        <v>41</v>
      </c>
      <c r="AZ297" s="891" t="s">
        <v>137</v>
      </c>
      <c r="BA297" s="887"/>
      <c r="BB297" s="887"/>
      <c r="BC297" s="887"/>
      <c r="BD297" s="448"/>
      <c r="BE297" s="448"/>
      <c r="BF297" s="886"/>
      <c r="BG297" s="887">
        <v>7</v>
      </c>
      <c r="BH297" s="887"/>
      <c r="BI297" s="887"/>
      <c r="BJ297" s="887">
        <v>2</v>
      </c>
      <c r="BK297" s="887"/>
      <c r="BL297" s="887"/>
      <c r="BM297" s="887">
        <v>1</v>
      </c>
      <c r="BN297" s="887">
        <v>50</v>
      </c>
      <c r="BO297" s="887">
        <v>46.76100000000001</v>
      </c>
      <c r="BP297" s="886" t="s">
        <v>41</v>
      </c>
      <c r="BQ297" s="893">
        <v>100</v>
      </c>
      <c r="BR297" s="892"/>
      <c r="BS297" s="886" t="s">
        <v>3035</v>
      </c>
      <c r="BT297" s="423"/>
      <c r="BU297" s="423"/>
      <c r="BV297" s="425"/>
      <c r="BW297" s="423">
        <v>0.01</v>
      </c>
      <c r="BX297" s="448"/>
      <c r="BY297" s="448"/>
      <c r="BZ297" s="448"/>
      <c r="CA297" s="448"/>
      <c r="CB297" s="448"/>
      <c r="CC297" s="777"/>
      <c r="CD297" s="448"/>
      <c r="CE297" s="894" t="str">
        <f>IFERROR(WWWW[[#This Row],['#_Water sources passed]]/WWWW[[#This Row],['#_Water sources tested for fecal coliform ]],"no test")</f>
        <v>no test</v>
      </c>
      <c r="CF297" s="892" t="str">
        <f>IFERROR(WWWW[[#This Row],['#_Household passed]]/WWWW[[#This Row],['#_Household water samples tested for fecal coliform]],"no test")</f>
        <v>no test</v>
      </c>
      <c r="CG297" s="893" t="str">
        <f>IF(AND(WWWW[[#This Row],[% of water sources passed]]="no test",WWWW[[#This Row],[% Household passed]]="no test"),"No Test","Tested")</f>
        <v>No Test</v>
      </c>
      <c r="CH297" s="893">
        <f>WWWW[[#This Row],['#_Constructed/existing protected hand dug well]]-WWWW[[#This Row],['#_Non-functional protected hand dug well]]</f>
        <v>1</v>
      </c>
      <c r="CI297" s="893">
        <f>(WWWW[[#This Row],['#_Constructed/Existing tube wells/boreholes/handpumps_WASH_agency]]+WWWW[[#This Row],['#_Non-Cluster partner water tube-wells/boreholes/handpumps]])-WWWW[[#This Row],['#_Non-functional tube wells/boreholes/handpumps]]</f>
        <v>0</v>
      </c>
      <c r="CJ297" s="893">
        <f>WWWW[[#This Row],['#_Constructed/Existingwater storage tank with gravity fed reticulation system]]-WWWW[[#This Row],['#_Non-functional storage tank gravity fed reticulation system]]</f>
        <v>0</v>
      </c>
      <c r="CK297" s="893">
        <f>(WWWW[[#This Row],['#_Water_Liters_supplied_by_Water boating or water trucking]]/90)/15</f>
        <v>0</v>
      </c>
      <c r="CL297" s="893">
        <f>WWWW[[#This Row],['#_Water_Liters_from_Constructed/Existing water distribution system from river or natural spring]]/90/15</f>
        <v>0</v>
      </c>
      <c r="CM297" s="424">
        <f>IF(WWWW[[#This Row],['#_of water points in TLS/CFS]]*500&gt;WWWW[[#This Row],[Total PoP ]],WWWW[[#This Row],[Total PoP ]],WWWW[[#This Row],['#_of water points in TLS/CFS]]*500)</f>
        <v>0</v>
      </c>
      <c r="CN297" s="424">
        <f>IF(WWWW[[#This Row],['#_of water points in THF]]*500&gt;WWWW[[#This Row],[Total PoP ]],WWWW[[#This Row],[Total PoP ]],WWWW[[#This Row],['#_of water points in THF]]*500)</f>
        <v>0</v>
      </c>
      <c r="CO29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7" s="892">
        <f>IF(WWWW[[#This Row],[Location Type 1]]="Village",WWWW[[#This Row],[Access to safe drinking water for Village]],WWWW[[#This Row],[Access to safe drinking water for Camp]])</f>
        <v>1</v>
      </c>
      <c r="CR297" s="890">
        <f>WWWW[[#This Row],[%Equitable and continuous access to sufficient quantity of safe drinking water]]*WWWW[[#This Row],[Total PoP ]]</f>
        <v>218</v>
      </c>
      <c r="CS297" s="892">
        <f>IF((WWWW[[#This Row],['#_Constructed/Existing protected/fenced ponds]]*250)/WWWW[[#This Row],[Total PoP ]]&gt;1,1,(WWWW[[#This Row],['#_Constructed/Existing protected/fenced ponds]]*250)/WWWW[[#This Row],[Total PoP ]])</f>
        <v>0</v>
      </c>
      <c r="CT297" s="890">
        <f>WWWW[[#This Row],[% Access to unimproved water points]]*WWWW[[#This Row],[Total PoP ]]</f>
        <v>0</v>
      </c>
      <c r="CU29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W297" s="890">
        <f>WWWW[[#This Row],[HRP1]]/500</f>
        <v>0.436</v>
      </c>
      <c r="CX297" s="895">
        <f>1-WWWW[[#This Row],[% Equitable and continuous access to sufficient quantity of domestic water]]</f>
        <v>0</v>
      </c>
      <c r="CY297" s="890">
        <f>WWWW[[#This Row],[%equitable and continuous access to sufficient quantity of safe drinking and domestic water''s GAP]]*WWWW[[#This Row],[Total PoP ]]</f>
        <v>0</v>
      </c>
      <c r="CZ297" s="893">
        <f>IF(WWWW[[#This Row],[Total required water points]]-WWWW[[#This Row],['#Water points coverage]]&lt;0,0,WWWW[[#This Row],[Total required water points]]-WWWW[[#This Row],['#Water points coverage]])</f>
        <v>0.56400000000000006</v>
      </c>
      <c r="DA297" s="893">
        <f>ROUND(IF(WWWW[[#This Row],[Total PoP ]]&lt;500,1,WWWW[[#This Row],[Total PoP ]]/500),0)</f>
        <v>1</v>
      </c>
      <c r="DB297" s="893">
        <f>(WWWW[[#This Row],['#_Constructed latrines_by_WASHAgencies]]+WWWW[[#This Row],['#_Non Cluster partner latrines]])-WWWW[[#This Row],['#_Non-functional latrines]]</f>
        <v>16</v>
      </c>
      <c r="DC297" s="631">
        <f>WWWW[[#This Row],[HRP2]]/WWWW[[#This Row],[Total PoP ]]</f>
        <v>1</v>
      </c>
      <c r="DD29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DE29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7" s="424">
        <f>IF(WWWW[[#This Row],['# of functional latrines in THF supported by WASH partners during the reporting period2]]="",0,WWWW[[#This Row],['# of functional latrines in THF supported by WASH partners during the reporting period2]]*50)</f>
        <v>0</v>
      </c>
      <c r="DH297" s="893">
        <f>ROUND(IF(WWWW[[#This Row],[Location Type 1]]="camp",WWWW[[#This Row],[Total PoP ]]/20,IF(WWWW[[#This Row],[Location Type 1]]="Temporary Location",WWWW[[#This Row],[Total PoP ]]/50,(WWWW[[#This Row],[Total PoP ]]/6))),0)</f>
        <v>11</v>
      </c>
      <c r="DI297" s="893">
        <f>IF(WWWW[[#This Row],[Total required Latrines]]-(WWWW[[#This Row],['#_Constructed latrines_by_WASHAgencies]]+WWWW[[#This Row],['#_Non Cluster partner latrines]])&lt;0,0,WWWW[[#This Row],[Total required Latrines]]-(WWWW[[#This Row],['#_Constructed latrines_by_WASHAgencies]]+WWWW[[#This Row],['#_Non Cluster partner latrines]]))</f>
        <v>0</v>
      </c>
      <c r="DJ297" s="895">
        <f>1-WWWW[[#This Row],[% people access to functioning Latrine]]</f>
        <v>0</v>
      </c>
      <c r="DK297" s="894">
        <f>IF(OR(WWWW[[#This Row],['#_Non-functional latrines]]="",WWWW[[#This Row],['#_Non-functional latrines]]=0),0,WWWW[[#This Row],['#_Non-functional latrines]]/(WWWW[[#This Row],['#_Constructed latrines_by_WASHAgencies]]+WWWW[[#This Row],['#_Non Cluster partner latrines]]))</f>
        <v>0</v>
      </c>
      <c r="DL297" s="890">
        <f>IF(500*(WWWW[[#This Row],['#_male hygiene promoters]]+WWWW[[#This Row],['#_female hygiene promoters]])&gt;WWWW[[#This Row],[Total PoP ]],WWWW[[#This Row],[Total PoP ]],500*(WWWW[[#This Row],['#_male hygiene promoters]]+WWWW[[#This Row],['#_female hygiene promoters]]))</f>
        <v>218</v>
      </c>
      <c r="DM29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218</v>
      </c>
      <c r="DN29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46.76100000000001</v>
      </c>
      <c r="DO297" s="893">
        <f>IF(WWWW[[#This Row],['# People with access to soap]]&gt;WWWW[[#This Row],['# People with access to Sanity Pads]],WWWW[[#This Row],['# People with access to soap]],WWWW[[#This Row],['# People with access to Sanity Pads]])</f>
        <v>218</v>
      </c>
      <c r="DP297" s="893">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Q297" s="895">
        <f>IF(WWWW[[#This Row],[HRP3]]/WWWW[[#This Row],[Total PoP ]]&gt;1,1,WWWW[[#This Row],[HRP3]]/WWWW[[#This Row],[Total PoP ]])</f>
        <v>1</v>
      </c>
      <c r="DR297" s="894">
        <f>1-WWWW[[#This Row],[Hygiene Coverage%]]</f>
        <v>0</v>
      </c>
      <c r="DS297" s="892">
        <f>WWWW[[#This Row],['# people reached by regular dedicated hygiene promotion_5]]/WWWW[[#This Row],[Total PoP ]]</f>
        <v>1</v>
      </c>
      <c r="DT29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9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0.93522000000000016</v>
      </c>
      <c r="DV297" s="893">
        <f>WWWW[[#This Row],['#_Constructed/Existing hand washing stations]]-WWWW[[#This Row],['#_Non-Functional_hand_washing_stations]]</f>
        <v>7</v>
      </c>
      <c r="DW297" s="890">
        <f>IF(WWWW[[#This Row],['# Functional hand washing stations during reporting period]]*20&gt;WWWW[[#This Row],[Total HH]],WWWW[[#This Row],[Total HH]],WWWW[[#This Row],['# Functional hand washing stations during reporting period]]*20)</f>
        <v>50</v>
      </c>
      <c r="DX297" s="890">
        <f>IF(WWWW[[#This Row],[Is sufficient soap available for TLS? (Yes/No)]]="yes",WWWW[[#This Row],['#_Constructed/Existing hand washing stations at TLS/CFS/THF]],0)</f>
        <v>4</v>
      </c>
      <c r="DY297" s="428">
        <f>IF(WWWW[[#This Row],['# Functional hand washing stations during reporting period]]*100&gt;WWWW[[#This Row],[Total PoP ]],WWWW[[#This Row],[Total PoP ]],WWWW[[#This Row],['# Functional hand washing stations during reporting period]]*100)</f>
        <v>218</v>
      </c>
      <c r="DZ297" s="428" t="str">
        <f>IF(OR(WWWW[[#This Row],['#_students at TLS_CFS]]="",WWWW[[#This Row],['#_students at TLS_CFS]]=0),"No","Yes")</f>
        <v>No</v>
      </c>
      <c r="EA29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7" s="886" t="str">
        <f>VLOOKUP(WWWW[[#This Row],[Site Name]],SiteDB6[[Site Name]:[CCCM Management]],6,FALSE)</f>
        <v>Yes</v>
      </c>
      <c r="EF297" s="886" t="str">
        <f>VLOOKUP(WWWW[[#This Row],[Site Name]],SiteDB6[[Site Name]:[CCCM Focal Agency]],7,FALSE)</f>
        <v>KMSS-MYT</v>
      </c>
      <c r="EG297" s="886" t="str">
        <f>VLOOKUP(WWWW[[#This Row],[Site Name]],SiteDB6[[Site Name]:[Location Type 1]],9,FALSE)</f>
        <v>Camp</v>
      </c>
      <c r="EH297" s="886" t="str">
        <f>VLOOKUP(WWWW[[#This Row],[Site Name]],SiteDB6[[Site Name]:[Type of Accommodation]],10,FALSE)</f>
        <v>Camp</v>
      </c>
      <c r="EI297" s="886" t="str">
        <f>VLOOKUP(WWWW[[#This Row],[Site Name]],SiteDB6[[Site Name]:[Ethnic or GCA/NGCA]],11,FALSE)</f>
        <v>GCA</v>
      </c>
      <c r="EJ297" s="886">
        <f>VLOOKUP(WWWW[[#This Row],[Site Name]],SiteDB6[[Site Name]:[Lat]],12,FALSE)</f>
        <v>25.613894999999999</v>
      </c>
      <c r="EK297" s="886">
        <f>VLOOKUP(WWWW[[#This Row],[Site Name]],SiteDB6[[Site Name]:[Long]],13,FALSE)</f>
        <v>96.341352999999998</v>
      </c>
      <c r="EL297" s="886" t="str">
        <f>VLOOKUP(WWWW[[#This Row],[Site Name]],SiteDB6[[Site Name]:[Pcode]],3,FALSE)</f>
        <v>MMR001CMP103</v>
      </c>
      <c r="EM297" s="891" t="str">
        <f t="shared" si="4"/>
        <v>Covered</v>
      </c>
      <c r="EN297" s="891"/>
      <c r="EO297" s="886">
        <f>VLOOKUP(WWWW[[#This Row],[Site Name]],SiteDB6[[Site Name]:[Pop
(Kachin/Shan-CCCM as of July 2021)]],16,FALSE)</f>
        <v>47</v>
      </c>
      <c r="EP297" s="886">
        <f>VLOOKUP(WWWW[[#This Row],[Site Name]],SiteDB6[[Site Name]:[Pop
(Kachin/Shan-CCCM as of July 2021)]],17,FALSE)</f>
        <v>226</v>
      </c>
    </row>
    <row r="298" spans="1:146" hidden="1">
      <c r="A298" s="884" t="s">
        <v>2764</v>
      </c>
      <c r="B298" s="884" t="s">
        <v>919</v>
      </c>
      <c r="C298" s="885" t="s">
        <v>141</v>
      </c>
      <c r="D298" s="885" t="s">
        <v>3076</v>
      </c>
      <c r="E298" s="885" t="s">
        <v>37</v>
      </c>
      <c r="F298" s="885" t="s">
        <v>152</v>
      </c>
      <c r="G298" s="591" t="str">
        <f>VLOOKUP(WWWW[[#This Row],[Site Name]],SiteDB6[[Site Name]:[Location Type]],8,FALSE)</f>
        <v>Camp</v>
      </c>
      <c r="H298" s="885" t="s">
        <v>155</v>
      </c>
      <c r="I298" s="887">
        <v>10</v>
      </c>
      <c r="J298" s="887">
        <v>48</v>
      </c>
      <c r="K298" s="888">
        <v>44682</v>
      </c>
      <c r="L298" s="889">
        <v>44865</v>
      </c>
      <c r="M298" s="887"/>
      <c r="N298" s="887"/>
      <c r="O298" s="887"/>
      <c r="P298" s="887"/>
      <c r="Q298" s="890" t="s">
        <v>41</v>
      </c>
      <c r="R298" s="887">
        <v>2</v>
      </c>
      <c r="S298" s="887">
        <v>1</v>
      </c>
      <c r="T298" s="448">
        <v>2</v>
      </c>
      <c r="U298" s="887"/>
      <c r="V298" s="887">
        <v>1</v>
      </c>
      <c r="W298" s="887">
        <v>2</v>
      </c>
      <c r="X298" s="887"/>
      <c r="Y298" s="887"/>
      <c r="Z298" s="887"/>
      <c r="AA298" s="887"/>
      <c r="AB298" s="887"/>
      <c r="AC298" s="887"/>
      <c r="AD298" s="887"/>
      <c r="AE298" s="887"/>
      <c r="AF298" s="887"/>
      <c r="AG298" s="887"/>
      <c r="AH298" s="887">
        <v>3</v>
      </c>
      <c r="AI298" s="887"/>
      <c r="AJ298" s="887"/>
      <c r="AK298" s="887"/>
      <c r="AL298" s="887"/>
      <c r="AM298" s="887"/>
      <c r="AN298" s="887"/>
      <c r="AO298" s="448"/>
      <c r="AP298" s="891"/>
      <c r="AQ298" s="887">
        <v>4</v>
      </c>
      <c r="AR298" s="887"/>
      <c r="AS298" s="892"/>
      <c r="AT298" s="887">
        <v>1</v>
      </c>
      <c r="AU298" s="887">
        <v>2</v>
      </c>
      <c r="AV298" s="887"/>
      <c r="AW298" s="887"/>
      <c r="AX298" s="887">
        <v>3</v>
      </c>
      <c r="AY298" s="886" t="s">
        <v>41</v>
      </c>
      <c r="AZ298" s="891" t="s">
        <v>137</v>
      </c>
      <c r="BA298" s="887"/>
      <c r="BB298" s="887"/>
      <c r="BC298" s="887"/>
      <c r="BD298" s="448"/>
      <c r="BE298" s="448"/>
      <c r="BF298" s="886"/>
      <c r="BG298" s="887">
        <v>3</v>
      </c>
      <c r="BH298" s="887">
        <v>1</v>
      </c>
      <c r="BI298" s="887"/>
      <c r="BJ298" s="887">
        <v>2</v>
      </c>
      <c r="BK298" s="887"/>
      <c r="BL298" s="887"/>
      <c r="BM298" s="887"/>
      <c r="BN298" s="887"/>
      <c r="BO298" s="887"/>
      <c r="BP298" s="886"/>
      <c r="BQ298" s="893"/>
      <c r="BR298" s="892"/>
      <c r="BS298" s="886"/>
      <c r="BT298" s="423"/>
      <c r="BU298" s="423"/>
      <c r="BV298" s="425"/>
      <c r="BW298" s="423"/>
      <c r="BX298" s="448"/>
      <c r="BY298" s="448"/>
      <c r="BZ298" s="448"/>
      <c r="CA298" s="448"/>
      <c r="CB298" s="448"/>
      <c r="CC298" s="777"/>
      <c r="CD298" s="448"/>
      <c r="CE298" s="894" t="str">
        <f>IFERROR(WWWW[[#This Row],['#_Water sources passed]]/WWWW[[#This Row],['#_Water sources tested for fecal coliform ]],"no test")</f>
        <v>no test</v>
      </c>
      <c r="CF298" s="892" t="str">
        <f>IFERROR(WWWW[[#This Row],['#_Household passed]]/WWWW[[#This Row],['#_Household water samples tested for fecal coliform]],"no test")</f>
        <v>no test</v>
      </c>
      <c r="CG298" s="893" t="str">
        <f>IF(AND(WWWW[[#This Row],[% of water sources passed]]="no test",WWWW[[#This Row],[% Household passed]]="no test"),"No Test","Tested")</f>
        <v>No Test</v>
      </c>
      <c r="CH298" s="893">
        <f>WWWW[[#This Row],['#_Constructed/existing protected hand dug well]]-WWWW[[#This Row],['#_Non-functional protected hand dug well]]</f>
        <v>2</v>
      </c>
      <c r="CI298" s="893">
        <f>(WWWW[[#This Row],['#_Constructed/Existing tube wells/boreholes/handpumps_WASH_agency]]+WWWW[[#This Row],['#_Non-Cluster partner water tube-wells/boreholes/handpumps]])-WWWW[[#This Row],['#_Non-functional tube wells/boreholes/handpumps]]</f>
        <v>2</v>
      </c>
      <c r="CJ298" s="893">
        <f>WWWW[[#This Row],['#_Constructed/Existingwater storage tank with gravity fed reticulation system]]-WWWW[[#This Row],['#_Non-functional storage tank gravity fed reticulation system]]</f>
        <v>0</v>
      </c>
      <c r="CK298" s="893">
        <f>(WWWW[[#This Row],['#_Water_Liters_supplied_by_Water boating or water trucking]]/90)/15</f>
        <v>0</v>
      </c>
      <c r="CL298" s="893">
        <f>WWWW[[#This Row],['#_Water_Liters_from_Constructed/Existing water distribution system from river or natural spring]]/90/15</f>
        <v>0</v>
      </c>
      <c r="CM298" s="424">
        <f>IF(WWWW[[#This Row],['#_of water points in TLS/CFS]]*500&gt;WWWW[[#This Row],[Total PoP ]],WWWW[[#This Row],[Total PoP ]],WWWW[[#This Row],['#_of water points in TLS/CFS]]*500)</f>
        <v>0</v>
      </c>
      <c r="CN298" s="424">
        <f>IF(WWWW[[#This Row],['#_of water points in THF]]*500&gt;WWWW[[#This Row],[Total PoP ]],WWWW[[#This Row],[Total PoP ]],WWWW[[#This Row],['#_of water points in THF]]*500)</f>
        <v>0</v>
      </c>
      <c r="CO29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8" s="892">
        <f>IF(WWWW[[#This Row],[Location Type 1]]="Village",WWWW[[#This Row],[Access to safe drinking water for Village]],WWWW[[#This Row],[Access to safe drinking water for Camp]])</f>
        <v>1</v>
      </c>
      <c r="CR298" s="890">
        <f>WWWW[[#This Row],[%Equitable and continuous access to sufficient quantity of safe drinking water]]*WWWW[[#This Row],[Total PoP ]]</f>
        <v>48</v>
      </c>
      <c r="CS298" s="892">
        <f>IF((WWWW[[#This Row],['#_Constructed/Existing protected/fenced ponds]]*250)/WWWW[[#This Row],[Total PoP ]]&gt;1,1,(WWWW[[#This Row],['#_Constructed/Existing protected/fenced ponds]]*250)/WWWW[[#This Row],[Total PoP ]])</f>
        <v>0</v>
      </c>
      <c r="CT298" s="890">
        <f>WWWW[[#This Row],[% Access to unimproved water points]]*WWWW[[#This Row],[Total PoP ]]</f>
        <v>0</v>
      </c>
      <c r="CU29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v>
      </c>
      <c r="CW298" s="890">
        <f>WWWW[[#This Row],[HRP1]]/500</f>
        <v>9.6000000000000002E-2</v>
      </c>
      <c r="CX298" s="895">
        <f>1-WWWW[[#This Row],[% Equitable and continuous access to sufficient quantity of domestic water]]</f>
        <v>0</v>
      </c>
      <c r="CY298" s="890">
        <f>WWWW[[#This Row],[%equitable and continuous access to sufficient quantity of safe drinking and domestic water''s GAP]]*WWWW[[#This Row],[Total PoP ]]</f>
        <v>0</v>
      </c>
      <c r="CZ298" s="893">
        <f>IF(WWWW[[#This Row],[Total required water points]]-WWWW[[#This Row],['#Water points coverage]]&lt;0,0,WWWW[[#This Row],[Total required water points]]-WWWW[[#This Row],['#Water points coverage]])</f>
        <v>0.90400000000000003</v>
      </c>
      <c r="DA298" s="893">
        <f>ROUND(IF(WWWW[[#This Row],[Total PoP ]]&lt;500,1,WWWW[[#This Row],[Total PoP ]]/500),0)</f>
        <v>1</v>
      </c>
      <c r="DB298" s="893">
        <f>(WWWW[[#This Row],['#_Constructed latrines_by_WASHAgencies]]+WWWW[[#This Row],['#_Non Cluster partner latrines]])-WWWW[[#This Row],['#_Non-functional latrines]]</f>
        <v>3</v>
      </c>
      <c r="DC298" s="631">
        <f>WWWW[[#This Row],[HRP2]]/WWWW[[#This Row],[Total PoP ]]</f>
        <v>1</v>
      </c>
      <c r="DD29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48</v>
      </c>
      <c r="DE29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8" s="424">
        <f>IF(WWWW[[#This Row],['# of functional latrines in THF supported by WASH partners during the reporting period2]]="",0,WWWW[[#This Row],['# of functional latrines in THF supported by WASH partners during the reporting period2]]*50)</f>
        <v>0</v>
      </c>
      <c r="DH298" s="893">
        <f>ROUND(IF(WWWW[[#This Row],[Location Type 1]]="camp",WWWW[[#This Row],[Total PoP ]]/20,IF(WWWW[[#This Row],[Location Type 1]]="Temporary Location",WWWW[[#This Row],[Total PoP ]]/50,(WWWW[[#This Row],[Total PoP ]]/6))),0)</f>
        <v>2</v>
      </c>
      <c r="DI298" s="893">
        <f>IF(WWWW[[#This Row],[Total required Latrines]]-(WWWW[[#This Row],['#_Constructed latrines_by_WASHAgencies]]+WWWW[[#This Row],['#_Non Cluster partner latrines]])&lt;0,0,WWWW[[#This Row],[Total required Latrines]]-(WWWW[[#This Row],['#_Constructed latrines_by_WASHAgencies]]+WWWW[[#This Row],['#_Non Cluster partner latrines]]))</f>
        <v>0</v>
      </c>
      <c r="DJ298" s="895">
        <f>1-WWWW[[#This Row],[% people access to functioning Latrine]]</f>
        <v>0</v>
      </c>
      <c r="DK298" s="894">
        <f>IF(OR(WWWW[[#This Row],['#_Non-functional latrines]]="",WWWW[[#This Row],['#_Non-functional latrines]]=0),0,WWWW[[#This Row],['#_Non-functional latrines]]/(WWWW[[#This Row],['#_Constructed latrines_by_WASHAgencies]]+WWWW[[#This Row],['#_Non Cluster partner latrines]]))</f>
        <v>0.25</v>
      </c>
      <c r="DL298" s="890">
        <f>IF(500*(WWWW[[#This Row],['#_male hygiene promoters]]+WWWW[[#This Row],['#_female hygiene promoters]])&gt;WWWW[[#This Row],[Total PoP ]],WWWW[[#This Row],[Total PoP ]],500*(WWWW[[#This Row],['#_male hygiene promoters]]+WWWW[[#This Row],['#_female hygiene promoters]]))</f>
        <v>0</v>
      </c>
      <c r="DM29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8" s="893">
        <f>IF(WWWW[[#This Row],['# People with access to soap]]&gt;WWWW[[#This Row],['# People with access to Sanity Pads]],WWWW[[#This Row],['# People with access to soap]],WWWW[[#This Row],['# People with access to Sanity Pads]])</f>
        <v>0</v>
      </c>
      <c r="DP298"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98" s="895">
        <f>IF(WWWW[[#This Row],[HRP3]]/WWWW[[#This Row],[Total PoP ]]&gt;1,1,WWWW[[#This Row],[HRP3]]/WWWW[[#This Row],[Total PoP ]])</f>
        <v>0</v>
      </c>
      <c r="DR298" s="894">
        <f>1-WWWW[[#This Row],[Hygiene Coverage%]]</f>
        <v>1</v>
      </c>
      <c r="DS298" s="892">
        <f>WWWW[[#This Row],['# people reached by regular dedicated hygiene promotion_5]]/WWWW[[#This Row],[Total PoP ]]</f>
        <v>0</v>
      </c>
      <c r="DT29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8" s="893">
        <f>WWWW[[#This Row],['#_Constructed/Existing hand washing stations]]-WWWW[[#This Row],['#_Non-Functional_hand_washing_stations]]</f>
        <v>2</v>
      </c>
      <c r="DW298" s="890">
        <f>IF(WWWW[[#This Row],['# Functional hand washing stations during reporting period]]*20&gt;WWWW[[#This Row],[Total HH]],WWWW[[#This Row],[Total HH]],WWWW[[#This Row],['# Functional hand washing stations during reporting period]]*20)</f>
        <v>10</v>
      </c>
      <c r="DX298" s="890">
        <f>IF(WWWW[[#This Row],[Is sufficient soap available for TLS? (Yes/No)]]="yes",WWWW[[#This Row],['#_Constructed/Existing hand washing stations at TLS/CFS/THF]],0)</f>
        <v>0</v>
      </c>
      <c r="DY298" s="428">
        <f>IF(WWWW[[#This Row],['# Functional hand washing stations during reporting period]]*100&gt;WWWW[[#This Row],[Total PoP ]],WWWW[[#This Row],[Total PoP ]],WWWW[[#This Row],['# Functional hand washing stations during reporting period]]*100)</f>
        <v>48</v>
      </c>
      <c r="DZ298" s="428" t="str">
        <f>IF(OR(WWWW[[#This Row],['#_students at TLS_CFS]]="",WWWW[[#This Row],['#_students at TLS_CFS]]=0),"No","Yes")</f>
        <v>No</v>
      </c>
      <c r="EA29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8" s="886" t="str">
        <f>VLOOKUP(WWWW[[#This Row],[Site Name]],SiteDB6[[Site Name]:[CCCM Management]],6,FALSE)</f>
        <v>Yes</v>
      </c>
      <c r="EF298" s="886" t="str">
        <f>VLOOKUP(WWWW[[#This Row],[Site Name]],SiteDB6[[Site Name]:[CCCM Focal Agency]],7,FALSE)</f>
        <v>KBC-MYT</v>
      </c>
      <c r="EG298" s="886" t="str">
        <f>VLOOKUP(WWWW[[#This Row],[Site Name]],SiteDB6[[Site Name]:[Location Type 1]],9,FALSE)</f>
        <v>Camp</v>
      </c>
      <c r="EH298" s="886" t="str">
        <f>VLOOKUP(WWWW[[#This Row],[Site Name]],SiteDB6[[Site Name]:[Type of Accommodation]],10,FALSE)</f>
        <v>Camp</v>
      </c>
      <c r="EI298" s="886" t="str">
        <f>VLOOKUP(WWWW[[#This Row],[Site Name]],SiteDB6[[Site Name]:[Ethnic or GCA/NGCA]],11,FALSE)</f>
        <v>GCA</v>
      </c>
      <c r="EJ298" s="886">
        <f>VLOOKUP(WWWW[[#This Row],[Site Name]],SiteDB6[[Site Name]:[Lat]],12,FALSE)</f>
        <v>25.30442</v>
      </c>
      <c r="EK298" s="886">
        <f>VLOOKUP(WWWW[[#This Row],[Site Name]],SiteDB6[[Site Name]:[Long]],13,FALSE)</f>
        <v>96.948740000000001</v>
      </c>
      <c r="EL298" s="886" t="str">
        <f>VLOOKUP(WWWW[[#This Row],[Site Name]],SiteDB6[[Site Name]:[Pcode]],3,FALSE)</f>
        <v>MMR001CMP079</v>
      </c>
      <c r="EM298" s="891" t="str">
        <f t="shared" si="4"/>
        <v>Covered</v>
      </c>
      <c r="EN298" s="891"/>
      <c r="EO298" s="886">
        <f>VLOOKUP(WWWW[[#This Row],[Site Name]],SiteDB6[[Site Name]:[Pop
(Kachin/Shan-CCCM as of July 2021)]],16,FALSE)</f>
        <v>10</v>
      </c>
      <c r="EP298" s="886">
        <f>VLOOKUP(WWWW[[#This Row],[Site Name]],SiteDB6[[Site Name]:[Pop
(Kachin/Shan-CCCM as of July 2021)]],17,FALSE)</f>
        <v>48</v>
      </c>
    </row>
    <row r="299" spans="1:146" hidden="1">
      <c r="A299" s="884" t="s">
        <v>2764</v>
      </c>
      <c r="B299" s="884" t="s">
        <v>309</v>
      </c>
      <c r="C299" s="885" t="s">
        <v>309</v>
      </c>
      <c r="D299" s="885"/>
      <c r="E299" s="885" t="s">
        <v>37</v>
      </c>
      <c r="F299" s="885" t="s">
        <v>142</v>
      </c>
      <c r="G299" s="591" t="str">
        <f>VLOOKUP(WWWW[[#This Row],[Site Name]],SiteDB6[[Site Name]:[Location Type]],8,FALSE)</f>
        <v>Camp</v>
      </c>
      <c r="H299" s="885" t="s">
        <v>2783</v>
      </c>
      <c r="I299" s="887">
        <v>12</v>
      </c>
      <c r="J299" s="887">
        <v>59</v>
      </c>
      <c r="K299" s="888"/>
      <c r="L299" s="889"/>
      <c r="M299" s="887"/>
      <c r="N299" s="887"/>
      <c r="O299" s="887"/>
      <c r="P299" s="887"/>
      <c r="Q299" s="890"/>
      <c r="R299" s="887"/>
      <c r="S299" s="887"/>
      <c r="T299" s="448"/>
      <c r="U299" s="887"/>
      <c r="V299" s="887"/>
      <c r="W299" s="887"/>
      <c r="X299" s="887"/>
      <c r="Y299" s="887"/>
      <c r="Z299" s="887"/>
      <c r="AA299" s="887"/>
      <c r="AB299" s="887"/>
      <c r="AC299" s="887"/>
      <c r="AD299" s="887"/>
      <c r="AE299" s="887"/>
      <c r="AF299" s="887"/>
      <c r="AG299" s="887"/>
      <c r="AH299" s="887"/>
      <c r="AI299" s="887"/>
      <c r="AJ299" s="887"/>
      <c r="AK299" s="887"/>
      <c r="AL299" s="887"/>
      <c r="AM299" s="887"/>
      <c r="AN299" s="887"/>
      <c r="AO299" s="448"/>
      <c r="AP299" s="891"/>
      <c r="AQ299" s="887"/>
      <c r="AR299" s="887"/>
      <c r="AS299" s="892"/>
      <c r="AT299" s="887"/>
      <c r="AU299" s="887"/>
      <c r="AV299" s="887"/>
      <c r="AW299" s="887"/>
      <c r="AX299" s="887"/>
      <c r="AY299" s="886" t="s">
        <v>140</v>
      </c>
      <c r="AZ299" s="891" t="s">
        <v>140</v>
      </c>
      <c r="BA299" s="887"/>
      <c r="BB299" s="887"/>
      <c r="BC299" s="887"/>
      <c r="BD299" s="448"/>
      <c r="BE299" s="448"/>
      <c r="BF299" s="886"/>
      <c r="BG299" s="887">
        <v>7</v>
      </c>
      <c r="BH299" s="887"/>
      <c r="BI299" s="887"/>
      <c r="BJ299" s="887">
        <v>7</v>
      </c>
      <c r="BK299" s="887"/>
      <c r="BL299" s="887"/>
      <c r="BM299" s="887"/>
      <c r="BN299" s="887"/>
      <c r="BO299" s="887"/>
      <c r="BP299" s="886"/>
      <c r="BQ299" s="893"/>
      <c r="BR299" s="892"/>
      <c r="BS299" s="886"/>
      <c r="BT299" s="423"/>
      <c r="BU299" s="423"/>
      <c r="BV299" s="425"/>
      <c r="BW299" s="423"/>
      <c r="BX299" s="448"/>
      <c r="BY299" s="448"/>
      <c r="BZ299" s="448"/>
      <c r="CA299" s="448"/>
      <c r="CB299" s="448"/>
      <c r="CC299" s="777"/>
      <c r="CD299" s="448"/>
      <c r="CE299" s="894" t="str">
        <f>IFERROR(WWWW[[#This Row],['#_Water sources passed]]/WWWW[[#This Row],['#_Water sources tested for fecal coliform ]],"no test")</f>
        <v>no test</v>
      </c>
      <c r="CF299" s="892" t="str">
        <f>IFERROR(WWWW[[#This Row],['#_Household passed]]/WWWW[[#This Row],['#_Household water samples tested for fecal coliform]],"no test")</f>
        <v>no test</v>
      </c>
      <c r="CG299" s="893" t="str">
        <f>IF(AND(WWWW[[#This Row],[% of water sources passed]]="no test",WWWW[[#This Row],[% Household passed]]="no test"),"No Test","Tested")</f>
        <v>No Test</v>
      </c>
      <c r="CH299" s="893">
        <f>WWWW[[#This Row],['#_Constructed/existing protected hand dug well]]-WWWW[[#This Row],['#_Non-functional protected hand dug well]]</f>
        <v>0</v>
      </c>
      <c r="CI299" s="893">
        <f>(WWWW[[#This Row],['#_Constructed/Existing tube wells/boreholes/handpumps_WASH_agency]]+WWWW[[#This Row],['#_Non-Cluster partner water tube-wells/boreholes/handpumps]])-WWWW[[#This Row],['#_Non-functional tube wells/boreholes/handpumps]]</f>
        <v>0</v>
      </c>
      <c r="CJ299" s="893">
        <f>WWWW[[#This Row],['#_Constructed/Existingwater storage tank with gravity fed reticulation system]]-WWWW[[#This Row],['#_Non-functional storage tank gravity fed reticulation system]]</f>
        <v>0</v>
      </c>
      <c r="CK299" s="893">
        <f>(WWWW[[#This Row],['#_Water_Liters_supplied_by_Water boating or water trucking]]/90)/15</f>
        <v>0</v>
      </c>
      <c r="CL299" s="893">
        <f>WWWW[[#This Row],['#_Water_Liters_from_Constructed/Existing water distribution system from river or natural spring]]/90/15</f>
        <v>0</v>
      </c>
      <c r="CM299" s="424">
        <f>IF(WWWW[[#This Row],['#_of water points in TLS/CFS]]*500&gt;WWWW[[#This Row],[Total PoP ]],WWWW[[#This Row],[Total PoP ]],WWWW[[#This Row],['#_of water points in TLS/CFS]]*500)</f>
        <v>0</v>
      </c>
      <c r="CN299" s="424">
        <f>IF(WWWW[[#This Row],['#_of water points in THF]]*500&gt;WWWW[[#This Row],[Total PoP ]],WWWW[[#This Row],[Total PoP ]],WWWW[[#This Row],['#_of water points in THF]]*500)</f>
        <v>0</v>
      </c>
      <c r="CO29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9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99" s="892">
        <f>IF(WWWW[[#This Row],[Location Type 1]]="Village",WWWW[[#This Row],[Access to safe drinking water for Village]],WWWW[[#This Row],[Access to safe drinking water for Camp]])</f>
        <v>0</v>
      </c>
      <c r="CR299" s="890">
        <f>WWWW[[#This Row],[%Equitable and continuous access to sufficient quantity of safe drinking water]]*WWWW[[#This Row],[Total PoP ]]</f>
        <v>0</v>
      </c>
      <c r="CS299" s="892">
        <f>IF((WWWW[[#This Row],['#_Constructed/Existing protected/fenced ponds]]*250)/WWWW[[#This Row],[Total PoP ]]&gt;1,1,(WWWW[[#This Row],['#_Constructed/Existing protected/fenced ponds]]*250)/WWWW[[#This Row],[Total PoP ]])</f>
        <v>0</v>
      </c>
      <c r="CT299" s="890">
        <f>WWWW[[#This Row],[% Access to unimproved water points]]*WWWW[[#This Row],[Total PoP ]]</f>
        <v>0</v>
      </c>
      <c r="CU29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9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99" s="890">
        <f>WWWW[[#This Row],[HRP1]]/500</f>
        <v>0</v>
      </c>
      <c r="CX299" s="895">
        <f>1-WWWW[[#This Row],[% Equitable and continuous access to sufficient quantity of domestic water]]</f>
        <v>1</v>
      </c>
      <c r="CY299" s="890">
        <f>WWWW[[#This Row],[%equitable and continuous access to sufficient quantity of safe drinking and domestic water''s GAP]]*WWWW[[#This Row],[Total PoP ]]</f>
        <v>59</v>
      </c>
      <c r="CZ299" s="893">
        <f>IF(WWWW[[#This Row],[Total required water points]]-WWWW[[#This Row],['#Water points coverage]]&lt;0,0,WWWW[[#This Row],[Total required water points]]-WWWW[[#This Row],['#Water points coverage]])</f>
        <v>1</v>
      </c>
      <c r="DA299" s="893">
        <f>ROUND(IF(WWWW[[#This Row],[Total PoP ]]&lt;500,1,WWWW[[#This Row],[Total PoP ]]/500),0)</f>
        <v>1</v>
      </c>
      <c r="DB299" s="893">
        <f>(WWWW[[#This Row],['#_Constructed latrines_by_WASHAgencies]]+WWWW[[#This Row],['#_Non Cluster partner latrines]])-WWWW[[#This Row],['#_Non-functional latrines]]</f>
        <v>0</v>
      </c>
      <c r="DC299" s="631">
        <f>WWWW[[#This Row],[HRP2]]/WWWW[[#This Row],[Total PoP ]]</f>
        <v>0</v>
      </c>
      <c r="DD29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9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9" s="424">
        <f>IF(WWWW[[#This Row],['# of functional latrines in THF supported by WASH partners during the reporting period2]]="",0,WWWW[[#This Row],['# of functional latrines in THF supported by WASH partners during the reporting period2]]*50)</f>
        <v>0</v>
      </c>
      <c r="DH299" s="893">
        <f>ROUND(IF(WWWW[[#This Row],[Location Type 1]]="camp",WWWW[[#This Row],[Total PoP ]]/20,IF(WWWW[[#This Row],[Location Type 1]]="Temporary Location",WWWW[[#This Row],[Total PoP ]]/50,(WWWW[[#This Row],[Total PoP ]]/6))),0)</f>
        <v>3</v>
      </c>
      <c r="DI299" s="893">
        <f>IF(WWWW[[#This Row],[Total required Latrines]]-(WWWW[[#This Row],['#_Constructed latrines_by_WASHAgencies]]+WWWW[[#This Row],['#_Non Cluster partner latrines]])&lt;0,0,WWWW[[#This Row],[Total required Latrines]]-(WWWW[[#This Row],['#_Constructed latrines_by_WASHAgencies]]+WWWW[[#This Row],['#_Non Cluster partner latrines]]))</f>
        <v>3</v>
      </c>
      <c r="DJ299" s="895">
        <f>1-WWWW[[#This Row],[% people access to functioning Latrine]]</f>
        <v>1</v>
      </c>
      <c r="DK299" s="894">
        <f>IF(OR(WWWW[[#This Row],['#_Non-functional latrines]]="",WWWW[[#This Row],['#_Non-functional latrines]]=0),0,WWWW[[#This Row],['#_Non-functional latrines]]/(WWWW[[#This Row],['#_Constructed latrines_by_WASHAgencies]]+WWWW[[#This Row],['#_Non Cluster partner latrines]]))</f>
        <v>0</v>
      </c>
      <c r="DL299" s="890">
        <f>IF(500*(WWWW[[#This Row],['#_male hygiene promoters]]+WWWW[[#This Row],['#_female hygiene promoters]])&gt;WWWW[[#This Row],[Total PoP ]],WWWW[[#This Row],[Total PoP ]],500*(WWWW[[#This Row],['#_male hygiene promoters]]+WWWW[[#This Row],['#_female hygiene promoters]]))</f>
        <v>0</v>
      </c>
      <c r="DM29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9" s="893">
        <f>IF(WWWW[[#This Row],['# People with access to soap]]&gt;WWWW[[#This Row],['# People with access to Sanity Pads]],WWWW[[#This Row],['# People with access to soap]],WWWW[[#This Row],['# People with access to Sanity Pads]])</f>
        <v>0</v>
      </c>
      <c r="DP299"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99" s="895">
        <f>IF(WWWW[[#This Row],[HRP3]]/WWWW[[#This Row],[Total PoP ]]&gt;1,1,WWWW[[#This Row],[HRP3]]/WWWW[[#This Row],[Total PoP ]])</f>
        <v>0</v>
      </c>
      <c r="DR299" s="894">
        <f>1-WWWW[[#This Row],[Hygiene Coverage%]]</f>
        <v>1</v>
      </c>
      <c r="DS299" s="892">
        <f>WWWW[[#This Row],['# people reached by regular dedicated hygiene promotion_5]]/WWWW[[#This Row],[Total PoP ]]</f>
        <v>0</v>
      </c>
      <c r="DT29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9" s="893">
        <f>WWWW[[#This Row],['#_Constructed/Existing hand washing stations]]-WWWW[[#This Row],['#_Non-Functional_hand_washing_stations]]</f>
        <v>7</v>
      </c>
      <c r="DW299" s="890">
        <f>IF(WWWW[[#This Row],['# Functional hand washing stations during reporting period]]*20&gt;WWWW[[#This Row],[Total HH]],WWWW[[#This Row],[Total HH]],WWWW[[#This Row],['# Functional hand washing stations during reporting period]]*20)</f>
        <v>12</v>
      </c>
      <c r="DX299" s="890">
        <f>IF(WWWW[[#This Row],[Is sufficient soap available for TLS? (Yes/No)]]="yes",WWWW[[#This Row],['#_Constructed/Existing hand washing stations at TLS/CFS/THF]],0)</f>
        <v>0</v>
      </c>
      <c r="DY299" s="428">
        <f>IF(WWWW[[#This Row],['# Functional hand washing stations during reporting period]]*100&gt;WWWW[[#This Row],[Total PoP ]],WWWW[[#This Row],[Total PoP ]],WWWW[[#This Row],['# Functional hand washing stations during reporting period]]*100)</f>
        <v>59</v>
      </c>
      <c r="DZ299" s="428" t="str">
        <f>IF(OR(WWWW[[#This Row],['#_students at TLS_CFS]]="",WWWW[[#This Row],['#_students at TLS_CFS]]=0),"No","Yes")</f>
        <v>No</v>
      </c>
      <c r="EA29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9" s="886">
        <f>VLOOKUP(WWWW[[#This Row],[Site Name]],SiteDB6[[Site Name]:[CCCM Management]],6,FALSE)</f>
        <v>0</v>
      </c>
      <c r="EF299" s="886" t="str">
        <f>VLOOKUP(WWWW[[#This Row],[Site Name]],SiteDB6[[Site Name]:[CCCM Focal Agency]],7,FALSE)</f>
        <v xml:space="preserve">Uncovered  </v>
      </c>
      <c r="EG299" s="886" t="str">
        <f>VLOOKUP(WWWW[[#This Row],[Site Name]],SiteDB6[[Site Name]:[Location Type 1]],9,FALSE)</f>
        <v>Camp</v>
      </c>
      <c r="EH299" s="886" t="str">
        <f>VLOOKUP(WWWW[[#This Row],[Site Name]],SiteDB6[[Site Name]:[Type of Accommodation]],10,FALSE)</f>
        <v>Camp like setting</v>
      </c>
      <c r="EI299" s="886" t="str">
        <f>VLOOKUP(WWWW[[#This Row],[Site Name]],SiteDB6[[Site Name]:[Ethnic or GCA/NGCA]],11,FALSE)</f>
        <v>GCA</v>
      </c>
      <c r="EJ299" s="886">
        <f>VLOOKUP(WWWW[[#This Row],[Site Name]],SiteDB6[[Site Name]:[Lat]],12,FALSE)</f>
        <v>0</v>
      </c>
      <c r="EK299" s="886">
        <f>VLOOKUP(WWWW[[#This Row],[Site Name]],SiteDB6[[Site Name]:[Long]],13,FALSE)</f>
        <v>0</v>
      </c>
      <c r="EL299" s="886" t="str">
        <f>VLOOKUP(WWWW[[#This Row],[Site Name]],SiteDB6[[Site Name]:[Pcode]],3,FALSE)</f>
        <v>MMR001CMP295</v>
      </c>
      <c r="EM299" s="891" t="str">
        <f t="shared" si="4"/>
        <v>Notcovered</v>
      </c>
      <c r="EN299" s="891"/>
      <c r="EO299" s="886">
        <f>VLOOKUP(WWWW[[#This Row],[Site Name]],SiteDB6[[Site Name]:[Pop
(Kachin/Shan-CCCM as of July 2021)]],16,FALSE)</f>
        <v>12</v>
      </c>
      <c r="EP299" s="886">
        <f>VLOOKUP(WWWW[[#This Row],[Site Name]],SiteDB6[[Site Name]:[Pop
(Kachin/Shan-CCCM as of July 2021)]],17,FALSE)</f>
        <v>59</v>
      </c>
    </row>
    <row r="300" spans="1:146" hidden="1">
      <c r="A300" s="884" t="s">
        <v>2764</v>
      </c>
      <c r="B300" s="884" t="s">
        <v>309</v>
      </c>
      <c r="C300" s="885" t="s">
        <v>309</v>
      </c>
      <c r="D300" s="885"/>
      <c r="E300" s="885" t="s">
        <v>37</v>
      </c>
      <c r="F300" s="885" t="s">
        <v>142</v>
      </c>
      <c r="G300" s="591" t="str">
        <f>VLOOKUP(WWWW[[#This Row],[Site Name]],SiteDB6[[Site Name]:[Location Type]],8,FALSE)</f>
        <v>Camp</v>
      </c>
      <c r="H300" s="885" t="s">
        <v>2774</v>
      </c>
      <c r="I300" s="887">
        <v>12</v>
      </c>
      <c r="J300" s="887">
        <v>80</v>
      </c>
      <c r="K300" s="888"/>
      <c r="L300" s="889"/>
      <c r="M300" s="887"/>
      <c r="N300" s="887"/>
      <c r="O300" s="887"/>
      <c r="P300" s="887"/>
      <c r="Q300" s="890"/>
      <c r="R300" s="887"/>
      <c r="S300" s="887"/>
      <c r="T300" s="448"/>
      <c r="U300" s="887"/>
      <c r="V300" s="887"/>
      <c r="W300" s="887"/>
      <c r="X300" s="887"/>
      <c r="Y300" s="887"/>
      <c r="Z300" s="887"/>
      <c r="AA300" s="887"/>
      <c r="AB300" s="887"/>
      <c r="AC300" s="887"/>
      <c r="AD300" s="887"/>
      <c r="AE300" s="887"/>
      <c r="AF300" s="887"/>
      <c r="AG300" s="887"/>
      <c r="AH300" s="887"/>
      <c r="AI300" s="887"/>
      <c r="AJ300" s="887"/>
      <c r="AK300" s="887"/>
      <c r="AL300" s="887"/>
      <c r="AM300" s="887"/>
      <c r="AN300" s="887"/>
      <c r="AO300" s="448"/>
      <c r="AP300" s="891"/>
      <c r="AQ300" s="887"/>
      <c r="AR300" s="887"/>
      <c r="AS300" s="892"/>
      <c r="AT300" s="887"/>
      <c r="AU300" s="887"/>
      <c r="AV300" s="887"/>
      <c r="AW300" s="887"/>
      <c r="AX300" s="887"/>
      <c r="AY300" s="886" t="s">
        <v>140</v>
      </c>
      <c r="AZ300" s="891" t="s">
        <v>140</v>
      </c>
      <c r="BA300" s="887"/>
      <c r="BB300" s="887"/>
      <c r="BC300" s="887"/>
      <c r="BD300" s="448"/>
      <c r="BE300" s="448"/>
      <c r="BF300" s="886"/>
      <c r="BG300" s="887">
        <v>7</v>
      </c>
      <c r="BH300" s="887"/>
      <c r="BI300" s="887"/>
      <c r="BJ300" s="887">
        <v>4</v>
      </c>
      <c r="BK300" s="887"/>
      <c r="BL300" s="887"/>
      <c r="BM300" s="887"/>
      <c r="BN300" s="887"/>
      <c r="BO300" s="887"/>
      <c r="BP300" s="886"/>
      <c r="BQ300" s="893"/>
      <c r="BR300" s="892"/>
      <c r="BS300" s="886"/>
      <c r="BT300" s="423"/>
      <c r="BU300" s="423"/>
      <c r="BV300" s="425"/>
      <c r="BW300" s="423"/>
      <c r="BX300" s="448"/>
      <c r="BY300" s="448"/>
      <c r="BZ300" s="448"/>
      <c r="CA300" s="448"/>
      <c r="CB300" s="448"/>
      <c r="CC300" s="777"/>
      <c r="CD300" s="448"/>
      <c r="CE300" s="894" t="str">
        <f>IFERROR(WWWW[[#This Row],['#_Water sources passed]]/WWWW[[#This Row],['#_Water sources tested for fecal coliform ]],"no test")</f>
        <v>no test</v>
      </c>
      <c r="CF300" s="892" t="str">
        <f>IFERROR(WWWW[[#This Row],['#_Household passed]]/WWWW[[#This Row],['#_Household water samples tested for fecal coliform]],"no test")</f>
        <v>no test</v>
      </c>
      <c r="CG300" s="893" t="str">
        <f>IF(AND(WWWW[[#This Row],[% of water sources passed]]="no test",WWWW[[#This Row],[% Household passed]]="no test"),"No Test","Tested")</f>
        <v>No Test</v>
      </c>
      <c r="CH300" s="893">
        <f>WWWW[[#This Row],['#_Constructed/existing protected hand dug well]]-WWWW[[#This Row],['#_Non-functional protected hand dug well]]</f>
        <v>0</v>
      </c>
      <c r="CI300" s="893">
        <f>(WWWW[[#This Row],['#_Constructed/Existing tube wells/boreholes/handpumps_WASH_agency]]+WWWW[[#This Row],['#_Non-Cluster partner water tube-wells/boreholes/handpumps]])-WWWW[[#This Row],['#_Non-functional tube wells/boreholes/handpumps]]</f>
        <v>0</v>
      </c>
      <c r="CJ300" s="893">
        <f>WWWW[[#This Row],['#_Constructed/Existingwater storage tank with gravity fed reticulation system]]-WWWW[[#This Row],['#_Non-functional storage tank gravity fed reticulation system]]</f>
        <v>0</v>
      </c>
      <c r="CK300" s="893">
        <f>(WWWW[[#This Row],['#_Water_Liters_supplied_by_Water boating or water trucking]]/90)/15</f>
        <v>0</v>
      </c>
      <c r="CL300" s="893">
        <f>WWWW[[#This Row],['#_Water_Liters_from_Constructed/Existing water distribution system from river or natural spring]]/90/15</f>
        <v>0</v>
      </c>
      <c r="CM300" s="424">
        <f>IF(WWWW[[#This Row],['#_of water points in TLS/CFS]]*500&gt;WWWW[[#This Row],[Total PoP ]],WWWW[[#This Row],[Total PoP ]],WWWW[[#This Row],['#_of water points in TLS/CFS]]*500)</f>
        <v>0</v>
      </c>
      <c r="CN300" s="424">
        <f>IF(WWWW[[#This Row],['#_of water points in THF]]*500&gt;WWWW[[#This Row],[Total PoP ]],WWWW[[#This Row],[Total PoP ]],WWWW[[#This Row],['#_of water points in THF]]*500)</f>
        <v>0</v>
      </c>
      <c r="CO30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0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00" s="892">
        <f>IF(WWWW[[#This Row],[Location Type 1]]="Village",WWWW[[#This Row],[Access to safe drinking water for Village]],WWWW[[#This Row],[Access to safe drinking water for Camp]])</f>
        <v>0</v>
      </c>
      <c r="CR300" s="890">
        <f>WWWW[[#This Row],[%Equitable and continuous access to sufficient quantity of safe drinking water]]*WWWW[[#This Row],[Total PoP ]]</f>
        <v>0</v>
      </c>
      <c r="CS300" s="892">
        <f>IF((WWWW[[#This Row],['#_Constructed/Existing protected/fenced ponds]]*250)/WWWW[[#This Row],[Total PoP ]]&gt;1,1,(WWWW[[#This Row],['#_Constructed/Existing protected/fenced ponds]]*250)/WWWW[[#This Row],[Total PoP ]])</f>
        <v>0</v>
      </c>
      <c r="CT300" s="890">
        <f>WWWW[[#This Row],[% Access to unimproved water points]]*WWWW[[#This Row],[Total PoP ]]</f>
        <v>0</v>
      </c>
      <c r="CU30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0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00" s="890">
        <f>WWWW[[#This Row],[HRP1]]/500</f>
        <v>0</v>
      </c>
      <c r="CX300" s="895">
        <f>1-WWWW[[#This Row],[% Equitable and continuous access to sufficient quantity of domestic water]]</f>
        <v>1</v>
      </c>
      <c r="CY300" s="890">
        <f>WWWW[[#This Row],[%equitable and continuous access to sufficient quantity of safe drinking and domestic water''s GAP]]*WWWW[[#This Row],[Total PoP ]]</f>
        <v>80</v>
      </c>
      <c r="CZ300" s="893">
        <f>IF(WWWW[[#This Row],[Total required water points]]-WWWW[[#This Row],['#Water points coverage]]&lt;0,0,WWWW[[#This Row],[Total required water points]]-WWWW[[#This Row],['#Water points coverage]])</f>
        <v>1</v>
      </c>
      <c r="DA300" s="893">
        <f>ROUND(IF(WWWW[[#This Row],[Total PoP ]]&lt;500,1,WWWW[[#This Row],[Total PoP ]]/500),0)</f>
        <v>1</v>
      </c>
      <c r="DB300" s="893">
        <f>(WWWW[[#This Row],['#_Constructed latrines_by_WASHAgencies]]+WWWW[[#This Row],['#_Non Cluster partner latrines]])-WWWW[[#This Row],['#_Non-functional latrines]]</f>
        <v>0</v>
      </c>
      <c r="DC300" s="631">
        <f>WWWW[[#This Row],[HRP2]]/WWWW[[#This Row],[Total PoP ]]</f>
        <v>0</v>
      </c>
      <c r="DD30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0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0" s="424">
        <f>IF(WWWW[[#This Row],['# of functional latrines in THF supported by WASH partners during the reporting period2]]="",0,WWWW[[#This Row],['# of functional latrines in THF supported by WASH partners during the reporting period2]]*50)</f>
        <v>0</v>
      </c>
      <c r="DH300" s="893">
        <f>ROUND(IF(WWWW[[#This Row],[Location Type 1]]="camp",WWWW[[#This Row],[Total PoP ]]/20,IF(WWWW[[#This Row],[Location Type 1]]="Temporary Location",WWWW[[#This Row],[Total PoP ]]/50,(WWWW[[#This Row],[Total PoP ]]/6))),0)</f>
        <v>4</v>
      </c>
      <c r="DI300" s="893">
        <f>IF(WWWW[[#This Row],[Total required Latrines]]-(WWWW[[#This Row],['#_Constructed latrines_by_WASHAgencies]]+WWWW[[#This Row],['#_Non Cluster partner latrines]])&lt;0,0,WWWW[[#This Row],[Total required Latrines]]-(WWWW[[#This Row],['#_Constructed latrines_by_WASHAgencies]]+WWWW[[#This Row],['#_Non Cluster partner latrines]]))</f>
        <v>4</v>
      </c>
      <c r="DJ300" s="895">
        <f>1-WWWW[[#This Row],[% people access to functioning Latrine]]</f>
        <v>1</v>
      </c>
      <c r="DK300" s="894">
        <f>IF(OR(WWWW[[#This Row],['#_Non-functional latrines]]="",WWWW[[#This Row],['#_Non-functional latrines]]=0),0,WWWW[[#This Row],['#_Non-functional latrines]]/(WWWW[[#This Row],['#_Constructed latrines_by_WASHAgencies]]+WWWW[[#This Row],['#_Non Cluster partner latrines]]))</f>
        <v>0</v>
      </c>
      <c r="DL300" s="890">
        <f>IF(500*(WWWW[[#This Row],['#_male hygiene promoters]]+WWWW[[#This Row],['#_female hygiene promoters]])&gt;WWWW[[#This Row],[Total PoP ]],WWWW[[#This Row],[Total PoP ]],500*(WWWW[[#This Row],['#_male hygiene promoters]]+WWWW[[#This Row],['#_female hygiene promoters]]))</f>
        <v>0</v>
      </c>
      <c r="DM30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0" s="893">
        <f>IF(WWWW[[#This Row],['# People with access to soap]]&gt;WWWW[[#This Row],['# People with access to Sanity Pads]],WWWW[[#This Row],['# People with access to soap]],WWWW[[#This Row],['# People with access to Sanity Pads]])</f>
        <v>0</v>
      </c>
      <c r="DP300"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00" s="895">
        <f>IF(WWWW[[#This Row],[HRP3]]/WWWW[[#This Row],[Total PoP ]]&gt;1,1,WWWW[[#This Row],[HRP3]]/WWWW[[#This Row],[Total PoP ]])</f>
        <v>0</v>
      </c>
      <c r="DR300" s="894">
        <f>1-WWWW[[#This Row],[Hygiene Coverage%]]</f>
        <v>1</v>
      </c>
      <c r="DS300" s="892">
        <f>WWWW[[#This Row],['# people reached by regular dedicated hygiene promotion_5]]/WWWW[[#This Row],[Total PoP ]]</f>
        <v>0</v>
      </c>
      <c r="DT30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0" s="893">
        <f>WWWW[[#This Row],['#_Constructed/Existing hand washing stations]]-WWWW[[#This Row],['#_Non-Functional_hand_washing_stations]]</f>
        <v>7</v>
      </c>
      <c r="DW300" s="890">
        <f>IF(WWWW[[#This Row],['# Functional hand washing stations during reporting period]]*20&gt;WWWW[[#This Row],[Total HH]],WWWW[[#This Row],[Total HH]],WWWW[[#This Row],['# Functional hand washing stations during reporting period]]*20)</f>
        <v>12</v>
      </c>
      <c r="DX300" s="890">
        <f>IF(WWWW[[#This Row],[Is sufficient soap available for TLS? (Yes/No)]]="yes",WWWW[[#This Row],['#_Constructed/Existing hand washing stations at TLS/CFS/THF]],0)</f>
        <v>0</v>
      </c>
      <c r="DY300" s="428">
        <f>IF(WWWW[[#This Row],['# Functional hand washing stations during reporting period]]*100&gt;WWWW[[#This Row],[Total PoP ]],WWWW[[#This Row],[Total PoP ]],WWWW[[#This Row],['# Functional hand washing stations during reporting period]]*100)</f>
        <v>80</v>
      </c>
      <c r="DZ300" s="428" t="str">
        <f>IF(OR(WWWW[[#This Row],['#_students at TLS_CFS]]="",WWWW[[#This Row],['#_students at TLS_CFS]]=0),"No","Yes")</f>
        <v>No</v>
      </c>
      <c r="EA30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0" s="886" t="str">
        <f>VLOOKUP(WWWW[[#This Row],[Site Name]],SiteDB6[[Site Name]:[CCCM Management]],6,FALSE)</f>
        <v>Yes</v>
      </c>
      <c r="EF300" s="886" t="str">
        <f>VLOOKUP(WWWW[[#This Row],[Site Name]],SiteDB6[[Site Name]:[CCCM Focal Agency]],7,FALSE)</f>
        <v>Shalom</v>
      </c>
      <c r="EG300" s="886" t="str">
        <f>VLOOKUP(WWWW[[#This Row],[Site Name]],SiteDB6[[Site Name]:[Location Type 1]],9,FALSE)</f>
        <v>Camp</v>
      </c>
      <c r="EH300" s="886" t="str">
        <f>VLOOKUP(WWWW[[#This Row],[Site Name]],SiteDB6[[Site Name]:[Type of Accommodation]],10,FALSE)</f>
        <v>Camp like setting</v>
      </c>
      <c r="EI300" s="886" t="str">
        <f>VLOOKUP(WWWW[[#This Row],[Site Name]],SiteDB6[[Site Name]:[Ethnic or GCA/NGCA]],11,FALSE)</f>
        <v>GCA</v>
      </c>
      <c r="EJ300" s="886">
        <f>VLOOKUP(WWWW[[#This Row],[Site Name]],SiteDB6[[Site Name]:[Lat]],12,FALSE)</f>
        <v>25.221299999999999</v>
      </c>
      <c r="EK300" s="886">
        <f>VLOOKUP(WWWW[[#This Row],[Site Name]],SiteDB6[[Site Name]:[Long]],13,FALSE)</f>
        <v>97.255300000000005</v>
      </c>
      <c r="EL300" s="886" t="str">
        <f>VLOOKUP(WWWW[[#This Row],[Site Name]],SiteDB6[[Site Name]:[Pcode]],3,FALSE)</f>
        <v>MMR001CMP286</v>
      </c>
      <c r="EM300" s="891" t="str">
        <f t="shared" si="4"/>
        <v>Notcovered</v>
      </c>
      <c r="EN300" s="891"/>
      <c r="EO300" s="886">
        <f>VLOOKUP(WWWW[[#This Row],[Site Name]],SiteDB6[[Site Name]:[Pop
(Kachin/Shan-CCCM as of July 2021)]],16,FALSE)</f>
        <v>12</v>
      </c>
      <c r="EP300" s="886">
        <f>VLOOKUP(WWWW[[#This Row],[Site Name]],SiteDB6[[Site Name]:[Pop
(Kachin/Shan-CCCM as of July 2021)]],17,FALSE)</f>
        <v>80</v>
      </c>
    </row>
    <row r="301" spans="1:146" hidden="1">
      <c r="A301" s="884" t="s">
        <v>2764</v>
      </c>
      <c r="B301" s="884" t="s">
        <v>242</v>
      </c>
      <c r="C301" s="885" t="s">
        <v>242</v>
      </c>
      <c r="D301" s="885" t="s">
        <v>299</v>
      </c>
      <c r="E301" s="885" t="s">
        <v>37</v>
      </c>
      <c r="F301" s="885" t="s">
        <v>142</v>
      </c>
      <c r="G301" s="591" t="str">
        <f>VLOOKUP(WWWW[[#This Row],[Site Name]],SiteDB6[[Site Name]:[Location Type]],8,FALSE)</f>
        <v>Camp</v>
      </c>
      <c r="H301" s="885" t="s">
        <v>270</v>
      </c>
      <c r="I301" s="887">
        <v>19</v>
      </c>
      <c r="J301" s="887">
        <v>85</v>
      </c>
      <c r="K301" s="888">
        <v>44562</v>
      </c>
      <c r="L301" s="889">
        <v>44926</v>
      </c>
      <c r="M301" s="887"/>
      <c r="N301" s="887">
        <v>1</v>
      </c>
      <c r="O301" s="887"/>
      <c r="P301" s="887"/>
      <c r="Q301" s="890" t="s">
        <v>41</v>
      </c>
      <c r="R301" s="887"/>
      <c r="S301" s="887">
        <v>5</v>
      </c>
      <c r="T301" s="448">
        <v>1</v>
      </c>
      <c r="U301" s="887"/>
      <c r="V301" s="887"/>
      <c r="W301" s="887">
        <v>1</v>
      </c>
      <c r="X301" s="887">
        <v>1</v>
      </c>
      <c r="Y301" s="887"/>
      <c r="Z301" s="887"/>
      <c r="AA301" s="887"/>
      <c r="AB301" s="887"/>
      <c r="AC301" s="887"/>
      <c r="AD301" s="887"/>
      <c r="AE301" s="887"/>
      <c r="AF301" s="887"/>
      <c r="AG301" s="887"/>
      <c r="AH301" s="887"/>
      <c r="AI301" s="887"/>
      <c r="AJ301" s="887"/>
      <c r="AK301" s="887"/>
      <c r="AL301" s="887"/>
      <c r="AM301" s="887">
        <v>2</v>
      </c>
      <c r="AN301" s="887"/>
      <c r="AO301" s="448"/>
      <c r="AP301" s="891" t="s">
        <v>3071</v>
      </c>
      <c r="AQ301" s="887">
        <v>4</v>
      </c>
      <c r="AR301" s="887"/>
      <c r="AS301" s="892"/>
      <c r="AT301" s="887"/>
      <c r="AU301" s="887"/>
      <c r="AV301" s="887"/>
      <c r="AW301" s="887"/>
      <c r="AX301" s="887"/>
      <c r="AY301" s="886" t="s">
        <v>41</v>
      </c>
      <c r="AZ301" s="891" t="s">
        <v>137</v>
      </c>
      <c r="BA301" s="887"/>
      <c r="BB301" s="887"/>
      <c r="BC301" s="887"/>
      <c r="BD301" s="448"/>
      <c r="BE301" s="448"/>
      <c r="BF301" s="886"/>
      <c r="BG301" s="887">
        <v>2</v>
      </c>
      <c r="BH301" s="887"/>
      <c r="BI301" s="887"/>
      <c r="BJ301" s="887">
        <v>2</v>
      </c>
      <c r="BK301" s="887"/>
      <c r="BL301" s="887"/>
      <c r="BM301" s="887"/>
      <c r="BN301" s="887">
        <v>19</v>
      </c>
      <c r="BO301" s="887"/>
      <c r="BP301" s="886" t="s">
        <v>41</v>
      </c>
      <c r="BQ301" s="893"/>
      <c r="BR301" s="892">
        <v>0.7</v>
      </c>
      <c r="BS301" s="886"/>
      <c r="BT301" s="423">
        <v>0.8</v>
      </c>
      <c r="BU301" s="423">
        <v>0.7</v>
      </c>
      <c r="BV301" s="425">
        <v>4</v>
      </c>
      <c r="BW301" s="423">
        <v>0.9</v>
      </c>
      <c r="BX301" s="448"/>
      <c r="BY301" s="448"/>
      <c r="BZ301" s="448"/>
      <c r="CA301" s="448"/>
      <c r="CB301" s="448"/>
      <c r="CC301" s="777"/>
      <c r="CD301" s="448"/>
      <c r="CE301" s="894" t="str">
        <f>IFERROR(WWWW[[#This Row],['#_Water sources passed]]/WWWW[[#This Row],['#_Water sources tested for fecal coliform ]],"no test")</f>
        <v>no test</v>
      </c>
      <c r="CF301" s="892" t="str">
        <f>IFERROR(WWWW[[#This Row],['#_Household passed]]/WWWW[[#This Row],['#_Household water samples tested for fecal coliform]],"no test")</f>
        <v>no test</v>
      </c>
      <c r="CG301" s="893" t="str">
        <f>IF(AND(WWWW[[#This Row],[% of water sources passed]]="no test",WWWW[[#This Row],[% Household passed]]="no test"),"No Test","Tested")</f>
        <v>No Test</v>
      </c>
      <c r="CH301" s="893">
        <f>WWWW[[#This Row],['#_Constructed/existing protected hand dug well]]-WWWW[[#This Row],['#_Non-functional protected hand dug well]]</f>
        <v>1</v>
      </c>
      <c r="CI301" s="893">
        <f>(WWWW[[#This Row],['#_Constructed/Existing tube wells/boreholes/handpumps_WASH_agency]]+WWWW[[#This Row],['#_Non-Cluster partner water tube-wells/boreholes/handpumps]])-WWWW[[#This Row],['#_Non-functional tube wells/boreholes/handpumps]]</f>
        <v>2</v>
      </c>
      <c r="CJ301" s="893">
        <f>WWWW[[#This Row],['#_Constructed/Existingwater storage tank with gravity fed reticulation system]]-WWWW[[#This Row],['#_Non-functional storage tank gravity fed reticulation system]]</f>
        <v>0</v>
      </c>
      <c r="CK301" s="893">
        <f>(WWWW[[#This Row],['#_Water_Liters_supplied_by_Water boating or water trucking]]/90)/15</f>
        <v>0</v>
      </c>
      <c r="CL301" s="893">
        <f>WWWW[[#This Row],['#_Water_Liters_from_Constructed/Existing water distribution system from river or natural spring]]/90/15</f>
        <v>0</v>
      </c>
      <c r="CM301" s="424">
        <f>IF(WWWW[[#This Row],['#_of water points in TLS/CFS]]*500&gt;WWWW[[#This Row],[Total PoP ]],WWWW[[#This Row],[Total PoP ]],WWWW[[#This Row],['#_of water points in TLS/CFS]]*500)</f>
        <v>0</v>
      </c>
      <c r="CN301" s="424">
        <f>IF(WWWW[[#This Row],['#_of water points in THF]]*500&gt;WWWW[[#This Row],[Total PoP ]],WWWW[[#This Row],[Total PoP ]],WWWW[[#This Row],['#_of water points in THF]]*500)</f>
        <v>0</v>
      </c>
      <c r="CO30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1" s="892">
        <f>IF(WWWW[[#This Row],[Location Type 1]]="Village",WWWW[[#This Row],[Access to safe drinking water for Village]],WWWW[[#This Row],[Access to safe drinking water for Camp]])</f>
        <v>1</v>
      </c>
      <c r="CR301" s="890">
        <f>WWWW[[#This Row],[%Equitable and continuous access to sufficient quantity of safe drinking water]]*WWWW[[#This Row],[Total PoP ]]</f>
        <v>85</v>
      </c>
      <c r="CS301" s="892">
        <f>IF((WWWW[[#This Row],['#_Constructed/Existing protected/fenced ponds]]*250)/WWWW[[#This Row],[Total PoP ]]&gt;1,1,(WWWW[[#This Row],['#_Constructed/Existing protected/fenced ponds]]*250)/WWWW[[#This Row],[Total PoP ]])</f>
        <v>0</v>
      </c>
      <c r="CT301" s="890">
        <f>WWWW[[#This Row],[% Access to unimproved water points]]*WWWW[[#This Row],[Total PoP ]]</f>
        <v>0</v>
      </c>
      <c r="CU30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v>
      </c>
      <c r="CW301" s="890">
        <f>WWWW[[#This Row],[HRP1]]/500</f>
        <v>0.17</v>
      </c>
      <c r="CX301" s="895">
        <f>1-WWWW[[#This Row],[% Equitable and continuous access to sufficient quantity of domestic water]]</f>
        <v>0</v>
      </c>
      <c r="CY301" s="890">
        <f>WWWW[[#This Row],[%equitable and continuous access to sufficient quantity of safe drinking and domestic water''s GAP]]*WWWW[[#This Row],[Total PoP ]]</f>
        <v>0</v>
      </c>
      <c r="CZ301" s="893">
        <f>IF(WWWW[[#This Row],[Total required water points]]-WWWW[[#This Row],['#Water points coverage]]&lt;0,0,WWWW[[#This Row],[Total required water points]]-WWWW[[#This Row],['#Water points coverage]])</f>
        <v>0.83</v>
      </c>
      <c r="DA301" s="893">
        <f>ROUND(IF(WWWW[[#This Row],[Total PoP ]]&lt;500,1,WWWW[[#This Row],[Total PoP ]]/500),0)</f>
        <v>1</v>
      </c>
      <c r="DB301" s="893">
        <f>(WWWW[[#This Row],['#_Constructed latrines_by_WASHAgencies]]+WWWW[[#This Row],['#_Non Cluster partner latrines]])-WWWW[[#This Row],['#_Non-functional latrines]]</f>
        <v>4</v>
      </c>
      <c r="DC301" s="631">
        <f>WWWW[[#This Row],[HRP2]]/WWWW[[#This Row],[Total PoP ]]</f>
        <v>0.94117647058823528</v>
      </c>
      <c r="DD30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30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1" s="424">
        <f>IF(WWWW[[#This Row],['# of functional latrines in THF supported by WASH partners during the reporting period2]]="",0,WWWW[[#This Row],['# of functional latrines in THF supported by WASH partners during the reporting period2]]*50)</f>
        <v>0</v>
      </c>
      <c r="DH301" s="893">
        <f>ROUND(IF(WWWW[[#This Row],[Location Type 1]]="camp",WWWW[[#This Row],[Total PoP ]]/20,IF(WWWW[[#This Row],[Location Type 1]]="Temporary Location",WWWW[[#This Row],[Total PoP ]]/50,(WWWW[[#This Row],[Total PoP ]]/6))),0)</f>
        <v>4</v>
      </c>
      <c r="DI301" s="893">
        <f>IF(WWWW[[#This Row],[Total required Latrines]]-(WWWW[[#This Row],['#_Constructed latrines_by_WASHAgencies]]+WWWW[[#This Row],['#_Non Cluster partner latrines]])&lt;0,0,WWWW[[#This Row],[Total required Latrines]]-(WWWW[[#This Row],['#_Constructed latrines_by_WASHAgencies]]+WWWW[[#This Row],['#_Non Cluster partner latrines]]))</f>
        <v>0</v>
      </c>
      <c r="DJ301" s="895">
        <f>1-WWWW[[#This Row],[% people access to functioning Latrine]]</f>
        <v>5.8823529411764719E-2</v>
      </c>
      <c r="DK301" s="894">
        <f>IF(OR(WWWW[[#This Row],['#_Non-functional latrines]]="",WWWW[[#This Row],['#_Non-functional latrines]]=0),0,WWWW[[#This Row],['#_Non-functional latrines]]/(WWWW[[#This Row],['#_Constructed latrines_by_WASHAgencies]]+WWWW[[#This Row],['#_Non Cluster partner latrines]]))</f>
        <v>0</v>
      </c>
      <c r="DL301" s="890">
        <f>IF(500*(WWWW[[#This Row],['#_male hygiene promoters]]+WWWW[[#This Row],['#_female hygiene promoters]])&gt;WWWW[[#This Row],[Total PoP ]],WWWW[[#This Row],[Total PoP ]],500*(WWWW[[#This Row],['#_male hygiene promoters]]+WWWW[[#This Row],['#_female hygiene promoters]]))</f>
        <v>0</v>
      </c>
      <c r="DM30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v>
      </c>
      <c r="DN30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1" s="893">
        <f>IF(WWWW[[#This Row],['# People with access to soap]]&gt;WWWW[[#This Row],['# People with access to Sanity Pads]],WWWW[[#This Row],['# People with access to soap]],WWWW[[#This Row],['# People with access to Sanity Pads]])</f>
        <v>85</v>
      </c>
      <c r="DP301" s="893">
        <f>IF(WWWW[[#This Row],['# people reached by regular dedicated hygiene promotion_5]]&gt;WWWW[[#This Row],['# People received regular supply of hygiene items_6]],WWWW[[#This Row],['# people reached by regular dedicated hygiene promotion_5]],WWWW[[#This Row],['# People received regular supply of hygiene items_6]])</f>
        <v>85</v>
      </c>
      <c r="DQ301" s="895">
        <f>IF(WWWW[[#This Row],[HRP3]]/WWWW[[#This Row],[Total PoP ]]&gt;1,1,WWWW[[#This Row],[HRP3]]/WWWW[[#This Row],[Total PoP ]])</f>
        <v>1</v>
      </c>
      <c r="DR301" s="894">
        <f>1-WWWW[[#This Row],[Hygiene Coverage%]]</f>
        <v>0</v>
      </c>
      <c r="DS301" s="892">
        <f>WWWW[[#This Row],['# people reached by regular dedicated hygiene promotion_5]]/WWWW[[#This Row],[Total PoP ]]</f>
        <v>0</v>
      </c>
      <c r="DT30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0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1" s="893">
        <f>WWWW[[#This Row],['#_Constructed/Existing hand washing stations]]-WWWW[[#This Row],['#_Non-Functional_hand_washing_stations]]</f>
        <v>2</v>
      </c>
      <c r="DW301" s="890">
        <f>IF(WWWW[[#This Row],['# Functional hand washing stations during reporting period]]*20&gt;WWWW[[#This Row],[Total HH]],WWWW[[#This Row],[Total HH]],WWWW[[#This Row],['# Functional hand washing stations during reporting period]]*20)</f>
        <v>19</v>
      </c>
      <c r="DX301" s="890">
        <f>IF(WWWW[[#This Row],[Is sufficient soap available for TLS? (Yes/No)]]="yes",WWWW[[#This Row],['#_Constructed/Existing hand washing stations at TLS/CFS/THF]],0)</f>
        <v>2</v>
      </c>
      <c r="DY301" s="428">
        <f>IF(WWWW[[#This Row],['# Functional hand washing stations during reporting period]]*100&gt;WWWW[[#This Row],[Total PoP ]],WWWW[[#This Row],[Total PoP ]],WWWW[[#This Row],['# Functional hand washing stations during reporting period]]*100)</f>
        <v>85</v>
      </c>
      <c r="DZ301" s="428" t="str">
        <f>IF(OR(WWWW[[#This Row],['#_students at TLS_CFS]]="",WWWW[[#This Row],['#_students at TLS_CFS]]=0),"No","Yes")</f>
        <v>No</v>
      </c>
      <c r="EA301" s="631">
        <f>IF(WWWW[[#This Row],['#_of_affected_people_surveyed_who_report_feeling_informed_about_the_different_WASH_services_available_to_them]]="","",WWWW[[#This Row],['#_of_affected_people_surveyed_who_report_feeling_informed_about_the_different_WASH_services_available_to_them]]/WWWW[[#This Row],[Total PoP ]])</f>
        <v>4.7058823529411764E-2</v>
      </c>
      <c r="EB30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1" s="886" t="str">
        <f>VLOOKUP(WWWW[[#This Row],[Site Name]],SiteDB6[[Site Name]:[CCCM Management]],6,FALSE)</f>
        <v>Yes</v>
      </c>
      <c r="EF301" s="886" t="str">
        <f>VLOOKUP(WWWW[[#This Row],[Site Name]],SiteDB6[[Site Name]:[CCCM Focal Agency]],7,FALSE)</f>
        <v>Shalom</v>
      </c>
      <c r="EG301" s="886" t="str">
        <f>VLOOKUP(WWWW[[#This Row],[Site Name]],SiteDB6[[Site Name]:[Location Type 1]],9,FALSE)</f>
        <v>Camp</v>
      </c>
      <c r="EH301" s="886" t="str">
        <f>VLOOKUP(WWWW[[#This Row],[Site Name]],SiteDB6[[Site Name]:[Type of Accommodation]],10,FALSE)</f>
        <v>Camp</v>
      </c>
      <c r="EI301" s="886" t="str">
        <f>VLOOKUP(WWWW[[#This Row],[Site Name]],SiteDB6[[Site Name]:[Ethnic or GCA/NGCA]],11,FALSE)</f>
        <v>GCA</v>
      </c>
      <c r="EJ301" s="886">
        <f>VLOOKUP(WWWW[[#This Row],[Site Name]],SiteDB6[[Site Name]:[Lat]],12,FALSE)</f>
        <v>25.351965</v>
      </c>
      <c r="EK301" s="886">
        <f>VLOOKUP(WWWW[[#This Row],[Site Name]],SiteDB6[[Site Name]:[Long]],13,FALSE)</f>
        <v>97.345039</v>
      </c>
      <c r="EL301" s="886" t="str">
        <f>VLOOKUP(WWWW[[#This Row],[Site Name]],SiteDB6[[Site Name]:[Pcode]],3,FALSE)</f>
        <v>MMR001CMP033</v>
      </c>
      <c r="EM301" s="891" t="str">
        <f t="shared" si="4"/>
        <v>Covered</v>
      </c>
      <c r="EN301" s="891"/>
      <c r="EO301" s="886">
        <f>VLOOKUP(WWWW[[#This Row],[Site Name]],SiteDB6[[Site Name]:[Pop
(Kachin/Shan-CCCM as of July 2021)]],16,FALSE)</f>
        <v>19</v>
      </c>
      <c r="EP301" s="886">
        <f>VLOOKUP(WWWW[[#This Row],[Site Name]],SiteDB6[[Site Name]:[Pop
(Kachin/Shan-CCCM as of July 2021)]],17,FALSE)</f>
        <v>85</v>
      </c>
    </row>
    <row r="302" spans="1:146" hidden="1">
      <c r="A302" s="884" t="s">
        <v>2764</v>
      </c>
      <c r="B302" s="884" t="s">
        <v>919</v>
      </c>
      <c r="C302" s="885" t="s">
        <v>141</v>
      </c>
      <c r="D302" s="885" t="s">
        <v>3076</v>
      </c>
      <c r="E302" s="885" t="s">
        <v>37</v>
      </c>
      <c r="F302" s="885" t="s">
        <v>157</v>
      </c>
      <c r="G302" s="591" t="str">
        <f>VLOOKUP(WWWW[[#This Row],[Site Name]],SiteDB6[[Site Name]:[Location Type]],8,FALSE)</f>
        <v>Camp</v>
      </c>
      <c r="H302" s="885" t="s">
        <v>158</v>
      </c>
      <c r="I302" s="448">
        <v>27</v>
      </c>
      <c r="J302" s="448">
        <v>130</v>
      </c>
      <c r="K302" s="588">
        <v>44682</v>
      </c>
      <c r="L302" s="589">
        <v>44865</v>
      </c>
      <c r="M302" s="887"/>
      <c r="N302" s="887"/>
      <c r="O302" s="887"/>
      <c r="P302" s="887"/>
      <c r="Q302" s="890" t="s">
        <v>41</v>
      </c>
      <c r="R302" s="448">
        <v>2</v>
      </c>
      <c r="S302" s="448">
        <v>2</v>
      </c>
      <c r="T302" s="448">
        <v>2</v>
      </c>
      <c r="U302" s="887"/>
      <c r="V302" s="887"/>
      <c r="W302" s="887">
        <v>1</v>
      </c>
      <c r="X302" s="887"/>
      <c r="Y302" s="887"/>
      <c r="Z302" s="887"/>
      <c r="AA302" s="887"/>
      <c r="AB302" s="887"/>
      <c r="AC302" s="887"/>
      <c r="AD302" s="887"/>
      <c r="AE302" s="887"/>
      <c r="AF302" s="887"/>
      <c r="AG302" s="887"/>
      <c r="AH302" s="887"/>
      <c r="AI302" s="887"/>
      <c r="AJ302" s="887"/>
      <c r="AK302" s="887"/>
      <c r="AL302" s="887"/>
      <c r="AM302" s="887"/>
      <c r="AN302" s="887"/>
      <c r="AO302" s="448"/>
      <c r="AP302" s="891"/>
      <c r="AQ302" s="887">
        <v>5</v>
      </c>
      <c r="AR302" s="887"/>
      <c r="AS302" s="892"/>
      <c r="AT302" s="887">
        <v>5</v>
      </c>
      <c r="AU302" s="887"/>
      <c r="AV302" s="887"/>
      <c r="AW302" s="887"/>
      <c r="AX302" s="887"/>
      <c r="AY302" s="886" t="s">
        <v>41</v>
      </c>
      <c r="AZ302" s="891" t="s">
        <v>904</v>
      </c>
      <c r="BA302" s="887"/>
      <c r="BB302" s="887"/>
      <c r="BC302" s="887"/>
      <c r="BD302" s="448"/>
      <c r="BE302" s="448"/>
      <c r="BF302" s="886"/>
      <c r="BG302" s="887">
        <v>4</v>
      </c>
      <c r="BH302" s="887"/>
      <c r="BI302" s="887"/>
      <c r="BJ302" s="887">
        <v>2</v>
      </c>
      <c r="BK302" s="887">
        <v>1</v>
      </c>
      <c r="BL302" s="887"/>
      <c r="BM302" s="887"/>
      <c r="BN302" s="887"/>
      <c r="BO302" s="887"/>
      <c r="BP302" s="886"/>
      <c r="BQ302" s="893"/>
      <c r="BR302" s="892"/>
      <c r="BS302" s="886"/>
      <c r="BT302" s="423"/>
      <c r="BU302" s="423"/>
      <c r="BV302" s="425"/>
      <c r="BW302" s="423"/>
      <c r="BX302" s="448"/>
      <c r="BY302" s="448"/>
      <c r="BZ302" s="448"/>
      <c r="CA302" s="448"/>
      <c r="CB302" s="448"/>
      <c r="CC302" s="777"/>
      <c r="CD302" s="448"/>
      <c r="CE302" s="894" t="str">
        <f>IFERROR(WWWW[[#This Row],['#_Water sources passed]]/WWWW[[#This Row],['#_Water sources tested for fecal coliform ]],"no test")</f>
        <v>no test</v>
      </c>
      <c r="CF302" s="892" t="str">
        <f>IFERROR(WWWW[[#This Row],['#_Household passed]]/WWWW[[#This Row],['#_Household water samples tested for fecal coliform]],"no test")</f>
        <v>no test</v>
      </c>
      <c r="CG302" s="893" t="str">
        <f>IF(AND(WWWW[[#This Row],[% of water sources passed]]="no test",WWWW[[#This Row],[% Household passed]]="no test"),"No Test","Tested")</f>
        <v>No Test</v>
      </c>
      <c r="CH302" s="893">
        <f>WWWW[[#This Row],['#_Constructed/existing protected hand dug well]]-WWWW[[#This Row],['#_Non-functional protected hand dug well]]</f>
        <v>2</v>
      </c>
      <c r="CI302" s="893">
        <f>(WWWW[[#This Row],['#_Constructed/Existing tube wells/boreholes/handpumps_WASH_agency]]+WWWW[[#This Row],['#_Non-Cluster partner water tube-wells/boreholes/handpumps]])-WWWW[[#This Row],['#_Non-functional tube wells/boreholes/handpumps]]</f>
        <v>1</v>
      </c>
      <c r="CJ302" s="893">
        <f>WWWW[[#This Row],['#_Constructed/Existingwater storage tank with gravity fed reticulation system]]-WWWW[[#This Row],['#_Non-functional storage tank gravity fed reticulation system]]</f>
        <v>0</v>
      </c>
      <c r="CK302" s="893">
        <f>(WWWW[[#This Row],['#_Water_Liters_supplied_by_Water boating or water trucking]]/90)/15</f>
        <v>0</v>
      </c>
      <c r="CL302" s="893">
        <f>WWWW[[#This Row],['#_Water_Liters_from_Constructed/Existing water distribution system from river or natural spring]]/90/15</f>
        <v>0</v>
      </c>
      <c r="CM302" s="424">
        <f>IF(WWWW[[#This Row],['#_of water points in TLS/CFS]]*500&gt;WWWW[[#This Row],[Total PoP ]],WWWW[[#This Row],[Total PoP ]],WWWW[[#This Row],['#_of water points in TLS/CFS]]*500)</f>
        <v>0</v>
      </c>
      <c r="CN302" s="424">
        <f>IF(WWWW[[#This Row],['#_of water points in THF]]*500&gt;WWWW[[#This Row],[Total PoP ]],WWWW[[#This Row],[Total PoP ]],WWWW[[#This Row],['#_of water points in THF]]*500)</f>
        <v>0</v>
      </c>
      <c r="CO30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2" s="892">
        <f>IF(WWWW[[#This Row],[Location Type 1]]="Village",WWWW[[#This Row],[Access to safe drinking water for Village]],WWWW[[#This Row],[Access to safe drinking water for Camp]])</f>
        <v>1</v>
      </c>
      <c r="CR302" s="890">
        <f>WWWW[[#This Row],[%Equitable and continuous access to sufficient quantity of safe drinking water]]*WWWW[[#This Row],[Total PoP ]]</f>
        <v>130</v>
      </c>
      <c r="CS302" s="892">
        <f>IF((WWWW[[#This Row],['#_Constructed/Existing protected/fenced ponds]]*250)/WWWW[[#This Row],[Total PoP ]]&gt;1,1,(WWWW[[#This Row],['#_Constructed/Existing protected/fenced ponds]]*250)/WWWW[[#This Row],[Total PoP ]])</f>
        <v>0</v>
      </c>
      <c r="CT302" s="890">
        <f>WWWW[[#This Row],[% Access to unimproved water points]]*WWWW[[#This Row],[Total PoP ]]</f>
        <v>0</v>
      </c>
      <c r="CU30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W302" s="890">
        <f>WWWW[[#This Row],[HRP1]]/500</f>
        <v>0.26</v>
      </c>
      <c r="CX302" s="895">
        <f>1-WWWW[[#This Row],[% Equitable and continuous access to sufficient quantity of domestic water]]</f>
        <v>0</v>
      </c>
      <c r="CY302" s="890">
        <f>WWWW[[#This Row],[%equitable and continuous access to sufficient quantity of safe drinking and domestic water''s GAP]]*WWWW[[#This Row],[Total PoP ]]</f>
        <v>0</v>
      </c>
      <c r="CZ302" s="893">
        <f>IF(WWWW[[#This Row],[Total required water points]]-WWWW[[#This Row],['#Water points coverage]]&lt;0,0,WWWW[[#This Row],[Total required water points]]-WWWW[[#This Row],['#Water points coverage]])</f>
        <v>0.74</v>
      </c>
      <c r="DA302" s="893">
        <f>ROUND(IF(WWWW[[#This Row],[Total PoP ]]&lt;500,1,WWWW[[#This Row],[Total PoP ]]/500),0)</f>
        <v>1</v>
      </c>
      <c r="DB302" s="893">
        <f>(WWWW[[#This Row],['#_Constructed latrines_by_WASHAgencies]]+WWWW[[#This Row],['#_Non Cluster partner latrines]])-WWWW[[#This Row],['#_Non-functional latrines]]</f>
        <v>0</v>
      </c>
      <c r="DC302" s="631">
        <f>WWWW[[#This Row],[HRP2]]/WWWW[[#This Row],[Total PoP ]]</f>
        <v>0</v>
      </c>
      <c r="DD30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0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2" s="424">
        <f>IF(WWWW[[#This Row],['# of functional latrines in THF supported by WASH partners during the reporting period2]]="",0,WWWW[[#This Row],['# of functional latrines in THF supported by WASH partners during the reporting period2]]*50)</f>
        <v>0</v>
      </c>
      <c r="DH302" s="893">
        <f>ROUND(IF(WWWW[[#This Row],[Location Type 1]]="camp",WWWW[[#This Row],[Total PoP ]]/20,IF(WWWW[[#This Row],[Location Type 1]]="Temporary Location",WWWW[[#This Row],[Total PoP ]]/50,(WWWW[[#This Row],[Total PoP ]]/6))),0)</f>
        <v>7</v>
      </c>
      <c r="DI302" s="893">
        <f>IF(WWWW[[#This Row],[Total required Latrines]]-(WWWW[[#This Row],['#_Constructed latrines_by_WASHAgencies]]+WWWW[[#This Row],['#_Non Cluster partner latrines]])&lt;0,0,WWWW[[#This Row],[Total required Latrines]]-(WWWW[[#This Row],['#_Constructed latrines_by_WASHAgencies]]+WWWW[[#This Row],['#_Non Cluster partner latrines]]))</f>
        <v>2</v>
      </c>
      <c r="DJ302" s="895">
        <f>1-WWWW[[#This Row],[% people access to functioning Latrine]]</f>
        <v>1</v>
      </c>
      <c r="DK302" s="894">
        <f>IF(OR(WWWW[[#This Row],['#_Non-functional latrines]]="",WWWW[[#This Row],['#_Non-functional latrines]]=0),0,WWWW[[#This Row],['#_Non-functional latrines]]/(WWWW[[#This Row],['#_Constructed latrines_by_WASHAgencies]]+WWWW[[#This Row],['#_Non Cluster partner latrines]]))</f>
        <v>1</v>
      </c>
      <c r="DL302" s="890">
        <f>IF(500*(WWWW[[#This Row],['#_male hygiene promoters]]+WWWW[[#This Row],['#_female hygiene promoters]])&gt;WWWW[[#This Row],[Total PoP ]],WWWW[[#This Row],[Total PoP ]],500*(WWWW[[#This Row],['#_male hygiene promoters]]+WWWW[[#This Row],['#_female hygiene promoters]]))</f>
        <v>0</v>
      </c>
      <c r="DM30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2" s="893">
        <f>IF(WWWW[[#This Row],['# People with access to soap]]&gt;WWWW[[#This Row],['# People with access to Sanity Pads]],WWWW[[#This Row],['# People with access to soap]],WWWW[[#This Row],['# People with access to Sanity Pads]])</f>
        <v>0</v>
      </c>
      <c r="DP302"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02" s="895">
        <f>IF(WWWW[[#This Row],[HRP3]]/WWWW[[#This Row],[Total PoP ]]&gt;1,1,WWWW[[#This Row],[HRP3]]/WWWW[[#This Row],[Total PoP ]])</f>
        <v>0</v>
      </c>
      <c r="DR302" s="894">
        <f>1-WWWW[[#This Row],[Hygiene Coverage%]]</f>
        <v>1</v>
      </c>
      <c r="DS302" s="892">
        <f>WWWW[[#This Row],['# people reached by regular dedicated hygiene promotion_5]]/WWWW[[#This Row],[Total PoP ]]</f>
        <v>0</v>
      </c>
      <c r="DT30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2" s="893">
        <f>WWWW[[#This Row],['#_Constructed/Existing hand washing stations]]-WWWW[[#This Row],['#_Non-Functional_hand_washing_stations]]</f>
        <v>4</v>
      </c>
      <c r="DW302" s="890">
        <f>IF(WWWW[[#This Row],['# Functional hand washing stations during reporting period]]*20&gt;WWWW[[#This Row],[Total HH]],WWWW[[#This Row],[Total HH]],WWWW[[#This Row],['# Functional hand washing stations during reporting period]]*20)</f>
        <v>27</v>
      </c>
      <c r="DX302" s="890">
        <f>IF(WWWW[[#This Row],[Is sufficient soap available for TLS? (Yes/No)]]="yes",WWWW[[#This Row],['#_Constructed/Existing hand washing stations at TLS/CFS/THF]],0)</f>
        <v>0</v>
      </c>
      <c r="DY302" s="428">
        <f>IF(WWWW[[#This Row],['# Functional hand washing stations during reporting period]]*100&gt;WWWW[[#This Row],[Total PoP ]],WWWW[[#This Row],[Total PoP ]],WWWW[[#This Row],['# Functional hand washing stations during reporting period]]*100)</f>
        <v>130</v>
      </c>
      <c r="DZ302" s="428" t="str">
        <f>IF(OR(WWWW[[#This Row],['#_students at TLS_CFS]]="",WWWW[[#This Row],['#_students at TLS_CFS]]=0),"No","Yes")</f>
        <v>No</v>
      </c>
      <c r="EA30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2" s="886" t="str">
        <f>VLOOKUP(WWWW[[#This Row],[Site Name]],SiteDB6[[Site Name]:[CCCM Management]],6,FALSE)</f>
        <v>Yes</v>
      </c>
      <c r="EF302" s="886" t="str">
        <f>VLOOKUP(WWWW[[#This Row],[Site Name]],SiteDB6[[Site Name]:[CCCM Focal Agency]],7,FALSE)</f>
        <v>KBC-MYT</v>
      </c>
      <c r="EG302" s="886" t="str">
        <f>VLOOKUP(WWWW[[#This Row],[Site Name]],SiteDB6[[Site Name]:[Location Type 1]],9,FALSE)</f>
        <v>Camp</v>
      </c>
      <c r="EH302" s="886" t="str">
        <f>VLOOKUP(WWWW[[#This Row],[Site Name]],SiteDB6[[Site Name]:[Type of Accommodation]],10,FALSE)</f>
        <v>Camp</v>
      </c>
      <c r="EI302" s="886" t="str">
        <f>VLOOKUP(WWWW[[#This Row],[Site Name]],SiteDB6[[Site Name]:[Ethnic or GCA/NGCA]],11,FALSE)</f>
        <v>GCA</v>
      </c>
      <c r="EJ302" s="886">
        <f>VLOOKUP(WWWW[[#This Row],[Site Name]],SiteDB6[[Site Name]:[Lat]],12,FALSE)</f>
        <v>24.998349999999999</v>
      </c>
      <c r="EK302" s="886">
        <f>VLOOKUP(WWWW[[#This Row],[Site Name]],SiteDB6[[Site Name]:[Long]],13,FALSE)</f>
        <v>96.364949999999993</v>
      </c>
      <c r="EL302" s="886" t="str">
        <f>VLOOKUP(WWWW[[#This Row],[Site Name]],SiteDB6[[Site Name]:[Pcode]],3,FALSE)</f>
        <v>MMR001CMP152</v>
      </c>
      <c r="EM302" s="891" t="str">
        <f t="shared" si="4"/>
        <v>Covered</v>
      </c>
      <c r="EN302" s="891"/>
      <c r="EO302" s="886">
        <f>VLOOKUP(WWWW[[#This Row],[Site Name]],SiteDB6[[Site Name]:[Pop
(Kachin/Shan-CCCM as of July 2021)]],16,FALSE)</f>
        <v>26</v>
      </c>
      <c r="EP302" s="886">
        <f>VLOOKUP(WWWW[[#This Row],[Site Name]],SiteDB6[[Site Name]:[Pop
(Kachin/Shan-CCCM as of July 2021)]],17,FALSE)</f>
        <v>127</v>
      </c>
    </row>
    <row r="303" spans="1:146" hidden="1">
      <c r="A303" s="884" t="s">
        <v>2764</v>
      </c>
      <c r="B303" s="884" t="s">
        <v>2081</v>
      </c>
      <c r="C303" s="885" t="s">
        <v>141</v>
      </c>
      <c r="D303" s="885" t="s">
        <v>299</v>
      </c>
      <c r="E303" s="885" t="s">
        <v>37</v>
      </c>
      <c r="F303" s="885" t="s">
        <v>184</v>
      </c>
      <c r="G303" s="591" t="str">
        <f>VLOOKUP(WWWW[[#This Row],[Site Name]],SiteDB6[[Site Name]:[Location Type]],8,FALSE)</f>
        <v>Camp</v>
      </c>
      <c r="H303" s="885" t="s">
        <v>185</v>
      </c>
      <c r="I303" s="887">
        <v>72</v>
      </c>
      <c r="J303" s="887">
        <v>323</v>
      </c>
      <c r="K303" s="888">
        <v>44682</v>
      </c>
      <c r="L303" s="889">
        <v>44865</v>
      </c>
      <c r="M303" s="887"/>
      <c r="N303" s="887">
        <v>1</v>
      </c>
      <c r="O303" s="887"/>
      <c r="P303" s="887"/>
      <c r="Q303" s="890" t="s">
        <v>41</v>
      </c>
      <c r="R303" s="887">
        <v>3</v>
      </c>
      <c r="S303" s="887">
        <v>1</v>
      </c>
      <c r="T303" s="448">
        <v>27</v>
      </c>
      <c r="U303" s="887">
        <v>15</v>
      </c>
      <c r="V303" s="887"/>
      <c r="W303" s="887">
        <v>0</v>
      </c>
      <c r="X303" s="887"/>
      <c r="Y303" s="887"/>
      <c r="Z303" s="887"/>
      <c r="AA303" s="887"/>
      <c r="AB303" s="887"/>
      <c r="AC303" s="887"/>
      <c r="AD303" s="887"/>
      <c r="AE303" s="887"/>
      <c r="AF303" s="887"/>
      <c r="AG303" s="887"/>
      <c r="AH303" s="887"/>
      <c r="AI303" s="887"/>
      <c r="AJ303" s="887"/>
      <c r="AK303" s="887"/>
      <c r="AL303" s="887"/>
      <c r="AM303" s="887"/>
      <c r="AN303" s="887"/>
      <c r="AO303" s="448"/>
      <c r="AP303" s="891"/>
      <c r="AQ303" s="448">
        <v>65</v>
      </c>
      <c r="AR303" s="448">
        <v>15</v>
      </c>
      <c r="AS303" s="892"/>
      <c r="AT303" s="887"/>
      <c r="AU303" s="887"/>
      <c r="AV303" s="887"/>
      <c r="AW303" s="887"/>
      <c r="AX303" s="887"/>
      <c r="AY303" s="886" t="s">
        <v>41</v>
      </c>
      <c r="AZ303" s="891" t="s">
        <v>137</v>
      </c>
      <c r="BA303" s="887"/>
      <c r="BB303" s="887">
        <v>2</v>
      </c>
      <c r="BC303" s="887"/>
      <c r="BD303" s="448"/>
      <c r="BE303" s="448"/>
      <c r="BF303" s="886"/>
      <c r="BG303" s="887">
        <v>3</v>
      </c>
      <c r="BH303" s="887"/>
      <c r="BI303" s="887"/>
      <c r="BJ303" s="887">
        <v>2</v>
      </c>
      <c r="BK303" s="887"/>
      <c r="BL303" s="887">
        <v>1</v>
      </c>
      <c r="BM303" s="887"/>
      <c r="BN303" s="887"/>
      <c r="BO303" s="887"/>
      <c r="BP303" s="886"/>
      <c r="BQ303" s="893"/>
      <c r="BR303" s="892"/>
      <c r="BS303" s="886"/>
      <c r="BT303" s="423"/>
      <c r="BU303" s="423"/>
      <c r="BV303" s="425"/>
      <c r="BW303" s="423"/>
      <c r="BX303" s="448"/>
      <c r="BY303" s="448"/>
      <c r="BZ303" s="448"/>
      <c r="CA303" s="448"/>
      <c r="CB303" s="448"/>
      <c r="CC303" s="777"/>
      <c r="CD303" s="448"/>
      <c r="CE303" s="894" t="str">
        <f>IFERROR(WWWW[[#This Row],['#_Water sources passed]]/WWWW[[#This Row],['#_Water sources tested for fecal coliform ]],"no test")</f>
        <v>no test</v>
      </c>
      <c r="CF303" s="892" t="str">
        <f>IFERROR(WWWW[[#This Row],['#_Household passed]]/WWWW[[#This Row],['#_Household water samples tested for fecal coliform]],"no test")</f>
        <v>no test</v>
      </c>
      <c r="CG303" s="893" t="str">
        <f>IF(AND(WWWW[[#This Row],[% of water sources passed]]="no test",WWWW[[#This Row],[% Household passed]]="no test"),"No Test","Tested")</f>
        <v>No Test</v>
      </c>
      <c r="CH303" s="893">
        <f>WWWW[[#This Row],['#_Constructed/existing protected hand dug well]]-WWWW[[#This Row],['#_Non-functional protected hand dug well]]</f>
        <v>12</v>
      </c>
      <c r="CI303" s="893">
        <f>(WWWW[[#This Row],['#_Constructed/Existing tube wells/boreholes/handpumps_WASH_agency]]+WWWW[[#This Row],['#_Non-Cluster partner water tube-wells/boreholes/handpumps]])-WWWW[[#This Row],['#_Non-functional tube wells/boreholes/handpumps]]</f>
        <v>0</v>
      </c>
      <c r="CJ303" s="893">
        <f>WWWW[[#This Row],['#_Constructed/Existingwater storage tank with gravity fed reticulation system]]-WWWW[[#This Row],['#_Non-functional storage tank gravity fed reticulation system]]</f>
        <v>0</v>
      </c>
      <c r="CK303" s="893">
        <f>(WWWW[[#This Row],['#_Water_Liters_supplied_by_Water boating or water trucking]]/90)/15</f>
        <v>0</v>
      </c>
      <c r="CL303" s="893">
        <f>WWWW[[#This Row],['#_Water_Liters_from_Constructed/Existing water distribution system from river or natural spring]]/90/15</f>
        <v>0</v>
      </c>
      <c r="CM303" s="424">
        <f>IF(WWWW[[#This Row],['#_of water points in TLS/CFS]]*500&gt;WWWW[[#This Row],[Total PoP ]],WWWW[[#This Row],[Total PoP ]],WWWW[[#This Row],['#_of water points in TLS/CFS]]*500)</f>
        <v>0</v>
      </c>
      <c r="CN303" s="424">
        <f>IF(WWWW[[#This Row],['#_of water points in THF]]*500&gt;WWWW[[#This Row],[Total PoP ]],WWWW[[#This Row],[Total PoP ]],WWWW[[#This Row],['#_of water points in THF]]*500)</f>
        <v>0</v>
      </c>
      <c r="CO30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3" s="892">
        <f>IF(WWWW[[#This Row],[Location Type 1]]="Village",WWWW[[#This Row],[Access to safe drinking water for Village]],WWWW[[#This Row],[Access to safe drinking water for Camp]])</f>
        <v>1</v>
      </c>
      <c r="CR303" s="890">
        <f>WWWW[[#This Row],[%Equitable and continuous access to sufficient quantity of safe drinking water]]*WWWW[[#This Row],[Total PoP ]]</f>
        <v>323</v>
      </c>
      <c r="CS303" s="892">
        <f>IF((WWWW[[#This Row],['#_Constructed/Existing protected/fenced ponds]]*250)/WWWW[[#This Row],[Total PoP ]]&gt;1,1,(WWWW[[#This Row],['#_Constructed/Existing protected/fenced ponds]]*250)/WWWW[[#This Row],[Total PoP ]])</f>
        <v>0</v>
      </c>
      <c r="CT303" s="890">
        <f>WWWW[[#This Row],[% Access to unimproved water points]]*WWWW[[#This Row],[Total PoP ]]</f>
        <v>0</v>
      </c>
      <c r="CU30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303" s="890">
        <f>WWWW[[#This Row],[HRP1]]/500</f>
        <v>0.64600000000000002</v>
      </c>
      <c r="CX303" s="895">
        <f>1-WWWW[[#This Row],[% Equitable and continuous access to sufficient quantity of domestic water]]</f>
        <v>0</v>
      </c>
      <c r="CY303" s="890">
        <f>WWWW[[#This Row],[%equitable and continuous access to sufficient quantity of safe drinking and domestic water''s GAP]]*WWWW[[#This Row],[Total PoP ]]</f>
        <v>0</v>
      </c>
      <c r="CZ303" s="893">
        <f>IF(WWWW[[#This Row],[Total required water points]]-WWWW[[#This Row],['#Water points coverage]]&lt;0,0,WWWW[[#This Row],[Total required water points]]-WWWW[[#This Row],['#Water points coverage]])</f>
        <v>0.35399999999999998</v>
      </c>
      <c r="DA303" s="893">
        <f>ROUND(IF(WWWW[[#This Row],[Total PoP ]]&lt;500,1,WWWW[[#This Row],[Total PoP ]]/500),0)</f>
        <v>1</v>
      </c>
      <c r="DB303" s="893">
        <f>(WWWW[[#This Row],['#_Constructed latrines_by_WASHAgencies]]+WWWW[[#This Row],['#_Non Cluster partner latrines]])-WWWW[[#This Row],['#_Non-functional latrines]]</f>
        <v>80</v>
      </c>
      <c r="DC303" s="631">
        <f>WWWW[[#This Row],[HRP2]]/WWWW[[#This Row],[Total PoP ]]</f>
        <v>1</v>
      </c>
      <c r="DD30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323</v>
      </c>
      <c r="DE30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3" s="424">
        <f>IF(WWWW[[#This Row],['# of functional latrines in THF supported by WASH partners during the reporting period2]]="",0,WWWW[[#This Row],['# of functional latrines in THF supported by WASH partners during the reporting period2]]*50)</f>
        <v>0</v>
      </c>
      <c r="DH303" s="893">
        <f>ROUND(IF(WWWW[[#This Row],[Location Type 1]]="camp",WWWW[[#This Row],[Total PoP ]]/20,IF(WWWW[[#This Row],[Location Type 1]]="Temporary Location",WWWW[[#This Row],[Total PoP ]]/50,(WWWW[[#This Row],[Total PoP ]]/6))),0)</f>
        <v>16</v>
      </c>
      <c r="DI303" s="893">
        <f>IF(WWWW[[#This Row],[Total required Latrines]]-(WWWW[[#This Row],['#_Constructed latrines_by_WASHAgencies]]+WWWW[[#This Row],['#_Non Cluster partner latrines]])&lt;0,0,WWWW[[#This Row],[Total required Latrines]]-(WWWW[[#This Row],['#_Constructed latrines_by_WASHAgencies]]+WWWW[[#This Row],['#_Non Cluster partner latrines]]))</f>
        <v>0</v>
      </c>
      <c r="DJ303" s="895">
        <f>1-WWWW[[#This Row],[% people access to functioning Latrine]]</f>
        <v>0</v>
      </c>
      <c r="DK303" s="894">
        <f>IF(OR(WWWW[[#This Row],['#_Non-functional latrines]]="",WWWW[[#This Row],['#_Non-functional latrines]]=0),0,WWWW[[#This Row],['#_Non-functional latrines]]/(WWWW[[#This Row],['#_Constructed latrines_by_WASHAgencies]]+WWWW[[#This Row],['#_Non Cluster partner latrines]]))</f>
        <v>0</v>
      </c>
      <c r="DL303" s="890">
        <f>IF(500*(WWWW[[#This Row],['#_male hygiene promoters]]+WWWW[[#This Row],['#_female hygiene promoters]])&gt;WWWW[[#This Row],[Total PoP ]],WWWW[[#This Row],[Total PoP ]],500*(WWWW[[#This Row],['#_male hygiene promoters]]+WWWW[[#This Row],['#_female hygiene promoters]]))</f>
        <v>323</v>
      </c>
      <c r="DM30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3" s="893">
        <f>IF(WWWW[[#This Row],['# People with access to soap]]&gt;WWWW[[#This Row],['# People with access to Sanity Pads]],WWWW[[#This Row],['# People with access to soap]],WWWW[[#This Row],['# People with access to Sanity Pads]])</f>
        <v>0</v>
      </c>
      <c r="DP303" s="893">
        <f>IF(WWWW[[#This Row],['# people reached by regular dedicated hygiene promotion_5]]&gt;WWWW[[#This Row],['# People received regular supply of hygiene items_6]],WWWW[[#This Row],['# people reached by regular dedicated hygiene promotion_5]],WWWW[[#This Row],['# People received regular supply of hygiene items_6]])</f>
        <v>323</v>
      </c>
      <c r="DQ303" s="895">
        <f>IF(WWWW[[#This Row],[HRP3]]/WWWW[[#This Row],[Total PoP ]]&gt;1,1,WWWW[[#This Row],[HRP3]]/WWWW[[#This Row],[Total PoP ]])</f>
        <v>1</v>
      </c>
      <c r="DR303" s="894">
        <f>1-WWWW[[#This Row],[Hygiene Coverage%]]</f>
        <v>0</v>
      </c>
      <c r="DS303" s="892">
        <f>WWWW[[#This Row],['# people reached by regular dedicated hygiene promotion_5]]/WWWW[[#This Row],[Total PoP ]]</f>
        <v>1</v>
      </c>
      <c r="DT30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3" s="893">
        <f>WWWW[[#This Row],['#_Constructed/Existing hand washing stations]]-WWWW[[#This Row],['#_Non-Functional_hand_washing_stations]]</f>
        <v>3</v>
      </c>
      <c r="DW303" s="890">
        <f>IF(WWWW[[#This Row],['# Functional hand washing stations during reporting period]]*20&gt;WWWW[[#This Row],[Total HH]],WWWW[[#This Row],[Total HH]],WWWW[[#This Row],['# Functional hand washing stations during reporting period]]*20)</f>
        <v>60</v>
      </c>
      <c r="DX303" s="890">
        <f>IF(WWWW[[#This Row],[Is sufficient soap available for TLS? (Yes/No)]]="yes",WWWW[[#This Row],['#_Constructed/Existing hand washing stations at TLS/CFS/THF]],0)</f>
        <v>0</v>
      </c>
      <c r="DY303" s="428">
        <f>IF(WWWW[[#This Row],['# Functional hand washing stations during reporting period]]*100&gt;WWWW[[#This Row],[Total PoP ]],WWWW[[#This Row],[Total PoP ]],WWWW[[#This Row],['# Functional hand washing stations during reporting period]]*100)</f>
        <v>300</v>
      </c>
      <c r="DZ303" s="428" t="str">
        <f>IF(OR(WWWW[[#This Row],['#_students at TLS_CFS]]="",WWWW[[#This Row],['#_students at TLS_CFS]]=0),"No","Yes")</f>
        <v>No</v>
      </c>
      <c r="EA30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3" s="886" t="str">
        <f>VLOOKUP(WWWW[[#This Row],[Site Name]],SiteDB6[[Site Name]:[CCCM Management]],6,FALSE)</f>
        <v>Yes</v>
      </c>
      <c r="EF303" s="886" t="str">
        <f>VLOOKUP(WWWW[[#This Row],[Site Name]],SiteDB6[[Site Name]:[CCCM Focal Agency]],7,FALSE)</f>
        <v>KBC-MYT</v>
      </c>
      <c r="EG303" s="886" t="str">
        <f>VLOOKUP(WWWW[[#This Row],[Site Name]],SiteDB6[[Site Name]:[Location Type 1]],9,FALSE)</f>
        <v>Camp</v>
      </c>
      <c r="EH303" s="886" t="str">
        <f>VLOOKUP(WWWW[[#This Row],[Site Name]],SiteDB6[[Site Name]:[Type of Accommodation]],10,FALSE)</f>
        <v>Camp</v>
      </c>
      <c r="EI303" s="886" t="str">
        <f>VLOOKUP(WWWW[[#This Row],[Site Name]],SiteDB6[[Site Name]:[Ethnic or GCA/NGCA]],11,FALSE)</f>
        <v>NGCA</v>
      </c>
      <c r="EJ303" s="886">
        <f>VLOOKUP(WWWW[[#This Row],[Site Name]],SiteDB6[[Site Name]:[Lat]],12,FALSE)</f>
        <v>26.569633</v>
      </c>
      <c r="EK303" s="886">
        <f>VLOOKUP(WWWW[[#This Row],[Site Name]],SiteDB6[[Site Name]:[Long]],13,FALSE)</f>
        <v>97.745480999999998</v>
      </c>
      <c r="EL303" s="886" t="str">
        <f>VLOOKUP(WWWW[[#This Row],[Site Name]],SiteDB6[[Site Name]:[Pcode]],3,FALSE)</f>
        <v>MMR001CMP238</v>
      </c>
      <c r="EM303" s="891" t="str">
        <f t="shared" si="4"/>
        <v>Covered</v>
      </c>
      <c r="EN303" s="891"/>
      <c r="EO303" s="886">
        <f>VLOOKUP(WWWW[[#This Row],[Site Name]],SiteDB6[[Site Name]:[Pop
(Kachin/Shan-CCCM as of July 2021)]],16,FALSE)</f>
        <v>123</v>
      </c>
      <c r="EP303" s="886">
        <f>VLOOKUP(WWWW[[#This Row],[Site Name]],SiteDB6[[Site Name]:[Pop
(Kachin/Shan-CCCM as of July 2021)]],17,FALSE)</f>
        <v>646</v>
      </c>
    </row>
    <row r="304" spans="1:146" hidden="1">
      <c r="A304" s="884" t="s">
        <v>2764</v>
      </c>
      <c r="B304" s="884" t="s">
        <v>291</v>
      </c>
      <c r="C304" s="885" t="s">
        <v>291</v>
      </c>
      <c r="D304" s="885" t="s">
        <v>2626</v>
      </c>
      <c r="E304" s="885" t="s">
        <v>37</v>
      </c>
      <c r="F304" s="885" t="s">
        <v>205</v>
      </c>
      <c r="G304" s="591" t="str">
        <f>VLOOKUP(WWWW[[#This Row],[Site Name]],SiteDB6[[Site Name]:[Location Type]],8,FALSE)</f>
        <v>Camp</v>
      </c>
      <c r="H304" s="885" t="s">
        <v>295</v>
      </c>
      <c r="I304" s="887">
        <v>349</v>
      </c>
      <c r="J304" s="887">
        <v>1570</v>
      </c>
      <c r="K304" s="888">
        <v>44652</v>
      </c>
      <c r="L304" s="889">
        <v>44926</v>
      </c>
      <c r="M304" s="887"/>
      <c r="N304" s="887"/>
      <c r="O304" s="887"/>
      <c r="P304" s="887"/>
      <c r="Q304" s="890" t="s">
        <v>41</v>
      </c>
      <c r="R304" s="887"/>
      <c r="S304" s="887"/>
      <c r="T304" s="448"/>
      <c r="U304" s="887"/>
      <c r="V304" s="887"/>
      <c r="W304" s="887"/>
      <c r="X304" s="887"/>
      <c r="Y304" s="887"/>
      <c r="Z304" s="887"/>
      <c r="AA304" s="887"/>
      <c r="AB304" s="887"/>
      <c r="AC304" s="887"/>
      <c r="AD304" s="887"/>
      <c r="AE304" s="887">
        <v>6</v>
      </c>
      <c r="AF304" s="887"/>
      <c r="AG304" s="887"/>
      <c r="AH304" s="887">
        <v>6</v>
      </c>
      <c r="AI304" s="887"/>
      <c r="AJ304" s="887"/>
      <c r="AK304" s="887"/>
      <c r="AL304" s="887"/>
      <c r="AM304" s="887">
        <v>4</v>
      </c>
      <c r="AN304" s="887">
        <v>2</v>
      </c>
      <c r="AO304" s="448"/>
      <c r="AP304" s="891"/>
      <c r="AQ304" s="887">
        <v>181</v>
      </c>
      <c r="AR304" s="887"/>
      <c r="AS304" s="892"/>
      <c r="AT304" s="887"/>
      <c r="AU304" s="887"/>
      <c r="AV304" s="887"/>
      <c r="AW304" s="887"/>
      <c r="AX304" s="887">
        <v>71</v>
      </c>
      <c r="AY304" s="886" t="s">
        <v>136</v>
      </c>
      <c r="AZ304" s="891" t="s">
        <v>137</v>
      </c>
      <c r="BA304" s="887">
        <v>2</v>
      </c>
      <c r="BB304" s="887"/>
      <c r="BC304" s="887">
        <v>16</v>
      </c>
      <c r="BD304" s="448">
        <v>2</v>
      </c>
      <c r="BE304" s="448"/>
      <c r="BF304" s="886"/>
      <c r="BG304" s="887">
        <v>8</v>
      </c>
      <c r="BH304" s="887"/>
      <c r="BI304" s="887">
        <v>30</v>
      </c>
      <c r="BJ304" s="887">
        <v>3</v>
      </c>
      <c r="BK304" s="887"/>
      <c r="BL304" s="887"/>
      <c r="BM304" s="887">
        <v>6</v>
      </c>
      <c r="BN304" s="887"/>
      <c r="BO304" s="887"/>
      <c r="BP304" s="886"/>
      <c r="BQ304" s="893"/>
      <c r="BR304" s="892"/>
      <c r="BS304" s="886"/>
      <c r="BT304" s="423"/>
      <c r="BU304" s="423"/>
      <c r="BV304" s="425"/>
      <c r="BW304" s="423"/>
      <c r="BX304" s="448"/>
      <c r="BY304" s="448"/>
      <c r="BZ304" s="448"/>
      <c r="CA304" s="448"/>
      <c r="CB304" s="448"/>
      <c r="CC304" s="777"/>
      <c r="CD304" s="448"/>
      <c r="CE304" s="894" t="str">
        <f>IFERROR(WWWW[[#This Row],['#_Water sources passed]]/WWWW[[#This Row],['#_Water sources tested for fecal coliform ]],"no test")</f>
        <v>no test</v>
      </c>
      <c r="CF304" s="892" t="str">
        <f>IFERROR(WWWW[[#This Row],['#_Household passed]]/WWWW[[#This Row],['#_Household water samples tested for fecal coliform]],"no test")</f>
        <v>no test</v>
      </c>
      <c r="CG304" s="893" t="str">
        <f>IF(AND(WWWW[[#This Row],[% of water sources passed]]="no test",WWWW[[#This Row],[% Household passed]]="no test"),"No Test","Tested")</f>
        <v>No Test</v>
      </c>
      <c r="CH304" s="893">
        <f>WWWW[[#This Row],['#_Constructed/existing protected hand dug well]]-WWWW[[#This Row],['#_Non-functional protected hand dug well]]</f>
        <v>0</v>
      </c>
      <c r="CI304" s="893">
        <f>(WWWW[[#This Row],['#_Constructed/Existing tube wells/boreholes/handpumps_WASH_agency]]+WWWW[[#This Row],['#_Non-Cluster partner water tube-wells/boreholes/handpumps]])-WWWW[[#This Row],['#_Non-functional tube wells/boreholes/handpumps]]</f>
        <v>0</v>
      </c>
      <c r="CJ304" s="893">
        <f>WWWW[[#This Row],['#_Constructed/Existingwater storage tank with gravity fed reticulation system]]-WWWW[[#This Row],['#_Non-functional storage tank gravity fed reticulation system]]</f>
        <v>0</v>
      </c>
      <c r="CK304" s="893">
        <f>(WWWW[[#This Row],['#_Water_Liters_supplied_by_Water boating or water trucking]]/90)/15</f>
        <v>0</v>
      </c>
      <c r="CL304" s="893">
        <f>WWWW[[#This Row],['#_Water_Liters_from_Constructed/Existing water distribution system from river or natural spring]]/90/15</f>
        <v>0</v>
      </c>
      <c r="CM304" s="424">
        <f>IF(WWWW[[#This Row],['#_of water points in TLS/CFS]]*500&gt;WWWW[[#This Row],[Total PoP ]],WWWW[[#This Row],[Total PoP ]],WWWW[[#This Row],['#_of water points in TLS/CFS]]*500)</f>
        <v>1000</v>
      </c>
      <c r="CN304" s="424">
        <f>IF(WWWW[[#This Row],['#_of water points in THF]]*500&gt;WWWW[[#This Row],[Total PoP ]],WWWW[[#This Row],[Total PoP ]],WWWW[[#This Row],['#_of water points in THF]]*500)</f>
        <v>0</v>
      </c>
      <c r="CO30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0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04" s="892">
        <f>IF(WWWW[[#This Row],[Location Type 1]]="Village",WWWW[[#This Row],[Access to safe drinking water for Village]],WWWW[[#This Row],[Access to safe drinking water for Camp]])</f>
        <v>0</v>
      </c>
      <c r="CR304" s="890">
        <f>WWWW[[#This Row],[%Equitable and continuous access to sufficient quantity of safe drinking water]]*WWWW[[#This Row],[Total PoP ]]</f>
        <v>0</v>
      </c>
      <c r="CS304" s="892">
        <f>IF((WWWW[[#This Row],['#_Constructed/Existing protected/fenced ponds]]*250)/WWWW[[#This Row],[Total PoP ]]&gt;1,1,(WWWW[[#This Row],['#_Constructed/Existing protected/fenced ponds]]*250)/WWWW[[#This Row],[Total PoP ]])</f>
        <v>0.95541401273885351</v>
      </c>
      <c r="CT304" s="890">
        <f>WWWW[[#This Row],[% Access to unimproved water points]]*WWWW[[#This Row],[Total PoP ]]</f>
        <v>1500</v>
      </c>
      <c r="CU30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0.95541401273885351</v>
      </c>
      <c r="CV30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W304" s="890">
        <f>WWWW[[#This Row],[HRP1]]/500</f>
        <v>3</v>
      </c>
      <c r="CX304" s="895">
        <f>1-WWWW[[#This Row],[% Equitable and continuous access to sufficient quantity of domestic water]]</f>
        <v>4.4585987261146487E-2</v>
      </c>
      <c r="CY304" s="890">
        <f>WWWW[[#This Row],[%equitable and continuous access to sufficient quantity of safe drinking and domestic water''s GAP]]*WWWW[[#This Row],[Total PoP ]]</f>
        <v>69.999999999999986</v>
      </c>
      <c r="CZ304" s="893">
        <f>IF(WWWW[[#This Row],[Total required water points]]-WWWW[[#This Row],['#Water points coverage]]&lt;0,0,WWWW[[#This Row],[Total required water points]]-WWWW[[#This Row],['#Water points coverage]])</f>
        <v>0</v>
      </c>
      <c r="DA304" s="893">
        <f>ROUND(IF(WWWW[[#This Row],[Total PoP ]]&lt;500,1,WWWW[[#This Row],[Total PoP ]]/500),0)</f>
        <v>3</v>
      </c>
      <c r="DB304" s="893">
        <f>(WWWW[[#This Row],['#_Constructed latrines_by_WASHAgencies]]+WWWW[[#This Row],['#_Non Cluster partner latrines]])-WWWW[[#This Row],['#_Non-functional latrines]]</f>
        <v>181</v>
      </c>
      <c r="DC304" s="631">
        <f>WWWW[[#This Row],[HRP2]]/WWWW[[#This Row],[Total PoP ]]</f>
        <v>1</v>
      </c>
      <c r="DD30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1570</v>
      </c>
      <c r="DE30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4" s="424">
        <f>IF(WWWW[[#This Row],['# of functional latrines in THF supported by WASH partners during the reporting period2]]="",0,WWWW[[#This Row],['# of functional latrines in THF supported by WASH partners during the reporting period2]]*50)</f>
        <v>100</v>
      </c>
      <c r="DH304" s="893">
        <f>ROUND(IF(WWWW[[#This Row],[Location Type 1]]="camp",WWWW[[#This Row],[Total PoP ]]/20,IF(WWWW[[#This Row],[Location Type 1]]="Temporary Location",WWWW[[#This Row],[Total PoP ]]/50,(WWWW[[#This Row],[Total PoP ]]/6))),0)</f>
        <v>79</v>
      </c>
      <c r="DI304" s="893">
        <f>IF(WWWW[[#This Row],[Total required Latrines]]-(WWWW[[#This Row],['#_Constructed latrines_by_WASHAgencies]]+WWWW[[#This Row],['#_Non Cluster partner latrines]])&lt;0,0,WWWW[[#This Row],[Total required Latrines]]-(WWWW[[#This Row],['#_Constructed latrines_by_WASHAgencies]]+WWWW[[#This Row],['#_Non Cluster partner latrines]]))</f>
        <v>0</v>
      </c>
      <c r="DJ304" s="895">
        <f>1-WWWW[[#This Row],[% people access to functioning Latrine]]</f>
        <v>0</v>
      </c>
      <c r="DK304" s="894">
        <f>IF(OR(WWWW[[#This Row],['#_Non-functional latrines]]="",WWWW[[#This Row],['#_Non-functional latrines]]=0),0,WWWW[[#This Row],['#_Non-functional latrines]]/(WWWW[[#This Row],['#_Constructed latrines_by_WASHAgencies]]+WWWW[[#This Row],['#_Non Cluster partner latrines]]))</f>
        <v>0</v>
      </c>
      <c r="DL304" s="890">
        <f>IF(500*(WWWW[[#This Row],['#_male hygiene promoters]]+WWWW[[#This Row],['#_female hygiene promoters]])&gt;WWWW[[#This Row],[Total PoP ]],WWWW[[#This Row],[Total PoP ]],500*(WWWW[[#This Row],['#_male hygiene promoters]]+WWWW[[#This Row],['#_female hygiene promoters]]))</f>
        <v>1570</v>
      </c>
      <c r="DM30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4" s="893">
        <f>IF(WWWW[[#This Row],['# People with access to soap]]&gt;WWWW[[#This Row],['# People with access to Sanity Pads]],WWWW[[#This Row],['# People with access to soap]],WWWW[[#This Row],['# People with access to Sanity Pads]])</f>
        <v>0</v>
      </c>
      <c r="DP304" s="893">
        <f>IF(WWWW[[#This Row],['# people reached by regular dedicated hygiene promotion_5]]&gt;WWWW[[#This Row],['# People received regular supply of hygiene items_6]],WWWW[[#This Row],['# people reached by regular dedicated hygiene promotion_5]],WWWW[[#This Row],['# People received regular supply of hygiene items_6]])</f>
        <v>1570</v>
      </c>
      <c r="DQ304" s="895">
        <f>IF(WWWW[[#This Row],[HRP3]]/WWWW[[#This Row],[Total PoP ]]&gt;1,1,WWWW[[#This Row],[HRP3]]/WWWW[[#This Row],[Total PoP ]])</f>
        <v>1</v>
      </c>
      <c r="DR304" s="894">
        <f>1-WWWW[[#This Row],[Hygiene Coverage%]]</f>
        <v>0</v>
      </c>
      <c r="DS304" s="892">
        <f>WWWW[[#This Row],['# people reached by regular dedicated hygiene promotion_5]]/WWWW[[#This Row],[Total PoP ]]</f>
        <v>1</v>
      </c>
      <c r="DT30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4" s="893">
        <f>WWWW[[#This Row],['#_Constructed/Existing hand washing stations]]-WWWW[[#This Row],['#_Non-Functional_hand_washing_stations]]</f>
        <v>8</v>
      </c>
      <c r="DW304" s="890">
        <f>IF(WWWW[[#This Row],['# Functional hand washing stations during reporting period]]*20&gt;WWWW[[#This Row],[Total HH]],WWWW[[#This Row],[Total HH]],WWWW[[#This Row],['# Functional hand washing stations during reporting period]]*20)</f>
        <v>160</v>
      </c>
      <c r="DX304" s="890">
        <f>IF(WWWW[[#This Row],[Is sufficient soap available for TLS? (Yes/No)]]="yes",WWWW[[#This Row],['#_Constructed/Existing hand washing stations at TLS/CFS/THF]],0)</f>
        <v>0</v>
      </c>
      <c r="DY304" s="428">
        <f>IF(WWWW[[#This Row],['# Functional hand washing stations during reporting period]]*100&gt;WWWW[[#This Row],[Total PoP ]],WWWW[[#This Row],[Total PoP ]],WWWW[[#This Row],['# Functional hand washing stations during reporting period]]*100)</f>
        <v>800</v>
      </c>
      <c r="DZ304" s="428" t="str">
        <f>IF(OR(WWWW[[#This Row],['#_students at TLS_CFS]]="",WWWW[[#This Row],['#_students at TLS_CFS]]=0),"No","Yes")</f>
        <v>No</v>
      </c>
      <c r="EA30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30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304" s="886" t="str">
        <f>VLOOKUP(WWWW[[#This Row],[Site Name]],SiteDB6[[Site Name]:[CCCM Management]],6,FALSE)</f>
        <v>Yes</v>
      </c>
      <c r="EF304" s="886" t="str">
        <f>VLOOKUP(WWWW[[#This Row],[Site Name]],SiteDB6[[Site Name]:[CCCM Focal Agency]],7,FALSE)</f>
        <v>KMSS-BMO</v>
      </c>
      <c r="EG304" s="886" t="str">
        <f>VLOOKUP(WWWW[[#This Row],[Site Name]],SiteDB6[[Site Name]:[Location Type 1]],9,FALSE)</f>
        <v>Camp</v>
      </c>
      <c r="EH304" s="886" t="str">
        <f>VLOOKUP(WWWW[[#This Row],[Site Name]],SiteDB6[[Site Name]:[Type of Accommodation]],10,FALSE)</f>
        <v>Camp</v>
      </c>
      <c r="EI304" s="886" t="str">
        <f>VLOOKUP(WWWW[[#This Row],[Site Name]],SiteDB6[[Site Name]:[Ethnic or GCA/NGCA]],11,FALSE)</f>
        <v>NGCA</v>
      </c>
      <c r="EJ304" s="886">
        <f>VLOOKUP(WWWW[[#This Row],[Site Name]],SiteDB6[[Site Name]:[Lat]],12,FALSE)</f>
        <v>24.378167000000001</v>
      </c>
      <c r="EK304" s="886">
        <f>VLOOKUP(WWWW[[#This Row],[Site Name]],SiteDB6[[Site Name]:[Long]],13,FALSE)</f>
        <v>97.669366999999994</v>
      </c>
      <c r="EL304" s="886" t="str">
        <f>VLOOKUP(WWWW[[#This Row],[Site Name]],SiteDB6[[Site Name]:[Pcode]],3,FALSE)</f>
        <v>MMR001CMP131</v>
      </c>
      <c r="EM304" s="891" t="str">
        <f t="shared" si="4"/>
        <v>Covered</v>
      </c>
      <c r="EN304" s="891"/>
      <c r="EO304" s="886">
        <f>VLOOKUP(WWWW[[#This Row],[Site Name]],SiteDB6[[Site Name]:[Pop
(Kachin/Shan-CCCM as of July 2021)]],16,FALSE)</f>
        <v>349</v>
      </c>
      <c r="EP304" s="886">
        <f>VLOOKUP(WWWW[[#This Row],[Site Name]],SiteDB6[[Site Name]:[Pop
(Kachin/Shan-CCCM as of July 2021)]],17,FALSE)</f>
        <v>1570</v>
      </c>
    </row>
    <row r="305" spans="1:146" hidden="1">
      <c r="A305" s="884" t="s">
        <v>2764</v>
      </c>
      <c r="B305" s="884" t="s">
        <v>3073</v>
      </c>
      <c r="C305" s="885" t="s">
        <v>141</v>
      </c>
      <c r="D305" s="885" t="s">
        <v>3081</v>
      </c>
      <c r="E305" s="885" t="s">
        <v>37</v>
      </c>
      <c r="F305" s="885" t="s">
        <v>159</v>
      </c>
      <c r="G305" s="591" t="str">
        <f>VLOOKUP(WWWW[[#This Row],[Site Name]],SiteDB6[[Site Name]:[Location Type]],8,FALSE)</f>
        <v>Camp</v>
      </c>
      <c r="H305" s="885" t="s">
        <v>167</v>
      </c>
      <c r="I305" s="887">
        <v>72</v>
      </c>
      <c r="J305" s="887">
        <v>323</v>
      </c>
      <c r="K305" s="888">
        <v>44682</v>
      </c>
      <c r="L305" s="889">
        <v>44865</v>
      </c>
      <c r="M305" s="887"/>
      <c r="N305" s="887">
        <v>1</v>
      </c>
      <c r="O305" s="887"/>
      <c r="P305" s="887"/>
      <c r="Q305" s="890" t="s">
        <v>41</v>
      </c>
      <c r="R305" s="887">
        <v>2</v>
      </c>
      <c r="S305" s="887">
        <v>2</v>
      </c>
      <c r="T305" s="448">
        <v>2</v>
      </c>
      <c r="U305" s="887"/>
      <c r="V305" s="887"/>
      <c r="W305" s="887">
        <v>2</v>
      </c>
      <c r="X305" s="887"/>
      <c r="Y305" s="887"/>
      <c r="Z305" s="887"/>
      <c r="AA305" s="887"/>
      <c r="AB305" s="887"/>
      <c r="AC305" s="887"/>
      <c r="AD305" s="887"/>
      <c r="AE305" s="887"/>
      <c r="AF305" s="887"/>
      <c r="AG305" s="887"/>
      <c r="AH305" s="887">
        <v>3</v>
      </c>
      <c r="AI305" s="887"/>
      <c r="AJ305" s="887"/>
      <c r="AK305" s="887"/>
      <c r="AL305" s="887"/>
      <c r="AM305" s="887"/>
      <c r="AN305" s="887"/>
      <c r="AO305" s="448"/>
      <c r="AP305" s="891"/>
      <c r="AQ305" s="887">
        <v>15</v>
      </c>
      <c r="AR305" s="887"/>
      <c r="AS305" s="892"/>
      <c r="AT305" s="887"/>
      <c r="AU305" s="887"/>
      <c r="AV305" s="887"/>
      <c r="AW305" s="887"/>
      <c r="AX305" s="887">
        <v>15</v>
      </c>
      <c r="AY305" s="886" t="s">
        <v>41</v>
      </c>
      <c r="AZ305" s="891" t="s">
        <v>137</v>
      </c>
      <c r="BA305" s="887"/>
      <c r="BB305" s="887"/>
      <c r="BC305" s="887"/>
      <c r="BD305" s="448"/>
      <c r="BE305" s="448"/>
      <c r="BF305" s="886"/>
      <c r="BG305" s="887">
        <v>1</v>
      </c>
      <c r="BH305" s="887"/>
      <c r="BI305" s="887"/>
      <c r="BJ305" s="887">
        <v>1</v>
      </c>
      <c r="BK305" s="887"/>
      <c r="BL305" s="887"/>
      <c r="BM305" s="887"/>
      <c r="BN305" s="887"/>
      <c r="BO305" s="887"/>
      <c r="BP305" s="886"/>
      <c r="BQ305" s="893"/>
      <c r="BR305" s="892"/>
      <c r="BS305" s="886"/>
      <c r="BT305" s="423"/>
      <c r="BU305" s="423"/>
      <c r="BV305" s="425"/>
      <c r="BW305" s="423"/>
      <c r="BX305" s="448"/>
      <c r="BY305" s="448"/>
      <c r="BZ305" s="448"/>
      <c r="CA305" s="448"/>
      <c r="CB305" s="448"/>
      <c r="CC305" s="777"/>
      <c r="CD305" s="448"/>
      <c r="CE305" s="894" t="str">
        <f>IFERROR(WWWW[[#This Row],['#_Water sources passed]]/WWWW[[#This Row],['#_Water sources tested for fecal coliform ]],"no test")</f>
        <v>no test</v>
      </c>
      <c r="CF305" s="892" t="str">
        <f>IFERROR(WWWW[[#This Row],['#_Household passed]]/WWWW[[#This Row],['#_Household water samples tested for fecal coliform]],"no test")</f>
        <v>no test</v>
      </c>
      <c r="CG305" s="893" t="str">
        <f>IF(AND(WWWW[[#This Row],[% of water sources passed]]="no test",WWWW[[#This Row],[% Household passed]]="no test"),"No Test","Tested")</f>
        <v>No Test</v>
      </c>
      <c r="CH305" s="893">
        <f>WWWW[[#This Row],['#_Constructed/existing protected hand dug well]]-WWWW[[#This Row],['#_Non-functional protected hand dug well]]</f>
        <v>2</v>
      </c>
      <c r="CI305" s="893">
        <f>(WWWW[[#This Row],['#_Constructed/Existing tube wells/boreholes/handpumps_WASH_agency]]+WWWW[[#This Row],['#_Non-Cluster partner water tube-wells/boreholes/handpumps]])-WWWW[[#This Row],['#_Non-functional tube wells/boreholes/handpumps]]</f>
        <v>2</v>
      </c>
      <c r="CJ305" s="893">
        <f>WWWW[[#This Row],['#_Constructed/Existingwater storage tank with gravity fed reticulation system]]-WWWW[[#This Row],['#_Non-functional storage tank gravity fed reticulation system]]</f>
        <v>0</v>
      </c>
      <c r="CK305" s="893">
        <f>(WWWW[[#This Row],['#_Water_Liters_supplied_by_Water boating or water trucking]]/90)/15</f>
        <v>0</v>
      </c>
      <c r="CL305" s="893">
        <f>WWWW[[#This Row],['#_Water_Liters_from_Constructed/Existing water distribution system from river or natural spring]]/90/15</f>
        <v>0</v>
      </c>
      <c r="CM305" s="424">
        <f>IF(WWWW[[#This Row],['#_of water points in TLS/CFS]]*500&gt;WWWW[[#This Row],[Total PoP ]],WWWW[[#This Row],[Total PoP ]],WWWW[[#This Row],['#_of water points in TLS/CFS]]*500)</f>
        <v>0</v>
      </c>
      <c r="CN305" s="424">
        <f>IF(WWWW[[#This Row],['#_of water points in THF]]*500&gt;WWWW[[#This Row],[Total PoP ]],WWWW[[#This Row],[Total PoP ]],WWWW[[#This Row],['#_of water points in THF]]*500)</f>
        <v>0</v>
      </c>
      <c r="CO30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5" s="892">
        <f>IF(WWWW[[#This Row],[Location Type 1]]="Village",WWWW[[#This Row],[Access to safe drinking water for Village]],WWWW[[#This Row],[Access to safe drinking water for Camp]])</f>
        <v>1</v>
      </c>
      <c r="CR305" s="890">
        <f>WWWW[[#This Row],[%Equitable and continuous access to sufficient quantity of safe drinking water]]*WWWW[[#This Row],[Total PoP ]]</f>
        <v>323</v>
      </c>
      <c r="CS305" s="892">
        <f>IF((WWWW[[#This Row],['#_Constructed/Existing protected/fenced ponds]]*250)/WWWW[[#This Row],[Total PoP ]]&gt;1,1,(WWWW[[#This Row],['#_Constructed/Existing protected/fenced ponds]]*250)/WWWW[[#This Row],[Total PoP ]])</f>
        <v>0</v>
      </c>
      <c r="CT305" s="890">
        <f>WWWW[[#This Row],[% Access to unimproved water points]]*WWWW[[#This Row],[Total PoP ]]</f>
        <v>0</v>
      </c>
      <c r="CU30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305" s="890">
        <f>WWWW[[#This Row],[HRP1]]/500</f>
        <v>0.64600000000000002</v>
      </c>
      <c r="CX305" s="895">
        <f>1-WWWW[[#This Row],[% Equitable and continuous access to sufficient quantity of domestic water]]</f>
        <v>0</v>
      </c>
      <c r="CY305" s="890">
        <f>WWWW[[#This Row],[%equitable and continuous access to sufficient quantity of safe drinking and domestic water''s GAP]]*WWWW[[#This Row],[Total PoP ]]</f>
        <v>0</v>
      </c>
      <c r="CZ305" s="893">
        <f>IF(WWWW[[#This Row],[Total required water points]]-WWWW[[#This Row],['#Water points coverage]]&lt;0,0,WWWW[[#This Row],[Total required water points]]-WWWW[[#This Row],['#Water points coverage]])</f>
        <v>0.35399999999999998</v>
      </c>
      <c r="DA305" s="893">
        <f>ROUND(IF(WWWW[[#This Row],[Total PoP ]]&lt;500,1,WWWW[[#This Row],[Total PoP ]]/500),0)</f>
        <v>1</v>
      </c>
      <c r="DB305" s="893">
        <f>(WWWW[[#This Row],['#_Constructed latrines_by_WASHAgencies]]+WWWW[[#This Row],['#_Non Cluster partner latrines]])-WWWW[[#This Row],['#_Non-functional latrines]]</f>
        <v>15</v>
      </c>
      <c r="DC305" s="631">
        <f>WWWW[[#This Row],[HRP2]]/WWWW[[#This Row],[Total PoP ]]</f>
        <v>0.92879256965944268</v>
      </c>
      <c r="DD30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30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5" s="424">
        <f>IF(WWWW[[#This Row],['# of functional latrines in THF supported by WASH partners during the reporting period2]]="",0,WWWW[[#This Row],['# of functional latrines in THF supported by WASH partners during the reporting period2]]*50)</f>
        <v>0</v>
      </c>
      <c r="DH305" s="893">
        <f>ROUND(IF(WWWW[[#This Row],[Location Type 1]]="camp",WWWW[[#This Row],[Total PoP ]]/20,IF(WWWW[[#This Row],[Location Type 1]]="Temporary Location",WWWW[[#This Row],[Total PoP ]]/50,(WWWW[[#This Row],[Total PoP ]]/6))),0)</f>
        <v>16</v>
      </c>
      <c r="DI305" s="893">
        <f>IF(WWWW[[#This Row],[Total required Latrines]]-(WWWW[[#This Row],['#_Constructed latrines_by_WASHAgencies]]+WWWW[[#This Row],['#_Non Cluster partner latrines]])&lt;0,0,WWWW[[#This Row],[Total required Latrines]]-(WWWW[[#This Row],['#_Constructed latrines_by_WASHAgencies]]+WWWW[[#This Row],['#_Non Cluster partner latrines]]))</f>
        <v>1</v>
      </c>
      <c r="DJ305" s="895">
        <f>1-WWWW[[#This Row],[% people access to functioning Latrine]]</f>
        <v>7.1207430340557321E-2</v>
      </c>
      <c r="DK305" s="894">
        <f>IF(OR(WWWW[[#This Row],['#_Non-functional latrines]]="",WWWW[[#This Row],['#_Non-functional latrines]]=0),0,WWWW[[#This Row],['#_Non-functional latrines]]/(WWWW[[#This Row],['#_Constructed latrines_by_WASHAgencies]]+WWWW[[#This Row],['#_Non Cluster partner latrines]]))</f>
        <v>0</v>
      </c>
      <c r="DL305" s="890">
        <f>IF(500*(WWWW[[#This Row],['#_male hygiene promoters]]+WWWW[[#This Row],['#_female hygiene promoters]])&gt;WWWW[[#This Row],[Total PoP ]],WWWW[[#This Row],[Total PoP ]],500*(WWWW[[#This Row],['#_male hygiene promoters]]+WWWW[[#This Row],['#_female hygiene promoters]]))</f>
        <v>0</v>
      </c>
      <c r="DM30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5" s="893">
        <f>IF(WWWW[[#This Row],['# People with access to soap]]&gt;WWWW[[#This Row],['# People with access to Sanity Pads]],WWWW[[#This Row],['# People with access to soap]],WWWW[[#This Row],['# People with access to Sanity Pads]])</f>
        <v>0</v>
      </c>
      <c r="DP305"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05" s="895">
        <f>IF(WWWW[[#This Row],[HRP3]]/WWWW[[#This Row],[Total PoP ]]&gt;1,1,WWWW[[#This Row],[HRP3]]/WWWW[[#This Row],[Total PoP ]])</f>
        <v>0</v>
      </c>
      <c r="DR305" s="894">
        <f>1-WWWW[[#This Row],[Hygiene Coverage%]]</f>
        <v>1</v>
      </c>
      <c r="DS305" s="892">
        <f>WWWW[[#This Row],['# people reached by regular dedicated hygiene promotion_5]]/WWWW[[#This Row],[Total PoP ]]</f>
        <v>0</v>
      </c>
      <c r="DT30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5" s="893">
        <f>WWWW[[#This Row],['#_Constructed/Existing hand washing stations]]-WWWW[[#This Row],['#_Non-Functional_hand_washing_stations]]</f>
        <v>1</v>
      </c>
      <c r="DW305" s="890">
        <f>IF(WWWW[[#This Row],['# Functional hand washing stations during reporting period]]*20&gt;WWWW[[#This Row],[Total HH]],WWWW[[#This Row],[Total HH]],WWWW[[#This Row],['# Functional hand washing stations during reporting period]]*20)</f>
        <v>20</v>
      </c>
      <c r="DX305" s="890">
        <f>IF(WWWW[[#This Row],[Is sufficient soap available for TLS? (Yes/No)]]="yes",WWWW[[#This Row],['#_Constructed/Existing hand washing stations at TLS/CFS/THF]],0)</f>
        <v>0</v>
      </c>
      <c r="DY305" s="428">
        <f>IF(WWWW[[#This Row],['# Functional hand washing stations during reporting period]]*100&gt;WWWW[[#This Row],[Total PoP ]],WWWW[[#This Row],[Total PoP ]],WWWW[[#This Row],['# Functional hand washing stations during reporting period]]*100)</f>
        <v>100</v>
      </c>
      <c r="DZ305" s="428" t="str">
        <f>IF(OR(WWWW[[#This Row],['#_students at TLS_CFS]]="",WWWW[[#This Row],['#_students at TLS_CFS]]=0),"No","Yes")</f>
        <v>No</v>
      </c>
      <c r="EA30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5" s="886" t="str">
        <f>VLOOKUP(WWWW[[#This Row],[Site Name]],SiteDB6[[Site Name]:[CCCM Management]],6,FALSE)</f>
        <v>Yes</v>
      </c>
      <c r="EF305" s="886" t="str">
        <f>VLOOKUP(WWWW[[#This Row],[Site Name]],SiteDB6[[Site Name]:[CCCM Focal Agency]],7,FALSE)</f>
        <v>KBC-MYT</v>
      </c>
      <c r="EG305" s="886" t="str">
        <f>VLOOKUP(WWWW[[#This Row],[Site Name]],SiteDB6[[Site Name]:[Location Type 1]],9,FALSE)</f>
        <v>Camp</v>
      </c>
      <c r="EH305" s="886" t="str">
        <f>VLOOKUP(WWWW[[#This Row],[Site Name]],SiteDB6[[Site Name]:[Type of Accommodation]],10,FALSE)</f>
        <v>Camp</v>
      </c>
      <c r="EI305" s="886" t="str">
        <f>VLOOKUP(WWWW[[#This Row],[Site Name]],SiteDB6[[Site Name]:[Ethnic or GCA/NGCA]],11,FALSE)</f>
        <v>GCA</v>
      </c>
      <c r="EJ305" s="886">
        <f>VLOOKUP(WWWW[[#This Row],[Site Name]],SiteDB6[[Site Name]:[Lat]],12,FALSE)</f>
        <v>25.422194000000001</v>
      </c>
      <c r="EK305" s="886">
        <f>VLOOKUP(WWWW[[#This Row],[Site Name]],SiteDB6[[Site Name]:[Long]],13,FALSE)</f>
        <v>97.394547000000003</v>
      </c>
      <c r="EL305" s="886" t="str">
        <f>VLOOKUP(WWWW[[#This Row],[Site Name]],SiteDB6[[Site Name]:[Pcode]],3,FALSE)</f>
        <v>MMR001CMP002</v>
      </c>
      <c r="EM305" s="891" t="str">
        <f t="shared" si="4"/>
        <v>Covered</v>
      </c>
      <c r="EN305" s="891"/>
      <c r="EO305" s="886">
        <f>VLOOKUP(WWWW[[#This Row],[Site Name]],SiteDB6[[Site Name]:[Pop
(Kachin/Shan-CCCM as of July 2021)]],16,FALSE)</f>
        <v>72</v>
      </c>
      <c r="EP305" s="886">
        <f>VLOOKUP(WWWW[[#This Row],[Site Name]],SiteDB6[[Site Name]:[Pop
(Kachin/Shan-CCCM as of July 2021)]],17,FALSE)</f>
        <v>323</v>
      </c>
    </row>
    <row r="306" spans="1:146" hidden="1">
      <c r="A306" s="884" t="s">
        <v>2764</v>
      </c>
      <c r="B306" s="884" t="s">
        <v>276</v>
      </c>
      <c r="C306" s="885" t="s">
        <v>276</v>
      </c>
      <c r="D306" s="885" t="s">
        <v>3037</v>
      </c>
      <c r="E306" s="885" t="s">
        <v>37</v>
      </c>
      <c r="F306" s="885" t="s">
        <v>205</v>
      </c>
      <c r="G306" s="591" t="str">
        <f>VLOOKUP(WWWW[[#This Row],[Site Name]],SiteDB6[[Site Name]:[Location Type]],8,FALSE)</f>
        <v>Camp</v>
      </c>
      <c r="H306" s="885" t="s">
        <v>284</v>
      </c>
      <c r="I306" s="887">
        <v>47</v>
      </c>
      <c r="J306" s="887">
        <v>299</v>
      </c>
      <c r="K306" s="888">
        <v>44652</v>
      </c>
      <c r="L306" s="889">
        <v>44895</v>
      </c>
      <c r="M306" s="887"/>
      <c r="N306" s="887"/>
      <c r="O306" s="887"/>
      <c r="P306" s="887"/>
      <c r="Q306" s="890" t="s">
        <v>41</v>
      </c>
      <c r="R306" s="887">
        <v>3</v>
      </c>
      <c r="S306" s="887">
        <v>9</v>
      </c>
      <c r="T306" s="448">
        <v>3</v>
      </c>
      <c r="U306" s="887"/>
      <c r="V306" s="887"/>
      <c r="W306" s="887">
        <v>1</v>
      </c>
      <c r="X306" s="887"/>
      <c r="Y306" s="887"/>
      <c r="Z306" s="887"/>
      <c r="AA306" s="887"/>
      <c r="AB306" s="887"/>
      <c r="AC306" s="887"/>
      <c r="AD306" s="887"/>
      <c r="AE306" s="887"/>
      <c r="AF306" s="887"/>
      <c r="AG306" s="887"/>
      <c r="AH306" s="887"/>
      <c r="AI306" s="887"/>
      <c r="AJ306" s="887"/>
      <c r="AK306" s="887"/>
      <c r="AL306" s="887"/>
      <c r="AM306" s="887"/>
      <c r="AN306" s="887"/>
      <c r="AO306" s="448"/>
      <c r="AP306" s="891"/>
      <c r="AQ306" s="887">
        <v>13</v>
      </c>
      <c r="AR306" s="887"/>
      <c r="AS306" s="892"/>
      <c r="AT306" s="887"/>
      <c r="AU306" s="887"/>
      <c r="AV306" s="887">
        <v>15</v>
      </c>
      <c r="AW306" s="887">
        <v>26</v>
      </c>
      <c r="AX306" s="887"/>
      <c r="AY306" s="886" t="s">
        <v>41</v>
      </c>
      <c r="AZ306" s="891" t="s">
        <v>137</v>
      </c>
      <c r="BA306" s="887"/>
      <c r="BB306" s="887"/>
      <c r="BC306" s="887"/>
      <c r="BD306" s="448"/>
      <c r="BE306" s="448">
        <v>3</v>
      </c>
      <c r="BF306" s="886"/>
      <c r="BG306" s="887">
        <v>8</v>
      </c>
      <c r="BH306" s="887"/>
      <c r="BI306" s="887"/>
      <c r="BJ306" s="887">
        <v>3</v>
      </c>
      <c r="BK306" s="887"/>
      <c r="BL306" s="887"/>
      <c r="BM306" s="887">
        <v>1</v>
      </c>
      <c r="BN306" s="887">
        <v>46</v>
      </c>
      <c r="BO306" s="887"/>
      <c r="BP306" s="886"/>
      <c r="BQ306" s="893"/>
      <c r="BR306" s="892"/>
      <c r="BS306" s="886"/>
      <c r="BT306" s="423">
        <v>1</v>
      </c>
      <c r="BU306" s="423">
        <v>1</v>
      </c>
      <c r="BV306" s="425">
        <v>9</v>
      </c>
      <c r="BW306" s="423">
        <v>1</v>
      </c>
      <c r="BX306" s="448"/>
      <c r="BY306" s="448"/>
      <c r="BZ306" s="448"/>
      <c r="CA306" s="448"/>
      <c r="CB306" s="448"/>
      <c r="CC306" s="777"/>
      <c r="CD306" s="448"/>
      <c r="CE306" s="894" t="str">
        <f>IFERROR(WWWW[[#This Row],['#_Water sources passed]]/WWWW[[#This Row],['#_Water sources tested for fecal coliform ]],"no test")</f>
        <v>no test</v>
      </c>
      <c r="CF306" s="892" t="str">
        <f>IFERROR(WWWW[[#This Row],['#_Household passed]]/WWWW[[#This Row],['#_Household water samples tested for fecal coliform]],"no test")</f>
        <v>no test</v>
      </c>
      <c r="CG306" s="893" t="str">
        <f>IF(AND(WWWW[[#This Row],[% of water sources passed]]="no test",WWWW[[#This Row],[% Household passed]]="no test"),"No Test","Tested")</f>
        <v>No Test</v>
      </c>
      <c r="CH306" s="893">
        <f>WWWW[[#This Row],['#_Constructed/existing protected hand dug well]]-WWWW[[#This Row],['#_Non-functional protected hand dug well]]</f>
        <v>3</v>
      </c>
      <c r="CI306" s="893">
        <f>(WWWW[[#This Row],['#_Constructed/Existing tube wells/boreholes/handpumps_WASH_agency]]+WWWW[[#This Row],['#_Non-Cluster partner water tube-wells/boreholes/handpumps]])-WWWW[[#This Row],['#_Non-functional tube wells/boreholes/handpumps]]</f>
        <v>1</v>
      </c>
      <c r="CJ306" s="893">
        <f>WWWW[[#This Row],['#_Constructed/Existingwater storage tank with gravity fed reticulation system]]-WWWW[[#This Row],['#_Non-functional storage tank gravity fed reticulation system]]</f>
        <v>0</v>
      </c>
      <c r="CK306" s="893">
        <f>(WWWW[[#This Row],['#_Water_Liters_supplied_by_Water boating or water trucking]]/90)/15</f>
        <v>0</v>
      </c>
      <c r="CL306" s="893">
        <f>WWWW[[#This Row],['#_Water_Liters_from_Constructed/Existing water distribution system from river or natural spring]]/90/15</f>
        <v>0</v>
      </c>
      <c r="CM306" s="424">
        <f>IF(WWWW[[#This Row],['#_of water points in TLS/CFS]]*500&gt;WWWW[[#This Row],[Total PoP ]],WWWW[[#This Row],[Total PoP ]],WWWW[[#This Row],['#_of water points in TLS/CFS]]*500)</f>
        <v>0</v>
      </c>
      <c r="CN306" s="424">
        <f>IF(WWWW[[#This Row],['#_of water points in THF]]*500&gt;WWWW[[#This Row],[Total PoP ]],WWWW[[#This Row],[Total PoP ]],WWWW[[#This Row],['#_of water points in THF]]*500)</f>
        <v>0</v>
      </c>
      <c r="CO30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6" s="892">
        <f>IF(WWWW[[#This Row],[Location Type 1]]="Village",WWWW[[#This Row],[Access to safe drinking water for Village]],WWWW[[#This Row],[Access to safe drinking water for Camp]])</f>
        <v>1</v>
      </c>
      <c r="CR306" s="890">
        <f>WWWW[[#This Row],[%Equitable and continuous access to sufficient quantity of safe drinking water]]*WWWW[[#This Row],[Total PoP ]]</f>
        <v>299</v>
      </c>
      <c r="CS306" s="892">
        <f>IF((WWWW[[#This Row],['#_Constructed/Existing protected/fenced ponds]]*250)/WWWW[[#This Row],[Total PoP ]]&gt;1,1,(WWWW[[#This Row],['#_Constructed/Existing protected/fenced ponds]]*250)/WWWW[[#This Row],[Total PoP ]])</f>
        <v>0</v>
      </c>
      <c r="CT306" s="890">
        <f>WWWW[[#This Row],[% Access to unimproved water points]]*WWWW[[#This Row],[Total PoP ]]</f>
        <v>0</v>
      </c>
      <c r="CU30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299</v>
      </c>
      <c r="CW306" s="890">
        <f>WWWW[[#This Row],[HRP1]]/500</f>
        <v>0.59799999999999998</v>
      </c>
      <c r="CX306" s="895">
        <f>1-WWWW[[#This Row],[% Equitable and continuous access to sufficient quantity of domestic water]]</f>
        <v>0</v>
      </c>
      <c r="CY306" s="890">
        <f>WWWW[[#This Row],[%equitable and continuous access to sufficient quantity of safe drinking and domestic water''s GAP]]*WWWW[[#This Row],[Total PoP ]]</f>
        <v>0</v>
      </c>
      <c r="CZ306" s="893">
        <f>IF(WWWW[[#This Row],[Total required water points]]-WWWW[[#This Row],['#Water points coverage]]&lt;0,0,WWWW[[#This Row],[Total required water points]]-WWWW[[#This Row],['#Water points coverage]])</f>
        <v>0.40200000000000002</v>
      </c>
      <c r="DA306" s="893">
        <f>ROUND(IF(WWWW[[#This Row],[Total PoP ]]&lt;500,1,WWWW[[#This Row],[Total PoP ]]/500),0)</f>
        <v>1</v>
      </c>
      <c r="DB306" s="893">
        <f>(WWWW[[#This Row],['#_Constructed latrines_by_WASHAgencies]]+WWWW[[#This Row],['#_Non Cluster partner latrines]])-WWWW[[#This Row],['#_Non-functional latrines]]</f>
        <v>13</v>
      </c>
      <c r="DC306" s="631">
        <f>WWWW[[#This Row],[HRP2]]/WWWW[[#This Row],[Total PoP ]]</f>
        <v>0.87959866220735783</v>
      </c>
      <c r="DD30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263</v>
      </c>
      <c r="DE30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299</v>
      </c>
      <c r="DF30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6" s="424">
        <f>IF(WWWW[[#This Row],['# of functional latrines in THF supported by WASH partners during the reporting period2]]="",0,WWWW[[#This Row],['# of functional latrines in THF supported by WASH partners during the reporting period2]]*50)</f>
        <v>0</v>
      </c>
      <c r="DH306" s="893">
        <f>ROUND(IF(WWWW[[#This Row],[Location Type 1]]="camp",WWWW[[#This Row],[Total PoP ]]/20,IF(WWWW[[#This Row],[Location Type 1]]="Temporary Location",WWWW[[#This Row],[Total PoP ]]/50,(WWWW[[#This Row],[Total PoP ]]/6))),0)</f>
        <v>15</v>
      </c>
      <c r="DI306" s="893">
        <f>IF(WWWW[[#This Row],[Total required Latrines]]-(WWWW[[#This Row],['#_Constructed latrines_by_WASHAgencies]]+WWWW[[#This Row],['#_Non Cluster partner latrines]])&lt;0,0,WWWW[[#This Row],[Total required Latrines]]-(WWWW[[#This Row],['#_Constructed latrines_by_WASHAgencies]]+WWWW[[#This Row],['#_Non Cluster partner latrines]]))</f>
        <v>2</v>
      </c>
      <c r="DJ306" s="895">
        <f>1-WWWW[[#This Row],[% people access to functioning Latrine]]</f>
        <v>0.12040133779264217</v>
      </c>
      <c r="DK306" s="894">
        <f>IF(OR(WWWW[[#This Row],['#_Non-functional latrines]]="",WWWW[[#This Row],['#_Non-functional latrines]]=0),0,WWWW[[#This Row],['#_Non-functional latrines]]/(WWWW[[#This Row],['#_Constructed latrines_by_WASHAgencies]]+WWWW[[#This Row],['#_Non Cluster partner latrines]]))</f>
        <v>0</v>
      </c>
      <c r="DL306" s="890">
        <f>IF(500*(WWWW[[#This Row],['#_male hygiene promoters]]+WWWW[[#This Row],['#_female hygiene promoters]])&gt;WWWW[[#This Row],[Total PoP ]],WWWW[[#This Row],[Total PoP ]],500*(WWWW[[#This Row],['#_male hygiene promoters]]+WWWW[[#This Row],['#_female hygiene promoters]]))</f>
        <v>299</v>
      </c>
      <c r="DM30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230</v>
      </c>
      <c r="DN30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6" s="893">
        <f>IF(WWWW[[#This Row],['# People with access to soap]]&gt;WWWW[[#This Row],['# People with access to Sanity Pads]],WWWW[[#This Row],['# People with access to soap]],WWWW[[#This Row],['# People with access to Sanity Pads]])</f>
        <v>230</v>
      </c>
      <c r="DP306" s="893">
        <f>IF(WWWW[[#This Row],['# people reached by regular dedicated hygiene promotion_5]]&gt;WWWW[[#This Row],['# People received regular supply of hygiene items_6]],WWWW[[#This Row],['# people reached by regular dedicated hygiene promotion_5]],WWWW[[#This Row],['# People received regular supply of hygiene items_6]])</f>
        <v>299</v>
      </c>
      <c r="DQ306" s="895">
        <f>IF(WWWW[[#This Row],[HRP3]]/WWWW[[#This Row],[Total PoP ]]&gt;1,1,WWWW[[#This Row],[HRP3]]/WWWW[[#This Row],[Total PoP ]])</f>
        <v>1</v>
      </c>
      <c r="DR306" s="894">
        <f>1-WWWW[[#This Row],[Hygiene Coverage%]]</f>
        <v>0</v>
      </c>
      <c r="DS306" s="892">
        <f>WWWW[[#This Row],['# people reached by regular dedicated hygiene promotion_5]]/WWWW[[#This Row],[Total PoP ]]</f>
        <v>1</v>
      </c>
      <c r="DT30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0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6" s="893">
        <f>WWWW[[#This Row],['#_Constructed/Existing hand washing stations]]-WWWW[[#This Row],['#_Non-Functional_hand_washing_stations]]</f>
        <v>8</v>
      </c>
      <c r="DW306" s="890">
        <f>IF(WWWW[[#This Row],['# Functional hand washing stations during reporting period]]*20&gt;WWWW[[#This Row],[Total HH]],WWWW[[#This Row],[Total HH]],WWWW[[#This Row],['# Functional hand washing stations during reporting period]]*20)</f>
        <v>47</v>
      </c>
      <c r="DX306" s="890">
        <f>IF(WWWW[[#This Row],[Is sufficient soap available for TLS? (Yes/No)]]="yes",WWWW[[#This Row],['#_Constructed/Existing hand washing stations at TLS/CFS/THF]],0)</f>
        <v>0</v>
      </c>
      <c r="DY306" s="428">
        <f>IF(WWWW[[#This Row],['# Functional hand washing stations during reporting period]]*100&gt;WWWW[[#This Row],[Total PoP ]],WWWW[[#This Row],[Total PoP ]],WWWW[[#This Row],['# Functional hand washing stations during reporting period]]*100)</f>
        <v>299</v>
      </c>
      <c r="DZ306" s="428" t="str">
        <f>IF(OR(WWWW[[#This Row],['#_students at TLS_CFS]]="",WWWW[[#This Row],['#_students at TLS_CFS]]=0),"No","Yes")</f>
        <v>No</v>
      </c>
      <c r="EA306" s="631">
        <f>IF(WWWW[[#This Row],['#_of_affected_people_surveyed_who_report_feeling_informed_about_the_different_WASH_services_available_to_them]]="","",WWWW[[#This Row],['#_of_affected_people_surveyed_who_report_feeling_informed_about_the_different_WASH_services_available_to_them]]/WWWW[[#This Row],[Total PoP ]])</f>
        <v>3.0100334448160536E-2</v>
      </c>
      <c r="EB30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6" s="886" t="str">
        <f>VLOOKUP(WWWW[[#This Row],[Site Name]],SiteDB6[[Site Name]:[CCCM Management]],6,FALSE)</f>
        <v>Yes</v>
      </c>
      <c r="EF306" s="886" t="str">
        <f>VLOOKUP(WWWW[[#This Row],[Site Name]],SiteDB6[[Site Name]:[CCCM Focal Agency]],7,FALSE)</f>
        <v>KBC-BMO</v>
      </c>
      <c r="EG306" s="886" t="str">
        <f>VLOOKUP(WWWW[[#This Row],[Site Name]],SiteDB6[[Site Name]:[Location Type 1]],9,FALSE)</f>
        <v>Camp</v>
      </c>
      <c r="EH306" s="886" t="str">
        <f>VLOOKUP(WWWW[[#This Row],[Site Name]],SiteDB6[[Site Name]:[Type of Accommodation]],10,FALSE)</f>
        <v>Camp</v>
      </c>
      <c r="EI306" s="886" t="str">
        <f>VLOOKUP(WWWW[[#This Row],[Site Name]],SiteDB6[[Site Name]:[Ethnic or GCA/NGCA]],11,FALSE)</f>
        <v>GCA</v>
      </c>
      <c r="EJ306" s="886">
        <f>VLOOKUP(WWWW[[#This Row],[Site Name]],SiteDB6[[Site Name]:[Lat]],12,FALSE)</f>
        <v>24.205417000000001</v>
      </c>
      <c r="EK306" s="886">
        <f>VLOOKUP(WWWW[[#This Row],[Site Name]],SiteDB6[[Site Name]:[Long]],13,FALSE)</f>
        <v>97.724483000000006</v>
      </c>
      <c r="EL306" s="886" t="str">
        <f>VLOOKUP(WWWW[[#This Row],[Site Name]],SiteDB6[[Site Name]:[Pcode]],3,FALSE)</f>
        <v>MMR001CMP072</v>
      </c>
      <c r="EM306" s="891" t="str">
        <f t="shared" si="4"/>
        <v>Covered</v>
      </c>
      <c r="EN306" s="891"/>
      <c r="EO306" s="886">
        <f>VLOOKUP(WWWW[[#This Row],[Site Name]],SiteDB6[[Site Name]:[Pop
(Kachin/Shan-CCCM as of July 2021)]],16,FALSE)</f>
        <v>47</v>
      </c>
      <c r="EP306" s="886">
        <f>VLOOKUP(WWWW[[#This Row],[Site Name]],SiteDB6[[Site Name]:[Pop
(Kachin/Shan-CCCM as of July 2021)]],17,FALSE)</f>
        <v>291</v>
      </c>
    </row>
    <row r="307" spans="1:146" hidden="1">
      <c r="A307" s="884" t="s">
        <v>2764</v>
      </c>
      <c r="B307" s="884" t="s">
        <v>36</v>
      </c>
      <c r="C307" s="885" t="s">
        <v>36</v>
      </c>
      <c r="D307" s="885" t="s">
        <v>241</v>
      </c>
      <c r="E307" s="885" t="s">
        <v>37</v>
      </c>
      <c r="F307" s="885" t="s">
        <v>159</v>
      </c>
      <c r="G307" s="591" t="str">
        <f>VLOOKUP(WWWW[[#This Row],[Site Name]],SiteDB6[[Site Name]:[Location Type]],8,FALSE)</f>
        <v>Camp</v>
      </c>
      <c r="H307" s="885" t="s">
        <v>235</v>
      </c>
      <c r="I307" s="887">
        <v>148</v>
      </c>
      <c r="J307" s="887">
        <v>924</v>
      </c>
      <c r="K307" s="888">
        <v>44414</v>
      </c>
      <c r="L307" s="889">
        <v>44778</v>
      </c>
      <c r="M307" s="887"/>
      <c r="N307" s="887">
        <v>4</v>
      </c>
      <c r="O307" s="887"/>
      <c r="P307" s="887"/>
      <c r="Q307" s="890" t="s">
        <v>41</v>
      </c>
      <c r="R307" s="887">
        <v>1</v>
      </c>
      <c r="S307" s="887">
        <v>4</v>
      </c>
      <c r="T307" s="448">
        <v>4</v>
      </c>
      <c r="U307" s="887">
        <v>1</v>
      </c>
      <c r="V307" s="887">
        <v>1</v>
      </c>
      <c r="W307" s="887">
        <v>2</v>
      </c>
      <c r="X307" s="887"/>
      <c r="Y307" s="887"/>
      <c r="Z307" s="887"/>
      <c r="AA307" s="887">
        <v>1</v>
      </c>
      <c r="AB307" s="887">
        <v>1</v>
      </c>
      <c r="AC307" s="887">
        <v>1</v>
      </c>
      <c r="AD307" s="887"/>
      <c r="AE307" s="887"/>
      <c r="AF307" s="887"/>
      <c r="AG307" s="887"/>
      <c r="AH307" s="887"/>
      <c r="AI307" s="887">
        <v>7</v>
      </c>
      <c r="AJ307" s="887">
        <v>5</v>
      </c>
      <c r="AK307" s="887"/>
      <c r="AL307" s="887"/>
      <c r="AM307" s="887">
        <v>12</v>
      </c>
      <c r="AN307" s="887"/>
      <c r="AO307" s="448"/>
      <c r="AP307" s="891"/>
      <c r="AQ307" s="887">
        <v>33</v>
      </c>
      <c r="AR307" s="887"/>
      <c r="AS307" s="892"/>
      <c r="AT307" s="887"/>
      <c r="AU307" s="887"/>
      <c r="AV307" s="887">
        <v>8</v>
      </c>
      <c r="AW307" s="887"/>
      <c r="AX307" s="887">
        <v>8</v>
      </c>
      <c r="AY307" s="886" t="s">
        <v>41</v>
      </c>
      <c r="AZ307" s="891" t="s">
        <v>137</v>
      </c>
      <c r="BA307" s="887">
        <v>1</v>
      </c>
      <c r="BB307" s="887"/>
      <c r="BC307" s="887"/>
      <c r="BD307" s="448"/>
      <c r="BE307" s="448"/>
      <c r="BF307" s="886"/>
      <c r="BG307" s="887">
        <v>8</v>
      </c>
      <c r="BH307" s="887"/>
      <c r="BI307" s="887"/>
      <c r="BJ307" s="887">
        <v>5</v>
      </c>
      <c r="BK307" s="887"/>
      <c r="BL307" s="887"/>
      <c r="BM307" s="887">
        <v>2</v>
      </c>
      <c r="BN307" s="887">
        <v>148</v>
      </c>
      <c r="BO307" s="887">
        <v>198.19800000000001</v>
      </c>
      <c r="BP307" s="886" t="s">
        <v>41</v>
      </c>
      <c r="BQ307" s="893">
        <v>100</v>
      </c>
      <c r="BR307" s="892"/>
      <c r="BS307" s="886" t="s">
        <v>3036</v>
      </c>
      <c r="BT307" s="423"/>
      <c r="BU307" s="423"/>
      <c r="BV307" s="425"/>
      <c r="BW307" s="423">
        <v>0.01</v>
      </c>
      <c r="BX307" s="448"/>
      <c r="BY307" s="448"/>
      <c r="BZ307" s="448"/>
      <c r="CA307" s="448"/>
      <c r="CB307" s="448"/>
      <c r="CC307" s="777"/>
      <c r="CD307" s="448"/>
      <c r="CE307" s="894">
        <f>IFERROR(WWWW[[#This Row],['#_Water sources passed]]/WWWW[[#This Row],['#_Water sources tested for fecal coliform ]],"no test")</f>
        <v>0.7142857142857143</v>
      </c>
      <c r="CF307" s="892" t="str">
        <f>IFERROR(WWWW[[#This Row],['#_Household passed]]/WWWW[[#This Row],['#_Household water samples tested for fecal coliform]],"no test")</f>
        <v>no test</v>
      </c>
      <c r="CG307" s="893" t="str">
        <f>IF(AND(WWWW[[#This Row],[% of water sources passed]]="no test",WWWW[[#This Row],[% Household passed]]="no test"),"No Test","Tested")</f>
        <v>Tested</v>
      </c>
      <c r="CH307" s="893">
        <f>WWWW[[#This Row],['#_Constructed/existing protected hand dug well]]-WWWW[[#This Row],['#_Non-functional protected hand dug well]]</f>
        <v>3</v>
      </c>
      <c r="CI307" s="893">
        <f>(WWWW[[#This Row],['#_Constructed/Existing tube wells/boreholes/handpumps_WASH_agency]]+WWWW[[#This Row],['#_Non-Cluster partner water tube-wells/boreholes/handpumps]])-WWWW[[#This Row],['#_Non-functional tube wells/boreholes/handpumps]]</f>
        <v>2</v>
      </c>
      <c r="CJ307" s="893">
        <f>WWWW[[#This Row],['#_Constructed/Existingwater storage tank with gravity fed reticulation system]]-WWWW[[#This Row],['#_Non-functional storage tank gravity fed reticulation system]]</f>
        <v>0</v>
      </c>
      <c r="CK307" s="893">
        <f>(WWWW[[#This Row],['#_Water_Liters_supplied_by_Water boating or water trucking]]/90)/15</f>
        <v>0</v>
      </c>
      <c r="CL307" s="893">
        <f>WWWW[[#This Row],['#_Water_Liters_from_Constructed/Existing water distribution system from river or natural spring]]/90/15</f>
        <v>0</v>
      </c>
      <c r="CM307" s="424">
        <f>IF(WWWW[[#This Row],['#_of water points in TLS/CFS]]*500&gt;WWWW[[#This Row],[Total PoP ]],WWWW[[#This Row],[Total PoP ]],WWWW[[#This Row],['#_of water points in TLS/CFS]]*500)</f>
        <v>0</v>
      </c>
      <c r="CN307" s="424">
        <f>IF(WWWW[[#This Row],['#_of water points in THF]]*500&gt;WWWW[[#This Row],[Total PoP ]],WWWW[[#This Row],[Total PoP ]],WWWW[[#This Row],['#_of water points in THF]]*500)</f>
        <v>0</v>
      </c>
      <c r="CO30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7" s="892">
        <f>IF(WWWW[[#This Row],[Location Type 1]]="Village",WWWW[[#This Row],[Access to safe drinking water for Village]],WWWW[[#This Row],[Access to safe drinking water for Camp]])</f>
        <v>1</v>
      </c>
      <c r="CR307" s="890">
        <f>WWWW[[#This Row],[%Equitable and continuous access to sufficient quantity of safe drinking water]]*WWWW[[#This Row],[Total PoP ]]</f>
        <v>924</v>
      </c>
      <c r="CS307" s="892">
        <f>IF((WWWW[[#This Row],['#_Constructed/Existing protected/fenced ponds]]*250)/WWWW[[#This Row],[Total PoP ]]&gt;1,1,(WWWW[[#This Row],['#_Constructed/Existing protected/fenced ponds]]*250)/WWWW[[#This Row],[Total PoP ]])</f>
        <v>0</v>
      </c>
      <c r="CT307" s="890">
        <f>WWWW[[#This Row],[% Access to unimproved water points]]*WWWW[[#This Row],[Total PoP ]]</f>
        <v>0</v>
      </c>
      <c r="CU30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924</v>
      </c>
      <c r="CW307" s="890">
        <f>WWWW[[#This Row],[HRP1]]/500</f>
        <v>1.8480000000000001</v>
      </c>
      <c r="CX307" s="895">
        <f>1-WWWW[[#This Row],[% Equitable and continuous access to sufficient quantity of domestic water]]</f>
        <v>0</v>
      </c>
      <c r="CY307" s="890">
        <f>WWWW[[#This Row],[%equitable and continuous access to sufficient quantity of safe drinking and domestic water''s GAP]]*WWWW[[#This Row],[Total PoP ]]</f>
        <v>0</v>
      </c>
      <c r="CZ307" s="893">
        <f>IF(WWWW[[#This Row],[Total required water points]]-WWWW[[#This Row],['#Water points coverage]]&lt;0,0,WWWW[[#This Row],[Total required water points]]-WWWW[[#This Row],['#Water points coverage]])</f>
        <v>0.15199999999999991</v>
      </c>
      <c r="DA307" s="893">
        <f>ROUND(IF(WWWW[[#This Row],[Total PoP ]]&lt;500,1,WWWW[[#This Row],[Total PoP ]]/500),0)</f>
        <v>2</v>
      </c>
      <c r="DB307" s="893">
        <f>(WWWW[[#This Row],['#_Constructed latrines_by_WASHAgencies]]+WWWW[[#This Row],['#_Non Cluster partner latrines]])-WWWW[[#This Row],['#_Non-functional latrines]]</f>
        <v>33</v>
      </c>
      <c r="DC307" s="631">
        <f>WWWW[[#This Row],[HRP2]]/WWWW[[#This Row],[Total PoP ]]</f>
        <v>0.73593073593073588</v>
      </c>
      <c r="DD30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680</v>
      </c>
      <c r="DE30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DF30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7" s="424">
        <f>IF(WWWW[[#This Row],['# of functional latrines in THF supported by WASH partners during the reporting period2]]="",0,WWWW[[#This Row],['# of functional latrines in THF supported by WASH partners during the reporting period2]]*50)</f>
        <v>0</v>
      </c>
      <c r="DH307" s="893">
        <f>ROUND(IF(WWWW[[#This Row],[Location Type 1]]="camp",WWWW[[#This Row],[Total PoP ]]/20,IF(WWWW[[#This Row],[Location Type 1]]="Temporary Location",WWWW[[#This Row],[Total PoP ]]/50,(WWWW[[#This Row],[Total PoP ]]/6))),0)</f>
        <v>46</v>
      </c>
      <c r="DI307" s="893">
        <f>IF(WWWW[[#This Row],[Total required Latrines]]-(WWWW[[#This Row],['#_Constructed latrines_by_WASHAgencies]]+WWWW[[#This Row],['#_Non Cluster partner latrines]])&lt;0,0,WWWW[[#This Row],[Total required Latrines]]-(WWWW[[#This Row],['#_Constructed latrines_by_WASHAgencies]]+WWWW[[#This Row],['#_Non Cluster partner latrines]]))</f>
        <v>13</v>
      </c>
      <c r="DJ307" s="895">
        <f>1-WWWW[[#This Row],[% people access to functioning Latrine]]</f>
        <v>0.26406926406926412</v>
      </c>
      <c r="DK307" s="894">
        <f>IF(OR(WWWW[[#This Row],['#_Non-functional latrines]]="",WWWW[[#This Row],['#_Non-functional latrines]]=0),0,WWWW[[#This Row],['#_Non-functional latrines]]/(WWWW[[#This Row],['#_Constructed latrines_by_WASHAgencies]]+WWWW[[#This Row],['#_Non Cluster partner latrines]]))</f>
        <v>0</v>
      </c>
      <c r="DL307" s="890">
        <f>IF(500*(WWWW[[#This Row],['#_male hygiene promoters]]+WWWW[[#This Row],['#_female hygiene promoters]])&gt;WWWW[[#This Row],[Total PoP ]],WWWW[[#This Row],[Total PoP ]],500*(WWWW[[#This Row],['#_male hygiene promoters]]+WWWW[[#This Row],['#_female hygiene promoters]]))</f>
        <v>924</v>
      </c>
      <c r="DM30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924</v>
      </c>
      <c r="DN30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198.19800000000001</v>
      </c>
      <c r="DO307" s="893">
        <f>IF(WWWW[[#This Row],['# People with access to soap]]&gt;WWWW[[#This Row],['# People with access to Sanity Pads]],WWWW[[#This Row],['# People with access to soap]],WWWW[[#This Row],['# People with access to Sanity Pads]])</f>
        <v>924</v>
      </c>
      <c r="DP307" s="893">
        <f>IF(WWWW[[#This Row],['# people reached by regular dedicated hygiene promotion_5]]&gt;WWWW[[#This Row],['# People received regular supply of hygiene items_6]],WWWW[[#This Row],['# people reached by regular dedicated hygiene promotion_5]],WWWW[[#This Row],['# People received regular supply of hygiene items_6]])</f>
        <v>924</v>
      </c>
      <c r="DQ307" s="895">
        <f>IF(WWWW[[#This Row],[HRP3]]/WWWW[[#This Row],[Total PoP ]]&gt;1,1,WWWW[[#This Row],[HRP3]]/WWWW[[#This Row],[Total PoP ]])</f>
        <v>1</v>
      </c>
      <c r="DR307" s="894">
        <f>1-WWWW[[#This Row],[Hygiene Coverage%]]</f>
        <v>0</v>
      </c>
      <c r="DS307" s="892">
        <f>WWWW[[#This Row],['# people reached by regular dedicated hygiene promotion_5]]/WWWW[[#This Row],[Total PoP ]]</f>
        <v>1</v>
      </c>
      <c r="DT30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0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07" s="893">
        <f>WWWW[[#This Row],['#_Constructed/Existing hand washing stations]]-WWWW[[#This Row],['#_Non-Functional_hand_washing_stations]]</f>
        <v>8</v>
      </c>
      <c r="DW307" s="890">
        <f>IF(WWWW[[#This Row],['# Functional hand washing stations during reporting period]]*20&gt;WWWW[[#This Row],[Total HH]],WWWW[[#This Row],[Total HH]],WWWW[[#This Row],['# Functional hand washing stations during reporting period]]*20)</f>
        <v>148</v>
      </c>
      <c r="DX307" s="890">
        <f>IF(WWWW[[#This Row],[Is sufficient soap available for TLS? (Yes/No)]]="yes",WWWW[[#This Row],['#_Constructed/Existing hand washing stations at TLS/CFS/THF]],0)</f>
        <v>12</v>
      </c>
      <c r="DY307" s="428">
        <f>IF(WWWW[[#This Row],['# Functional hand washing stations during reporting period]]*100&gt;WWWW[[#This Row],[Total PoP ]],WWWW[[#This Row],[Total PoP ]],WWWW[[#This Row],['# Functional hand washing stations during reporting period]]*100)</f>
        <v>800</v>
      </c>
      <c r="DZ307" s="428" t="str">
        <f>IF(OR(WWWW[[#This Row],['#_students at TLS_CFS]]="",WWWW[[#This Row],['#_students at TLS_CFS]]=0),"No","Yes")</f>
        <v>No</v>
      </c>
      <c r="EA30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7" s="886" t="str">
        <f>VLOOKUP(WWWW[[#This Row],[Site Name]],SiteDB6[[Site Name]:[CCCM Management]],6,FALSE)</f>
        <v>Yes</v>
      </c>
      <c r="EF307" s="886" t="str">
        <f>VLOOKUP(WWWW[[#This Row],[Site Name]],SiteDB6[[Site Name]:[CCCM Focal Agency]],7,FALSE)</f>
        <v>KMSS-MYT</v>
      </c>
      <c r="EG307" s="886" t="str">
        <f>VLOOKUP(WWWW[[#This Row],[Site Name]],SiteDB6[[Site Name]:[Location Type 1]],9,FALSE)</f>
        <v>Camp</v>
      </c>
      <c r="EH307" s="886" t="str">
        <f>VLOOKUP(WWWW[[#This Row],[Site Name]],SiteDB6[[Site Name]:[Type of Accommodation]],10,FALSE)</f>
        <v>Camp</v>
      </c>
      <c r="EI307" s="886" t="str">
        <f>VLOOKUP(WWWW[[#This Row],[Site Name]],SiteDB6[[Site Name]:[Ethnic or GCA/NGCA]],11,FALSE)</f>
        <v>GCA</v>
      </c>
      <c r="EJ307" s="886">
        <f>VLOOKUP(WWWW[[#This Row],[Site Name]],SiteDB6[[Site Name]:[Lat]],12,FALSE)</f>
        <v>25.493819999999999</v>
      </c>
      <c r="EK307" s="886">
        <f>VLOOKUP(WWWW[[#This Row],[Site Name]],SiteDB6[[Site Name]:[Long]],13,FALSE)</f>
        <v>97.4345</v>
      </c>
      <c r="EL307" s="886" t="str">
        <f>VLOOKUP(WWWW[[#This Row],[Site Name]],SiteDB6[[Site Name]:[Pcode]],3,FALSE)</f>
        <v>MMR001CMP162</v>
      </c>
      <c r="EM307" s="891" t="str">
        <f t="shared" si="4"/>
        <v>Covered</v>
      </c>
      <c r="EN307" s="891"/>
      <c r="EO307" s="886">
        <f>VLOOKUP(WWWW[[#This Row],[Site Name]],SiteDB6[[Site Name]:[Pop
(Kachin/Shan-CCCM as of July 2021)]],16,FALSE)</f>
        <v>152</v>
      </c>
      <c r="EP307" s="886">
        <f>VLOOKUP(WWWW[[#This Row],[Site Name]],SiteDB6[[Site Name]:[Pop
(Kachin/Shan-CCCM as of July 2021)]],17,FALSE)</f>
        <v>941</v>
      </c>
    </row>
    <row r="308" spans="1:146" hidden="1">
      <c r="A308" s="884" t="s">
        <v>2764</v>
      </c>
      <c r="B308" s="884" t="s">
        <v>36</v>
      </c>
      <c r="C308" s="885" t="s">
        <v>36</v>
      </c>
      <c r="D308" s="885" t="s">
        <v>241</v>
      </c>
      <c r="E308" s="885" t="s">
        <v>37</v>
      </c>
      <c r="F308" s="885" t="s">
        <v>159</v>
      </c>
      <c r="G308" s="591" t="str">
        <f>VLOOKUP(WWWW[[#This Row],[Site Name]],SiteDB6[[Site Name]:[Location Type]],8,FALSE)</f>
        <v>Camp</v>
      </c>
      <c r="H308" s="885" t="s">
        <v>1605</v>
      </c>
      <c r="I308" s="887">
        <v>214</v>
      </c>
      <c r="J308" s="887">
        <v>1187</v>
      </c>
      <c r="K308" s="888">
        <v>44414</v>
      </c>
      <c r="L308" s="889">
        <v>44778</v>
      </c>
      <c r="M308" s="887"/>
      <c r="N308" s="887">
        <v>2</v>
      </c>
      <c r="O308" s="887"/>
      <c r="P308" s="887"/>
      <c r="Q308" s="890" t="s">
        <v>41</v>
      </c>
      <c r="R308" s="887">
        <v>2</v>
      </c>
      <c r="S308" s="887">
        <v>4</v>
      </c>
      <c r="T308" s="448">
        <v>4</v>
      </c>
      <c r="U308" s="887">
        <v>1</v>
      </c>
      <c r="V308" s="887">
        <v>1</v>
      </c>
      <c r="W308" s="887"/>
      <c r="X308" s="887"/>
      <c r="Y308" s="887"/>
      <c r="Z308" s="887"/>
      <c r="AA308" s="887"/>
      <c r="AB308" s="887"/>
      <c r="AC308" s="887"/>
      <c r="AD308" s="887"/>
      <c r="AE308" s="887"/>
      <c r="AF308" s="887"/>
      <c r="AG308" s="887"/>
      <c r="AH308" s="887"/>
      <c r="AI308" s="887">
        <v>6</v>
      </c>
      <c r="AJ308" s="887">
        <v>3</v>
      </c>
      <c r="AK308" s="887"/>
      <c r="AL308" s="887"/>
      <c r="AM308" s="887"/>
      <c r="AN308" s="887"/>
      <c r="AO308" s="448"/>
      <c r="AP308" s="891"/>
      <c r="AQ308" s="887">
        <v>66</v>
      </c>
      <c r="AR308" s="887"/>
      <c r="AS308" s="892"/>
      <c r="AT308" s="887"/>
      <c r="AU308" s="887"/>
      <c r="AV308" s="887">
        <v>4</v>
      </c>
      <c r="AW308" s="887"/>
      <c r="AX308" s="887"/>
      <c r="AY308" s="886" t="s">
        <v>41</v>
      </c>
      <c r="AZ308" s="891" t="s">
        <v>137</v>
      </c>
      <c r="BA308" s="887">
        <v>1</v>
      </c>
      <c r="BB308" s="887"/>
      <c r="BC308" s="887"/>
      <c r="BD308" s="448"/>
      <c r="BE308" s="448"/>
      <c r="BF308" s="886"/>
      <c r="BG308" s="887">
        <v>4</v>
      </c>
      <c r="BH308" s="887"/>
      <c r="BI308" s="887">
        <v>7</v>
      </c>
      <c r="BJ308" s="887">
        <v>11</v>
      </c>
      <c r="BK308" s="887"/>
      <c r="BL308" s="887"/>
      <c r="BM308" s="887">
        <v>1</v>
      </c>
      <c r="BN308" s="887">
        <v>214</v>
      </c>
      <c r="BO308" s="887">
        <v>254.61150000000004</v>
      </c>
      <c r="BP308" s="886" t="s">
        <v>41</v>
      </c>
      <c r="BQ308" s="893">
        <v>100</v>
      </c>
      <c r="BR308" s="892"/>
      <c r="BS308" s="886" t="s">
        <v>3036</v>
      </c>
      <c r="BT308" s="423"/>
      <c r="BU308" s="423"/>
      <c r="BV308" s="425"/>
      <c r="BW308" s="423">
        <v>0.01</v>
      </c>
      <c r="BX308" s="448"/>
      <c r="BY308" s="448"/>
      <c r="BZ308" s="448"/>
      <c r="CA308" s="448"/>
      <c r="CB308" s="448"/>
      <c r="CC308" s="777"/>
      <c r="CD308" s="448"/>
      <c r="CE308" s="894">
        <f>IFERROR(WWWW[[#This Row],['#_Water sources passed]]/WWWW[[#This Row],['#_Water sources tested for fecal coliform ]],"no test")</f>
        <v>0.5</v>
      </c>
      <c r="CF308" s="892" t="str">
        <f>IFERROR(WWWW[[#This Row],['#_Household passed]]/WWWW[[#This Row],['#_Household water samples tested for fecal coliform]],"no test")</f>
        <v>no test</v>
      </c>
      <c r="CG308" s="893" t="str">
        <f>IF(AND(WWWW[[#This Row],[% of water sources passed]]="no test",WWWW[[#This Row],[% Household passed]]="no test"),"No Test","Tested")</f>
        <v>Tested</v>
      </c>
      <c r="CH308" s="893">
        <f>WWWW[[#This Row],['#_Constructed/existing protected hand dug well]]-WWWW[[#This Row],['#_Non-functional protected hand dug well]]</f>
        <v>3</v>
      </c>
      <c r="CI308" s="893">
        <f>(WWWW[[#This Row],['#_Constructed/Existing tube wells/boreholes/handpumps_WASH_agency]]+WWWW[[#This Row],['#_Non-Cluster partner water tube-wells/boreholes/handpumps]])-WWWW[[#This Row],['#_Non-functional tube wells/boreholes/handpumps]]</f>
        <v>0</v>
      </c>
      <c r="CJ308" s="893">
        <f>WWWW[[#This Row],['#_Constructed/Existingwater storage tank with gravity fed reticulation system]]-WWWW[[#This Row],['#_Non-functional storage tank gravity fed reticulation system]]</f>
        <v>0</v>
      </c>
      <c r="CK308" s="893">
        <f>(WWWW[[#This Row],['#_Water_Liters_supplied_by_Water boating or water trucking]]/90)/15</f>
        <v>0</v>
      </c>
      <c r="CL308" s="893">
        <f>WWWW[[#This Row],['#_Water_Liters_from_Constructed/Existing water distribution system from river or natural spring]]/90/15</f>
        <v>0</v>
      </c>
      <c r="CM308" s="424">
        <f>IF(WWWW[[#This Row],['#_of water points in TLS/CFS]]*500&gt;WWWW[[#This Row],[Total PoP ]],WWWW[[#This Row],[Total PoP ]],WWWW[[#This Row],['#_of water points in TLS/CFS]]*500)</f>
        <v>0</v>
      </c>
      <c r="CN308" s="424">
        <f>IF(WWWW[[#This Row],['#_of water points in THF]]*500&gt;WWWW[[#This Row],[Total PoP ]],WWWW[[#This Row],[Total PoP ]],WWWW[[#This Row],['#_of water points in THF]]*500)</f>
        <v>0</v>
      </c>
      <c r="CO30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0.63184498736310024</v>
      </c>
      <c r="CQ308" s="892">
        <f>IF(WWWW[[#This Row],[Location Type 1]]="Village",WWWW[[#This Row],[Access to safe drinking water for Village]],WWWW[[#This Row],[Access to safe drinking water for Camp]])</f>
        <v>1</v>
      </c>
      <c r="CR308" s="890">
        <f>WWWW[[#This Row],[%Equitable and continuous access to sufficient quantity of safe drinking water]]*WWWW[[#This Row],[Total PoP ]]</f>
        <v>1187</v>
      </c>
      <c r="CS308" s="892">
        <f>IF((WWWW[[#This Row],['#_Constructed/Existing protected/fenced ponds]]*250)/WWWW[[#This Row],[Total PoP ]]&gt;1,1,(WWWW[[#This Row],['#_Constructed/Existing protected/fenced ponds]]*250)/WWWW[[#This Row],[Total PoP ]])</f>
        <v>0</v>
      </c>
      <c r="CT308" s="890">
        <f>WWWW[[#This Row],[% Access to unimproved water points]]*WWWW[[#This Row],[Total PoP ]]</f>
        <v>0</v>
      </c>
      <c r="CU30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1187</v>
      </c>
      <c r="CW308" s="890">
        <f>WWWW[[#This Row],[HRP1]]/500</f>
        <v>2.3740000000000001</v>
      </c>
      <c r="CX308" s="895">
        <f>1-WWWW[[#This Row],[% Equitable and continuous access to sufficient quantity of domestic water]]</f>
        <v>0</v>
      </c>
      <c r="CY308" s="890">
        <f>WWWW[[#This Row],[%equitable and continuous access to sufficient quantity of safe drinking and domestic water''s GAP]]*WWWW[[#This Row],[Total PoP ]]</f>
        <v>0</v>
      </c>
      <c r="CZ308" s="893">
        <f>IF(WWWW[[#This Row],[Total required water points]]-WWWW[[#This Row],['#Water points coverage]]&lt;0,0,WWWW[[#This Row],[Total required water points]]-WWWW[[#This Row],['#Water points coverage]])</f>
        <v>0</v>
      </c>
      <c r="DA308" s="893">
        <f>ROUND(IF(WWWW[[#This Row],[Total PoP ]]&lt;500,1,WWWW[[#This Row],[Total PoP ]]/500),0)</f>
        <v>2</v>
      </c>
      <c r="DB308" s="893">
        <f>(WWWW[[#This Row],['#_Constructed latrines_by_WASHAgencies]]+WWWW[[#This Row],['#_Non Cluster partner latrines]])-WWWW[[#This Row],['#_Non-functional latrines]]</f>
        <v>66</v>
      </c>
      <c r="DC308" s="631">
        <f>WWWW[[#This Row],[HRP2]]/WWWW[[#This Row],[Total PoP ]]</f>
        <v>1</v>
      </c>
      <c r="DD30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1187</v>
      </c>
      <c r="DE30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F30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8" s="424">
        <f>IF(WWWW[[#This Row],['# of functional latrines in THF supported by WASH partners during the reporting period2]]="",0,WWWW[[#This Row],['# of functional latrines in THF supported by WASH partners during the reporting period2]]*50)</f>
        <v>0</v>
      </c>
      <c r="DH308" s="893">
        <f>ROUND(IF(WWWW[[#This Row],[Location Type 1]]="camp",WWWW[[#This Row],[Total PoP ]]/20,IF(WWWW[[#This Row],[Location Type 1]]="Temporary Location",WWWW[[#This Row],[Total PoP ]]/50,(WWWW[[#This Row],[Total PoP ]]/6))),0)</f>
        <v>59</v>
      </c>
      <c r="DI308" s="893">
        <f>IF(WWWW[[#This Row],[Total required Latrines]]-(WWWW[[#This Row],['#_Constructed latrines_by_WASHAgencies]]+WWWW[[#This Row],['#_Non Cluster partner latrines]])&lt;0,0,WWWW[[#This Row],[Total required Latrines]]-(WWWW[[#This Row],['#_Constructed latrines_by_WASHAgencies]]+WWWW[[#This Row],['#_Non Cluster partner latrines]]))</f>
        <v>0</v>
      </c>
      <c r="DJ308" s="895">
        <f>1-WWWW[[#This Row],[% people access to functioning Latrine]]</f>
        <v>0</v>
      </c>
      <c r="DK308" s="894">
        <f>IF(OR(WWWW[[#This Row],['#_Non-functional latrines]]="",WWWW[[#This Row],['#_Non-functional latrines]]=0),0,WWWW[[#This Row],['#_Non-functional latrines]]/(WWWW[[#This Row],['#_Constructed latrines_by_WASHAgencies]]+WWWW[[#This Row],['#_Non Cluster partner latrines]]))</f>
        <v>0</v>
      </c>
      <c r="DL308" s="890">
        <f>IF(500*(WWWW[[#This Row],['#_male hygiene promoters]]+WWWW[[#This Row],['#_female hygiene promoters]])&gt;WWWW[[#This Row],[Total PoP ]],WWWW[[#This Row],[Total PoP ]],500*(WWWW[[#This Row],['#_male hygiene promoters]]+WWWW[[#This Row],['#_female hygiene promoters]]))</f>
        <v>500</v>
      </c>
      <c r="DM30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1187</v>
      </c>
      <c r="DN30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254.61150000000004</v>
      </c>
      <c r="DO308" s="893">
        <f>IF(WWWW[[#This Row],['# People with access to soap]]&gt;WWWW[[#This Row],['# People with access to Sanity Pads]],WWWW[[#This Row],['# People with access to soap]],WWWW[[#This Row],['# People with access to Sanity Pads]])</f>
        <v>1187</v>
      </c>
      <c r="DP308" s="893">
        <f>IF(WWWW[[#This Row],['# people reached by regular dedicated hygiene promotion_5]]&gt;WWWW[[#This Row],['# People received regular supply of hygiene items_6]],WWWW[[#This Row],['# people reached by regular dedicated hygiene promotion_5]],WWWW[[#This Row],['# People received regular supply of hygiene items_6]])</f>
        <v>1187</v>
      </c>
      <c r="DQ308" s="895">
        <f>IF(WWWW[[#This Row],[HRP3]]/WWWW[[#This Row],[Total PoP ]]&gt;1,1,WWWW[[#This Row],[HRP3]]/WWWW[[#This Row],[Total PoP ]])</f>
        <v>1</v>
      </c>
      <c r="DR308" s="894">
        <f>1-WWWW[[#This Row],[Hygiene Coverage%]]</f>
        <v>0</v>
      </c>
      <c r="DS308" s="892">
        <f>WWWW[[#This Row],['# people reached by regular dedicated hygiene promotion_5]]/WWWW[[#This Row],[Total PoP ]]</f>
        <v>0.42122999157540014</v>
      </c>
      <c r="DT30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0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08" s="893">
        <f>WWWW[[#This Row],['#_Constructed/Existing hand washing stations]]-WWWW[[#This Row],['#_Non-Functional_hand_washing_stations]]</f>
        <v>4</v>
      </c>
      <c r="DW308" s="890">
        <f>IF(WWWW[[#This Row],['# Functional hand washing stations during reporting period]]*20&gt;WWWW[[#This Row],[Total HH]],WWWW[[#This Row],[Total HH]],WWWW[[#This Row],['# Functional hand washing stations during reporting period]]*20)</f>
        <v>80</v>
      </c>
      <c r="DX308" s="890">
        <f>IF(WWWW[[#This Row],[Is sufficient soap available for TLS? (Yes/No)]]="yes",WWWW[[#This Row],['#_Constructed/Existing hand washing stations at TLS/CFS/THF]],0)</f>
        <v>0</v>
      </c>
      <c r="DY308" s="428">
        <f>IF(WWWW[[#This Row],['# Functional hand washing stations during reporting period]]*100&gt;WWWW[[#This Row],[Total PoP ]],WWWW[[#This Row],[Total PoP ]],WWWW[[#This Row],['# Functional hand washing stations during reporting period]]*100)</f>
        <v>400</v>
      </c>
      <c r="DZ308" s="428" t="str">
        <f>IF(OR(WWWW[[#This Row],['#_students at TLS_CFS]]="",WWWW[[#This Row],['#_students at TLS_CFS]]=0),"No","Yes")</f>
        <v>No</v>
      </c>
      <c r="EA30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8" s="886" t="str">
        <f>VLOOKUP(WWWW[[#This Row],[Site Name]],SiteDB6[[Site Name]:[CCCM Management]],6,FALSE)</f>
        <v>Yes</v>
      </c>
      <c r="EF308" s="886" t="str">
        <f>VLOOKUP(WWWW[[#This Row],[Site Name]],SiteDB6[[Site Name]:[CCCM Focal Agency]],7,FALSE)</f>
        <v>KMSS-MYT</v>
      </c>
      <c r="EG308" s="886" t="str">
        <f>VLOOKUP(WWWW[[#This Row],[Site Name]],SiteDB6[[Site Name]:[Location Type 1]],9,FALSE)</f>
        <v>Camp</v>
      </c>
      <c r="EH308" s="886" t="str">
        <f>VLOOKUP(WWWW[[#This Row],[Site Name]],SiteDB6[[Site Name]:[Type of Accommodation]],10,FALSE)</f>
        <v>Camp</v>
      </c>
      <c r="EI308" s="886" t="str">
        <f>VLOOKUP(WWWW[[#This Row],[Site Name]],SiteDB6[[Site Name]:[Ethnic or GCA/NGCA]],11,FALSE)</f>
        <v>GCA</v>
      </c>
      <c r="EJ308" s="886">
        <f>VLOOKUP(WWWW[[#This Row],[Site Name]],SiteDB6[[Site Name]:[Lat]],12,FALSE)</f>
        <v>25.493819999999999</v>
      </c>
      <c r="EK308" s="886">
        <f>VLOOKUP(WWWW[[#This Row],[Site Name]],SiteDB6[[Site Name]:[Long]],13,FALSE)</f>
        <v>97.4345</v>
      </c>
      <c r="EL308" s="886" t="str">
        <f>VLOOKUP(WWWW[[#This Row],[Site Name]],SiteDB6[[Site Name]:[Pcode]],3,FALSE)</f>
        <v>MMR001CMP271</v>
      </c>
      <c r="EM308" s="891" t="str">
        <f t="shared" si="4"/>
        <v>Covered</v>
      </c>
      <c r="EN308" s="891"/>
      <c r="EO308" s="886">
        <f>VLOOKUP(WWWW[[#This Row],[Site Name]],SiteDB6[[Site Name]:[Pop
(Kachin/Shan-CCCM as of July 2021)]],16,FALSE)</f>
        <v>215</v>
      </c>
      <c r="EP308" s="886">
        <f>VLOOKUP(WWWW[[#This Row],[Site Name]],SiteDB6[[Site Name]:[Pop
(Kachin/Shan-CCCM as of July 2021)]],17,FALSE)</f>
        <v>1188</v>
      </c>
    </row>
    <row r="309" spans="1:146" hidden="1">
      <c r="A309" s="884" t="s">
        <v>2764</v>
      </c>
      <c r="B309" s="884" t="s">
        <v>291</v>
      </c>
      <c r="C309" s="885" t="s">
        <v>291</v>
      </c>
      <c r="D309" s="885" t="s">
        <v>2626</v>
      </c>
      <c r="E309" s="885" t="s">
        <v>37</v>
      </c>
      <c r="F309" s="885" t="s">
        <v>205</v>
      </c>
      <c r="G309" s="591" t="str">
        <f>VLOOKUP(WWWW[[#This Row],[Site Name]],SiteDB6[[Site Name]:[Location Type]],8,FALSE)</f>
        <v>Camp</v>
      </c>
      <c r="H309" s="885" t="s">
        <v>296</v>
      </c>
      <c r="I309" s="887">
        <v>616</v>
      </c>
      <c r="J309" s="887">
        <v>3682</v>
      </c>
      <c r="K309" s="888">
        <v>44652</v>
      </c>
      <c r="L309" s="889">
        <v>44926</v>
      </c>
      <c r="M309" s="887"/>
      <c r="N309" s="887"/>
      <c r="O309" s="887"/>
      <c r="P309" s="887"/>
      <c r="Q309" s="890" t="s">
        <v>41</v>
      </c>
      <c r="R309" s="887"/>
      <c r="S309" s="887"/>
      <c r="T309" s="448"/>
      <c r="U309" s="887"/>
      <c r="V309" s="887"/>
      <c r="W309" s="887"/>
      <c r="X309" s="887"/>
      <c r="Y309" s="887"/>
      <c r="Z309" s="887"/>
      <c r="AA309" s="887"/>
      <c r="AB309" s="887"/>
      <c r="AC309" s="887"/>
      <c r="AD309" s="887"/>
      <c r="AE309" s="887">
        <v>1</v>
      </c>
      <c r="AF309" s="887"/>
      <c r="AG309" s="887"/>
      <c r="AH309" s="887">
        <v>1</v>
      </c>
      <c r="AI309" s="887"/>
      <c r="AJ309" s="887"/>
      <c r="AK309" s="887"/>
      <c r="AL309" s="887"/>
      <c r="AM309" s="887">
        <v>21</v>
      </c>
      <c r="AN309" s="887">
        <v>6</v>
      </c>
      <c r="AO309" s="448"/>
      <c r="AP309" s="891"/>
      <c r="AQ309" s="887">
        <v>152</v>
      </c>
      <c r="AR309" s="887"/>
      <c r="AS309" s="892"/>
      <c r="AT309" s="887"/>
      <c r="AU309" s="887"/>
      <c r="AV309" s="887"/>
      <c r="AW309" s="887"/>
      <c r="AX309" s="887"/>
      <c r="AY309" s="886" t="s">
        <v>136</v>
      </c>
      <c r="AZ309" s="891" t="s">
        <v>137</v>
      </c>
      <c r="BA309" s="887">
        <v>4</v>
      </c>
      <c r="BB309" s="887"/>
      <c r="BC309" s="887">
        <v>16</v>
      </c>
      <c r="BD309" s="448">
        <v>2</v>
      </c>
      <c r="BE309" s="448"/>
      <c r="BF309" s="886"/>
      <c r="BG309" s="887">
        <v>7</v>
      </c>
      <c r="BH309" s="887"/>
      <c r="BI309" s="887"/>
      <c r="BJ309" s="887">
        <v>7</v>
      </c>
      <c r="BK309" s="887"/>
      <c r="BL309" s="887"/>
      <c r="BM309" s="887">
        <v>6</v>
      </c>
      <c r="BN309" s="887"/>
      <c r="BO309" s="887"/>
      <c r="BP309" s="886"/>
      <c r="BQ309" s="893"/>
      <c r="BR309" s="892"/>
      <c r="BS309" s="886"/>
      <c r="BT309" s="423"/>
      <c r="BU309" s="423"/>
      <c r="BV309" s="425"/>
      <c r="BW309" s="423"/>
      <c r="BX309" s="448"/>
      <c r="BY309" s="448"/>
      <c r="BZ309" s="448"/>
      <c r="CA309" s="448"/>
      <c r="CB309" s="448"/>
      <c r="CC309" s="777"/>
      <c r="CD309" s="448"/>
      <c r="CE309" s="894" t="str">
        <f>IFERROR(WWWW[[#This Row],['#_Water sources passed]]/WWWW[[#This Row],['#_Water sources tested for fecal coliform ]],"no test")</f>
        <v>no test</v>
      </c>
      <c r="CF309" s="892" t="str">
        <f>IFERROR(WWWW[[#This Row],['#_Household passed]]/WWWW[[#This Row],['#_Household water samples tested for fecal coliform]],"no test")</f>
        <v>no test</v>
      </c>
      <c r="CG309" s="893" t="str">
        <f>IF(AND(WWWW[[#This Row],[% of water sources passed]]="no test",WWWW[[#This Row],[% Household passed]]="no test"),"No Test","Tested")</f>
        <v>No Test</v>
      </c>
      <c r="CH309" s="893">
        <f>WWWW[[#This Row],['#_Constructed/existing protected hand dug well]]-WWWW[[#This Row],['#_Non-functional protected hand dug well]]</f>
        <v>0</v>
      </c>
      <c r="CI309" s="893">
        <f>(WWWW[[#This Row],['#_Constructed/Existing tube wells/boreholes/handpumps_WASH_agency]]+WWWW[[#This Row],['#_Non-Cluster partner water tube-wells/boreholes/handpumps]])-WWWW[[#This Row],['#_Non-functional tube wells/boreholes/handpumps]]</f>
        <v>0</v>
      </c>
      <c r="CJ309" s="893">
        <f>WWWW[[#This Row],['#_Constructed/Existingwater storage tank with gravity fed reticulation system]]-WWWW[[#This Row],['#_Non-functional storage tank gravity fed reticulation system]]</f>
        <v>0</v>
      </c>
      <c r="CK309" s="893">
        <f>(WWWW[[#This Row],['#_Water_Liters_supplied_by_Water boating or water trucking]]/90)/15</f>
        <v>0</v>
      </c>
      <c r="CL309" s="893">
        <f>WWWW[[#This Row],['#_Water_Liters_from_Constructed/Existing water distribution system from river or natural spring]]/90/15</f>
        <v>0</v>
      </c>
      <c r="CM309" s="424">
        <f>IF(WWWW[[#This Row],['#_of water points in TLS/CFS]]*500&gt;WWWW[[#This Row],[Total PoP ]],WWWW[[#This Row],[Total PoP ]],WWWW[[#This Row],['#_of water points in TLS/CFS]]*500)</f>
        <v>3000</v>
      </c>
      <c r="CN309" s="424">
        <f>IF(WWWW[[#This Row],['#_of water points in THF]]*500&gt;WWWW[[#This Row],[Total PoP ]],WWWW[[#This Row],[Total PoP ]],WWWW[[#This Row],['#_of water points in THF]]*500)</f>
        <v>0</v>
      </c>
      <c r="CO30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0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09" s="892">
        <f>IF(WWWW[[#This Row],[Location Type 1]]="Village",WWWW[[#This Row],[Access to safe drinking water for Village]],WWWW[[#This Row],[Access to safe drinking water for Camp]])</f>
        <v>0</v>
      </c>
      <c r="CR309" s="890">
        <f>WWWW[[#This Row],[%Equitable and continuous access to sufficient quantity of safe drinking water]]*WWWW[[#This Row],[Total PoP ]]</f>
        <v>0</v>
      </c>
      <c r="CS309" s="892">
        <f>IF((WWWW[[#This Row],['#_Constructed/Existing protected/fenced ponds]]*250)/WWWW[[#This Row],[Total PoP ]]&gt;1,1,(WWWW[[#This Row],['#_Constructed/Existing protected/fenced ponds]]*250)/WWWW[[#This Row],[Total PoP ]])</f>
        <v>6.7897881586094513E-2</v>
      </c>
      <c r="CT309" s="890">
        <f>WWWW[[#This Row],[% Access to unimproved water points]]*WWWW[[#This Row],[Total PoP ]]</f>
        <v>250</v>
      </c>
      <c r="CU30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6.7897881586094513E-2</v>
      </c>
      <c r="CV30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309" s="890">
        <f>WWWW[[#This Row],[HRP1]]/500</f>
        <v>0.5</v>
      </c>
      <c r="CX309" s="895">
        <f>1-WWWW[[#This Row],[% Equitable and continuous access to sufficient quantity of domestic water]]</f>
        <v>0.93210211841390544</v>
      </c>
      <c r="CY309" s="890">
        <f>WWWW[[#This Row],[%equitable and continuous access to sufficient quantity of safe drinking and domestic water''s GAP]]*WWWW[[#This Row],[Total PoP ]]</f>
        <v>3432</v>
      </c>
      <c r="CZ309" s="893">
        <f>IF(WWWW[[#This Row],[Total required water points]]-WWWW[[#This Row],['#Water points coverage]]&lt;0,0,WWWW[[#This Row],[Total required water points]]-WWWW[[#This Row],['#Water points coverage]])</f>
        <v>6.5</v>
      </c>
      <c r="DA309" s="893">
        <f>ROUND(IF(WWWW[[#This Row],[Total PoP ]]&lt;500,1,WWWW[[#This Row],[Total PoP ]]/500),0)</f>
        <v>7</v>
      </c>
      <c r="DB309" s="893">
        <f>(WWWW[[#This Row],['#_Constructed latrines_by_WASHAgencies]]+WWWW[[#This Row],['#_Non Cluster partner latrines]])-WWWW[[#This Row],['#_Non-functional latrines]]</f>
        <v>152</v>
      </c>
      <c r="DC309" s="631">
        <f>WWWW[[#This Row],[HRP2]]/WWWW[[#This Row],[Total PoP ]]</f>
        <v>0.84736556219445958</v>
      </c>
      <c r="DD30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3120</v>
      </c>
      <c r="DE30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9" s="424">
        <f>IF(WWWW[[#This Row],['# of functional latrines in THF supported by WASH partners during the reporting period2]]="",0,WWWW[[#This Row],['# of functional latrines in THF supported by WASH partners during the reporting period2]]*50)</f>
        <v>100</v>
      </c>
      <c r="DH309" s="893">
        <f>ROUND(IF(WWWW[[#This Row],[Location Type 1]]="camp",WWWW[[#This Row],[Total PoP ]]/20,IF(WWWW[[#This Row],[Location Type 1]]="Temporary Location",WWWW[[#This Row],[Total PoP ]]/50,(WWWW[[#This Row],[Total PoP ]]/6))),0)</f>
        <v>184</v>
      </c>
      <c r="DI309" s="893">
        <f>IF(WWWW[[#This Row],[Total required Latrines]]-(WWWW[[#This Row],['#_Constructed latrines_by_WASHAgencies]]+WWWW[[#This Row],['#_Non Cluster partner latrines]])&lt;0,0,WWWW[[#This Row],[Total required Latrines]]-(WWWW[[#This Row],['#_Constructed latrines_by_WASHAgencies]]+WWWW[[#This Row],['#_Non Cluster partner latrines]]))</f>
        <v>32</v>
      </c>
      <c r="DJ309" s="895">
        <f>1-WWWW[[#This Row],[% people access to functioning Latrine]]</f>
        <v>0.15263443780554042</v>
      </c>
      <c r="DK309" s="894">
        <f>IF(OR(WWWW[[#This Row],['#_Non-functional latrines]]="",WWWW[[#This Row],['#_Non-functional latrines]]=0),0,WWWW[[#This Row],['#_Non-functional latrines]]/(WWWW[[#This Row],['#_Constructed latrines_by_WASHAgencies]]+WWWW[[#This Row],['#_Non Cluster partner latrines]]))</f>
        <v>0</v>
      </c>
      <c r="DL309" s="890">
        <f>IF(500*(WWWW[[#This Row],['#_male hygiene promoters]]+WWWW[[#This Row],['#_female hygiene promoters]])&gt;WWWW[[#This Row],[Total PoP ]],WWWW[[#This Row],[Total PoP ]],500*(WWWW[[#This Row],['#_male hygiene promoters]]+WWWW[[#This Row],['#_female hygiene promoters]]))</f>
        <v>3000</v>
      </c>
      <c r="DM30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9" s="893">
        <f>IF(WWWW[[#This Row],['# People with access to soap]]&gt;WWWW[[#This Row],['# People with access to Sanity Pads]],WWWW[[#This Row],['# People with access to soap]],WWWW[[#This Row],['# People with access to Sanity Pads]])</f>
        <v>0</v>
      </c>
      <c r="DP309" s="893">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Q309" s="895">
        <f>IF(WWWW[[#This Row],[HRP3]]/WWWW[[#This Row],[Total PoP ]]&gt;1,1,WWWW[[#This Row],[HRP3]]/WWWW[[#This Row],[Total PoP ]])</f>
        <v>0.81477457903313422</v>
      </c>
      <c r="DR309" s="894">
        <f>1-WWWW[[#This Row],[Hygiene Coverage%]]</f>
        <v>0.18522542096686578</v>
      </c>
      <c r="DS309" s="892">
        <f>WWWW[[#This Row],['# people reached by regular dedicated hygiene promotion_5]]/WWWW[[#This Row],[Total PoP ]]</f>
        <v>0.81477457903313422</v>
      </c>
      <c r="DT30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9" s="893">
        <f>WWWW[[#This Row],['#_Constructed/Existing hand washing stations]]-WWWW[[#This Row],['#_Non-Functional_hand_washing_stations]]</f>
        <v>7</v>
      </c>
      <c r="DW309" s="890">
        <f>IF(WWWW[[#This Row],['# Functional hand washing stations during reporting period]]*20&gt;WWWW[[#This Row],[Total HH]],WWWW[[#This Row],[Total HH]],WWWW[[#This Row],['# Functional hand washing stations during reporting period]]*20)</f>
        <v>140</v>
      </c>
      <c r="DX309" s="890">
        <f>IF(WWWW[[#This Row],[Is sufficient soap available for TLS? (Yes/No)]]="yes",WWWW[[#This Row],['#_Constructed/Existing hand washing stations at TLS/CFS/THF]],0)</f>
        <v>0</v>
      </c>
      <c r="DY309" s="428">
        <f>IF(WWWW[[#This Row],['# Functional hand washing stations during reporting period]]*100&gt;WWWW[[#This Row],[Total PoP ]],WWWW[[#This Row],[Total PoP ]],WWWW[[#This Row],['# Functional hand washing stations during reporting period]]*100)</f>
        <v>700</v>
      </c>
      <c r="DZ309" s="428" t="str">
        <f>IF(OR(WWWW[[#This Row],['#_students at TLS_CFS]]="",WWWW[[#This Row],['#_students at TLS_CFS]]=0),"No","Yes")</f>
        <v>No</v>
      </c>
      <c r="EA30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3000</v>
      </c>
      <c r="ED30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309" s="886" t="str">
        <f>VLOOKUP(WWWW[[#This Row],[Site Name]],SiteDB6[[Site Name]:[CCCM Management]],6,FALSE)</f>
        <v>Yes</v>
      </c>
      <c r="EF309" s="886" t="str">
        <f>VLOOKUP(WWWW[[#This Row],[Site Name]],SiteDB6[[Site Name]:[CCCM Focal Agency]],7,FALSE)</f>
        <v>KMSS-BMO</v>
      </c>
      <c r="EG309" s="886" t="str">
        <f>VLOOKUP(WWWW[[#This Row],[Site Name]],SiteDB6[[Site Name]:[Location Type 1]],9,FALSE)</f>
        <v>Camp</v>
      </c>
      <c r="EH309" s="886" t="str">
        <f>VLOOKUP(WWWW[[#This Row],[Site Name]],SiteDB6[[Site Name]:[Type of Accommodation]],10,FALSE)</f>
        <v>Camp</v>
      </c>
      <c r="EI309" s="886" t="str">
        <f>VLOOKUP(WWWW[[#This Row],[Site Name]],SiteDB6[[Site Name]:[Ethnic or GCA/NGCA]],11,FALSE)</f>
        <v>NGCA</v>
      </c>
      <c r="EJ309" s="886">
        <f>VLOOKUP(WWWW[[#This Row],[Site Name]],SiteDB6[[Site Name]:[Lat]],12,FALSE)</f>
        <v>24.2744</v>
      </c>
      <c r="EK309" s="886">
        <f>VLOOKUP(WWWW[[#This Row],[Site Name]],SiteDB6[[Site Name]:[Long]],13,FALSE)</f>
        <v>97.752667000000002</v>
      </c>
      <c r="EL309" s="886" t="str">
        <f>VLOOKUP(WWWW[[#This Row],[Site Name]],SiteDB6[[Site Name]:[Pcode]],3,FALSE)</f>
        <v>MMR001CMP126</v>
      </c>
      <c r="EM309" s="891" t="str">
        <f t="shared" si="4"/>
        <v>Covered</v>
      </c>
      <c r="EN309" s="891"/>
      <c r="EO309" s="886">
        <f>VLOOKUP(WWWW[[#This Row],[Site Name]],SiteDB6[[Site Name]:[Pop
(Kachin/Shan-CCCM as of July 2021)]],16,FALSE)</f>
        <v>616</v>
      </c>
      <c r="EP309" s="886">
        <f>VLOOKUP(WWWW[[#This Row],[Site Name]],SiteDB6[[Site Name]:[Pop
(Kachin/Shan-CCCM as of July 2021)]],17,FALSE)</f>
        <v>3682</v>
      </c>
    </row>
    <row r="310" spans="1:146" hidden="1">
      <c r="A310" s="884" t="s">
        <v>2764</v>
      </c>
      <c r="B310" s="884" t="s">
        <v>2081</v>
      </c>
      <c r="C310" s="885" t="s">
        <v>141</v>
      </c>
      <c r="D310" s="885" t="s">
        <v>299</v>
      </c>
      <c r="E310" s="885" t="s">
        <v>37</v>
      </c>
      <c r="F310" s="885" t="s">
        <v>142</v>
      </c>
      <c r="G310" s="591" t="str">
        <f>VLOOKUP(WWWW[[#This Row],[Site Name]],SiteDB6[[Site Name]:[Location Type]],8,FALSE)</f>
        <v>Camp</v>
      </c>
      <c r="H310" s="885" t="s">
        <v>180</v>
      </c>
      <c r="I310" s="887">
        <v>166</v>
      </c>
      <c r="J310" s="887">
        <v>966</v>
      </c>
      <c r="K310" s="888">
        <v>44682</v>
      </c>
      <c r="L310" s="889">
        <v>44865</v>
      </c>
      <c r="M310" s="887"/>
      <c r="N310" s="887">
        <v>1</v>
      </c>
      <c r="O310" s="887"/>
      <c r="P310" s="887"/>
      <c r="Q310" s="890" t="s">
        <v>41</v>
      </c>
      <c r="R310" s="887">
        <v>3</v>
      </c>
      <c r="S310" s="887">
        <v>2</v>
      </c>
      <c r="T310" s="448">
        <v>3</v>
      </c>
      <c r="U310" s="887">
        <v>1</v>
      </c>
      <c r="V310" s="887"/>
      <c r="W310" s="887"/>
      <c r="X310" s="887"/>
      <c r="Y310" s="887"/>
      <c r="Z310" s="887"/>
      <c r="AA310" s="887">
        <v>4</v>
      </c>
      <c r="AB310" s="887">
        <v>2</v>
      </c>
      <c r="AC310" s="887"/>
      <c r="AD310" s="887"/>
      <c r="AE310" s="887"/>
      <c r="AF310" s="887"/>
      <c r="AG310" s="887"/>
      <c r="AH310" s="887"/>
      <c r="AI310" s="887"/>
      <c r="AJ310" s="887"/>
      <c r="AK310" s="887"/>
      <c r="AL310" s="887"/>
      <c r="AM310" s="887"/>
      <c r="AN310" s="887"/>
      <c r="AO310" s="448"/>
      <c r="AP310" s="891"/>
      <c r="AQ310" s="448">
        <v>170</v>
      </c>
      <c r="AR310" s="887"/>
      <c r="AS310" s="892"/>
      <c r="AT310" s="887"/>
      <c r="AU310" s="887"/>
      <c r="AV310" s="887"/>
      <c r="AW310" s="887"/>
      <c r="AX310" s="887">
        <v>150</v>
      </c>
      <c r="AY310" s="886" t="s">
        <v>41</v>
      </c>
      <c r="AZ310" s="891" t="s">
        <v>137</v>
      </c>
      <c r="BA310" s="887"/>
      <c r="BB310" s="887"/>
      <c r="BC310" s="887"/>
      <c r="BD310" s="448"/>
      <c r="BE310" s="448"/>
      <c r="BF310" s="886"/>
      <c r="BG310" s="887">
        <v>25</v>
      </c>
      <c r="BH310" s="887">
        <v>5</v>
      </c>
      <c r="BI310" s="887">
        <v>5</v>
      </c>
      <c r="BJ310" s="887"/>
      <c r="BK310" s="887"/>
      <c r="BL310" s="887">
        <v>1</v>
      </c>
      <c r="BM310" s="887">
        <v>2</v>
      </c>
      <c r="BN310" s="887"/>
      <c r="BO310" s="887"/>
      <c r="BP310" s="886"/>
      <c r="BQ310" s="893"/>
      <c r="BR310" s="892"/>
      <c r="BS310" s="886"/>
      <c r="BT310" s="423"/>
      <c r="BU310" s="423"/>
      <c r="BV310" s="425"/>
      <c r="BW310" s="423"/>
      <c r="BX310" s="448"/>
      <c r="BY310" s="448"/>
      <c r="BZ310" s="448"/>
      <c r="CA310" s="448"/>
      <c r="CB310" s="448"/>
      <c r="CC310" s="777"/>
      <c r="CD310" s="448"/>
      <c r="CE310" s="894" t="str">
        <f>IFERROR(WWWW[[#This Row],['#_Water sources passed]]/WWWW[[#This Row],['#_Water sources tested for fecal coliform ]],"no test")</f>
        <v>no test</v>
      </c>
      <c r="CF310" s="892" t="str">
        <f>IFERROR(WWWW[[#This Row],['#_Household passed]]/WWWW[[#This Row],['#_Household water samples tested for fecal coliform]],"no test")</f>
        <v>no test</v>
      </c>
      <c r="CG310" s="893" t="str">
        <f>IF(AND(WWWW[[#This Row],[% of water sources passed]]="no test",WWWW[[#This Row],[% Household passed]]="no test"),"No Test","Tested")</f>
        <v>No Test</v>
      </c>
      <c r="CH310" s="893">
        <f>WWWW[[#This Row],['#_Constructed/existing protected hand dug well]]-WWWW[[#This Row],['#_Non-functional protected hand dug well]]</f>
        <v>2</v>
      </c>
      <c r="CI310" s="893">
        <f>(WWWW[[#This Row],['#_Constructed/Existing tube wells/boreholes/handpumps_WASH_agency]]+WWWW[[#This Row],['#_Non-Cluster partner water tube-wells/boreholes/handpumps]])-WWWW[[#This Row],['#_Non-functional tube wells/boreholes/handpumps]]</f>
        <v>0</v>
      </c>
      <c r="CJ310" s="893">
        <f>WWWW[[#This Row],['#_Constructed/Existingwater storage tank with gravity fed reticulation system]]-WWWW[[#This Row],['#_Non-functional storage tank gravity fed reticulation system]]</f>
        <v>2</v>
      </c>
      <c r="CK310" s="893">
        <f>(WWWW[[#This Row],['#_Water_Liters_supplied_by_Water boating or water trucking]]/90)/15</f>
        <v>0</v>
      </c>
      <c r="CL310" s="893">
        <f>WWWW[[#This Row],['#_Water_Liters_from_Constructed/Existing water distribution system from river or natural spring]]/90/15</f>
        <v>0</v>
      </c>
      <c r="CM310" s="424">
        <f>IF(WWWW[[#This Row],['#_of water points in TLS/CFS]]*500&gt;WWWW[[#This Row],[Total PoP ]],WWWW[[#This Row],[Total PoP ]],WWWW[[#This Row],['#_of water points in TLS/CFS]]*500)</f>
        <v>0</v>
      </c>
      <c r="CN310" s="424">
        <f>IF(WWWW[[#This Row],['#_of water points in THF]]*500&gt;WWWW[[#This Row],[Total PoP ]],WWWW[[#This Row],[Total PoP ]],WWWW[[#This Row],['#_of water points in THF]]*500)</f>
        <v>0</v>
      </c>
      <c r="CO31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0.96618357487922713</v>
      </c>
      <c r="CP31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0.65562456866804697</v>
      </c>
      <c r="CQ310" s="892">
        <f>IF(WWWW[[#This Row],[Location Type 1]]="Village",WWWW[[#This Row],[Access to safe drinking water for Village]],WWWW[[#This Row],[Access to safe drinking water for Camp]])</f>
        <v>0.96618357487922713</v>
      </c>
      <c r="CR310" s="890">
        <f>WWWW[[#This Row],[%Equitable and continuous access to sufficient quantity of safe drinking water]]*WWWW[[#This Row],[Total PoP ]]</f>
        <v>933.33333333333337</v>
      </c>
      <c r="CS310" s="892">
        <f>IF((WWWW[[#This Row],['#_Constructed/Existing protected/fenced ponds]]*250)/WWWW[[#This Row],[Total PoP ]]&gt;1,1,(WWWW[[#This Row],['#_Constructed/Existing protected/fenced ponds]]*250)/WWWW[[#This Row],[Total PoP ]])</f>
        <v>0</v>
      </c>
      <c r="CT310" s="890">
        <f>WWWW[[#This Row],[% Access to unimproved water points]]*WWWW[[#This Row],[Total PoP ]]</f>
        <v>0</v>
      </c>
      <c r="CU31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0.96618357487922713</v>
      </c>
      <c r="CV31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933.33333333333337</v>
      </c>
      <c r="CW310" s="890">
        <f>WWWW[[#This Row],[HRP1]]/500</f>
        <v>1.8666666666666667</v>
      </c>
      <c r="CX310" s="895">
        <f>1-WWWW[[#This Row],[% Equitable and continuous access to sufficient quantity of domestic water]]</f>
        <v>3.3816425120772875E-2</v>
      </c>
      <c r="CY310" s="890">
        <f>WWWW[[#This Row],[%equitable and continuous access to sufficient quantity of safe drinking and domestic water''s GAP]]*WWWW[[#This Row],[Total PoP ]]</f>
        <v>32.6666666666666</v>
      </c>
      <c r="CZ310" s="893">
        <f>IF(WWWW[[#This Row],[Total required water points]]-WWWW[[#This Row],['#Water points coverage]]&lt;0,0,WWWW[[#This Row],[Total required water points]]-WWWW[[#This Row],['#Water points coverage]])</f>
        <v>0.1333333333333333</v>
      </c>
      <c r="DA310" s="893">
        <f>ROUND(IF(WWWW[[#This Row],[Total PoP ]]&lt;500,1,WWWW[[#This Row],[Total PoP ]]/500),0)</f>
        <v>2</v>
      </c>
      <c r="DB310" s="893">
        <f>(WWWW[[#This Row],['#_Constructed latrines_by_WASHAgencies]]+WWWW[[#This Row],['#_Non Cluster partner latrines]])-WWWW[[#This Row],['#_Non-functional latrines]]</f>
        <v>170</v>
      </c>
      <c r="DC310" s="631">
        <f>WWWW[[#This Row],[HRP2]]/WWWW[[#This Row],[Total PoP ]]</f>
        <v>0.87991718426501031</v>
      </c>
      <c r="DD31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850</v>
      </c>
      <c r="DE31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0" s="424">
        <f>IF(WWWW[[#This Row],['# of functional latrines in THF supported by WASH partners during the reporting period2]]="",0,WWWW[[#This Row],['# of functional latrines in THF supported by WASH partners during the reporting period2]]*50)</f>
        <v>0</v>
      </c>
      <c r="DH310" s="893">
        <f>ROUND(IF(WWWW[[#This Row],[Location Type 1]]="camp",WWWW[[#This Row],[Total PoP ]]/20,IF(WWWW[[#This Row],[Location Type 1]]="Temporary Location",WWWW[[#This Row],[Total PoP ]]/50,(WWWW[[#This Row],[Total PoP ]]/6))),0)</f>
        <v>161</v>
      </c>
      <c r="DI310" s="893">
        <f>IF(WWWW[[#This Row],[Total required Latrines]]-(WWWW[[#This Row],['#_Constructed latrines_by_WASHAgencies]]+WWWW[[#This Row],['#_Non Cluster partner latrines]])&lt;0,0,WWWW[[#This Row],[Total required Latrines]]-(WWWW[[#This Row],['#_Constructed latrines_by_WASHAgencies]]+WWWW[[#This Row],['#_Non Cluster partner latrines]]))</f>
        <v>0</v>
      </c>
      <c r="DJ310" s="895">
        <f>1-WWWW[[#This Row],[% people access to functioning Latrine]]</f>
        <v>0.12008281573498969</v>
      </c>
      <c r="DK310" s="894">
        <f>IF(OR(WWWW[[#This Row],['#_Non-functional latrines]]="",WWWW[[#This Row],['#_Non-functional latrines]]=0),0,WWWW[[#This Row],['#_Non-functional latrines]]/(WWWW[[#This Row],['#_Constructed latrines_by_WASHAgencies]]+WWWW[[#This Row],['#_Non Cluster partner latrines]]))</f>
        <v>0</v>
      </c>
      <c r="DL310" s="890">
        <f>IF(500*(WWWW[[#This Row],['#_male hygiene promoters]]+WWWW[[#This Row],['#_female hygiene promoters]])&gt;WWWW[[#This Row],[Total PoP ]],WWWW[[#This Row],[Total PoP ]],500*(WWWW[[#This Row],['#_male hygiene promoters]]+WWWW[[#This Row],['#_female hygiene promoters]]))</f>
        <v>966</v>
      </c>
      <c r="DM31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0" s="893">
        <f>IF(WWWW[[#This Row],['# People with access to soap]]&gt;WWWW[[#This Row],['# People with access to Sanity Pads]],WWWW[[#This Row],['# People with access to soap]],WWWW[[#This Row],['# People with access to Sanity Pads]])</f>
        <v>0</v>
      </c>
      <c r="DP310" s="893">
        <f>IF(WWWW[[#This Row],['# people reached by regular dedicated hygiene promotion_5]]&gt;WWWW[[#This Row],['# People received regular supply of hygiene items_6]],WWWW[[#This Row],['# people reached by regular dedicated hygiene promotion_5]],WWWW[[#This Row],['# People received regular supply of hygiene items_6]])</f>
        <v>966</v>
      </c>
      <c r="DQ310" s="895">
        <f>IF(WWWW[[#This Row],[HRP3]]/WWWW[[#This Row],[Total PoP ]]&gt;1,1,WWWW[[#This Row],[HRP3]]/WWWW[[#This Row],[Total PoP ]])</f>
        <v>1</v>
      </c>
      <c r="DR310" s="894">
        <f>1-WWWW[[#This Row],[Hygiene Coverage%]]</f>
        <v>0</v>
      </c>
      <c r="DS310" s="892">
        <f>WWWW[[#This Row],['# people reached by regular dedicated hygiene promotion_5]]/WWWW[[#This Row],[Total PoP ]]</f>
        <v>1</v>
      </c>
      <c r="DT31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0" s="893">
        <f>WWWW[[#This Row],['#_Constructed/Existing hand washing stations]]-WWWW[[#This Row],['#_Non-Functional_hand_washing_stations]]</f>
        <v>20</v>
      </c>
      <c r="DW310" s="890">
        <f>IF(WWWW[[#This Row],['# Functional hand washing stations during reporting period]]*20&gt;WWWW[[#This Row],[Total HH]],WWWW[[#This Row],[Total HH]],WWWW[[#This Row],['# Functional hand washing stations during reporting period]]*20)</f>
        <v>166</v>
      </c>
      <c r="DX310" s="890">
        <f>IF(WWWW[[#This Row],[Is sufficient soap available for TLS? (Yes/No)]]="yes",WWWW[[#This Row],['#_Constructed/Existing hand washing stations at TLS/CFS/THF]],0)</f>
        <v>0</v>
      </c>
      <c r="DY310" s="428">
        <f>IF(WWWW[[#This Row],['# Functional hand washing stations during reporting period]]*100&gt;WWWW[[#This Row],[Total PoP ]],WWWW[[#This Row],[Total PoP ]],WWWW[[#This Row],['# Functional hand washing stations during reporting period]]*100)</f>
        <v>966</v>
      </c>
      <c r="DZ310" s="428" t="str">
        <f>IF(OR(WWWW[[#This Row],['#_students at TLS_CFS]]="",WWWW[[#This Row],['#_students at TLS_CFS]]=0),"No","Yes")</f>
        <v>No</v>
      </c>
      <c r="EA31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0" s="886" t="str">
        <f>VLOOKUP(WWWW[[#This Row],[Site Name]],SiteDB6[[Site Name]:[CCCM Management]],6,FALSE)</f>
        <v>Yes</v>
      </c>
      <c r="EF310" s="886" t="str">
        <f>VLOOKUP(WWWW[[#This Row],[Site Name]],SiteDB6[[Site Name]:[CCCM Focal Agency]],7,FALSE)</f>
        <v>KBC-MYT</v>
      </c>
      <c r="EG310" s="886" t="str">
        <f>VLOOKUP(WWWW[[#This Row],[Site Name]],SiteDB6[[Site Name]:[Location Type 1]],9,FALSE)</f>
        <v>Village Type Camp</v>
      </c>
      <c r="EH310" s="886" t="str">
        <f>VLOOKUP(WWWW[[#This Row],[Site Name]],SiteDB6[[Site Name]:[Type of Accommodation]],10,FALSE)</f>
        <v>Camp</v>
      </c>
      <c r="EI310" s="886" t="str">
        <f>VLOOKUP(WWWW[[#This Row],[Site Name]],SiteDB6[[Site Name]:[Ethnic or GCA/NGCA]],11,FALSE)</f>
        <v>NGCA</v>
      </c>
      <c r="EJ310" s="886">
        <f>VLOOKUP(WWWW[[#This Row],[Site Name]],SiteDB6[[Site Name]:[Lat]],12,FALSE)</f>
        <v>24.831944</v>
      </c>
      <c r="EK310" s="886">
        <f>VLOOKUP(WWWW[[#This Row],[Site Name]],SiteDB6[[Site Name]:[Long]],13,FALSE)</f>
        <v>97.751389000000003</v>
      </c>
      <c r="EL310" s="886" t="str">
        <f>VLOOKUP(WWWW[[#This Row],[Site Name]],SiteDB6[[Site Name]:[Pcode]],3,FALSE)</f>
        <v>MMR001CMP120</v>
      </c>
      <c r="EM310" s="891" t="str">
        <f t="shared" si="4"/>
        <v>Covered</v>
      </c>
      <c r="EN310" s="891"/>
      <c r="EO310" s="886">
        <f>VLOOKUP(WWWW[[#This Row],[Site Name]],SiteDB6[[Site Name]:[Pop
(Kachin/Shan-CCCM as of July 2021)]],16,FALSE)</f>
        <v>166</v>
      </c>
      <c r="EP310" s="886">
        <f>VLOOKUP(WWWW[[#This Row],[Site Name]],SiteDB6[[Site Name]:[Pop
(Kachin/Shan-CCCM as of July 2021)]],17,FALSE)</f>
        <v>966</v>
      </c>
    </row>
    <row r="311" spans="1:146" hidden="1">
      <c r="A311" s="884" t="s">
        <v>2764</v>
      </c>
      <c r="B311" s="884" t="s">
        <v>36</v>
      </c>
      <c r="C311" s="885" t="s">
        <v>36</v>
      </c>
      <c r="D311" s="885" t="s">
        <v>241</v>
      </c>
      <c r="E311" s="885" t="s">
        <v>37</v>
      </c>
      <c r="F311" s="885" t="s">
        <v>159</v>
      </c>
      <c r="G311" s="591" t="str">
        <f>VLOOKUP(WWWW[[#This Row],[Site Name]],SiteDB6[[Site Name]:[Location Type]],8,FALSE)</f>
        <v>Camp_not registered</v>
      </c>
      <c r="H311" s="885" t="s">
        <v>2205</v>
      </c>
      <c r="I311" s="887">
        <v>25</v>
      </c>
      <c r="J311" s="887">
        <v>134</v>
      </c>
      <c r="K311" s="888">
        <v>44414</v>
      </c>
      <c r="L311" s="889">
        <v>44778</v>
      </c>
      <c r="M311" s="887"/>
      <c r="N311" s="887">
        <v>1</v>
      </c>
      <c r="O311" s="887"/>
      <c r="P311" s="887"/>
      <c r="Q311" s="890" t="s">
        <v>41</v>
      </c>
      <c r="R311" s="887">
        <v>2</v>
      </c>
      <c r="S311" s="887">
        <v>2</v>
      </c>
      <c r="T311" s="448"/>
      <c r="U311" s="887"/>
      <c r="V311" s="887"/>
      <c r="W311" s="887">
        <v>2</v>
      </c>
      <c r="X311" s="887"/>
      <c r="Y311" s="887"/>
      <c r="Z311" s="887"/>
      <c r="AA311" s="887"/>
      <c r="AB311" s="887"/>
      <c r="AC311" s="887"/>
      <c r="AD311" s="887"/>
      <c r="AE311" s="887"/>
      <c r="AF311" s="887"/>
      <c r="AG311" s="887"/>
      <c r="AH311" s="887"/>
      <c r="AI311" s="887">
        <v>5</v>
      </c>
      <c r="AJ311" s="887">
        <v>1</v>
      </c>
      <c r="AK311" s="887"/>
      <c r="AL311" s="887"/>
      <c r="AM311" s="887">
        <v>3</v>
      </c>
      <c r="AN311" s="887"/>
      <c r="AO311" s="448"/>
      <c r="AP311" s="891"/>
      <c r="AQ311" s="887">
        <v>6</v>
      </c>
      <c r="AR311" s="887"/>
      <c r="AS311" s="892"/>
      <c r="AT311" s="887">
        <v>1</v>
      </c>
      <c r="AU311" s="887"/>
      <c r="AV311" s="887"/>
      <c r="AW311" s="887"/>
      <c r="AX311" s="887"/>
      <c r="AY311" s="886" t="s">
        <v>41</v>
      </c>
      <c r="AZ311" s="891" t="s">
        <v>136</v>
      </c>
      <c r="BA311" s="887"/>
      <c r="BB311" s="887"/>
      <c r="BC311" s="887"/>
      <c r="BD311" s="448"/>
      <c r="BE311" s="448"/>
      <c r="BF311" s="886"/>
      <c r="BG311" s="887">
        <v>3</v>
      </c>
      <c r="BH311" s="887"/>
      <c r="BI311" s="887"/>
      <c r="BJ311" s="887">
        <v>2</v>
      </c>
      <c r="BK311" s="887"/>
      <c r="BL311" s="887"/>
      <c r="BM311" s="887">
        <v>1</v>
      </c>
      <c r="BN311" s="887">
        <v>25</v>
      </c>
      <c r="BO311" s="887">
        <v>28.743000000000006</v>
      </c>
      <c r="BP311" s="886" t="s">
        <v>41</v>
      </c>
      <c r="BQ311" s="893">
        <v>100</v>
      </c>
      <c r="BR311" s="892"/>
      <c r="BS311" s="886" t="s">
        <v>3036</v>
      </c>
      <c r="BT311" s="423"/>
      <c r="BU311" s="423"/>
      <c r="BV311" s="425"/>
      <c r="BW311" s="423">
        <v>0.01</v>
      </c>
      <c r="BX311" s="448"/>
      <c r="BY311" s="448"/>
      <c r="BZ311" s="448"/>
      <c r="CA311" s="448"/>
      <c r="CB311" s="448"/>
      <c r="CC311" s="777"/>
      <c r="CD311" s="448"/>
      <c r="CE311" s="894">
        <f>IFERROR(WWWW[[#This Row],['#_Water sources passed]]/WWWW[[#This Row],['#_Water sources tested for fecal coliform ]],"no test")</f>
        <v>0.2</v>
      </c>
      <c r="CF311" s="892" t="str">
        <f>IFERROR(WWWW[[#This Row],['#_Household passed]]/WWWW[[#This Row],['#_Household water samples tested for fecal coliform]],"no test")</f>
        <v>no test</v>
      </c>
      <c r="CG311" s="893" t="str">
        <f>IF(AND(WWWW[[#This Row],[% of water sources passed]]="no test",WWWW[[#This Row],[% Household passed]]="no test"),"No Test","Tested")</f>
        <v>Tested</v>
      </c>
      <c r="CH311" s="893">
        <f>WWWW[[#This Row],['#_Constructed/existing protected hand dug well]]-WWWW[[#This Row],['#_Non-functional protected hand dug well]]</f>
        <v>0</v>
      </c>
      <c r="CI311" s="893">
        <f>(WWWW[[#This Row],['#_Constructed/Existing tube wells/boreholes/handpumps_WASH_agency]]+WWWW[[#This Row],['#_Non-Cluster partner water tube-wells/boreholes/handpumps]])-WWWW[[#This Row],['#_Non-functional tube wells/boreholes/handpumps]]</f>
        <v>2</v>
      </c>
      <c r="CJ311" s="893">
        <f>WWWW[[#This Row],['#_Constructed/Existingwater storage tank with gravity fed reticulation system]]-WWWW[[#This Row],['#_Non-functional storage tank gravity fed reticulation system]]</f>
        <v>0</v>
      </c>
      <c r="CK311" s="893">
        <f>(WWWW[[#This Row],['#_Water_Liters_supplied_by_Water boating or water trucking]]/90)/15</f>
        <v>0</v>
      </c>
      <c r="CL311" s="893">
        <f>WWWW[[#This Row],['#_Water_Liters_from_Constructed/Existing water distribution system from river or natural spring]]/90/15</f>
        <v>0</v>
      </c>
      <c r="CM311" s="424">
        <f>IF(WWWW[[#This Row],['#_of water points in TLS/CFS]]*500&gt;WWWW[[#This Row],[Total PoP ]],WWWW[[#This Row],[Total PoP ]],WWWW[[#This Row],['#_of water points in TLS/CFS]]*500)</f>
        <v>0</v>
      </c>
      <c r="CN311" s="424">
        <f>IF(WWWW[[#This Row],['#_of water points in THF]]*500&gt;WWWW[[#This Row],[Total PoP ]],WWWW[[#This Row],[Total PoP ]],WWWW[[#This Row],['#_of water points in THF]]*500)</f>
        <v>0</v>
      </c>
      <c r="CO31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1" s="892">
        <f>IF(WWWW[[#This Row],[Location Type 1]]="Village",WWWW[[#This Row],[Access to safe drinking water for Village]],WWWW[[#This Row],[Access to safe drinking water for Camp]])</f>
        <v>1</v>
      </c>
      <c r="CR311" s="890">
        <f>WWWW[[#This Row],[%Equitable and continuous access to sufficient quantity of safe drinking water]]*WWWW[[#This Row],[Total PoP ]]</f>
        <v>134</v>
      </c>
      <c r="CS311" s="892">
        <f>IF((WWWW[[#This Row],['#_Constructed/Existing protected/fenced ponds]]*250)/WWWW[[#This Row],[Total PoP ]]&gt;1,1,(WWWW[[#This Row],['#_Constructed/Existing protected/fenced ponds]]*250)/WWWW[[#This Row],[Total PoP ]])</f>
        <v>0</v>
      </c>
      <c r="CT311" s="890">
        <f>WWWW[[#This Row],[% Access to unimproved water points]]*WWWW[[#This Row],[Total PoP ]]</f>
        <v>0</v>
      </c>
      <c r="CU31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134</v>
      </c>
      <c r="CW311" s="890">
        <f>WWWW[[#This Row],[HRP1]]/500</f>
        <v>0.26800000000000002</v>
      </c>
      <c r="CX311" s="895">
        <f>1-WWWW[[#This Row],[% Equitable and continuous access to sufficient quantity of domestic water]]</f>
        <v>0</v>
      </c>
      <c r="CY311" s="890">
        <f>WWWW[[#This Row],[%equitable and continuous access to sufficient quantity of safe drinking and domestic water''s GAP]]*WWWW[[#This Row],[Total PoP ]]</f>
        <v>0</v>
      </c>
      <c r="CZ311" s="893">
        <f>IF(WWWW[[#This Row],[Total required water points]]-WWWW[[#This Row],['#Water points coverage]]&lt;0,0,WWWW[[#This Row],[Total required water points]]-WWWW[[#This Row],['#Water points coverage]])</f>
        <v>0.73199999999999998</v>
      </c>
      <c r="DA311" s="893">
        <f>ROUND(IF(WWWW[[#This Row],[Total PoP ]]&lt;500,1,WWWW[[#This Row],[Total PoP ]]/500),0)</f>
        <v>1</v>
      </c>
      <c r="DB311" s="893">
        <f>(WWWW[[#This Row],['#_Constructed latrines_by_WASHAgencies]]+WWWW[[#This Row],['#_Non Cluster partner latrines]])-WWWW[[#This Row],['#_Non-functional latrines]]</f>
        <v>5</v>
      </c>
      <c r="DC311" s="631">
        <f>WWWW[[#This Row],[HRP2]]/WWWW[[#This Row],[Total PoP ]]</f>
        <v>0.74626865671641796</v>
      </c>
      <c r="DD31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31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1" s="424">
        <f>IF(WWWW[[#This Row],['# of functional latrines in THF supported by WASH partners during the reporting period2]]="",0,WWWW[[#This Row],['# of functional latrines in THF supported by WASH partners during the reporting period2]]*50)</f>
        <v>0</v>
      </c>
      <c r="DH311" s="893">
        <f>ROUND(IF(WWWW[[#This Row],[Location Type 1]]="camp",WWWW[[#This Row],[Total PoP ]]/20,IF(WWWW[[#This Row],[Location Type 1]]="Temporary Location",WWWW[[#This Row],[Total PoP ]]/50,(WWWW[[#This Row],[Total PoP ]]/6))),0)</f>
        <v>7</v>
      </c>
      <c r="DI311" s="893">
        <f>IF(WWWW[[#This Row],[Total required Latrines]]-(WWWW[[#This Row],['#_Constructed latrines_by_WASHAgencies]]+WWWW[[#This Row],['#_Non Cluster partner latrines]])&lt;0,0,WWWW[[#This Row],[Total required Latrines]]-(WWWW[[#This Row],['#_Constructed latrines_by_WASHAgencies]]+WWWW[[#This Row],['#_Non Cluster partner latrines]]))</f>
        <v>1</v>
      </c>
      <c r="DJ311" s="895">
        <f>1-WWWW[[#This Row],[% people access to functioning Latrine]]</f>
        <v>0.25373134328358204</v>
      </c>
      <c r="DK311" s="894">
        <f>IF(OR(WWWW[[#This Row],['#_Non-functional latrines]]="",WWWW[[#This Row],['#_Non-functional latrines]]=0),0,WWWW[[#This Row],['#_Non-functional latrines]]/(WWWW[[#This Row],['#_Constructed latrines_by_WASHAgencies]]+WWWW[[#This Row],['#_Non Cluster partner latrines]]))</f>
        <v>0.16666666666666666</v>
      </c>
      <c r="DL311" s="890">
        <f>IF(500*(WWWW[[#This Row],['#_male hygiene promoters]]+WWWW[[#This Row],['#_female hygiene promoters]])&gt;WWWW[[#This Row],[Total PoP ]],WWWW[[#This Row],[Total PoP ]],500*(WWWW[[#This Row],['#_male hygiene promoters]]+WWWW[[#This Row],['#_female hygiene promoters]]))</f>
        <v>134</v>
      </c>
      <c r="DM31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134</v>
      </c>
      <c r="DN31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28.743000000000006</v>
      </c>
      <c r="DO311" s="893">
        <f>IF(WWWW[[#This Row],['# People with access to soap]]&gt;WWWW[[#This Row],['# People with access to Sanity Pads]],WWWW[[#This Row],['# People with access to soap]],WWWW[[#This Row],['# People with access to Sanity Pads]])</f>
        <v>134</v>
      </c>
      <c r="DP311" s="893">
        <f>IF(WWWW[[#This Row],['# people reached by regular dedicated hygiene promotion_5]]&gt;WWWW[[#This Row],['# People received regular supply of hygiene items_6]],WWWW[[#This Row],['# people reached by regular dedicated hygiene promotion_5]],WWWW[[#This Row],['# People received regular supply of hygiene items_6]])</f>
        <v>134</v>
      </c>
      <c r="DQ311" s="895">
        <f>IF(WWWW[[#This Row],[HRP3]]/WWWW[[#This Row],[Total PoP ]]&gt;1,1,WWWW[[#This Row],[HRP3]]/WWWW[[#This Row],[Total PoP ]])</f>
        <v>1</v>
      </c>
      <c r="DR311" s="894">
        <f>1-WWWW[[#This Row],[Hygiene Coverage%]]</f>
        <v>0</v>
      </c>
      <c r="DS311" s="892">
        <f>WWWW[[#This Row],['# people reached by regular dedicated hygiene promotion_5]]/WWWW[[#This Row],[Total PoP ]]</f>
        <v>1</v>
      </c>
      <c r="DT31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1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11" s="893">
        <f>WWWW[[#This Row],['#_Constructed/Existing hand washing stations]]-WWWW[[#This Row],['#_Non-Functional_hand_washing_stations]]</f>
        <v>3</v>
      </c>
      <c r="DW311" s="890">
        <f>IF(WWWW[[#This Row],['# Functional hand washing stations during reporting period]]*20&gt;WWWW[[#This Row],[Total HH]],WWWW[[#This Row],[Total HH]],WWWW[[#This Row],['# Functional hand washing stations during reporting period]]*20)</f>
        <v>25</v>
      </c>
      <c r="DX311" s="890">
        <f>IF(WWWW[[#This Row],[Is sufficient soap available for TLS? (Yes/No)]]="yes",WWWW[[#This Row],['#_Constructed/Existing hand washing stations at TLS/CFS/THF]],0)</f>
        <v>3</v>
      </c>
      <c r="DY311" s="428">
        <f>IF(WWWW[[#This Row],['# Functional hand washing stations during reporting period]]*100&gt;WWWW[[#This Row],[Total PoP ]],WWWW[[#This Row],[Total PoP ]],WWWW[[#This Row],['# Functional hand washing stations during reporting period]]*100)</f>
        <v>134</v>
      </c>
      <c r="DZ311" s="428" t="str">
        <f>IF(OR(WWWW[[#This Row],['#_students at TLS_CFS]]="",WWWW[[#This Row],['#_students at TLS_CFS]]=0),"No","Yes")</f>
        <v>No</v>
      </c>
      <c r="EA31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1" s="886">
        <f>VLOOKUP(WWWW[[#This Row],[Site Name]],SiteDB6[[Site Name]:[CCCM Management]],6,FALSE)</f>
        <v>0</v>
      </c>
      <c r="EF311" s="886">
        <f>VLOOKUP(WWWW[[#This Row],[Site Name]],SiteDB6[[Site Name]:[CCCM Focal Agency]],7,FALSE)</f>
        <v>0</v>
      </c>
      <c r="EG311" s="886" t="str">
        <f>VLOOKUP(WWWW[[#This Row],[Site Name]],SiteDB6[[Site Name]:[Location Type 1]],9,FALSE)</f>
        <v>Camp</v>
      </c>
      <c r="EH311" s="886" t="str">
        <f>VLOOKUP(WWWW[[#This Row],[Site Name]],SiteDB6[[Site Name]:[Type of Accommodation]],10,FALSE)</f>
        <v>Camp</v>
      </c>
      <c r="EI311" s="886" t="str">
        <f>VLOOKUP(WWWW[[#This Row],[Site Name]],SiteDB6[[Site Name]:[Ethnic or GCA/NGCA]],11,FALSE)</f>
        <v>GCA</v>
      </c>
      <c r="EJ311" s="886">
        <f>VLOOKUP(WWWW[[#This Row],[Site Name]],SiteDB6[[Site Name]:[Lat]],12,FALSE)</f>
        <v>0</v>
      </c>
      <c r="EK311" s="886">
        <f>VLOOKUP(WWWW[[#This Row],[Site Name]],SiteDB6[[Site Name]:[Long]],13,FALSE)</f>
        <v>0</v>
      </c>
      <c r="EL311" s="886">
        <f>VLOOKUP(WWWW[[#This Row],[Site Name]],SiteDB6[[Site Name]:[Pcode]],3,FALSE)</f>
        <v>0</v>
      </c>
      <c r="EM311" s="891" t="str">
        <f t="shared" si="4"/>
        <v>Covered</v>
      </c>
      <c r="EN311" s="891"/>
      <c r="EO311" s="886">
        <f>VLOOKUP(WWWW[[#This Row],[Site Name]],SiteDB6[[Site Name]:[Pop
(Kachin/Shan-CCCM as of July 2021)]],16,FALSE)</f>
        <v>0</v>
      </c>
      <c r="EP311" s="886">
        <f>VLOOKUP(WWWW[[#This Row],[Site Name]],SiteDB6[[Site Name]:[Pop
(Kachin/Shan-CCCM as of July 2021)]],17,FALSE)</f>
        <v>0</v>
      </c>
    </row>
    <row r="312" spans="1:146" hidden="1">
      <c r="A312" s="884" t="s">
        <v>2764</v>
      </c>
      <c r="B312" s="884" t="s">
        <v>2809</v>
      </c>
      <c r="C312" s="885" t="s">
        <v>141</v>
      </c>
      <c r="D312" s="885" t="s">
        <v>299</v>
      </c>
      <c r="E312" s="885" t="s">
        <v>37</v>
      </c>
      <c r="F312" s="885" t="s">
        <v>214</v>
      </c>
      <c r="G312" s="591" t="str">
        <f>VLOOKUP(WWWW[[#This Row],[Site Name]],SiteDB6[[Site Name]:[Location Type]],8,FALSE)</f>
        <v>Camp</v>
      </c>
      <c r="H312" s="885" t="s">
        <v>1590</v>
      </c>
      <c r="I312" s="887">
        <v>386</v>
      </c>
      <c r="J312" s="887">
        <v>1397</v>
      </c>
      <c r="K312" s="588">
        <v>44501</v>
      </c>
      <c r="L312" s="589">
        <v>44865</v>
      </c>
      <c r="M312" s="887"/>
      <c r="N312" s="887"/>
      <c r="O312" s="887"/>
      <c r="P312" s="887"/>
      <c r="Q312" s="890"/>
      <c r="R312" s="887">
        <v>19</v>
      </c>
      <c r="S312" s="887">
        <v>55</v>
      </c>
      <c r="T312" s="448">
        <v>13</v>
      </c>
      <c r="U312" s="887"/>
      <c r="V312" s="887"/>
      <c r="W312" s="887">
        <v>1</v>
      </c>
      <c r="X312" s="887"/>
      <c r="Y312" s="887"/>
      <c r="Z312" s="887"/>
      <c r="AA312" s="887"/>
      <c r="AB312" s="887"/>
      <c r="AC312" s="887"/>
      <c r="AD312" s="887"/>
      <c r="AE312" s="887"/>
      <c r="AF312" s="887"/>
      <c r="AG312" s="887">
        <v>7</v>
      </c>
      <c r="AH312" s="887"/>
      <c r="AI312" s="887"/>
      <c r="AJ312" s="887"/>
      <c r="AK312" s="887"/>
      <c r="AL312" s="887"/>
      <c r="AM312" s="887"/>
      <c r="AN312" s="887"/>
      <c r="AO312" s="448"/>
      <c r="AP312" s="891"/>
      <c r="AQ312" s="887">
        <v>5</v>
      </c>
      <c r="AR312" s="887"/>
      <c r="AS312" s="892"/>
      <c r="AT312" s="887"/>
      <c r="AU312" s="887"/>
      <c r="AV312" s="887"/>
      <c r="AW312" s="887"/>
      <c r="AX312" s="887"/>
      <c r="AY312" s="886" t="s">
        <v>41</v>
      </c>
      <c r="AZ312" s="891" t="s">
        <v>140</v>
      </c>
      <c r="BA312" s="887"/>
      <c r="BB312" s="887"/>
      <c r="BC312" s="887">
        <v>50</v>
      </c>
      <c r="BD312" s="448"/>
      <c r="BE312" s="448"/>
      <c r="BF312" s="886"/>
      <c r="BG312" s="887">
        <v>1</v>
      </c>
      <c r="BH312" s="887"/>
      <c r="BI312" s="887"/>
      <c r="BJ312" s="887">
        <v>3</v>
      </c>
      <c r="BK312" s="887"/>
      <c r="BL312" s="887"/>
      <c r="BM312" s="887"/>
      <c r="BN312" s="887"/>
      <c r="BO312" s="887"/>
      <c r="BP312" s="886"/>
      <c r="BQ312" s="893"/>
      <c r="BR312" s="892"/>
      <c r="BS312" s="886"/>
      <c r="BT312" s="423"/>
      <c r="BU312" s="423"/>
      <c r="BV312" s="425"/>
      <c r="BW312" s="423"/>
      <c r="BX312" s="448"/>
      <c r="BY312" s="448"/>
      <c r="BZ312" s="448"/>
      <c r="CA312" s="448"/>
      <c r="CB312" s="448"/>
      <c r="CC312" s="777"/>
      <c r="CD312" s="448"/>
      <c r="CE312" s="894" t="str">
        <f>IFERROR(WWWW[[#This Row],['#_Water sources passed]]/WWWW[[#This Row],['#_Water sources tested for fecal coliform ]],"no test")</f>
        <v>no test</v>
      </c>
      <c r="CF312" s="892" t="str">
        <f>IFERROR(WWWW[[#This Row],['#_Household passed]]/WWWW[[#This Row],['#_Household water samples tested for fecal coliform]],"no test")</f>
        <v>no test</v>
      </c>
      <c r="CG312" s="893" t="str">
        <f>IF(AND(WWWW[[#This Row],[% of water sources passed]]="no test",WWWW[[#This Row],[% Household passed]]="no test"),"No Test","Tested")</f>
        <v>No Test</v>
      </c>
      <c r="CH312" s="893">
        <f>WWWW[[#This Row],['#_Constructed/existing protected hand dug well]]-WWWW[[#This Row],['#_Non-functional protected hand dug well]]</f>
        <v>13</v>
      </c>
      <c r="CI312" s="893">
        <f>(WWWW[[#This Row],['#_Constructed/Existing tube wells/boreholes/handpumps_WASH_agency]]+WWWW[[#This Row],['#_Non-Cluster partner water tube-wells/boreholes/handpumps]])-WWWW[[#This Row],['#_Non-functional tube wells/boreholes/handpumps]]</f>
        <v>1</v>
      </c>
      <c r="CJ312" s="893">
        <f>WWWW[[#This Row],['#_Constructed/Existingwater storage tank with gravity fed reticulation system]]-WWWW[[#This Row],['#_Non-functional storage tank gravity fed reticulation system]]</f>
        <v>0</v>
      </c>
      <c r="CK312" s="893">
        <f>(WWWW[[#This Row],['#_Water_Liters_supplied_by_Water boating or water trucking]]/90)/15</f>
        <v>0</v>
      </c>
      <c r="CL312" s="893">
        <f>WWWW[[#This Row],['#_Water_Liters_from_Constructed/Existing water distribution system from river or natural spring]]/90/15</f>
        <v>0</v>
      </c>
      <c r="CM312" s="424">
        <f>IF(WWWW[[#This Row],['#_of water points in TLS/CFS]]*500&gt;WWWW[[#This Row],[Total PoP ]],WWWW[[#This Row],[Total PoP ]],WWWW[[#This Row],['#_of water points in TLS/CFS]]*500)</f>
        <v>0</v>
      </c>
      <c r="CN312" s="424">
        <f>IF(WWWW[[#This Row],['#_of water points in THF]]*500&gt;WWWW[[#This Row],[Total PoP ]],WWWW[[#This Row],[Total PoP ]],WWWW[[#This Row],['#_of water points in THF]]*500)</f>
        <v>0</v>
      </c>
      <c r="CO31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2" s="892">
        <f>IF(WWWW[[#This Row],[Location Type 1]]="Village",WWWW[[#This Row],[Access to safe drinking water for Village]],WWWW[[#This Row],[Access to safe drinking water for Camp]])</f>
        <v>1</v>
      </c>
      <c r="CR312" s="890">
        <f>WWWW[[#This Row],[%Equitable and continuous access to sufficient quantity of safe drinking water]]*WWWW[[#This Row],[Total PoP ]]</f>
        <v>1397</v>
      </c>
      <c r="CS312" s="892">
        <f>IF((WWWW[[#This Row],['#_Constructed/Existing protected/fenced ponds]]*250)/WWWW[[#This Row],[Total PoP ]]&gt;1,1,(WWWW[[#This Row],['#_Constructed/Existing protected/fenced ponds]]*250)/WWWW[[#This Row],[Total PoP ]])</f>
        <v>0</v>
      </c>
      <c r="CT312" s="890">
        <f>WWWW[[#This Row],[% Access to unimproved water points]]*WWWW[[#This Row],[Total PoP ]]</f>
        <v>0</v>
      </c>
      <c r="CU31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W312" s="890">
        <f>WWWW[[#This Row],[HRP1]]/500</f>
        <v>2.794</v>
      </c>
      <c r="CX312" s="895">
        <f>1-WWWW[[#This Row],[% Equitable and continuous access to sufficient quantity of domestic water]]</f>
        <v>0</v>
      </c>
      <c r="CY312" s="890">
        <f>WWWW[[#This Row],[%equitable and continuous access to sufficient quantity of safe drinking and domestic water''s GAP]]*WWWW[[#This Row],[Total PoP ]]</f>
        <v>0</v>
      </c>
      <c r="CZ312" s="893">
        <f>IF(WWWW[[#This Row],[Total required water points]]-WWWW[[#This Row],['#Water points coverage]]&lt;0,0,WWWW[[#This Row],[Total required water points]]-WWWW[[#This Row],['#Water points coverage]])</f>
        <v>0.20599999999999996</v>
      </c>
      <c r="DA312" s="893">
        <f>ROUND(IF(WWWW[[#This Row],[Total PoP ]]&lt;500,1,WWWW[[#This Row],[Total PoP ]]/500),0)</f>
        <v>3</v>
      </c>
      <c r="DB312" s="893">
        <f>(WWWW[[#This Row],['#_Constructed latrines_by_WASHAgencies]]+WWWW[[#This Row],['#_Non Cluster partner latrines]])-WWWW[[#This Row],['#_Non-functional latrines]]</f>
        <v>5</v>
      </c>
      <c r="DC312" s="631">
        <f>WWWW[[#This Row],[HRP2]]/WWWW[[#This Row],[Total PoP ]]</f>
        <v>7.158196134574088E-2</v>
      </c>
      <c r="DD31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31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2" s="424">
        <f>IF(WWWW[[#This Row],['# of functional latrines in THF supported by WASH partners during the reporting period2]]="",0,WWWW[[#This Row],['# of functional latrines in THF supported by WASH partners during the reporting period2]]*50)</f>
        <v>0</v>
      </c>
      <c r="DH312" s="893">
        <f>ROUND(IF(WWWW[[#This Row],[Location Type 1]]="camp",WWWW[[#This Row],[Total PoP ]]/20,IF(WWWW[[#This Row],[Location Type 1]]="Temporary Location",WWWW[[#This Row],[Total PoP ]]/50,(WWWW[[#This Row],[Total PoP ]]/6))),0)</f>
        <v>70</v>
      </c>
      <c r="DI312" s="893">
        <f>IF(WWWW[[#This Row],[Total required Latrines]]-(WWWW[[#This Row],['#_Constructed latrines_by_WASHAgencies]]+WWWW[[#This Row],['#_Non Cluster partner latrines]])&lt;0,0,WWWW[[#This Row],[Total required Latrines]]-(WWWW[[#This Row],['#_Constructed latrines_by_WASHAgencies]]+WWWW[[#This Row],['#_Non Cluster partner latrines]]))</f>
        <v>65</v>
      </c>
      <c r="DJ312" s="895">
        <f>1-WWWW[[#This Row],[% people access to functioning Latrine]]</f>
        <v>0.92841803865425909</v>
      </c>
      <c r="DK312" s="894">
        <f>IF(OR(WWWW[[#This Row],['#_Non-functional latrines]]="",WWWW[[#This Row],['#_Non-functional latrines]]=0),0,WWWW[[#This Row],['#_Non-functional latrines]]/(WWWW[[#This Row],['#_Constructed latrines_by_WASHAgencies]]+WWWW[[#This Row],['#_Non Cluster partner latrines]]))</f>
        <v>0</v>
      </c>
      <c r="DL312" s="890">
        <f>IF(500*(WWWW[[#This Row],['#_male hygiene promoters]]+WWWW[[#This Row],['#_female hygiene promoters]])&gt;WWWW[[#This Row],[Total PoP ]],WWWW[[#This Row],[Total PoP ]],500*(WWWW[[#This Row],['#_male hygiene promoters]]+WWWW[[#This Row],['#_female hygiene promoters]]))</f>
        <v>0</v>
      </c>
      <c r="DM31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2" s="893">
        <f>IF(WWWW[[#This Row],['# People with access to soap]]&gt;WWWW[[#This Row],['# People with access to Sanity Pads]],WWWW[[#This Row],['# People with access to soap]],WWWW[[#This Row],['# People with access to Sanity Pads]])</f>
        <v>0</v>
      </c>
      <c r="DP312"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12" s="895">
        <f>IF(WWWW[[#This Row],[HRP3]]/WWWW[[#This Row],[Total PoP ]]&gt;1,1,WWWW[[#This Row],[HRP3]]/WWWW[[#This Row],[Total PoP ]])</f>
        <v>0</v>
      </c>
      <c r="DR312" s="894">
        <f>1-WWWW[[#This Row],[Hygiene Coverage%]]</f>
        <v>1</v>
      </c>
      <c r="DS312" s="892">
        <f>WWWW[[#This Row],['# people reached by regular dedicated hygiene promotion_5]]/WWWW[[#This Row],[Total PoP ]]</f>
        <v>0</v>
      </c>
      <c r="DT31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2" s="893">
        <f>WWWW[[#This Row],['#_Constructed/Existing hand washing stations]]-WWWW[[#This Row],['#_Non-Functional_hand_washing_stations]]</f>
        <v>1</v>
      </c>
      <c r="DW312" s="890">
        <f>IF(WWWW[[#This Row],['# Functional hand washing stations during reporting period]]*20&gt;WWWW[[#This Row],[Total HH]],WWWW[[#This Row],[Total HH]],WWWW[[#This Row],['# Functional hand washing stations during reporting period]]*20)</f>
        <v>20</v>
      </c>
      <c r="DX312" s="890">
        <f>IF(WWWW[[#This Row],[Is sufficient soap available for TLS? (Yes/No)]]="yes",WWWW[[#This Row],['#_Constructed/Existing hand washing stations at TLS/CFS/THF]],0)</f>
        <v>0</v>
      </c>
      <c r="DY312" s="428">
        <f>IF(WWWW[[#This Row],['# Functional hand washing stations during reporting period]]*100&gt;WWWW[[#This Row],[Total PoP ]],WWWW[[#This Row],[Total PoP ]],WWWW[[#This Row],['# Functional hand washing stations during reporting period]]*100)</f>
        <v>100</v>
      </c>
      <c r="DZ312" s="428" t="str">
        <f>IF(OR(WWWW[[#This Row],['#_students at TLS_CFS]]="",WWWW[[#This Row],['#_students at TLS_CFS]]=0),"No","Yes")</f>
        <v>No</v>
      </c>
      <c r="EA31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2" s="886">
        <f>VLOOKUP(WWWW[[#This Row],[Site Name]],SiteDB6[[Site Name]:[CCCM Management]],6,FALSE)</f>
        <v>0</v>
      </c>
      <c r="EF312" s="886" t="str">
        <f>VLOOKUP(WWWW[[#This Row],[Site Name]],SiteDB6[[Site Name]:[CCCM Focal Agency]],7,FALSE)</f>
        <v>uncovered</v>
      </c>
      <c r="EG312" s="886" t="str">
        <f>VLOOKUP(WWWW[[#This Row],[Site Name]],SiteDB6[[Site Name]:[Location Type 1]],9,FALSE)</f>
        <v>Camp</v>
      </c>
      <c r="EH312" s="886" t="str">
        <f>VLOOKUP(WWWW[[#This Row],[Site Name]],SiteDB6[[Site Name]:[Type of Accommodation]],10,FALSE)</f>
        <v>Camp like setting</v>
      </c>
      <c r="EI312" s="886" t="str">
        <f>VLOOKUP(WWWW[[#This Row],[Site Name]],SiteDB6[[Site Name]:[Ethnic or GCA/NGCA]],11,FALSE)</f>
        <v>NGCA</v>
      </c>
      <c r="EJ312" s="886">
        <f>VLOOKUP(WWWW[[#This Row],[Site Name]],SiteDB6[[Site Name]:[Lat]],12,FALSE)</f>
        <v>24.590350000000001</v>
      </c>
      <c r="EK312" s="886">
        <f>VLOOKUP(WWWW[[#This Row],[Site Name]],SiteDB6[[Site Name]:[Long]],13,FALSE)</f>
        <v>96.95626</v>
      </c>
      <c r="EL312" s="886" t="str">
        <f>VLOOKUP(WWWW[[#This Row],[Site Name]],SiteDB6[[Site Name]:[Pcode]],3,FALSE)</f>
        <v>MMR001CMP273</v>
      </c>
      <c r="EM312" s="891" t="str">
        <f t="shared" si="4"/>
        <v>Covered</v>
      </c>
      <c r="EN312" s="891"/>
      <c r="EO312" s="886">
        <f>VLOOKUP(WWWW[[#This Row],[Site Name]],SiteDB6[[Site Name]:[Pop
(Kachin/Shan-CCCM as of July 2021)]],16,FALSE)</f>
        <v>318</v>
      </c>
      <c r="EP312" s="886">
        <f>VLOOKUP(WWWW[[#This Row],[Site Name]],SiteDB6[[Site Name]:[Pop
(Kachin/Shan-CCCM as of July 2021)]],17,FALSE)</f>
        <v>1329</v>
      </c>
    </row>
    <row r="313" spans="1:146" hidden="1">
      <c r="A313" s="884" t="s">
        <v>2764</v>
      </c>
      <c r="B313" s="884" t="s">
        <v>276</v>
      </c>
      <c r="C313" s="885" t="s">
        <v>276</v>
      </c>
      <c r="D313" s="885" t="s">
        <v>3037</v>
      </c>
      <c r="E313" s="885" t="s">
        <v>37</v>
      </c>
      <c r="F313" s="885" t="s">
        <v>195</v>
      </c>
      <c r="G313" s="591" t="str">
        <f>VLOOKUP(WWWW[[#This Row],[Site Name]],SiteDB6[[Site Name]:[Location Type]],8,FALSE)</f>
        <v>Camp</v>
      </c>
      <c r="H313" s="885" t="s">
        <v>279</v>
      </c>
      <c r="I313" s="887">
        <v>65</v>
      </c>
      <c r="J313" s="887">
        <v>334</v>
      </c>
      <c r="K313" s="888">
        <v>44652</v>
      </c>
      <c r="L313" s="889">
        <v>44895</v>
      </c>
      <c r="M313" s="887"/>
      <c r="N313" s="887"/>
      <c r="O313" s="887"/>
      <c r="P313" s="887"/>
      <c r="Q313" s="890" t="s">
        <v>41</v>
      </c>
      <c r="R313" s="887">
        <v>2</v>
      </c>
      <c r="S313" s="887">
        <v>4</v>
      </c>
      <c r="T313" s="448">
        <v>1</v>
      </c>
      <c r="U313" s="887"/>
      <c r="V313" s="887"/>
      <c r="W313" s="887">
        <v>2</v>
      </c>
      <c r="X313" s="887"/>
      <c r="Y313" s="887"/>
      <c r="Z313" s="887"/>
      <c r="AA313" s="887"/>
      <c r="AB313" s="887"/>
      <c r="AC313" s="887"/>
      <c r="AD313" s="887"/>
      <c r="AE313" s="887"/>
      <c r="AF313" s="887"/>
      <c r="AG313" s="887"/>
      <c r="AH313" s="887"/>
      <c r="AI313" s="887">
        <v>3</v>
      </c>
      <c r="AJ313" s="887">
        <v>3</v>
      </c>
      <c r="AK313" s="887"/>
      <c r="AL313" s="887"/>
      <c r="AM313" s="887"/>
      <c r="AN313" s="887"/>
      <c r="AO313" s="448"/>
      <c r="AP313" s="891"/>
      <c r="AQ313" s="887">
        <v>33</v>
      </c>
      <c r="AR313" s="887"/>
      <c r="AS313" s="892"/>
      <c r="AT313" s="887"/>
      <c r="AU313" s="887"/>
      <c r="AV313" s="887">
        <v>33</v>
      </c>
      <c r="AW313" s="887">
        <v>28</v>
      </c>
      <c r="AX313" s="887"/>
      <c r="AY313" s="886" t="s">
        <v>41</v>
      </c>
      <c r="AZ313" s="891" t="s">
        <v>137</v>
      </c>
      <c r="BA313" s="887"/>
      <c r="BB313" s="887"/>
      <c r="BC313" s="887"/>
      <c r="BD313" s="448"/>
      <c r="BE313" s="448"/>
      <c r="BF313" s="886"/>
      <c r="BG313" s="887">
        <v>19</v>
      </c>
      <c r="BH313" s="887"/>
      <c r="BI313" s="887"/>
      <c r="BJ313" s="887">
        <v>7</v>
      </c>
      <c r="BK313" s="887"/>
      <c r="BL313" s="887"/>
      <c r="BM313" s="887"/>
      <c r="BN313" s="887"/>
      <c r="BO313" s="887"/>
      <c r="BP313" s="886"/>
      <c r="BQ313" s="893"/>
      <c r="BR313" s="892"/>
      <c r="BS313" s="886"/>
      <c r="BT313" s="423"/>
      <c r="BU313" s="423"/>
      <c r="BV313" s="425"/>
      <c r="BW313" s="423">
        <v>0</v>
      </c>
      <c r="BX313" s="448"/>
      <c r="BY313" s="448">
        <v>33</v>
      </c>
      <c r="BZ313" s="448">
        <v>7</v>
      </c>
      <c r="CA313" s="448"/>
      <c r="CB313" s="448"/>
      <c r="CC313" s="777"/>
      <c r="CD313" s="448"/>
      <c r="CE313" s="894">
        <f>IFERROR(WWWW[[#This Row],['#_Water sources passed]]/WWWW[[#This Row],['#_Water sources tested for fecal coliform ]],"no test")</f>
        <v>1</v>
      </c>
      <c r="CF313" s="892" t="str">
        <f>IFERROR(WWWW[[#This Row],['#_Household passed]]/WWWW[[#This Row],['#_Household water samples tested for fecal coliform]],"no test")</f>
        <v>no test</v>
      </c>
      <c r="CG313" s="893" t="str">
        <f>IF(AND(WWWW[[#This Row],[% of water sources passed]]="no test",WWWW[[#This Row],[% Household passed]]="no test"),"No Test","Tested")</f>
        <v>Tested</v>
      </c>
      <c r="CH313" s="893">
        <f>WWWW[[#This Row],['#_Constructed/existing protected hand dug well]]-WWWW[[#This Row],['#_Non-functional protected hand dug well]]</f>
        <v>1</v>
      </c>
      <c r="CI313" s="893">
        <f>(WWWW[[#This Row],['#_Constructed/Existing tube wells/boreholes/handpumps_WASH_agency]]+WWWW[[#This Row],['#_Non-Cluster partner water tube-wells/boreholes/handpumps]])-WWWW[[#This Row],['#_Non-functional tube wells/boreholes/handpumps]]</f>
        <v>2</v>
      </c>
      <c r="CJ313" s="893">
        <f>WWWW[[#This Row],['#_Constructed/Existingwater storage tank with gravity fed reticulation system]]-WWWW[[#This Row],['#_Non-functional storage tank gravity fed reticulation system]]</f>
        <v>0</v>
      </c>
      <c r="CK313" s="893">
        <f>(WWWW[[#This Row],['#_Water_Liters_supplied_by_Water boating or water trucking]]/90)/15</f>
        <v>0</v>
      </c>
      <c r="CL313" s="893">
        <f>WWWW[[#This Row],['#_Water_Liters_from_Constructed/Existing water distribution system from river or natural spring]]/90/15</f>
        <v>0</v>
      </c>
      <c r="CM313" s="424">
        <f>IF(WWWW[[#This Row],['#_of water points in TLS/CFS]]*500&gt;WWWW[[#This Row],[Total PoP ]],WWWW[[#This Row],[Total PoP ]],WWWW[[#This Row],['#_of water points in TLS/CFS]]*500)</f>
        <v>0</v>
      </c>
      <c r="CN313" s="424">
        <f>IF(WWWW[[#This Row],['#_of water points in THF]]*500&gt;WWWW[[#This Row],[Total PoP ]],WWWW[[#This Row],[Total PoP ]],WWWW[[#This Row],['#_of water points in THF]]*500)</f>
        <v>0</v>
      </c>
      <c r="CO31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3" s="892">
        <f>IF(WWWW[[#This Row],[Location Type 1]]="Village",WWWW[[#This Row],[Access to safe drinking water for Village]],WWWW[[#This Row],[Access to safe drinking water for Camp]])</f>
        <v>1</v>
      </c>
      <c r="CR313" s="890">
        <f>WWWW[[#This Row],[%Equitable and continuous access to sufficient quantity of safe drinking water]]*WWWW[[#This Row],[Total PoP ]]</f>
        <v>334</v>
      </c>
      <c r="CS313" s="892">
        <f>IF((WWWW[[#This Row],['#_Constructed/Existing protected/fenced ponds]]*250)/WWWW[[#This Row],[Total PoP ]]&gt;1,1,(WWWW[[#This Row],['#_Constructed/Existing protected/fenced ponds]]*250)/WWWW[[#This Row],[Total PoP ]])</f>
        <v>0</v>
      </c>
      <c r="CT313" s="890">
        <f>WWWW[[#This Row],[% Access to unimproved water points]]*WWWW[[#This Row],[Total PoP ]]</f>
        <v>0</v>
      </c>
      <c r="CU31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W313" s="890">
        <f>WWWW[[#This Row],[HRP1]]/500</f>
        <v>0.66800000000000004</v>
      </c>
      <c r="CX313" s="895">
        <f>1-WWWW[[#This Row],[% Equitable and continuous access to sufficient quantity of domestic water]]</f>
        <v>0</v>
      </c>
      <c r="CY313" s="890">
        <f>WWWW[[#This Row],[%equitable and continuous access to sufficient quantity of safe drinking and domestic water''s GAP]]*WWWW[[#This Row],[Total PoP ]]</f>
        <v>0</v>
      </c>
      <c r="CZ313" s="893">
        <f>IF(WWWW[[#This Row],[Total required water points]]-WWWW[[#This Row],['#Water points coverage]]&lt;0,0,WWWW[[#This Row],[Total required water points]]-WWWW[[#This Row],['#Water points coverage]])</f>
        <v>0.33199999999999996</v>
      </c>
      <c r="DA313" s="893">
        <f>ROUND(IF(WWWW[[#This Row],[Total PoP ]]&lt;500,1,WWWW[[#This Row],[Total PoP ]]/500),0)</f>
        <v>1</v>
      </c>
      <c r="DB313" s="893">
        <f>(WWWW[[#This Row],['#_Constructed latrines_by_WASHAgencies]]+WWWW[[#This Row],['#_Non Cluster partner latrines]])-WWWW[[#This Row],['#_Non-functional latrines]]</f>
        <v>33</v>
      </c>
      <c r="DC313" s="631">
        <f>WWWW[[#This Row],[HRP2]]/WWWW[[#This Row],[Total PoP ]]</f>
        <v>1</v>
      </c>
      <c r="DD31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334</v>
      </c>
      <c r="DE31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334</v>
      </c>
      <c r="DF31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3" s="424">
        <f>IF(WWWW[[#This Row],['# of functional latrines in THF supported by WASH partners during the reporting period2]]="",0,WWWW[[#This Row],['# of functional latrines in THF supported by WASH partners during the reporting period2]]*50)</f>
        <v>0</v>
      </c>
      <c r="DH313" s="893">
        <f>ROUND(IF(WWWW[[#This Row],[Location Type 1]]="camp",WWWW[[#This Row],[Total PoP ]]/20,IF(WWWW[[#This Row],[Location Type 1]]="Temporary Location",WWWW[[#This Row],[Total PoP ]]/50,(WWWW[[#This Row],[Total PoP ]]/6))),0)</f>
        <v>17</v>
      </c>
      <c r="DI313" s="893">
        <f>IF(WWWW[[#This Row],[Total required Latrines]]-(WWWW[[#This Row],['#_Constructed latrines_by_WASHAgencies]]+WWWW[[#This Row],['#_Non Cluster partner latrines]])&lt;0,0,WWWW[[#This Row],[Total required Latrines]]-(WWWW[[#This Row],['#_Constructed latrines_by_WASHAgencies]]+WWWW[[#This Row],['#_Non Cluster partner latrines]]))</f>
        <v>0</v>
      </c>
      <c r="DJ313" s="895">
        <f>1-WWWW[[#This Row],[% people access to functioning Latrine]]</f>
        <v>0</v>
      </c>
      <c r="DK313" s="894">
        <f>IF(OR(WWWW[[#This Row],['#_Non-functional latrines]]="",WWWW[[#This Row],['#_Non-functional latrines]]=0),0,WWWW[[#This Row],['#_Non-functional latrines]]/(WWWW[[#This Row],['#_Constructed latrines_by_WASHAgencies]]+WWWW[[#This Row],['#_Non Cluster partner latrines]]))</f>
        <v>0</v>
      </c>
      <c r="DL313" s="890">
        <f>IF(500*(WWWW[[#This Row],['#_male hygiene promoters]]+WWWW[[#This Row],['#_female hygiene promoters]])&gt;WWWW[[#This Row],[Total PoP ]],WWWW[[#This Row],[Total PoP ]],500*(WWWW[[#This Row],['#_male hygiene promoters]]+WWWW[[#This Row],['#_female hygiene promoters]]))</f>
        <v>0</v>
      </c>
      <c r="DM31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3" s="893">
        <f>IF(WWWW[[#This Row],['# People with access to soap]]&gt;WWWW[[#This Row],['# People with access to Sanity Pads]],WWWW[[#This Row],['# People with access to soap]],WWWW[[#This Row],['# People with access to Sanity Pads]])</f>
        <v>0</v>
      </c>
      <c r="DP313"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13" s="895">
        <f>IF(WWWW[[#This Row],[HRP3]]/WWWW[[#This Row],[Total PoP ]]&gt;1,1,WWWW[[#This Row],[HRP3]]/WWWW[[#This Row],[Total PoP ]])</f>
        <v>0</v>
      </c>
      <c r="DR313" s="894">
        <f>1-WWWW[[#This Row],[Hygiene Coverage%]]</f>
        <v>1</v>
      </c>
      <c r="DS313" s="892">
        <f>WWWW[[#This Row],['# people reached by regular dedicated hygiene promotion_5]]/WWWW[[#This Row],[Total PoP ]]</f>
        <v>0</v>
      </c>
      <c r="DT31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3" s="893">
        <f>WWWW[[#This Row],['#_Constructed/Existing hand washing stations]]-WWWW[[#This Row],['#_Non-Functional_hand_washing_stations]]</f>
        <v>19</v>
      </c>
      <c r="DW313" s="890">
        <f>IF(WWWW[[#This Row],['# Functional hand washing stations during reporting period]]*20&gt;WWWW[[#This Row],[Total HH]],WWWW[[#This Row],[Total HH]],WWWW[[#This Row],['# Functional hand washing stations during reporting period]]*20)</f>
        <v>65</v>
      </c>
      <c r="DX313" s="890">
        <f>IF(WWWW[[#This Row],[Is sufficient soap available for TLS? (Yes/No)]]="yes",WWWW[[#This Row],['#_Constructed/Existing hand washing stations at TLS/CFS/THF]],0)</f>
        <v>0</v>
      </c>
      <c r="DY313" s="428">
        <f>IF(WWWW[[#This Row],['# Functional hand washing stations during reporting period]]*100&gt;WWWW[[#This Row],[Total PoP ]],WWWW[[#This Row],[Total PoP ]],WWWW[[#This Row],['# Functional hand washing stations during reporting period]]*100)</f>
        <v>334</v>
      </c>
      <c r="DZ313" s="428" t="str">
        <f>IF(OR(WWWW[[#This Row],['#_students at TLS_CFS]]="",WWWW[[#This Row],['#_students at TLS_CFS]]=0),"No","Yes")</f>
        <v>No</v>
      </c>
      <c r="EA31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40</v>
      </c>
      <c r="EC31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3" s="886" t="str">
        <f>VLOOKUP(WWWW[[#This Row],[Site Name]],SiteDB6[[Site Name]:[CCCM Management]],6,FALSE)</f>
        <v>Yes</v>
      </c>
      <c r="EF313" s="886" t="str">
        <f>VLOOKUP(WWWW[[#This Row],[Site Name]],SiteDB6[[Site Name]:[CCCM Focal Agency]],7,FALSE)</f>
        <v>KBC-BMO</v>
      </c>
      <c r="EG313" s="886" t="str">
        <f>VLOOKUP(WWWW[[#This Row],[Site Name]],SiteDB6[[Site Name]:[Location Type 1]],9,FALSE)</f>
        <v>Camp</v>
      </c>
      <c r="EH313" s="886" t="str">
        <f>VLOOKUP(WWWW[[#This Row],[Site Name]],SiteDB6[[Site Name]:[Type of Accommodation]],10,FALSE)</f>
        <v>Camp</v>
      </c>
      <c r="EI313" s="886" t="str">
        <f>VLOOKUP(WWWW[[#This Row],[Site Name]],SiteDB6[[Site Name]:[Ethnic or GCA/NGCA]],11,FALSE)</f>
        <v>GCA</v>
      </c>
      <c r="EJ313" s="886">
        <f>VLOOKUP(WWWW[[#This Row],[Site Name]],SiteDB6[[Site Name]:[Lat]],12,FALSE)</f>
        <v>24.222349999999999</v>
      </c>
      <c r="EK313" s="886">
        <f>VLOOKUP(WWWW[[#This Row],[Site Name]],SiteDB6[[Site Name]:[Long]],13,FALSE)</f>
        <v>97.252650000000003</v>
      </c>
      <c r="EL313" s="886" t="str">
        <f>VLOOKUP(WWWW[[#This Row],[Site Name]],SiteDB6[[Site Name]:[Pcode]],3,FALSE)</f>
        <v>MMR001CMP193</v>
      </c>
      <c r="EM313" s="891" t="str">
        <f t="shared" si="4"/>
        <v>Covered</v>
      </c>
      <c r="EN313" s="891"/>
      <c r="EO313" s="886">
        <f>VLOOKUP(WWWW[[#This Row],[Site Name]],SiteDB6[[Site Name]:[Pop
(Kachin/Shan-CCCM as of July 2021)]],16,FALSE)</f>
        <v>64</v>
      </c>
      <c r="EP313" s="886">
        <f>VLOOKUP(WWWW[[#This Row],[Site Name]],SiteDB6[[Site Name]:[Pop
(Kachin/Shan-CCCM as of July 2021)]],17,FALSE)</f>
        <v>339</v>
      </c>
    </row>
    <row r="314" spans="1:146" hidden="1">
      <c r="A314" s="884" t="s">
        <v>2764</v>
      </c>
      <c r="B314" s="884" t="s">
        <v>242</v>
      </c>
      <c r="C314" s="885" t="s">
        <v>242</v>
      </c>
      <c r="D314" s="885" t="s">
        <v>299</v>
      </c>
      <c r="E314" s="885" t="s">
        <v>37</v>
      </c>
      <c r="F314" s="885" t="s">
        <v>142</v>
      </c>
      <c r="G314" s="591" t="str">
        <f>VLOOKUP(WWWW[[#This Row],[Site Name]],SiteDB6[[Site Name]:[Location Type]],8,FALSE)</f>
        <v>Camp</v>
      </c>
      <c r="H314" s="885" t="s">
        <v>271</v>
      </c>
      <c r="I314" s="887">
        <v>109</v>
      </c>
      <c r="J314" s="887">
        <v>463</v>
      </c>
      <c r="K314" s="888">
        <v>44562</v>
      </c>
      <c r="L314" s="889">
        <v>44926</v>
      </c>
      <c r="M314" s="887"/>
      <c r="N314" s="887">
        <v>2</v>
      </c>
      <c r="O314" s="887"/>
      <c r="P314" s="887"/>
      <c r="Q314" s="890" t="s">
        <v>41</v>
      </c>
      <c r="R314" s="887">
        <v>4</v>
      </c>
      <c r="S314" s="887">
        <v>9</v>
      </c>
      <c r="T314" s="448">
        <v>3</v>
      </c>
      <c r="U314" s="887">
        <v>1</v>
      </c>
      <c r="V314" s="887"/>
      <c r="W314" s="887">
        <v>2</v>
      </c>
      <c r="X314" s="887"/>
      <c r="Y314" s="887"/>
      <c r="Z314" s="887"/>
      <c r="AA314" s="887"/>
      <c r="AB314" s="887"/>
      <c r="AC314" s="887"/>
      <c r="AD314" s="887"/>
      <c r="AE314" s="887">
        <v>2</v>
      </c>
      <c r="AF314" s="887"/>
      <c r="AG314" s="887"/>
      <c r="AH314" s="887">
        <v>2</v>
      </c>
      <c r="AI314" s="887"/>
      <c r="AJ314" s="887"/>
      <c r="AK314" s="887"/>
      <c r="AL314" s="887"/>
      <c r="AM314" s="887">
        <v>3</v>
      </c>
      <c r="AN314" s="887"/>
      <c r="AO314" s="448"/>
      <c r="AP314" s="891" t="s">
        <v>2888</v>
      </c>
      <c r="AQ314" s="887">
        <v>15</v>
      </c>
      <c r="AR314" s="887"/>
      <c r="AS314" s="892"/>
      <c r="AT314" s="887"/>
      <c r="AU314" s="887"/>
      <c r="AV314" s="887"/>
      <c r="AW314" s="887"/>
      <c r="AX314" s="887"/>
      <c r="AY314" s="886" t="s">
        <v>41</v>
      </c>
      <c r="AZ314" s="891" t="s">
        <v>137</v>
      </c>
      <c r="BA314" s="887"/>
      <c r="BB314" s="887"/>
      <c r="BC314" s="887"/>
      <c r="BD314" s="448">
        <v>5</v>
      </c>
      <c r="BE314" s="448"/>
      <c r="BF314" s="886" t="s">
        <v>3072</v>
      </c>
      <c r="BG314" s="887">
        <v>9</v>
      </c>
      <c r="BH314" s="887">
        <v>4</v>
      </c>
      <c r="BI314" s="887"/>
      <c r="BJ314" s="887">
        <v>4</v>
      </c>
      <c r="BK314" s="887"/>
      <c r="BL314" s="887"/>
      <c r="BM314" s="887"/>
      <c r="BN314" s="887">
        <v>80</v>
      </c>
      <c r="BO314" s="887"/>
      <c r="BP314" s="886" t="s">
        <v>41</v>
      </c>
      <c r="BQ314" s="893"/>
      <c r="BR314" s="892">
        <v>0.56000000000000005</v>
      </c>
      <c r="BS314" s="886"/>
      <c r="BT314" s="423">
        <v>0.95</v>
      </c>
      <c r="BU314" s="423">
        <v>0.9</v>
      </c>
      <c r="BV314" s="425"/>
      <c r="BW314" s="423">
        <v>0.95</v>
      </c>
      <c r="BX314" s="448"/>
      <c r="BY314" s="448"/>
      <c r="BZ314" s="448"/>
      <c r="CA314" s="448"/>
      <c r="CB314" s="448"/>
      <c r="CC314" s="777"/>
      <c r="CD314" s="448"/>
      <c r="CE314" s="894" t="str">
        <f>IFERROR(WWWW[[#This Row],['#_Water sources passed]]/WWWW[[#This Row],['#_Water sources tested for fecal coliform ]],"no test")</f>
        <v>no test</v>
      </c>
      <c r="CF314" s="892" t="str">
        <f>IFERROR(WWWW[[#This Row],['#_Household passed]]/WWWW[[#This Row],['#_Household water samples tested for fecal coliform]],"no test")</f>
        <v>no test</v>
      </c>
      <c r="CG314" s="893" t="str">
        <f>IF(AND(WWWW[[#This Row],[% of water sources passed]]="no test",WWWW[[#This Row],[% Household passed]]="no test"),"No Test","Tested")</f>
        <v>No Test</v>
      </c>
      <c r="CH314" s="893">
        <f>WWWW[[#This Row],['#_Constructed/existing protected hand dug well]]-WWWW[[#This Row],['#_Non-functional protected hand dug well]]</f>
        <v>2</v>
      </c>
      <c r="CI314" s="893">
        <f>(WWWW[[#This Row],['#_Constructed/Existing tube wells/boreholes/handpumps_WASH_agency]]+WWWW[[#This Row],['#_Non-Cluster partner water tube-wells/boreholes/handpumps]])-WWWW[[#This Row],['#_Non-functional tube wells/boreholes/handpumps]]</f>
        <v>2</v>
      </c>
      <c r="CJ314" s="893">
        <f>WWWW[[#This Row],['#_Constructed/Existingwater storage tank with gravity fed reticulation system]]-WWWW[[#This Row],['#_Non-functional storage tank gravity fed reticulation system]]</f>
        <v>0</v>
      </c>
      <c r="CK314" s="893">
        <f>(WWWW[[#This Row],['#_Water_Liters_supplied_by_Water boating or water trucking]]/90)/15</f>
        <v>0</v>
      </c>
      <c r="CL314" s="893">
        <f>WWWW[[#This Row],['#_Water_Liters_from_Constructed/Existing water distribution system from river or natural spring]]/90/15</f>
        <v>0</v>
      </c>
      <c r="CM314" s="424">
        <f>IF(WWWW[[#This Row],['#_of water points in TLS/CFS]]*500&gt;WWWW[[#This Row],[Total PoP ]],WWWW[[#This Row],[Total PoP ]],WWWW[[#This Row],['#_of water points in TLS/CFS]]*500)</f>
        <v>0</v>
      </c>
      <c r="CN314" s="424">
        <f>IF(WWWW[[#This Row],['#_of water points in THF]]*500&gt;WWWW[[#This Row],[Total PoP ]],WWWW[[#This Row],[Total PoP ]],WWWW[[#This Row],['#_of water points in THF]]*500)</f>
        <v>0</v>
      </c>
      <c r="CO31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4" s="892">
        <f>IF(WWWW[[#This Row],[Location Type 1]]="Village",WWWW[[#This Row],[Access to safe drinking water for Village]],WWWW[[#This Row],[Access to safe drinking water for Camp]])</f>
        <v>1</v>
      </c>
      <c r="CR314" s="890">
        <f>WWWW[[#This Row],[%Equitable and continuous access to sufficient quantity of safe drinking water]]*WWWW[[#This Row],[Total PoP ]]</f>
        <v>463</v>
      </c>
      <c r="CS314" s="892">
        <f>IF((WWWW[[#This Row],['#_Constructed/Existing protected/fenced ponds]]*250)/WWWW[[#This Row],[Total PoP ]]&gt;1,1,(WWWW[[#This Row],['#_Constructed/Existing protected/fenced ponds]]*250)/WWWW[[#This Row],[Total PoP ]])</f>
        <v>1</v>
      </c>
      <c r="CT314" s="890">
        <f>WWWW[[#This Row],[% Access to unimproved water points]]*WWWW[[#This Row],[Total PoP ]]</f>
        <v>463</v>
      </c>
      <c r="CU31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463</v>
      </c>
      <c r="CW314" s="890">
        <f>WWWW[[#This Row],[HRP1]]/500</f>
        <v>0.92600000000000005</v>
      </c>
      <c r="CX314" s="895">
        <f>1-WWWW[[#This Row],[% Equitable and continuous access to sufficient quantity of domestic water]]</f>
        <v>0</v>
      </c>
      <c r="CY314" s="890">
        <f>WWWW[[#This Row],[%equitable and continuous access to sufficient quantity of safe drinking and domestic water''s GAP]]*WWWW[[#This Row],[Total PoP ]]</f>
        <v>0</v>
      </c>
      <c r="CZ314" s="893">
        <f>IF(WWWW[[#This Row],[Total required water points]]-WWWW[[#This Row],['#Water points coverage]]&lt;0,0,WWWW[[#This Row],[Total required water points]]-WWWW[[#This Row],['#Water points coverage]])</f>
        <v>7.3999999999999955E-2</v>
      </c>
      <c r="DA314" s="893">
        <f>ROUND(IF(WWWW[[#This Row],[Total PoP ]]&lt;500,1,WWWW[[#This Row],[Total PoP ]]/500),0)</f>
        <v>1</v>
      </c>
      <c r="DB314" s="893">
        <f>(WWWW[[#This Row],['#_Constructed latrines_by_WASHAgencies]]+WWWW[[#This Row],['#_Non Cluster partner latrines]])-WWWW[[#This Row],['#_Non-functional latrines]]</f>
        <v>15</v>
      </c>
      <c r="DC314" s="631">
        <f>WWWW[[#This Row],[HRP2]]/WWWW[[#This Row],[Total PoP ]]</f>
        <v>0.64794816414686829</v>
      </c>
      <c r="DD31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31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4" s="424">
        <f>IF(WWWW[[#This Row],['# of functional latrines in THF supported by WASH partners during the reporting period2]]="",0,WWWW[[#This Row],['# of functional latrines in THF supported by WASH partners during the reporting period2]]*50)</f>
        <v>250</v>
      </c>
      <c r="DH314" s="893">
        <f>ROUND(IF(WWWW[[#This Row],[Location Type 1]]="camp",WWWW[[#This Row],[Total PoP ]]/20,IF(WWWW[[#This Row],[Location Type 1]]="Temporary Location",WWWW[[#This Row],[Total PoP ]]/50,(WWWW[[#This Row],[Total PoP ]]/6))),0)</f>
        <v>23</v>
      </c>
      <c r="DI314" s="893">
        <f>IF(WWWW[[#This Row],[Total required Latrines]]-(WWWW[[#This Row],['#_Constructed latrines_by_WASHAgencies]]+WWWW[[#This Row],['#_Non Cluster partner latrines]])&lt;0,0,WWWW[[#This Row],[Total required Latrines]]-(WWWW[[#This Row],['#_Constructed latrines_by_WASHAgencies]]+WWWW[[#This Row],['#_Non Cluster partner latrines]]))</f>
        <v>8</v>
      </c>
      <c r="DJ314" s="895">
        <f>1-WWWW[[#This Row],[% people access to functioning Latrine]]</f>
        <v>0.35205183585313171</v>
      </c>
      <c r="DK314" s="894">
        <f>IF(OR(WWWW[[#This Row],['#_Non-functional latrines]]="",WWWW[[#This Row],['#_Non-functional latrines]]=0),0,WWWW[[#This Row],['#_Non-functional latrines]]/(WWWW[[#This Row],['#_Constructed latrines_by_WASHAgencies]]+WWWW[[#This Row],['#_Non Cluster partner latrines]]))</f>
        <v>0</v>
      </c>
      <c r="DL314" s="890">
        <f>IF(500*(WWWW[[#This Row],['#_male hygiene promoters]]+WWWW[[#This Row],['#_female hygiene promoters]])&gt;WWWW[[#This Row],[Total PoP ]],WWWW[[#This Row],[Total PoP ]],500*(WWWW[[#This Row],['#_male hygiene promoters]]+WWWW[[#This Row],['#_female hygiene promoters]]))</f>
        <v>0</v>
      </c>
      <c r="DM31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400</v>
      </c>
      <c r="DN31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4" s="893">
        <f>IF(WWWW[[#This Row],['# People with access to soap]]&gt;WWWW[[#This Row],['# People with access to Sanity Pads]],WWWW[[#This Row],['# People with access to soap]],WWWW[[#This Row],['# People with access to Sanity Pads]])</f>
        <v>400</v>
      </c>
      <c r="DP314" s="893">
        <f>IF(WWWW[[#This Row],['# people reached by regular dedicated hygiene promotion_5]]&gt;WWWW[[#This Row],['# People received regular supply of hygiene items_6]],WWWW[[#This Row],['# people reached by regular dedicated hygiene promotion_5]],WWWW[[#This Row],['# People received regular supply of hygiene items_6]])</f>
        <v>400</v>
      </c>
      <c r="DQ314" s="895">
        <f>IF(WWWW[[#This Row],[HRP3]]/WWWW[[#This Row],[Total PoP ]]&gt;1,1,WWWW[[#This Row],[HRP3]]/WWWW[[#This Row],[Total PoP ]])</f>
        <v>0.86393088552915764</v>
      </c>
      <c r="DR314" s="894">
        <f>1-WWWW[[#This Row],[Hygiene Coverage%]]</f>
        <v>0.13606911447084236</v>
      </c>
      <c r="DS314" s="892">
        <f>WWWW[[#This Row],['# people reached by regular dedicated hygiene promotion_5]]/WWWW[[#This Row],[Total PoP ]]</f>
        <v>0</v>
      </c>
      <c r="DT31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1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4" s="893">
        <f>WWWW[[#This Row],['#_Constructed/Existing hand washing stations]]-WWWW[[#This Row],['#_Non-Functional_hand_washing_stations]]</f>
        <v>5</v>
      </c>
      <c r="DW314" s="890">
        <f>IF(WWWW[[#This Row],['# Functional hand washing stations during reporting period]]*20&gt;WWWW[[#This Row],[Total HH]],WWWW[[#This Row],[Total HH]],WWWW[[#This Row],['# Functional hand washing stations during reporting period]]*20)</f>
        <v>100</v>
      </c>
      <c r="DX314" s="890">
        <f>IF(WWWW[[#This Row],[Is sufficient soap available for TLS? (Yes/No)]]="yes",WWWW[[#This Row],['#_Constructed/Existing hand washing stations at TLS/CFS/THF]],0)</f>
        <v>3</v>
      </c>
      <c r="DY314" s="428">
        <f>IF(WWWW[[#This Row],['# Functional hand washing stations during reporting period]]*100&gt;WWWW[[#This Row],[Total PoP ]],WWWW[[#This Row],[Total PoP ]],WWWW[[#This Row],['# Functional hand washing stations during reporting period]]*100)</f>
        <v>463</v>
      </c>
      <c r="DZ314" s="428" t="str">
        <f>IF(OR(WWWW[[#This Row],['#_students at TLS_CFS]]="",WWWW[[#This Row],['#_students at TLS_CFS]]=0),"No","Yes")</f>
        <v>No</v>
      </c>
      <c r="EA31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E314" s="886" t="str">
        <f>VLOOKUP(WWWW[[#This Row],[Site Name]],SiteDB6[[Site Name]:[CCCM Management]],6,FALSE)</f>
        <v>Yes</v>
      </c>
      <c r="EF314" s="886" t="str">
        <f>VLOOKUP(WWWW[[#This Row],[Site Name]],SiteDB6[[Site Name]:[CCCM Focal Agency]],7,FALSE)</f>
        <v>Shalom</v>
      </c>
      <c r="EG314" s="886" t="str">
        <f>VLOOKUP(WWWW[[#This Row],[Site Name]],SiteDB6[[Site Name]:[Location Type 1]],9,FALSE)</f>
        <v>Camp</v>
      </c>
      <c r="EH314" s="886" t="str">
        <f>VLOOKUP(WWWW[[#This Row],[Site Name]],SiteDB6[[Site Name]:[Type of Accommodation]],10,FALSE)</f>
        <v>Camp</v>
      </c>
      <c r="EI314" s="886" t="str">
        <f>VLOOKUP(WWWW[[#This Row],[Site Name]],SiteDB6[[Site Name]:[Ethnic or GCA/NGCA]],11,FALSE)</f>
        <v>GCA</v>
      </c>
      <c r="EJ314" s="886">
        <f>VLOOKUP(WWWW[[#This Row],[Site Name]],SiteDB6[[Site Name]:[Lat]],12,FALSE)</f>
        <v>25.3540362037037</v>
      </c>
      <c r="EK314" s="886">
        <f>VLOOKUP(WWWW[[#This Row],[Site Name]],SiteDB6[[Site Name]:[Long]],13,FALSE)</f>
        <v>97.441166388888902</v>
      </c>
      <c r="EL314" s="886" t="str">
        <f>VLOOKUP(WWWW[[#This Row],[Site Name]],SiteDB6[[Site Name]:[Pcode]],3,FALSE)</f>
        <v>MMR001CMP032</v>
      </c>
      <c r="EM314" s="891" t="str">
        <f t="shared" si="4"/>
        <v>Covered</v>
      </c>
      <c r="EN314" s="891"/>
      <c r="EO314" s="886">
        <f>VLOOKUP(WWWW[[#This Row],[Site Name]],SiteDB6[[Site Name]:[Pop
(Kachin/Shan-CCCM as of July 2021)]],16,FALSE)</f>
        <v>111</v>
      </c>
      <c r="EP314" s="886">
        <f>VLOOKUP(WWWW[[#This Row],[Site Name]],SiteDB6[[Site Name]:[Pop
(Kachin/Shan-CCCM as of July 2021)]],17,FALSE)</f>
        <v>505</v>
      </c>
    </row>
    <row r="315" spans="1:146" hidden="1">
      <c r="A315" s="884" t="s">
        <v>2764</v>
      </c>
      <c r="B315" s="884" t="s">
        <v>3082</v>
      </c>
      <c r="C315" s="885" t="s">
        <v>141</v>
      </c>
      <c r="D315" s="369" t="s">
        <v>3083</v>
      </c>
      <c r="E315" s="885" t="s">
        <v>37</v>
      </c>
      <c r="F315" s="885" t="s">
        <v>142</v>
      </c>
      <c r="G315" s="591" t="str">
        <f>VLOOKUP(WWWW[[#This Row],[Site Name]],SiteDB6[[Site Name]:[Location Type]],8,FALSE)</f>
        <v>Camp</v>
      </c>
      <c r="H315" s="885" t="s">
        <v>181</v>
      </c>
      <c r="I315" s="887">
        <v>81</v>
      </c>
      <c r="J315" s="887">
        <v>396</v>
      </c>
      <c r="K315" s="800" t="s">
        <v>3084</v>
      </c>
      <c r="L315" s="56" t="s">
        <v>3080</v>
      </c>
      <c r="M315" s="887"/>
      <c r="N315" s="887">
        <v>2</v>
      </c>
      <c r="O315" s="887"/>
      <c r="P315" s="887"/>
      <c r="Q315" s="890" t="s">
        <v>41</v>
      </c>
      <c r="R315" s="887">
        <v>3</v>
      </c>
      <c r="S315" s="887">
        <v>3</v>
      </c>
      <c r="T315" s="448">
        <v>2</v>
      </c>
      <c r="U315" s="887"/>
      <c r="V315" s="887"/>
      <c r="W315" s="887"/>
      <c r="X315" s="887"/>
      <c r="Y315" s="887"/>
      <c r="Z315" s="887"/>
      <c r="AA315" s="887"/>
      <c r="AB315" s="887"/>
      <c r="AC315" s="887"/>
      <c r="AD315" s="887"/>
      <c r="AE315" s="887"/>
      <c r="AF315" s="887"/>
      <c r="AG315" s="887"/>
      <c r="AH315" s="887">
        <v>1</v>
      </c>
      <c r="AI315" s="887"/>
      <c r="AJ315" s="887"/>
      <c r="AK315" s="887"/>
      <c r="AL315" s="887"/>
      <c r="AM315" s="887"/>
      <c r="AN315" s="887"/>
      <c r="AO315" s="448"/>
      <c r="AP315" s="891"/>
      <c r="AQ315" s="887">
        <v>14</v>
      </c>
      <c r="AR315" s="887"/>
      <c r="AS315" s="892"/>
      <c r="AT315" s="887"/>
      <c r="AU315" s="887"/>
      <c r="AV315" s="887"/>
      <c r="AW315" s="887"/>
      <c r="AX315" s="887">
        <v>10</v>
      </c>
      <c r="AY315" s="886" t="s">
        <v>41</v>
      </c>
      <c r="AZ315" s="891" t="s">
        <v>137</v>
      </c>
      <c r="BA315" s="887"/>
      <c r="BB315" s="887"/>
      <c r="BC315" s="887"/>
      <c r="BD315" s="448"/>
      <c r="BE315" s="448"/>
      <c r="BF315" s="886"/>
      <c r="BG315" s="887">
        <v>1</v>
      </c>
      <c r="BH315" s="887"/>
      <c r="BI315" s="887"/>
      <c r="BJ315" s="887">
        <v>3</v>
      </c>
      <c r="BK315" s="887"/>
      <c r="BL315" s="887">
        <v>1</v>
      </c>
      <c r="BM315" s="887">
        <v>1</v>
      </c>
      <c r="BN315" s="448">
        <v>19</v>
      </c>
      <c r="BO315" s="448">
        <v>20</v>
      </c>
      <c r="BP315" s="886"/>
      <c r="BQ315" s="893"/>
      <c r="BR315" s="892"/>
      <c r="BS315" s="425" t="s">
        <v>3053</v>
      </c>
      <c r="BT315" s="423"/>
      <c r="BU315" s="423"/>
      <c r="BV315" s="425"/>
      <c r="BW315" s="423"/>
      <c r="BX315" s="448"/>
      <c r="BY315" s="448"/>
      <c r="BZ315" s="448"/>
      <c r="CA315" s="448"/>
      <c r="CB315" s="448"/>
      <c r="CC315" s="777"/>
      <c r="CD315" s="448"/>
      <c r="CE315" s="894" t="str">
        <f>IFERROR(WWWW[[#This Row],['#_Water sources passed]]/WWWW[[#This Row],['#_Water sources tested for fecal coliform ]],"no test")</f>
        <v>no test</v>
      </c>
      <c r="CF315" s="892" t="str">
        <f>IFERROR(WWWW[[#This Row],['#_Household passed]]/WWWW[[#This Row],['#_Household water samples tested for fecal coliform]],"no test")</f>
        <v>no test</v>
      </c>
      <c r="CG315" s="893" t="str">
        <f>IF(AND(WWWW[[#This Row],[% of water sources passed]]="no test",WWWW[[#This Row],[% Household passed]]="no test"),"No Test","Tested")</f>
        <v>No Test</v>
      </c>
      <c r="CH315" s="893">
        <f>WWWW[[#This Row],['#_Constructed/existing protected hand dug well]]-WWWW[[#This Row],['#_Non-functional protected hand dug well]]</f>
        <v>2</v>
      </c>
      <c r="CI315" s="893">
        <f>(WWWW[[#This Row],['#_Constructed/Existing tube wells/boreholes/handpumps_WASH_agency]]+WWWW[[#This Row],['#_Non-Cluster partner water tube-wells/boreholes/handpumps]])-WWWW[[#This Row],['#_Non-functional tube wells/boreholes/handpumps]]</f>
        <v>0</v>
      </c>
      <c r="CJ315" s="893">
        <f>WWWW[[#This Row],['#_Constructed/Existingwater storage tank with gravity fed reticulation system]]-WWWW[[#This Row],['#_Non-functional storage tank gravity fed reticulation system]]</f>
        <v>0</v>
      </c>
      <c r="CK315" s="893">
        <f>(WWWW[[#This Row],['#_Water_Liters_supplied_by_Water boating or water trucking]]/90)/15</f>
        <v>0</v>
      </c>
      <c r="CL315" s="893">
        <f>WWWW[[#This Row],['#_Water_Liters_from_Constructed/Existing water distribution system from river or natural spring]]/90/15</f>
        <v>0</v>
      </c>
      <c r="CM315" s="424">
        <f>IF(WWWW[[#This Row],['#_of water points in TLS/CFS]]*500&gt;WWWW[[#This Row],[Total PoP ]],WWWW[[#This Row],[Total PoP ]],WWWW[[#This Row],['#_of water points in TLS/CFS]]*500)</f>
        <v>0</v>
      </c>
      <c r="CN315" s="424">
        <f>IF(WWWW[[#This Row],['#_of water points in THF]]*500&gt;WWWW[[#This Row],[Total PoP ]],WWWW[[#This Row],[Total PoP ]],WWWW[[#This Row],['#_of water points in THF]]*500)</f>
        <v>0</v>
      </c>
      <c r="CO31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5" s="892">
        <f>IF(WWWW[[#This Row],[Location Type 1]]="Village",WWWW[[#This Row],[Access to safe drinking water for Village]],WWWW[[#This Row],[Access to safe drinking water for Camp]])</f>
        <v>1</v>
      </c>
      <c r="CR315" s="890">
        <f>WWWW[[#This Row],[%Equitable and continuous access to sufficient quantity of safe drinking water]]*WWWW[[#This Row],[Total PoP ]]</f>
        <v>396</v>
      </c>
      <c r="CS315" s="892">
        <f>IF((WWWW[[#This Row],['#_Constructed/Existing protected/fenced ponds]]*250)/WWWW[[#This Row],[Total PoP ]]&gt;1,1,(WWWW[[#This Row],['#_Constructed/Existing protected/fenced ponds]]*250)/WWWW[[#This Row],[Total PoP ]])</f>
        <v>0</v>
      </c>
      <c r="CT315" s="890">
        <f>WWWW[[#This Row],[% Access to unimproved water points]]*WWWW[[#This Row],[Total PoP ]]</f>
        <v>0</v>
      </c>
      <c r="CU31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W315" s="890">
        <f>WWWW[[#This Row],[HRP1]]/500</f>
        <v>0.79200000000000004</v>
      </c>
      <c r="CX315" s="895">
        <f>1-WWWW[[#This Row],[% Equitable and continuous access to sufficient quantity of domestic water]]</f>
        <v>0</v>
      </c>
      <c r="CY315" s="890">
        <f>WWWW[[#This Row],[%equitable and continuous access to sufficient quantity of safe drinking and domestic water''s GAP]]*WWWW[[#This Row],[Total PoP ]]</f>
        <v>0</v>
      </c>
      <c r="CZ315" s="893">
        <f>IF(WWWW[[#This Row],[Total required water points]]-WWWW[[#This Row],['#Water points coverage]]&lt;0,0,WWWW[[#This Row],[Total required water points]]-WWWW[[#This Row],['#Water points coverage]])</f>
        <v>0.20799999999999996</v>
      </c>
      <c r="DA315" s="893">
        <f>ROUND(IF(WWWW[[#This Row],[Total PoP ]]&lt;500,1,WWWW[[#This Row],[Total PoP ]]/500),0)</f>
        <v>1</v>
      </c>
      <c r="DB315" s="893">
        <f>(WWWW[[#This Row],['#_Constructed latrines_by_WASHAgencies]]+WWWW[[#This Row],['#_Non Cluster partner latrines]])-WWWW[[#This Row],['#_Non-functional latrines]]</f>
        <v>14</v>
      </c>
      <c r="DC315" s="631">
        <f>WWWW[[#This Row],[HRP2]]/WWWW[[#This Row],[Total PoP ]]</f>
        <v>0.70707070707070707</v>
      </c>
      <c r="DD31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31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5" s="424">
        <f>IF(WWWW[[#This Row],['# of functional latrines in THF supported by WASH partners during the reporting period2]]="",0,WWWW[[#This Row],['# of functional latrines in THF supported by WASH partners during the reporting period2]]*50)</f>
        <v>0</v>
      </c>
      <c r="DH315" s="893">
        <f>ROUND(IF(WWWW[[#This Row],[Location Type 1]]="camp",WWWW[[#This Row],[Total PoP ]]/20,IF(WWWW[[#This Row],[Location Type 1]]="Temporary Location",WWWW[[#This Row],[Total PoP ]]/50,(WWWW[[#This Row],[Total PoP ]]/6))),0)</f>
        <v>20</v>
      </c>
      <c r="DI315" s="893">
        <f>IF(WWWW[[#This Row],[Total required Latrines]]-(WWWW[[#This Row],['#_Constructed latrines_by_WASHAgencies]]+WWWW[[#This Row],['#_Non Cluster partner latrines]])&lt;0,0,WWWW[[#This Row],[Total required Latrines]]-(WWWW[[#This Row],['#_Constructed latrines_by_WASHAgencies]]+WWWW[[#This Row],['#_Non Cluster partner latrines]]))</f>
        <v>6</v>
      </c>
      <c r="DJ315" s="895">
        <f>1-WWWW[[#This Row],[% people access to functioning Latrine]]</f>
        <v>0.29292929292929293</v>
      </c>
      <c r="DK315" s="894">
        <f>IF(OR(WWWW[[#This Row],['#_Non-functional latrines]]="",WWWW[[#This Row],['#_Non-functional latrines]]=0),0,WWWW[[#This Row],['#_Non-functional latrines]]/(WWWW[[#This Row],['#_Constructed latrines_by_WASHAgencies]]+WWWW[[#This Row],['#_Non Cluster partner latrines]]))</f>
        <v>0</v>
      </c>
      <c r="DL315" s="890">
        <f>IF(500*(WWWW[[#This Row],['#_male hygiene promoters]]+WWWW[[#This Row],['#_female hygiene promoters]])&gt;WWWW[[#This Row],[Total PoP ]],WWWW[[#This Row],[Total PoP ]],500*(WWWW[[#This Row],['#_male hygiene promoters]]+WWWW[[#This Row],['#_female hygiene promoters]]))</f>
        <v>396</v>
      </c>
      <c r="DM31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95</v>
      </c>
      <c r="DN31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20</v>
      </c>
      <c r="DO315" s="893">
        <f>IF(WWWW[[#This Row],['# People with access to soap]]&gt;WWWW[[#This Row],['# People with access to Sanity Pads]],WWWW[[#This Row],['# People with access to soap]],WWWW[[#This Row],['# People with access to Sanity Pads]])</f>
        <v>95</v>
      </c>
      <c r="DP315" s="893">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Q315" s="895">
        <f>IF(WWWW[[#This Row],[HRP3]]/WWWW[[#This Row],[Total PoP ]]&gt;1,1,WWWW[[#This Row],[HRP3]]/WWWW[[#This Row],[Total PoP ]])</f>
        <v>1</v>
      </c>
      <c r="DR315" s="894">
        <f>1-WWWW[[#This Row],[Hygiene Coverage%]]</f>
        <v>0</v>
      </c>
      <c r="DS315" s="892">
        <f>WWWW[[#This Row],['# people reached by regular dedicated hygiene promotion_5]]/WWWW[[#This Row],[Total PoP ]]</f>
        <v>1</v>
      </c>
      <c r="DT31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0.93827160493827155</v>
      </c>
      <c r="DU31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0.24691358024691357</v>
      </c>
      <c r="DV315" s="893">
        <f>WWWW[[#This Row],['#_Constructed/Existing hand washing stations]]-WWWW[[#This Row],['#_Non-Functional_hand_washing_stations]]</f>
        <v>1</v>
      </c>
      <c r="DW315" s="890">
        <f>IF(WWWW[[#This Row],['# Functional hand washing stations during reporting period]]*20&gt;WWWW[[#This Row],[Total HH]],WWWW[[#This Row],[Total HH]],WWWW[[#This Row],['# Functional hand washing stations during reporting period]]*20)</f>
        <v>20</v>
      </c>
      <c r="DX315" s="890">
        <f>IF(WWWW[[#This Row],[Is sufficient soap available for TLS? (Yes/No)]]="yes",WWWW[[#This Row],['#_Constructed/Existing hand washing stations at TLS/CFS/THF]],0)</f>
        <v>0</v>
      </c>
      <c r="DY315" s="428">
        <f>IF(WWWW[[#This Row],['# Functional hand washing stations during reporting period]]*100&gt;WWWW[[#This Row],[Total PoP ]],WWWW[[#This Row],[Total PoP ]],WWWW[[#This Row],['# Functional hand washing stations during reporting period]]*100)</f>
        <v>100</v>
      </c>
      <c r="DZ315" s="428" t="str">
        <f>IF(OR(WWWW[[#This Row],['#_students at TLS_CFS]]="",WWWW[[#This Row],['#_students at TLS_CFS]]=0),"No","Yes")</f>
        <v>No</v>
      </c>
      <c r="EA31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5" s="886" t="str">
        <f>VLOOKUP(WWWW[[#This Row],[Site Name]],SiteDB6[[Site Name]:[CCCM Management]],6,FALSE)</f>
        <v>Yes</v>
      </c>
      <c r="EF315" s="886" t="str">
        <f>VLOOKUP(WWWW[[#This Row],[Site Name]],SiteDB6[[Site Name]:[CCCM Focal Agency]],7,FALSE)</f>
        <v>KBC-MYT</v>
      </c>
      <c r="EG315" s="886" t="str">
        <f>VLOOKUP(WWWW[[#This Row],[Site Name]],SiteDB6[[Site Name]:[Location Type 1]],9,FALSE)</f>
        <v>Camp</v>
      </c>
      <c r="EH315" s="886" t="str">
        <f>VLOOKUP(WWWW[[#This Row],[Site Name]],SiteDB6[[Site Name]:[Type of Accommodation]],10,FALSE)</f>
        <v>Camp</v>
      </c>
      <c r="EI315" s="886" t="str">
        <f>VLOOKUP(WWWW[[#This Row],[Site Name]],SiteDB6[[Site Name]:[Ethnic or GCA/NGCA]],11,FALSE)</f>
        <v>GCA</v>
      </c>
      <c r="EJ315" s="886">
        <f>VLOOKUP(WWWW[[#This Row],[Site Name]],SiteDB6[[Site Name]:[Lat]],12,FALSE)</f>
        <v>25.351724999999998</v>
      </c>
      <c r="EK315" s="886">
        <f>VLOOKUP(WWWW[[#This Row],[Site Name]],SiteDB6[[Site Name]:[Long]],13,FALSE)</f>
        <v>97.438432380952406</v>
      </c>
      <c r="EL315" s="886" t="str">
        <f>VLOOKUP(WWWW[[#This Row],[Site Name]],SiteDB6[[Site Name]:[Pcode]],3,FALSE)</f>
        <v>MMR001CMP025</v>
      </c>
      <c r="EM315" s="891" t="str">
        <f t="shared" si="4"/>
        <v>Covered</v>
      </c>
      <c r="EN315" s="891"/>
      <c r="EO315" s="886">
        <f>VLOOKUP(WWWW[[#This Row],[Site Name]],SiteDB6[[Site Name]:[Pop
(Kachin/Shan-CCCM as of July 2021)]],16,FALSE)</f>
        <v>72</v>
      </c>
      <c r="EP315" s="886">
        <f>VLOOKUP(WWWW[[#This Row],[Site Name]],SiteDB6[[Site Name]:[Pop
(Kachin/Shan-CCCM as of July 2021)]],17,FALSE)</f>
        <v>360</v>
      </c>
    </row>
    <row r="316" spans="1:146" hidden="1">
      <c r="A316" s="884" t="s">
        <v>2764</v>
      </c>
      <c r="B316" s="884" t="s">
        <v>242</v>
      </c>
      <c r="C316" s="885" t="s">
        <v>242</v>
      </c>
      <c r="D316" s="885" t="s">
        <v>299</v>
      </c>
      <c r="E316" s="885" t="s">
        <v>37</v>
      </c>
      <c r="F316" s="885" t="s">
        <v>148</v>
      </c>
      <c r="G316" s="591" t="str">
        <f>VLOOKUP(WWWW[[#This Row],[Site Name]],SiteDB6[[Site Name]:[Location Type]],8,FALSE)</f>
        <v>Camp</v>
      </c>
      <c r="H316" s="885" t="s">
        <v>259</v>
      </c>
      <c r="I316" s="887">
        <v>16</v>
      </c>
      <c r="J316" s="887">
        <v>70</v>
      </c>
      <c r="K316" s="888">
        <v>44562</v>
      </c>
      <c r="L316" s="889">
        <v>44926</v>
      </c>
      <c r="M316" s="887"/>
      <c r="N316" s="887"/>
      <c r="O316" s="887"/>
      <c r="P316" s="887"/>
      <c r="Q316" s="890" t="s">
        <v>41</v>
      </c>
      <c r="R316" s="887">
        <v>4</v>
      </c>
      <c r="S316" s="887">
        <v>3</v>
      </c>
      <c r="T316" s="448">
        <v>1</v>
      </c>
      <c r="U316" s="887"/>
      <c r="V316" s="887"/>
      <c r="W316" s="887">
        <v>1</v>
      </c>
      <c r="X316" s="887"/>
      <c r="Y316" s="887"/>
      <c r="Z316" s="887"/>
      <c r="AA316" s="887">
        <v>1</v>
      </c>
      <c r="AB316" s="887"/>
      <c r="AC316" s="887">
        <v>1</v>
      </c>
      <c r="AD316" s="887"/>
      <c r="AE316" s="887">
        <v>2</v>
      </c>
      <c r="AF316" s="887"/>
      <c r="AG316" s="887">
        <v>1</v>
      </c>
      <c r="AH316" s="887"/>
      <c r="AI316" s="887"/>
      <c r="AJ316" s="887"/>
      <c r="AK316" s="887"/>
      <c r="AL316" s="887"/>
      <c r="AM316" s="887"/>
      <c r="AN316" s="887"/>
      <c r="AO316" s="448"/>
      <c r="AP316" s="891"/>
      <c r="AQ316" s="887">
        <v>2</v>
      </c>
      <c r="AR316" s="887"/>
      <c r="AS316" s="892"/>
      <c r="AT316" s="887"/>
      <c r="AU316" s="887"/>
      <c r="AV316" s="887"/>
      <c r="AW316" s="887"/>
      <c r="AX316" s="887"/>
      <c r="AY316" s="886" t="s">
        <v>41</v>
      </c>
      <c r="AZ316" s="891" t="s">
        <v>137</v>
      </c>
      <c r="BA316" s="887"/>
      <c r="BB316" s="887"/>
      <c r="BC316" s="887"/>
      <c r="BD316" s="448"/>
      <c r="BE316" s="448"/>
      <c r="BF316" s="886"/>
      <c r="BG316" s="887">
        <v>3</v>
      </c>
      <c r="BH316" s="887"/>
      <c r="BI316" s="887"/>
      <c r="BJ316" s="887">
        <v>2</v>
      </c>
      <c r="BK316" s="887"/>
      <c r="BL316" s="887">
        <v>1</v>
      </c>
      <c r="BM316" s="887"/>
      <c r="BN316" s="887">
        <v>16</v>
      </c>
      <c r="BO316" s="887">
        <v>17</v>
      </c>
      <c r="BP316" s="886"/>
      <c r="BQ316" s="893"/>
      <c r="BR316" s="892"/>
      <c r="BS316" s="886"/>
      <c r="BT316" s="423">
        <v>1</v>
      </c>
      <c r="BU316" s="423">
        <v>1</v>
      </c>
      <c r="BV316" s="425"/>
      <c r="BW316" s="423">
        <v>1</v>
      </c>
      <c r="BX316" s="448"/>
      <c r="BY316" s="448"/>
      <c r="BZ316" s="448"/>
      <c r="CA316" s="448"/>
      <c r="CB316" s="448"/>
      <c r="CC316" s="777"/>
      <c r="CD316" s="448"/>
      <c r="CE316" s="894" t="str">
        <f>IFERROR(WWWW[[#This Row],['#_Water sources passed]]/WWWW[[#This Row],['#_Water sources tested for fecal coliform ]],"no test")</f>
        <v>no test</v>
      </c>
      <c r="CF316" s="892" t="str">
        <f>IFERROR(WWWW[[#This Row],['#_Household passed]]/WWWW[[#This Row],['#_Household water samples tested for fecal coliform]],"no test")</f>
        <v>no test</v>
      </c>
      <c r="CG316" s="893" t="str">
        <f>IF(AND(WWWW[[#This Row],[% of water sources passed]]="no test",WWWW[[#This Row],[% Household passed]]="no test"),"No Test","Tested")</f>
        <v>No Test</v>
      </c>
      <c r="CH316" s="893">
        <f>WWWW[[#This Row],['#_Constructed/existing protected hand dug well]]-WWWW[[#This Row],['#_Non-functional protected hand dug well]]</f>
        <v>1</v>
      </c>
      <c r="CI316" s="893">
        <f>(WWWW[[#This Row],['#_Constructed/Existing tube wells/boreholes/handpumps_WASH_agency]]+WWWW[[#This Row],['#_Non-Cluster partner water tube-wells/boreholes/handpumps]])-WWWW[[#This Row],['#_Non-functional tube wells/boreholes/handpumps]]</f>
        <v>1</v>
      </c>
      <c r="CJ316" s="893">
        <f>WWWW[[#This Row],['#_Constructed/Existingwater storage tank with gravity fed reticulation system]]-WWWW[[#This Row],['#_Non-functional storage tank gravity fed reticulation system]]</f>
        <v>1</v>
      </c>
      <c r="CK316" s="893">
        <f>(WWWW[[#This Row],['#_Water_Liters_supplied_by_Water boating or water trucking]]/90)/15</f>
        <v>0</v>
      </c>
      <c r="CL316" s="893">
        <f>WWWW[[#This Row],['#_Water_Liters_from_Constructed/Existing water distribution system from river or natural spring]]/90/15</f>
        <v>0</v>
      </c>
      <c r="CM316" s="424">
        <f>IF(WWWW[[#This Row],['#_of water points in TLS/CFS]]*500&gt;WWWW[[#This Row],[Total PoP ]],WWWW[[#This Row],[Total PoP ]],WWWW[[#This Row],['#_of water points in TLS/CFS]]*500)</f>
        <v>0</v>
      </c>
      <c r="CN316" s="424">
        <f>IF(WWWW[[#This Row],['#_of water points in THF]]*500&gt;WWWW[[#This Row],[Total PoP ]],WWWW[[#This Row],[Total PoP ]],WWWW[[#This Row],['#_of water points in THF]]*500)</f>
        <v>0</v>
      </c>
      <c r="CO31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6" s="892">
        <f>IF(WWWW[[#This Row],[Location Type 1]]="Village",WWWW[[#This Row],[Access to safe drinking water for Village]],WWWW[[#This Row],[Access to safe drinking water for Camp]])</f>
        <v>1</v>
      </c>
      <c r="CR316" s="890">
        <f>WWWW[[#This Row],[%Equitable and continuous access to sufficient quantity of safe drinking water]]*WWWW[[#This Row],[Total PoP ]]</f>
        <v>70</v>
      </c>
      <c r="CS316" s="892">
        <f>IF((WWWW[[#This Row],['#_Constructed/Existing protected/fenced ponds]]*250)/WWWW[[#This Row],[Total PoP ]]&gt;1,1,(WWWW[[#This Row],['#_Constructed/Existing protected/fenced ponds]]*250)/WWWW[[#This Row],[Total PoP ]])</f>
        <v>1</v>
      </c>
      <c r="CT316" s="890">
        <f>WWWW[[#This Row],[% Access to unimproved water points]]*WWWW[[#This Row],[Total PoP ]]</f>
        <v>70</v>
      </c>
      <c r="CU31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W316" s="890">
        <f>WWWW[[#This Row],[HRP1]]/500</f>
        <v>0.14000000000000001</v>
      </c>
      <c r="CX316" s="895">
        <f>1-WWWW[[#This Row],[% Equitable and continuous access to sufficient quantity of domestic water]]</f>
        <v>0</v>
      </c>
      <c r="CY316" s="890">
        <f>WWWW[[#This Row],[%equitable and continuous access to sufficient quantity of safe drinking and domestic water''s GAP]]*WWWW[[#This Row],[Total PoP ]]</f>
        <v>0</v>
      </c>
      <c r="CZ316" s="893">
        <f>IF(WWWW[[#This Row],[Total required water points]]-WWWW[[#This Row],['#Water points coverage]]&lt;0,0,WWWW[[#This Row],[Total required water points]]-WWWW[[#This Row],['#Water points coverage]])</f>
        <v>0.86</v>
      </c>
      <c r="DA316" s="893">
        <f>ROUND(IF(WWWW[[#This Row],[Total PoP ]]&lt;500,1,WWWW[[#This Row],[Total PoP ]]/500),0)</f>
        <v>1</v>
      </c>
      <c r="DB316" s="893">
        <f>(WWWW[[#This Row],['#_Constructed latrines_by_WASHAgencies]]+WWWW[[#This Row],['#_Non Cluster partner latrines]])-WWWW[[#This Row],['#_Non-functional latrines]]</f>
        <v>2</v>
      </c>
      <c r="DC316" s="631">
        <f>WWWW[[#This Row],[HRP2]]/WWWW[[#This Row],[Total PoP ]]</f>
        <v>0.5714285714285714</v>
      </c>
      <c r="DD31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31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6" s="424">
        <f>IF(WWWW[[#This Row],['# of functional latrines in THF supported by WASH partners during the reporting period2]]="",0,WWWW[[#This Row],['# of functional latrines in THF supported by WASH partners during the reporting period2]]*50)</f>
        <v>0</v>
      </c>
      <c r="DH316" s="893">
        <f>ROUND(IF(WWWW[[#This Row],[Location Type 1]]="camp",WWWW[[#This Row],[Total PoP ]]/20,IF(WWWW[[#This Row],[Location Type 1]]="Temporary Location",WWWW[[#This Row],[Total PoP ]]/50,(WWWW[[#This Row],[Total PoP ]]/6))),0)</f>
        <v>4</v>
      </c>
      <c r="DI316" s="893">
        <f>IF(WWWW[[#This Row],[Total required Latrines]]-(WWWW[[#This Row],['#_Constructed latrines_by_WASHAgencies]]+WWWW[[#This Row],['#_Non Cluster partner latrines]])&lt;0,0,WWWW[[#This Row],[Total required Latrines]]-(WWWW[[#This Row],['#_Constructed latrines_by_WASHAgencies]]+WWWW[[#This Row],['#_Non Cluster partner latrines]]))</f>
        <v>2</v>
      </c>
      <c r="DJ316" s="895">
        <f>1-WWWW[[#This Row],[% people access to functioning Latrine]]</f>
        <v>0.4285714285714286</v>
      </c>
      <c r="DK316" s="894">
        <f>IF(OR(WWWW[[#This Row],['#_Non-functional latrines]]="",WWWW[[#This Row],['#_Non-functional latrines]]=0),0,WWWW[[#This Row],['#_Non-functional latrines]]/(WWWW[[#This Row],['#_Constructed latrines_by_WASHAgencies]]+WWWW[[#This Row],['#_Non Cluster partner latrines]]))</f>
        <v>0</v>
      </c>
      <c r="DL316" s="890">
        <f>IF(500*(WWWW[[#This Row],['#_male hygiene promoters]]+WWWW[[#This Row],['#_female hygiene promoters]])&gt;WWWW[[#This Row],[Total PoP ]],WWWW[[#This Row],[Total PoP ]],500*(WWWW[[#This Row],['#_male hygiene promoters]]+WWWW[[#This Row],['#_female hygiene promoters]]))</f>
        <v>70</v>
      </c>
      <c r="DM31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N31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17</v>
      </c>
      <c r="DO316" s="893">
        <f>IF(WWWW[[#This Row],['# People with access to soap]]&gt;WWWW[[#This Row],['# People with access to Sanity Pads]],WWWW[[#This Row],['# People with access to soap]],WWWW[[#This Row],['# People with access to Sanity Pads]])</f>
        <v>70</v>
      </c>
      <c r="DP316" s="893">
        <f>IF(WWWW[[#This Row],['# people reached by regular dedicated hygiene promotion_5]]&gt;WWWW[[#This Row],['# People received regular supply of hygiene items_6]],WWWW[[#This Row],['# people reached by regular dedicated hygiene promotion_5]],WWWW[[#This Row],['# People received regular supply of hygiene items_6]])</f>
        <v>70</v>
      </c>
      <c r="DQ316" s="895">
        <f>IF(WWWW[[#This Row],[HRP3]]/WWWW[[#This Row],[Total PoP ]]&gt;1,1,WWWW[[#This Row],[HRP3]]/WWWW[[#This Row],[Total PoP ]])</f>
        <v>1</v>
      </c>
      <c r="DR316" s="894">
        <f>1-WWWW[[#This Row],[Hygiene Coverage%]]</f>
        <v>0</v>
      </c>
      <c r="DS316" s="892">
        <f>WWWW[[#This Row],['# people reached by regular dedicated hygiene promotion_5]]/WWWW[[#This Row],[Total PoP ]]</f>
        <v>1</v>
      </c>
      <c r="DT31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1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16" s="893">
        <f>WWWW[[#This Row],['#_Constructed/Existing hand washing stations]]-WWWW[[#This Row],['#_Non-Functional_hand_washing_stations]]</f>
        <v>3</v>
      </c>
      <c r="DW316" s="890">
        <f>IF(WWWW[[#This Row],['# Functional hand washing stations during reporting period]]*20&gt;WWWW[[#This Row],[Total HH]],WWWW[[#This Row],[Total HH]],WWWW[[#This Row],['# Functional hand washing stations during reporting period]]*20)</f>
        <v>16</v>
      </c>
      <c r="DX316" s="890">
        <f>IF(WWWW[[#This Row],[Is sufficient soap available for TLS? (Yes/No)]]="yes",WWWW[[#This Row],['#_Constructed/Existing hand washing stations at TLS/CFS/THF]],0)</f>
        <v>0</v>
      </c>
      <c r="DY316" s="428">
        <f>IF(WWWW[[#This Row],['# Functional hand washing stations during reporting period]]*100&gt;WWWW[[#This Row],[Total PoP ]],WWWW[[#This Row],[Total PoP ]],WWWW[[#This Row],['# Functional hand washing stations during reporting period]]*100)</f>
        <v>70</v>
      </c>
      <c r="DZ316" s="428" t="str">
        <f>IF(OR(WWWW[[#This Row],['#_students at TLS_CFS]]="",WWWW[[#This Row],['#_students at TLS_CFS]]=0),"No","Yes")</f>
        <v>No</v>
      </c>
      <c r="EA31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6" s="886" t="str">
        <f>VLOOKUP(WWWW[[#This Row],[Site Name]],SiteDB6[[Site Name]:[CCCM Management]],6,FALSE)</f>
        <v>Yes</v>
      </c>
      <c r="EF316" s="886" t="str">
        <f>VLOOKUP(WWWW[[#This Row],[Site Name]],SiteDB6[[Site Name]:[CCCM Focal Agency]],7,FALSE)</f>
        <v>Shalom</v>
      </c>
      <c r="EG316" s="886" t="str">
        <f>VLOOKUP(WWWW[[#This Row],[Site Name]],SiteDB6[[Site Name]:[Location Type 1]],9,FALSE)</f>
        <v>Camp</v>
      </c>
      <c r="EH316" s="886" t="str">
        <f>VLOOKUP(WWWW[[#This Row],[Site Name]],SiteDB6[[Site Name]:[Type of Accommodation]],10,FALSE)</f>
        <v>Camp like setting</v>
      </c>
      <c r="EI316" s="886" t="str">
        <f>VLOOKUP(WWWW[[#This Row],[Site Name]],SiteDB6[[Site Name]:[Ethnic or GCA/NGCA]],11,FALSE)</f>
        <v>GCA</v>
      </c>
      <c r="EJ316" s="886">
        <f>VLOOKUP(WWWW[[#This Row],[Site Name]],SiteDB6[[Site Name]:[Lat]],12,FALSE)</f>
        <v>25.56551</v>
      </c>
      <c r="EK316" s="886">
        <f>VLOOKUP(WWWW[[#This Row],[Site Name]],SiteDB6[[Site Name]:[Long]],13,FALSE)</f>
        <v>96.279200000000003</v>
      </c>
      <c r="EL316" s="886" t="str">
        <f>VLOOKUP(WWWW[[#This Row],[Site Name]],SiteDB6[[Site Name]:[Pcode]],3,FALSE)</f>
        <v>MMR001CMP182</v>
      </c>
      <c r="EM316" s="891" t="str">
        <f t="shared" si="4"/>
        <v>Covered</v>
      </c>
      <c r="EN316" s="891"/>
      <c r="EO316" s="886">
        <f>VLOOKUP(WWWW[[#This Row],[Site Name]],SiteDB6[[Site Name]:[Pop
(Kachin/Shan-CCCM as of July 2021)]],16,FALSE)</f>
        <v>16</v>
      </c>
      <c r="EP316" s="886">
        <f>VLOOKUP(WWWW[[#This Row],[Site Name]],SiteDB6[[Site Name]:[Pop
(Kachin/Shan-CCCM as of July 2021)]],17,FALSE)</f>
        <v>70</v>
      </c>
    </row>
    <row r="317" spans="1:146" hidden="1">
      <c r="A317" s="884" t="s">
        <v>2764</v>
      </c>
      <c r="B317" s="884" t="s">
        <v>276</v>
      </c>
      <c r="C317" s="885" t="s">
        <v>276</v>
      </c>
      <c r="D317" s="885" t="s">
        <v>3037</v>
      </c>
      <c r="E317" s="885" t="s">
        <v>37</v>
      </c>
      <c r="F317" s="885" t="s">
        <v>195</v>
      </c>
      <c r="G317" s="591" t="str">
        <f>VLOOKUP(WWWW[[#This Row],[Site Name]],SiteDB6[[Site Name]:[Location Type]],8,FALSE)</f>
        <v>Camp</v>
      </c>
      <c r="H317" s="885" t="s">
        <v>280</v>
      </c>
      <c r="I317" s="887">
        <v>610</v>
      </c>
      <c r="J317" s="887">
        <v>3860</v>
      </c>
      <c r="K317" s="888">
        <v>44652</v>
      </c>
      <c r="L317" s="889">
        <v>44895</v>
      </c>
      <c r="M317" s="887"/>
      <c r="N317" s="887"/>
      <c r="O317" s="887"/>
      <c r="P317" s="887"/>
      <c r="Q317" s="890" t="s">
        <v>41</v>
      </c>
      <c r="R317" s="887">
        <v>20</v>
      </c>
      <c r="S317" s="887">
        <v>14</v>
      </c>
      <c r="T317" s="448">
        <v>1</v>
      </c>
      <c r="U317" s="887"/>
      <c r="V317" s="887"/>
      <c r="W317" s="887">
        <v>23</v>
      </c>
      <c r="X317" s="887"/>
      <c r="Y317" s="887"/>
      <c r="Z317" s="887"/>
      <c r="AA317" s="887"/>
      <c r="AB317" s="887"/>
      <c r="AC317" s="887"/>
      <c r="AD317" s="887"/>
      <c r="AE317" s="887"/>
      <c r="AF317" s="887"/>
      <c r="AG317" s="887"/>
      <c r="AH317" s="887"/>
      <c r="AI317" s="887">
        <v>15</v>
      </c>
      <c r="AJ317" s="887">
        <v>15</v>
      </c>
      <c r="AK317" s="887">
        <v>27</v>
      </c>
      <c r="AL317" s="887">
        <v>27</v>
      </c>
      <c r="AM317" s="887"/>
      <c r="AN317" s="887"/>
      <c r="AO317" s="448"/>
      <c r="AP317" s="891"/>
      <c r="AQ317" s="887">
        <v>148</v>
      </c>
      <c r="AR317" s="887"/>
      <c r="AS317" s="892"/>
      <c r="AT317" s="887"/>
      <c r="AU317" s="887"/>
      <c r="AV317" s="887">
        <v>141</v>
      </c>
      <c r="AW317" s="887">
        <v>173</v>
      </c>
      <c r="AX317" s="887"/>
      <c r="AY317" s="886" t="s">
        <v>41</v>
      </c>
      <c r="AZ317" s="891" t="s">
        <v>137</v>
      </c>
      <c r="BA317" s="887"/>
      <c r="BB317" s="887">
        <v>10</v>
      </c>
      <c r="BC317" s="887"/>
      <c r="BD317" s="448"/>
      <c r="BE317" s="448">
        <v>23</v>
      </c>
      <c r="BF317" s="886"/>
      <c r="BG317" s="887">
        <v>32</v>
      </c>
      <c r="BH317" s="887"/>
      <c r="BI317" s="887"/>
      <c r="BJ317" s="887">
        <v>15</v>
      </c>
      <c r="BK317" s="887"/>
      <c r="BL317" s="887">
        <v>1</v>
      </c>
      <c r="BM317" s="887">
        <v>5</v>
      </c>
      <c r="BN317" s="887">
        <v>606</v>
      </c>
      <c r="BO317" s="887">
        <v>1336</v>
      </c>
      <c r="BP317" s="886"/>
      <c r="BQ317" s="893"/>
      <c r="BR317" s="892"/>
      <c r="BS317" s="886"/>
      <c r="BT317" s="423">
        <v>0.98</v>
      </c>
      <c r="BU317" s="423">
        <v>0.97</v>
      </c>
      <c r="BV317" s="425">
        <v>58</v>
      </c>
      <c r="BW317" s="423">
        <v>1</v>
      </c>
      <c r="BX317" s="448"/>
      <c r="BY317" s="448">
        <v>148</v>
      </c>
      <c r="BZ317" s="448">
        <v>15</v>
      </c>
      <c r="CA317" s="448"/>
      <c r="CB317" s="448"/>
      <c r="CC317" s="777"/>
      <c r="CD317" s="448"/>
      <c r="CE317" s="894">
        <f>IFERROR(WWWW[[#This Row],['#_Water sources passed]]/WWWW[[#This Row],['#_Water sources tested for fecal coliform ]],"no test")</f>
        <v>1</v>
      </c>
      <c r="CF317" s="892">
        <f>IFERROR(WWWW[[#This Row],['#_Household passed]]/WWWW[[#This Row],['#_Household water samples tested for fecal coliform]],"no test")</f>
        <v>1</v>
      </c>
      <c r="CG317" s="893" t="str">
        <f>IF(AND(WWWW[[#This Row],[% of water sources passed]]="no test",WWWW[[#This Row],[% Household passed]]="no test"),"No Test","Tested")</f>
        <v>Tested</v>
      </c>
      <c r="CH317" s="893">
        <f>WWWW[[#This Row],['#_Constructed/existing protected hand dug well]]-WWWW[[#This Row],['#_Non-functional protected hand dug well]]</f>
        <v>1</v>
      </c>
      <c r="CI317" s="893">
        <f>(WWWW[[#This Row],['#_Constructed/Existing tube wells/boreholes/handpumps_WASH_agency]]+WWWW[[#This Row],['#_Non-Cluster partner water tube-wells/boreholes/handpumps]])-WWWW[[#This Row],['#_Non-functional tube wells/boreholes/handpumps]]</f>
        <v>23</v>
      </c>
      <c r="CJ317" s="893">
        <f>WWWW[[#This Row],['#_Constructed/Existingwater storage tank with gravity fed reticulation system]]-WWWW[[#This Row],['#_Non-functional storage tank gravity fed reticulation system]]</f>
        <v>0</v>
      </c>
      <c r="CK317" s="893">
        <f>(WWWW[[#This Row],['#_Water_Liters_supplied_by_Water boating or water trucking]]/90)/15</f>
        <v>0</v>
      </c>
      <c r="CL317" s="893">
        <f>WWWW[[#This Row],['#_Water_Liters_from_Constructed/Existing water distribution system from river or natural spring]]/90/15</f>
        <v>0</v>
      </c>
      <c r="CM317" s="424">
        <f>IF(WWWW[[#This Row],['#_of water points in TLS/CFS]]*500&gt;WWWW[[#This Row],[Total PoP ]],WWWW[[#This Row],[Total PoP ]],WWWW[[#This Row],['#_of water points in TLS/CFS]]*500)</f>
        <v>0</v>
      </c>
      <c r="CN317" s="424">
        <f>IF(WWWW[[#This Row],['#_of water points in THF]]*500&gt;WWWW[[#This Row],[Total PoP ]],WWWW[[#This Row],[Total PoP ]],WWWW[[#This Row],['#_of water points in THF]]*500)</f>
        <v>0</v>
      </c>
      <c r="CO31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7" s="892">
        <f>IF(WWWW[[#This Row],[Location Type 1]]="Village",WWWW[[#This Row],[Access to safe drinking water for Village]],WWWW[[#This Row],[Access to safe drinking water for Camp]])</f>
        <v>1</v>
      </c>
      <c r="CR317" s="890">
        <f>WWWW[[#This Row],[%Equitable and continuous access to sufficient quantity of safe drinking water]]*WWWW[[#This Row],[Total PoP ]]</f>
        <v>3860</v>
      </c>
      <c r="CS317" s="892">
        <f>IF((WWWW[[#This Row],['#_Constructed/Existing protected/fenced ponds]]*250)/WWWW[[#This Row],[Total PoP ]]&gt;1,1,(WWWW[[#This Row],['#_Constructed/Existing protected/fenced ponds]]*250)/WWWW[[#This Row],[Total PoP ]])</f>
        <v>0</v>
      </c>
      <c r="CT317" s="890">
        <f>WWWW[[#This Row],[% Access to unimproved water points]]*WWWW[[#This Row],[Total PoP ]]</f>
        <v>0</v>
      </c>
      <c r="CU31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3860</v>
      </c>
      <c r="CW317" s="890">
        <f>WWWW[[#This Row],[HRP1]]/500</f>
        <v>7.72</v>
      </c>
      <c r="CX317" s="895">
        <f>1-WWWW[[#This Row],[% Equitable and continuous access to sufficient quantity of domestic water]]</f>
        <v>0</v>
      </c>
      <c r="CY317" s="890">
        <f>WWWW[[#This Row],[%equitable and continuous access to sufficient quantity of safe drinking and domestic water''s GAP]]*WWWW[[#This Row],[Total PoP ]]</f>
        <v>0</v>
      </c>
      <c r="CZ317" s="893">
        <f>IF(WWWW[[#This Row],[Total required water points]]-WWWW[[#This Row],['#Water points coverage]]&lt;0,0,WWWW[[#This Row],[Total required water points]]-WWWW[[#This Row],['#Water points coverage]])</f>
        <v>0.28000000000000025</v>
      </c>
      <c r="DA317" s="893">
        <f>ROUND(IF(WWWW[[#This Row],[Total PoP ]]&lt;500,1,WWWW[[#This Row],[Total PoP ]]/500),0)</f>
        <v>8</v>
      </c>
      <c r="DB317" s="893">
        <f>(WWWW[[#This Row],['#_Constructed latrines_by_WASHAgencies]]+WWWW[[#This Row],['#_Non Cluster partner latrines]])-WWWW[[#This Row],['#_Non-functional latrines]]</f>
        <v>148</v>
      </c>
      <c r="DC317" s="631">
        <f>WWWW[[#This Row],[HRP2]]/WWWW[[#This Row],[Total PoP ]]</f>
        <v>0.77279792746113984</v>
      </c>
      <c r="DD31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2983</v>
      </c>
      <c r="DE31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2820</v>
      </c>
      <c r="DF31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7" s="424">
        <f>IF(WWWW[[#This Row],['# of functional latrines in THF supported by WASH partners during the reporting period2]]="",0,WWWW[[#This Row],['# of functional latrines in THF supported by WASH partners during the reporting period2]]*50)</f>
        <v>0</v>
      </c>
      <c r="DH317" s="893">
        <f>ROUND(IF(WWWW[[#This Row],[Location Type 1]]="camp",WWWW[[#This Row],[Total PoP ]]/20,IF(WWWW[[#This Row],[Location Type 1]]="Temporary Location",WWWW[[#This Row],[Total PoP ]]/50,(WWWW[[#This Row],[Total PoP ]]/6))),0)</f>
        <v>193</v>
      </c>
      <c r="DI317" s="893">
        <f>IF(WWWW[[#This Row],[Total required Latrines]]-(WWWW[[#This Row],['#_Constructed latrines_by_WASHAgencies]]+WWWW[[#This Row],['#_Non Cluster partner latrines]])&lt;0,0,WWWW[[#This Row],[Total required Latrines]]-(WWWW[[#This Row],['#_Constructed latrines_by_WASHAgencies]]+WWWW[[#This Row],['#_Non Cluster partner latrines]]))</f>
        <v>45</v>
      </c>
      <c r="DJ317" s="895">
        <f>1-WWWW[[#This Row],[% people access to functioning Latrine]]</f>
        <v>0.22720207253886016</v>
      </c>
      <c r="DK317" s="894">
        <f>IF(OR(WWWW[[#This Row],['#_Non-functional latrines]]="",WWWW[[#This Row],['#_Non-functional latrines]]=0),0,WWWW[[#This Row],['#_Non-functional latrines]]/(WWWW[[#This Row],['#_Constructed latrines_by_WASHAgencies]]+WWWW[[#This Row],['#_Non Cluster partner latrines]]))</f>
        <v>0</v>
      </c>
      <c r="DL317" s="890">
        <f>IF(500*(WWWW[[#This Row],['#_male hygiene promoters]]+WWWW[[#This Row],['#_female hygiene promoters]])&gt;WWWW[[#This Row],[Total PoP ]],WWWW[[#This Row],[Total PoP ]],500*(WWWW[[#This Row],['#_male hygiene promoters]]+WWWW[[#This Row],['#_female hygiene promoters]]))</f>
        <v>3000</v>
      </c>
      <c r="DM31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3030</v>
      </c>
      <c r="DN31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1336</v>
      </c>
      <c r="DO317" s="893">
        <f>IF(WWWW[[#This Row],['# People with access to soap]]&gt;WWWW[[#This Row],['# People with access to Sanity Pads]],WWWW[[#This Row],['# People with access to soap]],WWWW[[#This Row],['# People with access to Sanity Pads]])</f>
        <v>3030</v>
      </c>
      <c r="DP317" s="893">
        <f>IF(WWWW[[#This Row],['# people reached by regular dedicated hygiene promotion_5]]&gt;WWWW[[#This Row],['# People received regular supply of hygiene items_6]],WWWW[[#This Row],['# people reached by regular dedicated hygiene promotion_5]],WWWW[[#This Row],['# People received regular supply of hygiene items_6]])</f>
        <v>3030</v>
      </c>
      <c r="DQ317" s="895">
        <f>IF(WWWW[[#This Row],[HRP3]]/WWWW[[#This Row],[Total PoP ]]&gt;1,1,WWWW[[#This Row],[HRP3]]/WWWW[[#This Row],[Total PoP ]])</f>
        <v>0.78497409326424872</v>
      </c>
      <c r="DR317" s="894">
        <f>1-WWWW[[#This Row],[Hygiene Coverage%]]</f>
        <v>0.21502590673575128</v>
      </c>
      <c r="DS317" s="892">
        <f>WWWW[[#This Row],['# people reached by regular dedicated hygiene promotion_5]]/WWWW[[#This Row],[Total PoP ]]</f>
        <v>0.77720207253886009</v>
      </c>
      <c r="DT31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1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17" s="893">
        <f>WWWW[[#This Row],['#_Constructed/Existing hand washing stations]]-WWWW[[#This Row],['#_Non-Functional_hand_washing_stations]]</f>
        <v>32</v>
      </c>
      <c r="DW317" s="890">
        <f>IF(WWWW[[#This Row],['# Functional hand washing stations during reporting period]]*20&gt;WWWW[[#This Row],[Total HH]],WWWW[[#This Row],[Total HH]],WWWW[[#This Row],['# Functional hand washing stations during reporting period]]*20)</f>
        <v>610</v>
      </c>
      <c r="DX317" s="890">
        <f>IF(WWWW[[#This Row],[Is sufficient soap available for TLS? (Yes/No)]]="yes",WWWW[[#This Row],['#_Constructed/Existing hand washing stations at TLS/CFS/THF]],0)</f>
        <v>0</v>
      </c>
      <c r="DY317" s="428">
        <f>IF(WWWW[[#This Row],['# Functional hand washing stations during reporting period]]*100&gt;WWWW[[#This Row],[Total PoP ]],WWWW[[#This Row],[Total PoP ]],WWWW[[#This Row],['# Functional hand washing stations during reporting period]]*100)</f>
        <v>3200</v>
      </c>
      <c r="DZ317" s="428" t="str">
        <f>IF(OR(WWWW[[#This Row],['#_students at TLS_CFS]]="",WWWW[[#This Row],['#_students at TLS_CFS]]=0),"No","Yes")</f>
        <v>No</v>
      </c>
      <c r="EA317" s="631">
        <f>IF(WWWW[[#This Row],['#_of_affected_people_surveyed_who_report_feeling_informed_about_the_different_WASH_services_available_to_them]]="","",WWWW[[#This Row],['#_of_affected_people_surveyed_who_report_feeling_informed_about_the_different_WASH_services_available_to_them]]/WWWW[[#This Row],[Total PoP ]])</f>
        <v>1.5025906735751295E-2</v>
      </c>
      <c r="EB31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163</v>
      </c>
      <c r="EC31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7" s="886" t="str">
        <f>VLOOKUP(WWWW[[#This Row],[Site Name]],SiteDB6[[Site Name]:[CCCM Management]],6,FALSE)</f>
        <v>Yes</v>
      </c>
      <c r="EF317" s="886" t="str">
        <f>VLOOKUP(WWWW[[#This Row],[Site Name]],SiteDB6[[Site Name]:[CCCM Focal Agency]],7,FALSE)</f>
        <v>KBC-BMO</v>
      </c>
      <c r="EG317" s="886" t="str">
        <f>VLOOKUP(WWWW[[#This Row],[Site Name]],SiteDB6[[Site Name]:[Location Type 1]],9,FALSE)</f>
        <v>Camp</v>
      </c>
      <c r="EH317" s="886" t="str">
        <f>VLOOKUP(WWWW[[#This Row],[Site Name]],SiteDB6[[Site Name]:[Type of Accommodation]],10,FALSE)</f>
        <v>Camp</v>
      </c>
      <c r="EI317" s="886" t="str">
        <f>VLOOKUP(WWWW[[#This Row],[Site Name]],SiteDB6[[Site Name]:[Ethnic or GCA/NGCA]],11,FALSE)</f>
        <v>GCA</v>
      </c>
      <c r="EJ317" s="886">
        <f>VLOOKUP(WWWW[[#This Row],[Site Name]],SiteDB6[[Site Name]:[Lat]],12,FALSE)</f>
        <v>24.268292826086999</v>
      </c>
      <c r="EK317" s="886">
        <f>VLOOKUP(WWWW[[#This Row],[Site Name]],SiteDB6[[Site Name]:[Long]],13,FALSE)</f>
        <v>97.229116811594196</v>
      </c>
      <c r="EL317" s="886" t="str">
        <f>VLOOKUP(WWWW[[#This Row],[Site Name]],SiteDB6[[Site Name]:[Pcode]],3,FALSE)</f>
        <v>MMR001CMP047</v>
      </c>
      <c r="EM317" s="891" t="str">
        <f t="shared" si="4"/>
        <v>Covered</v>
      </c>
      <c r="EN317" s="891"/>
      <c r="EO317" s="886">
        <f>VLOOKUP(WWWW[[#This Row],[Site Name]],SiteDB6[[Site Name]:[Pop
(Kachin/Shan-CCCM as of July 2021)]],16,FALSE)</f>
        <v>597</v>
      </c>
      <c r="EP317" s="886">
        <f>VLOOKUP(WWWW[[#This Row],[Site Name]],SiteDB6[[Site Name]:[Pop
(Kachin/Shan-CCCM as of July 2021)]],17,FALSE)</f>
        <v>3765</v>
      </c>
    </row>
    <row r="318" spans="1:146" hidden="1">
      <c r="A318" s="884" t="s">
        <v>2764</v>
      </c>
      <c r="B318" s="884" t="s">
        <v>276</v>
      </c>
      <c r="C318" s="885" t="s">
        <v>276</v>
      </c>
      <c r="D318" s="885" t="s">
        <v>3037</v>
      </c>
      <c r="E318" s="885" t="s">
        <v>37</v>
      </c>
      <c r="F318" s="885" t="s">
        <v>195</v>
      </c>
      <c r="G318" s="591" t="str">
        <f>VLOOKUP(WWWW[[#This Row],[Site Name]],SiteDB6[[Site Name]:[Location Type]],8,FALSE)</f>
        <v>Camp_not registered</v>
      </c>
      <c r="H318" s="885" t="s">
        <v>2202</v>
      </c>
      <c r="I318" s="887"/>
      <c r="J318" s="887"/>
      <c r="K318" s="888">
        <v>43833</v>
      </c>
      <c r="L318" s="889">
        <v>44620</v>
      </c>
      <c r="M318" s="887"/>
      <c r="N318" s="887"/>
      <c r="O318" s="887"/>
      <c r="P318" s="887"/>
      <c r="Q318" s="890" t="s">
        <v>41</v>
      </c>
      <c r="R318" s="887"/>
      <c r="S318" s="887"/>
      <c r="T318" s="448"/>
      <c r="U318" s="887"/>
      <c r="V318" s="887"/>
      <c r="W318" s="887">
        <v>5</v>
      </c>
      <c r="X318" s="887"/>
      <c r="Y318" s="887"/>
      <c r="Z318" s="887"/>
      <c r="AA318" s="887"/>
      <c r="AB318" s="887"/>
      <c r="AC318" s="887"/>
      <c r="AD318" s="887"/>
      <c r="AE318" s="887"/>
      <c r="AF318" s="887"/>
      <c r="AG318" s="887"/>
      <c r="AH318" s="887"/>
      <c r="AI318" s="887"/>
      <c r="AJ318" s="887"/>
      <c r="AK318" s="887"/>
      <c r="AL318" s="887"/>
      <c r="AM318" s="887"/>
      <c r="AN318" s="887"/>
      <c r="AO318" s="448"/>
      <c r="AP318" s="891"/>
      <c r="AQ318" s="887">
        <v>18</v>
      </c>
      <c r="AR318" s="887"/>
      <c r="AS318" s="892"/>
      <c r="AT318" s="887"/>
      <c r="AU318" s="887"/>
      <c r="AV318" s="887"/>
      <c r="AW318" s="887"/>
      <c r="AX318" s="887"/>
      <c r="AY318" s="886" t="s">
        <v>41</v>
      </c>
      <c r="AZ318" s="891" t="s">
        <v>140</v>
      </c>
      <c r="BA318" s="887"/>
      <c r="BB318" s="887"/>
      <c r="BC318" s="887"/>
      <c r="BD318" s="448"/>
      <c r="BE318" s="448"/>
      <c r="BF318" s="886"/>
      <c r="BG318" s="887">
        <v>7</v>
      </c>
      <c r="BH318" s="887"/>
      <c r="BI318" s="887"/>
      <c r="BJ318" s="887">
        <v>4</v>
      </c>
      <c r="BK318" s="887"/>
      <c r="BL318" s="887"/>
      <c r="BM318" s="887"/>
      <c r="BN318" s="887"/>
      <c r="BO318" s="887"/>
      <c r="BP318" s="886"/>
      <c r="BQ318" s="893"/>
      <c r="BR318" s="892"/>
      <c r="BS318" s="886"/>
      <c r="BT318" s="423"/>
      <c r="BU318" s="423"/>
      <c r="BV318" s="425"/>
      <c r="BW318" s="423"/>
      <c r="BX318" s="448"/>
      <c r="BY318" s="448"/>
      <c r="BZ318" s="448"/>
      <c r="CA318" s="448"/>
      <c r="CB318" s="448"/>
      <c r="CC318" s="777"/>
      <c r="CD318" s="448"/>
      <c r="CE318" s="894" t="str">
        <f>IFERROR(WWWW[[#This Row],['#_Water sources passed]]/WWWW[[#This Row],['#_Water sources tested for fecal coliform ]],"no test")</f>
        <v>no test</v>
      </c>
      <c r="CF318" s="892" t="str">
        <f>IFERROR(WWWW[[#This Row],['#_Household passed]]/WWWW[[#This Row],['#_Household water samples tested for fecal coliform]],"no test")</f>
        <v>no test</v>
      </c>
      <c r="CG318" s="893" t="str">
        <f>IF(AND(WWWW[[#This Row],[% of water sources passed]]="no test",WWWW[[#This Row],[% Household passed]]="no test"),"No Test","Tested")</f>
        <v>No Test</v>
      </c>
      <c r="CH318" s="893">
        <f>WWWW[[#This Row],['#_Constructed/existing protected hand dug well]]-WWWW[[#This Row],['#_Non-functional protected hand dug well]]</f>
        <v>0</v>
      </c>
      <c r="CI318" s="893">
        <f>(WWWW[[#This Row],['#_Constructed/Existing tube wells/boreholes/handpumps_WASH_agency]]+WWWW[[#This Row],['#_Non-Cluster partner water tube-wells/boreholes/handpumps]])-WWWW[[#This Row],['#_Non-functional tube wells/boreholes/handpumps]]</f>
        <v>5</v>
      </c>
      <c r="CJ318" s="893">
        <f>WWWW[[#This Row],['#_Constructed/Existingwater storage tank with gravity fed reticulation system]]-WWWW[[#This Row],['#_Non-functional storage tank gravity fed reticulation system]]</f>
        <v>0</v>
      </c>
      <c r="CK318" s="893">
        <f>(WWWW[[#This Row],['#_Water_Liters_supplied_by_Water boating or water trucking]]/90)/15</f>
        <v>0</v>
      </c>
      <c r="CL318" s="893">
        <f>WWWW[[#This Row],['#_Water_Liters_from_Constructed/Existing water distribution system from river or natural spring]]/90/15</f>
        <v>0</v>
      </c>
      <c r="CM318" s="424">
        <f>IF(WWWW[[#This Row],['#_of water points in TLS/CFS]]*500&gt;WWWW[[#This Row],[Total PoP ]],WWWW[[#This Row],[Total PoP ]],WWWW[[#This Row],['#_of water points in TLS/CFS]]*500)</f>
        <v>0</v>
      </c>
      <c r="CN318" s="424">
        <f>IF(WWWW[[#This Row],['#_of water points in THF]]*500&gt;WWWW[[#This Row],[Total PoP ]],WWWW[[#This Row],[Total PoP ]],WWWW[[#This Row],['#_of water points in THF]]*500)</f>
        <v>0</v>
      </c>
      <c r="CO318" s="894"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318" s="894"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318" s="892" t="str">
        <f>IF(WWWW[[#This Row],[Location Type 1]]="Village",WWWW[[#This Row],[Access to safe drinking water for Village]],WWWW[[#This Row],[Access to safe drinking water for Camp]])</f>
        <v/>
      </c>
      <c r="CR318" s="890"/>
      <c r="CS318" s="892"/>
      <c r="CT318" s="890">
        <f>WWWW[[#This Row],[% Access to unimproved water points]]*WWWW[[#This Row],[Total PoP ]]</f>
        <v>0</v>
      </c>
      <c r="CU318" s="892"/>
      <c r="CV31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18" s="890">
        <f>WWWW[[#This Row],[HRP1]]/500</f>
        <v>0</v>
      </c>
      <c r="CX318" s="895">
        <f>1-WWWW[[#This Row],[% Equitable and continuous access to sufficient quantity of domestic water]]</f>
        <v>1</v>
      </c>
      <c r="CY318" s="890">
        <f>WWWW[[#This Row],[%equitable and continuous access to sufficient quantity of safe drinking and domestic water''s GAP]]*WWWW[[#This Row],[Total PoP ]]</f>
        <v>0</v>
      </c>
      <c r="CZ318" s="893">
        <f>IF(WWWW[[#This Row],[Total required water points]]-WWWW[[#This Row],['#Water points coverage]]&lt;0,0,WWWW[[#This Row],[Total required water points]]-WWWW[[#This Row],['#Water points coverage]])</f>
        <v>1</v>
      </c>
      <c r="DA318" s="893">
        <f>ROUND(IF(WWWW[[#This Row],[Total PoP ]]&lt;500,1,WWWW[[#This Row],[Total PoP ]]/500),0)</f>
        <v>1</v>
      </c>
      <c r="DB318" s="893">
        <f>(WWWW[[#This Row],['#_Constructed latrines_by_WASHAgencies]]+WWWW[[#This Row],['#_Non Cluster partner latrines]])-WWWW[[#This Row],['#_Non-functional latrines]]</f>
        <v>18</v>
      </c>
      <c r="DC318" s="631"/>
      <c r="DD31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1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8" s="424">
        <f>IF(WWWW[[#This Row],['# of functional latrines in THF supported by WASH partners during the reporting period2]]="",0,WWWW[[#This Row],['# of functional latrines in THF supported by WASH partners during the reporting period2]]*50)</f>
        <v>0</v>
      </c>
      <c r="DH318" s="893">
        <f>ROUND(IF(WWWW[[#This Row],[Location Type 1]]="camp",WWWW[[#This Row],[Total PoP ]]/20,IF(WWWW[[#This Row],[Location Type 1]]="Temporary Location",WWWW[[#This Row],[Total PoP ]]/50,(WWWW[[#This Row],[Total PoP ]]/6))),0)</f>
        <v>0</v>
      </c>
      <c r="DI318" s="893">
        <f>IF(WWWW[[#This Row],[Total required Latrines]]-(WWWW[[#This Row],['#_Constructed latrines_by_WASHAgencies]]+WWWW[[#This Row],['#_Non Cluster partner latrines]])&lt;0,0,WWWW[[#This Row],[Total required Latrines]]-(WWWW[[#This Row],['#_Constructed latrines_by_WASHAgencies]]+WWWW[[#This Row],['#_Non Cluster partner latrines]]))</f>
        <v>0</v>
      </c>
      <c r="DJ318" s="895"/>
      <c r="DK318" s="894">
        <f>IF(OR(WWWW[[#This Row],['#_Non-functional latrines]]="",WWWW[[#This Row],['#_Non-functional latrines]]=0),0,WWWW[[#This Row],['#_Non-functional latrines]]/(WWWW[[#This Row],['#_Constructed latrines_by_WASHAgencies]]+WWWW[[#This Row],['#_Non Cluster partner latrines]]))</f>
        <v>0</v>
      </c>
      <c r="DL318" s="890">
        <f>IF(500*(WWWW[[#This Row],['#_male hygiene promoters]]+WWWW[[#This Row],['#_female hygiene promoters]])&gt;WWWW[[#This Row],[Total PoP ]],WWWW[[#This Row],[Total PoP ]],500*(WWWW[[#This Row],['#_male hygiene promoters]]+WWWW[[#This Row],['#_female hygiene promoters]]))</f>
        <v>0</v>
      </c>
      <c r="DM31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8" s="893">
        <f>IF(WWWW[[#This Row],['# People with access to soap]]&gt;WWWW[[#This Row],['# People with access to Sanity Pads]],WWWW[[#This Row],['# People with access to soap]],WWWW[[#This Row],['# People with access to Sanity Pads]])</f>
        <v>0</v>
      </c>
      <c r="DP318"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18" s="895"/>
      <c r="DR318" s="894"/>
      <c r="DS318" s="892"/>
      <c r="DT318" s="894"/>
      <c r="DU318" s="892"/>
      <c r="DV318" s="893">
        <f>WWWW[[#This Row],['#_Constructed/Existing hand washing stations]]-WWWW[[#This Row],['#_Non-Functional_hand_washing_stations]]</f>
        <v>7</v>
      </c>
      <c r="DW318" s="890">
        <f>IF(WWWW[[#This Row],['# Functional hand washing stations during reporting period]]*20&gt;WWWW[[#This Row],[Total HH]],WWWW[[#This Row],[Total HH]],WWWW[[#This Row],['# Functional hand washing stations during reporting period]]*20)</f>
        <v>0</v>
      </c>
      <c r="DX318" s="890">
        <f>IF(WWWW[[#This Row],[Is sufficient soap available for TLS? (Yes/No)]]="yes",WWWW[[#This Row],['#_Constructed/Existing hand washing stations at TLS/CFS/THF]],0)</f>
        <v>0</v>
      </c>
      <c r="DY318" s="428">
        <f>IF(WWWW[[#This Row],['# Functional hand washing stations during reporting period]]*100&gt;WWWW[[#This Row],[Total PoP ]],WWWW[[#This Row],[Total PoP ]],WWWW[[#This Row],['# Functional hand washing stations during reporting period]]*100)</f>
        <v>0</v>
      </c>
      <c r="DZ318" s="428" t="str">
        <f>IF(OR(WWWW[[#This Row],['#_students at TLS_CFS]]="",WWWW[[#This Row],['#_students at TLS_CFS]]=0),"No","Yes")</f>
        <v>No</v>
      </c>
      <c r="EA31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8" s="886" t="str">
        <f>VLOOKUP(WWWW[[#This Row],[Site Name]],SiteDB6[[Site Name]:[CCCM Management]],6,FALSE)</f>
        <v>No</v>
      </c>
      <c r="EF318" s="886">
        <f>VLOOKUP(WWWW[[#This Row],[Site Name]],SiteDB6[[Site Name]:[CCCM Focal Agency]],7,FALSE)</f>
        <v>0</v>
      </c>
      <c r="EG318" s="886" t="str">
        <f>VLOOKUP(WWWW[[#This Row],[Site Name]],SiteDB6[[Site Name]:[Location Type 1]],9,FALSE)</f>
        <v>Camp</v>
      </c>
      <c r="EH318" s="886" t="str">
        <f>VLOOKUP(WWWW[[#This Row],[Site Name]],SiteDB6[[Site Name]:[Type of Accommodation]],10,FALSE)</f>
        <v>Camp</v>
      </c>
      <c r="EI318" s="886" t="str">
        <f>VLOOKUP(WWWW[[#This Row],[Site Name]],SiteDB6[[Site Name]:[Ethnic or GCA/NGCA]],11,FALSE)</f>
        <v>GCA</v>
      </c>
      <c r="EJ318" s="886">
        <f>VLOOKUP(WWWW[[#This Row],[Site Name]],SiteDB6[[Site Name]:[Lat]],12,FALSE)</f>
        <v>0</v>
      </c>
      <c r="EK318" s="886">
        <f>VLOOKUP(WWWW[[#This Row],[Site Name]],SiteDB6[[Site Name]:[Long]],13,FALSE)</f>
        <v>0</v>
      </c>
      <c r="EL318" s="886">
        <f>VLOOKUP(WWWW[[#This Row],[Site Name]],SiteDB6[[Site Name]:[Pcode]],3,FALSE)</f>
        <v>0</v>
      </c>
      <c r="EM318" s="891" t="str">
        <f t="shared" si="4"/>
        <v>Covered</v>
      </c>
      <c r="EN318" s="891"/>
      <c r="EO318" s="886">
        <f>VLOOKUP(WWWW[[#This Row],[Site Name]],SiteDB6[[Site Name]:[Pop
(Kachin/Shan-CCCM as of July 2021)]],16,FALSE)</f>
        <v>0</v>
      </c>
      <c r="EP318" s="886">
        <f>VLOOKUP(WWWW[[#This Row],[Site Name]],SiteDB6[[Site Name]:[Pop
(Kachin/Shan-CCCM as of July 2021)]],17,FALSE)</f>
        <v>0</v>
      </c>
    </row>
    <row r="319" spans="1:146" hidden="1">
      <c r="A319" s="884" t="s">
        <v>2764</v>
      </c>
      <c r="B319" s="884" t="s">
        <v>309</v>
      </c>
      <c r="C319" s="885" t="s">
        <v>309</v>
      </c>
      <c r="D319" s="885"/>
      <c r="E319" s="885" t="s">
        <v>37</v>
      </c>
      <c r="F319" s="885" t="s">
        <v>142</v>
      </c>
      <c r="G319" s="591" t="str">
        <f>VLOOKUP(WWWW[[#This Row],[Site Name]],SiteDB6[[Site Name]:[Location Type]],8,FALSE)</f>
        <v>Camp</v>
      </c>
      <c r="H319" s="885" t="s">
        <v>778</v>
      </c>
      <c r="I319" s="887">
        <v>45</v>
      </c>
      <c r="J319" s="887">
        <v>247</v>
      </c>
      <c r="K319" s="888" t="s">
        <v>2650</v>
      </c>
      <c r="L319" s="889" t="s">
        <v>2651</v>
      </c>
      <c r="M319" s="887"/>
      <c r="N319" s="887"/>
      <c r="O319" s="887"/>
      <c r="P319" s="887"/>
      <c r="Q319" s="890"/>
      <c r="R319" s="887"/>
      <c r="S319" s="887">
        <v>2</v>
      </c>
      <c r="T319" s="448"/>
      <c r="U319" s="887"/>
      <c r="V319" s="887"/>
      <c r="W319" s="887"/>
      <c r="X319" s="887"/>
      <c r="Y319" s="887"/>
      <c r="Z319" s="887"/>
      <c r="AA319" s="887"/>
      <c r="AB319" s="887"/>
      <c r="AC319" s="887"/>
      <c r="AD319" s="887"/>
      <c r="AE319" s="887"/>
      <c r="AF319" s="887"/>
      <c r="AG319" s="887"/>
      <c r="AH319" s="887"/>
      <c r="AI319" s="887"/>
      <c r="AJ319" s="887"/>
      <c r="AK319" s="887"/>
      <c r="AL319" s="887"/>
      <c r="AM319" s="887"/>
      <c r="AN319" s="887"/>
      <c r="AO319" s="448"/>
      <c r="AP319" s="891"/>
      <c r="AQ319" s="887"/>
      <c r="AR319" s="887"/>
      <c r="AS319" s="892"/>
      <c r="AT319" s="887"/>
      <c r="AU319" s="887"/>
      <c r="AV319" s="887"/>
      <c r="AW319" s="887"/>
      <c r="AX319" s="887"/>
      <c r="AY319" s="886" t="s">
        <v>140</v>
      </c>
      <c r="AZ319" s="891" t="s">
        <v>140</v>
      </c>
      <c r="BA319" s="887"/>
      <c r="BB319" s="887"/>
      <c r="BC319" s="887"/>
      <c r="BD319" s="448"/>
      <c r="BE319" s="448"/>
      <c r="BF319" s="886"/>
      <c r="BG319" s="887">
        <v>1</v>
      </c>
      <c r="BH319" s="887"/>
      <c r="BI319" s="887"/>
      <c r="BJ319" s="887">
        <v>3</v>
      </c>
      <c r="BK319" s="887"/>
      <c r="BL319" s="887"/>
      <c r="BM319" s="887"/>
      <c r="BN319" s="887"/>
      <c r="BO319" s="887"/>
      <c r="BP319" s="886"/>
      <c r="BQ319" s="893"/>
      <c r="BR319" s="892"/>
      <c r="BS319" s="886"/>
      <c r="BT319" s="423"/>
      <c r="BU319" s="423"/>
      <c r="BV319" s="425"/>
      <c r="BW319" s="423"/>
      <c r="BX319" s="448"/>
      <c r="BY319" s="448"/>
      <c r="BZ319" s="448"/>
      <c r="CA319" s="448"/>
      <c r="CB319" s="448"/>
      <c r="CC319" s="777"/>
      <c r="CD319" s="448"/>
      <c r="CE319" s="894" t="str">
        <f>IFERROR(WWWW[[#This Row],['#_Water sources passed]]/WWWW[[#This Row],['#_Water sources tested for fecal coliform ]],"no test")</f>
        <v>no test</v>
      </c>
      <c r="CF319" s="892" t="str">
        <f>IFERROR(WWWW[[#This Row],['#_Household passed]]/WWWW[[#This Row],['#_Household water samples tested for fecal coliform]],"no test")</f>
        <v>no test</v>
      </c>
      <c r="CG319" s="893" t="str">
        <f>IF(AND(WWWW[[#This Row],[% of water sources passed]]="no test",WWWW[[#This Row],[% Household passed]]="no test"),"No Test","Tested")</f>
        <v>No Test</v>
      </c>
      <c r="CH319" s="893">
        <f>WWWW[[#This Row],['#_Constructed/existing protected hand dug well]]-WWWW[[#This Row],['#_Non-functional protected hand dug well]]</f>
        <v>0</v>
      </c>
      <c r="CI319" s="893">
        <f>(WWWW[[#This Row],['#_Constructed/Existing tube wells/boreholes/handpumps_WASH_agency]]+WWWW[[#This Row],['#_Non-Cluster partner water tube-wells/boreholes/handpumps]])-WWWW[[#This Row],['#_Non-functional tube wells/boreholes/handpumps]]</f>
        <v>0</v>
      </c>
      <c r="CJ319" s="893">
        <f>WWWW[[#This Row],['#_Constructed/Existingwater storage tank with gravity fed reticulation system]]-WWWW[[#This Row],['#_Non-functional storage tank gravity fed reticulation system]]</f>
        <v>0</v>
      </c>
      <c r="CK319" s="893">
        <f>(WWWW[[#This Row],['#_Water_Liters_supplied_by_Water boating or water trucking]]/90)/15</f>
        <v>0</v>
      </c>
      <c r="CL319" s="893">
        <f>WWWW[[#This Row],['#_Water_Liters_from_Constructed/Existing water distribution system from river or natural spring]]/90/15</f>
        <v>0</v>
      </c>
      <c r="CM319" s="424">
        <f>IF(WWWW[[#This Row],['#_of water points in TLS/CFS]]*500&gt;WWWW[[#This Row],[Total PoP ]],WWWW[[#This Row],[Total PoP ]],WWWW[[#This Row],['#_of water points in TLS/CFS]]*500)</f>
        <v>0</v>
      </c>
      <c r="CN319" s="424">
        <f>IF(WWWW[[#This Row],['#_of water points in THF]]*500&gt;WWWW[[#This Row],[Total PoP ]],WWWW[[#This Row],[Total PoP ]],WWWW[[#This Row],['#_of water points in THF]]*500)</f>
        <v>0</v>
      </c>
      <c r="CO31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1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19" s="892">
        <f>IF(WWWW[[#This Row],[Location Type 1]]="Village",WWWW[[#This Row],[Access to safe drinking water for Village]],WWWW[[#This Row],[Access to safe drinking water for Camp]])</f>
        <v>0</v>
      </c>
      <c r="CR319" s="890">
        <f>WWWW[[#This Row],[%Equitable and continuous access to sufficient quantity of safe drinking water]]*WWWW[[#This Row],[Total PoP ]]</f>
        <v>0</v>
      </c>
      <c r="CS319" s="892">
        <f>IF((WWWW[[#This Row],['#_Constructed/Existing protected/fenced ponds]]*250)/WWWW[[#This Row],[Total PoP ]]&gt;1,1,(WWWW[[#This Row],['#_Constructed/Existing protected/fenced ponds]]*250)/WWWW[[#This Row],[Total PoP ]])</f>
        <v>0</v>
      </c>
      <c r="CT319" s="890">
        <f>WWWW[[#This Row],[% Access to unimproved water points]]*WWWW[[#This Row],[Total PoP ]]</f>
        <v>0</v>
      </c>
      <c r="CU31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1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19" s="890">
        <f>WWWW[[#This Row],[HRP1]]/500</f>
        <v>0</v>
      </c>
      <c r="CX319" s="895">
        <f>1-WWWW[[#This Row],[% Equitable and continuous access to sufficient quantity of domestic water]]</f>
        <v>1</v>
      </c>
      <c r="CY319" s="890">
        <f>WWWW[[#This Row],[%equitable and continuous access to sufficient quantity of safe drinking and domestic water''s GAP]]*WWWW[[#This Row],[Total PoP ]]</f>
        <v>247</v>
      </c>
      <c r="CZ319" s="893">
        <f>IF(WWWW[[#This Row],[Total required water points]]-WWWW[[#This Row],['#Water points coverage]]&lt;0,0,WWWW[[#This Row],[Total required water points]]-WWWW[[#This Row],['#Water points coverage]])</f>
        <v>1</v>
      </c>
      <c r="DA319" s="893">
        <f>ROUND(IF(WWWW[[#This Row],[Total PoP ]]&lt;500,1,WWWW[[#This Row],[Total PoP ]]/500),0)</f>
        <v>1</v>
      </c>
      <c r="DB319" s="893">
        <f>(WWWW[[#This Row],['#_Constructed latrines_by_WASHAgencies]]+WWWW[[#This Row],['#_Non Cluster partner latrines]])-WWWW[[#This Row],['#_Non-functional latrines]]</f>
        <v>0</v>
      </c>
      <c r="DC319" s="631">
        <f>WWWW[[#This Row],[HRP2]]/WWWW[[#This Row],[Total PoP ]]</f>
        <v>0</v>
      </c>
      <c r="DD31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1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9" s="424">
        <f>IF(WWWW[[#This Row],['# of functional latrines in THF supported by WASH partners during the reporting period2]]="",0,WWWW[[#This Row],['# of functional latrines in THF supported by WASH partners during the reporting period2]]*50)</f>
        <v>0</v>
      </c>
      <c r="DH319" s="893">
        <f>ROUND(IF(WWWW[[#This Row],[Location Type 1]]="camp",WWWW[[#This Row],[Total PoP ]]/20,IF(WWWW[[#This Row],[Location Type 1]]="Temporary Location",WWWW[[#This Row],[Total PoP ]]/50,(WWWW[[#This Row],[Total PoP ]]/6))),0)</f>
        <v>12</v>
      </c>
      <c r="DI319" s="893">
        <f>IF(WWWW[[#This Row],[Total required Latrines]]-(WWWW[[#This Row],['#_Constructed latrines_by_WASHAgencies]]+WWWW[[#This Row],['#_Non Cluster partner latrines]])&lt;0,0,WWWW[[#This Row],[Total required Latrines]]-(WWWW[[#This Row],['#_Constructed latrines_by_WASHAgencies]]+WWWW[[#This Row],['#_Non Cluster partner latrines]]))</f>
        <v>12</v>
      </c>
      <c r="DJ319" s="895">
        <f>1-WWWW[[#This Row],[% people access to functioning Latrine]]</f>
        <v>1</v>
      </c>
      <c r="DK319" s="894">
        <f>IF(OR(WWWW[[#This Row],['#_Non-functional latrines]]="",WWWW[[#This Row],['#_Non-functional latrines]]=0),0,WWWW[[#This Row],['#_Non-functional latrines]]/(WWWW[[#This Row],['#_Constructed latrines_by_WASHAgencies]]+WWWW[[#This Row],['#_Non Cluster partner latrines]]))</f>
        <v>0</v>
      </c>
      <c r="DL319" s="890">
        <f>IF(500*(WWWW[[#This Row],['#_male hygiene promoters]]+WWWW[[#This Row],['#_female hygiene promoters]])&gt;WWWW[[#This Row],[Total PoP ]],WWWW[[#This Row],[Total PoP ]],500*(WWWW[[#This Row],['#_male hygiene promoters]]+WWWW[[#This Row],['#_female hygiene promoters]]))</f>
        <v>0</v>
      </c>
      <c r="DM31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9" s="893">
        <f>IF(WWWW[[#This Row],['# People with access to soap]]&gt;WWWW[[#This Row],['# People with access to Sanity Pads]],WWWW[[#This Row],['# People with access to soap]],WWWW[[#This Row],['# People with access to Sanity Pads]])</f>
        <v>0</v>
      </c>
      <c r="DP319"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19" s="895">
        <f>IF(WWWW[[#This Row],[HRP3]]/WWWW[[#This Row],[Total PoP ]]&gt;1,1,WWWW[[#This Row],[HRP3]]/WWWW[[#This Row],[Total PoP ]])</f>
        <v>0</v>
      </c>
      <c r="DR319" s="894">
        <f>1-WWWW[[#This Row],[Hygiene Coverage%]]</f>
        <v>1</v>
      </c>
      <c r="DS319" s="892">
        <f>WWWW[[#This Row],['# people reached by regular dedicated hygiene promotion_5]]/WWWW[[#This Row],[Total PoP ]]</f>
        <v>0</v>
      </c>
      <c r="DT31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9" s="893">
        <f>WWWW[[#This Row],['#_Constructed/Existing hand washing stations]]-WWWW[[#This Row],['#_Non-Functional_hand_washing_stations]]</f>
        <v>1</v>
      </c>
      <c r="DW319" s="890">
        <f>IF(WWWW[[#This Row],['# Functional hand washing stations during reporting period]]*20&gt;WWWW[[#This Row],[Total HH]],WWWW[[#This Row],[Total HH]],WWWW[[#This Row],['# Functional hand washing stations during reporting period]]*20)</f>
        <v>20</v>
      </c>
      <c r="DX319" s="890">
        <f>IF(WWWW[[#This Row],[Is sufficient soap available for TLS? (Yes/No)]]="yes",WWWW[[#This Row],['#_Constructed/Existing hand washing stations at TLS/CFS/THF]],0)</f>
        <v>0</v>
      </c>
      <c r="DY319" s="428">
        <f>IF(WWWW[[#This Row],['# Functional hand washing stations during reporting period]]*100&gt;WWWW[[#This Row],[Total PoP ]],WWWW[[#This Row],[Total PoP ]],WWWW[[#This Row],['# Functional hand washing stations during reporting period]]*100)</f>
        <v>100</v>
      </c>
      <c r="DZ319" s="428" t="str">
        <f>IF(OR(WWWW[[#This Row],['#_students at TLS_CFS]]="",WWWW[[#This Row],['#_students at TLS_CFS]]=0),"No","Yes")</f>
        <v>No</v>
      </c>
      <c r="EA31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9" s="886">
        <f>VLOOKUP(WWWW[[#This Row],[Site Name]],SiteDB6[[Site Name]:[CCCM Management]],6,FALSE)</f>
        <v>0</v>
      </c>
      <c r="EF319" s="886" t="str">
        <f>VLOOKUP(WWWW[[#This Row],[Site Name]],SiteDB6[[Site Name]:[CCCM Focal Agency]],7,FALSE)</f>
        <v>uncovered</v>
      </c>
      <c r="EG319" s="886" t="str">
        <f>VLOOKUP(WWWW[[#This Row],[Site Name]],SiteDB6[[Site Name]:[Location Type 1]],9,FALSE)</f>
        <v>Camp</v>
      </c>
      <c r="EH319" s="886" t="str">
        <f>VLOOKUP(WWWW[[#This Row],[Site Name]],SiteDB6[[Site Name]:[Type of Accommodation]],10,FALSE)</f>
        <v>Camp like setting</v>
      </c>
      <c r="EI319" s="886" t="str">
        <f>VLOOKUP(WWWW[[#This Row],[Site Name]],SiteDB6[[Site Name]:[Ethnic or GCA/NGCA]],11,FALSE)</f>
        <v>GCA</v>
      </c>
      <c r="EJ319" s="886">
        <f>VLOOKUP(WWWW[[#This Row],[Site Name]],SiteDB6[[Site Name]:[Lat]],12,FALSE)</f>
        <v>25.391428000000001</v>
      </c>
      <c r="EK319" s="886">
        <f>VLOOKUP(WWWW[[#This Row],[Site Name]],SiteDB6[[Site Name]:[Long]],13,FALSE)</f>
        <v>97.898184999999998</v>
      </c>
      <c r="EL319" s="886" t="str">
        <f>VLOOKUP(WWWW[[#This Row],[Site Name]],SiteDB6[[Site Name]:[Pcode]],3,FALSE)</f>
        <v>MMR001CMP258</v>
      </c>
      <c r="EM319" s="891" t="str">
        <f t="shared" si="4"/>
        <v>Notcovered</v>
      </c>
      <c r="EN319" s="891"/>
      <c r="EO319" s="886">
        <f>VLOOKUP(WWWW[[#This Row],[Site Name]],SiteDB6[[Site Name]:[Pop
(Kachin/Shan-CCCM as of July 2021)]],16,FALSE)</f>
        <v>45</v>
      </c>
      <c r="EP319" s="886">
        <f>VLOOKUP(WWWW[[#This Row],[Site Name]],SiteDB6[[Site Name]:[Pop
(Kachin/Shan-CCCM as of July 2021)]],17,FALSE)</f>
        <v>247</v>
      </c>
    </row>
    <row r="320" spans="1:146" hidden="1">
      <c r="A320" s="884" t="s">
        <v>2764</v>
      </c>
      <c r="B320" s="884" t="s">
        <v>242</v>
      </c>
      <c r="C320" s="885" t="s">
        <v>242</v>
      </c>
      <c r="D320" s="885" t="s">
        <v>299</v>
      </c>
      <c r="E320" s="885" t="s">
        <v>37</v>
      </c>
      <c r="F320" s="885" t="s">
        <v>159</v>
      </c>
      <c r="G320" s="591" t="str">
        <f>VLOOKUP(WWWW[[#This Row],[Site Name]],SiteDB6[[Site Name]:[Location Type]],8,FALSE)</f>
        <v>Camp</v>
      </c>
      <c r="H320" s="726" t="s">
        <v>3018</v>
      </c>
      <c r="I320" s="887">
        <v>16</v>
      </c>
      <c r="J320" s="887">
        <v>85</v>
      </c>
      <c r="K320" s="888">
        <v>44197</v>
      </c>
      <c r="L320" s="889">
        <v>44651</v>
      </c>
      <c r="M320" s="887">
        <v>20</v>
      </c>
      <c r="N320" s="887">
        <v>1</v>
      </c>
      <c r="O320" s="887">
        <v>1</v>
      </c>
      <c r="P320" s="887"/>
      <c r="Q320" s="890" t="s">
        <v>41</v>
      </c>
      <c r="R320" s="887">
        <v>2</v>
      </c>
      <c r="S320" s="887">
        <v>2</v>
      </c>
      <c r="T320" s="448">
        <v>3</v>
      </c>
      <c r="U320" s="887">
        <v>1</v>
      </c>
      <c r="V320" s="887"/>
      <c r="W320" s="887">
        <v>3</v>
      </c>
      <c r="X320" s="887">
        <v>3</v>
      </c>
      <c r="Y320" s="887">
        <v>2</v>
      </c>
      <c r="Z320" s="887">
        <v>2</v>
      </c>
      <c r="AA320" s="887"/>
      <c r="AB320" s="887"/>
      <c r="AC320" s="887"/>
      <c r="AD320" s="887"/>
      <c r="AE320" s="887">
        <v>2</v>
      </c>
      <c r="AF320" s="887"/>
      <c r="AG320" s="887"/>
      <c r="AH320" s="887"/>
      <c r="AI320" s="887"/>
      <c r="AJ320" s="887"/>
      <c r="AK320" s="887"/>
      <c r="AL320" s="887"/>
      <c r="AM320" s="887">
        <v>2</v>
      </c>
      <c r="AN320" s="887">
        <v>2</v>
      </c>
      <c r="AO320" s="448"/>
      <c r="AP320" s="891"/>
      <c r="AQ320" s="887">
        <v>7</v>
      </c>
      <c r="AR320" s="887">
        <v>5</v>
      </c>
      <c r="AS320" s="892" t="s">
        <v>2135</v>
      </c>
      <c r="AT320" s="887"/>
      <c r="AU320" s="887"/>
      <c r="AV320" s="887"/>
      <c r="AW320" s="887"/>
      <c r="AX320" s="887">
        <v>7</v>
      </c>
      <c r="AY320" s="886" t="s">
        <v>41</v>
      </c>
      <c r="AZ320" s="891" t="s">
        <v>137</v>
      </c>
      <c r="BA320" s="887"/>
      <c r="BB320" s="887"/>
      <c r="BC320" s="887">
        <v>2</v>
      </c>
      <c r="BD320" s="448"/>
      <c r="BE320" s="448"/>
      <c r="BF320" s="886"/>
      <c r="BG320" s="887">
        <v>3</v>
      </c>
      <c r="BH320" s="887"/>
      <c r="BI320" s="887"/>
      <c r="BJ320" s="887">
        <v>2</v>
      </c>
      <c r="BK320" s="887"/>
      <c r="BL320" s="887"/>
      <c r="BM320" s="887">
        <v>1</v>
      </c>
      <c r="BN320" s="887">
        <v>16</v>
      </c>
      <c r="BO320" s="887"/>
      <c r="BP320" s="886" t="s">
        <v>41</v>
      </c>
      <c r="BQ320" s="893">
        <v>2</v>
      </c>
      <c r="BR320" s="892">
        <v>0.7</v>
      </c>
      <c r="BS320" s="886"/>
      <c r="BT320" s="423">
        <v>1</v>
      </c>
      <c r="BU320" s="423">
        <v>1</v>
      </c>
      <c r="BV320" s="425"/>
      <c r="BW320" s="423"/>
      <c r="BX320" s="448"/>
      <c r="BY320" s="448"/>
      <c r="BZ320" s="448"/>
      <c r="CA320" s="448"/>
      <c r="CB320" s="448"/>
      <c r="CC320" s="777"/>
      <c r="CD320" s="448"/>
      <c r="CE320" s="894" t="str">
        <f>IFERROR(WWWW[[#This Row],['#_Water sources passed]]/WWWW[[#This Row],['#_Water sources tested for fecal coliform ]],"no test")</f>
        <v>no test</v>
      </c>
      <c r="CF320" s="892" t="str">
        <f>IFERROR(WWWW[[#This Row],['#_Household passed]]/WWWW[[#This Row],['#_Household water samples tested for fecal coliform]],"no test")</f>
        <v>no test</v>
      </c>
      <c r="CG320" s="893" t="str">
        <f>IF(AND(WWWW[[#This Row],[% of water sources passed]]="no test",WWWW[[#This Row],[% Household passed]]="no test"),"No Test","Tested")</f>
        <v>No Test</v>
      </c>
      <c r="CH320" s="893">
        <f>WWWW[[#This Row],['#_Constructed/existing protected hand dug well]]-WWWW[[#This Row],['#_Non-functional protected hand dug well]]</f>
        <v>2</v>
      </c>
      <c r="CI320" s="893">
        <f>(WWWW[[#This Row],['#_Constructed/Existing tube wells/boreholes/handpumps_WASH_agency]]+WWWW[[#This Row],['#_Non-Cluster partner water tube-wells/boreholes/handpumps]])-WWWW[[#This Row],['#_Non-functional tube wells/boreholes/handpumps]]</f>
        <v>4</v>
      </c>
      <c r="CJ320" s="893">
        <f>WWWW[[#This Row],['#_Constructed/Existingwater storage tank with gravity fed reticulation system]]-WWWW[[#This Row],['#_Non-functional storage tank gravity fed reticulation system]]</f>
        <v>0</v>
      </c>
      <c r="CK320" s="893">
        <f>(WWWW[[#This Row],['#_Water_Liters_supplied_by_Water boating or water trucking]]/90)/15</f>
        <v>0</v>
      </c>
      <c r="CL320" s="893">
        <f>WWWW[[#This Row],['#_Water_Liters_from_Constructed/Existing water distribution system from river or natural spring]]/90/15</f>
        <v>0</v>
      </c>
      <c r="CM320" s="424">
        <f>IF(WWWW[[#This Row],['#_of water points in TLS/CFS]]*500&gt;WWWW[[#This Row],[Total PoP ]],WWWW[[#This Row],[Total PoP ]],WWWW[[#This Row],['#_of water points in TLS/CFS]]*500)</f>
        <v>85</v>
      </c>
      <c r="CN320" s="424">
        <f>IF(WWWW[[#This Row],['#_of water points in THF]]*500&gt;WWWW[[#This Row],[Total PoP ]],WWWW[[#This Row],[Total PoP ]],WWWW[[#This Row],['#_of water points in THF]]*500)</f>
        <v>0</v>
      </c>
      <c r="CO32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2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20" s="892">
        <f>IF(WWWW[[#This Row],[Location Type 1]]="Village",WWWW[[#This Row],[Access to safe drinking water for Village]],WWWW[[#This Row],[Access to safe drinking water for Camp]])</f>
        <v>1</v>
      </c>
      <c r="CR320" s="890">
        <f>WWWW[[#This Row],[%Equitable and continuous access to sufficient quantity of safe drinking water]]*WWWW[[#This Row],[Total PoP ]]</f>
        <v>85</v>
      </c>
      <c r="CS320" s="892">
        <f>IF((WWWW[[#This Row],['#_Constructed/Existing protected/fenced ponds]]*250)/WWWW[[#This Row],[Total PoP ]]&gt;1,1,(WWWW[[#This Row],['#_Constructed/Existing protected/fenced ponds]]*250)/WWWW[[#This Row],[Total PoP ]])</f>
        <v>1</v>
      </c>
      <c r="CT320" s="890">
        <f>WWWW[[#This Row],[% Access to unimproved water points]]*WWWW[[#This Row],[Total PoP ]]</f>
        <v>85</v>
      </c>
      <c r="CU32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2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v>
      </c>
      <c r="CW320" s="890">
        <f>WWWW[[#This Row],[HRP1]]/500</f>
        <v>0.17</v>
      </c>
      <c r="CX320" s="895">
        <f>1-WWWW[[#This Row],[% Equitable and continuous access to sufficient quantity of domestic water]]</f>
        <v>0</v>
      </c>
      <c r="CY320" s="890">
        <f>WWWW[[#This Row],[%equitable and continuous access to sufficient quantity of safe drinking and domestic water''s GAP]]*WWWW[[#This Row],[Total PoP ]]</f>
        <v>0</v>
      </c>
      <c r="CZ320" s="893">
        <f>IF(WWWW[[#This Row],[Total required water points]]-WWWW[[#This Row],['#Water points coverage]]&lt;0,0,WWWW[[#This Row],[Total required water points]]-WWWW[[#This Row],['#Water points coverage]])</f>
        <v>0.83</v>
      </c>
      <c r="DA320" s="893">
        <f>ROUND(IF(WWWW[[#This Row],[Total PoP ]]&lt;500,1,WWWW[[#This Row],[Total PoP ]]/500),0)</f>
        <v>1</v>
      </c>
      <c r="DB320" s="893">
        <f>(WWWW[[#This Row],['#_Constructed latrines_by_WASHAgencies]]+WWWW[[#This Row],['#_Non Cluster partner latrines]])-WWWW[[#This Row],['#_Non-functional latrines]]</f>
        <v>12</v>
      </c>
      <c r="DC320" s="631">
        <f>WWWW[[#This Row],[HRP2]]/WWWW[[#This Row],[Total PoP ]]</f>
        <v>1</v>
      </c>
      <c r="DD32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85</v>
      </c>
      <c r="DE32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20</v>
      </c>
      <c r="DG320" s="424">
        <f>IF(WWWW[[#This Row],['# of functional latrines in THF supported by WASH partners during the reporting period2]]="",0,WWWW[[#This Row],['# of functional latrines in THF supported by WASH partners during the reporting period2]]*50)</f>
        <v>0</v>
      </c>
      <c r="DH320" s="893">
        <f>ROUND(IF(WWWW[[#This Row],[Location Type 1]]="camp",WWWW[[#This Row],[Total PoP ]]/20,IF(WWWW[[#This Row],[Location Type 1]]="Temporary Location",WWWW[[#This Row],[Total PoP ]]/50,(WWWW[[#This Row],[Total PoP ]]/6))),0)</f>
        <v>4</v>
      </c>
      <c r="DI320" s="893">
        <f>IF(WWWW[[#This Row],[Total required Latrines]]-(WWWW[[#This Row],['#_Constructed latrines_by_WASHAgencies]]+WWWW[[#This Row],['#_Non Cluster partner latrines]])&lt;0,0,WWWW[[#This Row],[Total required Latrines]]-(WWWW[[#This Row],['#_Constructed latrines_by_WASHAgencies]]+WWWW[[#This Row],['#_Non Cluster partner latrines]]))</f>
        <v>0</v>
      </c>
      <c r="DJ320" s="895">
        <f>1-WWWW[[#This Row],[% people access to functioning Latrine]]</f>
        <v>0</v>
      </c>
      <c r="DK320" s="894">
        <f>IF(OR(WWWW[[#This Row],['#_Non-functional latrines]]="",WWWW[[#This Row],['#_Non-functional latrines]]=0),0,WWWW[[#This Row],['#_Non-functional latrines]]/(WWWW[[#This Row],['#_Constructed latrines_by_WASHAgencies]]+WWWW[[#This Row],['#_Non Cluster partner latrines]]))</f>
        <v>0</v>
      </c>
      <c r="DL320" s="890">
        <f>IF(500*(WWWW[[#This Row],['#_male hygiene promoters]]+WWWW[[#This Row],['#_female hygiene promoters]])&gt;WWWW[[#This Row],[Total PoP ]],WWWW[[#This Row],[Total PoP ]],500*(WWWW[[#This Row],['#_male hygiene promoters]]+WWWW[[#This Row],['#_female hygiene promoters]]))</f>
        <v>85</v>
      </c>
      <c r="DM32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v>
      </c>
      <c r="DN32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0" s="893">
        <f>IF(WWWW[[#This Row],['# People with access to soap]]&gt;WWWW[[#This Row],['# People with access to Sanity Pads]],WWWW[[#This Row],['# People with access to soap]],WWWW[[#This Row],['# People with access to Sanity Pads]])</f>
        <v>85</v>
      </c>
      <c r="DP320" s="893">
        <f>IF(WWWW[[#This Row],['# people reached by regular dedicated hygiene promotion_5]]&gt;WWWW[[#This Row],['# People received regular supply of hygiene items_6]],WWWW[[#This Row],['# people reached by regular dedicated hygiene promotion_5]],WWWW[[#This Row],['# People received regular supply of hygiene items_6]])</f>
        <v>85</v>
      </c>
      <c r="DQ320" s="895">
        <f>IF(WWWW[[#This Row],[HRP3]]/WWWW[[#This Row],[Total PoP ]]&gt;1,1,WWWW[[#This Row],[HRP3]]/WWWW[[#This Row],[Total PoP ]])</f>
        <v>1</v>
      </c>
      <c r="DR320" s="894">
        <f>1-WWWW[[#This Row],[Hygiene Coverage%]]</f>
        <v>0</v>
      </c>
      <c r="DS320" s="892">
        <f>WWWW[[#This Row],['# people reached by regular dedicated hygiene promotion_5]]/WWWW[[#This Row],[Total PoP ]]</f>
        <v>1</v>
      </c>
      <c r="DT32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2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0" s="893">
        <f>WWWW[[#This Row],['#_Constructed/Existing hand washing stations]]-WWWW[[#This Row],['#_Non-Functional_hand_washing_stations]]</f>
        <v>3</v>
      </c>
      <c r="DW320" s="890">
        <f>IF(WWWW[[#This Row],['# Functional hand washing stations during reporting period]]*20&gt;WWWW[[#This Row],[Total HH]],WWWW[[#This Row],[Total HH]],WWWW[[#This Row],['# Functional hand washing stations during reporting period]]*20)</f>
        <v>16</v>
      </c>
      <c r="DX320" s="890">
        <f>IF(WWWW[[#This Row],[Is sufficient soap available for TLS? (Yes/No)]]="yes",WWWW[[#This Row],['#_Constructed/Existing hand washing stations at TLS/CFS/THF]],0)</f>
        <v>2</v>
      </c>
      <c r="DY320" s="428">
        <f>IF(WWWW[[#This Row],['# Functional hand washing stations during reporting period]]*100&gt;WWWW[[#This Row],[Total PoP ]],WWWW[[#This Row],[Total PoP ]],WWWW[[#This Row],['# Functional hand washing stations during reporting period]]*100)</f>
        <v>85</v>
      </c>
      <c r="DZ320" s="428" t="str">
        <f>IF(OR(WWWW[[#This Row],['#_students at TLS_CFS]]="",WWWW[[#This Row],['#_students at TLS_CFS]]=0),"No","Yes")</f>
        <v>Yes</v>
      </c>
      <c r="EA32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85</v>
      </c>
      <c r="ED32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0" s="886" t="str">
        <f>VLOOKUP(WWWW[[#This Row],[Site Name]],SiteDB6[[Site Name]:[CCCM Management]],6,FALSE)</f>
        <v>Yes</v>
      </c>
      <c r="EF320" s="886" t="str">
        <f>VLOOKUP(WWWW[[#This Row],[Site Name]],SiteDB6[[Site Name]:[CCCM Focal Agency]],7,FALSE)</f>
        <v>Shalom</v>
      </c>
      <c r="EG320" s="886" t="str">
        <f>VLOOKUP(WWWW[[#This Row],[Site Name]],SiteDB6[[Site Name]:[Location Type 1]],9,FALSE)</f>
        <v>Camp</v>
      </c>
      <c r="EH320" s="886" t="str">
        <f>VLOOKUP(WWWW[[#This Row],[Site Name]],SiteDB6[[Site Name]:[Type of Accommodation]],10,FALSE)</f>
        <v>Camp</v>
      </c>
      <c r="EI320" s="886" t="str">
        <f>VLOOKUP(WWWW[[#This Row],[Site Name]],SiteDB6[[Site Name]:[Ethnic or GCA/NGCA]],11,FALSE)</f>
        <v>GCA</v>
      </c>
      <c r="EJ320" s="886">
        <f>VLOOKUP(WWWW[[#This Row],[Site Name]],SiteDB6[[Site Name]:[Lat]],12,FALSE)</f>
        <v>25.417733999999999</v>
      </c>
      <c r="EK320" s="886">
        <f>VLOOKUP(WWWW[[#This Row],[Site Name]],SiteDB6[[Site Name]:[Long]],13,FALSE)</f>
        <v>97.389778000000007</v>
      </c>
      <c r="EL320" s="886" t="str">
        <f>VLOOKUP(WWWW[[#This Row],[Site Name]],SiteDB6[[Site Name]:[Pcode]],3,FALSE)</f>
        <v>MMR001CMP004</v>
      </c>
      <c r="EM320" s="891" t="str">
        <f t="shared" si="4"/>
        <v>Covered</v>
      </c>
      <c r="EN320" s="891"/>
      <c r="EO320" s="886">
        <f>VLOOKUP(WWWW[[#This Row],[Site Name]],SiteDB6[[Site Name]:[Pop
(Kachin/Shan-CCCM as of July 2021)]],16,FALSE)</f>
        <v>16</v>
      </c>
      <c r="EP320" s="886">
        <f>VLOOKUP(WWWW[[#This Row],[Site Name]],SiteDB6[[Site Name]:[Pop
(Kachin/Shan-CCCM as of July 2021)]],17,FALSE)</f>
        <v>83</v>
      </c>
    </row>
    <row r="321" spans="1:146" hidden="1">
      <c r="A321" s="884" t="s">
        <v>2764</v>
      </c>
      <c r="B321" s="884" t="s">
        <v>2081</v>
      </c>
      <c r="C321" s="885" t="s">
        <v>141</v>
      </c>
      <c r="D321" s="885" t="s">
        <v>299</v>
      </c>
      <c r="E321" s="885" t="s">
        <v>37</v>
      </c>
      <c r="F321" s="885" t="s">
        <v>184</v>
      </c>
      <c r="G321" s="591" t="str">
        <f>VLOOKUP(WWWW[[#This Row],[Site Name]],SiteDB6[[Site Name]:[Location Type]],8,FALSE)</f>
        <v>Camp</v>
      </c>
      <c r="H321" s="885" t="s">
        <v>187</v>
      </c>
      <c r="I321" s="887">
        <v>68</v>
      </c>
      <c r="J321" s="887">
        <v>353</v>
      </c>
      <c r="K321" s="888">
        <v>44682</v>
      </c>
      <c r="L321" s="889">
        <v>44865</v>
      </c>
      <c r="M321" s="887"/>
      <c r="N321" s="887">
        <v>1</v>
      </c>
      <c r="O321" s="887"/>
      <c r="P321" s="887"/>
      <c r="Q321" s="890" t="s">
        <v>41</v>
      </c>
      <c r="R321" s="887">
        <v>3</v>
      </c>
      <c r="S321" s="887">
        <v>2</v>
      </c>
      <c r="T321" s="448">
        <v>16</v>
      </c>
      <c r="U321" s="887">
        <v>5</v>
      </c>
      <c r="V321" s="887"/>
      <c r="W321" s="887">
        <v>0</v>
      </c>
      <c r="X321" s="887"/>
      <c r="Y321" s="887"/>
      <c r="Z321" s="887"/>
      <c r="AA321" s="887"/>
      <c r="AB321" s="887"/>
      <c r="AC321" s="887"/>
      <c r="AD321" s="887"/>
      <c r="AE321" s="887"/>
      <c r="AF321" s="887"/>
      <c r="AG321" s="887"/>
      <c r="AH321" s="887"/>
      <c r="AI321" s="887"/>
      <c r="AJ321" s="887"/>
      <c r="AK321" s="887"/>
      <c r="AL321" s="887"/>
      <c r="AM321" s="887"/>
      <c r="AN321" s="887"/>
      <c r="AO321" s="448"/>
      <c r="AP321" s="891"/>
      <c r="AQ321" s="448">
        <v>73</v>
      </c>
      <c r="AR321" s="448">
        <v>23</v>
      </c>
      <c r="AS321" s="892"/>
      <c r="AT321" s="887"/>
      <c r="AU321" s="887"/>
      <c r="AV321" s="887"/>
      <c r="AW321" s="887"/>
      <c r="AX321" s="887"/>
      <c r="AY321" s="886" t="s">
        <v>41</v>
      </c>
      <c r="AZ321" s="891" t="s">
        <v>137</v>
      </c>
      <c r="BA321" s="887"/>
      <c r="BB321" s="887">
        <v>24</v>
      </c>
      <c r="BC321" s="887">
        <v>5</v>
      </c>
      <c r="BD321" s="448">
        <v>5</v>
      </c>
      <c r="BE321" s="448"/>
      <c r="BF321" s="886"/>
      <c r="BG321" s="887">
        <v>1</v>
      </c>
      <c r="BH321" s="887"/>
      <c r="BI321" s="887"/>
      <c r="BJ321" s="887">
        <v>1</v>
      </c>
      <c r="BK321" s="887"/>
      <c r="BL321" s="887"/>
      <c r="BM321" s="887"/>
      <c r="BN321" s="887"/>
      <c r="BO321" s="887"/>
      <c r="BP321" s="886"/>
      <c r="BQ321" s="893"/>
      <c r="BR321" s="892"/>
      <c r="BS321" s="886"/>
      <c r="BT321" s="423"/>
      <c r="BU321" s="423"/>
      <c r="BV321" s="425"/>
      <c r="BW321" s="423"/>
      <c r="BX321" s="448"/>
      <c r="BY321" s="448"/>
      <c r="BZ321" s="448"/>
      <c r="CA321" s="448"/>
      <c r="CB321" s="448"/>
      <c r="CC321" s="777"/>
      <c r="CD321" s="448"/>
      <c r="CE321" s="894" t="str">
        <f>IFERROR(WWWW[[#This Row],['#_Water sources passed]]/WWWW[[#This Row],['#_Water sources tested for fecal coliform ]],"no test")</f>
        <v>no test</v>
      </c>
      <c r="CF321" s="892" t="str">
        <f>IFERROR(WWWW[[#This Row],['#_Household passed]]/WWWW[[#This Row],['#_Household water samples tested for fecal coliform]],"no test")</f>
        <v>no test</v>
      </c>
      <c r="CG321" s="893" t="str">
        <f>IF(AND(WWWW[[#This Row],[% of water sources passed]]="no test",WWWW[[#This Row],[% Household passed]]="no test"),"No Test","Tested")</f>
        <v>No Test</v>
      </c>
      <c r="CH321" s="893">
        <f>WWWW[[#This Row],['#_Constructed/existing protected hand dug well]]-WWWW[[#This Row],['#_Non-functional protected hand dug well]]</f>
        <v>11</v>
      </c>
      <c r="CI321" s="893">
        <f>(WWWW[[#This Row],['#_Constructed/Existing tube wells/boreholes/handpumps_WASH_agency]]+WWWW[[#This Row],['#_Non-Cluster partner water tube-wells/boreholes/handpumps]])-WWWW[[#This Row],['#_Non-functional tube wells/boreholes/handpumps]]</f>
        <v>0</v>
      </c>
      <c r="CJ321" s="893">
        <f>WWWW[[#This Row],['#_Constructed/Existingwater storage tank with gravity fed reticulation system]]-WWWW[[#This Row],['#_Non-functional storage tank gravity fed reticulation system]]</f>
        <v>0</v>
      </c>
      <c r="CK321" s="893">
        <f>(WWWW[[#This Row],['#_Water_Liters_supplied_by_Water boating or water trucking]]/90)/15</f>
        <v>0</v>
      </c>
      <c r="CL321" s="893">
        <f>WWWW[[#This Row],['#_Water_Liters_from_Constructed/Existing water distribution system from river or natural spring]]/90/15</f>
        <v>0</v>
      </c>
      <c r="CM321" s="424">
        <f>IF(WWWW[[#This Row],['#_of water points in TLS/CFS]]*500&gt;WWWW[[#This Row],[Total PoP ]],WWWW[[#This Row],[Total PoP ]],WWWW[[#This Row],['#_of water points in TLS/CFS]]*500)</f>
        <v>0</v>
      </c>
      <c r="CN321" s="424">
        <f>IF(WWWW[[#This Row],['#_of water points in THF]]*500&gt;WWWW[[#This Row],[Total PoP ]],WWWW[[#This Row],[Total PoP ]],WWWW[[#This Row],['#_of water points in THF]]*500)</f>
        <v>0</v>
      </c>
      <c r="CO32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2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21" s="892">
        <f>IF(WWWW[[#This Row],[Location Type 1]]="Village",WWWW[[#This Row],[Access to safe drinking water for Village]],WWWW[[#This Row],[Access to safe drinking water for Camp]])</f>
        <v>1</v>
      </c>
      <c r="CR321" s="890">
        <f>WWWW[[#This Row],[%Equitable and continuous access to sufficient quantity of safe drinking water]]*WWWW[[#This Row],[Total PoP ]]</f>
        <v>353</v>
      </c>
      <c r="CS321" s="892">
        <f>IF((WWWW[[#This Row],['#_Constructed/Existing protected/fenced ponds]]*250)/WWWW[[#This Row],[Total PoP ]]&gt;1,1,(WWWW[[#This Row],['#_Constructed/Existing protected/fenced ponds]]*250)/WWWW[[#This Row],[Total PoP ]])</f>
        <v>0</v>
      </c>
      <c r="CT321" s="890">
        <f>WWWW[[#This Row],[% Access to unimproved water points]]*WWWW[[#This Row],[Total PoP ]]</f>
        <v>0</v>
      </c>
      <c r="CU32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2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353</v>
      </c>
      <c r="CW321" s="890">
        <f>WWWW[[#This Row],[HRP1]]/500</f>
        <v>0.70599999999999996</v>
      </c>
      <c r="CX321" s="895">
        <f>1-WWWW[[#This Row],[% Equitable and continuous access to sufficient quantity of domestic water]]</f>
        <v>0</v>
      </c>
      <c r="CY321" s="890">
        <f>WWWW[[#This Row],[%equitable and continuous access to sufficient quantity of safe drinking and domestic water''s GAP]]*WWWW[[#This Row],[Total PoP ]]</f>
        <v>0</v>
      </c>
      <c r="CZ321" s="893">
        <f>IF(WWWW[[#This Row],[Total required water points]]-WWWW[[#This Row],['#Water points coverage]]&lt;0,0,WWWW[[#This Row],[Total required water points]]-WWWW[[#This Row],['#Water points coverage]])</f>
        <v>0.29400000000000004</v>
      </c>
      <c r="DA321" s="893">
        <f>ROUND(IF(WWWW[[#This Row],[Total PoP ]]&lt;500,1,WWWW[[#This Row],[Total PoP ]]/500),0)</f>
        <v>1</v>
      </c>
      <c r="DB321" s="893">
        <f>(WWWW[[#This Row],['#_Constructed latrines_by_WASHAgencies]]+WWWW[[#This Row],['#_Non Cluster partner latrines]])-WWWW[[#This Row],['#_Non-functional latrines]]</f>
        <v>96</v>
      </c>
      <c r="DC321" s="631">
        <f>WWWW[[#This Row],[HRP2]]/WWWW[[#This Row],[Total PoP ]]</f>
        <v>1</v>
      </c>
      <c r="DD32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353</v>
      </c>
      <c r="DE32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1" s="424">
        <f>IF(WWWW[[#This Row],['# of functional latrines in THF supported by WASH partners during the reporting period2]]="",0,WWWW[[#This Row],['# of functional latrines in THF supported by WASH partners during the reporting period2]]*50)</f>
        <v>250</v>
      </c>
      <c r="DH321" s="893">
        <f>ROUND(IF(WWWW[[#This Row],[Location Type 1]]="camp",WWWW[[#This Row],[Total PoP ]]/20,IF(WWWW[[#This Row],[Location Type 1]]="Temporary Location",WWWW[[#This Row],[Total PoP ]]/50,(WWWW[[#This Row],[Total PoP ]]/6))),0)</f>
        <v>18</v>
      </c>
      <c r="DI321" s="893">
        <f>IF(WWWW[[#This Row],[Total required Latrines]]-(WWWW[[#This Row],['#_Constructed latrines_by_WASHAgencies]]+WWWW[[#This Row],['#_Non Cluster partner latrines]])&lt;0,0,WWWW[[#This Row],[Total required Latrines]]-(WWWW[[#This Row],['#_Constructed latrines_by_WASHAgencies]]+WWWW[[#This Row],['#_Non Cluster partner latrines]]))</f>
        <v>0</v>
      </c>
      <c r="DJ321" s="895">
        <f>1-WWWW[[#This Row],[% people access to functioning Latrine]]</f>
        <v>0</v>
      </c>
      <c r="DK321" s="894">
        <f>IF(OR(WWWW[[#This Row],['#_Non-functional latrines]]="",WWWW[[#This Row],['#_Non-functional latrines]]=0),0,WWWW[[#This Row],['#_Non-functional latrines]]/(WWWW[[#This Row],['#_Constructed latrines_by_WASHAgencies]]+WWWW[[#This Row],['#_Non Cluster partner latrines]]))</f>
        <v>0</v>
      </c>
      <c r="DL321" s="890">
        <f>IF(500*(WWWW[[#This Row],['#_male hygiene promoters]]+WWWW[[#This Row],['#_female hygiene promoters]])&gt;WWWW[[#This Row],[Total PoP ]],WWWW[[#This Row],[Total PoP ]],500*(WWWW[[#This Row],['#_male hygiene promoters]]+WWWW[[#This Row],['#_female hygiene promoters]]))</f>
        <v>0</v>
      </c>
      <c r="DM32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1" s="893">
        <f>IF(WWWW[[#This Row],['# People with access to soap]]&gt;WWWW[[#This Row],['# People with access to Sanity Pads]],WWWW[[#This Row],['# People with access to soap]],WWWW[[#This Row],['# People with access to Sanity Pads]])</f>
        <v>0</v>
      </c>
      <c r="DP321"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1" s="895">
        <f>IF(WWWW[[#This Row],[HRP3]]/WWWW[[#This Row],[Total PoP ]]&gt;1,1,WWWW[[#This Row],[HRP3]]/WWWW[[#This Row],[Total PoP ]])</f>
        <v>0</v>
      </c>
      <c r="DR321" s="894">
        <f>1-WWWW[[#This Row],[Hygiene Coverage%]]</f>
        <v>1</v>
      </c>
      <c r="DS321" s="892">
        <f>WWWW[[#This Row],['# people reached by regular dedicated hygiene promotion_5]]/WWWW[[#This Row],[Total PoP ]]</f>
        <v>0</v>
      </c>
      <c r="DT32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1" s="893">
        <f>WWWW[[#This Row],['#_Constructed/Existing hand washing stations]]-WWWW[[#This Row],['#_Non-Functional_hand_washing_stations]]</f>
        <v>1</v>
      </c>
      <c r="DW321" s="890">
        <f>IF(WWWW[[#This Row],['# Functional hand washing stations during reporting period]]*20&gt;WWWW[[#This Row],[Total HH]],WWWW[[#This Row],[Total HH]],WWWW[[#This Row],['# Functional hand washing stations during reporting period]]*20)</f>
        <v>20</v>
      </c>
      <c r="DX321" s="890">
        <f>IF(WWWW[[#This Row],[Is sufficient soap available for TLS? (Yes/No)]]="yes",WWWW[[#This Row],['#_Constructed/Existing hand washing stations at TLS/CFS/THF]],0)</f>
        <v>0</v>
      </c>
      <c r="DY321" s="428">
        <f>IF(WWWW[[#This Row],['# Functional hand washing stations during reporting period]]*100&gt;WWWW[[#This Row],[Total PoP ]],WWWW[[#This Row],[Total PoP ]],WWWW[[#This Row],['# Functional hand washing stations during reporting period]]*100)</f>
        <v>100</v>
      </c>
      <c r="DZ321" s="428" t="str">
        <f>IF(OR(WWWW[[#This Row],['#_students at TLS_CFS]]="",WWWW[[#This Row],['#_students at TLS_CFS]]=0),"No","Yes")</f>
        <v>No</v>
      </c>
      <c r="EA32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E321" s="886" t="str">
        <f>VLOOKUP(WWWW[[#This Row],[Site Name]],SiteDB6[[Site Name]:[CCCM Management]],6,FALSE)</f>
        <v>Yes</v>
      </c>
      <c r="EF321" s="886" t="str">
        <f>VLOOKUP(WWWW[[#This Row],[Site Name]],SiteDB6[[Site Name]:[CCCM Focal Agency]],7,FALSE)</f>
        <v>KBC-MYT</v>
      </c>
      <c r="EG321" s="886" t="str">
        <f>VLOOKUP(WWWW[[#This Row],[Site Name]],SiteDB6[[Site Name]:[Location Type 1]],9,FALSE)</f>
        <v>Camp</v>
      </c>
      <c r="EH321" s="886" t="str">
        <f>VLOOKUP(WWWW[[#This Row],[Site Name]],SiteDB6[[Site Name]:[Type of Accommodation]],10,FALSE)</f>
        <v>Camp</v>
      </c>
      <c r="EI321" s="886" t="str">
        <f>VLOOKUP(WWWW[[#This Row],[Site Name]],SiteDB6[[Site Name]:[Ethnic or GCA/NGCA]],11,FALSE)</f>
        <v>NGCA</v>
      </c>
      <c r="EJ321" s="886">
        <f>VLOOKUP(WWWW[[#This Row],[Site Name]],SiteDB6[[Site Name]:[Lat]],12,FALSE)</f>
        <v>26.548506</v>
      </c>
      <c r="EK321" s="886">
        <f>VLOOKUP(WWWW[[#This Row],[Site Name]],SiteDB6[[Site Name]:[Long]],13,FALSE)</f>
        <v>97.75609</v>
      </c>
      <c r="EL321" s="886" t="str">
        <f>VLOOKUP(WWWW[[#This Row],[Site Name]],SiteDB6[[Site Name]:[Pcode]],3,FALSE)</f>
        <v>MMR001CMP239</v>
      </c>
      <c r="EM321" s="891" t="str">
        <f t="shared" si="4"/>
        <v>Covered</v>
      </c>
      <c r="EN321" s="891"/>
      <c r="EO321" s="886">
        <f>VLOOKUP(WWWW[[#This Row],[Site Name]],SiteDB6[[Site Name]:[Pop
(Kachin/Shan-CCCM as of July 2021)]],16,FALSE)</f>
        <v>68</v>
      </c>
      <c r="EP321" s="886">
        <f>VLOOKUP(WWWW[[#This Row],[Site Name]],SiteDB6[[Site Name]:[Pop
(Kachin/Shan-CCCM as of July 2021)]],17,FALSE)</f>
        <v>353</v>
      </c>
    </row>
    <row r="322" spans="1:146" hidden="1">
      <c r="A322" s="884" t="s">
        <v>2764</v>
      </c>
      <c r="B322" s="884" t="s">
        <v>919</v>
      </c>
      <c r="C322" s="885" t="s">
        <v>141</v>
      </c>
      <c r="D322" s="885" t="s">
        <v>3076</v>
      </c>
      <c r="E322" s="885" t="s">
        <v>37</v>
      </c>
      <c r="F322" s="885" t="s">
        <v>152</v>
      </c>
      <c r="G322" s="591" t="str">
        <f>VLOOKUP(WWWW[[#This Row],[Site Name]],SiteDB6[[Site Name]:[Location Type]],8,FALSE)</f>
        <v>Camp</v>
      </c>
      <c r="H322" s="885" t="s">
        <v>156</v>
      </c>
      <c r="I322" s="887">
        <v>27</v>
      </c>
      <c r="J322" s="887">
        <v>136</v>
      </c>
      <c r="K322" s="888">
        <v>44682</v>
      </c>
      <c r="L322" s="889">
        <v>44865</v>
      </c>
      <c r="M322" s="887"/>
      <c r="N322" s="887"/>
      <c r="O322" s="887"/>
      <c r="P322" s="887"/>
      <c r="Q322" s="890" t="s">
        <v>41</v>
      </c>
      <c r="R322" s="887">
        <v>2</v>
      </c>
      <c r="S322" s="887">
        <v>2</v>
      </c>
      <c r="T322" s="448"/>
      <c r="U322" s="887"/>
      <c r="V322" s="887"/>
      <c r="W322" s="887">
        <v>1</v>
      </c>
      <c r="X322" s="887"/>
      <c r="Y322" s="887"/>
      <c r="Z322" s="887"/>
      <c r="AA322" s="887"/>
      <c r="AB322" s="887"/>
      <c r="AC322" s="887"/>
      <c r="AD322" s="887"/>
      <c r="AE322" s="887"/>
      <c r="AF322" s="887"/>
      <c r="AG322" s="887"/>
      <c r="AH322" s="887">
        <v>3</v>
      </c>
      <c r="AI322" s="887"/>
      <c r="AJ322" s="887"/>
      <c r="AK322" s="887"/>
      <c r="AL322" s="887"/>
      <c r="AM322" s="887"/>
      <c r="AN322" s="887"/>
      <c r="AO322" s="448"/>
      <c r="AP322" s="891"/>
      <c r="AQ322" s="887">
        <v>12</v>
      </c>
      <c r="AR322" s="887"/>
      <c r="AS322" s="892"/>
      <c r="AT322" s="887"/>
      <c r="AU322" s="887"/>
      <c r="AV322" s="887"/>
      <c r="AW322" s="887"/>
      <c r="AX322" s="887">
        <v>12</v>
      </c>
      <c r="AY322" s="886" t="s">
        <v>41</v>
      </c>
      <c r="AZ322" s="891" t="s">
        <v>904</v>
      </c>
      <c r="BA322" s="887"/>
      <c r="BB322" s="887"/>
      <c r="BC322" s="887"/>
      <c r="BD322" s="448"/>
      <c r="BE322" s="448"/>
      <c r="BF322" s="886"/>
      <c r="BG322" s="887">
        <v>8</v>
      </c>
      <c r="BH322" s="887"/>
      <c r="BI322" s="887"/>
      <c r="BJ322" s="887">
        <v>3</v>
      </c>
      <c r="BK322" s="887"/>
      <c r="BL322" s="887"/>
      <c r="BM322" s="887"/>
      <c r="BN322" s="887"/>
      <c r="BO322" s="887"/>
      <c r="BP322" s="886"/>
      <c r="BQ322" s="893"/>
      <c r="BR322" s="892"/>
      <c r="BS322" s="886"/>
      <c r="BT322" s="423"/>
      <c r="BU322" s="423"/>
      <c r="BV322" s="425"/>
      <c r="BW322" s="423"/>
      <c r="BX322" s="448"/>
      <c r="BY322" s="448"/>
      <c r="BZ322" s="448"/>
      <c r="CA322" s="448"/>
      <c r="CB322" s="448"/>
      <c r="CC322" s="777"/>
      <c r="CD322" s="448"/>
      <c r="CE322" s="894" t="str">
        <f>IFERROR(WWWW[[#This Row],['#_Water sources passed]]/WWWW[[#This Row],['#_Water sources tested for fecal coliform ]],"no test")</f>
        <v>no test</v>
      </c>
      <c r="CF322" s="892" t="str">
        <f>IFERROR(WWWW[[#This Row],['#_Household passed]]/WWWW[[#This Row],['#_Household water samples tested for fecal coliform]],"no test")</f>
        <v>no test</v>
      </c>
      <c r="CG322" s="893" t="str">
        <f>IF(AND(WWWW[[#This Row],[% of water sources passed]]="no test",WWWW[[#This Row],[% Household passed]]="no test"),"No Test","Tested")</f>
        <v>No Test</v>
      </c>
      <c r="CH322" s="893">
        <f>WWWW[[#This Row],['#_Constructed/existing protected hand dug well]]-WWWW[[#This Row],['#_Non-functional protected hand dug well]]</f>
        <v>0</v>
      </c>
      <c r="CI322" s="893">
        <f>(WWWW[[#This Row],['#_Constructed/Existing tube wells/boreholes/handpumps_WASH_agency]]+WWWW[[#This Row],['#_Non-Cluster partner water tube-wells/boreholes/handpumps]])-WWWW[[#This Row],['#_Non-functional tube wells/boreholes/handpumps]]</f>
        <v>1</v>
      </c>
      <c r="CJ322" s="893">
        <f>WWWW[[#This Row],['#_Constructed/Existingwater storage tank with gravity fed reticulation system]]-WWWW[[#This Row],['#_Non-functional storage tank gravity fed reticulation system]]</f>
        <v>0</v>
      </c>
      <c r="CK322" s="893">
        <f>(WWWW[[#This Row],['#_Water_Liters_supplied_by_Water boating or water trucking]]/90)/15</f>
        <v>0</v>
      </c>
      <c r="CL322" s="893">
        <f>WWWW[[#This Row],['#_Water_Liters_from_Constructed/Existing water distribution system from river or natural spring]]/90/15</f>
        <v>0</v>
      </c>
      <c r="CM322" s="424">
        <f>IF(WWWW[[#This Row],['#_of water points in TLS/CFS]]*500&gt;WWWW[[#This Row],[Total PoP ]],WWWW[[#This Row],[Total PoP ]],WWWW[[#This Row],['#_of water points in TLS/CFS]]*500)</f>
        <v>0</v>
      </c>
      <c r="CN322" s="424">
        <f>IF(WWWW[[#This Row],['#_of water points in THF]]*500&gt;WWWW[[#This Row],[Total PoP ]],WWWW[[#This Row],[Total PoP ]],WWWW[[#This Row],['#_of water points in THF]]*500)</f>
        <v>0</v>
      </c>
      <c r="CO32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2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22" s="892">
        <f>IF(WWWW[[#This Row],[Location Type 1]]="Village",WWWW[[#This Row],[Access to safe drinking water for Village]],WWWW[[#This Row],[Access to safe drinking water for Camp]])</f>
        <v>1</v>
      </c>
      <c r="CR322" s="890">
        <f>WWWW[[#This Row],[%Equitable and continuous access to sufficient quantity of safe drinking water]]*WWWW[[#This Row],[Total PoP ]]</f>
        <v>136</v>
      </c>
      <c r="CS322" s="892">
        <f>IF((WWWW[[#This Row],['#_Constructed/Existing protected/fenced ponds]]*250)/WWWW[[#This Row],[Total PoP ]]&gt;1,1,(WWWW[[#This Row],['#_Constructed/Existing protected/fenced ponds]]*250)/WWWW[[#This Row],[Total PoP ]])</f>
        <v>0</v>
      </c>
      <c r="CT322" s="890">
        <f>WWWW[[#This Row],[% Access to unimproved water points]]*WWWW[[#This Row],[Total PoP ]]</f>
        <v>0</v>
      </c>
      <c r="CU32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2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W322" s="890">
        <f>WWWW[[#This Row],[HRP1]]/500</f>
        <v>0.27200000000000002</v>
      </c>
      <c r="CX322" s="895">
        <f>1-WWWW[[#This Row],[% Equitable and continuous access to sufficient quantity of domestic water]]</f>
        <v>0</v>
      </c>
      <c r="CY322" s="890">
        <f>WWWW[[#This Row],[%equitable and continuous access to sufficient quantity of safe drinking and domestic water''s GAP]]*WWWW[[#This Row],[Total PoP ]]</f>
        <v>0</v>
      </c>
      <c r="CZ322" s="893">
        <f>IF(WWWW[[#This Row],[Total required water points]]-WWWW[[#This Row],['#Water points coverage]]&lt;0,0,WWWW[[#This Row],[Total required water points]]-WWWW[[#This Row],['#Water points coverage]])</f>
        <v>0.72799999999999998</v>
      </c>
      <c r="DA322" s="893">
        <f>ROUND(IF(WWWW[[#This Row],[Total PoP ]]&lt;500,1,WWWW[[#This Row],[Total PoP ]]/500),0)</f>
        <v>1</v>
      </c>
      <c r="DB322" s="893">
        <f>(WWWW[[#This Row],['#_Constructed latrines_by_WASHAgencies]]+WWWW[[#This Row],['#_Non Cluster partner latrines]])-WWWW[[#This Row],['#_Non-functional latrines]]</f>
        <v>12</v>
      </c>
      <c r="DC322" s="631">
        <f>WWWW[[#This Row],[HRP2]]/WWWW[[#This Row],[Total PoP ]]</f>
        <v>1</v>
      </c>
      <c r="DD32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136</v>
      </c>
      <c r="DE32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2" s="424">
        <f>IF(WWWW[[#This Row],['# of functional latrines in THF supported by WASH partners during the reporting period2]]="",0,WWWW[[#This Row],['# of functional latrines in THF supported by WASH partners during the reporting period2]]*50)</f>
        <v>0</v>
      </c>
      <c r="DH322" s="893">
        <f>ROUND(IF(WWWW[[#This Row],[Location Type 1]]="camp",WWWW[[#This Row],[Total PoP ]]/20,IF(WWWW[[#This Row],[Location Type 1]]="Temporary Location",WWWW[[#This Row],[Total PoP ]]/50,(WWWW[[#This Row],[Total PoP ]]/6))),0)</f>
        <v>7</v>
      </c>
      <c r="DI322" s="893">
        <f>IF(WWWW[[#This Row],[Total required Latrines]]-(WWWW[[#This Row],['#_Constructed latrines_by_WASHAgencies]]+WWWW[[#This Row],['#_Non Cluster partner latrines]])&lt;0,0,WWWW[[#This Row],[Total required Latrines]]-(WWWW[[#This Row],['#_Constructed latrines_by_WASHAgencies]]+WWWW[[#This Row],['#_Non Cluster partner latrines]]))</f>
        <v>0</v>
      </c>
      <c r="DJ322" s="895">
        <f>1-WWWW[[#This Row],[% people access to functioning Latrine]]</f>
        <v>0</v>
      </c>
      <c r="DK322" s="894">
        <f>IF(OR(WWWW[[#This Row],['#_Non-functional latrines]]="",WWWW[[#This Row],['#_Non-functional latrines]]=0),0,WWWW[[#This Row],['#_Non-functional latrines]]/(WWWW[[#This Row],['#_Constructed latrines_by_WASHAgencies]]+WWWW[[#This Row],['#_Non Cluster partner latrines]]))</f>
        <v>0</v>
      </c>
      <c r="DL322" s="890">
        <f>IF(500*(WWWW[[#This Row],['#_male hygiene promoters]]+WWWW[[#This Row],['#_female hygiene promoters]])&gt;WWWW[[#This Row],[Total PoP ]],WWWW[[#This Row],[Total PoP ]],500*(WWWW[[#This Row],['#_male hygiene promoters]]+WWWW[[#This Row],['#_female hygiene promoters]]))</f>
        <v>0</v>
      </c>
      <c r="DM32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2" s="893">
        <f>IF(WWWW[[#This Row],['# People with access to soap]]&gt;WWWW[[#This Row],['# People with access to Sanity Pads]],WWWW[[#This Row],['# People with access to soap]],WWWW[[#This Row],['# People with access to Sanity Pads]])</f>
        <v>0</v>
      </c>
      <c r="DP322"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2" s="895">
        <f>IF(WWWW[[#This Row],[HRP3]]/WWWW[[#This Row],[Total PoP ]]&gt;1,1,WWWW[[#This Row],[HRP3]]/WWWW[[#This Row],[Total PoP ]])</f>
        <v>0</v>
      </c>
      <c r="DR322" s="894">
        <f>1-WWWW[[#This Row],[Hygiene Coverage%]]</f>
        <v>1</v>
      </c>
      <c r="DS322" s="892">
        <f>WWWW[[#This Row],['# people reached by regular dedicated hygiene promotion_5]]/WWWW[[#This Row],[Total PoP ]]</f>
        <v>0</v>
      </c>
      <c r="DT32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2" s="893">
        <f>WWWW[[#This Row],['#_Constructed/Existing hand washing stations]]-WWWW[[#This Row],['#_Non-Functional_hand_washing_stations]]</f>
        <v>8</v>
      </c>
      <c r="DW322" s="890">
        <f>IF(WWWW[[#This Row],['# Functional hand washing stations during reporting period]]*20&gt;WWWW[[#This Row],[Total HH]],WWWW[[#This Row],[Total HH]],WWWW[[#This Row],['# Functional hand washing stations during reporting period]]*20)</f>
        <v>27</v>
      </c>
      <c r="DX322" s="890">
        <f>IF(WWWW[[#This Row],[Is sufficient soap available for TLS? (Yes/No)]]="yes",WWWW[[#This Row],['#_Constructed/Existing hand washing stations at TLS/CFS/THF]],0)</f>
        <v>0</v>
      </c>
      <c r="DY322" s="428">
        <f>IF(WWWW[[#This Row],['# Functional hand washing stations during reporting period]]*100&gt;WWWW[[#This Row],[Total PoP ]],WWWW[[#This Row],[Total PoP ]],WWWW[[#This Row],['# Functional hand washing stations during reporting period]]*100)</f>
        <v>136</v>
      </c>
      <c r="DZ322" s="428" t="str">
        <f>IF(OR(WWWW[[#This Row],['#_students at TLS_CFS]]="",WWWW[[#This Row],['#_students at TLS_CFS]]=0),"No","Yes")</f>
        <v>No</v>
      </c>
      <c r="EA32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2" s="886" t="str">
        <f>VLOOKUP(WWWW[[#This Row],[Site Name]],SiteDB6[[Site Name]:[CCCM Management]],6,FALSE)</f>
        <v>Yes</v>
      </c>
      <c r="EF322" s="886" t="str">
        <f>VLOOKUP(WWWW[[#This Row],[Site Name]],SiteDB6[[Site Name]:[CCCM Focal Agency]],7,FALSE)</f>
        <v>KBC-MYT</v>
      </c>
      <c r="EG322" s="886" t="str">
        <f>VLOOKUP(WWWW[[#This Row],[Site Name]],SiteDB6[[Site Name]:[Location Type 1]],9,FALSE)</f>
        <v>Camp</v>
      </c>
      <c r="EH322" s="886" t="str">
        <f>VLOOKUP(WWWW[[#This Row],[Site Name]],SiteDB6[[Site Name]:[Type of Accommodation]],10,FALSE)</f>
        <v>Camp</v>
      </c>
      <c r="EI322" s="886" t="str">
        <f>VLOOKUP(WWWW[[#This Row],[Site Name]],SiteDB6[[Site Name]:[Ethnic or GCA/NGCA]],11,FALSE)</f>
        <v>GCA</v>
      </c>
      <c r="EJ322" s="886">
        <f>VLOOKUP(WWWW[[#This Row],[Site Name]],SiteDB6[[Site Name]:[Lat]],12,FALSE)</f>
        <v>25.225000000000001</v>
      </c>
      <c r="EK322" s="886">
        <f>VLOOKUP(WWWW[[#This Row],[Site Name]],SiteDB6[[Site Name]:[Long]],13,FALSE)</f>
        <v>96.793999999999997</v>
      </c>
      <c r="EL322" s="886" t="str">
        <f>VLOOKUP(WWWW[[#This Row],[Site Name]],SiteDB6[[Site Name]:[Pcode]],3,FALSE)</f>
        <v>MMR001CMP236</v>
      </c>
      <c r="EM322" s="891" t="str">
        <f t="shared" si="4"/>
        <v>Covered</v>
      </c>
      <c r="EN322" s="891"/>
      <c r="EO322" s="886">
        <f>VLOOKUP(WWWW[[#This Row],[Site Name]],SiteDB6[[Site Name]:[Pop
(Kachin/Shan-CCCM as of July 2021)]],16,FALSE)</f>
        <v>27</v>
      </c>
      <c r="EP322" s="886">
        <f>VLOOKUP(WWWW[[#This Row],[Site Name]],SiteDB6[[Site Name]:[Pop
(Kachin/Shan-CCCM as of July 2021)]],17,FALSE)</f>
        <v>137</v>
      </c>
    </row>
    <row r="323" spans="1:146" hidden="1">
      <c r="A323" s="884" t="s">
        <v>2764</v>
      </c>
      <c r="B323" s="884" t="s">
        <v>309</v>
      </c>
      <c r="C323" s="885" t="s">
        <v>309</v>
      </c>
      <c r="D323" s="885"/>
      <c r="E323" s="885" t="s">
        <v>37</v>
      </c>
      <c r="F323" s="885" t="s">
        <v>159</v>
      </c>
      <c r="G323" s="591" t="str">
        <f>VLOOKUP(WWWW[[#This Row],[Site Name]],SiteDB6[[Site Name]:[Location Type]],8,FALSE)</f>
        <v>Camp</v>
      </c>
      <c r="H323" s="885" t="s">
        <v>2235</v>
      </c>
      <c r="I323" s="887">
        <v>26</v>
      </c>
      <c r="J323" s="887">
        <v>147</v>
      </c>
      <c r="K323" s="888" t="s">
        <v>2650</v>
      </c>
      <c r="L323" s="889" t="s">
        <v>2651</v>
      </c>
      <c r="M323" s="887"/>
      <c r="N323" s="887"/>
      <c r="O323" s="887"/>
      <c r="P323" s="887"/>
      <c r="Q323" s="890"/>
      <c r="R323" s="887"/>
      <c r="S323" s="887">
        <v>4</v>
      </c>
      <c r="T323" s="448"/>
      <c r="U323" s="887"/>
      <c r="V323" s="887"/>
      <c r="W323" s="887"/>
      <c r="X323" s="887"/>
      <c r="Y323" s="887"/>
      <c r="Z323" s="887"/>
      <c r="AA323" s="887"/>
      <c r="AB323" s="887"/>
      <c r="AC323" s="887"/>
      <c r="AD323" s="887"/>
      <c r="AE323" s="887"/>
      <c r="AF323" s="887"/>
      <c r="AG323" s="887"/>
      <c r="AH323" s="887"/>
      <c r="AI323" s="887"/>
      <c r="AJ323" s="887"/>
      <c r="AK323" s="887"/>
      <c r="AL323" s="887"/>
      <c r="AM323" s="887"/>
      <c r="AN323" s="887"/>
      <c r="AO323" s="448"/>
      <c r="AP323" s="891"/>
      <c r="AQ323" s="887"/>
      <c r="AR323" s="887"/>
      <c r="AS323" s="892"/>
      <c r="AT323" s="887"/>
      <c r="AU323" s="887"/>
      <c r="AV323" s="887"/>
      <c r="AW323" s="887"/>
      <c r="AX323" s="887"/>
      <c r="AY323" s="886" t="s">
        <v>140</v>
      </c>
      <c r="AZ323" s="891" t="s">
        <v>140</v>
      </c>
      <c r="BA323" s="887"/>
      <c r="BB323" s="887"/>
      <c r="BC323" s="887"/>
      <c r="BD323" s="448"/>
      <c r="BE323" s="448"/>
      <c r="BF323" s="886"/>
      <c r="BG323" s="887">
        <v>1</v>
      </c>
      <c r="BH323" s="887"/>
      <c r="BI323" s="887"/>
      <c r="BJ323" s="887">
        <v>1</v>
      </c>
      <c r="BK323" s="887"/>
      <c r="BL323" s="887"/>
      <c r="BM323" s="887"/>
      <c r="BN323" s="887"/>
      <c r="BO323" s="887"/>
      <c r="BP323" s="886"/>
      <c r="BQ323" s="893"/>
      <c r="BR323" s="892"/>
      <c r="BS323" s="886"/>
      <c r="BT323" s="423"/>
      <c r="BU323" s="423"/>
      <c r="BV323" s="425"/>
      <c r="BW323" s="423"/>
      <c r="BX323" s="448"/>
      <c r="BY323" s="448"/>
      <c r="BZ323" s="448"/>
      <c r="CA323" s="448"/>
      <c r="CB323" s="448"/>
      <c r="CC323" s="777"/>
      <c r="CD323" s="448"/>
      <c r="CE323" s="894" t="str">
        <f>IFERROR(WWWW[[#This Row],['#_Water sources passed]]/WWWW[[#This Row],['#_Water sources tested for fecal coliform ]],"no test")</f>
        <v>no test</v>
      </c>
      <c r="CF323" s="892" t="str">
        <f>IFERROR(WWWW[[#This Row],['#_Household passed]]/WWWW[[#This Row],['#_Household water samples tested for fecal coliform]],"no test")</f>
        <v>no test</v>
      </c>
      <c r="CG323" s="893" t="str">
        <f>IF(AND(WWWW[[#This Row],[% of water sources passed]]="no test",WWWW[[#This Row],[% Household passed]]="no test"),"No Test","Tested")</f>
        <v>No Test</v>
      </c>
      <c r="CH323" s="893">
        <f>WWWW[[#This Row],['#_Constructed/existing protected hand dug well]]-WWWW[[#This Row],['#_Non-functional protected hand dug well]]</f>
        <v>0</v>
      </c>
      <c r="CI323" s="893">
        <f>(WWWW[[#This Row],['#_Constructed/Existing tube wells/boreholes/handpumps_WASH_agency]]+WWWW[[#This Row],['#_Non-Cluster partner water tube-wells/boreholes/handpumps]])-WWWW[[#This Row],['#_Non-functional tube wells/boreholes/handpumps]]</f>
        <v>0</v>
      </c>
      <c r="CJ323" s="893">
        <f>WWWW[[#This Row],['#_Constructed/Existingwater storage tank with gravity fed reticulation system]]-WWWW[[#This Row],['#_Non-functional storage tank gravity fed reticulation system]]</f>
        <v>0</v>
      </c>
      <c r="CK323" s="893">
        <f>(WWWW[[#This Row],['#_Water_Liters_supplied_by_Water boating or water trucking]]/90)/15</f>
        <v>0</v>
      </c>
      <c r="CL323" s="893">
        <f>WWWW[[#This Row],['#_Water_Liters_from_Constructed/Existing water distribution system from river or natural spring]]/90/15</f>
        <v>0</v>
      </c>
      <c r="CM323" s="424">
        <f>IF(WWWW[[#This Row],['#_of water points in TLS/CFS]]*500&gt;WWWW[[#This Row],[Total PoP ]],WWWW[[#This Row],[Total PoP ]],WWWW[[#This Row],['#_of water points in TLS/CFS]]*500)</f>
        <v>0</v>
      </c>
      <c r="CN323" s="424">
        <f>IF(WWWW[[#This Row],['#_of water points in THF]]*500&gt;WWWW[[#This Row],[Total PoP ]],WWWW[[#This Row],[Total PoP ]],WWWW[[#This Row],['#_of water points in THF]]*500)</f>
        <v>0</v>
      </c>
      <c r="CO32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3" s="892">
        <f>IF(WWWW[[#This Row],[Location Type 1]]="Village",WWWW[[#This Row],[Access to safe drinking water for Village]],WWWW[[#This Row],[Access to safe drinking water for Camp]])</f>
        <v>0</v>
      </c>
      <c r="CR323" s="890">
        <f>WWWW[[#This Row],[%Equitable and continuous access to sufficient quantity of safe drinking water]]*WWWW[[#This Row],[Total PoP ]]</f>
        <v>0</v>
      </c>
      <c r="CS323" s="892">
        <f>IF((WWWW[[#This Row],['#_Constructed/Existing protected/fenced ponds]]*250)/WWWW[[#This Row],[Total PoP ]]&gt;1,1,(WWWW[[#This Row],['#_Constructed/Existing protected/fenced ponds]]*250)/WWWW[[#This Row],[Total PoP ]])</f>
        <v>0</v>
      </c>
      <c r="CT323" s="890">
        <f>WWWW[[#This Row],[% Access to unimproved water points]]*WWWW[[#This Row],[Total PoP ]]</f>
        <v>0</v>
      </c>
      <c r="CU32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3" s="890">
        <f>WWWW[[#This Row],[HRP1]]/500</f>
        <v>0</v>
      </c>
      <c r="CX323" s="895">
        <f>1-WWWW[[#This Row],[% Equitable and continuous access to sufficient quantity of domestic water]]</f>
        <v>1</v>
      </c>
      <c r="CY323" s="890">
        <f>WWWW[[#This Row],[%equitable and continuous access to sufficient quantity of safe drinking and domestic water''s GAP]]*WWWW[[#This Row],[Total PoP ]]</f>
        <v>147</v>
      </c>
      <c r="CZ323" s="893">
        <f>IF(WWWW[[#This Row],[Total required water points]]-WWWW[[#This Row],['#Water points coverage]]&lt;0,0,WWWW[[#This Row],[Total required water points]]-WWWW[[#This Row],['#Water points coverage]])</f>
        <v>1</v>
      </c>
      <c r="DA323" s="893">
        <f>ROUND(IF(WWWW[[#This Row],[Total PoP ]]&lt;500,1,WWWW[[#This Row],[Total PoP ]]/500),0)</f>
        <v>1</v>
      </c>
      <c r="DB323" s="893">
        <f>(WWWW[[#This Row],['#_Constructed latrines_by_WASHAgencies]]+WWWW[[#This Row],['#_Non Cluster partner latrines]])-WWWW[[#This Row],['#_Non-functional latrines]]</f>
        <v>0</v>
      </c>
      <c r="DC323" s="631">
        <f>WWWW[[#This Row],[HRP2]]/WWWW[[#This Row],[Total PoP ]]</f>
        <v>0</v>
      </c>
      <c r="DD32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2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3" s="424">
        <f>IF(WWWW[[#This Row],['# of functional latrines in THF supported by WASH partners during the reporting period2]]="",0,WWWW[[#This Row],['# of functional latrines in THF supported by WASH partners during the reporting period2]]*50)</f>
        <v>0</v>
      </c>
      <c r="DH323" s="893">
        <f>ROUND(IF(WWWW[[#This Row],[Location Type 1]]="camp",WWWW[[#This Row],[Total PoP ]]/20,IF(WWWW[[#This Row],[Location Type 1]]="Temporary Location",WWWW[[#This Row],[Total PoP ]]/50,(WWWW[[#This Row],[Total PoP ]]/6))),0)</f>
        <v>7</v>
      </c>
      <c r="DI323" s="893">
        <f>IF(WWWW[[#This Row],[Total required Latrines]]-(WWWW[[#This Row],['#_Constructed latrines_by_WASHAgencies]]+WWWW[[#This Row],['#_Non Cluster partner latrines]])&lt;0,0,WWWW[[#This Row],[Total required Latrines]]-(WWWW[[#This Row],['#_Constructed latrines_by_WASHAgencies]]+WWWW[[#This Row],['#_Non Cluster partner latrines]]))</f>
        <v>7</v>
      </c>
      <c r="DJ323" s="895">
        <f>1-WWWW[[#This Row],[% people access to functioning Latrine]]</f>
        <v>1</v>
      </c>
      <c r="DK323" s="894">
        <f>IF(OR(WWWW[[#This Row],['#_Non-functional latrines]]="",WWWW[[#This Row],['#_Non-functional latrines]]=0),0,WWWW[[#This Row],['#_Non-functional latrines]]/(WWWW[[#This Row],['#_Constructed latrines_by_WASHAgencies]]+WWWW[[#This Row],['#_Non Cluster partner latrines]]))</f>
        <v>0</v>
      </c>
      <c r="DL323" s="890">
        <f>IF(500*(WWWW[[#This Row],['#_male hygiene promoters]]+WWWW[[#This Row],['#_female hygiene promoters]])&gt;WWWW[[#This Row],[Total PoP ]],WWWW[[#This Row],[Total PoP ]],500*(WWWW[[#This Row],['#_male hygiene promoters]]+WWWW[[#This Row],['#_female hygiene promoters]]))</f>
        <v>0</v>
      </c>
      <c r="DM32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3" s="893">
        <f>IF(WWWW[[#This Row],['# People with access to soap]]&gt;WWWW[[#This Row],['# People with access to Sanity Pads]],WWWW[[#This Row],['# People with access to soap]],WWWW[[#This Row],['# People with access to Sanity Pads]])</f>
        <v>0</v>
      </c>
      <c r="DP323"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3" s="895">
        <f>IF(WWWW[[#This Row],[HRP3]]/WWWW[[#This Row],[Total PoP ]]&gt;1,1,WWWW[[#This Row],[HRP3]]/WWWW[[#This Row],[Total PoP ]])</f>
        <v>0</v>
      </c>
      <c r="DR323" s="894">
        <f>1-WWWW[[#This Row],[Hygiene Coverage%]]</f>
        <v>1</v>
      </c>
      <c r="DS323" s="892">
        <f>WWWW[[#This Row],['# people reached by regular dedicated hygiene promotion_5]]/WWWW[[#This Row],[Total PoP ]]</f>
        <v>0</v>
      </c>
      <c r="DT32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3" s="893">
        <f>WWWW[[#This Row],['#_Constructed/Existing hand washing stations]]-WWWW[[#This Row],['#_Non-Functional_hand_washing_stations]]</f>
        <v>1</v>
      </c>
      <c r="DW323" s="890">
        <f>IF(WWWW[[#This Row],['# Functional hand washing stations during reporting period]]*20&gt;WWWW[[#This Row],[Total HH]],WWWW[[#This Row],[Total HH]],WWWW[[#This Row],['# Functional hand washing stations during reporting period]]*20)</f>
        <v>20</v>
      </c>
      <c r="DX323" s="890">
        <f>IF(WWWW[[#This Row],[Is sufficient soap available for TLS? (Yes/No)]]="yes",WWWW[[#This Row],['#_Constructed/Existing hand washing stations at TLS/CFS/THF]],0)</f>
        <v>0</v>
      </c>
      <c r="DY323" s="428">
        <f>IF(WWWW[[#This Row],['# Functional hand washing stations during reporting period]]*100&gt;WWWW[[#This Row],[Total PoP ]],WWWW[[#This Row],[Total PoP ]],WWWW[[#This Row],['# Functional hand washing stations during reporting period]]*100)</f>
        <v>100</v>
      </c>
      <c r="DZ323" s="428" t="str">
        <f>IF(OR(WWWW[[#This Row],['#_students at TLS_CFS]]="",WWWW[[#This Row],['#_students at TLS_CFS]]=0),"No","Yes")</f>
        <v>No</v>
      </c>
      <c r="EA32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3" s="886">
        <f>VLOOKUP(WWWW[[#This Row],[Site Name]],SiteDB6[[Site Name]:[CCCM Management]],6,FALSE)</f>
        <v>0</v>
      </c>
      <c r="EF323" s="886" t="str">
        <f>VLOOKUP(WWWW[[#This Row],[Site Name]],SiteDB6[[Site Name]:[CCCM Focal Agency]],7,FALSE)</f>
        <v>uncovered</v>
      </c>
      <c r="EG323" s="886" t="str">
        <f>VLOOKUP(WWWW[[#This Row],[Site Name]],SiteDB6[[Site Name]:[Location Type 1]],9,FALSE)</f>
        <v>Camp</v>
      </c>
      <c r="EH323" s="886" t="str">
        <f>VLOOKUP(WWWW[[#This Row],[Site Name]],SiteDB6[[Site Name]:[Type of Accommodation]],10,FALSE)</f>
        <v>Camp</v>
      </c>
      <c r="EI323" s="886" t="str">
        <f>VLOOKUP(WWWW[[#This Row],[Site Name]],SiteDB6[[Site Name]:[Ethnic or GCA/NGCA]],11,FALSE)</f>
        <v>GCA</v>
      </c>
      <c r="EJ323" s="886">
        <f>VLOOKUP(WWWW[[#This Row],[Site Name]],SiteDB6[[Site Name]:[Lat]],12,FALSE)</f>
        <v>25.387892000000001</v>
      </c>
      <c r="EK323" s="886">
        <f>VLOOKUP(WWWW[[#This Row],[Site Name]],SiteDB6[[Site Name]:[Long]],13,FALSE)</f>
        <v>97.325181999999998</v>
      </c>
      <c r="EL323" s="886" t="str">
        <f>VLOOKUP(WWWW[[#This Row],[Site Name]],SiteDB6[[Site Name]:[Pcode]],3,FALSE)</f>
        <v>MMR001CMP276</v>
      </c>
      <c r="EM323" s="891" t="str">
        <f t="shared" si="4"/>
        <v>Notcovered</v>
      </c>
      <c r="EN323" s="891"/>
      <c r="EO323" s="886">
        <f>VLOOKUP(WWWW[[#This Row],[Site Name]],SiteDB6[[Site Name]:[Pop
(Kachin/Shan-CCCM as of July 2021)]],16,FALSE)</f>
        <v>26</v>
      </c>
      <c r="EP323" s="886">
        <f>VLOOKUP(WWWW[[#This Row],[Site Name]],SiteDB6[[Site Name]:[Pop
(Kachin/Shan-CCCM as of July 2021)]],17,FALSE)</f>
        <v>138</v>
      </c>
    </row>
    <row r="324" spans="1:146" hidden="1">
      <c r="A324" s="884" t="s">
        <v>2764</v>
      </c>
      <c r="B324" s="884" t="s">
        <v>276</v>
      </c>
      <c r="C324" s="885" t="s">
        <v>276</v>
      </c>
      <c r="D324" s="885" t="s">
        <v>3037</v>
      </c>
      <c r="E324" s="885" t="s">
        <v>37</v>
      </c>
      <c r="F324" s="885" t="s">
        <v>205</v>
      </c>
      <c r="G324" s="591" t="str">
        <f>VLOOKUP(WWWW[[#This Row],[Site Name]],SiteDB6[[Site Name]:[Location Type]],8,FALSE)</f>
        <v>Camp</v>
      </c>
      <c r="H324" s="885" t="s">
        <v>286</v>
      </c>
      <c r="I324" s="887">
        <v>40</v>
      </c>
      <c r="J324" s="887">
        <v>255</v>
      </c>
      <c r="K324" s="888">
        <v>44652</v>
      </c>
      <c r="L324" s="889">
        <v>44895</v>
      </c>
      <c r="M324" s="887"/>
      <c r="N324" s="887"/>
      <c r="O324" s="887"/>
      <c r="P324" s="887"/>
      <c r="Q324" s="890" t="s">
        <v>41</v>
      </c>
      <c r="R324" s="887">
        <v>3</v>
      </c>
      <c r="S324" s="887">
        <v>10</v>
      </c>
      <c r="T324" s="448">
        <v>2</v>
      </c>
      <c r="U324" s="887"/>
      <c r="V324" s="887"/>
      <c r="W324" s="887">
        <v>1</v>
      </c>
      <c r="X324" s="887"/>
      <c r="Y324" s="887"/>
      <c r="Z324" s="887"/>
      <c r="AA324" s="887">
        <v>1</v>
      </c>
      <c r="AB324" s="887"/>
      <c r="AC324" s="887"/>
      <c r="AD324" s="887"/>
      <c r="AE324" s="887"/>
      <c r="AF324" s="887"/>
      <c r="AG324" s="887"/>
      <c r="AH324" s="887"/>
      <c r="AI324" s="887">
        <v>3</v>
      </c>
      <c r="AJ324" s="887">
        <v>3</v>
      </c>
      <c r="AK324" s="887">
        <v>6</v>
      </c>
      <c r="AL324" s="887">
        <v>6</v>
      </c>
      <c r="AM324" s="887"/>
      <c r="AN324" s="887"/>
      <c r="AO324" s="448"/>
      <c r="AP324" s="891"/>
      <c r="AQ324" s="887">
        <v>16</v>
      </c>
      <c r="AR324" s="887"/>
      <c r="AS324" s="892"/>
      <c r="AT324" s="887"/>
      <c r="AU324" s="887"/>
      <c r="AV324" s="887">
        <v>13</v>
      </c>
      <c r="AW324" s="887">
        <v>23</v>
      </c>
      <c r="AX324" s="887"/>
      <c r="AY324" s="886" t="s">
        <v>41</v>
      </c>
      <c r="AZ324" s="891" t="s">
        <v>137</v>
      </c>
      <c r="BA324" s="887"/>
      <c r="BB324" s="887"/>
      <c r="BC324" s="887"/>
      <c r="BD324" s="448"/>
      <c r="BE324" s="448"/>
      <c r="BF324" s="886"/>
      <c r="BG324" s="887">
        <v>3</v>
      </c>
      <c r="BH324" s="887"/>
      <c r="BI324" s="887"/>
      <c r="BJ324" s="887">
        <v>2</v>
      </c>
      <c r="BK324" s="887"/>
      <c r="BL324" s="887">
        <v>1</v>
      </c>
      <c r="BM324" s="887">
        <v>1</v>
      </c>
      <c r="BN324" s="887">
        <v>41</v>
      </c>
      <c r="BO324" s="887"/>
      <c r="BP324" s="886"/>
      <c r="BQ324" s="893"/>
      <c r="BR324" s="892"/>
      <c r="BS324" s="886"/>
      <c r="BT324" s="423">
        <v>0.78</v>
      </c>
      <c r="BU324" s="423">
        <v>1</v>
      </c>
      <c r="BV324" s="425">
        <v>9</v>
      </c>
      <c r="BW324" s="423">
        <v>0</v>
      </c>
      <c r="BX324" s="448"/>
      <c r="BY324" s="448">
        <v>16</v>
      </c>
      <c r="BZ324" s="448">
        <v>2</v>
      </c>
      <c r="CA324" s="448"/>
      <c r="CB324" s="448"/>
      <c r="CC324" s="777"/>
      <c r="CD324" s="448"/>
      <c r="CE324" s="894">
        <f>IFERROR(WWWW[[#This Row],['#_Water sources passed]]/WWWW[[#This Row],['#_Water sources tested for fecal coliform ]],"no test")</f>
        <v>1</v>
      </c>
      <c r="CF324" s="892">
        <f>IFERROR(WWWW[[#This Row],['#_Household passed]]/WWWW[[#This Row],['#_Household water samples tested for fecal coliform]],"no test")</f>
        <v>1</v>
      </c>
      <c r="CG324" s="893" t="str">
        <f>IF(AND(WWWW[[#This Row],[% of water sources passed]]="no test",WWWW[[#This Row],[% Household passed]]="no test"),"No Test","Tested")</f>
        <v>Tested</v>
      </c>
      <c r="CH324" s="893">
        <f>WWWW[[#This Row],['#_Constructed/existing protected hand dug well]]-WWWW[[#This Row],['#_Non-functional protected hand dug well]]</f>
        <v>2</v>
      </c>
      <c r="CI324" s="893">
        <f>(WWWW[[#This Row],['#_Constructed/Existing tube wells/boreholes/handpumps_WASH_agency]]+WWWW[[#This Row],['#_Non-Cluster partner water tube-wells/boreholes/handpumps]])-WWWW[[#This Row],['#_Non-functional tube wells/boreholes/handpumps]]</f>
        <v>1</v>
      </c>
      <c r="CJ324" s="893">
        <f>WWWW[[#This Row],['#_Constructed/Existingwater storage tank with gravity fed reticulation system]]-WWWW[[#This Row],['#_Non-functional storage tank gravity fed reticulation system]]</f>
        <v>1</v>
      </c>
      <c r="CK324" s="893">
        <f>(WWWW[[#This Row],['#_Water_Liters_supplied_by_Water boating or water trucking]]/90)/15</f>
        <v>0</v>
      </c>
      <c r="CL324" s="893">
        <f>WWWW[[#This Row],['#_Water_Liters_from_Constructed/Existing water distribution system from river or natural spring]]/90/15</f>
        <v>0</v>
      </c>
      <c r="CM324" s="424">
        <f>IF(WWWW[[#This Row],['#_of water points in TLS/CFS]]*500&gt;WWWW[[#This Row],[Total PoP ]],WWWW[[#This Row],[Total PoP ]],WWWW[[#This Row],['#_of water points in TLS/CFS]]*500)</f>
        <v>0</v>
      </c>
      <c r="CN324" s="424">
        <f>IF(WWWW[[#This Row],['#_of water points in THF]]*500&gt;WWWW[[#This Row],[Total PoP ]],WWWW[[#This Row],[Total PoP ]],WWWW[[#This Row],['#_of water points in THF]]*500)</f>
        <v>0</v>
      </c>
      <c r="CO32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2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24" s="892">
        <f>IF(WWWW[[#This Row],[Location Type 1]]="Village",WWWW[[#This Row],[Access to safe drinking water for Village]],WWWW[[#This Row],[Access to safe drinking water for Camp]])</f>
        <v>1</v>
      </c>
      <c r="CR324" s="890">
        <f>WWWW[[#This Row],[%Equitable and continuous access to sufficient quantity of safe drinking water]]*WWWW[[#This Row],[Total PoP ]]</f>
        <v>255</v>
      </c>
      <c r="CS324" s="892">
        <f>IF((WWWW[[#This Row],['#_Constructed/Existing protected/fenced ponds]]*250)/WWWW[[#This Row],[Total PoP ]]&gt;1,1,(WWWW[[#This Row],['#_Constructed/Existing protected/fenced ponds]]*250)/WWWW[[#This Row],[Total PoP ]])</f>
        <v>0</v>
      </c>
      <c r="CT324" s="890">
        <f>WWWW[[#This Row],[% Access to unimproved water points]]*WWWW[[#This Row],[Total PoP ]]</f>
        <v>0</v>
      </c>
      <c r="CU32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2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W324" s="890">
        <f>WWWW[[#This Row],[HRP1]]/500</f>
        <v>0.51</v>
      </c>
      <c r="CX324" s="895">
        <f>1-WWWW[[#This Row],[% Equitable and continuous access to sufficient quantity of domestic water]]</f>
        <v>0</v>
      </c>
      <c r="CY324" s="890">
        <f>WWWW[[#This Row],[%equitable and continuous access to sufficient quantity of safe drinking and domestic water''s GAP]]*WWWW[[#This Row],[Total PoP ]]</f>
        <v>0</v>
      </c>
      <c r="CZ324" s="893">
        <f>IF(WWWW[[#This Row],[Total required water points]]-WWWW[[#This Row],['#Water points coverage]]&lt;0,0,WWWW[[#This Row],[Total required water points]]-WWWW[[#This Row],['#Water points coverage]])</f>
        <v>0.49</v>
      </c>
      <c r="DA324" s="893">
        <f>ROUND(IF(WWWW[[#This Row],[Total PoP ]]&lt;500,1,WWWW[[#This Row],[Total PoP ]]/500),0)</f>
        <v>1</v>
      </c>
      <c r="DB324" s="893">
        <f>(WWWW[[#This Row],['#_Constructed latrines_by_WASHAgencies]]+WWWW[[#This Row],['#_Non Cluster partner latrines]])-WWWW[[#This Row],['#_Non-functional latrines]]</f>
        <v>16</v>
      </c>
      <c r="DC324" s="631">
        <f>WWWW[[#This Row],[HRP2]]/WWWW[[#This Row],[Total PoP ]]</f>
        <v>1</v>
      </c>
      <c r="DD32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255</v>
      </c>
      <c r="DE32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255</v>
      </c>
      <c r="DF32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4" s="424">
        <f>IF(WWWW[[#This Row],['# of functional latrines in THF supported by WASH partners during the reporting period2]]="",0,WWWW[[#This Row],['# of functional latrines in THF supported by WASH partners during the reporting period2]]*50)</f>
        <v>0</v>
      </c>
      <c r="DH324" s="893">
        <f>ROUND(IF(WWWW[[#This Row],[Location Type 1]]="camp",WWWW[[#This Row],[Total PoP ]]/20,IF(WWWW[[#This Row],[Location Type 1]]="Temporary Location",WWWW[[#This Row],[Total PoP ]]/50,(WWWW[[#This Row],[Total PoP ]]/6))),0)</f>
        <v>13</v>
      </c>
      <c r="DI324" s="893">
        <f>IF(WWWW[[#This Row],[Total required Latrines]]-(WWWW[[#This Row],['#_Constructed latrines_by_WASHAgencies]]+WWWW[[#This Row],['#_Non Cluster partner latrines]])&lt;0,0,WWWW[[#This Row],[Total required Latrines]]-(WWWW[[#This Row],['#_Constructed latrines_by_WASHAgencies]]+WWWW[[#This Row],['#_Non Cluster partner latrines]]))</f>
        <v>0</v>
      </c>
      <c r="DJ324" s="895">
        <f>1-WWWW[[#This Row],[% people access to functioning Latrine]]</f>
        <v>0</v>
      </c>
      <c r="DK324" s="894">
        <f>IF(OR(WWWW[[#This Row],['#_Non-functional latrines]]="",WWWW[[#This Row],['#_Non-functional latrines]]=0),0,WWWW[[#This Row],['#_Non-functional latrines]]/(WWWW[[#This Row],['#_Constructed latrines_by_WASHAgencies]]+WWWW[[#This Row],['#_Non Cluster partner latrines]]))</f>
        <v>0</v>
      </c>
      <c r="DL324" s="890">
        <f>IF(500*(WWWW[[#This Row],['#_male hygiene promoters]]+WWWW[[#This Row],['#_female hygiene promoters]])&gt;WWWW[[#This Row],[Total PoP ]],WWWW[[#This Row],[Total PoP ]],500*(WWWW[[#This Row],['#_male hygiene promoters]]+WWWW[[#This Row],['#_female hygiene promoters]]))</f>
        <v>255</v>
      </c>
      <c r="DM32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32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4" s="893">
        <f>IF(WWWW[[#This Row],['# People with access to soap]]&gt;WWWW[[#This Row],['# People with access to Sanity Pads]],WWWW[[#This Row],['# People with access to soap]],WWWW[[#This Row],['# People with access to Sanity Pads]])</f>
        <v>205</v>
      </c>
      <c r="DP324" s="893">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Q324" s="895">
        <f>IF(WWWW[[#This Row],[HRP3]]/WWWW[[#This Row],[Total PoP ]]&gt;1,1,WWWW[[#This Row],[HRP3]]/WWWW[[#This Row],[Total PoP ]])</f>
        <v>1</v>
      </c>
      <c r="DR324" s="894">
        <f>1-WWWW[[#This Row],[Hygiene Coverage%]]</f>
        <v>0</v>
      </c>
      <c r="DS324" s="892">
        <f>WWWW[[#This Row],['# people reached by regular dedicated hygiene promotion_5]]/WWWW[[#This Row],[Total PoP ]]</f>
        <v>1</v>
      </c>
      <c r="DT32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2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4" s="893">
        <f>WWWW[[#This Row],['#_Constructed/Existing hand washing stations]]-WWWW[[#This Row],['#_Non-Functional_hand_washing_stations]]</f>
        <v>3</v>
      </c>
      <c r="DW324" s="890">
        <f>IF(WWWW[[#This Row],['# Functional hand washing stations during reporting period]]*20&gt;WWWW[[#This Row],[Total HH]],WWWW[[#This Row],[Total HH]],WWWW[[#This Row],['# Functional hand washing stations during reporting period]]*20)</f>
        <v>40</v>
      </c>
      <c r="DX324" s="890">
        <f>IF(WWWW[[#This Row],[Is sufficient soap available for TLS? (Yes/No)]]="yes",WWWW[[#This Row],['#_Constructed/Existing hand washing stations at TLS/CFS/THF]],0)</f>
        <v>0</v>
      </c>
      <c r="DY324" s="428">
        <f>IF(WWWW[[#This Row],['# Functional hand washing stations during reporting period]]*100&gt;WWWW[[#This Row],[Total PoP ]],WWWW[[#This Row],[Total PoP ]],WWWW[[#This Row],['# Functional hand washing stations during reporting period]]*100)</f>
        <v>255</v>
      </c>
      <c r="DZ324" s="428" t="str">
        <f>IF(OR(WWWW[[#This Row],['#_students at TLS_CFS]]="",WWWW[[#This Row],['#_students at TLS_CFS]]=0),"No","Yes")</f>
        <v>No</v>
      </c>
      <c r="EA324" s="631">
        <f>IF(WWWW[[#This Row],['#_of_affected_people_surveyed_who_report_feeling_informed_about_the_different_WASH_services_available_to_them]]="","",WWWW[[#This Row],['#_of_affected_people_surveyed_who_report_feeling_informed_about_the_different_WASH_services_available_to_them]]/WWWW[[#This Row],[Total PoP ]])</f>
        <v>3.5294117647058823E-2</v>
      </c>
      <c r="EB32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18</v>
      </c>
      <c r="EC32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4" s="886" t="str">
        <f>VLOOKUP(WWWW[[#This Row],[Site Name]],SiteDB6[[Site Name]:[CCCM Management]],6,FALSE)</f>
        <v>Yes</v>
      </c>
      <c r="EF324" s="886" t="str">
        <f>VLOOKUP(WWWW[[#This Row],[Site Name]],SiteDB6[[Site Name]:[CCCM Focal Agency]],7,FALSE)</f>
        <v>KBC-BMO</v>
      </c>
      <c r="EG324" s="886" t="str">
        <f>VLOOKUP(WWWW[[#This Row],[Site Name]],SiteDB6[[Site Name]:[Location Type 1]],9,FALSE)</f>
        <v>Camp</v>
      </c>
      <c r="EH324" s="886" t="str">
        <f>VLOOKUP(WWWW[[#This Row],[Site Name]],SiteDB6[[Site Name]:[Type of Accommodation]],10,FALSE)</f>
        <v>Camp</v>
      </c>
      <c r="EI324" s="886" t="str">
        <f>VLOOKUP(WWWW[[#This Row],[Site Name]],SiteDB6[[Site Name]:[Ethnic or GCA/NGCA]],11,FALSE)</f>
        <v>GCA</v>
      </c>
      <c r="EJ324" s="886">
        <f>VLOOKUP(WWWW[[#This Row],[Site Name]],SiteDB6[[Site Name]:[Lat]],12,FALSE)</f>
        <v>24.207332999999998</v>
      </c>
      <c r="EK324" s="886">
        <f>VLOOKUP(WWWW[[#This Row],[Site Name]],SiteDB6[[Site Name]:[Long]],13,FALSE)</f>
        <v>97.710864000000001</v>
      </c>
      <c r="EL324" s="886" t="str">
        <f>VLOOKUP(WWWW[[#This Row],[Site Name]],SiteDB6[[Site Name]:[Pcode]],3,FALSE)</f>
        <v>MMR001CMP073</v>
      </c>
      <c r="EM324" s="891" t="str">
        <f t="shared" si="4"/>
        <v>Covered</v>
      </c>
      <c r="EN324" s="891"/>
      <c r="EO324" s="886">
        <f>VLOOKUP(WWWW[[#This Row],[Site Name]],SiteDB6[[Site Name]:[Pop
(Kachin/Shan-CCCM as of July 2021)]],16,FALSE)</f>
        <v>47</v>
      </c>
      <c r="EP324" s="886">
        <f>VLOOKUP(WWWW[[#This Row],[Site Name]],SiteDB6[[Site Name]:[Pop
(Kachin/Shan-CCCM as of July 2021)]],17,FALSE)</f>
        <v>279</v>
      </c>
    </row>
    <row r="325" spans="1:146" hidden="1">
      <c r="A325" s="884" t="s">
        <v>2764</v>
      </c>
      <c r="B325" s="884" t="s">
        <v>2081</v>
      </c>
      <c r="C325" s="885" t="s">
        <v>141</v>
      </c>
      <c r="D325" s="885" t="s">
        <v>299</v>
      </c>
      <c r="E325" s="885" t="s">
        <v>37</v>
      </c>
      <c r="F325" s="885" t="s">
        <v>142</v>
      </c>
      <c r="G325" s="591" t="str">
        <f>VLOOKUP(WWWW[[#This Row],[Site Name]],SiteDB6[[Site Name]:[Location Type]],8,FALSE)</f>
        <v>Camp</v>
      </c>
      <c r="H325" s="885" t="s">
        <v>143</v>
      </c>
      <c r="I325" s="887">
        <v>380</v>
      </c>
      <c r="J325" s="887">
        <v>1881</v>
      </c>
      <c r="K325" s="888">
        <v>44682</v>
      </c>
      <c r="L325" s="889">
        <v>44865</v>
      </c>
      <c r="M325" s="887"/>
      <c r="N325" s="887">
        <v>1</v>
      </c>
      <c r="O325" s="887"/>
      <c r="P325" s="887"/>
      <c r="Q325" s="890" t="s">
        <v>41</v>
      </c>
      <c r="R325" s="887">
        <v>9</v>
      </c>
      <c r="S325" s="887">
        <v>6</v>
      </c>
      <c r="T325" s="448"/>
      <c r="U325" s="887"/>
      <c r="V325" s="887">
        <v>15</v>
      </c>
      <c r="W325" s="887">
        <v>5</v>
      </c>
      <c r="X325" s="887"/>
      <c r="Y325" s="887"/>
      <c r="Z325" s="887"/>
      <c r="AA325" s="887"/>
      <c r="AB325" s="887"/>
      <c r="AC325" s="887"/>
      <c r="AD325" s="887"/>
      <c r="AE325" s="887"/>
      <c r="AF325" s="887"/>
      <c r="AG325" s="887"/>
      <c r="AH325" s="887"/>
      <c r="AI325" s="887"/>
      <c r="AJ325" s="887"/>
      <c r="AK325" s="887"/>
      <c r="AL325" s="887"/>
      <c r="AM325" s="887"/>
      <c r="AN325" s="887"/>
      <c r="AO325" s="448"/>
      <c r="AP325" s="891"/>
      <c r="AQ325" s="448">
        <v>413</v>
      </c>
      <c r="AR325" s="887"/>
      <c r="AS325" s="892"/>
      <c r="AT325" s="887"/>
      <c r="AU325" s="887"/>
      <c r="AV325" s="887"/>
      <c r="AW325" s="887"/>
      <c r="AX325" s="887">
        <v>413</v>
      </c>
      <c r="AY325" s="886" t="s">
        <v>41</v>
      </c>
      <c r="AZ325" s="891" t="s">
        <v>137</v>
      </c>
      <c r="BA325" s="887"/>
      <c r="BB325" s="887"/>
      <c r="BC325" s="887"/>
      <c r="BD325" s="448"/>
      <c r="BE325" s="448"/>
      <c r="BF325" s="886"/>
      <c r="BG325" s="887">
        <v>315</v>
      </c>
      <c r="BH325" s="887">
        <v>315</v>
      </c>
      <c r="BI325" s="887">
        <v>5</v>
      </c>
      <c r="BJ325" s="887">
        <v>1</v>
      </c>
      <c r="BK325" s="887"/>
      <c r="BL325" s="887">
        <v>1</v>
      </c>
      <c r="BM325" s="887">
        <v>3</v>
      </c>
      <c r="BN325" s="887"/>
      <c r="BO325" s="887"/>
      <c r="BP325" s="886"/>
      <c r="BQ325" s="893"/>
      <c r="BR325" s="892"/>
      <c r="BS325" s="886"/>
      <c r="BT325" s="423"/>
      <c r="BU325" s="423"/>
      <c r="BV325" s="425"/>
      <c r="BW325" s="423"/>
      <c r="BX325" s="448"/>
      <c r="BY325" s="448"/>
      <c r="BZ325" s="448"/>
      <c r="CA325" s="448"/>
      <c r="CB325" s="448"/>
      <c r="CC325" s="777"/>
      <c r="CD325" s="448"/>
      <c r="CE325" s="894" t="str">
        <f>IFERROR(WWWW[[#This Row],['#_Water sources passed]]/WWWW[[#This Row],['#_Water sources tested for fecal coliform ]],"no test")</f>
        <v>no test</v>
      </c>
      <c r="CF325" s="892" t="str">
        <f>IFERROR(WWWW[[#This Row],['#_Household passed]]/WWWW[[#This Row],['#_Household water samples tested for fecal coliform]],"no test")</f>
        <v>no test</v>
      </c>
      <c r="CG325" s="893" t="str">
        <f>IF(AND(WWWW[[#This Row],[% of water sources passed]]="no test",WWWW[[#This Row],[% Household passed]]="no test"),"No Test","Tested")</f>
        <v>No Test</v>
      </c>
      <c r="CH325" s="893">
        <f>WWWW[[#This Row],['#_Constructed/existing protected hand dug well]]-WWWW[[#This Row],['#_Non-functional protected hand dug well]]</f>
        <v>0</v>
      </c>
      <c r="CI325" s="893">
        <f>(WWWW[[#This Row],['#_Constructed/Existing tube wells/boreholes/handpumps_WASH_agency]]+WWWW[[#This Row],['#_Non-Cluster partner water tube-wells/boreholes/handpumps]])-WWWW[[#This Row],['#_Non-functional tube wells/boreholes/handpumps]]</f>
        <v>5</v>
      </c>
      <c r="CJ325" s="893">
        <f>WWWW[[#This Row],['#_Constructed/Existingwater storage tank with gravity fed reticulation system]]-WWWW[[#This Row],['#_Non-functional storage tank gravity fed reticulation system]]</f>
        <v>0</v>
      </c>
      <c r="CK325" s="893">
        <f>(WWWW[[#This Row],['#_Water_Liters_supplied_by_Water boating or water trucking]]/90)/15</f>
        <v>0</v>
      </c>
      <c r="CL325" s="893">
        <f>WWWW[[#This Row],['#_Water_Liters_from_Constructed/Existing water distribution system from river or natural spring]]/90/15</f>
        <v>0</v>
      </c>
      <c r="CM325" s="424">
        <f>IF(WWWW[[#This Row],['#_of water points in TLS/CFS]]*500&gt;WWWW[[#This Row],[Total PoP ]],WWWW[[#This Row],[Total PoP ]],WWWW[[#This Row],['#_of water points in TLS/CFS]]*500)</f>
        <v>0</v>
      </c>
      <c r="CN325" s="424">
        <f>IF(WWWW[[#This Row],['#_of water points in THF]]*500&gt;WWWW[[#This Row],[Total PoP ]],WWWW[[#This Row],[Total PoP ]],WWWW[[#This Row],['#_of water points in THF]]*500)</f>
        <v>0</v>
      </c>
      <c r="CO32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2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0.66454013822434876</v>
      </c>
      <c r="CQ325" s="892">
        <f>IF(WWWW[[#This Row],[Location Type 1]]="Village",WWWW[[#This Row],[Access to safe drinking water for Village]],WWWW[[#This Row],[Access to safe drinking water for Camp]])</f>
        <v>1</v>
      </c>
      <c r="CR325" s="890">
        <f>WWWW[[#This Row],[%Equitable and continuous access to sufficient quantity of safe drinking water]]*WWWW[[#This Row],[Total PoP ]]</f>
        <v>1881</v>
      </c>
      <c r="CS325" s="892">
        <f>IF((WWWW[[#This Row],['#_Constructed/Existing protected/fenced ponds]]*250)/WWWW[[#This Row],[Total PoP ]]&gt;1,1,(WWWW[[#This Row],['#_Constructed/Existing protected/fenced ponds]]*250)/WWWW[[#This Row],[Total PoP ]])</f>
        <v>0</v>
      </c>
      <c r="CT325" s="890">
        <f>WWWW[[#This Row],[% Access to unimproved water points]]*WWWW[[#This Row],[Total PoP ]]</f>
        <v>0</v>
      </c>
      <c r="CU32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2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1881</v>
      </c>
      <c r="CW325" s="890">
        <f>WWWW[[#This Row],[HRP1]]/500</f>
        <v>3.762</v>
      </c>
      <c r="CX325" s="895">
        <f>1-WWWW[[#This Row],[% Equitable and continuous access to sufficient quantity of domestic water]]</f>
        <v>0</v>
      </c>
      <c r="CY325" s="890">
        <f>WWWW[[#This Row],[%equitable and continuous access to sufficient quantity of safe drinking and domestic water''s GAP]]*WWWW[[#This Row],[Total PoP ]]</f>
        <v>0</v>
      </c>
      <c r="CZ325" s="893">
        <f>IF(WWWW[[#This Row],[Total required water points]]-WWWW[[#This Row],['#Water points coverage]]&lt;0,0,WWWW[[#This Row],[Total required water points]]-WWWW[[#This Row],['#Water points coverage]])</f>
        <v>0.23799999999999999</v>
      </c>
      <c r="DA325" s="893">
        <f>ROUND(IF(WWWW[[#This Row],[Total PoP ]]&lt;500,1,WWWW[[#This Row],[Total PoP ]]/500),0)</f>
        <v>4</v>
      </c>
      <c r="DB325" s="893">
        <f>(WWWW[[#This Row],['#_Constructed latrines_by_WASHAgencies]]+WWWW[[#This Row],['#_Non Cluster partner latrines]])-WWWW[[#This Row],['#_Non-functional latrines]]</f>
        <v>413</v>
      </c>
      <c r="DC325" s="631">
        <f>WWWW[[#This Row],[HRP2]]/WWWW[[#This Row],[Total PoP ]]</f>
        <v>1</v>
      </c>
      <c r="DD32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1881</v>
      </c>
      <c r="DE32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5" s="424">
        <f>IF(WWWW[[#This Row],['# of functional latrines in THF supported by WASH partners during the reporting period2]]="",0,WWWW[[#This Row],['# of functional latrines in THF supported by WASH partners during the reporting period2]]*50)</f>
        <v>0</v>
      </c>
      <c r="DH325" s="893">
        <f>ROUND(IF(WWWW[[#This Row],[Location Type 1]]="camp",WWWW[[#This Row],[Total PoP ]]/20,IF(WWWW[[#This Row],[Location Type 1]]="Temporary Location",WWWW[[#This Row],[Total PoP ]]/50,(WWWW[[#This Row],[Total PoP ]]/6))),0)</f>
        <v>94</v>
      </c>
      <c r="DI325" s="893">
        <f>IF(WWWW[[#This Row],[Total required Latrines]]-(WWWW[[#This Row],['#_Constructed latrines_by_WASHAgencies]]+WWWW[[#This Row],['#_Non Cluster partner latrines]])&lt;0,0,WWWW[[#This Row],[Total required Latrines]]-(WWWW[[#This Row],['#_Constructed latrines_by_WASHAgencies]]+WWWW[[#This Row],['#_Non Cluster partner latrines]]))</f>
        <v>0</v>
      </c>
      <c r="DJ325" s="895">
        <f>1-WWWW[[#This Row],[% people access to functioning Latrine]]</f>
        <v>0</v>
      </c>
      <c r="DK325" s="894">
        <f>IF(OR(WWWW[[#This Row],['#_Non-functional latrines]]="",WWWW[[#This Row],['#_Non-functional latrines]]=0),0,WWWW[[#This Row],['#_Non-functional latrines]]/(WWWW[[#This Row],['#_Constructed latrines_by_WASHAgencies]]+WWWW[[#This Row],['#_Non Cluster partner latrines]]))</f>
        <v>0</v>
      </c>
      <c r="DL325" s="890">
        <f>IF(500*(WWWW[[#This Row],['#_male hygiene promoters]]+WWWW[[#This Row],['#_female hygiene promoters]])&gt;WWWW[[#This Row],[Total PoP ]],WWWW[[#This Row],[Total PoP ]],500*(WWWW[[#This Row],['#_male hygiene promoters]]+WWWW[[#This Row],['#_female hygiene promoters]]))</f>
        <v>1881</v>
      </c>
      <c r="DM32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5" s="893">
        <f>IF(WWWW[[#This Row],['# People with access to soap]]&gt;WWWW[[#This Row],['# People with access to Sanity Pads]],WWWW[[#This Row],['# People with access to soap]],WWWW[[#This Row],['# People with access to Sanity Pads]])</f>
        <v>0</v>
      </c>
      <c r="DP325" s="893">
        <f>IF(WWWW[[#This Row],['# people reached by regular dedicated hygiene promotion_5]]&gt;WWWW[[#This Row],['# People received regular supply of hygiene items_6]],WWWW[[#This Row],['# people reached by regular dedicated hygiene promotion_5]],WWWW[[#This Row],['# People received regular supply of hygiene items_6]])</f>
        <v>1881</v>
      </c>
      <c r="DQ325" s="895">
        <f>IF(WWWW[[#This Row],[HRP3]]/WWWW[[#This Row],[Total PoP ]]&gt;1,1,WWWW[[#This Row],[HRP3]]/WWWW[[#This Row],[Total PoP ]])</f>
        <v>1</v>
      </c>
      <c r="DR325" s="894">
        <f>1-WWWW[[#This Row],[Hygiene Coverage%]]</f>
        <v>0</v>
      </c>
      <c r="DS325" s="892">
        <f>WWWW[[#This Row],['# people reached by regular dedicated hygiene promotion_5]]/WWWW[[#This Row],[Total PoP ]]</f>
        <v>1</v>
      </c>
      <c r="DT32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5" s="893">
        <f>WWWW[[#This Row],['#_Constructed/Existing hand washing stations]]-WWWW[[#This Row],['#_Non-Functional_hand_washing_stations]]</f>
        <v>0</v>
      </c>
      <c r="DW325" s="890">
        <f>IF(WWWW[[#This Row],['# Functional hand washing stations during reporting period]]*20&gt;WWWW[[#This Row],[Total HH]],WWWW[[#This Row],[Total HH]],WWWW[[#This Row],['# Functional hand washing stations during reporting period]]*20)</f>
        <v>0</v>
      </c>
      <c r="DX325" s="890">
        <f>IF(WWWW[[#This Row],[Is sufficient soap available for TLS? (Yes/No)]]="yes",WWWW[[#This Row],['#_Constructed/Existing hand washing stations at TLS/CFS/THF]],0)</f>
        <v>0</v>
      </c>
      <c r="DY325" s="428">
        <f>IF(WWWW[[#This Row],['# Functional hand washing stations during reporting period]]*100&gt;WWWW[[#This Row],[Total PoP ]],WWWW[[#This Row],[Total PoP ]],WWWW[[#This Row],['# Functional hand washing stations during reporting period]]*100)</f>
        <v>0</v>
      </c>
      <c r="DZ325" s="428" t="str">
        <f>IF(OR(WWWW[[#This Row],['#_students at TLS_CFS]]="",WWWW[[#This Row],['#_students at TLS_CFS]]=0),"No","Yes")</f>
        <v>No</v>
      </c>
      <c r="EA32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5" s="886" t="str">
        <f>VLOOKUP(WWWW[[#This Row],[Site Name]],SiteDB6[[Site Name]:[CCCM Management]],6,FALSE)</f>
        <v>Yes</v>
      </c>
      <c r="EF325" s="886" t="str">
        <f>VLOOKUP(WWWW[[#This Row],[Site Name]],SiteDB6[[Site Name]:[CCCM Focal Agency]],7,FALSE)</f>
        <v>KBC-MYT</v>
      </c>
      <c r="EG325" s="886" t="str">
        <f>VLOOKUP(WWWW[[#This Row],[Site Name]],SiteDB6[[Site Name]:[Location Type 1]],9,FALSE)</f>
        <v>Camp</v>
      </c>
      <c r="EH325" s="886" t="str">
        <f>VLOOKUP(WWWW[[#This Row],[Site Name]],SiteDB6[[Site Name]:[Type of Accommodation]],10,FALSE)</f>
        <v>Camp</v>
      </c>
      <c r="EI325" s="886" t="str">
        <f>VLOOKUP(WWWW[[#This Row],[Site Name]],SiteDB6[[Site Name]:[Ethnic or GCA/NGCA]],11,FALSE)</f>
        <v>NGCA</v>
      </c>
      <c r="EJ325" s="886">
        <f>VLOOKUP(WWWW[[#This Row],[Site Name]],SiteDB6[[Site Name]:[Lat]],12,FALSE)</f>
        <v>25.418084</v>
      </c>
      <c r="EK325" s="886">
        <f>VLOOKUP(WWWW[[#This Row],[Site Name]],SiteDB6[[Site Name]:[Long]],13,FALSE)</f>
        <v>98.025662999999994</v>
      </c>
      <c r="EL325" s="886" t="str">
        <f>VLOOKUP(WWWW[[#This Row],[Site Name]],SiteDB6[[Site Name]:[Pcode]],3,FALSE)</f>
        <v>MMR001CMP249</v>
      </c>
      <c r="EM325" s="891" t="str">
        <f t="shared" si="4"/>
        <v>Covered</v>
      </c>
      <c r="EN325" s="891"/>
      <c r="EO325" s="886">
        <f>VLOOKUP(WWWW[[#This Row],[Site Name]],SiteDB6[[Site Name]:[Pop
(Kachin/Shan-CCCM as of July 2021)]],16,FALSE)</f>
        <v>380</v>
      </c>
      <c r="EP325" s="886">
        <f>VLOOKUP(WWWW[[#This Row],[Site Name]],SiteDB6[[Site Name]:[Pop
(Kachin/Shan-CCCM as of July 2021)]],17,FALSE)</f>
        <v>1877</v>
      </c>
    </row>
    <row r="326" spans="1:146" hidden="1">
      <c r="A326" s="884" t="s">
        <v>2764</v>
      </c>
      <c r="B326" s="884" t="s">
        <v>3073</v>
      </c>
      <c r="C326" s="885" t="s">
        <v>141</v>
      </c>
      <c r="D326" s="885" t="s">
        <v>3075</v>
      </c>
      <c r="E326" s="885" t="s">
        <v>37</v>
      </c>
      <c r="F326" s="885" t="s">
        <v>148</v>
      </c>
      <c r="G326" s="591" t="str">
        <f>VLOOKUP(WWWW[[#This Row],[Site Name]],SiteDB6[[Site Name]:[Location Type]],8,FALSE)</f>
        <v>Camp</v>
      </c>
      <c r="H326" s="885" t="s">
        <v>188</v>
      </c>
      <c r="I326" s="887">
        <v>28</v>
      </c>
      <c r="J326" s="887">
        <v>103</v>
      </c>
      <c r="K326" s="888">
        <v>44105</v>
      </c>
      <c r="L326" s="889">
        <v>44681</v>
      </c>
      <c r="M326" s="887"/>
      <c r="N326" s="887">
        <v>1</v>
      </c>
      <c r="O326" s="887"/>
      <c r="P326" s="887"/>
      <c r="Q326" s="890" t="s">
        <v>41</v>
      </c>
      <c r="R326" s="887">
        <v>2</v>
      </c>
      <c r="S326" s="887">
        <v>2</v>
      </c>
      <c r="T326" s="448">
        <v>1</v>
      </c>
      <c r="U326" s="887"/>
      <c r="V326" s="887"/>
      <c r="W326" s="887">
        <v>2</v>
      </c>
      <c r="X326" s="887"/>
      <c r="Y326" s="887"/>
      <c r="Z326" s="887"/>
      <c r="AA326" s="887"/>
      <c r="AB326" s="887"/>
      <c r="AC326" s="887"/>
      <c r="AD326" s="887"/>
      <c r="AE326" s="887"/>
      <c r="AF326" s="887"/>
      <c r="AG326" s="887"/>
      <c r="AH326" s="887"/>
      <c r="AI326" s="887"/>
      <c r="AJ326" s="887"/>
      <c r="AK326" s="887"/>
      <c r="AL326" s="887"/>
      <c r="AM326" s="887"/>
      <c r="AN326" s="887"/>
      <c r="AO326" s="448"/>
      <c r="AP326" s="891"/>
      <c r="AQ326" s="887">
        <v>5</v>
      </c>
      <c r="AR326" s="887"/>
      <c r="AS326" s="892"/>
      <c r="AT326" s="887"/>
      <c r="AU326" s="887"/>
      <c r="AV326" s="887"/>
      <c r="AW326" s="887"/>
      <c r="AX326" s="887">
        <v>5</v>
      </c>
      <c r="AY326" s="886" t="s">
        <v>41</v>
      </c>
      <c r="AZ326" s="891" t="s">
        <v>904</v>
      </c>
      <c r="BA326" s="887"/>
      <c r="BB326" s="887"/>
      <c r="BC326" s="887"/>
      <c r="BD326" s="448"/>
      <c r="BE326" s="448"/>
      <c r="BF326" s="886"/>
      <c r="BG326" s="887">
        <v>2</v>
      </c>
      <c r="BH326" s="887"/>
      <c r="BI326" s="887"/>
      <c r="BJ326" s="887">
        <v>2</v>
      </c>
      <c r="BK326" s="887"/>
      <c r="BL326" s="887"/>
      <c r="BM326" s="887"/>
      <c r="BN326" s="887"/>
      <c r="BO326" s="887"/>
      <c r="BP326" s="886"/>
      <c r="BQ326" s="893"/>
      <c r="BR326" s="892"/>
      <c r="BS326" s="886"/>
      <c r="BT326" s="423"/>
      <c r="BU326" s="423"/>
      <c r="BV326" s="425"/>
      <c r="BW326" s="423"/>
      <c r="BX326" s="448"/>
      <c r="BY326" s="448"/>
      <c r="BZ326" s="448"/>
      <c r="CA326" s="448"/>
      <c r="CB326" s="448"/>
      <c r="CC326" s="777"/>
      <c r="CD326" s="448"/>
      <c r="CE326" s="894" t="str">
        <f>IFERROR(WWWW[[#This Row],['#_Water sources passed]]/WWWW[[#This Row],['#_Water sources tested for fecal coliform ]],"no test")</f>
        <v>no test</v>
      </c>
      <c r="CF326" s="892" t="str">
        <f>IFERROR(WWWW[[#This Row],['#_Household passed]]/WWWW[[#This Row],['#_Household water samples tested for fecal coliform]],"no test")</f>
        <v>no test</v>
      </c>
      <c r="CG326" s="893" t="str">
        <f>IF(AND(WWWW[[#This Row],[% of water sources passed]]="no test",WWWW[[#This Row],[% Household passed]]="no test"),"No Test","Tested")</f>
        <v>No Test</v>
      </c>
      <c r="CH326" s="893">
        <f>WWWW[[#This Row],['#_Constructed/existing protected hand dug well]]-WWWW[[#This Row],['#_Non-functional protected hand dug well]]</f>
        <v>1</v>
      </c>
      <c r="CI326" s="893">
        <f>(WWWW[[#This Row],['#_Constructed/Existing tube wells/boreholes/handpumps_WASH_agency]]+WWWW[[#This Row],['#_Non-Cluster partner water tube-wells/boreholes/handpumps]])-WWWW[[#This Row],['#_Non-functional tube wells/boreholes/handpumps]]</f>
        <v>2</v>
      </c>
      <c r="CJ326" s="893">
        <f>WWWW[[#This Row],['#_Constructed/Existingwater storage tank with gravity fed reticulation system]]-WWWW[[#This Row],['#_Non-functional storage tank gravity fed reticulation system]]</f>
        <v>0</v>
      </c>
      <c r="CK326" s="893">
        <f>(WWWW[[#This Row],['#_Water_Liters_supplied_by_Water boating or water trucking]]/90)/15</f>
        <v>0</v>
      </c>
      <c r="CL326" s="893">
        <f>WWWW[[#This Row],['#_Water_Liters_from_Constructed/Existing water distribution system from river or natural spring]]/90/15</f>
        <v>0</v>
      </c>
      <c r="CM326" s="424">
        <f>IF(WWWW[[#This Row],['#_of water points in TLS/CFS]]*500&gt;WWWW[[#This Row],[Total PoP ]],WWWW[[#This Row],[Total PoP ]],WWWW[[#This Row],['#_of water points in TLS/CFS]]*500)</f>
        <v>0</v>
      </c>
      <c r="CN326" s="424">
        <f>IF(WWWW[[#This Row],['#_of water points in THF]]*500&gt;WWWW[[#This Row],[Total PoP ]],WWWW[[#This Row],[Total PoP ]],WWWW[[#This Row],['#_of water points in THF]]*500)</f>
        <v>0</v>
      </c>
      <c r="CO32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2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26" s="892">
        <f>IF(WWWW[[#This Row],[Location Type 1]]="Village",WWWW[[#This Row],[Access to safe drinking water for Village]],WWWW[[#This Row],[Access to safe drinking water for Camp]])</f>
        <v>1</v>
      </c>
      <c r="CR326" s="890">
        <f>WWWW[[#This Row],[%Equitable and continuous access to sufficient quantity of safe drinking water]]*WWWW[[#This Row],[Total PoP ]]</f>
        <v>103</v>
      </c>
      <c r="CS326" s="892">
        <f>IF((WWWW[[#This Row],['#_Constructed/Existing protected/fenced ponds]]*250)/WWWW[[#This Row],[Total PoP ]]&gt;1,1,(WWWW[[#This Row],['#_Constructed/Existing protected/fenced ponds]]*250)/WWWW[[#This Row],[Total PoP ]])</f>
        <v>0</v>
      </c>
      <c r="CT326" s="890">
        <f>WWWW[[#This Row],[% Access to unimproved water points]]*WWWW[[#This Row],[Total PoP ]]</f>
        <v>0</v>
      </c>
      <c r="CU32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2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326" s="890">
        <f>WWWW[[#This Row],[HRP1]]/500</f>
        <v>0.20599999999999999</v>
      </c>
      <c r="CX326" s="895">
        <f>1-WWWW[[#This Row],[% Equitable and continuous access to sufficient quantity of domestic water]]</f>
        <v>0</v>
      </c>
      <c r="CY326" s="890">
        <f>WWWW[[#This Row],[%equitable and continuous access to sufficient quantity of safe drinking and domestic water''s GAP]]*WWWW[[#This Row],[Total PoP ]]</f>
        <v>0</v>
      </c>
      <c r="CZ326" s="893">
        <f>IF(WWWW[[#This Row],[Total required water points]]-WWWW[[#This Row],['#Water points coverage]]&lt;0,0,WWWW[[#This Row],[Total required water points]]-WWWW[[#This Row],['#Water points coverage]])</f>
        <v>0.79400000000000004</v>
      </c>
      <c r="DA326" s="893">
        <f>ROUND(IF(WWWW[[#This Row],[Total PoP ]]&lt;500,1,WWWW[[#This Row],[Total PoP ]]/500),0)</f>
        <v>1</v>
      </c>
      <c r="DB326" s="893">
        <f>(WWWW[[#This Row],['#_Constructed latrines_by_WASHAgencies]]+WWWW[[#This Row],['#_Non Cluster partner latrines]])-WWWW[[#This Row],['#_Non-functional latrines]]</f>
        <v>5</v>
      </c>
      <c r="DC326" s="631">
        <f>WWWW[[#This Row],[HRP2]]/WWWW[[#This Row],[Total PoP ]]</f>
        <v>0.970873786407767</v>
      </c>
      <c r="DD32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32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6" s="424">
        <f>IF(WWWW[[#This Row],['# of functional latrines in THF supported by WASH partners during the reporting period2]]="",0,WWWW[[#This Row],['# of functional latrines in THF supported by WASH partners during the reporting period2]]*50)</f>
        <v>0</v>
      </c>
      <c r="DH326" s="893">
        <f>ROUND(IF(WWWW[[#This Row],[Location Type 1]]="camp",WWWW[[#This Row],[Total PoP ]]/20,IF(WWWW[[#This Row],[Location Type 1]]="Temporary Location",WWWW[[#This Row],[Total PoP ]]/50,(WWWW[[#This Row],[Total PoP ]]/6))),0)</f>
        <v>5</v>
      </c>
      <c r="DI326" s="893">
        <f>IF(WWWW[[#This Row],[Total required Latrines]]-(WWWW[[#This Row],['#_Constructed latrines_by_WASHAgencies]]+WWWW[[#This Row],['#_Non Cluster partner latrines]])&lt;0,0,WWWW[[#This Row],[Total required Latrines]]-(WWWW[[#This Row],['#_Constructed latrines_by_WASHAgencies]]+WWWW[[#This Row],['#_Non Cluster partner latrines]]))</f>
        <v>0</v>
      </c>
      <c r="DJ326" s="895">
        <f>1-WWWW[[#This Row],[% people access to functioning Latrine]]</f>
        <v>2.9126213592232997E-2</v>
      </c>
      <c r="DK326" s="894">
        <f>IF(OR(WWWW[[#This Row],['#_Non-functional latrines]]="",WWWW[[#This Row],['#_Non-functional latrines]]=0),0,WWWW[[#This Row],['#_Non-functional latrines]]/(WWWW[[#This Row],['#_Constructed latrines_by_WASHAgencies]]+WWWW[[#This Row],['#_Non Cluster partner latrines]]))</f>
        <v>0</v>
      </c>
      <c r="DL326" s="890">
        <f>IF(500*(WWWW[[#This Row],['#_male hygiene promoters]]+WWWW[[#This Row],['#_female hygiene promoters]])&gt;WWWW[[#This Row],[Total PoP ]],WWWW[[#This Row],[Total PoP ]],500*(WWWW[[#This Row],['#_male hygiene promoters]]+WWWW[[#This Row],['#_female hygiene promoters]]))</f>
        <v>0</v>
      </c>
      <c r="DM32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6" s="893">
        <f>IF(WWWW[[#This Row],['# People with access to soap]]&gt;WWWW[[#This Row],['# People with access to Sanity Pads]],WWWW[[#This Row],['# People with access to soap]],WWWW[[#This Row],['# People with access to Sanity Pads]])</f>
        <v>0</v>
      </c>
      <c r="DP326"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6" s="895">
        <f>IF(WWWW[[#This Row],[HRP3]]/WWWW[[#This Row],[Total PoP ]]&gt;1,1,WWWW[[#This Row],[HRP3]]/WWWW[[#This Row],[Total PoP ]])</f>
        <v>0</v>
      </c>
      <c r="DR326" s="894">
        <f>1-WWWW[[#This Row],[Hygiene Coverage%]]</f>
        <v>1</v>
      </c>
      <c r="DS326" s="892">
        <f>WWWW[[#This Row],['# people reached by regular dedicated hygiene promotion_5]]/WWWW[[#This Row],[Total PoP ]]</f>
        <v>0</v>
      </c>
      <c r="DT32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6" s="893">
        <f>WWWW[[#This Row],['#_Constructed/Existing hand washing stations]]-WWWW[[#This Row],['#_Non-Functional_hand_washing_stations]]</f>
        <v>2</v>
      </c>
      <c r="DW326" s="890">
        <f>IF(WWWW[[#This Row],['# Functional hand washing stations during reporting period]]*20&gt;WWWW[[#This Row],[Total HH]],WWWW[[#This Row],[Total HH]],WWWW[[#This Row],['# Functional hand washing stations during reporting period]]*20)</f>
        <v>28</v>
      </c>
      <c r="DX326" s="890">
        <f>IF(WWWW[[#This Row],[Is sufficient soap available for TLS? (Yes/No)]]="yes",WWWW[[#This Row],['#_Constructed/Existing hand washing stations at TLS/CFS/THF]],0)</f>
        <v>0</v>
      </c>
      <c r="DY326" s="428">
        <f>IF(WWWW[[#This Row],['# Functional hand washing stations during reporting period]]*100&gt;WWWW[[#This Row],[Total PoP ]],WWWW[[#This Row],[Total PoP ]],WWWW[[#This Row],['# Functional hand washing stations during reporting period]]*100)</f>
        <v>103</v>
      </c>
      <c r="DZ326" s="428" t="str">
        <f>IF(OR(WWWW[[#This Row],['#_students at TLS_CFS]]="",WWWW[[#This Row],['#_students at TLS_CFS]]=0),"No","Yes")</f>
        <v>No</v>
      </c>
      <c r="EA32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6" s="886" t="str">
        <f>VLOOKUP(WWWW[[#This Row],[Site Name]],SiteDB6[[Site Name]:[CCCM Management]],6,FALSE)</f>
        <v>Yes</v>
      </c>
      <c r="EF326" s="886" t="str">
        <f>VLOOKUP(WWWW[[#This Row],[Site Name]],SiteDB6[[Site Name]:[CCCM Focal Agency]],7,FALSE)</f>
        <v>KBC-MYT</v>
      </c>
      <c r="EG326" s="886" t="str">
        <f>VLOOKUP(WWWW[[#This Row],[Site Name]],SiteDB6[[Site Name]:[Location Type 1]],9,FALSE)</f>
        <v>Camp</v>
      </c>
      <c r="EH326" s="886" t="str">
        <f>VLOOKUP(WWWW[[#This Row],[Site Name]],SiteDB6[[Site Name]:[Type of Accommodation]],10,FALSE)</f>
        <v>Camp</v>
      </c>
      <c r="EI326" s="886" t="str">
        <f>VLOOKUP(WWWW[[#This Row],[Site Name]],SiteDB6[[Site Name]:[Ethnic or GCA/NGCA]],11,FALSE)</f>
        <v>GCA</v>
      </c>
      <c r="EJ326" s="886">
        <f>VLOOKUP(WWWW[[#This Row],[Site Name]],SiteDB6[[Site Name]:[Lat]],12,FALSE)</f>
        <v>25.920006000000001</v>
      </c>
      <c r="EK326" s="886">
        <f>VLOOKUP(WWWW[[#This Row],[Site Name]],SiteDB6[[Site Name]:[Long]],13,FALSE)</f>
        <v>96.662092000000001</v>
      </c>
      <c r="EL326" s="886" t="str">
        <f>VLOOKUP(WWWW[[#This Row],[Site Name]],SiteDB6[[Site Name]:[Pcode]],3,FALSE)</f>
        <v>MMR001CMP244</v>
      </c>
      <c r="EM326" s="891" t="str">
        <f t="shared" si="4"/>
        <v>Covered</v>
      </c>
      <c r="EN326" s="891"/>
      <c r="EO326" s="886">
        <f>VLOOKUP(WWWW[[#This Row],[Site Name]],SiteDB6[[Site Name]:[Pop
(Kachin/Shan-CCCM as of July 2021)]],16,FALSE)</f>
        <v>24</v>
      </c>
      <c r="EP326" s="886">
        <f>VLOOKUP(WWWW[[#This Row],[Site Name]],SiteDB6[[Site Name]:[Pop
(Kachin/Shan-CCCM as of July 2021)]],17,FALSE)</f>
        <v>110</v>
      </c>
    </row>
    <row r="327" spans="1:146" hidden="1">
      <c r="A327" s="884" t="s">
        <v>2764</v>
      </c>
      <c r="B327" s="884" t="s">
        <v>3073</v>
      </c>
      <c r="C327" s="885" t="s">
        <v>141</v>
      </c>
      <c r="D327" s="885" t="s">
        <v>3081</v>
      </c>
      <c r="E327" s="885" t="s">
        <v>37</v>
      </c>
      <c r="F327" s="885" t="s">
        <v>159</v>
      </c>
      <c r="G327" s="591" t="str">
        <f>VLOOKUP(WWWW[[#This Row],[Site Name]],SiteDB6[[Site Name]:[Location Type]],8,FALSE)</f>
        <v>Camp</v>
      </c>
      <c r="H327" s="885" t="s">
        <v>168</v>
      </c>
      <c r="I327" s="887">
        <v>110</v>
      </c>
      <c r="J327" s="887">
        <v>563</v>
      </c>
      <c r="K327" s="888">
        <v>44682</v>
      </c>
      <c r="L327" s="889">
        <v>44865</v>
      </c>
      <c r="M327" s="887"/>
      <c r="N327" s="887">
        <v>1</v>
      </c>
      <c r="O327" s="887"/>
      <c r="P327" s="887"/>
      <c r="Q327" s="890" t="s">
        <v>41</v>
      </c>
      <c r="R327" s="887">
        <v>2</v>
      </c>
      <c r="S327" s="887">
        <v>2</v>
      </c>
      <c r="T327" s="448">
        <v>2</v>
      </c>
      <c r="U327" s="887">
        <v>1</v>
      </c>
      <c r="V327" s="887"/>
      <c r="W327" s="887">
        <v>3</v>
      </c>
      <c r="X327" s="887"/>
      <c r="Y327" s="887"/>
      <c r="Z327" s="887"/>
      <c r="AA327" s="887"/>
      <c r="AB327" s="887"/>
      <c r="AC327" s="887"/>
      <c r="AD327" s="887"/>
      <c r="AE327" s="887"/>
      <c r="AF327" s="887"/>
      <c r="AG327" s="887"/>
      <c r="AH327" s="887">
        <v>2</v>
      </c>
      <c r="AI327" s="887"/>
      <c r="AJ327" s="887"/>
      <c r="AK327" s="887"/>
      <c r="AL327" s="887"/>
      <c r="AM327" s="887"/>
      <c r="AN327" s="887"/>
      <c r="AO327" s="448"/>
      <c r="AP327" s="891"/>
      <c r="AQ327" s="887">
        <v>13</v>
      </c>
      <c r="AR327" s="887"/>
      <c r="AS327" s="892"/>
      <c r="AT327" s="887"/>
      <c r="AU327" s="887"/>
      <c r="AV327" s="887"/>
      <c r="AW327" s="887"/>
      <c r="AX327" s="887">
        <v>13</v>
      </c>
      <c r="AY327" s="886" t="s">
        <v>41</v>
      </c>
      <c r="AZ327" s="891" t="s">
        <v>137</v>
      </c>
      <c r="BA327" s="887"/>
      <c r="BB327" s="887"/>
      <c r="BC327" s="887"/>
      <c r="BD327" s="448"/>
      <c r="BE327" s="448"/>
      <c r="BF327" s="886"/>
      <c r="BG327" s="887">
        <v>7</v>
      </c>
      <c r="BH327" s="887"/>
      <c r="BI327" s="887"/>
      <c r="BJ327" s="887">
        <v>4</v>
      </c>
      <c r="BK327" s="887"/>
      <c r="BL327" s="887">
        <v>1</v>
      </c>
      <c r="BM327" s="887"/>
      <c r="BN327" s="887"/>
      <c r="BO327" s="887"/>
      <c r="BP327" s="886"/>
      <c r="BQ327" s="893"/>
      <c r="BR327" s="892"/>
      <c r="BS327" s="886"/>
      <c r="BT327" s="423"/>
      <c r="BU327" s="423"/>
      <c r="BV327" s="425"/>
      <c r="BW327" s="423"/>
      <c r="BX327" s="448"/>
      <c r="BY327" s="448"/>
      <c r="BZ327" s="448"/>
      <c r="CA327" s="448"/>
      <c r="CB327" s="448"/>
      <c r="CC327" s="777"/>
      <c r="CD327" s="448"/>
      <c r="CE327" s="894" t="str">
        <f>IFERROR(WWWW[[#This Row],['#_Water sources passed]]/WWWW[[#This Row],['#_Water sources tested for fecal coliform ]],"no test")</f>
        <v>no test</v>
      </c>
      <c r="CF327" s="892" t="str">
        <f>IFERROR(WWWW[[#This Row],['#_Household passed]]/WWWW[[#This Row],['#_Household water samples tested for fecal coliform]],"no test")</f>
        <v>no test</v>
      </c>
      <c r="CG327" s="893" t="str">
        <f>IF(AND(WWWW[[#This Row],[% of water sources passed]]="no test",WWWW[[#This Row],[% Household passed]]="no test"),"No Test","Tested")</f>
        <v>No Test</v>
      </c>
      <c r="CH327" s="893">
        <f>WWWW[[#This Row],['#_Constructed/existing protected hand dug well]]-WWWW[[#This Row],['#_Non-functional protected hand dug well]]</f>
        <v>1</v>
      </c>
      <c r="CI327" s="893">
        <f>(WWWW[[#This Row],['#_Constructed/Existing tube wells/boreholes/handpumps_WASH_agency]]+WWWW[[#This Row],['#_Non-Cluster partner water tube-wells/boreholes/handpumps]])-WWWW[[#This Row],['#_Non-functional tube wells/boreholes/handpumps]]</f>
        <v>3</v>
      </c>
      <c r="CJ327" s="893">
        <f>WWWW[[#This Row],['#_Constructed/Existingwater storage tank with gravity fed reticulation system]]-WWWW[[#This Row],['#_Non-functional storage tank gravity fed reticulation system]]</f>
        <v>0</v>
      </c>
      <c r="CK327" s="893">
        <f>(WWWW[[#This Row],['#_Water_Liters_supplied_by_Water boating or water trucking]]/90)/15</f>
        <v>0</v>
      </c>
      <c r="CL327" s="893">
        <f>WWWW[[#This Row],['#_Water_Liters_from_Constructed/Existing water distribution system from river or natural spring]]/90/15</f>
        <v>0</v>
      </c>
      <c r="CM327" s="424">
        <f>IF(WWWW[[#This Row],['#_of water points in TLS/CFS]]*500&gt;WWWW[[#This Row],[Total PoP ]],WWWW[[#This Row],[Total PoP ]],WWWW[[#This Row],['#_of water points in TLS/CFS]]*500)</f>
        <v>0</v>
      </c>
      <c r="CN327" s="424">
        <f>IF(WWWW[[#This Row],['#_of water points in THF]]*500&gt;WWWW[[#This Row],[Total PoP ]],WWWW[[#This Row],[Total PoP ]],WWWW[[#This Row],['#_of water points in THF]]*500)</f>
        <v>0</v>
      </c>
      <c r="CO32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2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27" s="892">
        <f>IF(WWWW[[#This Row],[Location Type 1]]="Village",WWWW[[#This Row],[Access to safe drinking water for Village]],WWWW[[#This Row],[Access to safe drinking water for Camp]])</f>
        <v>1</v>
      </c>
      <c r="CR327" s="890">
        <f>WWWW[[#This Row],[%Equitable and continuous access to sufficient quantity of safe drinking water]]*WWWW[[#This Row],[Total PoP ]]</f>
        <v>563</v>
      </c>
      <c r="CS327" s="892">
        <f>IF((WWWW[[#This Row],['#_Constructed/Existing protected/fenced ponds]]*250)/WWWW[[#This Row],[Total PoP ]]&gt;1,1,(WWWW[[#This Row],['#_Constructed/Existing protected/fenced ponds]]*250)/WWWW[[#This Row],[Total PoP ]])</f>
        <v>0</v>
      </c>
      <c r="CT327" s="890">
        <f>WWWW[[#This Row],[% Access to unimproved water points]]*WWWW[[#This Row],[Total PoP ]]</f>
        <v>0</v>
      </c>
      <c r="CU32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2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563</v>
      </c>
      <c r="CW327" s="890">
        <f>WWWW[[#This Row],[HRP1]]/500</f>
        <v>1.1259999999999999</v>
      </c>
      <c r="CX327" s="895">
        <f>1-WWWW[[#This Row],[% Equitable and continuous access to sufficient quantity of domestic water]]</f>
        <v>0</v>
      </c>
      <c r="CY327" s="890">
        <f>WWWW[[#This Row],[%equitable and continuous access to sufficient quantity of safe drinking and domestic water''s GAP]]*WWWW[[#This Row],[Total PoP ]]</f>
        <v>0</v>
      </c>
      <c r="CZ327" s="893">
        <f>IF(WWWW[[#This Row],[Total required water points]]-WWWW[[#This Row],['#Water points coverage]]&lt;0,0,WWWW[[#This Row],[Total required water points]]-WWWW[[#This Row],['#Water points coverage]])</f>
        <v>0</v>
      </c>
      <c r="DA327" s="893">
        <f>ROUND(IF(WWWW[[#This Row],[Total PoP ]]&lt;500,1,WWWW[[#This Row],[Total PoP ]]/500),0)</f>
        <v>1</v>
      </c>
      <c r="DB327" s="893">
        <f>(WWWW[[#This Row],['#_Constructed latrines_by_WASHAgencies]]+WWWW[[#This Row],['#_Non Cluster partner latrines]])-WWWW[[#This Row],['#_Non-functional latrines]]</f>
        <v>13</v>
      </c>
      <c r="DC327" s="631">
        <f>WWWW[[#This Row],[HRP2]]/WWWW[[#This Row],[Total PoP ]]</f>
        <v>0.46181172291296624</v>
      </c>
      <c r="DD32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DE32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7" s="424">
        <f>IF(WWWW[[#This Row],['# of functional latrines in THF supported by WASH partners during the reporting period2]]="",0,WWWW[[#This Row],['# of functional latrines in THF supported by WASH partners during the reporting period2]]*50)</f>
        <v>0</v>
      </c>
      <c r="DH327" s="893">
        <f>ROUND(IF(WWWW[[#This Row],[Location Type 1]]="camp",WWWW[[#This Row],[Total PoP ]]/20,IF(WWWW[[#This Row],[Location Type 1]]="Temporary Location",WWWW[[#This Row],[Total PoP ]]/50,(WWWW[[#This Row],[Total PoP ]]/6))),0)</f>
        <v>28</v>
      </c>
      <c r="DI327" s="893">
        <f>IF(WWWW[[#This Row],[Total required Latrines]]-(WWWW[[#This Row],['#_Constructed latrines_by_WASHAgencies]]+WWWW[[#This Row],['#_Non Cluster partner latrines]])&lt;0,0,WWWW[[#This Row],[Total required Latrines]]-(WWWW[[#This Row],['#_Constructed latrines_by_WASHAgencies]]+WWWW[[#This Row],['#_Non Cluster partner latrines]]))</f>
        <v>15</v>
      </c>
      <c r="DJ327" s="895">
        <f>1-WWWW[[#This Row],[% people access to functioning Latrine]]</f>
        <v>0.53818827708703376</v>
      </c>
      <c r="DK327" s="894">
        <f>IF(OR(WWWW[[#This Row],['#_Non-functional latrines]]="",WWWW[[#This Row],['#_Non-functional latrines]]=0),0,WWWW[[#This Row],['#_Non-functional latrines]]/(WWWW[[#This Row],['#_Constructed latrines_by_WASHAgencies]]+WWWW[[#This Row],['#_Non Cluster partner latrines]]))</f>
        <v>0</v>
      </c>
      <c r="DL327" s="890">
        <f>IF(500*(WWWW[[#This Row],['#_male hygiene promoters]]+WWWW[[#This Row],['#_female hygiene promoters]])&gt;WWWW[[#This Row],[Total PoP ]],WWWW[[#This Row],[Total PoP ]],500*(WWWW[[#This Row],['#_male hygiene promoters]]+WWWW[[#This Row],['#_female hygiene promoters]]))</f>
        <v>500</v>
      </c>
      <c r="DM32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7" s="893">
        <f>IF(WWWW[[#This Row],['# People with access to soap]]&gt;WWWW[[#This Row],['# People with access to Sanity Pads]],WWWW[[#This Row],['# People with access to soap]],WWWW[[#This Row],['# People with access to Sanity Pads]])</f>
        <v>0</v>
      </c>
      <c r="DP327" s="89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327" s="895">
        <f>IF(WWWW[[#This Row],[HRP3]]/WWWW[[#This Row],[Total PoP ]]&gt;1,1,WWWW[[#This Row],[HRP3]]/WWWW[[#This Row],[Total PoP ]])</f>
        <v>0.88809946714031973</v>
      </c>
      <c r="DR327" s="894">
        <f>1-WWWW[[#This Row],[Hygiene Coverage%]]</f>
        <v>0.11190053285968027</v>
      </c>
      <c r="DS327" s="892">
        <f>WWWW[[#This Row],['# people reached by regular dedicated hygiene promotion_5]]/WWWW[[#This Row],[Total PoP ]]</f>
        <v>0.88809946714031973</v>
      </c>
      <c r="DT32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7" s="893">
        <f>WWWW[[#This Row],['#_Constructed/Existing hand washing stations]]-WWWW[[#This Row],['#_Non-Functional_hand_washing_stations]]</f>
        <v>7</v>
      </c>
      <c r="DW327" s="890">
        <f>IF(WWWW[[#This Row],['# Functional hand washing stations during reporting period]]*20&gt;WWWW[[#This Row],[Total HH]],WWWW[[#This Row],[Total HH]],WWWW[[#This Row],['# Functional hand washing stations during reporting period]]*20)</f>
        <v>110</v>
      </c>
      <c r="DX327" s="890">
        <f>IF(WWWW[[#This Row],[Is sufficient soap available for TLS? (Yes/No)]]="yes",WWWW[[#This Row],['#_Constructed/Existing hand washing stations at TLS/CFS/THF]],0)</f>
        <v>0</v>
      </c>
      <c r="DY327" s="428">
        <f>IF(WWWW[[#This Row],['# Functional hand washing stations during reporting period]]*100&gt;WWWW[[#This Row],[Total PoP ]],WWWW[[#This Row],[Total PoP ]],WWWW[[#This Row],['# Functional hand washing stations during reporting period]]*100)</f>
        <v>563</v>
      </c>
      <c r="DZ327" s="428" t="str">
        <f>IF(OR(WWWW[[#This Row],['#_students at TLS_CFS]]="",WWWW[[#This Row],['#_students at TLS_CFS]]=0),"No","Yes")</f>
        <v>No</v>
      </c>
      <c r="EA32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7" s="886" t="str">
        <f>VLOOKUP(WWWW[[#This Row],[Site Name]],SiteDB6[[Site Name]:[CCCM Management]],6,FALSE)</f>
        <v>Yes</v>
      </c>
      <c r="EF327" s="886" t="str">
        <f>VLOOKUP(WWWW[[#This Row],[Site Name]],SiteDB6[[Site Name]:[CCCM Focal Agency]],7,FALSE)</f>
        <v>KBC-MYT</v>
      </c>
      <c r="EG327" s="886" t="str">
        <f>VLOOKUP(WWWW[[#This Row],[Site Name]],SiteDB6[[Site Name]:[Location Type 1]],9,FALSE)</f>
        <v>Camp</v>
      </c>
      <c r="EH327" s="886" t="str">
        <f>VLOOKUP(WWWW[[#This Row],[Site Name]],SiteDB6[[Site Name]:[Type of Accommodation]],10,FALSE)</f>
        <v>Camp</v>
      </c>
      <c r="EI327" s="886" t="str">
        <f>VLOOKUP(WWWW[[#This Row],[Site Name]],SiteDB6[[Site Name]:[Ethnic or GCA/NGCA]],11,FALSE)</f>
        <v>GCA</v>
      </c>
      <c r="EJ327" s="886">
        <f>VLOOKUP(WWWW[[#This Row],[Site Name]],SiteDB6[[Site Name]:[Lat]],12,FALSE)</f>
        <v>25.412313000000001</v>
      </c>
      <c r="EK327" s="886">
        <f>VLOOKUP(WWWW[[#This Row],[Site Name]],SiteDB6[[Site Name]:[Long]],13,FALSE)</f>
        <v>97.399628000000007</v>
      </c>
      <c r="EL327" s="886" t="str">
        <f>VLOOKUP(WWWW[[#This Row],[Site Name]],SiteDB6[[Site Name]:[Pcode]],3,FALSE)</f>
        <v>MMR001CMP006</v>
      </c>
      <c r="EM327" s="891" t="str">
        <f t="shared" ref="EM327:EM390" si="5">IF(C327="none","Notcovered","Covered")</f>
        <v>Covered</v>
      </c>
      <c r="EN327" s="891"/>
      <c r="EO327" s="886">
        <f>VLOOKUP(WWWW[[#This Row],[Site Name]],SiteDB6[[Site Name]:[Pop
(Kachin/Shan-CCCM as of July 2021)]],16,FALSE)</f>
        <v>110</v>
      </c>
      <c r="EP327" s="886">
        <f>VLOOKUP(WWWW[[#This Row],[Site Name]],SiteDB6[[Site Name]:[Pop
(Kachin/Shan-CCCM as of July 2021)]],17,FALSE)</f>
        <v>562</v>
      </c>
    </row>
    <row r="328" spans="1:146" hidden="1">
      <c r="A328" s="884" t="s">
        <v>2764</v>
      </c>
      <c r="B328" s="884" t="s">
        <v>242</v>
      </c>
      <c r="C328" s="885" t="s">
        <v>242</v>
      </c>
      <c r="D328" s="885" t="s">
        <v>299</v>
      </c>
      <c r="E328" s="885" t="s">
        <v>37</v>
      </c>
      <c r="F328" s="885" t="s">
        <v>159</v>
      </c>
      <c r="G328" s="591" t="str">
        <f>VLOOKUP(WWWW[[#This Row],[Site Name]],SiteDB6[[Site Name]:[Location Type]],8,FALSE)</f>
        <v>Camp</v>
      </c>
      <c r="H328" s="885" t="s">
        <v>265</v>
      </c>
      <c r="I328" s="887">
        <v>26</v>
      </c>
      <c r="J328" s="887">
        <v>120</v>
      </c>
      <c r="K328" s="888">
        <v>44197</v>
      </c>
      <c r="L328" s="889">
        <v>44651</v>
      </c>
      <c r="M328" s="887"/>
      <c r="N328" s="887">
        <v>1</v>
      </c>
      <c r="O328" s="887"/>
      <c r="P328" s="887"/>
      <c r="Q328" s="890" t="s">
        <v>41</v>
      </c>
      <c r="R328" s="887">
        <v>1</v>
      </c>
      <c r="S328" s="887">
        <v>4</v>
      </c>
      <c r="T328" s="448">
        <v>1</v>
      </c>
      <c r="U328" s="887"/>
      <c r="V328" s="887"/>
      <c r="W328" s="887"/>
      <c r="X328" s="887"/>
      <c r="Y328" s="887"/>
      <c r="Z328" s="887"/>
      <c r="AA328" s="887"/>
      <c r="AB328" s="887"/>
      <c r="AC328" s="887"/>
      <c r="AD328" s="887"/>
      <c r="AE328" s="887"/>
      <c r="AF328" s="887"/>
      <c r="AG328" s="887"/>
      <c r="AH328" s="887"/>
      <c r="AI328" s="887"/>
      <c r="AJ328" s="887"/>
      <c r="AK328" s="887"/>
      <c r="AL328" s="887"/>
      <c r="AM328" s="887">
        <v>4</v>
      </c>
      <c r="AN328" s="887">
        <v>1</v>
      </c>
      <c r="AO328" s="448"/>
      <c r="AP328" s="891"/>
      <c r="AQ328" s="887">
        <v>2</v>
      </c>
      <c r="AR328" s="887">
        <v>5</v>
      </c>
      <c r="AS328" s="892"/>
      <c r="AT328" s="887"/>
      <c r="AU328" s="887"/>
      <c r="AV328" s="887"/>
      <c r="AW328" s="887"/>
      <c r="AX328" s="887"/>
      <c r="AY328" s="886" t="s">
        <v>41</v>
      </c>
      <c r="AZ328" s="891" t="s">
        <v>137</v>
      </c>
      <c r="BA328" s="887"/>
      <c r="BB328" s="887"/>
      <c r="BC328" s="887"/>
      <c r="BD328" s="448"/>
      <c r="BE328" s="448"/>
      <c r="BF328" s="886"/>
      <c r="BG328" s="887">
        <v>6</v>
      </c>
      <c r="BH328" s="887"/>
      <c r="BI328" s="887"/>
      <c r="BJ328" s="887">
        <v>5</v>
      </c>
      <c r="BK328" s="887"/>
      <c r="BL328" s="887"/>
      <c r="BM328" s="887"/>
      <c r="BN328" s="887"/>
      <c r="BO328" s="887"/>
      <c r="BP328" s="886"/>
      <c r="BQ328" s="893"/>
      <c r="BR328" s="892"/>
      <c r="BS328" s="886"/>
      <c r="BT328" s="423">
        <v>1</v>
      </c>
      <c r="BU328" s="423"/>
      <c r="BV328" s="425"/>
      <c r="BW328" s="423"/>
      <c r="BX328" s="448"/>
      <c r="BY328" s="448"/>
      <c r="BZ328" s="448"/>
      <c r="CA328" s="448"/>
      <c r="CB328" s="448"/>
      <c r="CC328" s="777"/>
      <c r="CD328" s="448"/>
      <c r="CE328" s="894" t="str">
        <f>IFERROR(WWWW[[#This Row],['#_Water sources passed]]/WWWW[[#This Row],['#_Water sources tested for fecal coliform ]],"no test")</f>
        <v>no test</v>
      </c>
      <c r="CF328" s="892" t="str">
        <f>IFERROR(WWWW[[#This Row],['#_Household passed]]/WWWW[[#This Row],['#_Household water samples tested for fecal coliform]],"no test")</f>
        <v>no test</v>
      </c>
      <c r="CG328" s="893" t="str">
        <f>IF(AND(WWWW[[#This Row],[% of water sources passed]]="no test",WWWW[[#This Row],[% Household passed]]="no test"),"No Test","Tested")</f>
        <v>No Test</v>
      </c>
      <c r="CH328" s="893">
        <f>WWWW[[#This Row],['#_Constructed/existing protected hand dug well]]-WWWW[[#This Row],['#_Non-functional protected hand dug well]]</f>
        <v>1</v>
      </c>
      <c r="CI328" s="893">
        <f>(WWWW[[#This Row],['#_Constructed/Existing tube wells/boreholes/handpumps_WASH_agency]]+WWWW[[#This Row],['#_Non-Cluster partner water tube-wells/boreholes/handpumps]])-WWWW[[#This Row],['#_Non-functional tube wells/boreholes/handpumps]]</f>
        <v>0</v>
      </c>
      <c r="CJ328" s="893">
        <f>WWWW[[#This Row],['#_Constructed/Existingwater storage tank with gravity fed reticulation system]]-WWWW[[#This Row],['#_Non-functional storage tank gravity fed reticulation system]]</f>
        <v>0</v>
      </c>
      <c r="CK328" s="893">
        <f>(WWWW[[#This Row],['#_Water_Liters_supplied_by_Water boating or water trucking]]/90)/15</f>
        <v>0</v>
      </c>
      <c r="CL328" s="893">
        <f>WWWW[[#This Row],['#_Water_Liters_from_Constructed/Existing water distribution system from river or natural spring]]/90/15</f>
        <v>0</v>
      </c>
      <c r="CM328" s="424">
        <f>IF(WWWW[[#This Row],['#_of water points in TLS/CFS]]*500&gt;WWWW[[#This Row],[Total PoP ]],WWWW[[#This Row],[Total PoP ]],WWWW[[#This Row],['#_of water points in TLS/CFS]]*500)</f>
        <v>120</v>
      </c>
      <c r="CN328" s="424">
        <f>IF(WWWW[[#This Row],['#_of water points in THF]]*500&gt;WWWW[[#This Row],[Total PoP ]],WWWW[[#This Row],[Total PoP ]],WWWW[[#This Row],['#_of water points in THF]]*500)</f>
        <v>0</v>
      </c>
      <c r="CO32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2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28" s="892">
        <f>IF(WWWW[[#This Row],[Location Type 1]]="Village",WWWW[[#This Row],[Access to safe drinking water for Village]],WWWW[[#This Row],[Access to safe drinking water for Camp]])</f>
        <v>1</v>
      </c>
      <c r="CR328" s="890">
        <f>WWWW[[#This Row],[%Equitable and continuous access to sufficient quantity of safe drinking water]]*WWWW[[#This Row],[Total PoP ]]</f>
        <v>120</v>
      </c>
      <c r="CS328" s="892">
        <f>IF((WWWW[[#This Row],['#_Constructed/Existing protected/fenced ponds]]*250)/WWWW[[#This Row],[Total PoP ]]&gt;1,1,(WWWW[[#This Row],['#_Constructed/Existing protected/fenced ponds]]*250)/WWWW[[#This Row],[Total PoP ]])</f>
        <v>0</v>
      </c>
      <c r="CT328" s="890">
        <f>WWWW[[#This Row],[% Access to unimproved water points]]*WWWW[[#This Row],[Total PoP ]]</f>
        <v>0</v>
      </c>
      <c r="CU32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2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CW328" s="890">
        <f>WWWW[[#This Row],[HRP1]]/500</f>
        <v>0.24</v>
      </c>
      <c r="CX328" s="895">
        <f>1-WWWW[[#This Row],[% Equitable and continuous access to sufficient quantity of domestic water]]</f>
        <v>0</v>
      </c>
      <c r="CY328" s="890">
        <f>WWWW[[#This Row],[%equitable and continuous access to sufficient quantity of safe drinking and domestic water''s GAP]]*WWWW[[#This Row],[Total PoP ]]</f>
        <v>0</v>
      </c>
      <c r="CZ328" s="893">
        <f>IF(WWWW[[#This Row],[Total required water points]]-WWWW[[#This Row],['#Water points coverage]]&lt;0,0,WWWW[[#This Row],[Total required water points]]-WWWW[[#This Row],['#Water points coverage]])</f>
        <v>0.76</v>
      </c>
      <c r="DA328" s="893">
        <f>ROUND(IF(WWWW[[#This Row],[Total PoP ]]&lt;500,1,WWWW[[#This Row],[Total PoP ]]/500),0)</f>
        <v>1</v>
      </c>
      <c r="DB328" s="893">
        <f>(WWWW[[#This Row],['#_Constructed latrines_by_WASHAgencies]]+WWWW[[#This Row],['#_Non Cluster partner latrines]])-WWWW[[#This Row],['#_Non-functional latrines]]</f>
        <v>7</v>
      </c>
      <c r="DC328" s="631">
        <f>WWWW[[#This Row],[HRP2]]/WWWW[[#This Row],[Total PoP ]]</f>
        <v>1</v>
      </c>
      <c r="DD32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32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8" s="424">
        <f>IF(WWWW[[#This Row],['# of functional latrines in THF supported by WASH partners during the reporting period2]]="",0,WWWW[[#This Row],['# of functional latrines in THF supported by WASH partners during the reporting period2]]*50)</f>
        <v>0</v>
      </c>
      <c r="DH328" s="893">
        <f>ROUND(IF(WWWW[[#This Row],[Location Type 1]]="camp",WWWW[[#This Row],[Total PoP ]]/20,IF(WWWW[[#This Row],[Location Type 1]]="Temporary Location",WWWW[[#This Row],[Total PoP ]]/50,(WWWW[[#This Row],[Total PoP ]]/6))),0)</f>
        <v>6</v>
      </c>
      <c r="DI328" s="893">
        <f>IF(WWWW[[#This Row],[Total required Latrines]]-(WWWW[[#This Row],['#_Constructed latrines_by_WASHAgencies]]+WWWW[[#This Row],['#_Non Cluster partner latrines]])&lt;0,0,WWWW[[#This Row],[Total required Latrines]]-(WWWW[[#This Row],['#_Constructed latrines_by_WASHAgencies]]+WWWW[[#This Row],['#_Non Cluster partner latrines]]))</f>
        <v>0</v>
      </c>
      <c r="DJ328" s="895">
        <f>1-WWWW[[#This Row],[% people access to functioning Latrine]]</f>
        <v>0</v>
      </c>
      <c r="DK328" s="894">
        <f>IF(OR(WWWW[[#This Row],['#_Non-functional latrines]]="",WWWW[[#This Row],['#_Non-functional latrines]]=0),0,WWWW[[#This Row],['#_Non-functional latrines]]/(WWWW[[#This Row],['#_Constructed latrines_by_WASHAgencies]]+WWWW[[#This Row],['#_Non Cluster partner latrines]]))</f>
        <v>0</v>
      </c>
      <c r="DL328" s="890">
        <f>IF(500*(WWWW[[#This Row],['#_male hygiene promoters]]+WWWW[[#This Row],['#_female hygiene promoters]])&gt;WWWW[[#This Row],[Total PoP ]],WWWW[[#This Row],[Total PoP ]],500*(WWWW[[#This Row],['#_male hygiene promoters]]+WWWW[[#This Row],['#_female hygiene promoters]]))</f>
        <v>0</v>
      </c>
      <c r="DM32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8" s="893">
        <f>IF(WWWW[[#This Row],['# People with access to soap]]&gt;WWWW[[#This Row],['# People with access to Sanity Pads]],WWWW[[#This Row],['# People with access to soap]],WWWW[[#This Row],['# People with access to Sanity Pads]])</f>
        <v>0</v>
      </c>
      <c r="DP328"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8" s="895">
        <f>IF(WWWW[[#This Row],[HRP3]]/WWWW[[#This Row],[Total PoP ]]&gt;1,1,WWWW[[#This Row],[HRP3]]/WWWW[[#This Row],[Total PoP ]])</f>
        <v>0</v>
      </c>
      <c r="DR328" s="894">
        <f>1-WWWW[[#This Row],[Hygiene Coverage%]]</f>
        <v>1</v>
      </c>
      <c r="DS328" s="892">
        <f>WWWW[[#This Row],['# people reached by regular dedicated hygiene promotion_5]]/WWWW[[#This Row],[Total PoP ]]</f>
        <v>0</v>
      </c>
      <c r="DT32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8" s="893">
        <f>WWWW[[#This Row],['#_Constructed/Existing hand washing stations]]-WWWW[[#This Row],['#_Non-Functional_hand_washing_stations]]</f>
        <v>6</v>
      </c>
      <c r="DW328" s="890">
        <f>IF(WWWW[[#This Row],['# Functional hand washing stations during reporting period]]*20&gt;WWWW[[#This Row],[Total HH]],WWWW[[#This Row],[Total HH]],WWWW[[#This Row],['# Functional hand washing stations during reporting period]]*20)</f>
        <v>26</v>
      </c>
      <c r="DX328" s="890">
        <f>IF(WWWW[[#This Row],[Is sufficient soap available for TLS? (Yes/No)]]="yes",WWWW[[#This Row],['#_Constructed/Existing hand washing stations at TLS/CFS/THF]],0)</f>
        <v>0</v>
      </c>
      <c r="DY328" s="428">
        <f>IF(WWWW[[#This Row],['# Functional hand washing stations during reporting period]]*100&gt;WWWW[[#This Row],[Total PoP ]],WWWW[[#This Row],[Total PoP ]],WWWW[[#This Row],['# Functional hand washing stations during reporting period]]*100)</f>
        <v>120</v>
      </c>
      <c r="DZ328" s="428" t="str">
        <f>IF(OR(WWWW[[#This Row],['#_students at TLS_CFS]]="",WWWW[[#This Row],['#_students at TLS_CFS]]=0),"No","Yes")</f>
        <v>No</v>
      </c>
      <c r="EA32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120</v>
      </c>
      <c r="ED32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8" s="886" t="str">
        <f>VLOOKUP(WWWW[[#This Row],[Site Name]],SiteDB6[[Site Name]:[CCCM Management]],6,FALSE)</f>
        <v>Yes</v>
      </c>
      <c r="EF328" s="886" t="str">
        <f>VLOOKUP(WWWW[[#This Row],[Site Name]],SiteDB6[[Site Name]:[CCCM Focal Agency]],7,FALSE)</f>
        <v>Shalom</v>
      </c>
      <c r="EG328" s="886" t="str">
        <f>VLOOKUP(WWWW[[#This Row],[Site Name]],SiteDB6[[Site Name]:[Location Type 1]],9,FALSE)</f>
        <v>Camp</v>
      </c>
      <c r="EH328" s="886" t="str">
        <f>VLOOKUP(WWWW[[#This Row],[Site Name]],SiteDB6[[Site Name]:[Type of Accommodation]],10,FALSE)</f>
        <v>Camp</v>
      </c>
      <c r="EI328" s="886" t="str">
        <f>VLOOKUP(WWWW[[#This Row],[Site Name]],SiteDB6[[Site Name]:[Ethnic or GCA/NGCA]],11,FALSE)</f>
        <v>GCA</v>
      </c>
      <c r="EJ328" s="886">
        <f>VLOOKUP(WWWW[[#This Row],[Site Name]],SiteDB6[[Site Name]:[Lat]],12,FALSE)</f>
        <v>25.423817</v>
      </c>
      <c r="EK328" s="886">
        <f>VLOOKUP(WWWW[[#This Row],[Site Name]],SiteDB6[[Site Name]:[Long]],13,FALSE)</f>
        <v>97.418004999999994</v>
      </c>
      <c r="EL328" s="886" t="str">
        <f>VLOOKUP(WWWW[[#This Row],[Site Name]],SiteDB6[[Site Name]:[Pcode]],3,FALSE)</f>
        <v>MMR001CMP007</v>
      </c>
      <c r="EM328" s="891" t="str">
        <f t="shared" si="5"/>
        <v>Covered</v>
      </c>
      <c r="EN328" s="891"/>
      <c r="EO328" s="886">
        <f>VLOOKUP(WWWW[[#This Row],[Site Name]],SiteDB6[[Site Name]:[Pop
(Kachin/Shan-CCCM as of July 2021)]],16,FALSE)</f>
        <v>26</v>
      </c>
      <c r="EP328" s="886">
        <f>VLOOKUP(WWWW[[#This Row],[Site Name]],SiteDB6[[Site Name]:[Pop
(Kachin/Shan-CCCM as of July 2021)]],17,FALSE)</f>
        <v>119</v>
      </c>
    </row>
    <row r="329" spans="1:146" hidden="1">
      <c r="A329" s="884" t="s">
        <v>2764</v>
      </c>
      <c r="B329" s="884" t="s">
        <v>2081</v>
      </c>
      <c r="C329" s="885" t="s">
        <v>141</v>
      </c>
      <c r="D329" s="885" t="s">
        <v>3081</v>
      </c>
      <c r="E329" s="885" t="s">
        <v>37</v>
      </c>
      <c r="F329" s="885" t="s">
        <v>142</v>
      </c>
      <c r="G329" s="591" t="str">
        <f>VLOOKUP(WWWW[[#This Row],[Site Name]],SiteDB6[[Site Name]:[Location Type]],8,FALSE)</f>
        <v>Camp</v>
      </c>
      <c r="H329" s="885" t="s">
        <v>182</v>
      </c>
      <c r="I329" s="887">
        <v>214</v>
      </c>
      <c r="J329" s="887">
        <v>1176</v>
      </c>
      <c r="K329" s="888">
        <v>44682</v>
      </c>
      <c r="L329" s="889">
        <v>44865</v>
      </c>
      <c r="M329" s="887"/>
      <c r="N329" s="887">
        <v>1</v>
      </c>
      <c r="O329" s="887"/>
      <c r="P329" s="887"/>
      <c r="Q329" s="890" t="s">
        <v>41</v>
      </c>
      <c r="R329" s="887">
        <v>2</v>
      </c>
      <c r="S329" s="887">
        <v>3</v>
      </c>
      <c r="T329" s="448"/>
      <c r="U329" s="887"/>
      <c r="V329" s="887"/>
      <c r="W329" s="887"/>
      <c r="X329" s="887"/>
      <c r="Y329" s="887"/>
      <c r="Z329" s="887"/>
      <c r="AA329" s="887"/>
      <c r="AB329" s="887"/>
      <c r="AC329" s="887"/>
      <c r="AD329" s="887"/>
      <c r="AE329" s="887"/>
      <c r="AF329" s="887"/>
      <c r="AG329" s="887"/>
      <c r="AH329" s="887"/>
      <c r="AI329" s="887"/>
      <c r="AJ329" s="887"/>
      <c r="AK329" s="887"/>
      <c r="AL329" s="887"/>
      <c r="AM329" s="887"/>
      <c r="AN329" s="887"/>
      <c r="AO329" s="448"/>
      <c r="AP329" s="891"/>
      <c r="AQ329" s="887">
        <v>158</v>
      </c>
      <c r="AR329" s="887"/>
      <c r="AS329" s="892"/>
      <c r="AT329" s="887"/>
      <c r="AU329" s="887"/>
      <c r="AV329" s="887"/>
      <c r="AW329" s="887"/>
      <c r="AX329" s="887">
        <v>158</v>
      </c>
      <c r="AY329" s="886" t="s">
        <v>41</v>
      </c>
      <c r="AZ329" s="891" t="s">
        <v>137</v>
      </c>
      <c r="BA329" s="887"/>
      <c r="BB329" s="887"/>
      <c r="BC329" s="887"/>
      <c r="BD329" s="448"/>
      <c r="BE329" s="448"/>
      <c r="BF329" s="886"/>
      <c r="BG329" s="887">
        <v>7</v>
      </c>
      <c r="BH329" s="887"/>
      <c r="BI329" s="887"/>
      <c r="BJ329" s="887">
        <v>4</v>
      </c>
      <c r="BK329" s="887"/>
      <c r="BL329" s="887">
        <v>2</v>
      </c>
      <c r="BM329" s="887">
        <v>1</v>
      </c>
      <c r="BN329" s="887"/>
      <c r="BO329" s="887"/>
      <c r="BP329" s="886"/>
      <c r="BQ329" s="893"/>
      <c r="BR329" s="892"/>
      <c r="BS329" s="886"/>
      <c r="BT329" s="423"/>
      <c r="BU329" s="423"/>
      <c r="BV329" s="425"/>
      <c r="BW329" s="423"/>
      <c r="BX329" s="448"/>
      <c r="BY329" s="448"/>
      <c r="BZ329" s="448"/>
      <c r="CA329" s="448"/>
      <c r="CB329" s="448"/>
      <c r="CC329" s="777"/>
      <c r="CD329" s="448"/>
      <c r="CE329" s="894" t="str">
        <f>IFERROR(WWWW[[#This Row],['#_Water sources passed]]/WWWW[[#This Row],['#_Water sources tested for fecal coliform ]],"no test")</f>
        <v>no test</v>
      </c>
      <c r="CF329" s="892" t="str">
        <f>IFERROR(WWWW[[#This Row],['#_Household passed]]/WWWW[[#This Row],['#_Household water samples tested for fecal coliform]],"no test")</f>
        <v>no test</v>
      </c>
      <c r="CG329" s="893" t="str">
        <f>IF(AND(WWWW[[#This Row],[% of water sources passed]]="no test",WWWW[[#This Row],[% Household passed]]="no test"),"No Test","Tested")</f>
        <v>No Test</v>
      </c>
      <c r="CH329" s="893">
        <f>WWWW[[#This Row],['#_Constructed/existing protected hand dug well]]-WWWW[[#This Row],['#_Non-functional protected hand dug well]]</f>
        <v>0</v>
      </c>
      <c r="CI329" s="893">
        <f>(WWWW[[#This Row],['#_Constructed/Existing tube wells/boreholes/handpumps_WASH_agency]]+WWWW[[#This Row],['#_Non-Cluster partner water tube-wells/boreholes/handpumps]])-WWWW[[#This Row],['#_Non-functional tube wells/boreholes/handpumps]]</f>
        <v>0</v>
      </c>
      <c r="CJ329" s="893">
        <f>WWWW[[#This Row],['#_Constructed/Existingwater storage tank with gravity fed reticulation system]]-WWWW[[#This Row],['#_Non-functional storage tank gravity fed reticulation system]]</f>
        <v>0</v>
      </c>
      <c r="CK329" s="893">
        <f>(WWWW[[#This Row],['#_Water_Liters_supplied_by_Water boating or water trucking]]/90)/15</f>
        <v>0</v>
      </c>
      <c r="CL329" s="893">
        <f>WWWW[[#This Row],['#_Water_Liters_from_Constructed/Existing water distribution system from river or natural spring]]/90/15</f>
        <v>0</v>
      </c>
      <c r="CM329" s="424">
        <f>IF(WWWW[[#This Row],['#_of water points in TLS/CFS]]*500&gt;WWWW[[#This Row],[Total PoP ]],WWWW[[#This Row],[Total PoP ]],WWWW[[#This Row],['#_of water points in TLS/CFS]]*500)</f>
        <v>0</v>
      </c>
      <c r="CN329" s="424">
        <f>IF(WWWW[[#This Row],['#_of water points in THF]]*500&gt;WWWW[[#This Row],[Total PoP ]],WWWW[[#This Row],[Total PoP ]],WWWW[[#This Row],['#_of water points in THF]]*500)</f>
        <v>0</v>
      </c>
      <c r="CO32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9" s="892">
        <f>IF(WWWW[[#This Row],[Location Type 1]]="Village",WWWW[[#This Row],[Access to safe drinking water for Village]],WWWW[[#This Row],[Access to safe drinking water for Camp]])</f>
        <v>0</v>
      </c>
      <c r="CR329" s="890">
        <f>WWWW[[#This Row],[%Equitable and continuous access to sufficient quantity of safe drinking water]]*WWWW[[#This Row],[Total PoP ]]</f>
        <v>0</v>
      </c>
      <c r="CS329" s="892">
        <f>IF((WWWW[[#This Row],['#_Constructed/Existing protected/fenced ponds]]*250)/WWWW[[#This Row],[Total PoP ]]&gt;1,1,(WWWW[[#This Row],['#_Constructed/Existing protected/fenced ponds]]*250)/WWWW[[#This Row],[Total PoP ]])</f>
        <v>0</v>
      </c>
      <c r="CT329" s="890">
        <f>WWWW[[#This Row],[% Access to unimproved water points]]*WWWW[[#This Row],[Total PoP ]]</f>
        <v>0</v>
      </c>
      <c r="CU32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9" s="890">
        <f>WWWW[[#This Row],[HRP1]]/500</f>
        <v>0</v>
      </c>
      <c r="CX329" s="895">
        <f>1-WWWW[[#This Row],[% Equitable and continuous access to sufficient quantity of domestic water]]</f>
        <v>1</v>
      </c>
      <c r="CY329" s="890">
        <f>WWWW[[#This Row],[%equitable and continuous access to sufficient quantity of safe drinking and domestic water''s GAP]]*WWWW[[#This Row],[Total PoP ]]</f>
        <v>1176</v>
      </c>
      <c r="CZ329" s="893">
        <f>IF(WWWW[[#This Row],[Total required water points]]-WWWW[[#This Row],['#Water points coverage]]&lt;0,0,WWWW[[#This Row],[Total required water points]]-WWWW[[#This Row],['#Water points coverage]])</f>
        <v>2</v>
      </c>
      <c r="DA329" s="893">
        <f>ROUND(IF(WWWW[[#This Row],[Total PoP ]]&lt;500,1,WWWW[[#This Row],[Total PoP ]]/500),0)</f>
        <v>2</v>
      </c>
      <c r="DB329" s="893">
        <f>(WWWW[[#This Row],['#_Constructed latrines_by_WASHAgencies]]+WWWW[[#This Row],['#_Non Cluster partner latrines]])-WWWW[[#This Row],['#_Non-functional latrines]]</f>
        <v>158</v>
      </c>
      <c r="DC329" s="631">
        <f>WWWW[[#This Row],[HRP2]]/WWWW[[#This Row],[Total PoP ]]</f>
        <v>1</v>
      </c>
      <c r="DD32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1176</v>
      </c>
      <c r="DE32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9" s="424">
        <f>IF(WWWW[[#This Row],['# of functional latrines in THF supported by WASH partners during the reporting period2]]="",0,WWWW[[#This Row],['# of functional latrines in THF supported by WASH partners during the reporting period2]]*50)</f>
        <v>0</v>
      </c>
      <c r="DH329" s="893">
        <f>ROUND(IF(WWWW[[#This Row],[Location Type 1]]="camp",WWWW[[#This Row],[Total PoP ]]/20,IF(WWWW[[#This Row],[Location Type 1]]="Temporary Location",WWWW[[#This Row],[Total PoP ]]/50,(WWWW[[#This Row],[Total PoP ]]/6))),0)</f>
        <v>59</v>
      </c>
      <c r="DI329" s="893">
        <f>IF(WWWW[[#This Row],[Total required Latrines]]-(WWWW[[#This Row],['#_Constructed latrines_by_WASHAgencies]]+WWWW[[#This Row],['#_Non Cluster partner latrines]])&lt;0,0,WWWW[[#This Row],[Total required Latrines]]-(WWWW[[#This Row],['#_Constructed latrines_by_WASHAgencies]]+WWWW[[#This Row],['#_Non Cluster partner latrines]]))</f>
        <v>0</v>
      </c>
      <c r="DJ329" s="895">
        <f>1-WWWW[[#This Row],[% people access to functioning Latrine]]</f>
        <v>0</v>
      </c>
      <c r="DK329" s="894">
        <f>IF(OR(WWWW[[#This Row],['#_Non-functional latrines]]="",WWWW[[#This Row],['#_Non-functional latrines]]=0),0,WWWW[[#This Row],['#_Non-functional latrines]]/(WWWW[[#This Row],['#_Constructed latrines_by_WASHAgencies]]+WWWW[[#This Row],['#_Non Cluster partner latrines]]))</f>
        <v>0</v>
      </c>
      <c r="DL329" s="890">
        <f>IF(500*(WWWW[[#This Row],['#_male hygiene promoters]]+WWWW[[#This Row],['#_female hygiene promoters]])&gt;WWWW[[#This Row],[Total PoP ]],WWWW[[#This Row],[Total PoP ]],500*(WWWW[[#This Row],['#_male hygiene promoters]]+WWWW[[#This Row],['#_female hygiene promoters]]))</f>
        <v>1176</v>
      </c>
      <c r="DM32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9" s="893">
        <f>IF(WWWW[[#This Row],['# People with access to soap]]&gt;WWWW[[#This Row],['# People with access to Sanity Pads]],WWWW[[#This Row],['# People with access to soap]],WWWW[[#This Row],['# People with access to Sanity Pads]])</f>
        <v>0</v>
      </c>
      <c r="DP329" s="893">
        <f>IF(WWWW[[#This Row],['# people reached by regular dedicated hygiene promotion_5]]&gt;WWWW[[#This Row],['# People received regular supply of hygiene items_6]],WWWW[[#This Row],['# people reached by regular dedicated hygiene promotion_5]],WWWW[[#This Row],['# People received regular supply of hygiene items_6]])</f>
        <v>1176</v>
      </c>
      <c r="DQ329" s="895">
        <f>IF(WWWW[[#This Row],[HRP3]]/WWWW[[#This Row],[Total PoP ]]&gt;1,1,WWWW[[#This Row],[HRP3]]/WWWW[[#This Row],[Total PoP ]])</f>
        <v>1</v>
      </c>
      <c r="DR329" s="894">
        <f>1-WWWW[[#This Row],[Hygiene Coverage%]]</f>
        <v>0</v>
      </c>
      <c r="DS329" s="892">
        <f>WWWW[[#This Row],['# people reached by regular dedicated hygiene promotion_5]]/WWWW[[#This Row],[Total PoP ]]</f>
        <v>1</v>
      </c>
      <c r="DT32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9" s="893">
        <f>WWWW[[#This Row],['#_Constructed/Existing hand washing stations]]-WWWW[[#This Row],['#_Non-Functional_hand_washing_stations]]</f>
        <v>7</v>
      </c>
      <c r="DW329" s="890">
        <f>IF(WWWW[[#This Row],['# Functional hand washing stations during reporting period]]*20&gt;WWWW[[#This Row],[Total HH]],WWWW[[#This Row],[Total HH]],WWWW[[#This Row],['# Functional hand washing stations during reporting period]]*20)</f>
        <v>140</v>
      </c>
      <c r="DX329" s="890">
        <f>IF(WWWW[[#This Row],[Is sufficient soap available for TLS? (Yes/No)]]="yes",WWWW[[#This Row],['#_Constructed/Existing hand washing stations at TLS/CFS/THF]],0)</f>
        <v>0</v>
      </c>
      <c r="DY329" s="428">
        <f>IF(WWWW[[#This Row],['# Functional hand washing stations during reporting period]]*100&gt;WWWW[[#This Row],[Total PoP ]],WWWW[[#This Row],[Total PoP ]],WWWW[[#This Row],['# Functional hand washing stations during reporting period]]*100)</f>
        <v>700</v>
      </c>
      <c r="DZ329" s="428" t="str">
        <f>IF(OR(WWWW[[#This Row],['#_students at TLS_CFS]]="",WWWW[[#This Row],['#_students at TLS_CFS]]=0),"No","Yes")</f>
        <v>No</v>
      </c>
      <c r="EA32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9" s="886" t="str">
        <f>VLOOKUP(WWWW[[#This Row],[Site Name]],SiteDB6[[Site Name]:[CCCM Management]],6,FALSE)</f>
        <v>Yes</v>
      </c>
      <c r="EF329" s="886" t="str">
        <f>VLOOKUP(WWWW[[#This Row],[Site Name]],SiteDB6[[Site Name]:[CCCM Focal Agency]],7,FALSE)</f>
        <v>KBC-MYT</v>
      </c>
      <c r="EG329" s="886" t="str">
        <f>VLOOKUP(WWWW[[#This Row],[Site Name]],SiteDB6[[Site Name]:[Location Type 1]],9,FALSE)</f>
        <v>Camp</v>
      </c>
      <c r="EH329" s="886" t="str">
        <f>VLOOKUP(WWWW[[#This Row],[Site Name]],SiteDB6[[Site Name]:[Type of Accommodation]],10,FALSE)</f>
        <v>Camp</v>
      </c>
      <c r="EI329" s="886" t="str">
        <f>VLOOKUP(WWWW[[#This Row],[Site Name]],SiteDB6[[Site Name]:[Ethnic or GCA/NGCA]],11,FALSE)</f>
        <v>GCA</v>
      </c>
      <c r="EJ329" s="886">
        <f>VLOOKUP(WWWW[[#This Row],[Site Name]],SiteDB6[[Site Name]:[Lat]],12,FALSE)</f>
        <v>25.418084</v>
      </c>
      <c r="EK329" s="886">
        <f>VLOOKUP(WWWW[[#This Row],[Site Name]],SiteDB6[[Site Name]:[Long]],13,FALSE)</f>
        <v>98.025662999999994</v>
      </c>
      <c r="EL329" s="886" t="str">
        <f>VLOOKUP(WWWW[[#This Row],[Site Name]],SiteDB6[[Site Name]:[Pcode]],3,FALSE)</f>
        <v>MMR001CMP041</v>
      </c>
      <c r="EM329" s="891" t="str">
        <f t="shared" si="5"/>
        <v>Covered</v>
      </c>
      <c r="EN329" s="891"/>
      <c r="EO329" s="886">
        <f>VLOOKUP(WWWW[[#This Row],[Site Name]],SiteDB6[[Site Name]:[Pop
(Kachin/Shan-CCCM as of July 2021)]],16,FALSE)</f>
        <v>213</v>
      </c>
      <c r="EP329" s="886">
        <f>VLOOKUP(WWWW[[#This Row],[Site Name]],SiteDB6[[Site Name]:[Pop
(Kachin/Shan-CCCM as of July 2021)]],17,FALSE)</f>
        <v>1172</v>
      </c>
    </row>
    <row r="330" spans="1:146" hidden="1">
      <c r="A330" s="884" t="s">
        <v>2764</v>
      </c>
      <c r="B330" s="884" t="s">
        <v>3041</v>
      </c>
      <c r="C330" s="885" t="s">
        <v>3042</v>
      </c>
      <c r="D330" s="885" t="s">
        <v>3043</v>
      </c>
      <c r="E330" s="885" t="s">
        <v>37</v>
      </c>
      <c r="F330" s="885" t="s">
        <v>214</v>
      </c>
      <c r="G330" s="591" t="str">
        <f>VLOOKUP(WWWW[[#This Row],[Site Name]],SiteDB6[[Site Name]:[Location Type]],8,FALSE)</f>
        <v>Camp</v>
      </c>
      <c r="H330" s="885" t="s">
        <v>215</v>
      </c>
      <c r="I330" s="904">
        <v>49</v>
      </c>
      <c r="J330" s="904">
        <v>300</v>
      </c>
      <c r="K330" s="588" t="s">
        <v>3044</v>
      </c>
      <c r="L330" s="589" t="s">
        <v>3045</v>
      </c>
      <c r="M330" s="448">
        <v>95</v>
      </c>
      <c r="N330" s="887">
        <v>4</v>
      </c>
      <c r="O330" s="887"/>
      <c r="P330" s="887"/>
      <c r="Q330" s="890" t="s">
        <v>41</v>
      </c>
      <c r="R330" s="904">
        <v>2</v>
      </c>
      <c r="S330" s="904">
        <v>4</v>
      </c>
      <c r="T330" s="448"/>
      <c r="U330" s="887"/>
      <c r="V330" s="887"/>
      <c r="W330" s="904"/>
      <c r="X330" s="904">
        <v>2</v>
      </c>
      <c r="Y330" s="887"/>
      <c r="Z330" s="904">
        <v>1</v>
      </c>
      <c r="AA330" s="887"/>
      <c r="AB330" s="887"/>
      <c r="AC330" s="887"/>
      <c r="AD330" s="887"/>
      <c r="AE330" s="887"/>
      <c r="AF330" s="887"/>
      <c r="AG330" s="887"/>
      <c r="AH330" s="904"/>
      <c r="AI330" s="448">
        <v>1</v>
      </c>
      <c r="AJ330" s="448">
        <v>1</v>
      </c>
      <c r="AK330" s="448">
        <v>9</v>
      </c>
      <c r="AL330" s="448">
        <v>7</v>
      </c>
      <c r="AM330" s="904">
        <v>2</v>
      </c>
      <c r="AN330" s="904">
        <v>0</v>
      </c>
      <c r="AO330" s="448"/>
      <c r="AP330" s="590" t="s">
        <v>3017</v>
      </c>
      <c r="AQ330" s="904">
        <v>10</v>
      </c>
      <c r="AR330" s="887"/>
      <c r="AS330" s="904">
        <v>4</v>
      </c>
      <c r="AT330" s="887"/>
      <c r="AU330" s="887"/>
      <c r="AV330" s="887"/>
      <c r="AW330" s="887"/>
      <c r="AX330" s="887"/>
      <c r="AY330" s="886" t="s">
        <v>41</v>
      </c>
      <c r="AZ330" s="891" t="s">
        <v>137</v>
      </c>
      <c r="BA330" s="904">
        <v>2</v>
      </c>
      <c r="BB330" s="887"/>
      <c r="BC330" s="887">
        <v>4</v>
      </c>
      <c r="BD330" s="448"/>
      <c r="BE330" s="448">
        <v>4</v>
      </c>
      <c r="BF330" s="886"/>
      <c r="BG330" s="904">
        <v>3</v>
      </c>
      <c r="BH330" s="904">
        <v>1</v>
      </c>
      <c r="BI330" s="887"/>
      <c r="BJ330" s="904">
        <v>4</v>
      </c>
      <c r="BK330" s="448">
        <v>1</v>
      </c>
      <c r="BL330" s="448">
        <v>2</v>
      </c>
      <c r="BM330" s="448">
        <v>2</v>
      </c>
      <c r="BN330" s="448">
        <v>46</v>
      </c>
      <c r="BO330" s="448">
        <v>92</v>
      </c>
      <c r="BP330" s="425" t="s">
        <v>41</v>
      </c>
      <c r="BQ330" s="424">
        <v>1</v>
      </c>
      <c r="BR330" s="423">
        <v>0.5</v>
      </c>
      <c r="BS330" s="909"/>
      <c r="BT330" s="423">
        <v>0.7</v>
      </c>
      <c r="BU330" s="423">
        <v>0.8</v>
      </c>
      <c r="BV330" s="425">
        <v>10</v>
      </c>
      <c r="BW330" s="423">
        <v>0.8</v>
      </c>
      <c r="BX330" s="448"/>
      <c r="BY330" s="448"/>
      <c r="BZ330" s="448"/>
      <c r="CA330" s="448"/>
      <c r="CB330" s="448"/>
      <c r="CC330" s="777"/>
      <c r="CD330" s="448"/>
      <c r="CE330" s="894">
        <f>IFERROR(WWWW[[#This Row],['#_Water sources passed]]/WWWW[[#This Row],['#_Water sources tested for fecal coliform ]],"no test")</f>
        <v>1</v>
      </c>
      <c r="CF330" s="892">
        <f>IFERROR(WWWW[[#This Row],['#_Household passed]]/WWWW[[#This Row],['#_Household water samples tested for fecal coliform]],"no test")</f>
        <v>0.77777777777777779</v>
      </c>
      <c r="CG330" s="893" t="str">
        <f>IF(AND(WWWW[[#This Row],[% of water sources passed]]="no test",WWWW[[#This Row],[% Household passed]]="no test"),"No Test","Tested")</f>
        <v>Tested</v>
      </c>
      <c r="CH330" s="893">
        <f>WWWW[[#This Row],['#_Constructed/existing protected hand dug well]]-WWWW[[#This Row],['#_Non-functional protected hand dug well]]</f>
        <v>0</v>
      </c>
      <c r="CI330" s="893">
        <f>(WWWW[[#This Row],['#_Constructed/Existing tube wells/boreholes/handpumps_WASH_agency]]+WWWW[[#This Row],['#_Non-Cluster partner water tube-wells/boreholes/handpumps]])-WWWW[[#This Row],['#_Non-functional tube wells/boreholes/handpumps]]</f>
        <v>2</v>
      </c>
      <c r="CJ330" s="893">
        <f>WWWW[[#This Row],['#_Constructed/Existingwater storage tank with gravity fed reticulation system]]-WWWW[[#This Row],['#_Non-functional storage tank gravity fed reticulation system]]</f>
        <v>0</v>
      </c>
      <c r="CK330" s="893">
        <f>(WWWW[[#This Row],['#_Water_Liters_supplied_by_Water boating or water trucking]]/90)/15</f>
        <v>0</v>
      </c>
      <c r="CL330" s="893">
        <f>WWWW[[#This Row],['#_Water_Liters_from_Constructed/Existing water distribution system from river or natural spring]]/90/15</f>
        <v>0</v>
      </c>
      <c r="CM330" s="424">
        <f>IF(WWWW[[#This Row],['#_of water points in TLS/CFS]]*500&gt;WWWW[[#This Row],[Total PoP ]],WWWW[[#This Row],[Total PoP ]],WWWW[[#This Row],['#_of water points in TLS/CFS]]*500)</f>
        <v>0</v>
      </c>
      <c r="CN330" s="424">
        <f>IF(WWWW[[#This Row],['#_of water points in THF]]*500&gt;WWWW[[#This Row],[Total PoP ]],WWWW[[#This Row],[Total PoP ]],WWWW[[#This Row],['#_of water points in THF]]*500)</f>
        <v>0</v>
      </c>
      <c r="CO33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3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30" s="892">
        <f>IF(WWWW[[#This Row],[Location Type 1]]="Village",WWWW[[#This Row],[Access to safe drinking water for Village]],WWWW[[#This Row],[Access to safe drinking water for Camp]])</f>
        <v>1</v>
      </c>
      <c r="CR330" s="890">
        <f>WWWW[[#This Row],[%Equitable and continuous access to sufficient quantity of safe drinking water]]*WWWW[[#This Row],[Total PoP ]]</f>
        <v>300</v>
      </c>
      <c r="CS330" s="892">
        <f>IF((WWWW[[#This Row],['#_Constructed/Existing protected/fenced ponds]]*250)/WWWW[[#This Row],[Total PoP ]]&gt;1,1,(WWWW[[#This Row],['#_Constructed/Existing protected/fenced ponds]]*250)/WWWW[[#This Row],[Total PoP ]])</f>
        <v>0</v>
      </c>
      <c r="CT330" s="890">
        <f>WWWW[[#This Row],[% Access to unimproved water points]]*WWWW[[#This Row],[Total PoP ]]</f>
        <v>0</v>
      </c>
      <c r="CU33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3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W330" s="890">
        <f>WWWW[[#This Row],[HRP1]]/500</f>
        <v>0.6</v>
      </c>
      <c r="CX330" s="895">
        <f>1-WWWW[[#This Row],[% Equitable and continuous access to sufficient quantity of domestic water]]</f>
        <v>0</v>
      </c>
      <c r="CY330" s="890">
        <f>WWWW[[#This Row],[%equitable and continuous access to sufficient quantity of safe drinking and domestic water''s GAP]]*WWWW[[#This Row],[Total PoP ]]</f>
        <v>0</v>
      </c>
      <c r="CZ330" s="893">
        <f>IF(WWWW[[#This Row],[Total required water points]]-WWWW[[#This Row],['#Water points coverage]]&lt;0,0,WWWW[[#This Row],[Total required water points]]-WWWW[[#This Row],['#Water points coverage]])</f>
        <v>0.4</v>
      </c>
      <c r="DA330" s="893">
        <f>ROUND(IF(WWWW[[#This Row],[Total PoP ]]&lt;500,1,WWWW[[#This Row],[Total PoP ]]/500),0)</f>
        <v>1</v>
      </c>
      <c r="DB330" s="893">
        <f>(WWWW[[#This Row],['#_Constructed latrines_by_WASHAgencies]]+WWWW[[#This Row],['#_Non Cluster partner latrines]])-WWWW[[#This Row],['#_Non-functional latrines]]</f>
        <v>10</v>
      </c>
      <c r="DC330" s="631">
        <f>WWWW[[#This Row],[HRP2]]/WWWW[[#This Row],[Total PoP ]]</f>
        <v>0.81333333333333335</v>
      </c>
      <c r="DD33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244</v>
      </c>
      <c r="DE33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95</v>
      </c>
      <c r="DG330" s="424">
        <f>IF(WWWW[[#This Row],['# of functional latrines in THF supported by WASH partners during the reporting period2]]="",0,WWWW[[#This Row],['# of functional latrines in THF supported by WASH partners during the reporting period2]]*50)</f>
        <v>0</v>
      </c>
      <c r="DH330" s="893">
        <f>ROUND(IF(WWWW[[#This Row],[Location Type 1]]="camp",WWWW[[#This Row],[Total PoP ]]/20,IF(WWWW[[#This Row],[Location Type 1]]="Temporary Location",WWWW[[#This Row],[Total PoP ]]/50,(WWWW[[#This Row],[Total PoP ]]/6))),0)</f>
        <v>15</v>
      </c>
      <c r="DI330" s="893">
        <f>IF(WWWW[[#This Row],[Total required Latrines]]-(WWWW[[#This Row],['#_Constructed latrines_by_WASHAgencies]]+WWWW[[#This Row],['#_Non Cluster partner latrines]])&lt;0,0,WWWW[[#This Row],[Total required Latrines]]-(WWWW[[#This Row],['#_Constructed latrines_by_WASHAgencies]]+WWWW[[#This Row],['#_Non Cluster partner latrines]]))</f>
        <v>5</v>
      </c>
      <c r="DJ330" s="895">
        <f>1-WWWW[[#This Row],[% people access to functioning Latrine]]</f>
        <v>0.18666666666666665</v>
      </c>
      <c r="DK330" s="894">
        <f>IF(OR(WWWW[[#This Row],['#_Non-functional latrines]]="",WWWW[[#This Row],['#_Non-functional latrines]]=0),0,WWWW[[#This Row],['#_Non-functional latrines]]/(WWWW[[#This Row],['#_Constructed latrines_by_WASHAgencies]]+WWWW[[#This Row],['#_Non Cluster partner latrines]]))</f>
        <v>0</v>
      </c>
      <c r="DL330" s="890">
        <f>IF(500*(WWWW[[#This Row],['#_male hygiene promoters]]+WWWW[[#This Row],['#_female hygiene promoters]])&gt;WWWW[[#This Row],[Total PoP ]],WWWW[[#This Row],[Total PoP ]],500*(WWWW[[#This Row],['#_male hygiene promoters]]+WWWW[[#This Row],['#_female hygiene promoters]]))</f>
        <v>300</v>
      </c>
      <c r="DM33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230</v>
      </c>
      <c r="DN33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92</v>
      </c>
      <c r="DO330" s="893">
        <f>IF(WWWW[[#This Row],['# People with access to soap]]&gt;WWWW[[#This Row],['# People with access to Sanity Pads]],WWWW[[#This Row],['# People with access to soap]],WWWW[[#This Row],['# People with access to Sanity Pads]])</f>
        <v>230</v>
      </c>
      <c r="DP330" s="893">
        <f>IF(WWWW[[#This Row],['# people reached by regular dedicated hygiene promotion_5]]&gt;WWWW[[#This Row],['# People received regular supply of hygiene items_6]],WWWW[[#This Row],['# people reached by regular dedicated hygiene promotion_5]],WWWW[[#This Row],['# People received regular supply of hygiene items_6]])</f>
        <v>300</v>
      </c>
      <c r="DQ330" s="895">
        <f>IF(WWWW[[#This Row],[HRP3]]/WWWW[[#This Row],[Total PoP ]]&gt;1,1,WWWW[[#This Row],[HRP3]]/WWWW[[#This Row],[Total PoP ]])</f>
        <v>1</v>
      </c>
      <c r="DR330" s="894">
        <f>1-WWWW[[#This Row],[Hygiene Coverage%]]</f>
        <v>0</v>
      </c>
      <c r="DS330" s="892">
        <f>WWWW[[#This Row],['# people reached by regular dedicated hygiene promotion_5]]/WWWW[[#This Row],[Total PoP ]]</f>
        <v>1</v>
      </c>
      <c r="DT33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3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30" s="893">
        <f>WWWW[[#This Row],['#_Constructed/Existing hand washing stations]]-WWWW[[#This Row],['#_Non-Functional_hand_washing_stations]]</f>
        <v>2</v>
      </c>
      <c r="DW330" s="890">
        <f>IF(WWWW[[#This Row],['# Functional hand washing stations during reporting period]]*20&gt;WWWW[[#This Row],[Total HH]],WWWW[[#This Row],[Total HH]],WWWW[[#This Row],['# Functional hand washing stations during reporting period]]*20)</f>
        <v>40</v>
      </c>
      <c r="DX330" s="890">
        <f>IF(WWWW[[#This Row],[Is sufficient soap available for TLS? (Yes/No)]]="yes",WWWW[[#This Row],['#_Constructed/Existing hand washing stations at TLS/CFS/THF]],0)</f>
        <v>2</v>
      </c>
      <c r="DY330" s="428">
        <f>IF(WWWW[[#This Row],['# Functional hand washing stations during reporting period]]*100&gt;WWWW[[#This Row],[Total PoP ]],WWWW[[#This Row],[Total PoP ]],WWWW[[#This Row],['# Functional hand washing stations during reporting period]]*100)</f>
        <v>200</v>
      </c>
      <c r="DZ330" s="428" t="str">
        <f>IF(OR(WWWW[[#This Row],['#_students at TLS_CFS]]="",WWWW[[#This Row],['#_students at TLS_CFS]]=0),"No","Yes")</f>
        <v>Yes</v>
      </c>
      <c r="EA330" s="631">
        <f>IF(WWWW[[#This Row],['#_of_affected_people_surveyed_who_report_feeling_informed_about_the_different_WASH_services_available_to_them]]="","",WWWW[[#This Row],['#_of_affected_people_surveyed_who_report_feeling_informed_about_the_different_WASH_services_available_to_them]]/WWWW[[#This Row],[Total PoP ]])</f>
        <v>3.3333333333333333E-2</v>
      </c>
      <c r="EB33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95</v>
      </c>
      <c r="ED33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0" s="886" t="str">
        <f>VLOOKUP(WWWW[[#This Row],[Site Name]],SiteDB6[[Site Name]:[CCCM Management]],6,FALSE)</f>
        <v>Yes</v>
      </c>
      <c r="EF330" s="886" t="str">
        <f>VLOOKUP(WWWW[[#This Row],[Site Name]],SiteDB6[[Site Name]:[CCCM Focal Agency]],7,FALSE)</f>
        <v>KBC-BMO</v>
      </c>
      <c r="EG330" s="886" t="str">
        <f>VLOOKUP(WWWW[[#This Row],[Site Name]],SiteDB6[[Site Name]:[Location Type 1]],9,FALSE)</f>
        <v>Camp</v>
      </c>
      <c r="EH330" s="886" t="str">
        <f>VLOOKUP(WWWW[[#This Row],[Site Name]],SiteDB6[[Site Name]:[Type of Accommodation]],10,FALSE)</f>
        <v>Camp</v>
      </c>
      <c r="EI330" s="886" t="str">
        <f>VLOOKUP(WWWW[[#This Row],[Site Name]],SiteDB6[[Site Name]:[Ethnic or GCA/NGCA]],11,FALSE)</f>
        <v>GCA</v>
      </c>
      <c r="EJ330" s="886">
        <f>VLOOKUP(WWWW[[#This Row],[Site Name]],SiteDB6[[Site Name]:[Lat]],12,FALSE)</f>
        <v>24.200361000000001</v>
      </c>
      <c r="EK330" s="886">
        <f>VLOOKUP(WWWW[[#This Row],[Site Name]],SiteDB6[[Site Name]:[Long]],13,FALSE)</f>
        <v>96.807353000000006</v>
      </c>
      <c r="EL330" s="886" t="str">
        <f>VLOOKUP(WWWW[[#This Row],[Site Name]],SiteDB6[[Site Name]:[Pcode]],3,FALSE)</f>
        <v>MMR001CMP067</v>
      </c>
      <c r="EM330" s="891" t="str">
        <f t="shared" si="5"/>
        <v>Covered</v>
      </c>
      <c r="EN330" s="891"/>
      <c r="EO330" s="886">
        <f>VLOOKUP(WWWW[[#This Row],[Site Name]],SiteDB6[[Site Name]:[Pop
(Kachin/Shan-CCCM as of July 2021)]],16,FALSE)</f>
        <v>46</v>
      </c>
      <c r="EP330" s="886">
        <f>VLOOKUP(WWWW[[#This Row],[Site Name]],SiteDB6[[Site Name]:[Pop
(Kachin/Shan-CCCM as of July 2021)]],17,FALSE)</f>
        <v>263</v>
      </c>
    </row>
    <row r="331" spans="1:146" hidden="1">
      <c r="A331" s="884" t="s">
        <v>2764</v>
      </c>
      <c r="B331" s="884" t="s">
        <v>276</v>
      </c>
      <c r="C331" s="885" t="s">
        <v>276</v>
      </c>
      <c r="D331" s="885" t="s">
        <v>3037</v>
      </c>
      <c r="E331" s="885" t="s">
        <v>37</v>
      </c>
      <c r="F331" s="885" t="s">
        <v>214</v>
      </c>
      <c r="G331" s="591" t="str">
        <f>VLOOKUP(WWWW[[#This Row],[Site Name]],SiteDB6[[Site Name]:[Location Type]],8,FALSE)</f>
        <v>Camp</v>
      </c>
      <c r="H331" s="885" t="s">
        <v>216</v>
      </c>
      <c r="I331" s="887">
        <v>43</v>
      </c>
      <c r="J331" s="887">
        <v>182</v>
      </c>
      <c r="K331" s="588">
        <v>44652</v>
      </c>
      <c r="L331" s="589">
        <v>44895</v>
      </c>
      <c r="M331" s="887"/>
      <c r="N331" s="887"/>
      <c r="O331" s="887"/>
      <c r="P331" s="887"/>
      <c r="Q331" s="890" t="s">
        <v>41</v>
      </c>
      <c r="R331" s="887">
        <v>1</v>
      </c>
      <c r="S331" s="887">
        <v>3</v>
      </c>
      <c r="T331" s="448"/>
      <c r="U331" s="887"/>
      <c r="V331" s="887"/>
      <c r="W331" s="887">
        <v>2</v>
      </c>
      <c r="X331" s="887"/>
      <c r="Y331" s="887"/>
      <c r="Z331" s="887"/>
      <c r="AA331" s="887"/>
      <c r="AB331" s="887"/>
      <c r="AC331" s="887"/>
      <c r="AD331" s="887"/>
      <c r="AE331" s="887"/>
      <c r="AF331" s="887"/>
      <c r="AG331" s="887"/>
      <c r="AH331" s="887"/>
      <c r="AI331" s="448">
        <v>1</v>
      </c>
      <c r="AJ331" s="448">
        <v>1</v>
      </c>
      <c r="AK331" s="448"/>
      <c r="AL331" s="448"/>
      <c r="AM331" s="448"/>
      <c r="AN331" s="887"/>
      <c r="AO331" s="448"/>
      <c r="AP331" s="891"/>
      <c r="AQ331" s="887">
        <v>9</v>
      </c>
      <c r="AR331" s="887"/>
      <c r="AS331" s="892"/>
      <c r="AT331" s="887"/>
      <c r="AU331" s="887"/>
      <c r="AV331" s="887"/>
      <c r="AW331" s="887"/>
      <c r="AX331" s="887"/>
      <c r="AY331" s="886" t="s">
        <v>41</v>
      </c>
      <c r="AZ331" s="891" t="s">
        <v>137</v>
      </c>
      <c r="BA331" s="887"/>
      <c r="BB331" s="887"/>
      <c r="BC331" s="887"/>
      <c r="BD331" s="448"/>
      <c r="BE331" s="448"/>
      <c r="BF331" s="886"/>
      <c r="BG331" s="887">
        <v>3</v>
      </c>
      <c r="BH331" s="887"/>
      <c r="BI331" s="887"/>
      <c r="BJ331" s="887">
        <v>2</v>
      </c>
      <c r="BK331" s="887"/>
      <c r="BL331" s="887"/>
      <c r="BM331" s="887"/>
      <c r="BN331" s="887"/>
      <c r="BO331" s="887"/>
      <c r="BP331" s="886"/>
      <c r="BQ331" s="893"/>
      <c r="BR331" s="892"/>
      <c r="BS331" s="886"/>
      <c r="BT331" s="423"/>
      <c r="BU331" s="423"/>
      <c r="BV331" s="425"/>
      <c r="BW331" s="423"/>
      <c r="BX331" s="448"/>
      <c r="BY331" s="448">
        <v>9</v>
      </c>
      <c r="BZ331" s="448">
        <v>2</v>
      </c>
      <c r="CA331" s="448"/>
      <c r="CB331" s="448"/>
      <c r="CC331" s="777"/>
      <c r="CD331" s="448"/>
      <c r="CE331" s="894">
        <f>IFERROR(WWWW[[#This Row],['#_Water sources passed]]/WWWW[[#This Row],['#_Water sources tested for fecal coliform ]],"no test")</f>
        <v>1</v>
      </c>
      <c r="CF331" s="892" t="str">
        <f>IFERROR(WWWW[[#This Row],['#_Household passed]]/WWWW[[#This Row],['#_Household water samples tested for fecal coliform]],"no test")</f>
        <v>no test</v>
      </c>
      <c r="CG331" s="893" t="str">
        <f>IF(AND(WWWW[[#This Row],[% of water sources passed]]="no test",WWWW[[#This Row],[% Household passed]]="no test"),"No Test","Tested")</f>
        <v>Tested</v>
      </c>
      <c r="CH331" s="893">
        <f>WWWW[[#This Row],['#_Constructed/existing protected hand dug well]]-WWWW[[#This Row],['#_Non-functional protected hand dug well]]</f>
        <v>0</v>
      </c>
      <c r="CI331" s="893">
        <f>(WWWW[[#This Row],['#_Constructed/Existing tube wells/boreholes/handpumps_WASH_agency]]+WWWW[[#This Row],['#_Non-Cluster partner water tube-wells/boreholes/handpumps]])-WWWW[[#This Row],['#_Non-functional tube wells/boreholes/handpumps]]</f>
        <v>2</v>
      </c>
      <c r="CJ331" s="893">
        <f>WWWW[[#This Row],['#_Constructed/Existingwater storage tank with gravity fed reticulation system]]-WWWW[[#This Row],['#_Non-functional storage tank gravity fed reticulation system]]</f>
        <v>0</v>
      </c>
      <c r="CK331" s="893">
        <f>(WWWW[[#This Row],['#_Water_Liters_supplied_by_Water boating or water trucking]]/90)/15</f>
        <v>0</v>
      </c>
      <c r="CL331" s="893">
        <f>WWWW[[#This Row],['#_Water_Liters_from_Constructed/Existing water distribution system from river or natural spring]]/90/15</f>
        <v>0</v>
      </c>
      <c r="CM331" s="424">
        <f>IF(WWWW[[#This Row],['#_of water points in TLS/CFS]]*500&gt;WWWW[[#This Row],[Total PoP ]],WWWW[[#This Row],[Total PoP ]],WWWW[[#This Row],['#_of water points in TLS/CFS]]*500)</f>
        <v>0</v>
      </c>
      <c r="CN331" s="424">
        <f>IF(WWWW[[#This Row],['#_of water points in THF]]*500&gt;WWWW[[#This Row],[Total PoP ]],WWWW[[#This Row],[Total PoP ]],WWWW[[#This Row],['#_of water points in THF]]*500)</f>
        <v>0</v>
      </c>
      <c r="CO33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3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31" s="892">
        <f>IF(WWWW[[#This Row],[Location Type 1]]="Village",WWWW[[#This Row],[Access to safe drinking water for Village]],WWWW[[#This Row],[Access to safe drinking water for Camp]])</f>
        <v>1</v>
      </c>
      <c r="CR331" s="890">
        <f>WWWW[[#This Row],[%Equitable and continuous access to sufficient quantity of safe drinking water]]*WWWW[[#This Row],[Total PoP ]]</f>
        <v>182</v>
      </c>
      <c r="CS331" s="892">
        <f>IF((WWWW[[#This Row],['#_Constructed/Existing protected/fenced ponds]]*250)/WWWW[[#This Row],[Total PoP ]]&gt;1,1,(WWWW[[#This Row],['#_Constructed/Existing protected/fenced ponds]]*250)/WWWW[[#This Row],[Total PoP ]])</f>
        <v>0</v>
      </c>
      <c r="CT331" s="890">
        <f>WWWW[[#This Row],[% Access to unimproved water points]]*WWWW[[#This Row],[Total PoP ]]</f>
        <v>0</v>
      </c>
      <c r="CU33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3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W331" s="890">
        <f>WWWW[[#This Row],[HRP1]]/500</f>
        <v>0.36399999999999999</v>
      </c>
      <c r="CX331" s="895">
        <f>1-WWWW[[#This Row],[% Equitable and continuous access to sufficient quantity of domestic water]]</f>
        <v>0</v>
      </c>
      <c r="CY331" s="890">
        <f>WWWW[[#This Row],[%equitable and continuous access to sufficient quantity of safe drinking and domestic water''s GAP]]*WWWW[[#This Row],[Total PoP ]]</f>
        <v>0</v>
      </c>
      <c r="CZ331" s="893">
        <f>IF(WWWW[[#This Row],[Total required water points]]-WWWW[[#This Row],['#Water points coverage]]&lt;0,0,WWWW[[#This Row],[Total required water points]]-WWWW[[#This Row],['#Water points coverage]])</f>
        <v>0.63600000000000001</v>
      </c>
      <c r="DA331" s="893">
        <f>ROUND(IF(WWWW[[#This Row],[Total PoP ]]&lt;500,1,WWWW[[#This Row],[Total PoP ]]/500),0)</f>
        <v>1</v>
      </c>
      <c r="DB331" s="893">
        <f>(WWWW[[#This Row],['#_Constructed latrines_by_WASHAgencies]]+WWWW[[#This Row],['#_Non Cluster partner latrines]])-WWWW[[#This Row],['#_Non-functional latrines]]</f>
        <v>9</v>
      </c>
      <c r="DC331" s="631">
        <f>WWWW[[#This Row],[HRP2]]/WWWW[[#This Row],[Total PoP ]]</f>
        <v>0.98901098901098905</v>
      </c>
      <c r="DD33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33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1" s="424">
        <f>IF(WWWW[[#This Row],['# of functional latrines in THF supported by WASH partners during the reporting period2]]="",0,WWWW[[#This Row],['# of functional latrines in THF supported by WASH partners during the reporting period2]]*50)</f>
        <v>0</v>
      </c>
      <c r="DH331" s="893">
        <f>ROUND(IF(WWWW[[#This Row],[Location Type 1]]="camp",WWWW[[#This Row],[Total PoP ]]/20,IF(WWWW[[#This Row],[Location Type 1]]="Temporary Location",WWWW[[#This Row],[Total PoP ]]/50,(WWWW[[#This Row],[Total PoP ]]/6))),0)</f>
        <v>9</v>
      </c>
      <c r="DI331" s="893">
        <f>IF(WWWW[[#This Row],[Total required Latrines]]-(WWWW[[#This Row],['#_Constructed latrines_by_WASHAgencies]]+WWWW[[#This Row],['#_Non Cluster partner latrines]])&lt;0,0,WWWW[[#This Row],[Total required Latrines]]-(WWWW[[#This Row],['#_Constructed latrines_by_WASHAgencies]]+WWWW[[#This Row],['#_Non Cluster partner latrines]]))</f>
        <v>0</v>
      </c>
      <c r="DJ331" s="895">
        <f>1-WWWW[[#This Row],[% people access to functioning Latrine]]</f>
        <v>1.098901098901095E-2</v>
      </c>
      <c r="DK331" s="894">
        <f>IF(OR(WWWW[[#This Row],['#_Non-functional latrines]]="",WWWW[[#This Row],['#_Non-functional latrines]]=0),0,WWWW[[#This Row],['#_Non-functional latrines]]/(WWWW[[#This Row],['#_Constructed latrines_by_WASHAgencies]]+WWWW[[#This Row],['#_Non Cluster partner latrines]]))</f>
        <v>0</v>
      </c>
      <c r="DL331" s="890">
        <f>IF(500*(WWWW[[#This Row],['#_male hygiene promoters]]+WWWW[[#This Row],['#_female hygiene promoters]])&gt;WWWW[[#This Row],[Total PoP ]],WWWW[[#This Row],[Total PoP ]],500*(WWWW[[#This Row],['#_male hygiene promoters]]+WWWW[[#This Row],['#_female hygiene promoters]]))</f>
        <v>0</v>
      </c>
      <c r="DM33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1" s="893">
        <f>IF(WWWW[[#This Row],['# People with access to soap]]&gt;WWWW[[#This Row],['# People with access to Sanity Pads]],WWWW[[#This Row],['# People with access to soap]],WWWW[[#This Row],['# People with access to Sanity Pads]])</f>
        <v>0</v>
      </c>
      <c r="DP331"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1" s="895">
        <f>IF(WWWW[[#This Row],[HRP3]]/WWWW[[#This Row],[Total PoP ]]&gt;1,1,WWWW[[#This Row],[HRP3]]/WWWW[[#This Row],[Total PoP ]])</f>
        <v>0</v>
      </c>
      <c r="DR331" s="894">
        <f>1-WWWW[[#This Row],[Hygiene Coverage%]]</f>
        <v>1</v>
      </c>
      <c r="DS331" s="892">
        <f>WWWW[[#This Row],['# people reached by regular dedicated hygiene promotion_5]]/WWWW[[#This Row],[Total PoP ]]</f>
        <v>0</v>
      </c>
      <c r="DT33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1" s="893">
        <f>WWWW[[#This Row],['#_Constructed/Existing hand washing stations]]-WWWW[[#This Row],['#_Non-Functional_hand_washing_stations]]</f>
        <v>3</v>
      </c>
      <c r="DW331" s="890">
        <f>IF(WWWW[[#This Row],['# Functional hand washing stations during reporting period]]*20&gt;WWWW[[#This Row],[Total HH]],WWWW[[#This Row],[Total HH]],WWWW[[#This Row],['# Functional hand washing stations during reporting period]]*20)</f>
        <v>43</v>
      </c>
      <c r="DX331" s="890">
        <f>IF(WWWW[[#This Row],[Is sufficient soap available for TLS? (Yes/No)]]="yes",WWWW[[#This Row],['#_Constructed/Existing hand washing stations at TLS/CFS/THF]],0)</f>
        <v>0</v>
      </c>
      <c r="DY331" s="428">
        <f>IF(WWWW[[#This Row],['# Functional hand washing stations during reporting period]]*100&gt;WWWW[[#This Row],[Total PoP ]],WWWW[[#This Row],[Total PoP ]],WWWW[[#This Row],['# Functional hand washing stations during reporting period]]*100)</f>
        <v>182</v>
      </c>
      <c r="DZ331" s="428" t="str">
        <f>IF(OR(WWWW[[#This Row],['#_students at TLS_CFS]]="",WWWW[[#This Row],['#_students at TLS_CFS]]=0),"No","Yes")</f>
        <v>No</v>
      </c>
      <c r="EA33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11</v>
      </c>
      <c r="EC33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1" s="886" t="str">
        <f>VLOOKUP(WWWW[[#This Row],[Site Name]],SiteDB6[[Site Name]:[CCCM Management]],6,FALSE)</f>
        <v>Yes</v>
      </c>
      <c r="EF331" s="886" t="str">
        <f>VLOOKUP(WWWW[[#This Row],[Site Name]],SiteDB6[[Site Name]:[CCCM Focal Agency]],7,FALSE)</f>
        <v>KMSS-BMO</v>
      </c>
      <c r="EG331" s="886" t="str">
        <f>VLOOKUP(WWWW[[#This Row],[Site Name]],SiteDB6[[Site Name]:[Location Type 1]],9,FALSE)</f>
        <v>Camp</v>
      </c>
      <c r="EH331" s="886" t="str">
        <f>VLOOKUP(WWWW[[#This Row],[Site Name]],SiteDB6[[Site Name]:[Type of Accommodation]],10,FALSE)</f>
        <v>Camp</v>
      </c>
      <c r="EI331" s="886" t="str">
        <f>VLOOKUP(WWWW[[#This Row],[Site Name]],SiteDB6[[Site Name]:[Ethnic or GCA/NGCA]],11,FALSE)</f>
        <v>GCA</v>
      </c>
      <c r="EJ331" s="886">
        <f>VLOOKUP(WWWW[[#This Row],[Site Name]],SiteDB6[[Site Name]:[Lat]],12,FALSE)</f>
        <v>24.200367</v>
      </c>
      <c r="EK331" s="886">
        <f>VLOOKUP(WWWW[[#This Row],[Site Name]],SiteDB6[[Site Name]:[Long]],13,FALSE)</f>
        <v>96.807353000000006</v>
      </c>
      <c r="EL331" s="886" t="str">
        <f>VLOOKUP(WWWW[[#This Row],[Site Name]],SiteDB6[[Site Name]:[Pcode]],3,FALSE)</f>
        <v>MMR001CMP068</v>
      </c>
      <c r="EM331" s="891" t="str">
        <f t="shared" si="5"/>
        <v>Covered</v>
      </c>
      <c r="EN331" s="891"/>
      <c r="EO331" s="886">
        <f>VLOOKUP(WWWW[[#This Row],[Site Name]],SiteDB6[[Site Name]:[Pop
(Kachin/Shan-CCCM as of July 2021)]],16,FALSE)</f>
        <v>35</v>
      </c>
      <c r="EP331" s="886">
        <f>VLOOKUP(WWWW[[#This Row],[Site Name]],SiteDB6[[Site Name]:[Pop
(Kachin/Shan-CCCM as of July 2021)]],17,FALSE)</f>
        <v>170</v>
      </c>
    </row>
    <row r="332" spans="1:146" hidden="1">
      <c r="A332" s="884" t="s">
        <v>2764</v>
      </c>
      <c r="B332" s="884" t="s">
        <v>3073</v>
      </c>
      <c r="C332" s="885" t="s">
        <v>141</v>
      </c>
      <c r="D332" s="885" t="s">
        <v>3081</v>
      </c>
      <c r="E332" s="885" t="s">
        <v>37</v>
      </c>
      <c r="F332" s="885" t="s">
        <v>159</v>
      </c>
      <c r="G332" s="591" t="str">
        <f>VLOOKUP(WWWW[[#This Row],[Site Name]],SiteDB6[[Site Name]:[Location Type]],8,FALSE)</f>
        <v>Camp</v>
      </c>
      <c r="H332" s="885" t="s">
        <v>169</v>
      </c>
      <c r="I332" s="887">
        <v>103</v>
      </c>
      <c r="J332" s="887">
        <v>629</v>
      </c>
      <c r="K332" s="888">
        <v>44682</v>
      </c>
      <c r="L332" s="889">
        <v>44865</v>
      </c>
      <c r="M332" s="887"/>
      <c r="N332" s="887">
        <v>1</v>
      </c>
      <c r="O332" s="887"/>
      <c r="P332" s="887"/>
      <c r="Q332" s="890" t="s">
        <v>41</v>
      </c>
      <c r="R332" s="887">
        <v>2</v>
      </c>
      <c r="S332" s="887">
        <v>2</v>
      </c>
      <c r="T332" s="448">
        <v>3</v>
      </c>
      <c r="U332" s="887"/>
      <c r="V332" s="887"/>
      <c r="W332" s="887">
        <v>2</v>
      </c>
      <c r="X332" s="887"/>
      <c r="Y332" s="887"/>
      <c r="Z332" s="887"/>
      <c r="AA332" s="887"/>
      <c r="AB332" s="887"/>
      <c r="AC332" s="887"/>
      <c r="AD332" s="887"/>
      <c r="AE332" s="887"/>
      <c r="AF332" s="887"/>
      <c r="AG332" s="887"/>
      <c r="AH332" s="887">
        <v>2</v>
      </c>
      <c r="AI332" s="887"/>
      <c r="AJ332" s="887"/>
      <c r="AK332" s="887"/>
      <c r="AL332" s="887"/>
      <c r="AM332" s="887"/>
      <c r="AN332" s="887"/>
      <c r="AO332" s="448"/>
      <c r="AP332" s="891"/>
      <c r="AQ332" s="887">
        <v>17</v>
      </c>
      <c r="AR332" s="887"/>
      <c r="AS332" s="892"/>
      <c r="AT332" s="887"/>
      <c r="AU332" s="887"/>
      <c r="AV332" s="887"/>
      <c r="AW332" s="887"/>
      <c r="AX332" s="887">
        <v>17</v>
      </c>
      <c r="AY332" s="886" t="s">
        <v>41</v>
      </c>
      <c r="AZ332" s="891" t="s">
        <v>137</v>
      </c>
      <c r="BA332" s="887"/>
      <c r="BB332" s="887"/>
      <c r="BC332" s="887"/>
      <c r="BD332" s="448"/>
      <c r="BE332" s="448"/>
      <c r="BF332" s="886"/>
      <c r="BG332" s="887">
        <v>3</v>
      </c>
      <c r="BH332" s="887"/>
      <c r="BI332" s="887"/>
      <c r="BJ332" s="887">
        <v>2</v>
      </c>
      <c r="BK332" s="887"/>
      <c r="BL332" s="887"/>
      <c r="BM332" s="887"/>
      <c r="BN332" s="887"/>
      <c r="BO332" s="887"/>
      <c r="BP332" s="886"/>
      <c r="BQ332" s="893"/>
      <c r="BR332" s="892"/>
      <c r="BS332" s="886"/>
      <c r="BT332" s="423"/>
      <c r="BU332" s="423"/>
      <c r="BV332" s="425"/>
      <c r="BW332" s="423"/>
      <c r="BX332" s="448"/>
      <c r="BY332" s="448"/>
      <c r="BZ332" s="448"/>
      <c r="CA332" s="448"/>
      <c r="CB332" s="448"/>
      <c r="CC332" s="777"/>
      <c r="CD332" s="448"/>
      <c r="CE332" s="894" t="str">
        <f>IFERROR(WWWW[[#This Row],['#_Water sources passed]]/WWWW[[#This Row],['#_Water sources tested for fecal coliform ]],"no test")</f>
        <v>no test</v>
      </c>
      <c r="CF332" s="892" t="str">
        <f>IFERROR(WWWW[[#This Row],['#_Household passed]]/WWWW[[#This Row],['#_Household water samples tested for fecal coliform]],"no test")</f>
        <v>no test</v>
      </c>
      <c r="CG332" s="893" t="str">
        <f>IF(AND(WWWW[[#This Row],[% of water sources passed]]="no test",WWWW[[#This Row],[% Household passed]]="no test"),"No Test","Tested")</f>
        <v>No Test</v>
      </c>
      <c r="CH332" s="893">
        <f>WWWW[[#This Row],['#_Constructed/existing protected hand dug well]]-WWWW[[#This Row],['#_Non-functional protected hand dug well]]</f>
        <v>3</v>
      </c>
      <c r="CI332" s="893">
        <f>(WWWW[[#This Row],['#_Constructed/Existing tube wells/boreholes/handpumps_WASH_agency]]+WWWW[[#This Row],['#_Non-Cluster partner water tube-wells/boreholes/handpumps]])-WWWW[[#This Row],['#_Non-functional tube wells/boreholes/handpumps]]</f>
        <v>2</v>
      </c>
      <c r="CJ332" s="893">
        <f>WWWW[[#This Row],['#_Constructed/Existingwater storage tank with gravity fed reticulation system]]-WWWW[[#This Row],['#_Non-functional storage tank gravity fed reticulation system]]</f>
        <v>0</v>
      </c>
      <c r="CK332" s="893">
        <f>(WWWW[[#This Row],['#_Water_Liters_supplied_by_Water boating or water trucking]]/90)/15</f>
        <v>0</v>
      </c>
      <c r="CL332" s="893">
        <f>WWWW[[#This Row],['#_Water_Liters_from_Constructed/Existing water distribution system from river or natural spring]]/90/15</f>
        <v>0</v>
      </c>
      <c r="CM332" s="424">
        <f>IF(WWWW[[#This Row],['#_of water points in TLS/CFS]]*500&gt;WWWW[[#This Row],[Total PoP ]],WWWW[[#This Row],[Total PoP ]],WWWW[[#This Row],['#_of water points in TLS/CFS]]*500)</f>
        <v>0</v>
      </c>
      <c r="CN332" s="424">
        <f>IF(WWWW[[#This Row],['#_of water points in THF]]*500&gt;WWWW[[#This Row],[Total PoP ]],WWWW[[#This Row],[Total PoP ]],WWWW[[#This Row],['#_of water points in THF]]*500)</f>
        <v>0</v>
      </c>
      <c r="CO33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3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32" s="892">
        <f>IF(WWWW[[#This Row],[Location Type 1]]="Village",WWWW[[#This Row],[Access to safe drinking water for Village]],WWWW[[#This Row],[Access to safe drinking water for Camp]])</f>
        <v>1</v>
      </c>
      <c r="CR332" s="890">
        <f>WWWW[[#This Row],[%Equitable and continuous access to sufficient quantity of safe drinking water]]*WWWW[[#This Row],[Total PoP ]]</f>
        <v>629</v>
      </c>
      <c r="CS332" s="892">
        <f>IF((WWWW[[#This Row],['#_Constructed/Existing protected/fenced ponds]]*250)/WWWW[[#This Row],[Total PoP ]]&gt;1,1,(WWWW[[#This Row],['#_Constructed/Existing protected/fenced ponds]]*250)/WWWW[[#This Row],[Total PoP ]])</f>
        <v>0</v>
      </c>
      <c r="CT332" s="890">
        <f>WWWW[[#This Row],[% Access to unimproved water points]]*WWWW[[#This Row],[Total PoP ]]</f>
        <v>0</v>
      </c>
      <c r="CU33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3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629</v>
      </c>
      <c r="CW332" s="890">
        <f>WWWW[[#This Row],[HRP1]]/500</f>
        <v>1.258</v>
      </c>
      <c r="CX332" s="895">
        <f>1-WWWW[[#This Row],[% Equitable and continuous access to sufficient quantity of domestic water]]</f>
        <v>0</v>
      </c>
      <c r="CY332" s="890">
        <f>WWWW[[#This Row],[%equitable and continuous access to sufficient quantity of safe drinking and domestic water''s GAP]]*WWWW[[#This Row],[Total PoP ]]</f>
        <v>0</v>
      </c>
      <c r="CZ332" s="893">
        <f>IF(WWWW[[#This Row],[Total required water points]]-WWWW[[#This Row],['#Water points coverage]]&lt;0,0,WWWW[[#This Row],[Total required water points]]-WWWW[[#This Row],['#Water points coverage]])</f>
        <v>0</v>
      </c>
      <c r="DA332" s="893">
        <f>ROUND(IF(WWWW[[#This Row],[Total PoP ]]&lt;500,1,WWWW[[#This Row],[Total PoP ]]/500),0)</f>
        <v>1</v>
      </c>
      <c r="DB332" s="893">
        <f>(WWWW[[#This Row],['#_Constructed latrines_by_WASHAgencies]]+WWWW[[#This Row],['#_Non Cluster partner latrines]])-WWWW[[#This Row],['#_Non-functional latrines]]</f>
        <v>17</v>
      </c>
      <c r="DC332" s="631">
        <f>WWWW[[#This Row],[HRP2]]/WWWW[[#This Row],[Total PoP ]]</f>
        <v>0.54054054054054057</v>
      </c>
      <c r="DD33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340</v>
      </c>
      <c r="DE33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2" s="424">
        <f>IF(WWWW[[#This Row],['# of functional latrines in THF supported by WASH partners during the reporting period2]]="",0,WWWW[[#This Row],['# of functional latrines in THF supported by WASH partners during the reporting period2]]*50)</f>
        <v>0</v>
      </c>
      <c r="DH332" s="893">
        <f>ROUND(IF(WWWW[[#This Row],[Location Type 1]]="camp",WWWW[[#This Row],[Total PoP ]]/20,IF(WWWW[[#This Row],[Location Type 1]]="Temporary Location",WWWW[[#This Row],[Total PoP ]]/50,(WWWW[[#This Row],[Total PoP ]]/6))),0)</f>
        <v>31</v>
      </c>
      <c r="DI332" s="893">
        <f>IF(WWWW[[#This Row],[Total required Latrines]]-(WWWW[[#This Row],['#_Constructed latrines_by_WASHAgencies]]+WWWW[[#This Row],['#_Non Cluster partner latrines]])&lt;0,0,WWWW[[#This Row],[Total required Latrines]]-(WWWW[[#This Row],['#_Constructed latrines_by_WASHAgencies]]+WWWW[[#This Row],['#_Non Cluster partner latrines]]))</f>
        <v>14</v>
      </c>
      <c r="DJ332" s="895">
        <f>1-WWWW[[#This Row],[% people access to functioning Latrine]]</f>
        <v>0.45945945945945943</v>
      </c>
      <c r="DK332" s="894">
        <f>IF(OR(WWWW[[#This Row],['#_Non-functional latrines]]="",WWWW[[#This Row],['#_Non-functional latrines]]=0),0,WWWW[[#This Row],['#_Non-functional latrines]]/(WWWW[[#This Row],['#_Constructed latrines_by_WASHAgencies]]+WWWW[[#This Row],['#_Non Cluster partner latrines]]))</f>
        <v>0</v>
      </c>
      <c r="DL332" s="890">
        <f>IF(500*(WWWW[[#This Row],['#_male hygiene promoters]]+WWWW[[#This Row],['#_female hygiene promoters]])&gt;WWWW[[#This Row],[Total PoP ]],WWWW[[#This Row],[Total PoP ]],500*(WWWW[[#This Row],['#_male hygiene promoters]]+WWWW[[#This Row],['#_female hygiene promoters]]))</f>
        <v>0</v>
      </c>
      <c r="DM33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2" s="893">
        <f>IF(WWWW[[#This Row],['# People with access to soap]]&gt;WWWW[[#This Row],['# People with access to Sanity Pads]],WWWW[[#This Row],['# People with access to soap]],WWWW[[#This Row],['# People with access to Sanity Pads]])</f>
        <v>0</v>
      </c>
      <c r="DP332"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2" s="895">
        <f>IF(WWWW[[#This Row],[HRP3]]/WWWW[[#This Row],[Total PoP ]]&gt;1,1,WWWW[[#This Row],[HRP3]]/WWWW[[#This Row],[Total PoP ]])</f>
        <v>0</v>
      </c>
      <c r="DR332" s="894">
        <f>1-WWWW[[#This Row],[Hygiene Coverage%]]</f>
        <v>1</v>
      </c>
      <c r="DS332" s="892">
        <f>WWWW[[#This Row],['# people reached by regular dedicated hygiene promotion_5]]/WWWW[[#This Row],[Total PoP ]]</f>
        <v>0</v>
      </c>
      <c r="DT33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2" s="893">
        <f>WWWW[[#This Row],['#_Constructed/Existing hand washing stations]]-WWWW[[#This Row],['#_Non-Functional_hand_washing_stations]]</f>
        <v>3</v>
      </c>
      <c r="DW332" s="890">
        <f>IF(WWWW[[#This Row],['# Functional hand washing stations during reporting period]]*20&gt;WWWW[[#This Row],[Total HH]],WWWW[[#This Row],[Total HH]],WWWW[[#This Row],['# Functional hand washing stations during reporting period]]*20)</f>
        <v>60</v>
      </c>
      <c r="DX332" s="890">
        <f>IF(WWWW[[#This Row],[Is sufficient soap available for TLS? (Yes/No)]]="yes",WWWW[[#This Row],['#_Constructed/Existing hand washing stations at TLS/CFS/THF]],0)</f>
        <v>0</v>
      </c>
      <c r="DY332" s="428">
        <f>IF(WWWW[[#This Row],['# Functional hand washing stations during reporting period]]*100&gt;WWWW[[#This Row],[Total PoP ]],WWWW[[#This Row],[Total PoP ]],WWWW[[#This Row],['# Functional hand washing stations during reporting period]]*100)</f>
        <v>300</v>
      </c>
      <c r="DZ332" s="428" t="str">
        <f>IF(OR(WWWW[[#This Row],['#_students at TLS_CFS]]="",WWWW[[#This Row],['#_students at TLS_CFS]]=0),"No","Yes")</f>
        <v>No</v>
      </c>
      <c r="EA33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2" s="886" t="str">
        <f>VLOOKUP(WWWW[[#This Row],[Site Name]],SiteDB6[[Site Name]:[CCCM Management]],6,FALSE)</f>
        <v>Yes</v>
      </c>
      <c r="EF332" s="886" t="str">
        <f>VLOOKUP(WWWW[[#This Row],[Site Name]],SiteDB6[[Site Name]:[CCCM Focal Agency]],7,FALSE)</f>
        <v>KBC-MYT</v>
      </c>
      <c r="EG332" s="886" t="str">
        <f>VLOOKUP(WWWW[[#This Row],[Site Name]],SiteDB6[[Site Name]:[Location Type 1]],9,FALSE)</f>
        <v>Camp</v>
      </c>
      <c r="EH332" s="886" t="str">
        <f>VLOOKUP(WWWW[[#This Row],[Site Name]],SiteDB6[[Site Name]:[Type of Accommodation]],10,FALSE)</f>
        <v>Camp</v>
      </c>
      <c r="EI332" s="886" t="str">
        <f>VLOOKUP(WWWW[[#This Row],[Site Name]],SiteDB6[[Site Name]:[Ethnic or GCA/NGCA]],11,FALSE)</f>
        <v>GCA</v>
      </c>
      <c r="EJ332" s="886">
        <f>VLOOKUP(WWWW[[#This Row],[Site Name]],SiteDB6[[Site Name]:[Lat]],12,FALSE)</f>
        <v>25.440928</v>
      </c>
      <c r="EK332" s="886">
        <f>VLOOKUP(WWWW[[#This Row],[Site Name]],SiteDB6[[Site Name]:[Long]],13,FALSE)</f>
        <v>97.419403000000003</v>
      </c>
      <c r="EL332" s="886" t="str">
        <f>VLOOKUP(WWWW[[#This Row],[Site Name]],SiteDB6[[Site Name]:[Pcode]],3,FALSE)</f>
        <v>MMR001CMP009</v>
      </c>
      <c r="EM332" s="891" t="str">
        <f t="shared" si="5"/>
        <v>Covered</v>
      </c>
      <c r="EN332" s="891"/>
      <c r="EO332" s="886">
        <f>VLOOKUP(WWWW[[#This Row],[Site Name]],SiteDB6[[Site Name]:[Pop
(Kachin/Shan-CCCM as of July 2021)]],16,FALSE)</f>
        <v>104</v>
      </c>
      <c r="EP332" s="886">
        <f>VLOOKUP(WWWW[[#This Row],[Site Name]],SiteDB6[[Site Name]:[Pop
(Kachin/Shan-CCCM as of July 2021)]],17,FALSE)</f>
        <v>633</v>
      </c>
    </row>
    <row r="333" spans="1:146" hidden="1">
      <c r="A333" s="884" t="s">
        <v>2764</v>
      </c>
      <c r="B333" s="884" t="s">
        <v>36</v>
      </c>
      <c r="C333" s="885" t="s">
        <v>36</v>
      </c>
      <c r="D333" s="885" t="s">
        <v>241</v>
      </c>
      <c r="E333" s="885" t="s">
        <v>37</v>
      </c>
      <c r="F333" s="885" t="s">
        <v>863</v>
      </c>
      <c r="G333" s="591" t="str">
        <f>VLOOKUP(WWWW[[#This Row],[Site Name]],SiteDB6[[Site Name]:[Location Type]],8,FALSE)</f>
        <v>Camp</v>
      </c>
      <c r="H333" s="885" t="s">
        <v>1717</v>
      </c>
      <c r="I333" s="887">
        <v>133</v>
      </c>
      <c r="J333" s="887">
        <v>624</v>
      </c>
      <c r="K333" s="888">
        <v>44414</v>
      </c>
      <c r="L333" s="889">
        <v>44778</v>
      </c>
      <c r="M333" s="887"/>
      <c r="N333" s="887">
        <v>3</v>
      </c>
      <c r="O333" s="887"/>
      <c r="P333" s="887"/>
      <c r="Q333" s="890" t="s">
        <v>41</v>
      </c>
      <c r="R333" s="887">
        <v>4</v>
      </c>
      <c r="S333" s="887">
        <v>2</v>
      </c>
      <c r="T333" s="448">
        <v>1</v>
      </c>
      <c r="U333" s="887">
        <v>1</v>
      </c>
      <c r="V333" s="887">
        <v>1</v>
      </c>
      <c r="W333" s="887">
        <v>1</v>
      </c>
      <c r="X333" s="887"/>
      <c r="Y333" s="887"/>
      <c r="Z333" s="887"/>
      <c r="AA333" s="887"/>
      <c r="AB333" s="887"/>
      <c r="AC333" s="887"/>
      <c r="AD333" s="887"/>
      <c r="AE333" s="887"/>
      <c r="AF333" s="887"/>
      <c r="AG333" s="887"/>
      <c r="AH333" s="887"/>
      <c r="AI333" s="887"/>
      <c r="AJ333" s="887"/>
      <c r="AK333" s="887"/>
      <c r="AL333" s="887"/>
      <c r="AM333" s="887">
        <v>5</v>
      </c>
      <c r="AN333" s="887"/>
      <c r="AO333" s="448"/>
      <c r="AP333" s="891"/>
      <c r="AQ333" s="887">
        <v>1</v>
      </c>
      <c r="AR333" s="887"/>
      <c r="AS333" s="892"/>
      <c r="AT333" s="887">
        <v>1</v>
      </c>
      <c r="AU333" s="887"/>
      <c r="AV333" s="887"/>
      <c r="AW333" s="887"/>
      <c r="AX333" s="887"/>
      <c r="AY333" s="886" t="s">
        <v>41</v>
      </c>
      <c r="AZ333" s="891" t="s">
        <v>137</v>
      </c>
      <c r="BA333" s="887"/>
      <c r="BB333" s="887"/>
      <c r="BC333" s="887"/>
      <c r="BD333" s="448"/>
      <c r="BE333" s="448"/>
      <c r="BF333" s="886"/>
      <c r="BG333" s="887">
        <v>5</v>
      </c>
      <c r="BH333" s="887"/>
      <c r="BI333" s="887"/>
      <c r="BJ333" s="887">
        <v>7</v>
      </c>
      <c r="BK333" s="887"/>
      <c r="BL333" s="887"/>
      <c r="BM333" s="887">
        <v>1</v>
      </c>
      <c r="BN333" s="887">
        <v>133</v>
      </c>
      <c r="BO333" s="887">
        <v>133.84800000000001</v>
      </c>
      <c r="BP333" s="886" t="s">
        <v>41</v>
      </c>
      <c r="BQ333" s="893">
        <v>100</v>
      </c>
      <c r="BR333" s="892">
        <v>0.25</v>
      </c>
      <c r="BS333" s="886" t="s">
        <v>3036</v>
      </c>
      <c r="BT333" s="423"/>
      <c r="BU333" s="423"/>
      <c r="BV333" s="425"/>
      <c r="BW333" s="423">
        <v>0.01</v>
      </c>
      <c r="BX333" s="448"/>
      <c r="BY333" s="448"/>
      <c r="BZ333" s="448"/>
      <c r="CA333" s="448"/>
      <c r="CB333" s="448"/>
      <c r="CC333" s="777"/>
      <c r="CD333" s="448"/>
      <c r="CE333" s="894" t="str">
        <f>IFERROR(WWWW[[#This Row],['#_Water sources passed]]/WWWW[[#This Row],['#_Water sources tested for fecal coliform ]],"no test")</f>
        <v>no test</v>
      </c>
      <c r="CF333" s="892" t="str">
        <f>IFERROR(WWWW[[#This Row],['#_Household passed]]/WWWW[[#This Row],['#_Household water samples tested for fecal coliform]],"no test")</f>
        <v>no test</v>
      </c>
      <c r="CG333" s="893" t="str">
        <f>IF(AND(WWWW[[#This Row],[% of water sources passed]]="no test",WWWW[[#This Row],[% Household passed]]="no test"),"No Test","Tested")</f>
        <v>No Test</v>
      </c>
      <c r="CH333" s="893">
        <f>WWWW[[#This Row],['#_Constructed/existing protected hand dug well]]-WWWW[[#This Row],['#_Non-functional protected hand dug well]]</f>
        <v>0</v>
      </c>
      <c r="CI333" s="893">
        <f>(WWWW[[#This Row],['#_Constructed/Existing tube wells/boreholes/handpumps_WASH_agency]]+WWWW[[#This Row],['#_Non-Cluster partner water tube-wells/boreholes/handpumps]])-WWWW[[#This Row],['#_Non-functional tube wells/boreholes/handpumps]]</f>
        <v>1</v>
      </c>
      <c r="CJ333" s="893">
        <f>WWWW[[#This Row],['#_Constructed/Existingwater storage tank with gravity fed reticulation system]]-WWWW[[#This Row],['#_Non-functional storage tank gravity fed reticulation system]]</f>
        <v>0</v>
      </c>
      <c r="CK333" s="893">
        <f>(WWWW[[#This Row],['#_Water_Liters_supplied_by_Water boating or water trucking]]/90)/15</f>
        <v>0</v>
      </c>
      <c r="CL333" s="893">
        <f>WWWW[[#This Row],['#_Water_Liters_from_Constructed/Existing water distribution system from river or natural spring]]/90/15</f>
        <v>0</v>
      </c>
      <c r="CM333" s="424">
        <f>IF(WWWW[[#This Row],['#_of water points in TLS/CFS]]*500&gt;WWWW[[#This Row],[Total PoP ]],WWWW[[#This Row],[Total PoP ]],WWWW[[#This Row],['#_of water points in TLS/CFS]]*500)</f>
        <v>0</v>
      </c>
      <c r="CN333" s="424">
        <f>IF(WWWW[[#This Row],['#_of water points in THF]]*500&gt;WWWW[[#This Row],[Total PoP ]],WWWW[[#This Row],[Total PoP ]],WWWW[[#This Row],['#_of water points in THF]]*500)</f>
        <v>0</v>
      </c>
      <c r="CO33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0.80128205128205132</v>
      </c>
      <c r="CP33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0.40064102564102566</v>
      </c>
      <c r="CQ333" s="892">
        <f>IF(WWWW[[#This Row],[Location Type 1]]="Village",WWWW[[#This Row],[Access to safe drinking water for Village]],WWWW[[#This Row],[Access to safe drinking water for Camp]])</f>
        <v>0.80128205128205132</v>
      </c>
      <c r="CR333" s="890">
        <f>WWWW[[#This Row],[%Equitable and continuous access to sufficient quantity of safe drinking water]]*WWWW[[#This Row],[Total PoP ]]</f>
        <v>500</v>
      </c>
      <c r="CS333" s="892">
        <f>IF((WWWW[[#This Row],['#_Constructed/Existing protected/fenced ponds]]*250)/WWWW[[#This Row],[Total PoP ]]&gt;1,1,(WWWW[[#This Row],['#_Constructed/Existing protected/fenced ponds]]*250)/WWWW[[#This Row],[Total PoP ]])</f>
        <v>0</v>
      </c>
      <c r="CT333" s="890">
        <f>WWWW[[#This Row],[% Access to unimproved water points]]*WWWW[[#This Row],[Total PoP ]]</f>
        <v>0</v>
      </c>
      <c r="CU33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0.80128205128205132</v>
      </c>
      <c r="CV33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333" s="890">
        <f>WWWW[[#This Row],[HRP1]]/500</f>
        <v>1</v>
      </c>
      <c r="CX333" s="895">
        <f>1-WWWW[[#This Row],[% Equitable and continuous access to sufficient quantity of domestic water]]</f>
        <v>0.19871794871794868</v>
      </c>
      <c r="CY333" s="890">
        <f>WWWW[[#This Row],[%equitable and continuous access to sufficient quantity of safe drinking and domestic water''s GAP]]*WWWW[[#This Row],[Total PoP ]]</f>
        <v>123.99999999999997</v>
      </c>
      <c r="CZ333" s="893">
        <f>IF(WWWW[[#This Row],[Total required water points]]-WWWW[[#This Row],['#Water points coverage]]&lt;0,0,WWWW[[#This Row],[Total required water points]]-WWWW[[#This Row],['#Water points coverage]])</f>
        <v>0</v>
      </c>
      <c r="DA333" s="893">
        <f>ROUND(IF(WWWW[[#This Row],[Total PoP ]]&lt;500,1,WWWW[[#This Row],[Total PoP ]]/500),0)</f>
        <v>1</v>
      </c>
      <c r="DB333" s="893">
        <f>(WWWW[[#This Row],['#_Constructed latrines_by_WASHAgencies]]+WWWW[[#This Row],['#_Non Cluster partner latrines]])-WWWW[[#This Row],['#_Non-functional latrines]]</f>
        <v>0</v>
      </c>
      <c r="DC333" s="631">
        <f>WWWW[[#This Row],[HRP2]]/WWWW[[#This Row],[Total PoP ]]</f>
        <v>0</v>
      </c>
      <c r="DD33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3" s="424">
        <f>IF(WWWW[[#This Row],['# of functional latrines in THF supported by WASH partners during the reporting period2]]="",0,WWWW[[#This Row],['# of functional latrines in THF supported by WASH partners during the reporting period2]]*50)</f>
        <v>0</v>
      </c>
      <c r="DH333" s="893">
        <f>ROUND(IF(WWWW[[#This Row],[Location Type 1]]="camp",WWWW[[#This Row],[Total PoP ]]/20,IF(WWWW[[#This Row],[Location Type 1]]="Temporary Location",WWWW[[#This Row],[Total PoP ]]/50,(WWWW[[#This Row],[Total PoP ]]/6))),0)</f>
        <v>31</v>
      </c>
      <c r="DI333" s="893">
        <f>IF(WWWW[[#This Row],[Total required Latrines]]-(WWWW[[#This Row],['#_Constructed latrines_by_WASHAgencies]]+WWWW[[#This Row],['#_Non Cluster partner latrines]])&lt;0,0,WWWW[[#This Row],[Total required Latrines]]-(WWWW[[#This Row],['#_Constructed latrines_by_WASHAgencies]]+WWWW[[#This Row],['#_Non Cluster partner latrines]]))</f>
        <v>30</v>
      </c>
      <c r="DJ333" s="895">
        <f>1-WWWW[[#This Row],[% people access to functioning Latrine]]</f>
        <v>1</v>
      </c>
      <c r="DK333" s="894">
        <f>IF(OR(WWWW[[#This Row],['#_Non-functional latrines]]="",WWWW[[#This Row],['#_Non-functional latrines]]=0),0,WWWW[[#This Row],['#_Non-functional latrines]]/(WWWW[[#This Row],['#_Constructed latrines_by_WASHAgencies]]+WWWW[[#This Row],['#_Non Cluster partner latrines]]))</f>
        <v>1</v>
      </c>
      <c r="DL333" s="890">
        <f>IF(500*(WWWW[[#This Row],['#_male hygiene promoters]]+WWWW[[#This Row],['#_female hygiene promoters]])&gt;WWWW[[#This Row],[Total PoP ]],WWWW[[#This Row],[Total PoP ]],500*(WWWW[[#This Row],['#_male hygiene promoters]]+WWWW[[#This Row],['#_female hygiene promoters]]))</f>
        <v>500</v>
      </c>
      <c r="DM33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624</v>
      </c>
      <c r="DN33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133.84800000000001</v>
      </c>
      <c r="DO333" s="893">
        <f>IF(WWWW[[#This Row],['# People with access to soap]]&gt;WWWW[[#This Row],['# People with access to Sanity Pads]],WWWW[[#This Row],['# People with access to soap]],WWWW[[#This Row],['# People with access to Sanity Pads]])</f>
        <v>624</v>
      </c>
      <c r="DP333" s="893">
        <f>IF(WWWW[[#This Row],['# people reached by regular dedicated hygiene promotion_5]]&gt;WWWW[[#This Row],['# People received regular supply of hygiene items_6]],WWWW[[#This Row],['# people reached by regular dedicated hygiene promotion_5]],WWWW[[#This Row],['# People received regular supply of hygiene items_6]])</f>
        <v>624</v>
      </c>
      <c r="DQ333" s="895">
        <f>IF(WWWW[[#This Row],[HRP3]]/WWWW[[#This Row],[Total PoP ]]&gt;1,1,WWWW[[#This Row],[HRP3]]/WWWW[[#This Row],[Total PoP ]])</f>
        <v>1</v>
      </c>
      <c r="DR333" s="894">
        <f>1-WWWW[[#This Row],[Hygiene Coverage%]]</f>
        <v>0</v>
      </c>
      <c r="DS333" s="892">
        <f>WWWW[[#This Row],['# people reached by regular dedicated hygiene promotion_5]]/WWWW[[#This Row],[Total PoP ]]</f>
        <v>0.80128205128205132</v>
      </c>
      <c r="DT33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3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33" s="893">
        <f>WWWW[[#This Row],['#_Constructed/Existing hand washing stations]]-WWWW[[#This Row],['#_Non-Functional_hand_washing_stations]]</f>
        <v>5</v>
      </c>
      <c r="DW333" s="890">
        <f>IF(WWWW[[#This Row],['# Functional hand washing stations during reporting period]]*20&gt;WWWW[[#This Row],[Total HH]],WWWW[[#This Row],[Total HH]],WWWW[[#This Row],['# Functional hand washing stations during reporting period]]*20)</f>
        <v>100</v>
      </c>
      <c r="DX333" s="890">
        <f>IF(WWWW[[#This Row],[Is sufficient soap available for TLS? (Yes/No)]]="yes",WWWW[[#This Row],['#_Constructed/Existing hand washing stations at TLS/CFS/THF]],0)</f>
        <v>5</v>
      </c>
      <c r="DY333" s="428">
        <f>IF(WWWW[[#This Row],['# Functional hand washing stations during reporting period]]*100&gt;WWWW[[#This Row],[Total PoP ]],WWWW[[#This Row],[Total PoP ]],WWWW[[#This Row],['# Functional hand washing stations during reporting period]]*100)</f>
        <v>500</v>
      </c>
      <c r="DZ333" s="428" t="str">
        <f>IF(OR(WWWW[[#This Row],['#_students at TLS_CFS]]="",WWWW[[#This Row],['#_students at TLS_CFS]]=0),"No","Yes")</f>
        <v>No</v>
      </c>
      <c r="EA33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3" s="886" t="str">
        <f>VLOOKUP(WWWW[[#This Row],[Site Name]],SiteDB6[[Site Name]:[CCCM Management]],6,FALSE)</f>
        <v>Yes</v>
      </c>
      <c r="EF333" s="886" t="str">
        <f>VLOOKUP(WWWW[[#This Row],[Site Name]],SiteDB6[[Site Name]:[CCCM Focal Agency]],7,FALSE)</f>
        <v>KMSS-MYT</v>
      </c>
      <c r="EG333" s="886" t="str">
        <f>VLOOKUP(WWWW[[#This Row],[Site Name]],SiteDB6[[Site Name]:[Location Type 1]],9,FALSE)</f>
        <v>Camp</v>
      </c>
      <c r="EH333" s="886" t="str">
        <f>VLOOKUP(WWWW[[#This Row],[Site Name]],SiteDB6[[Site Name]:[Type of Accommodation]],10,FALSE)</f>
        <v>Camp</v>
      </c>
      <c r="EI333" s="886" t="str">
        <f>VLOOKUP(WWWW[[#This Row],[Site Name]],SiteDB6[[Site Name]:[Ethnic or GCA/NGCA]],11,FALSE)</f>
        <v>GCA</v>
      </c>
      <c r="EJ333" s="886">
        <f>VLOOKUP(WWWW[[#This Row],[Site Name]],SiteDB6[[Site Name]:[Lat]],12,FALSE)</f>
        <v>26.350176000000001</v>
      </c>
      <c r="EK333" s="886">
        <f>VLOOKUP(WWWW[[#This Row],[Site Name]],SiteDB6[[Site Name]:[Long]],13,FALSE)</f>
        <v>96.711387999999999</v>
      </c>
      <c r="EL333" s="886" t="str">
        <f>VLOOKUP(WWWW[[#This Row],[Site Name]],SiteDB6[[Site Name]:[Pcode]],3,FALSE)</f>
        <v>MMR001CMP251</v>
      </c>
      <c r="EM333" s="891" t="str">
        <f t="shared" si="5"/>
        <v>Covered</v>
      </c>
      <c r="EN333" s="891"/>
      <c r="EO333" s="886">
        <f>VLOOKUP(WWWW[[#This Row],[Site Name]],SiteDB6[[Site Name]:[Pop
(Kachin/Shan-CCCM as of July 2021)]],16,FALSE)</f>
        <v>133</v>
      </c>
      <c r="EP333" s="886">
        <f>VLOOKUP(WWWW[[#This Row],[Site Name]],SiteDB6[[Site Name]:[Pop
(Kachin/Shan-CCCM as of July 2021)]],17,FALSE)</f>
        <v>622</v>
      </c>
    </row>
    <row r="334" spans="1:146" hidden="1">
      <c r="A334" s="884" t="s">
        <v>2764</v>
      </c>
      <c r="B334" s="884" t="s">
        <v>36</v>
      </c>
      <c r="C334" s="885" t="s">
        <v>36</v>
      </c>
      <c r="D334" s="885" t="s">
        <v>241</v>
      </c>
      <c r="E334" s="885" t="s">
        <v>37</v>
      </c>
      <c r="F334" s="885" t="s">
        <v>157</v>
      </c>
      <c r="G334" s="591" t="str">
        <f>VLOOKUP(WWWW[[#This Row],[Site Name]],SiteDB6[[Site Name]:[Location Type]],8,FALSE)</f>
        <v>Camp</v>
      </c>
      <c r="H334" s="979" t="s">
        <v>239</v>
      </c>
      <c r="I334" s="887">
        <v>11</v>
      </c>
      <c r="J334" s="887">
        <v>68</v>
      </c>
      <c r="K334" s="888">
        <v>44414</v>
      </c>
      <c r="L334" s="889">
        <v>44778</v>
      </c>
      <c r="M334" s="887"/>
      <c r="N334" s="887">
        <v>1</v>
      </c>
      <c r="O334" s="887"/>
      <c r="P334" s="887"/>
      <c r="Q334" s="890" t="s">
        <v>41</v>
      </c>
      <c r="R334" s="887">
        <v>3</v>
      </c>
      <c r="S334" s="887">
        <v>8</v>
      </c>
      <c r="T334" s="448">
        <v>1</v>
      </c>
      <c r="U334" s="887"/>
      <c r="V334" s="887"/>
      <c r="W334" s="887"/>
      <c r="X334" s="887"/>
      <c r="Y334" s="887"/>
      <c r="Z334" s="887"/>
      <c r="AA334" s="887"/>
      <c r="AB334" s="887"/>
      <c r="AC334" s="887"/>
      <c r="AD334" s="887"/>
      <c r="AE334" s="887"/>
      <c r="AF334" s="887"/>
      <c r="AG334" s="887"/>
      <c r="AH334" s="887"/>
      <c r="AI334" s="887">
        <v>9</v>
      </c>
      <c r="AJ334" s="887">
        <v>6</v>
      </c>
      <c r="AK334" s="887"/>
      <c r="AL334" s="887"/>
      <c r="AM334" s="887">
        <v>4</v>
      </c>
      <c r="AN334" s="887"/>
      <c r="AO334" s="448"/>
      <c r="AP334" s="891"/>
      <c r="AQ334" s="887">
        <v>7</v>
      </c>
      <c r="AR334" s="887"/>
      <c r="AS334" s="892"/>
      <c r="AT334" s="887"/>
      <c r="AU334" s="887"/>
      <c r="AV334" s="887"/>
      <c r="AW334" s="887"/>
      <c r="AX334" s="887"/>
      <c r="AY334" s="886" t="s">
        <v>41</v>
      </c>
      <c r="AZ334" s="891" t="s">
        <v>137</v>
      </c>
      <c r="BA334" s="887">
        <v>1</v>
      </c>
      <c r="BB334" s="887"/>
      <c r="BC334" s="887"/>
      <c r="BD334" s="448"/>
      <c r="BE334" s="448"/>
      <c r="BF334" s="886"/>
      <c r="BG334" s="887">
        <v>0</v>
      </c>
      <c r="BH334" s="887"/>
      <c r="BI334" s="887"/>
      <c r="BJ334" s="887">
        <v>2</v>
      </c>
      <c r="BK334" s="887"/>
      <c r="BL334" s="887"/>
      <c r="BM334" s="887">
        <v>1</v>
      </c>
      <c r="BN334" s="887">
        <v>11</v>
      </c>
      <c r="BO334" s="887">
        <v>14.586000000000002</v>
      </c>
      <c r="BP334" s="886" t="s">
        <v>41</v>
      </c>
      <c r="BQ334" s="893">
        <v>100</v>
      </c>
      <c r="BR334" s="892"/>
      <c r="BS334" s="886" t="s">
        <v>3035</v>
      </c>
      <c r="BT334" s="423"/>
      <c r="BU334" s="423"/>
      <c r="BV334" s="425"/>
      <c r="BW334" s="423">
        <v>0.01</v>
      </c>
      <c r="BX334" s="448"/>
      <c r="BY334" s="448"/>
      <c r="BZ334" s="448"/>
      <c r="CA334" s="448"/>
      <c r="CB334" s="448"/>
      <c r="CC334" s="777"/>
      <c r="CD334" s="448"/>
      <c r="CE334" s="894">
        <f>IFERROR(WWWW[[#This Row],['#_Water sources passed]]/WWWW[[#This Row],['#_Water sources tested for fecal coliform ]],"no test")</f>
        <v>0.66666666666666663</v>
      </c>
      <c r="CF334" s="892" t="str">
        <f>IFERROR(WWWW[[#This Row],['#_Household passed]]/WWWW[[#This Row],['#_Household water samples tested for fecal coliform]],"no test")</f>
        <v>no test</v>
      </c>
      <c r="CG334" s="893" t="str">
        <f>IF(AND(WWWW[[#This Row],[% of water sources passed]]="no test",WWWW[[#This Row],[% Household passed]]="no test"),"No Test","Tested")</f>
        <v>Tested</v>
      </c>
      <c r="CH334" s="893">
        <f>WWWW[[#This Row],['#_Constructed/existing protected hand dug well]]-WWWW[[#This Row],['#_Non-functional protected hand dug well]]</f>
        <v>1</v>
      </c>
      <c r="CI334" s="893">
        <f>(WWWW[[#This Row],['#_Constructed/Existing tube wells/boreholes/handpumps_WASH_agency]]+WWWW[[#This Row],['#_Non-Cluster partner water tube-wells/boreholes/handpumps]])-WWWW[[#This Row],['#_Non-functional tube wells/boreholes/handpumps]]</f>
        <v>0</v>
      </c>
      <c r="CJ334" s="893">
        <f>WWWW[[#This Row],['#_Constructed/Existingwater storage tank with gravity fed reticulation system]]-WWWW[[#This Row],['#_Non-functional storage tank gravity fed reticulation system]]</f>
        <v>0</v>
      </c>
      <c r="CK334" s="893">
        <f>(WWWW[[#This Row],['#_Water_Liters_supplied_by_Water boating or water trucking]]/90)/15</f>
        <v>0</v>
      </c>
      <c r="CL334" s="893">
        <f>WWWW[[#This Row],['#_Water_Liters_from_Constructed/Existing water distribution system from river or natural spring]]/90/15</f>
        <v>0</v>
      </c>
      <c r="CM334" s="424">
        <f>IF(WWWW[[#This Row],['#_of water points in TLS/CFS]]*500&gt;WWWW[[#This Row],[Total PoP ]],WWWW[[#This Row],[Total PoP ]],WWWW[[#This Row],['#_of water points in TLS/CFS]]*500)</f>
        <v>0</v>
      </c>
      <c r="CN334" s="424">
        <f>IF(WWWW[[#This Row],['#_of water points in THF]]*500&gt;WWWW[[#This Row],[Total PoP ]],WWWW[[#This Row],[Total PoP ]],WWWW[[#This Row],['#_of water points in THF]]*500)</f>
        <v>0</v>
      </c>
      <c r="CO33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3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34" s="892">
        <f>IF(WWWW[[#This Row],[Location Type 1]]="Village",WWWW[[#This Row],[Access to safe drinking water for Village]],WWWW[[#This Row],[Access to safe drinking water for Camp]])</f>
        <v>1</v>
      </c>
      <c r="CR334" s="890">
        <f>WWWW[[#This Row],[%Equitable and continuous access to sufficient quantity of safe drinking water]]*WWWW[[#This Row],[Total PoP ]]</f>
        <v>68</v>
      </c>
      <c r="CS334" s="892">
        <f>IF((WWWW[[#This Row],['#_Constructed/Existing protected/fenced ponds]]*250)/WWWW[[#This Row],[Total PoP ]]&gt;1,1,(WWWW[[#This Row],['#_Constructed/Existing protected/fenced ponds]]*250)/WWWW[[#This Row],[Total PoP ]])</f>
        <v>0</v>
      </c>
      <c r="CT334" s="890">
        <f>WWWW[[#This Row],[% Access to unimproved water points]]*WWWW[[#This Row],[Total PoP ]]</f>
        <v>0</v>
      </c>
      <c r="CU33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3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v>
      </c>
      <c r="CW334" s="890">
        <f>WWWW[[#This Row],[HRP1]]/500</f>
        <v>0.13600000000000001</v>
      </c>
      <c r="CX334" s="895">
        <f>1-WWWW[[#This Row],[% Equitable and continuous access to sufficient quantity of domestic water]]</f>
        <v>0</v>
      </c>
      <c r="CY334" s="890">
        <f>WWWW[[#This Row],[%equitable and continuous access to sufficient quantity of safe drinking and domestic water''s GAP]]*WWWW[[#This Row],[Total PoP ]]</f>
        <v>0</v>
      </c>
      <c r="CZ334" s="893">
        <f>IF(WWWW[[#This Row],[Total required water points]]-WWWW[[#This Row],['#Water points coverage]]&lt;0,0,WWWW[[#This Row],[Total required water points]]-WWWW[[#This Row],['#Water points coverage]])</f>
        <v>0.86399999999999999</v>
      </c>
      <c r="DA334" s="893">
        <f>ROUND(IF(WWWW[[#This Row],[Total PoP ]]&lt;500,1,WWWW[[#This Row],[Total PoP ]]/500),0)</f>
        <v>1</v>
      </c>
      <c r="DB334" s="893">
        <f>(WWWW[[#This Row],['#_Constructed latrines_by_WASHAgencies]]+WWWW[[#This Row],['#_Non Cluster partner latrines]])-WWWW[[#This Row],['#_Non-functional latrines]]</f>
        <v>7</v>
      </c>
      <c r="DC334" s="631">
        <f>WWWW[[#This Row],[HRP2]]/WWWW[[#This Row],[Total PoP ]]</f>
        <v>1</v>
      </c>
      <c r="DD33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v>
      </c>
      <c r="DE33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4" s="424">
        <f>IF(WWWW[[#This Row],['# of functional latrines in THF supported by WASH partners during the reporting period2]]="",0,WWWW[[#This Row],['# of functional latrines in THF supported by WASH partners during the reporting period2]]*50)</f>
        <v>0</v>
      </c>
      <c r="DH334" s="893">
        <f>ROUND(IF(WWWW[[#This Row],[Location Type 1]]="camp",WWWW[[#This Row],[Total PoP ]]/20,IF(WWWW[[#This Row],[Location Type 1]]="Temporary Location",WWWW[[#This Row],[Total PoP ]]/50,(WWWW[[#This Row],[Total PoP ]]/6))),0)</f>
        <v>3</v>
      </c>
      <c r="DI334" s="893">
        <f>IF(WWWW[[#This Row],[Total required Latrines]]-(WWWW[[#This Row],['#_Constructed latrines_by_WASHAgencies]]+WWWW[[#This Row],['#_Non Cluster partner latrines]])&lt;0,0,WWWW[[#This Row],[Total required Latrines]]-(WWWW[[#This Row],['#_Constructed latrines_by_WASHAgencies]]+WWWW[[#This Row],['#_Non Cluster partner latrines]]))</f>
        <v>0</v>
      </c>
      <c r="DJ334" s="895">
        <f>1-WWWW[[#This Row],[% people access to functioning Latrine]]</f>
        <v>0</v>
      </c>
      <c r="DK334" s="894">
        <f>IF(OR(WWWW[[#This Row],['#_Non-functional latrines]]="",WWWW[[#This Row],['#_Non-functional latrines]]=0),0,WWWW[[#This Row],['#_Non-functional latrines]]/(WWWW[[#This Row],['#_Constructed latrines_by_WASHAgencies]]+WWWW[[#This Row],['#_Non Cluster partner latrines]]))</f>
        <v>0</v>
      </c>
      <c r="DL334" s="890">
        <f>IF(500*(WWWW[[#This Row],['#_male hygiene promoters]]+WWWW[[#This Row],['#_female hygiene promoters]])&gt;WWWW[[#This Row],[Total PoP ]],WWWW[[#This Row],[Total PoP ]],500*(WWWW[[#This Row],['#_male hygiene promoters]]+WWWW[[#This Row],['#_female hygiene promoters]]))</f>
        <v>68</v>
      </c>
      <c r="DM33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68</v>
      </c>
      <c r="DN33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14.586000000000002</v>
      </c>
      <c r="DO334" s="893">
        <f>IF(WWWW[[#This Row],['# People with access to soap]]&gt;WWWW[[#This Row],['# People with access to Sanity Pads]],WWWW[[#This Row],['# People with access to soap]],WWWW[[#This Row],['# People with access to Sanity Pads]])</f>
        <v>68</v>
      </c>
      <c r="DP334" s="893">
        <f>IF(WWWW[[#This Row],['# people reached by regular dedicated hygiene promotion_5]]&gt;WWWW[[#This Row],['# People received regular supply of hygiene items_6]],WWWW[[#This Row],['# people reached by regular dedicated hygiene promotion_5]],WWWW[[#This Row],['# People received regular supply of hygiene items_6]])</f>
        <v>68</v>
      </c>
      <c r="DQ334" s="895">
        <f>IF(WWWW[[#This Row],[HRP3]]/WWWW[[#This Row],[Total PoP ]]&gt;1,1,WWWW[[#This Row],[HRP3]]/WWWW[[#This Row],[Total PoP ]])</f>
        <v>1</v>
      </c>
      <c r="DR334" s="894">
        <f>1-WWWW[[#This Row],[Hygiene Coverage%]]</f>
        <v>0</v>
      </c>
      <c r="DS334" s="892">
        <f>WWWW[[#This Row],['# people reached by regular dedicated hygiene promotion_5]]/WWWW[[#This Row],[Total PoP ]]</f>
        <v>1</v>
      </c>
      <c r="DT33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3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34" s="893">
        <f>WWWW[[#This Row],['#_Constructed/Existing hand washing stations]]-WWWW[[#This Row],['#_Non-Functional_hand_washing_stations]]</f>
        <v>0</v>
      </c>
      <c r="DW334" s="890">
        <f>IF(WWWW[[#This Row],['# Functional hand washing stations during reporting period]]*20&gt;WWWW[[#This Row],[Total HH]],WWWW[[#This Row],[Total HH]],WWWW[[#This Row],['# Functional hand washing stations during reporting period]]*20)</f>
        <v>0</v>
      </c>
      <c r="DX334" s="890">
        <f>IF(WWWW[[#This Row],[Is sufficient soap available for TLS? (Yes/No)]]="yes",WWWW[[#This Row],['#_Constructed/Existing hand washing stations at TLS/CFS/THF]],0)</f>
        <v>4</v>
      </c>
      <c r="DY334" s="428">
        <f>IF(WWWW[[#This Row],['# Functional hand washing stations during reporting period]]*100&gt;WWWW[[#This Row],[Total PoP ]],WWWW[[#This Row],[Total PoP ]],WWWW[[#This Row],['# Functional hand washing stations during reporting period]]*100)</f>
        <v>0</v>
      </c>
      <c r="DZ334" s="428" t="str">
        <f>IF(OR(WWWW[[#This Row],['#_students at TLS_CFS]]="",WWWW[[#This Row],['#_students at TLS_CFS]]=0),"No","Yes")</f>
        <v>No</v>
      </c>
      <c r="EA33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4" s="886" t="str">
        <f>VLOOKUP(WWWW[[#This Row],[Site Name]],SiteDB6[[Site Name]:[CCCM Management]],6,FALSE)</f>
        <v>Yes</v>
      </c>
      <c r="EF334" s="886" t="str">
        <f>VLOOKUP(WWWW[[#This Row],[Site Name]],SiteDB6[[Site Name]:[CCCM Focal Agency]],7,FALSE)</f>
        <v>KMSS-MYT</v>
      </c>
      <c r="EG334" s="886" t="str">
        <f>VLOOKUP(WWWW[[#This Row],[Site Name]],SiteDB6[[Site Name]:[Location Type 1]],9,FALSE)</f>
        <v>Camp</v>
      </c>
      <c r="EH334" s="886" t="str">
        <f>VLOOKUP(WWWW[[#This Row],[Site Name]],SiteDB6[[Site Name]:[Type of Accommodation]],10,FALSE)</f>
        <v>Closed Camp</v>
      </c>
      <c r="EI334" s="886" t="str">
        <f>VLOOKUP(WWWW[[#This Row],[Site Name]],SiteDB6[[Site Name]:[Ethnic or GCA/NGCA]],11,FALSE)</f>
        <v>GCA</v>
      </c>
      <c r="EJ334" s="886">
        <f>VLOOKUP(WWWW[[#This Row],[Site Name]],SiteDB6[[Site Name]:[Lat]],12,FALSE)</f>
        <v>24.764800000000001</v>
      </c>
      <c r="EK334" s="886">
        <f>VLOOKUP(WWWW[[#This Row],[Site Name]],SiteDB6[[Site Name]:[Long]],13,FALSE)</f>
        <v>96.367059999999995</v>
      </c>
      <c r="EL334" s="886" t="str">
        <f>VLOOKUP(WWWW[[#This Row],[Site Name]],SiteDB6[[Site Name]:[Pcode]],3,FALSE)</f>
        <v>MMR001CMP080</v>
      </c>
      <c r="EM334" s="891" t="str">
        <f t="shared" si="5"/>
        <v>Covered</v>
      </c>
      <c r="EN334" s="891"/>
      <c r="EO334" s="886">
        <f>VLOOKUP(WWWW[[#This Row],[Site Name]],SiteDB6[[Site Name]:[Pop
(Kachin/Shan-CCCM as of July 2021)]],16,FALSE)</f>
        <v>11</v>
      </c>
      <c r="EP334" s="886">
        <f>VLOOKUP(WWWW[[#This Row],[Site Name]],SiteDB6[[Site Name]:[Pop
(Kachin/Shan-CCCM as of July 2021)]],17,FALSE)</f>
        <v>68</v>
      </c>
    </row>
    <row r="335" spans="1:146" hidden="1">
      <c r="A335" s="884" t="s">
        <v>2764</v>
      </c>
      <c r="B335" s="884" t="s">
        <v>309</v>
      </c>
      <c r="C335" s="885" t="s">
        <v>309</v>
      </c>
      <c r="D335" s="885"/>
      <c r="E335" s="885" t="s">
        <v>37</v>
      </c>
      <c r="F335" s="885" t="s">
        <v>148</v>
      </c>
      <c r="G335" s="591" t="str">
        <f>VLOOKUP(WWWW[[#This Row],[Site Name]],SiteDB6[[Site Name]:[Location Type]],8,FALSE)</f>
        <v>Camp</v>
      </c>
      <c r="H335" s="726" t="s">
        <v>3021</v>
      </c>
      <c r="I335" s="887">
        <v>95</v>
      </c>
      <c r="J335" s="887">
        <v>472</v>
      </c>
      <c r="K335" s="888"/>
      <c r="L335" s="889"/>
      <c r="M335" s="887"/>
      <c r="N335" s="887"/>
      <c r="O335" s="887"/>
      <c r="P335" s="887"/>
      <c r="Q335" s="890"/>
      <c r="R335" s="887"/>
      <c r="S335" s="887"/>
      <c r="T335" s="448"/>
      <c r="U335" s="887"/>
      <c r="V335" s="887"/>
      <c r="W335" s="887"/>
      <c r="X335" s="887"/>
      <c r="Y335" s="887"/>
      <c r="Z335" s="887"/>
      <c r="AA335" s="887"/>
      <c r="AB335" s="887"/>
      <c r="AC335" s="887"/>
      <c r="AD335" s="887"/>
      <c r="AE335" s="887"/>
      <c r="AF335" s="887"/>
      <c r="AG335" s="887"/>
      <c r="AH335" s="887"/>
      <c r="AI335" s="887"/>
      <c r="AJ335" s="887"/>
      <c r="AK335" s="887"/>
      <c r="AL335" s="887"/>
      <c r="AM335" s="887"/>
      <c r="AN335" s="887"/>
      <c r="AO335" s="448"/>
      <c r="AP335" s="891"/>
      <c r="AQ335" s="887"/>
      <c r="AR335" s="887"/>
      <c r="AS335" s="892"/>
      <c r="AT335" s="887"/>
      <c r="AU335" s="887"/>
      <c r="AV335" s="887"/>
      <c r="AW335" s="887"/>
      <c r="AX335" s="887"/>
      <c r="AY335" s="886" t="s">
        <v>140</v>
      </c>
      <c r="AZ335" s="891" t="s">
        <v>140</v>
      </c>
      <c r="BA335" s="887"/>
      <c r="BB335" s="887"/>
      <c r="BC335" s="887"/>
      <c r="BD335" s="448"/>
      <c r="BE335" s="448"/>
      <c r="BF335" s="886"/>
      <c r="BG335" s="887">
        <v>8</v>
      </c>
      <c r="BH335" s="887"/>
      <c r="BI335" s="887"/>
      <c r="BJ335" s="887">
        <v>3</v>
      </c>
      <c r="BK335" s="887"/>
      <c r="BL335" s="887"/>
      <c r="BM335" s="887"/>
      <c r="BN335" s="887"/>
      <c r="BO335" s="887"/>
      <c r="BP335" s="886"/>
      <c r="BQ335" s="893"/>
      <c r="BR335" s="892"/>
      <c r="BS335" s="886"/>
      <c r="BT335" s="423"/>
      <c r="BU335" s="423"/>
      <c r="BV335" s="425"/>
      <c r="BW335" s="423"/>
      <c r="BX335" s="448"/>
      <c r="BY335" s="448"/>
      <c r="BZ335" s="448"/>
      <c r="CA335" s="448"/>
      <c r="CB335" s="448"/>
      <c r="CC335" s="777"/>
      <c r="CD335" s="448"/>
      <c r="CE335" s="894" t="str">
        <f>IFERROR(WWWW[[#This Row],['#_Water sources passed]]/WWWW[[#This Row],['#_Water sources tested for fecal coliform ]],"no test")</f>
        <v>no test</v>
      </c>
      <c r="CF335" s="892" t="str">
        <f>IFERROR(WWWW[[#This Row],['#_Household passed]]/WWWW[[#This Row],['#_Household water samples tested for fecal coliform]],"no test")</f>
        <v>no test</v>
      </c>
      <c r="CG335" s="893" t="str">
        <f>IF(AND(WWWW[[#This Row],[% of water sources passed]]="no test",WWWW[[#This Row],[% Household passed]]="no test"),"No Test","Tested")</f>
        <v>No Test</v>
      </c>
      <c r="CH335" s="893">
        <f>WWWW[[#This Row],['#_Constructed/existing protected hand dug well]]-WWWW[[#This Row],['#_Non-functional protected hand dug well]]</f>
        <v>0</v>
      </c>
      <c r="CI335" s="893">
        <f>(WWWW[[#This Row],['#_Constructed/Existing tube wells/boreholes/handpumps_WASH_agency]]+WWWW[[#This Row],['#_Non-Cluster partner water tube-wells/boreholes/handpumps]])-WWWW[[#This Row],['#_Non-functional tube wells/boreholes/handpumps]]</f>
        <v>0</v>
      </c>
      <c r="CJ335" s="893">
        <f>WWWW[[#This Row],['#_Constructed/Existingwater storage tank with gravity fed reticulation system]]-WWWW[[#This Row],['#_Non-functional storage tank gravity fed reticulation system]]</f>
        <v>0</v>
      </c>
      <c r="CK335" s="893">
        <f>(WWWW[[#This Row],['#_Water_Liters_supplied_by_Water boating or water trucking]]/90)/15</f>
        <v>0</v>
      </c>
      <c r="CL335" s="893">
        <f>WWWW[[#This Row],['#_Water_Liters_from_Constructed/Existing water distribution system from river or natural spring]]/90/15</f>
        <v>0</v>
      </c>
      <c r="CM335" s="424">
        <f>IF(WWWW[[#This Row],['#_of water points in TLS/CFS]]*500&gt;WWWW[[#This Row],[Total PoP ]],WWWW[[#This Row],[Total PoP ]],WWWW[[#This Row],['#_of water points in TLS/CFS]]*500)</f>
        <v>0</v>
      </c>
      <c r="CN335" s="424">
        <f>IF(WWWW[[#This Row],['#_of water points in THF]]*500&gt;WWWW[[#This Row],[Total PoP ]],WWWW[[#This Row],[Total PoP ]],WWWW[[#This Row],['#_of water points in THF]]*500)</f>
        <v>0</v>
      </c>
      <c r="CO33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3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35" s="892">
        <f>IF(WWWW[[#This Row],[Location Type 1]]="Village",WWWW[[#This Row],[Access to safe drinking water for Village]],WWWW[[#This Row],[Access to safe drinking water for Camp]])</f>
        <v>0</v>
      </c>
      <c r="CR335" s="890">
        <f>WWWW[[#This Row],[%Equitable and continuous access to sufficient quantity of safe drinking water]]*WWWW[[#This Row],[Total PoP ]]</f>
        <v>0</v>
      </c>
      <c r="CS335" s="892">
        <f>IF((WWWW[[#This Row],['#_Constructed/Existing protected/fenced ponds]]*250)/WWWW[[#This Row],[Total PoP ]]&gt;1,1,(WWWW[[#This Row],['#_Constructed/Existing protected/fenced ponds]]*250)/WWWW[[#This Row],[Total PoP ]])</f>
        <v>0</v>
      </c>
      <c r="CT335" s="890">
        <f>WWWW[[#This Row],[% Access to unimproved water points]]*WWWW[[#This Row],[Total PoP ]]</f>
        <v>0</v>
      </c>
      <c r="CU33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3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35" s="890">
        <f>WWWW[[#This Row],[HRP1]]/500</f>
        <v>0</v>
      </c>
      <c r="CX335" s="895">
        <f>1-WWWW[[#This Row],[% Equitable and continuous access to sufficient quantity of domestic water]]</f>
        <v>1</v>
      </c>
      <c r="CY335" s="890">
        <f>WWWW[[#This Row],[%equitable and continuous access to sufficient quantity of safe drinking and domestic water''s GAP]]*WWWW[[#This Row],[Total PoP ]]</f>
        <v>472</v>
      </c>
      <c r="CZ335" s="893">
        <f>IF(WWWW[[#This Row],[Total required water points]]-WWWW[[#This Row],['#Water points coverage]]&lt;0,0,WWWW[[#This Row],[Total required water points]]-WWWW[[#This Row],['#Water points coverage]])</f>
        <v>1</v>
      </c>
      <c r="DA335" s="893">
        <f>ROUND(IF(WWWW[[#This Row],[Total PoP ]]&lt;500,1,WWWW[[#This Row],[Total PoP ]]/500),0)</f>
        <v>1</v>
      </c>
      <c r="DB335" s="893">
        <f>(WWWW[[#This Row],['#_Constructed latrines_by_WASHAgencies]]+WWWW[[#This Row],['#_Non Cluster partner latrines]])-WWWW[[#This Row],['#_Non-functional latrines]]</f>
        <v>0</v>
      </c>
      <c r="DC335" s="631">
        <f>WWWW[[#This Row],[HRP2]]/WWWW[[#This Row],[Total PoP ]]</f>
        <v>0</v>
      </c>
      <c r="DD33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5" s="424">
        <f>IF(WWWW[[#This Row],['# of functional latrines in THF supported by WASH partners during the reporting period2]]="",0,WWWW[[#This Row],['# of functional latrines in THF supported by WASH partners during the reporting period2]]*50)</f>
        <v>0</v>
      </c>
      <c r="DH335" s="893">
        <f>ROUND(IF(WWWW[[#This Row],[Location Type 1]]="camp",WWWW[[#This Row],[Total PoP ]]/20,IF(WWWW[[#This Row],[Location Type 1]]="Temporary Location",WWWW[[#This Row],[Total PoP ]]/50,(WWWW[[#This Row],[Total PoP ]]/6))),0)</f>
        <v>24</v>
      </c>
      <c r="DI335" s="893">
        <f>IF(WWWW[[#This Row],[Total required Latrines]]-(WWWW[[#This Row],['#_Constructed latrines_by_WASHAgencies]]+WWWW[[#This Row],['#_Non Cluster partner latrines]])&lt;0,0,WWWW[[#This Row],[Total required Latrines]]-(WWWW[[#This Row],['#_Constructed latrines_by_WASHAgencies]]+WWWW[[#This Row],['#_Non Cluster partner latrines]]))</f>
        <v>24</v>
      </c>
      <c r="DJ335" s="895">
        <f>1-WWWW[[#This Row],[% people access to functioning Latrine]]</f>
        <v>1</v>
      </c>
      <c r="DK335" s="894">
        <f>IF(OR(WWWW[[#This Row],['#_Non-functional latrines]]="",WWWW[[#This Row],['#_Non-functional latrines]]=0),0,WWWW[[#This Row],['#_Non-functional latrines]]/(WWWW[[#This Row],['#_Constructed latrines_by_WASHAgencies]]+WWWW[[#This Row],['#_Non Cluster partner latrines]]))</f>
        <v>0</v>
      </c>
      <c r="DL335" s="890">
        <f>IF(500*(WWWW[[#This Row],['#_male hygiene promoters]]+WWWW[[#This Row],['#_female hygiene promoters]])&gt;WWWW[[#This Row],[Total PoP ]],WWWW[[#This Row],[Total PoP ]],500*(WWWW[[#This Row],['#_male hygiene promoters]]+WWWW[[#This Row],['#_female hygiene promoters]]))</f>
        <v>0</v>
      </c>
      <c r="DM33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5" s="893">
        <f>IF(WWWW[[#This Row],['# People with access to soap]]&gt;WWWW[[#This Row],['# People with access to Sanity Pads]],WWWW[[#This Row],['# People with access to soap]],WWWW[[#This Row],['# People with access to Sanity Pads]])</f>
        <v>0</v>
      </c>
      <c r="DP335"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5" s="895">
        <f>IF(WWWW[[#This Row],[HRP3]]/WWWW[[#This Row],[Total PoP ]]&gt;1,1,WWWW[[#This Row],[HRP3]]/WWWW[[#This Row],[Total PoP ]])</f>
        <v>0</v>
      </c>
      <c r="DR335" s="894">
        <f>1-WWWW[[#This Row],[Hygiene Coverage%]]</f>
        <v>1</v>
      </c>
      <c r="DS335" s="892">
        <f>WWWW[[#This Row],['# people reached by regular dedicated hygiene promotion_5]]/WWWW[[#This Row],[Total PoP ]]</f>
        <v>0</v>
      </c>
      <c r="DT33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5" s="893">
        <f>WWWW[[#This Row],['#_Constructed/Existing hand washing stations]]-WWWW[[#This Row],['#_Non-Functional_hand_washing_stations]]</f>
        <v>8</v>
      </c>
      <c r="DW335" s="890">
        <f>IF(WWWW[[#This Row],['# Functional hand washing stations during reporting period]]*20&gt;WWWW[[#This Row],[Total HH]],WWWW[[#This Row],[Total HH]],WWWW[[#This Row],['# Functional hand washing stations during reporting period]]*20)</f>
        <v>95</v>
      </c>
      <c r="DX335" s="890">
        <f>IF(WWWW[[#This Row],[Is sufficient soap available for TLS? (Yes/No)]]="yes",WWWW[[#This Row],['#_Constructed/Existing hand washing stations at TLS/CFS/THF]],0)</f>
        <v>0</v>
      </c>
      <c r="DY335" s="428">
        <f>IF(WWWW[[#This Row],['# Functional hand washing stations during reporting period]]*100&gt;WWWW[[#This Row],[Total PoP ]],WWWW[[#This Row],[Total PoP ]],WWWW[[#This Row],['# Functional hand washing stations during reporting period]]*100)</f>
        <v>472</v>
      </c>
      <c r="DZ335" s="428" t="str">
        <f>IF(OR(WWWW[[#This Row],['#_students at TLS_CFS]]="",WWWW[[#This Row],['#_students at TLS_CFS]]=0),"No","Yes")</f>
        <v>No</v>
      </c>
      <c r="EA33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5" s="886" t="str">
        <f>VLOOKUP(WWWW[[#This Row],[Site Name]],SiteDB6[[Site Name]:[CCCM Management]],6,FALSE)</f>
        <v>Yes</v>
      </c>
      <c r="EF335" s="886" t="str">
        <f>VLOOKUP(WWWW[[#This Row],[Site Name]],SiteDB6[[Site Name]:[CCCM Focal Agency]],7,FALSE)</f>
        <v>KMSS-MYT</v>
      </c>
      <c r="EG335" s="886" t="str">
        <f>VLOOKUP(WWWW[[#This Row],[Site Name]],SiteDB6[[Site Name]:[Location Type 1]],9,FALSE)</f>
        <v>Camp</v>
      </c>
      <c r="EH335" s="886" t="str">
        <f>VLOOKUP(WWWW[[#This Row],[Site Name]],SiteDB6[[Site Name]:[Type of Accommodation]],10,FALSE)</f>
        <v>Camp</v>
      </c>
      <c r="EI335" s="886" t="str">
        <f>VLOOKUP(WWWW[[#This Row],[Site Name]],SiteDB6[[Site Name]:[Ethnic or GCA/NGCA]],11,FALSE)</f>
        <v>GCA</v>
      </c>
      <c r="EJ335" s="886">
        <f>VLOOKUP(WWWW[[#This Row],[Site Name]],SiteDB6[[Site Name]:[Lat]],12,FALSE)</f>
        <v>25.656009999999998</v>
      </c>
      <c r="EK335" s="886">
        <f>VLOOKUP(WWWW[[#This Row],[Site Name]],SiteDB6[[Site Name]:[Long]],13,FALSE)</f>
        <v>96.361609999999999</v>
      </c>
      <c r="EL335" s="886" t="str">
        <f>VLOOKUP(WWWW[[#This Row],[Site Name]],SiteDB6[[Site Name]:[Pcode]],3,FALSE)</f>
        <v>MMR001CMP168</v>
      </c>
      <c r="EM335" s="891" t="str">
        <f t="shared" si="5"/>
        <v>Notcovered</v>
      </c>
      <c r="EN335" s="891"/>
      <c r="EO335" s="886">
        <f>VLOOKUP(WWWW[[#This Row],[Site Name]],SiteDB6[[Site Name]:[Pop
(Kachin/Shan-CCCM as of July 2021)]],16,FALSE)</f>
        <v>90</v>
      </c>
      <c r="EP335" s="886">
        <f>VLOOKUP(WWWW[[#This Row],[Site Name]],SiteDB6[[Site Name]:[Pop
(Kachin/Shan-CCCM as of July 2021)]],17,FALSE)</f>
        <v>456</v>
      </c>
    </row>
    <row r="336" spans="1:146" hidden="1">
      <c r="A336" s="884" t="s">
        <v>2764</v>
      </c>
      <c r="B336" s="884" t="s">
        <v>36</v>
      </c>
      <c r="C336" s="885" t="s">
        <v>36</v>
      </c>
      <c r="D336" s="885" t="s">
        <v>241</v>
      </c>
      <c r="E336" s="885" t="s">
        <v>37</v>
      </c>
      <c r="F336" s="885" t="s">
        <v>152</v>
      </c>
      <c r="G336" s="591" t="str">
        <f>VLOOKUP(WWWW[[#This Row],[Site Name]],SiteDB6[[Site Name]:[Location Type]],8,FALSE)</f>
        <v>Camp</v>
      </c>
      <c r="H336" s="726" t="s">
        <v>3028</v>
      </c>
      <c r="I336" s="887">
        <v>48</v>
      </c>
      <c r="J336" s="887">
        <v>270</v>
      </c>
      <c r="K336" s="888">
        <v>44414</v>
      </c>
      <c r="L336" s="889">
        <v>44778</v>
      </c>
      <c r="M336" s="887"/>
      <c r="N336" s="887">
        <v>3</v>
      </c>
      <c r="O336" s="887"/>
      <c r="P336" s="887"/>
      <c r="Q336" s="890" t="s">
        <v>41</v>
      </c>
      <c r="R336" s="887">
        <v>3</v>
      </c>
      <c r="S336" s="887">
        <v>1</v>
      </c>
      <c r="T336" s="448">
        <v>2</v>
      </c>
      <c r="U336" s="887"/>
      <c r="V336" s="887"/>
      <c r="W336" s="887"/>
      <c r="X336" s="887"/>
      <c r="Y336" s="887"/>
      <c r="Z336" s="887"/>
      <c r="AA336" s="887"/>
      <c r="AB336" s="887"/>
      <c r="AC336" s="887"/>
      <c r="AD336" s="887"/>
      <c r="AE336" s="887"/>
      <c r="AF336" s="887"/>
      <c r="AG336" s="887"/>
      <c r="AH336" s="887"/>
      <c r="AI336" s="887">
        <v>5</v>
      </c>
      <c r="AJ336" s="887">
        <v>1</v>
      </c>
      <c r="AK336" s="887"/>
      <c r="AL336" s="887"/>
      <c r="AM336" s="887">
        <v>5</v>
      </c>
      <c r="AN336" s="887"/>
      <c r="AO336" s="448"/>
      <c r="AP336" s="891"/>
      <c r="AQ336" s="887">
        <v>18</v>
      </c>
      <c r="AR336" s="887"/>
      <c r="AS336" s="892"/>
      <c r="AT336" s="887">
        <v>2</v>
      </c>
      <c r="AU336" s="887"/>
      <c r="AV336" s="887"/>
      <c r="AW336" s="887"/>
      <c r="AX336" s="887"/>
      <c r="AY336" s="886" t="s">
        <v>41</v>
      </c>
      <c r="AZ336" s="891" t="s">
        <v>904</v>
      </c>
      <c r="BA336" s="887"/>
      <c r="BB336" s="887"/>
      <c r="BC336" s="887"/>
      <c r="BD336" s="448"/>
      <c r="BE336" s="448"/>
      <c r="BF336" s="886"/>
      <c r="BG336" s="887">
        <v>5</v>
      </c>
      <c r="BH336" s="887"/>
      <c r="BI336" s="887">
        <v>2</v>
      </c>
      <c r="BJ336" s="887">
        <v>2</v>
      </c>
      <c r="BK336" s="887"/>
      <c r="BL336" s="887"/>
      <c r="BM336" s="887">
        <v>1</v>
      </c>
      <c r="BN336" s="887">
        <v>48</v>
      </c>
      <c r="BO336" s="887">
        <v>57.915000000000006</v>
      </c>
      <c r="BP336" s="886" t="s">
        <v>41</v>
      </c>
      <c r="BQ336" s="893">
        <v>100</v>
      </c>
      <c r="BR336" s="892"/>
      <c r="BS336" s="886" t="s">
        <v>3035</v>
      </c>
      <c r="BT336" s="423"/>
      <c r="BU336" s="423">
        <v>0.5</v>
      </c>
      <c r="BV336" s="425"/>
      <c r="BW336" s="423">
        <v>0.01</v>
      </c>
      <c r="BX336" s="448"/>
      <c r="BY336" s="448"/>
      <c r="BZ336" s="448"/>
      <c r="CA336" s="448"/>
      <c r="CB336" s="448"/>
      <c r="CC336" s="777"/>
      <c r="CD336" s="448"/>
      <c r="CE336" s="894">
        <f>IFERROR(WWWW[[#This Row],['#_Water sources passed]]/WWWW[[#This Row],['#_Water sources tested for fecal coliform ]],"no test")</f>
        <v>0.2</v>
      </c>
      <c r="CF336" s="892" t="str">
        <f>IFERROR(WWWW[[#This Row],['#_Household passed]]/WWWW[[#This Row],['#_Household water samples tested for fecal coliform]],"no test")</f>
        <v>no test</v>
      </c>
      <c r="CG336" s="893" t="str">
        <f>IF(AND(WWWW[[#This Row],[% of water sources passed]]="no test",WWWW[[#This Row],[% Household passed]]="no test"),"No Test","Tested")</f>
        <v>Tested</v>
      </c>
      <c r="CH336" s="893">
        <f>WWWW[[#This Row],['#_Constructed/existing protected hand dug well]]-WWWW[[#This Row],['#_Non-functional protected hand dug well]]</f>
        <v>2</v>
      </c>
      <c r="CI336" s="893">
        <f>(WWWW[[#This Row],['#_Constructed/Existing tube wells/boreholes/handpumps_WASH_agency]]+WWWW[[#This Row],['#_Non-Cluster partner water tube-wells/boreholes/handpumps]])-WWWW[[#This Row],['#_Non-functional tube wells/boreholes/handpumps]]</f>
        <v>0</v>
      </c>
      <c r="CJ336" s="893">
        <f>WWWW[[#This Row],['#_Constructed/Existingwater storage tank with gravity fed reticulation system]]-WWWW[[#This Row],['#_Non-functional storage tank gravity fed reticulation system]]</f>
        <v>0</v>
      </c>
      <c r="CK336" s="893">
        <f>(WWWW[[#This Row],['#_Water_Liters_supplied_by_Water boating or water trucking]]/90)/15</f>
        <v>0</v>
      </c>
      <c r="CL336" s="893">
        <f>WWWW[[#This Row],['#_Water_Liters_from_Constructed/Existing water distribution system from river or natural spring]]/90/15</f>
        <v>0</v>
      </c>
      <c r="CM336" s="424">
        <f>IF(WWWW[[#This Row],['#_of water points in TLS/CFS]]*500&gt;WWWW[[#This Row],[Total PoP ]],WWWW[[#This Row],[Total PoP ]],WWWW[[#This Row],['#_of water points in TLS/CFS]]*500)</f>
        <v>0</v>
      </c>
      <c r="CN336" s="424">
        <f>IF(WWWW[[#This Row],['#_of water points in THF]]*500&gt;WWWW[[#This Row],[Total PoP ]],WWWW[[#This Row],[Total PoP ]],WWWW[[#This Row],['#_of water points in THF]]*500)</f>
        <v>0</v>
      </c>
      <c r="CO33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3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36" s="892">
        <f>IF(WWWW[[#This Row],[Location Type 1]]="Village",WWWW[[#This Row],[Access to safe drinking water for Village]],WWWW[[#This Row],[Access to safe drinking water for Camp]])</f>
        <v>1</v>
      </c>
      <c r="CR336" s="890">
        <f>WWWW[[#This Row],[%Equitable and continuous access to sufficient quantity of safe drinking water]]*WWWW[[#This Row],[Total PoP ]]</f>
        <v>270</v>
      </c>
      <c r="CS336" s="892">
        <f>IF((WWWW[[#This Row],['#_Constructed/Existing protected/fenced ponds]]*250)/WWWW[[#This Row],[Total PoP ]]&gt;1,1,(WWWW[[#This Row],['#_Constructed/Existing protected/fenced ponds]]*250)/WWWW[[#This Row],[Total PoP ]])</f>
        <v>0</v>
      </c>
      <c r="CT336" s="890">
        <f>WWWW[[#This Row],[% Access to unimproved water points]]*WWWW[[#This Row],[Total PoP ]]</f>
        <v>0</v>
      </c>
      <c r="CU33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3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CW336" s="890">
        <f>WWWW[[#This Row],[HRP1]]/500</f>
        <v>0.54</v>
      </c>
      <c r="CX336" s="895">
        <f>1-WWWW[[#This Row],[% Equitable and continuous access to sufficient quantity of domestic water]]</f>
        <v>0</v>
      </c>
      <c r="CY336" s="890">
        <f>WWWW[[#This Row],[%equitable and continuous access to sufficient quantity of safe drinking and domestic water''s GAP]]*WWWW[[#This Row],[Total PoP ]]</f>
        <v>0</v>
      </c>
      <c r="CZ336" s="893">
        <f>IF(WWWW[[#This Row],[Total required water points]]-WWWW[[#This Row],['#Water points coverage]]&lt;0,0,WWWW[[#This Row],[Total required water points]]-WWWW[[#This Row],['#Water points coverage]])</f>
        <v>0.45999999999999996</v>
      </c>
      <c r="DA336" s="893">
        <f>ROUND(IF(WWWW[[#This Row],[Total PoP ]]&lt;500,1,WWWW[[#This Row],[Total PoP ]]/500),0)</f>
        <v>1</v>
      </c>
      <c r="DB336" s="893">
        <f>(WWWW[[#This Row],['#_Constructed latrines_by_WASHAgencies]]+WWWW[[#This Row],['#_Non Cluster partner latrines]])-WWWW[[#This Row],['#_Non-functional latrines]]</f>
        <v>16</v>
      </c>
      <c r="DC336" s="631">
        <f>WWWW[[#This Row],[HRP2]]/WWWW[[#This Row],[Total PoP ]]</f>
        <v>1</v>
      </c>
      <c r="DD33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270</v>
      </c>
      <c r="DE33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6" s="424">
        <f>IF(WWWW[[#This Row],['# of functional latrines in THF supported by WASH partners during the reporting period2]]="",0,WWWW[[#This Row],['# of functional latrines in THF supported by WASH partners during the reporting period2]]*50)</f>
        <v>0</v>
      </c>
      <c r="DH336" s="893">
        <f>ROUND(IF(WWWW[[#This Row],[Location Type 1]]="camp",WWWW[[#This Row],[Total PoP ]]/20,IF(WWWW[[#This Row],[Location Type 1]]="Temporary Location",WWWW[[#This Row],[Total PoP ]]/50,(WWWW[[#This Row],[Total PoP ]]/6))),0)</f>
        <v>14</v>
      </c>
      <c r="DI336" s="893">
        <f>IF(WWWW[[#This Row],[Total required Latrines]]-(WWWW[[#This Row],['#_Constructed latrines_by_WASHAgencies]]+WWWW[[#This Row],['#_Non Cluster partner latrines]])&lt;0,0,WWWW[[#This Row],[Total required Latrines]]-(WWWW[[#This Row],['#_Constructed latrines_by_WASHAgencies]]+WWWW[[#This Row],['#_Non Cluster partner latrines]]))</f>
        <v>0</v>
      </c>
      <c r="DJ336" s="895">
        <f>1-WWWW[[#This Row],[% people access to functioning Latrine]]</f>
        <v>0</v>
      </c>
      <c r="DK336" s="894">
        <f>IF(OR(WWWW[[#This Row],['#_Non-functional latrines]]="",WWWW[[#This Row],['#_Non-functional latrines]]=0),0,WWWW[[#This Row],['#_Non-functional latrines]]/(WWWW[[#This Row],['#_Constructed latrines_by_WASHAgencies]]+WWWW[[#This Row],['#_Non Cluster partner latrines]]))</f>
        <v>0.1111111111111111</v>
      </c>
      <c r="DL336" s="890">
        <f>IF(500*(WWWW[[#This Row],['#_male hygiene promoters]]+WWWW[[#This Row],['#_female hygiene promoters]])&gt;WWWW[[#This Row],[Total PoP ]],WWWW[[#This Row],[Total PoP ]],500*(WWWW[[#This Row],['#_male hygiene promoters]]+WWWW[[#This Row],['#_female hygiene promoters]]))</f>
        <v>270</v>
      </c>
      <c r="DM33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270</v>
      </c>
      <c r="DN33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57.915000000000006</v>
      </c>
      <c r="DO336" s="893">
        <f>IF(WWWW[[#This Row],['# People with access to soap]]&gt;WWWW[[#This Row],['# People with access to Sanity Pads]],WWWW[[#This Row],['# People with access to soap]],WWWW[[#This Row],['# People with access to Sanity Pads]])</f>
        <v>270</v>
      </c>
      <c r="DP336" s="893">
        <f>IF(WWWW[[#This Row],['# people reached by regular dedicated hygiene promotion_5]]&gt;WWWW[[#This Row],['# People received regular supply of hygiene items_6]],WWWW[[#This Row],['# people reached by regular dedicated hygiene promotion_5]],WWWW[[#This Row],['# People received regular supply of hygiene items_6]])</f>
        <v>270</v>
      </c>
      <c r="DQ336" s="895">
        <f>IF(WWWW[[#This Row],[HRP3]]/WWWW[[#This Row],[Total PoP ]]&gt;1,1,WWWW[[#This Row],[HRP3]]/WWWW[[#This Row],[Total PoP ]])</f>
        <v>1</v>
      </c>
      <c r="DR336" s="894">
        <f>1-WWWW[[#This Row],[Hygiene Coverage%]]</f>
        <v>0</v>
      </c>
      <c r="DS336" s="892">
        <f>WWWW[[#This Row],['# people reached by regular dedicated hygiene promotion_5]]/WWWW[[#This Row],[Total PoP ]]</f>
        <v>1</v>
      </c>
      <c r="DT33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3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36" s="893">
        <f>WWWW[[#This Row],['#_Constructed/Existing hand washing stations]]-WWWW[[#This Row],['#_Non-Functional_hand_washing_stations]]</f>
        <v>5</v>
      </c>
      <c r="DW336" s="890">
        <f>IF(WWWW[[#This Row],['# Functional hand washing stations during reporting period]]*20&gt;WWWW[[#This Row],[Total HH]],WWWW[[#This Row],[Total HH]],WWWW[[#This Row],['# Functional hand washing stations during reporting period]]*20)</f>
        <v>48</v>
      </c>
      <c r="DX336" s="890">
        <f>IF(WWWW[[#This Row],[Is sufficient soap available for TLS? (Yes/No)]]="yes",WWWW[[#This Row],['#_Constructed/Existing hand washing stations at TLS/CFS/THF]],0)</f>
        <v>5</v>
      </c>
      <c r="DY336" s="428">
        <f>IF(WWWW[[#This Row],['# Functional hand washing stations during reporting period]]*100&gt;WWWW[[#This Row],[Total PoP ]],WWWW[[#This Row],[Total PoP ]],WWWW[[#This Row],['# Functional hand washing stations during reporting period]]*100)</f>
        <v>270</v>
      </c>
      <c r="DZ336" s="428" t="str">
        <f>IF(OR(WWWW[[#This Row],['#_students at TLS_CFS]]="",WWWW[[#This Row],['#_students at TLS_CFS]]=0),"No","Yes")</f>
        <v>No</v>
      </c>
      <c r="EA33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6" s="886">
        <f>VLOOKUP(WWWW[[#This Row],[Site Name]],SiteDB6[[Site Name]:[CCCM Management]],6,FALSE)</f>
        <v>0</v>
      </c>
      <c r="EF336" s="886" t="str">
        <f>VLOOKUP(WWWW[[#This Row],[Site Name]],SiteDB6[[Site Name]:[CCCM Focal Agency]],7,FALSE)</f>
        <v>KMSS-MYT</v>
      </c>
      <c r="EG336" s="886" t="str">
        <f>VLOOKUP(WWWW[[#This Row],[Site Name]],SiteDB6[[Site Name]:[Location Type 1]],9,FALSE)</f>
        <v>Camp</v>
      </c>
      <c r="EH336" s="886" t="str">
        <f>VLOOKUP(WWWW[[#This Row],[Site Name]],SiteDB6[[Site Name]:[Type of Accommodation]],10,FALSE)</f>
        <v>Camp</v>
      </c>
      <c r="EI336" s="886" t="str">
        <f>VLOOKUP(WWWW[[#This Row],[Site Name]],SiteDB6[[Site Name]:[Ethnic or GCA/NGCA]],11,FALSE)</f>
        <v>GCA</v>
      </c>
      <c r="EJ336" s="886">
        <f>VLOOKUP(WWWW[[#This Row],[Site Name]],SiteDB6[[Site Name]:[Lat]],12,FALSE)</f>
        <v>25.383058999999999</v>
      </c>
      <c r="EK336" s="886">
        <f>VLOOKUP(WWWW[[#This Row],[Site Name]],SiteDB6[[Site Name]:[Long]],13,FALSE)</f>
        <v>97.014313000000001</v>
      </c>
      <c r="EL336" s="886" t="str">
        <f>VLOOKUP(WWWW[[#This Row],[Site Name]],SiteDB6[[Site Name]:[Pcode]],3,FALSE)</f>
        <v>MMR001CMP259</v>
      </c>
      <c r="EM336" s="891" t="str">
        <f t="shared" si="5"/>
        <v>Covered</v>
      </c>
      <c r="EN336" s="891"/>
      <c r="EO336" s="886">
        <f>VLOOKUP(WWWW[[#This Row],[Site Name]],SiteDB6[[Site Name]:[Pop
(Kachin/Shan-CCCM as of July 2021)]],16,FALSE)</f>
        <v>48</v>
      </c>
      <c r="EP336" s="886">
        <f>VLOOKUP(WWWW[[#This Row],[Site Name]],SiteDB6[[Site Name]:[Pop
(Kachin/Shan-CCCM as of July 2021)]],17,FALSE)</f>
        <v>268</v>
      </c>
    </row>
    <row r="337" spans="1:146" hidden="1">
      <c r="A337" s="884" t="s">
        <v>2764</v>
      </c>
      <c r="B337" s="884" t="s">
        <v>36</v>
      </c>
      <c r="C337" s="885" t="s">
        <v>36</v>
      </c>
      <c r="D337" s="885" t="s">
        <v>241</v>
      </c>
      <c r="E337" s="885" t="s">
        <v>37</v>
      </c>
      <c r="F337" s="885" t="s">
        <v>152</v>
      </c>
      <c r="G337" s="591" t="str">
        <f>VLOOKUP(WWWW[[#This Row],[Site Name]],SiteDB6[[Site Name]:[Location Type]],8,FALSE)</f>
        <v>Camp</v>
      </c>
      <c r="H337" s="726" t="s">
        <v>3029</v>
      </c>
      <c r="I337" s="887">
        <v>83</v>
      </c>
      <c r="J337" s="887">
        <v>424</v>
      </c>
      <c r="K337" s="888">
        <v>44414</v>
      </c>
      <c r="L337" s="889">
        <v>44778</v>
      </c>
      <c r="M337" s="887"/>
      <c r="N337" s="887">
        <v>2</v>
      </c>
      <c r="O337" s="887"/>
      <c r="P337" s="887"/>
      <c r="Q337" s="890" t="s">
        <v>41</v>
      </c>
      <c r="R337" s="887">
        <v>2</v>
      </c>
      <c r="S337" s="887">
        <v>3</v>
      </c>
      <c r="T337" s="448">
        <v>3</v>
      </c>
      <c r="U337" s="887"/>
      <c r="V337" s="887"/>
      <c r="W337" s="887"/>
      <c r="X337" s="887"/>
      <c r="Y337" s="887"/>
      <c r="Z337" s="887"/>
      <c r="AA337" s="887"/>
      <c r="AB337" s="887"/>
      <c r="AC337" s="887"/>
      <c r="AD337" s="887"/>
      <c r="AE337" s="887"/>
      <c r="AF337" s="887"/>
      <c r="AG337" s="887"/>
      <c r="AH337" s="887"/>
      <c r="AI337" s="887">
        <v>4</v>
      </c>
      <c r="AJ337" s="887">
        <v>1</v>
      </c>
      <c r="AK337" s="887"/>
      <c r="AL337" s="887"/>
      <c r="AM337" s="887">
        <v>10</v>
      </c>
      <c r="AN337" s="887"/>
      <c r="AO337" s="448"/>
      <c r="AP337" s="891"/>
      <c r="AQ337" s="887">
        <v>14</v>
      </c>
      <c r="AR337" s="887"/>
      <c r="AS337" s="892"/>
      <c r="AT337" s="887">
        <v>2</v>
      </c>
      <c r="AU337" s="887"/>
      <c r="AV337" s="887"/>
      <c r="AW337" s="887"/>
      <c r="AX337" s="887"/>
      <c r="AY337" s="886" t="s">
        <v>41</v>
      </c>
      <c r="AZ337" s="891" t="s">
        <v>136</v>
      </c>
      <c r="BA337" s="887">
        <v>1</v>
      </c>
      <c r="BB337" s="887"/>
      <c r="BC337" s="887"/>
      <c r="BD337" s="448"/>
      <c r="BE337" s="448"/>
      <c r="BF337" s="886"/>
      <c r="BG337" s="887">
        <v>10</v>
      </c>
      <c r="BH337" s="887"/>
      <c r="BI337" s="887">
        <v>2</v>
      </c>
      <c r="BJ337" s="887">
        <v>2</v>
      </c>
      <c r="BK337" s="887"/>
      <c r="BL337" s="887"/>
      <c r="BM337" s="887">
        <v>1</v>
      </c>
      <c r="BN337" s="887">
        <v>83</v>
      </c>
      <c r="BO337" s="887">
        <v>90.948000000000008</v>
      </c>
      <c r="BP337" s="886" t="s">
        <v>41</v>
      </c>
      <c r="BQ337" s="893">
        <v>100</v>
      </c>
      <c r="BR337" s="892">
        <v>0.5</v>
      </c>
      <c r="BS337" s="886" t="s">
        <v>3035</v>
      </c>
      <c r="BT337" s="423"/>
      <c r="BU337" s="423"/>
      <c r="BV337" s="425"/>
      <c r="BW337" s="423">
        <v>0.01</v>
      </c>
      <c r="BX337" s="448"/>
      <c r="BY337" s="448"/>
      <c r="BZ337" s="448"/>
      <c r="CA337" s="448"/>
      <c r="CB337" s="448"/>
      <c r="CC337" s="777"/>
      <c r="CD337" s="448"/>
      <c r="CE337" s="894">
        <f>IFERROR(WWWW[[#This Row],['#_Water sources passed]]/WWWW[[#This Row],['#_Water sources tested for fecal coliform ]],"no test")</f>
        <v>0.25</v>
      </c>
      <c r="CF337" s="892" t="str">
        <f>IFERROR(WWWW[[#This Row],['#_Household passed]]/WWWW[[#This Row],['#_Household water samples tested for fecal coliform]],"no test")</f>
        <v>no test</v>
      </c>
      <c r="CG337" s="893" t="str">
        <f>IF(AND(WWWW[[#This Row],[% of water sources passed]]="no test",WWWW[[#This Row],[% Household passed]]="no test"),"No Test","Tested")</f>
        <v>Tested</v>
      </c>
      <c r="CH337" s="893">
        <f>WWWW[[#This Row],['#_Constructed/existing protected hand dug well]]-WWWW[[#This Row],['#_Non-functional protected hand dug well]]</f>
        <v>3</v>
      </c>
      <c r="CI337" s="893">
        <f>(WWWW[[#This Row],['#_Constructed/Existing tube wells/boreholes/handpumps_WASH_agency]]+WWWW[[#This Row],['#_Non-Cluster partner water tube-wells/boreholes/handpumps]])-WWWW[[#This Row],['#_Non-functional tube wells/boreholes/handpumps]]</f>
        <v>0</v>
      </c>
      <c r="CJ337" s="893">
        <f>WWWW[[#This Row],['#_Constructed/Existingwater storage tank with gravity fed reticulation system]]-WWWW[[#This Row],['#_Non-functional storage tank gravity fed reticulation system]]</f>
        <v>0</v>
      </c>
      <c r="CK337" s="893">
        <f>(WWWW[[#This Row],['#_Water_Liters_supplied_by_Water boating or water trucking]]/90)/15</f>
        <v>0</v>
      </c>
      <c r="CL337" s="893">
        <f>WWWW[[#This Row],['#_Water_Liters_from_Constructed/Existing water distribution system from river or natural spring]]/90/15</f>
        <v>0</v>
      </c>
      <c r="CM337" s="424">
        <f>IF(WWWW[[#This Row],['#_of water points in TLS/CFS]]*500&gt;WWWW[[#This Row],[Total PoP ]],WWWW[[#This Row],[Total PoP ]],WWWW[[#This Row],['#_of water points in TLS/CFS]]*500)</f>
        <v>0</v>
      </c>
      <c r="CN337" s="424">
        <f>IF(WWWW[[#This Row],['#_of water points in THF]]*500&gt;WWWW[[#This Row],[Total PoP ]],WWWW[[#This Row],[Total PoP ]],WWWW[[#This Row],['#_of water points in THF]]*500)</f>
        <v>0</v>
      </c>
      <c r="CO33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3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37" s="892">
        <f>IF(WWWW[[#This Row],[Location Type 1]]="Village",WWWW[[#This Row],[Access to safe drinking water for Village]],WWWW[[#This Row],[Access to safe drinking water for Camp]])</f>
        <v>1</v>
      </c>
      <c r="CR337" s="890">
        <f>WWWW[[#This Row],[%Equitable and continuous access to sufficient quantity of safe drinking water]]*WWWW[[#This Row],[Total PoP ]]</f>
        <v>424</v>
      </c>
      <c r="CS337" s="892">
        <f>IF((WWWW[[#This Row],['#_Constructed/Existing protected/fenced ponds]]*250)/WWWW[[#This Row],[Total PoP ]]&gt;1,1,(WWWW[[#This Row],['#_Constructed/Existing protected/fenced ponds]]*250)/WWWW[[#This Row],[Total PoP ]])</f>
        <v>0</v>
      </c>
      <c r="CT337" s="890">
        <f>WWWW[[#This Row],[% Access to unimproved water points]]*WWWW[[#This Row],[Total PoP ]]</f>
        <v>0</v>
      </c>
      <c r="CU33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3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W337" s="890">
        <f>WWWW[[#This Row],[HRP1]]/500</f>
        <v>0.84799999999999998</v>
      </c>
      <c r="CX337" s="895">
        <f>1-WWWW[[#This Row],[% Equitable and continuous access to sufficient quantity of domestic water]]</f>
        <v>0</v>
      </c>
      <c r="CY337" s="890">
        <f>WWWW[[#This Row],[%equitable and continuous access to sufficient quantity of safe drinking and domestic water''s GAP]]*WWWW[[#This Row],[Total PoP ]]</f>
        <v>0</v>
      </c>
      <c r="CZ337" s="893">
        <f>IF(WWWW[[#This Row],[Total required water points]]-WWWW[[#This Row],['#Water points coverage]]&lt;0,0,WWWW[[#This Row],[Total required water points]]-WWWW[[#This Row],['#Water points coverage]])</f>
        <v>0.15200000000000002</v>
      </c>
      <c r="DA337" s="893">
        <f>ROUND(IF(WWWW[[#This Row],[Total PoP ]]&lt;500,1,WWWW[[#This Row],[Total PoP ]]/500),0)</f>
        <v>1</v>
      </c>
      <c r="DB337" s="893">
        <f>(WWWW[[#This Row],['#_Constructed latrines_by_WASHAgencies]]+WWWW[[#This Row],['#_Non Cluster partner latrines]])-WWWW[[#This Row],['#_Non-functional latrines]]</f>
        <v>12</v>
      </c>
      <c r="DC337" s="631">
        <f>WWWW[[#This Row],[HRP2]]/WWWW[[#This Row],[Total PoP ]]</f>
        <v>0.6132075471698113</v>
      </c>
      <c r="DD33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DE33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7" s="424">
        <f>IF(WWWW[[#This Row],['# of functional latrines in THF supported by WASH partners during the reporting period2]]="",0,WWWW[[#This Row],['# of functional latrines in THF supported by WASH partners during the reporting period2]]*50)</f>
        <v>0</v>
      </c>
      <c r="DH337" s="893">
        <f>ROUND(IF(WWWW[[#This Row],[Location Type 1]]="camp",WWWW[[#This Row],[Total PoP ]]/20,IF(WWWW[[#This Row],[Location Type 1]]="Temporary Location",WWWW[[#This Row],[Total PoP ]]/50,(WWWW[[#This Row],[Total PoP ]]/6))),0)</f>
        <v>21</v>
      </c>
      <c r="DI337" s="893">
        <f>IF(WWWW[[#This Row],[Total required Latrines]]-(WWWW[[#This Row],['#_Constructed latrines_by_WASHAgencies]]+WWWW[[#This Row],['#_Non Cluster partner latrines]])&lt;0,0,WWWW[[#This Row],[Total required Latrines]]-(WWWW[[#This Row],['#_Constructed latrines_by_WASHAgencies]]+WWWW[[#This Row],['#_Non Cluster partner latrines]]))</f>
        <v>7</v>
      </c>
      <c r="DJ337" s="895">
        <f>1-WWWW[[#This Row],[% people access to functioning Latrine]]</f>
        <v>0.3867924528301887</v>
      </c>
      <c r="DK337" s="894">
        <f>IF(OR(WWWW[[#This Row],['#_Non-functional latrines]]="",WWWW[[#This Row],['#_Non-functional latrines]]=0),0,WWWW[[#This Row],['#_Non-functional latrines]]/(WWWW[[#This Row],['#_Constructed latrines_by_WASHAgencies]]+WWWW[[#This Row],['#_Non Cluster partner latrines]]))</f>
        <v>0.14285714285714285</v>
      </c>
      <c r="DL337" s="890">
        <f>IF(500*(WWWW[[#This Row],['#_male hygiene promoters]]+WWWW[[#This Row],['#_female hygiene promoters]])&gt;WWWW[[#This Row],[Total PoP ]],WWWW[[#This Row],[Total PoP ]],500*(WWWW[[#This Row],['#_male hygiene promoters]]+WWWW[[#This Row],['#_female hygiene promoters]]))</f>
        <v>424</v>
      </c>
      <c r="DM33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424</v>
      </c>
      <c r="DN33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90.948000000000008</v>
      </c>
      <c r="DO337" s="893">
        <f>IF(WWWW[[#This Row],['# People with access to soap]]&gt;WWWW[[#This Row],['# People with access to Sanity Pads]],WWWW[[#This Row],['# People with access to soap]],WWWW[[#This Row],['# People with access to Sanity Pads]])</f>
        <v>424</v>
      </c>
      <c r="DP337" s="893">
        <f>IF(WWWW[[#This Row],['# people reached by regular dedicated hygiene promotion_5]]&gt;WWWW[[#This Row],['# People received regular supply of hygiene items_6]],WWWW[[#This Row],['# people reached by regular dedicated hygiene promotion_5]],WWWW[[#This Row],['# People received regular supply of hygiene items_6]])</f>
        <v>424</v>
      </c>
      <c r="DQ337" s="895">
        <f>IF(WWWW[[#This Row],[HRP3]]/WWWW[[#This Row],[Total PoP ]]&gt;1,1,WWWW[[#This Row],[HRP3]]/WWWW[[#This Row],[Total PoP ]])</f>
        <v>1</v>
      </c>
      <c r="DR337" s="894">
        <f>1-WWWW[[#This Row],[Hygiene Coverage%]]</f>
        <v>0</v>
      </c>
      <c r="DS337" s="892">
        <f>WWWW[[#This Row],['# people reached by regular dedicated hygiene promotion_5]]/WWWW[[#This Row],[Total PoP ]]</f>
        <v>1</v>
      </c>
      <c r="DT33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3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37" s="893">
        <f>WWWW[[#This Row],['#_Constructed/Existing hand washing stations]]-WWWW[[#This Row],['#_Non-Functional_hand_washing_stations]]</f>
        <v>10</v>
      </c>
      <c r="DW337" s="890">
        <f>IF(WWWW[[#This Row],['# Functional hand washing stations during reporting period]]*20&gt;WWWW[[#This Row],[Total HH]],WWWW[[#This Row],[Total HH]],WWWW[[#This Row],['# Functional hand washing stations during reporting period]]*20)</f>
        <v>83</v>
      </c>
      <c r="DX337" s="890">
        <f>IF(WWWW[[#This Row],[Is sufficient soap available for TLS? (Yes/No)]]="yes",WWWW[[#This Row],['#_Constructed/Existing hand washing stations at TLS/CFS/THF]],0)</f>
        <v>10</v>
      </c>
      <c r="DY337" s="428">
        <f>IF(WWWW[[#This Row],['# Functional hand washing stations during reporting period]]*100&gt;WWWW[[#This Row],[Total PoP ]],WWWW[[#This Row],[Total PoP ]],WWWW[[#This Row],['# Functional hand washing stations during reporting period]]*100)</f>
        <v>424</v>
      </c>
      <c r="DZ337" s="428" t="str">
        <f>IF(OR(WWWW[[#This Row],['#_students at TLS_CFS]]="",WWWW[[#This Row],['#_students at TLS_CFS]]=0),"No","Yes")</f>
        <v>No</v>
      </c>
      <c r="EA33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7" s="886">
        <f>VLOOKUP(WWWW[[#This Row],[Site Name]],SiteDB6[[Site Name]:[CCCM Management]],6,FALSE)</f>
        <v>0</v>
      </c>
      <c r="EF337" s="886" t="str">
        <f>VLOOKUP(WWWW[[#This Row],[Site Name]],SiteDB6[[Site Name]:[CCCM Focal Agency]],7,FALSE)</f>
        <v>KMSS-MYT</v>
      </c>
      <c r="EG337" s="886" t="str">
        <f>VLOOKUP(WWWW[[#This Row],[Site Name]],SiteDB6[[Site Name]:[Location Type 1]],9,FALSE)</f>
        <v>Camp</v>
      </c>
      <c r="EH337" s="886" t="str">
        <f>VLOOKUP(WWWW[[#This Row],[Site Name]],SiteDB6[[Site Name]:[Type of Accommodation]],10,FALSE)</f>
        <v>Camp</v>
      </c>
      <c r="EI337" s="886" t="str">
        <f>VLOOKUP(WWWW[[#This Row],[Site Name]],SiteDB6[[Site Name]:[Ethnic or GCA/NGCA]],11,FALSE)</f>
        <v>GCA</v>
      </c>
      <c r="EJ337" s="886">
        <f>VLOOKUP(WWWW[[#This Row],[Site Name]],SiteDB6[[Site Name]:[Lat]],12,FALSE)</f>
        <v>25.383058999999999</v>
      </c>
      <c r="EK337" s="886">
        <f>VLOOKUP(WWWW[[#This Row],[Site Name]],SiteDB6[[Site Name]:[Long]],13,FALSE)</f>
        <v>97.014313000000001</v>
      </c>
      <c r="EL337" s="886" t="str">
        <f>VLOOKUP(WWWW[[#This Row],[Site Name]],SiteDB6[[Site Name]:[Pcode]],3,FALSE)</f>
        <v>MMR001CMP260</v>
      </c>
      <c r="EM337" s="891" t="str">
        <f t="shared" si="5"/>
        <v>Covered</v>
      </c>
      <c r="EN337" s="891"/>
      <c r="EO337" s="886">
        <f>VLOOKUP(WWWW[[#This Row],[Site Name]],SiteDB6[[Site Name]:[Pop
(Kachin/Shan-CCCM as of July 2021)]],16,FALSE)</f>
        <v>83</v>
      </c>
      <c r="EP337" s="886">
        <f>VLOOKUP(WWWW[[#This Row],[Site Name]],SiteDB6[[Site Name]:[Pop
(Kachin/Shan-CCCM as of July 2021)]],17,FALSE)</f>
        <v>422</v>
      </c>
    </row>
    <row r="338" spans="1:146" hidden="1">
      <c r="A338" s="884" t="s">
        <v>2764</v>
      </c>
      <c r="B338" s="884" t="s">
        <v>36</v>
      </c>
      <c r="C338" s="885" t="s">
        <v>36</v>
      </c>
      <c r="D338" s="885" t="s">
        <v>241</v>
      </c>
      <c r="E338" s="885" t="s">
        <v>37</v>
      </c>
      <c r="F338" s="885" t="s">
        <v>863</v>
      </c>
      <c r="G338" s="591" t="str">
        <f>VLOOKUP(WWWW[[#This Row],[Site Name]],SiteDB6[[Site Name]:[Location Type]],8,FALSE)</f>
        <v>Camp</v>
      </c>
      <c r="H338" s="885" t="s">
        <v>865</v>
      </c>
      <c r="I338" s="887">
        <v>36</v>
      </c>
      <c r="J338" s="887">
        <v>169</v>
      </c>
      <c r="K338" s="888">
        <v>44414</v>
      </c>
      <c r="L338" s="889">
        <v>44778</v>
      </c>
      <c r="M338" s="887"/>
      <c r="N338" s="887">
        <v>1</v>
      </c>
      <c r="O338" s="887"/>
      <c r="P338" s="887"/>
      <c r="Q338" s="890" t="s">
        <v>41</v>
      </c>
      <c r="R338" s="887">
        <v>4</v>
      </c>
      <c r="S338" s="887">
        <v>1</v>
      </c>
      <c r="T338" s="448"/>
      <c r="U338" s="887"/>
      <c r="V338" s="887"/>
      <c r="W338" s="887">
        <v>2</v>
      </c>
      <c r="X338" s="887"/>
      <c r="Y338" s="887"/>
      <c r="Z338" s="887"/>
      <c r="AA338" s="887"/>
      <c r="AB338" s="887"/>
      <c r="AC338" s="887"/>
      <c r="AD338" s="887"/>
      <c r="AE338" s="887"/>
      <c r="AF338" s="887"/>
      <c r="AG338" s="887"/>
      <c r="AH338" s="887"/>
      <c r="AI338" s="887"/>
      <c r="AJ338" s="887"/>
      <c r="AK338" s="887"/>
      <c r="AL338" s="887"/>
      <c r="AM338" s="887">
        <v>5</v>
      </c>
      <c r="AN338" s="887"/>
      <c r="AO338" s="448"/>
      <c r="AP338" s="891"/>
      <c r="AQ338" s="887">
        <v>2</v>
      </c>
      <c r="AR338" s="887"/>
      <c r="AS338" s="892"/>
      <c r="AT338" s="887">
        <v>2</v>
      </c>
      <c r="AU338" s="887"/>
      <c r="AV338" s="887"/>
      <c r="AW338" s="887"/>
      <c r="AX338" s="887"/>
      <c r="AY338" s="886" t="s">
        <v>41</v>
      </c>
      <c r="AZ338" s="891" t="s">
        <v>136</v>
      </c>
      <c r="BA338" s="887"/>
      <c r="BB338" s="887"/>
      <c r="BC338" s="887"/>
      <c r="BD338" s="448"/>
      <c r="BE338" s="448"/>
      <c r="BF338" s="886"/>
      <c r="BG338" s="887">
        <v>7</v>
      </c>
      <c r="BH338" s="887"/>
      <c r="BI338" s="887">
        <v>2</v>
      </c>
      <c r="BJ338" s="887">
        <v>2</v>
      </c>
      <c r="BK338" s="887"/>
      <c r="BL338" s="887"/>
      <c r="BM338" s="887">
        <v>1</v>
      </c>
      <c r="BN338" s="887">
        <v>36</v>
      </c>
      <c r="BO338" s="887">
        <v>36.250500000000002</v>
      </c>
      <c r="BP338" s="886" t="s">
        <v>41</v>
      </c>
      <c r="BQ338" s="893">
        <v>100</v>
      </c>
      <c r="BR338" s="892">
        <v>0.25</v>
      </c>
      <c r="BS338" s="886" t="s">
        <v>3036</v>
      </c>
      <c r="BT338" s="423"/>
      <c r="BU338" s="423"/>
      <c r="BV338" s="425"/>
      <c r="BW338" s="423">
        <v>0.01</v>
      </c>
      <c r="BX338" s="448"/>
      <c r="BY338" s="448"/>
      <c r="BZ338" s="448"/>
      <c r="CA338" s="448"/>
      <c r="CB338" s="448"/>
      <c r="CC338" s="777"/>
      <c r="CD338" s="448"/>
      <c r="CE338" s="894" t="str">
        <f>IFERROR(WWWW[[#This Row],['#_Water sources passed]]/WWWW[[#This Row],['#_Water sources tested for fecal coliform ]],"no test")</f>
        <v>no test</v>
      </c>
      <c r="CF338" s="892" t="str">
        <f>IFERROR(WWWW[[#This Row],['#_Household passed]]/WWWW[[#This Row],['#_Household water samples tested for fecal coliform]],"no test")</f>
        <v>no test</v>
      </c>
      <c r="CG338" s="893" t="str">
        <f>IF(AND(WWWW[[#This Row],[% of water sources passed]]="no test",WWWW[[#This Row],[% Household passed]]="no test"),"No Test","Tested")</f>
        <v>No Test</v>
      </c>
      <c r="CH338" s="893">
        <f>WWWW[[#This Row],['#_Constructed/existing protected hand dug well]]-WWWW[[#This Row],['#_Non-functional protected hand dug well]]</f>
        <v>0</v>
      </c>
      <c r="CI338" s="893">
        <f>(WWWW[[#This Row],['#_Constructed/Existing tube wells/boreholes/handpumps_WASH_agency]]+WWWW[[#This Row],['#_Non-Cluster partner water tube-wells/boreholes/handpumps]])-WWWW[[#This Row],['#_Non-functional tube wells/boreholes/handpumps]]</f>
        <v>2</v>
      </c>
      <c r="CJ338" s="893">
        <f>WWWW[[#This Row],['#_Constructed/Existingwater storage tank with gravity fed reticulation system]]-WWWW[[#This Row],['#_Non-functional storage tank gravity fed reticulation system]]</f>
        <v>0</v>
      </c>
      <c r="CK338" s="893">
        <f>(WWWW[[#This Row],['#_Water_Liters_supplied_by_Water boating or water trucking]]/90)/15</f>
        <v>0</v>
      </c>
      <c r="CL338" s="893">
        <f>WWWW[[#This Row],['#_Water_Liters_from_Constructed/Existing water distribution system from river or natural spring]]/90/15</f>
        <v>0</v>
      </c>
      <c r="CM338" s="424">
        <f>IF(WWWW[[#This Row],['#_of water points in TLS/CFS]]*500&gt;WWWW[[#This Row],[Total PoP ]],WWWW[[#This Row],[Total PoP ]],WWWW[[#This Row],['#_of water points in TLS/CFS]]*500)</f>
        <v>0</v>
      </c>
      <c r="CN338" s="424">
        <f>IF(WWWW[[#This Row],['#_of water points in THF]]*500&gt;WWWW[[#This Row],[Total PoP ]],WWWW[[#This Row],[Total PoP ]],WWWW[[#This Row],['#_of water points in THF]]*500)</f>
        <v>0</v>
      </c>
      <c r="CO33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3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38" s="892">
        <f>IF(WWWW[[#This Row],[Location Type 1]]="Village",WWWW[[#This Row],[Access to safe drinking water for Village]],WWWW[[#This Row],[Access to safe drinking water for Camp]])</f>
        <v>1</v>
      </c>
      <c r="CR338" s="890">
        <f>WWWW[[#This Row],[%Equitable and continuous access to sufficient quantity of safe drinking water]]*WWWW[[#This Row],[Total PoP ]]</f>
        <v>169</v>
      </c>
      <c r="CS338" s="892">
        <f>IF((WWWW[[#This Row],['#_Constructed/Existing protected/fenced ponds]]*250)/WWWW[[#This Row],[Total PoP ]]&gt;1,1,(WWWW[[#This Row],['#_Constructed/Existing protected/fenced ponds]]*250)/WWWW[[#This Row],[Total PoP ]])</f>
        <v>0</v>
      </c>
      <c r="CT338" s="890">
        <f>WWWW[[#This Row],[% Access to unimproved water points]]*WWWW[[#This Row],[Total PoP ]]</f>
        <v>0</v>
      </c>
      <c r="CU33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3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v>
      </c>
      <c r="CW338" s="890">
        <f>WWWW[[#This Row],[HRP1]]/500</f>
        <v>0.33800000000000002</v>
      </c>
      <c r="CX338" s="895">
        <f>1-WWWW[[#This Row],[% Equitable and continuous access to sufficient quantity of domestic water]]</f>
        <v>0</v>
      </c>
      <c r="CY338" s="890">
        <f>WWWW[[#This Row],[%equitable and continuous access to sufficient quantity of safe drinking and domestic water''s GAP]]*WWWW[[#This Row],[Total PoP ]]</f>
        <v>0</v>
      </c>
      <c r="CZ338" s="893">
        <f>IF(WWWW[[#This Row],[Total required water points]]-WWWW[[#This Row],['#Water points coverage]]&lt;0,0,WWWW[[#This Row],[Total required water points]]-WWWW[[#This Row],['#Water points coverage]])</f>
        <v>0.66199999999999992</v>
      </c>
      <c r="DA338" s="893">
        <f>ROUND(IF(WWWW[[#This Row],[Total PoP ]]&lt;500,1,WWWW[[#This Row],[Total PoP ]]/500),0)</f>
        <v>1</v>
      </c>
      <c r="DB338" s="893">
        <f>(WWWW[[#This Row],['#_Constructed latrines_by_WASHAgencies]]+WWWW[[#This Row],['#_Non Cluster partner latrines]])-WWWW[[#This Row],['#_Non-functional latrines]]</f>
        <v>0</v>
      </c>
      <c r="DC338" s="631">
        <f>WWWW[[#This Row],[HRP2]]/WWWW[[#This Row],[Total PoP ]]</f>
        <v>0</v>
      </c>
      <c r="DD33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8" s="424">
        <f>IF(WWWW[[#This Row],['# of functional latrines in THF supported by WASH partners during the reporting period2]]="",0,WWWW[[#This Row],['# of functional latrines in THF supported by WASH partners during the reporting period2]]*50)</f>
        <v>0</v>
      </c>
      <c r="DH338" s="893">
        <f>ROUND(IF(WWWW[[#This Row],[Location Type 1]]="camp",WWWW[[#This Row],[Total PoP ]]/20,IF(WWWW[[#This Row],[Location Type 1]]="Temporary Location",WWWW[[#This Row],[Total PoP ]]/50,(WWWW[[#This Row],[Total PoP ]]/6))),0)</f>
        <v>8</v>
      </c>
      <c r="DI338" s="893">
        <f>IF(WWWW[[#This Row],[Total required Latrines]]-(WWWW[[#This Row],['#_Constructed latrines_by_WASHAgencies]]+WWWW[[#This Row],['#_Non Cluster partner latrines]])&lt;0,0,WWWW[[#This Row],[Total required Latrines]]-(WWWW[[#This Row],['#_Constructed latrines_by_WASHAgencies]]+WWWW[[#This Row],['#_Non Cluster partner latrines]]))</f>
        <v>6</v>
      </c>
      <c r="DJ338" s="895">
        <f>1-WWWW[[#This Row],[% people access to functioning Latrine]]</f>
        <v>1</v>
      </c>
      <c r="DK338" s="894">
        <f>IF(OR(WWWW[[#This Row],['#_Non-functional latrines]]="",WWWW[[#This Row],['#_Non-functional latrines]]=0),0,WWWW[[#This Row],['#_Non-functional latrines]]/(WWWW[[#This Row],['#_Constructed latrines_by_WASHAgencies]]+WWWW[[#This Row],['#_Non Cluster partner latrines]]))</f>
        <v>1</v>
      </c>
      <c r="DL338" s="890">
        <f>IF(500*(WWWW[[#This Row],['#_male hygiene promoters]]+WWWW[[#This Row],['#_female hygiene promoters]])&gt;WWWW[[#This Row],[Total PoP ]],WWWW[[#This Row],[Total PoP ]],500*(WWWW[[#This Row],['#_male hygiene promoters]]+WWWW[[#This Row],['#_female hygiene promoters]]))</f>
        <v>169</v>
      </c>
      <c r="DM33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169</v>
      </c>
      <c r="DN33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36.250500000000002</v>
      </c>
      <c r="DO338" s="893">
        <f>IF(WWWW[[#This Row],['# People with access to soap]]&gt;WWWW[[#This Row],['# People with access to Sanity Pads]],WWWW[[#This Row],['# People with access to soap]],WWWW[[#This Row],['# People with access to Sanity Pads]])</f>
        <v>169</v>
      </c>
      <c r="DP338" s="893">
        <f>IF(WWWW[[#This Row],['# people reached by regular dedicated hygiene promotion_5]]&gt;WWWW[[#This Row],['# People received regular supply of hygiene items_6]],WWWW[[#This Row],['# people reached by regular dedicated hygiene promotion_5]],WWWW[[#This Row],['# People received regular supply of hygiene items_6]])</f>
        <v>169</v>
      </c>
      <c r="DQ338" s="895">
        <f>IF(WWWW[[#This Row],[HRP3]]/WWWW[[#This Row],[Total PoP ]]&gt;1,1,WWWW[[#This Row],[HRP3]]/WWWW[[#This Row],[Total PoP ]])</f>
        <v>1</v>
      </c>
      <c r="DR338" s="894">
        <f>1-WWWW[[#This Row],[Hygiene Coverage%]]</f>
        <v>0</v>
      </c>
      <c r="DS338" s="892">
        <f>WWWW[[#This Row],['# people reached by regular dedicated hygiene promotion_5]]/WWWW[[#This Row],[Total PoP ]]</f>
        <v>1</v>
      </c>
      <c r="DT33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3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38" s="893">
        <f>WWWW[[#This Row],['#_Constructed/Existing hand washing stations]]-WWWW[[#This Row],['#_Non-Functional_hand_washing_stations]]</f>
        <v>7</v>
      </c>
      <c r="DW338" s="890">
        <f>IF(WWWW[[#This Row],['# Functional hand washing stations during reporting period]]*20&gt;WWWW[[#This Row],[Total HH]],WWWW[[#This Row],[Total HH]],WWWW[[#This Row],['# Functional hand washing stations during reporting period]]*20)</f>
        <v>36</v>
      </c>
      <c r="DX338" s="890">
        <f>IF(WWWW[[#This Row],[Is sufficient soap available for TLS? (Yes/No)]]="yes",WWWW[[#This Row],['#_Constructed/Existing hand washing stations at TLS/CFS/THF]],0)</f>
        <v>5</v>
      </c>
      <c r="DY338" s="428">
        <f>IF(WWWW[[#This Row],['# Functional hand washing stations during reporting period]]*100&gt;WWWW[[#This Row],[Total PoP ]],WWWW[[#This Row],[Total PoP ]],WWWW[[#This Row],['# Functional hand washing stations during reporting period]]*100)</f>
        <v>169</v>
      </c>
      <c r="DZ338" s="428" t="str">
        <f>IF(OR(WWWW[[#This Row],['#_students at TLS_CFS]]="",WWWW[[#This Row],['#_students at TLS_CFS]]=0),"No","Yes")</f>
        <v>No</v>
      </c>
      <c r="EA33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8" s="886" t="str">
        <f>VLOOKUP(WWWW[[#This Row],[Site Name]],SiteDB6[[Site Name]:[CCCM Management]],6,FALSE)</f>
        <v>Yes</v>
      </c>
      <c r="EF338" s="886" t="str">
        <f>VLOOKUP(WWWW[[#This Row],[Site Name]],SiteDB6[[Site Name]:[CCCM Focal Agency]],7,FALSE)</f>
        <v>KMSS-MYT</v>
      </c>
      <c r="EG338" s="886" t="str">
        <f>VLOOKUP(WWWW[[#This Row],[Site Name]],SiteDB6[[Site Name]:[Location Type 1]],9,FALSE)</f>
        <v>Camp</v>
      </c>
      <c r="EH338" s="886" t="str">
        <f>VLOOKUP(WWWW[[#This Row],[Site Name]],SiteDB6[[Site Name]:[Type of Accommodation]],10,FALSE)</f>
        <v>Camp</v>
      </c>
      <c r="EI338" s="886" t="str">
        <f>VLOOKUP(WWWW[[#This Row],[Site Name]],SiteDB6[[Site Name]:[Ethnic or GCA/NGCA]],11,FALSE)</f>
        <v>GCA</v>
      </c>
      <c r="EJ338" s="886">
        <f>VLOOKUP(WWWW[[#This Row],[Site Name]],SiteDB6[[Site Name]:[Lat]],12,FALSE)</f>
        <v>26.351690999999999</v>
      </c>
      <c r="EK338" s="886">
        <f>VLOOKUP(WWWW[[#This Row],[Site Name]],SiteDB6[[Site Name]:[Long]],13,FALSE)</f>
        <v>96.690871999999999</v>
      </c>
      <c r="EL338" s="886" t="str">
        <f>VLOOKUP(WWWW[[#This Row],[Site Name]],SiteDB6[[Site Name]:[Pcode]],3,FALSE)</f>
        <v>MMR001CMP254</v>
      </c>
      <c r="EM338" s="891" t="str">
        <f t="shared" si="5"/>
        <v>Covered</v>
      </c>
      <c r="EN338" s="891"/>
      <c r="EO338" s="886">
        <f>VLOOKUP(WWWW[[#This Row],[Site Name]],SiteDB6[[Site Name]:[Pop
(Kachin/Shan-CCCM as of July 2021)]],16,FALSE)</f>
        <v>35</v>
      </c>
      <c r="EP338" s="886">
        <f>VLOOKUP(WWWW[[#This Row],[Site Name]],SiteDB6[[Site Name]:[Pop
(Kachin/Shan-CCCM as of July 2021)]],17,FALSE)</f>
        <v>161</v>
      </c>
    </row>
    <row r="339" spans="1:146" hidden="1">
      <c r="A339" s="884" t="s">
        <v>2764</v>
      </c>
      <c r="B339" s="884" t="s">
        <v>2081</v>
      </c>
      <c r="C339" s="885" t="s">
        <v>141</v>
      </c>
      <c r="D339" s="885" t="s">
        <v>299</v>
      </c>
      <c r="E339" s="885" t="s">
        <v>37</v>
      </c>
      <c r="F339" s="885" t="s">
        <v>863</v>
      </c>
      <c r="G339" s="591" t="str">
        <f>VLOOKUP(WWWW[[#This Row],[Site Name]],SiteDB6[[Site Name]:[Location Type]],8,FALSE)</f>
        <v>Camp</v>
      </c>
      <c r="H339" s="885" t="s">
        <v>1615</v>
      </c>
      <c r="I339" s="887">
        <v>109</v>
      </c>
      <c r="J339" s="887">
        <v>483</v>
      </c>
      <c r="K339" s="888">
        <v>44501</v>
      </c>
      <c r="L339" s="889">
        <v>44865</v>
      </c>
      <c r="M339" s="887"/>
      <c r="N339" s="887">
        <v>2</v>
      </c>
      <c r="O339" s="887"/>
      <c r="P339" s="887"/>
      <c r="Q339" s="890" t="s">
        <v>136</v>
      </c>
      <c r="R339" s="887">
        <v>2</v>
      </c>
      <c r="S339" s="887">
        <v>2</v>
      </c>
      <c r="T339" s="448">
        <v>4</v>
      </c>
      <c r="U339" s="887">
        <v>1</v>
      </c>
      <c r="V339" s="887">
        <v>1</v>
      </c>
      <c r="W339" s="887">
        <v>3</v>
      </c>
      <c r="X339" s="887"/>
      <c r="Y339" s="887"/>
      <c r="Z339" s="887">
        <v>1</v>
      </c>
      <c r="AA339" s="887"/>
      <c r="AB339" s="887"/>
      <c r="AC339" s="887"/>
      <c r="AD339" s="887"/>
      <c r="AE339" s="887"/>
      <c r="AF339" s="887"/>
      <c r="AG339" s="887"/>
      <c r="AH339" s="887"/>
      <c r="AI339" s="887"/>
      <c r="AJ339" s="887"/>
      <c r="AK339" s="887"/>
      <c r="AL339" s="887"/>
      <c r="AM339" s="887"/>
      <c r="AN339" s="887"/>
      <c r="AO339" s="448"/>
      <c r="AP339" s="891"/>
      <c r="AQ339" s="448">
        <v>30</v>
      </c>
      <c r="AR339" s="448">
        <v>30</v>
      </c>
      <c r="AS339" s="892"/>
      <c r="AT339" s="887"/>
      <c r="AU339" s="887">
        <v>7</v>
      </c>
      <c r="AV339" s="887"/>
      <c r="AW339" s="887"/>
      <c r="AX339" s="887"/>
      <c r="AY339" s="886" t="s">
        <v>140</v>
      </c>
      <c r="AZ339" s="891" t="s">
        <v>140</v>
      </c>
      <c r="BA339" s="887"/>
      <c r="BB339" s="887"/>
      <c r="BC339" s="887"/>
      <c r="BD339" s="448"/>
      <c r="BE339" s="448"/>
      <c r="BF339" s="886"/>
      <c r="BG339" s="887">
        <v>3</v>
      </c>
      <c r="BH339" s="887">
        <v>2</v>
      </c>
      <c r="BI339" s="887">
        <v>5</v>
      </c>
      <c r="BJ339" s="887">
        <v>3</v>
      </c>
      <c r="BK339" s="887"/>
      <c r="BL339" s="887"/>
      <c r="BM339" s="887"/>
      <c r="BN339" s="887"/>
      <c r="BO339" s="887"/>
      <c r="BP339" s="886"/>
      <c r="BQ339" s="893"/>
      <c r="BR339" s="892"/>
      <c r="BS339" s="886"/>
      <c r="BT339" s="423"/>
      <c r="BU339" s="423"/>
      <c r="BV339" s="425"/>
      <c r="BW339" s="423"/>
      <c r="BX339" s="448"/>
      <c r="BY339" s="448"/>
      <c r="BZ339" s="448"/>
      <c r="CA339" s="448"/>
      <c r="CB339" s="448"/>
      <c r="CC339" s="777"/>
      <c r="CD339" s="448"/>
      <c r="CE339" s="894" t="str">
        <f>IFERROR(WWWW[[#This Row],['#_Water sources passed]]/WWWW[[#This Row],['#_Water sources tested for fecal coliform ]],"no test")</f>
        <v>no test</v>
      </c>
      <c r="CF339" s="892" t="str">
        <f>IFERROR(WWWW[[#This Row],['#_Household passed]]/WWWW[[#This Row],['#_Household water samples tested for fecal coliform]],"no test")</f>
        <v>no test</v>
      </c>
      <c r="CG339" s="893" t="str">
        <f>IF(AND(WWWW[[#This Row],[% of water sources passed]]="no test",WWWW[[#This Row],[% Household passed]]="no test"),"No Test","Tested")</f>
        <v>No Test</v>
      </c>
      <c r="CH339" s="893">
        <f>WWWW[[#This Row],['#_Constructed/existing protected hand dug well]]-WWWW[[#This Row],['#_Non-functional protected hand dug well]]</f>
        <v>3</v>
      </c>
      <c r="CI339" s="893">
        <f>(WWWW[[#This Row],['#_Constructed/Existing tube wells/boreholes/handpumps_WASH_agency]]+WWWW[[#This Row],['#_Non-Cluster partner water tube-wells/boreholes/handpumps]])-WWWW[[#This Row],['#_Non-functional tube wells/boreholes/handpumps]]</f>
        <v>3</v>
      </c>
      <c r="CJ339" s="893">
        <f>WWWW[[#This Row],['#_Constructed/Existingwater storage tank with gravity fed reticulation system]]-WWWW[[#This Row],['#_Non-functional storage tank gravity fed reticulation system]]</f>
        <v>0</v>
      </c>
      <c r="CK339" s="893">
        <f>(WWWW[[#This Row],['#_Water_Liters_supplied_by_Water boating or water trucking]]/90)/15</f>
        <v>0</v>
      </c>
      <c r="CL339" s="893">
        <f>WWWW[[#This Row],['#_Water_Liters_from_Constructed/Existing water distribution system from river or natural spring]]/90/15</f>
        <v>0</v>
      </c>
      <c r="CM339" s="424">
        <f>IF(WWWW[[#This Row],['#_of water points in TLS/CFS]]*500&gt;WWWW[[#This Row],[Total PoP ]],WWWW[[#This Row],[Total PoP ]],WWWW[[#This Row],['#_of water points in TLS/CFS]]*500)</f>
        <v>0</v>
      </c>
      <c r="CN339" s="424">
        <f>IF(WWWW[[#This Row],['#_of water points in THF]]*500&gt;WWWW[[#This Row],[Total PoP ]],WWWW[[#This Row],[Total PoP ]],WWWW[[#This Row],['#_of water points in THF]]*500)</f>
        <v>0</v>
      </c>
      <c r="CO33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3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39" s="892">
        <f>IF(WWWW[[#This Row],[Location Type 1]]="Village",WWWW[[#This Row],[Access to safe drinking water for Village]],WWWW[[#This Row],[Access to safe drinking water for Camp]])</f>
        <v>1</v>
      </c>
      <c r="CR339" s="890">
        <f>WWWW[[#This Row],[%Equitable and continuous access to sufficient quantity of safe drinking water]]*WWWW[[#This Row],[Total PoP ]]</f>
        <v>483</v>
      </c>
      <c r="CS339" s="892">
        <f>IF((WWWW[[#This Row],['#_Constructed/Existing protected/fenced ponds]]*250)/WWWW[[#This Row],[Total PoP ]]&gt;1,1,(WWWW[[#This Row],['#_Constructed/Existing protected/fenced ponds]]*250)/WWWW[[#This Row],[Total PoP ]])</f>
        <v>0</v>
      </c>
      <c r="CT339" s="890">
        <f>WWWW[[#This Row],[% Access to unimproved water points]]*WWWW[[#This Row],[Total PoP ]]</f>
        <v>0</v>
      </c>
      <c r="CU33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3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483</v>
      </c>
      <c r="CW339" s="890">
        <f>WWWW[[#This Row],[HRP1]]/500</f>
        <v>0.96599999999999997</v>
      </c>
      <c r="CX339" s="895">
        <f>1-WWWW[[#This Row],[% Equitable and continuous access to sufficient quantity of domestic water]]</f>
        <v>0</v>
      </c>
      <c r="CY339" s="890">
        <f>WWWW[[#This Row],[%equitable and continuous access to sufficient quantity of safe drinking and domestic water''s GAP]]*WWWW[[#This Row],[Total PoP ]]</f>
        <v>0</v>
      </c>
      <c r="CZ339" s="893">
        <f>IF(WWWW[[#This Row],[Total required water points]]-WWWW[[#This Row],['#Water points coverage]]&lt;0,0,WWWW[[#This Row],[Total required water points]]-WWWW[[#This Row],['#Water points coverage]])</f>
        <v>3.400000000000003E-2</v>
      </c>
      <c r="DA339" s="893">
        <f>ROUND(IF(WWWW[[#This Row],[Total PoP ]]&lt;500,1,WWWW[[#This Row],[Total PoP ]]/500),0)</f>
        <v>1</v>
      </c>
      <c r="DB339" s="893">
        <f>(WWWW[[#This Row],['#_Constructed latrines_by_WASHAgencies]]+WWWW[[#This Row],['#_Non Cluster partner latrines]])-WWWW[[#This Row],['#_Non-functional latrines]]</f>
        <v>60</v>
      </c>
      <c r="DC339" s="631">
        <f>WWWW[[#This Row],[HRP2]]/WWWW[[#This Row],[Total PoP ]]</f>
        <v>1</v>
      </c>
      <c r="DD33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483</v>
      </c>
      <c r="DE33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9" s="424">
        <f>IF(WWWW[[#This Row],['# of functional latrines in THF supported by WASH partners during the reporting period2]]="",0,WWWW[[#This Row],['# of functional latrines in THF supported by WASH partners during the reporting period2]]*50)</f>
        <v>0</v>
      </c>
      <c r="DH339" s="893">
        <f>ROUND(IF(WWWW[[#This Row],[Location Type 1]]="camp",WWWW[[#This Row],[Total PoP ]]/20,IF(WWWW[[#This Row],[Location Type 1]]="Temporary Location",WWWW[[#This Row],[Total PoP ]]/50,(WWWW[[#This Row],[Total PoP ]]/6))),0)</f>
        <v>24</v>
      </c>
      <c r="DI339" s="893">
        <f>IF(WWWW[[#This Row],[Total required Latrines]]-(WWWW[[#This Row],['#_Constructed latrines_by_WASHAgencies]]+WWWW[[#This Row],['#_Non Cluster partner latrines]])&lt;0,0,WWWW[[#This Row],[Total required Latrines]]-(WWWW[[#This Row],['#_Constructed latrines_by_WASHAgencies]]+WWWW[[#This Row],['#_Non Cluster partner latrines]]))</f>
        <v>0</v>
      </c>
      <c r="DJ339" s="895">
        <f>1-WWWW[[#This Row],[% people access to functioning Latrine]]</f>
        <v>0</v>
      </c>
      <c r="DK339" s="894">
        <f>IF(OR(WWWW[[#This Row],['#_Non-functional latrines]]="",WWWW[[#This Row],['#_Non-functional latrines]]=0),0,WWWW[[#This Row],['#_Non-functional latrines]]/(WWWW[[#This Row],['#_Constructed latrines_by_WASHAgencies]]+WWWW[[#This Row],['#_Non Cluster partner latrines]]))</f>
        <v>0</v>
      </c>
      <c r="DL339" s="890">
        <f>IF(500*(WWWW[[#This Row],['#_male hygiene promoters]]+WWWW[[#This Row],['#_female hygiene promoters]])&gt;WWWW[[#This Row],[Total PoP ]],WWWW[[#This Row],[Total PoP ]],500*(WWWW[[#This Row],['#_male hygiene promoters]]+WWWW[[#This Row],['#_female hygiene promoters]]))</f>
        <v>0</v>
      </c>
      <c r="DM33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9" s="893">
        <f>IF(WWWW[[#This Row],['# People with access to soap]]&gt;WWWW[[#This Row],['# People with access to Sanity Pads]],WWWW[[#This Row],['# People with access to soap]],WWWW[[#This Row],['# People with access to Sanity Pads]])</f>
        <v>0</v>
      </c>
      <c r="DP339"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9" s="895">
        <f>IF(WWWW[[#This Row],[HRP3]]/WWWW[[#This Row],[Total PoP ]]&gt;1,1,WWWW[[#This Row],[HRP3]]/WWWW[[#This Row],[Total PoP ]])</f>
        <v>0</v>
      </c>
      <c r="DR339" s="894">
        <f>1-WWWW[[#This Row],[Hygiene Coverage%]]</f>
        <v>1</v>
      </c>
      <c r="DS339" s="892">
        <f>WWWW[[#This Row],['# people reached by regular dedicated hygiene promotion_5]]/WWWW[[#This Row],[Total PoP ]]</f>
        <v>0</v>
      </c>
      <c r="DT33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9" s="893">
        <f>WWWW[[#This Row],['#_Constructed/Existing hand washing stations]]-WWWW[[#This Row],['#_Non-Functional_hand_washing_stations]]</f>
        <v>1</v>
      </c>
      <c r="DW339" s="890">
        <f>IF(WWWW[[#This Row],['# Functional hand washing stations during reporting period]]*20&gt;WWWW[[#This Row],[Total HH]],WWWW[[#This Row],[Total HH]],WWWW[[#This Row],['# Functional hand washing stations during reporting period]]*20)</f>
        <v>20</v>
      </c>
      <c r="DX339" s="890">
        <f>IF(WWWW[[#This Row],[Is sufficient soap available for TLS? (Yes/No)]]="yes",WWWW[[#This Row],['#_Constructed/Existing hand washing stations at TLS/CFS/THF]],0)</f>
        <v>0</v>
      </c>
      <c r="DY339" s="428">
        <f>IF(WWWW[[#This Row],['# Functional hand washing stations during reporting period]]*100&gt;WWWW[[#This Row],[Total PoP ]],WWWW[[#This Row],[Total PoP ]],WWWW[[#This Row],['# Functional hand washing stations during reporting period]]*100)</f>
        <v>100</v>
      </c>
      <c r="DZ339" s="428" t="str">
        <f>IF(OR(WWWW[[#This Row],['#_students at TLS_CFS]]="",WWWW[[#This Row],['#_students at TLS_CFS]]=0),"No","Yes")</f>
        <v>No</v>
      </c>
      <c r="EA33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9" s="886" t="str">
        <f>VLOOKUP(WWWW[[#This Row],[Site Name]],SiteDB6[[Site Name]:[CCCM Management]],6,FALSE)</f>
        <v>Yes</v>
      </c>
      <c r="EF339" s="886" t="str">
        <f>VLOOKUP(WWWW[[#This Row],[Site Name]],SiteDB6[[Site Name]:[CCCM Focal Agency]],7,FALSE)</f>
        <v>KBC-MYT</v>
      </c>
      <c r="EG339" s="886" t="str">
        <f>VLOOKUP(WWWW[[#This Row],[Site Name]],SiteDB6[[Site Name]:[Location Type 1]],9,FALSE)</f>
        <v>Camp</v>
      </c>
      <c r="EH339" s="886" t="str">
        <f>VLOOKUP(WWWW[[#This Row],[Site Name]],SiteDB6[[Site Name]:[Type of Accommodation]],10,FALSE)</f>
        <v>Camp</v>
      </c>
      <c r="EI339" s="886" t="str">
        <f>VLOOKUP(WWWW[[#This Row],[Site Name]],SiteDB6[[Site Name]:[Ethnic or GCA/NGCA]],11,FALSE)</f>
        <v>GCA</v>
      </c>
      <c r="EJ339" s="886">
        <f>VLOOKUP(WWWW[[#This Row],[Site Name]],SiteDB6[[Site Name]:[Lat]],12,FALSE)</f>
        <v>26.356223</v>
      </c>
      <c r="EK339" s="886">
        <f>VLOOKUP(WWWW[[#This Row],[Site Name]],SiteDB6[[Site Name]:[Long]],13,FALSE)</f>
        <v>96.721439000000004</v>
      </c>
      <c r="EL339" s="886" t="str">
        <f>VLOOKUP(WWWW[[#This Row],[Site Name]],SiteDB6[[Site Name]:[Pcode]],3,FALSE)</f>
        <v>MMR001CMP253</v>
      </c>
      <c r="EM339" s="891" t="str">
        <f t="shared" si="5"/>
        <v>Covered</v>
      </c>
      <c r="EN339" s="891"/>
      <c r="EO339" s="886">
        <f>VLOOKUP(WWWW[[#This Row],[Site Name]],SiteDB6[[Site Name]:[Pop
(Kachin/Shan-CCCM as of July 2021)]],16,FALSE)</f>
        <v>110</v>
      </c>
      <c r="EP339" s="886">
        <f>VLOOKUP(WWWW[[#This Row],[Site Name]],SiteDB6[[Site Name]:[Pop
(Kachin/Shan-CCCM as of July 2021)]],17,FALSE)</f>
        <v>486</v>
      </c>
    </row>
    <row r="340" spans="1:146" hidden="1">
      <c r="A340" s="884" t="s">
        <v>2764</v>
      </c>
      <c r="B340" s="884" t="s">
        <v>3073</v>
      </c>
      <c r="C340" s="885" t="s">
        <v>141</v>
      </c>
      <c r="D340" s="885" t="s">
        <v>3081</v>
      </c>
      <c r="E340" s="885" t="s">
        <v>37</v>
      </c>
      <c r="F340" s="885" t="s">
        <v>159</v>
      </c>
      <c r="G340" s="591" t="str">
        <f>VLOOKUP(WWWW[[#This Row],[Site Name]],SiteDB6[[Site Name]:[Location Type]],8,FALSE)</f>
        <v>Camp</v>
      </c>
      <c r="H340" s="885" t="s">
        <v>170</v>
      </c>
      <c r="I340" s="887">
        <v>96</v>
      </c>
      <c r="J340" s="887">
        <v>531</v>
      </c>
      <c r="K340" s="888">
        <v>44682</v>
      </c>
      <c r="L340" s="889">
        <v>44865</v>
      </c>
      <c r="M340" s="887"/>
      <c r="N340" s="887">
        <v>1</v>
      </c>
      <c r="O340" s="887"/>
      <c r="P340" s="887"/>
      <c r="Q340" s="890" t="s">
        <v>41</v>
      </c>
      <c r="R340" s="887">
        <v>2</v>
      </c>
      <c r="S340" s="887">
        <v>2</v>
      </c>
      <c r="T340" s="448">
        <v>2</v>
      </c>
      <c r="U340" s="887"/>
      <c r="V340" s="887"/>
      <c r="W340" s="887">
        <v>3</v>
      </c>
      <c r="X340" s="887"/>
      <c r="Y340" s="887"/>
      <c r="Z340" s="887"/>
      <c r="AA340" s="887"/>
      <c r="AB340" s="887"/>
      <c r="AC340" s="887"/>
      <c r="AD340" s="887"/>
      <c r="AE340" s="887"/>
      <c r="AF340" s="887"/>
      <c r="AG340" s="887"/>
      <c r="AH340" s="887">
        <v>2</v>
      </c>
      <c r="AI340" s="887"/>
      <c r="AJ340" s="887"/>
      <c r="AK340" s="887"/>
      <c r="AL340" s="887"/>
      <c r="AM340" s="887"/>
      <c r="AN340" s="887"/>
      <c r="AO340" s="448"/>
      <c r="AP340" s="891"/>
      <c r="AQ340" s="887">
        <v>11</v>
      </c>
      <c r="AR340" s="887"/>
      <c r="AS340" s="892"/>
      <c r="AT340" s="887"/>
      <c r="AU340" s="887"/>
      <c r="AV340" s="887"/>
      <c r="AW340" s="887"/>
      <c r="AX340" s="887">
        <v>11</v>
      </c>
      <c r="AY340" s="886" t="s">
        <v>41</v>
      </c>
      <c r="AZ340" s="891" t="s">
        <v>137</v>
      </c>
      <c r="BA340" s="887"/>
      <c r="BB340" s="887"/>
      <c r="BC340" s="887"/>
      <c r="BD340" s="448"/>
      <c r="BE340" s="448"/>
      <c r="BF340" s="886"/>
      <c r="BG340" s="887">
        <v>3</v>
      </c>
      <c r="BH340" s="887"/>
      <c r="BI340" s="887"/>
      <c r="BJ340" s="887">
        <v>2</v>
      </c>
      <c r="BK340" s="887"/>
      <c r="BL340" s="887">
        <v>1</v>
      </c>
      <c r="BM340" s="887"/>
      <c r="BN340" s="887"/>
      <c r="BO340" s="887"/>
      <c r="BP340" s="886"/>
      <c r="BQ340" s="893"/>
      <c r="BR340" s="892"/>
      <c r="BS340" s="886"/>
      <c r="BT340" s="423"/>
      <c r="BU340" s="423"/>
      <c r="BV340" s="425"/>
      <c r="BW340" s="423"/>
      <c r="BX340" s="448"/>
      <c r="BY340" s="448"/>
      <c r="BZ340" s="448"/>
      <c r="CA340" s="448"/>
      <c r="CB340" s="448"/>
      <c r="CC340" s="777"/>
      <c r="CD340" s="448"/>
      <c r="CE340" s="894" t="str">
        <f>IFERROR(WWWW[[#This Row],['#_Water sources passed]]/WWWW[[#This Row],['#_Water sources tested for fecal coliform ]],"no test")</f>
        <v>no test</v>
      </c>
      <c r="CF340" s="892" t="str">
        <f>IFERROR(WWWW[[#This Row],['#_Household passed]]/WWWW[[#This Row],['#_Household water samples tested for fecal coliform]],"no test")</f>
        <v>no test</v>
      </c>
      <c r="CG340" s="893" t="str">
        <f>IF(AND(WWWW[[#This Row],[% of water sources passed]]="no test",WWWW[[#This Row],[% Household passed]]="no test"),"No Test","Tested")</f>
        <v>No Test</v>
      </c>
      <c r="CH340" s="893">
        <f>WWWW[[#This Row],['#_Constructed/existing protected hand dug well]]-WWWW[[#This Row],['#_Non-functional protected hand dug well]]</f>
        <v>2</v>
      </c>
      <c r="CI340" s="893">
        <f>(WWWW[[#This Row],['#_Constructed/Existing tube wells/boreholes/handpumps_WASH_agency]]+WWWW[[#This Row],['#_Non-Cluster partner water tube-wells/boreholes/handpumps]])-WWWW[[#This Row],['#_Non-functional tube wells/boreholes/handpumps]]</f>
        <v>3</v>
      </c>
      <c r="CJ340" s="893">
        <f>WWWW[[#This Row],['#_Constructed/Existingwater storage tank with gravity fed reticulation system]]-WWWW[[#This Row],['#_Non-functional storage tank gravity fed reticulation system]]</f>
        <v>0</v>
      </c>
      <c r="CK340" s="893">
        <f>(WWWW[[#This Row],['#_Water_Liters_supplied_by_Water boating or water trucking]]/90)/15</f>
        <v>0</v>
      </c>
      <c r="CL340" s="893">
        <f>WWWW[[#This Row],['#_Water_Liters_from_Constructed/Existing water distribution system from river or natural spring]]/90/15</f>
        <v>0</v>
      </c>
      <c r="CM340" s="424">
        <f>IF(WWWW[[#This Row],['#_of water points in TLS/CFS]]*500&gt;WWWW[[#This Row],[Total PoP ]],WWWW[[#This Row],[Total PoP ]],WWWW[[#This Row],['#_of water points in TLS/CFS]]*500)</f>
        <v>0</v>
      </c>
      <c r="CN340" s="424">
        <f>IF(WWWW[[#This Row],['#_of water points in THF]]*500&gt;WWWW[[#This Row],[Total PoP ]],WWWW[[#This Row],[Total PoP ]],WWWW[[#This Row],['#_of water points in THF]]*500)</f>
        <v>0</v>
      </c>
      <c r="CO34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0" s="892">
        <f>IF(WWWW[[#This Row],[Location Type 1]]="Village",WWWW[[#This Row],[Access to safe drinking water for Village]],WWWW[[#This Row],[Access to safe drinking water for Camp]])</f>
        <v>1</v>
      </c>
      <c r="CR340" s="890">
        <f>WWWW[[#This Row],[%Equitable and continuous access to sufficient quantity of safe drinking water]]*WWWW[[#This Row],[Total PoP ]]</f>
        <v>531</v>
      </c>
      <c r="CS340" s="892">
        <f>IF((WWWW[[#This Row],['#_Constructed/Existing protected/fenced ponds]]*250)/WWWW[[#This Row],[Total PoP ]]&gt;1,1,(WWWW[[#This Row],['#_Constructed/Existing protected/fenced ponds]]*250)/WWWW[[#This Row],[Total PoP ]])</f>
        <v>0</v>
      </c>
      <c r="CT340" s="890">
        <f>WWWW[[#This Row],[% Access to unimproved water points]]*WWWW[[#This Row],[Total PoP ]]</f>
        <v>0</v>
      </c>
      <c r="CU34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531</v>
      </c>
      <c r="CW340" s="890">
        <f>WWWW[[#This Row],[HRP1]]/500</f>
        <v>1.0620000000000001</v>
      </c>
      <c r="CX340" s="895">
        <f>1-WWWW[[#This Row],[% Equitable and continuous access to sufficient quantity of domestic water]]</f>
        <v>0</v>
      </c>
      <c r="CY340" s="890">
        <f>WWWW[[#This Row],[%equitable and continuous access to sufficient quantity of safe drinking and domestic water''s GAP]]*WWWW[[#This Row],[Total PoP ]]</f>
        <v>0</v>
      </c>
      <c r="CZ340" s="893">
        <f>IF(WWWW[[#This Row],[Total required water points]]-WWWW[[#This Row],['#Water points coverage]]&lt;0,0,WWWW[[#This Row],[Total required water points]]-WWWW[[#This Row],['#Water points coverage]])</f>
        <v>0</v>
      </c>
      <c r="DA340" s="893">
        <f>ROUND(IF(WWWW[[#This Row],[Total PoP ]]&lt;500,1,WWWW[[#This Row],[Total PoP ]]/500),0)</f>
        <v>1</v>
      </c>
      <c r="DB340" s="893">
        <f>(WWWW[[#This Row],['#_Constructed latrines_by_WASHAgencies]]+WWWW[[#This Row],['#_Non Cluster partner latrines]])-WWWW[[#This Row],['#_Non-functional latrines]]</f>
        <v>11</v>
      </c>
      <c r="DC340" s="631">
        <f>WWWW[[#This Row],[HRP2]]/WWWW[[#This Row],[Total PoP ]]</f>
        <v>0.4143126177024482</v>
      </c>
      <c r="DD34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34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0" s="424">
        <f>IF(WWWW[[#This Row],['# of functional latrines in THF supported by WASH partners during the reporting period2]]="",0,WWWW[[#This Row],['# of functional latrines in THF supported by WASH partners during the reporting period2]]*50)</f>
        <v>0</v>
      </c>
      <c r="DH340" s="893">
        <f>ROUND(IF(WWWW[[#This Row],[Location Type 1]]="camp",WWWW[[#This Row],[Total PoP ]]/20,IF(WWWW[[#This Row],[Location Type 1]]="Temporary Location",WWWW[[#This Row],[Total PoP ]]/50,(WWWW[[#This Row],[Total PoP ]]/6))),0)</f>
        <v>27</v>
      </c>
      <c r="DI340" s="893">
        <f>IF(WWWW[[#This Row],[Total required Latrines]]-(WWWW[[#This Row],['#_Constructed latrines_by_WASHAgencies]]+WWWW[[#This Row],['#_Non Cluster partner latrines]])&lt;0,0,WWWW[[#This Row],[Total required Latrines]]-(WWWW[[#This Row],['#_Constructed latrines_by_WASHAgencies]]+WWWW[[#This Row],['#_Non Cluster partner latrines]]))</f>
        <v>16</v>
      </c>
      <c r="DJ340" s="895">
        <f>1-WWWW[[#This Row],[% people access to functioning Latrine]]</f>
        <v>0.5856873822975518</v>
      </c>
      <c r="DK340" s="894">
        <f>IF(OR(WWWW[[#This Row],['#_Non-functional latrines]]="",WWWW[[#This Row],['#_Non-functional latrines]]=0),0,WWWW[[#This Row],['#_Non-functional latrines]]/(WWWW[[#This Row],['#_Constructed latrines_by_WASHAgencies]]+WWWW[[#This Row],['#_Non Cluster partner latrines]]))</f>
        <v>0</v>
      </c>
      <c r="DL340" s="890">
        <f>IF(500*(WWWW[[#This Row],['#_male hygiene promoters]]+WWWW[[#This Row],['#_female hygiene promoters]])&gt;WWWW[[#This Row],[Total PoP ]],WWWW[[#This Row],[Total PoP ]],500*(WWWW[[#This Row],['#_male hygiene promoters]]+WWWW[[#This Row],['#_female hygiene promoters]]))</f>
        <v>500</v>
      </c>
      <c r="DM34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4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0" s="893">
        <f>IF(WWWW[[#This Row],['# People with access to soap]]&gt;WWWW[[#This Row],['# People with access to Sanity Pads]],WWWW[[#This Row],['# People with access to soap]],WWWW[[#This Row],['# People with access to Sanity Pads]])</f>
        <v>0</v>
      </c>
      <c r="DP340" s="89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340" s="895">
        <f>IF(WWWW[[#This Row],[HRP3]]/WWWW[[#This Row],[Total PoP ]]&gt;1,1,WWWW[[#This Row],[HRP3]]/WWWW[[#This Row],[Total PoP ]])</f>
        <v>0.94161958568738224</v>
      </c>
      <c r="DR340" s="894">
        <f>1-WWWW[[#This Row],[Hygiene Coverage%]]</f>
        <v>5.8380414312617757E-2</v>
      </c>
      <c r="DS340" s="892">
        <f>WWWW[[#This Row],['# people reached by regular dedicated hygiene promotion_5]]/WWWW[[#This Row],[Total PoP ]]</f>
        <v>0.94161958568738224</v>
      </c>
      <c r="DT34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4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0" s="893">
        <f>WWWW[[#This Row],['#_Constructed/Existing hand washing stations]]-WWWW[[#This Row],['#_Non-Functional_hand_washing_stations]]</f>
        <v>3</v>
      </c>
      <c r="DW340" s="890">
        <f>IF(WWWW[[#This Row],['# Functional hand washing stations during reporting period]]*20&gt;WWWW[[#This Row],[Total HH]],WWWW[[#This Row],[Total HH]],WWWW[[#This Row],['# Functional hand washing stations during reporting period]]*20)</f>
        <v>60</v>
      </c>
      <c r="DX340" s="890">
        <f>IF(WWWW[[#This Row],[Is sufficient soap available for TLS? (Yes/No)]]="yes",WWWW[[#This Row],['#_Constructed/Existing hand washing stations at TLS/CFS/THF]],0)</f>
        <v>0</v>
      </c>
      <c r="DY340" s="428">
        <f>IF(WWWW[[#This Row],['# Functional hand washing stations during reporting period]]*100&gt;WWWW[[#This Row],[Total PoP ]],WWWW[[#This Row],[Total PoP ]],WWWW[[#This Row],['# Functional hand washing stations during reporting period]]*100)</f>
        <v>300</v>
      </c>
      <c r="DZ340" s="428" t="str">
        <f>IF(OR(WWWW[[#This Row],['#_students at TLS_CFS]]="",WWWW[[#This Row],['#_students at TLS_CFS]]=0),"No","Yes")</f>
        <v>No</v>
      </c>
      <c r="EA34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0" s="886" t="str">
        <f>VLOOKUP(WWWW[[#This Row],[Site Name]],SiteDB6[[Site Name]:[CCCM Management]],6,FALSE)</f>
        <v>Yes</v>
      </c>
      <c r="EF340" s="886" t="str">
        <f>VLOOKUP(WWWW[[#This Row],[Site Name]],SiteDB6[[Site Name]:[CCCM Focal Agency]],7,FALSE)</f>
        <v>KBC-MYT</v>
      </c>
      <c r="EG340" s="886" t="str">
        <f>VLOOKUP(WWWW[[#This Row],[Site Name]],SiteDB6[[Site Name]:[Location Type 1]],9,FALSE)</f>
        <v>Camp</v>
      </c>
      <c r="EH340" s="886" t="str">
        <f>VLOOKUP(WWWW[[#This Row],[Site Name]],SiteDB6[[Site Name]:[Type of Accommodation]],10,FALSE)</f>
        <v>Camp</v>
      </c>
      <c r="EI340" s="886" t="str">
        <f>VLOOKUP(WWWW[[#This Row],[Site Name]],SiteDB6[[Site Name]:[Ethnic or GCA/NGCA]],11,FALSE)</f>
        <v>GCA</v>
      </c>
      <c r="EJ340" s="886">
        <f>VLOOKUP(WWWW[[#This Row],[Site Name]],SiteDB6[[Site Name]:[Lat]],12,FALSE)</f>
        <v>25.415482000000001</v>
      </c>
      <c r="EK340" s="886">
        <f>VLOOKUP(WWWW[[#This Row],[Site Name]],SiteDB6[[Site Name]:[Long]],13,FALSE)</f>
        <v>97.386718999999999</v>
      </c>
      <c r="EL340" s="886" t="str">
        <f>VLOOKUP(WWWW[[#This Row],[Site Name]],SiteDB6[[Site Name]:[Pcode]],3,FALSE)</f>
        <v>MMR001CMP001</v>
      </c>
      <c r="EM340" s="891" t="str">
        <f t="shared" si="5"/>
        <v>Covered</v>
      </c>
      <c r="EN340" s="891"/>
      <c r="EO340" s="886">
        <f>VLOOKUP(WWWW[[#This Row],[Site Name]],SiteDB6[[Site Name]:[Pop
(Kachin/Shan-CCCM as of July 2021)]],16,FALSE)</f>
        <v>98</v>
      </c>
      <c r="EP340" s="886">
        <f>VLOOKUP(WWWW[[#This Row],[Site Name]],SiteDB6[[Site Name]:[Pop
(Kachin/Shan-CCCM as of July 2021)]],17,FALSE)</f>
        <v>540</v>
      </c>
    </row>
    <row r="341" spans="1:146" hidden="1">
      <c r="A341" s="884" t="s">
        <v>2764</v>
      </c>
      <c r="B341" s="884" t="s">
        <v>242</v>
      </c>
      <c r="C341" s="885" t="s">
        <v>242</v>
      </c>
      <c r="D341" s="885" t="s">
        <v>299</v>
      </c>
      <c r="E341" s="885" t="s">
        <v>37</v>
      </c>
      <c r="F341" s="885" t="s">
        <v>159</v>
      </c>
      <c r="G341" s="591" t="str">
        <f>VLOOKUP(WWWW[[#This Row],[Site Name]],SiteDB6[[Site Name]:[Location Type]],8,FALSE)</f>
        <v>Camp</v>
      </c>
      <c r="H341" s="885" t="s">
        <v>266</v>
      </c>
      <c r="I341" s="887">
        <v>56</v>
      </c>
      <c r="J341" s="887">
        <v>262</v>
      </c>
      <c r="K341" s="888">
        <v>44562</v>
      </c>
      <c r="L341" s="889">
        <v>44926</v>
      </c>
      <c r="M341" s="887"/>
      <c r="N341" s="887">
        <v>1</v>
      </c>
      <c r="O341" s="887">
        <v>1</v>
      </c>
      <c r="P341" s="887"/>
      <c r="Q341" s="890" t="s">
        <v>41</v>
      </c>
      <c r="R341" s="887">
        <v>2</v>
      </c>
      <c r="S341" s="887">
        <v>5</v>
      </c>
      <c r="T341" s="448">
        <v>1</v>
      </c>
      <c r="U341" s="887"/>
      <c r="V341" s="887">
        <v>1</v>
      </c>
      <c r="W341" s="887">
        <v>4</v>
      </c>
      <c r="X341" s="887"/>
      <c r="Y341" s="887"/>
      <c r="Z341" s="887"/>
      <c r="AA341" s="887"/>
      <c r="AB341" s="887"/>
      <c r="AC341" s="887"/>
      <c r="AD341" s="887"/>
      <c r="AE341" s="887">
        <v>5</v>
      </c>
      <c r="AF341" s="887"/>
      <c r="AG341" s="887"/>
      <c r="AH341" s="887"/>
      <c r="AI341" s="887"/>
      <c r="AJ341" s="887"/>
      <c r="AK341" s="887"/>
      <c r="AL341" s="887"/>
      <c r="AM341" s="887">
        <v>2</v>
      </c>
      <c r="AN341" s="887">
        <v>2</v>
      </c>
      <c r="AO341" s="448"/>
      <c r="AP341" s="891"/>
      <c r="AQ341" s="887">
        <v>18</v>
      </c>
      <c r="AR341" s="887"/>
      <c r="AS341" s="892"/>
      <c r="AT341" s="887"/>
      <c r="AU341" s="887"/>
      <c r="AV341" s="887">
        <v>6</v>
      </c>
      <c r="AW341" s="887"/>
      <c r="AX341" s="887"/>
      <c r="AY341" s="886" t="s">
        <v>41</v>
      </c>
      <c r="AZ341" s="891" t="s">
        <v>137</v>
      </c>
      <c r="BA341" s="887"/>
      <c r="BB341" s="887">
        <v>1</v>
      </c>
      <c r="BC341" s="887"/>
      <c r="BD341" s="448"/>
      <c r="BE341" s="448"/>
      <c r="BF341" s="886"/>
      <c r="BG341" s="887">
        <v>4</v>
      </c>
      <c r="BH341" s="887">
        <v>1</v>
      </c>
      <c r="BI341" s="887"/>
      <c r="BJ341" s="887">
        <v>4</v>
      </c>
      <c r="BK341" s="887"/>
      <c r="BL341" s="887"/>
      <c r="BM341" s="887"/>
      <c r="BN341" s="887"/>
      <c r="BO341" s="887"/>
      <c r="BP341" s="886"/>
      <c r="BQ341" s="893"/>
      <c r="BR341" s="892"/>
      <c r="BS341" s="886"/>
      <c r="BT341" s="423">
        <v>0.8</v>
      </c>
      <c r="BU341" s="423">
        <v>0.8</v>
      </c>
      <c r="BV341" s="425"/>
      <c r="BW341" s="423"/>
      <c r="BX341" s="448"/>
      <c r="BY341" s="448"/>
      <c r="BZ341" s="448"/>
      <c r="CA341" s="448"/>
      <c r="CB341" s="448"/>
      <c r="CC341" s="777"/>
      <c r="CD341" s="448"/>
      <c r="CE341" s="894" t="str">
        <f>IFERROR(WWWW[[#This Row],['#_Water sources passed]]/WWWW[[#This Row],['#_Water sources tested for fecal coliform ]],"no test")</f>
        <v>no test</v>
      </c>
      <c r="CF341" s="892" t="str">
        <f>IFERROR(WWWW[[#This Row],['#_Household passed]]/WWWW[[#This Row],['#_Household water samples tested for fecal coliform]],"no test")</f>
        <v>no test</v>
      </c>
      <c r="CG341" s="893" t="str">
        <f>IF(AND(WWWW[[#This Row],[% of water sources passed]]="no test",WWWW[[#This Row],[% Household passed]]="no test"),"No Test","Tested")</f>
        <v>No Test</v>
      </c>
      <c r="CH341" s="893">
        <f>WWWW[[#This Row],['#_Constructed/existing protected hand dug well]]-WWWW[[#This Row],['#_Non-functional protected hand dug well]]</f>
        <v>1</v>
      </c>
      <c r="CI341" s="893">
        <f>(WWWW[[#This Row],['#_Constructed/Existing tube wells/boreholes/handpumps_WASH_agency]]+WWWW[[#This Row],['#_Non-Cluster partner water tube-wells/boreholes/handpumps]])-WWWW[[#This Row],['#_Non-functional tube wells/boreholes/handpumps]]</f>
        <v>4</v>
      </c>
      <c r="CJ341" s="893">
        <f>WWWW[[#This Row],['#_Constructed/Existingwater storage tank with gravity fed reticulation system]]-WWWW[[#This Row],['#_Non-functional storage tank gravity fed reticulation system]]</f>
        <v>0</v>
      </c>
      <c r="CK341" s="893">
        <f>(WWWW[[#This Row],['#_Water_Liters_supplied_by_Water boating or water trucking]]/90)/15</f>
        <v>0</v>
      </c>
      <c r="CL341" s="893">
        <f>WWWW[[#This Row],['#_Water_Liters_from_Constructed/Existing water distribution system from river or natural spring]]/90/15</f>
        <v>0</v>
      </c>
      <c r="CM341" s="424">
        <f>IF(WWWW[[#This Row],['#_of water points in TLS/CFS]]*500&gt;WWWW[[#This Row],[Total PoP ]],WWWW[[#This Row],[Total PoP ]],WWWW[[#This Row],['#_of water points in TLS/CFS]]*500)</f>
        <v>262</v>
      </c>
      <c r="CN341" s="424">
        <f>IF(WWWW[[#This Row],['#_of water points in THF]]*500&gt;WWWW[[#This Row],[Total PoP ]],WWWW[[#This Row],[Total PoP ]],WWWW[[#This Row],['#_of water points in THF]]*500)</f>
        <v>0</v>
      </c>
      <c r="CO34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1" s="892">
        <f>IF(WWWW[[#This Row],[Location Type 1]]="Village",WWWW[[#This Row],[Access to safe drinking water for Village]],WWWW[[#This Row],[Access to safe drinking water for Camp]])</f>
        <v>1</v>
      </c>
      <c r="CR341" s="890">
        <f>WWWW[[#This Row],[%Equitable and continuous access to sufficient quantity of safe drinking water]]*WWWW[[#This Row],[Total PoP ]]</f>
        <v>262</v>
      </c>
      <c r="CS341" s="892">
        <f>IF((WWWW[[#This Row],['#_Constructed/Existing protected/fenced ponds]]*250)/WWWW[[#This Row],[Total PoP ]]&gt;1,1,(WWWW[[#This Row],['#_Constructed/Existing protected/fenced ponds]]*250)/WWWW[[#This Row],[Total PoP ]])</f>
        <v>1</v>
      </c>
      <c r="CT341" s="890">
        <f>WWWW[[#This Row],[% Access to unimproved water points]]*WWWW[[#This Row],[Total PoP ]]</f>
        <v>262</v>
      </c>
      <c r="CU34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262</v>
      </c>
      <c r="CW341" s="890">
        <f>WWWW[[#This Row],[HRP1]]/500</f>
        <v>0.52400000000000002</v>
      </c>
      <c r="CX341" s="895">
        <f>1-WWWW[[#This Row],[% Equitable and continuous access to sufficient quantity of domestic water]]</f>
        <v>0</v>
      </c>
      <c r="CY341" s="890">
        <f>WWWW[[#This Row],[%equitable and continuous access to sufficient quantity of safe drinking and domestic water''s GAP]]*WWWW[[#This Row],[Total PoP ]]</f>
        <v>0</v>
      </c>
      <c r="CZ341" s="893">
        <f>IF(WWWW[[#This Row],[Total required water points]]-WWWW[[#This Row],['#Water points coverage]]&lt;0,0,WWWW[[#This Row],[Total required water points]]-WWWW[[#This Row],['#Water points coverage]])</f>
        <v>0.47599999999999998</v>
      </c>
      <c r="DA341" s="893">
        <f>ROUND(IF(WWWW[[#This Row],[Total PoP ]]&lt;500,1,WWWW[[#This Row],[Total PoP ]]/500),0)</f>
        <v>1</v>
      </c>
      <c r="DB341" s="893">
        <f>(WWWW[[#This Row],['#_Constructed latrines_by_WASHAgencies]]+WWWW[[#This Row],['#_Non Cluster partner latrines]])-WWWW[[#This Row],['#_Non-functional latrines]]</f>
        <v>18</v>
      </c>
      <c r="DC341" s="631">
        <f>WWWW[[#This Row],[HRP2]]/WWWW[[#This Row],[Total PoP ]]</f>
        <v>1</v>
      </c>
      <c r="DD34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262</v>
      </c>
      <c r="DE34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34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1" s="424">
        <f>IF(WWWW[[#This Row],['# of functional latrines in THF supported by WASH partners during the reporting period2]]="",0,WWWW[[#This Row],['# of functional latrines in THF supported by WASH partners during the reporting period2]]*50)</f>
        <v>0</v>
      </c>
      <c r="DH341" s="893">
        <f>ROUND(IF(WWWW[[#This Row],[Location Type 1]]="camp",WWWW[[#This Row],[Total PoP ]]/20,IF(WWWW[[#This Row],[Location Type 1]]="Temporary Location",WWWW[[#This Row],[Total PoP ]]/50,(WWWW[[#This Row],[Total PoP ]]/6))),0)</f>
        <v>13</v>
      </c>
      <c r="DI341" s="893">
        <f>IF(WWWW[[#This Row],[Total required Latrines]]-(WWWW[[#This Row],['#_Constructed latrines_by_WASHAgencies]]+WWWW[[#This Row],['#_Non Cluster partner latrines]])&lt;0,0,WWWW[[#This Row],[Total required Latrines]]-(WWWW[[#This Row],['#_Constructed latrines_by_WASHAgencies]]+WWWW[[#This Row],['#_Non Cluster partner latrines]]))</f>
        <v>0</v>
      </c>
      <c r="DJ341" s="895">
        <f>1-WWWW[[#This Row],[% people access to functioning Latrine]]</f>
        <v>0</v>
      </c>
      <c r="DK341" s="894">
        <f>IF(OR(WWWW[[#This Row],['#_Non-functional latrines]]="",WWWW[[#This Row],['#_Non-functional latrines]]=0),0,WWWW[[#This Row],['#_Non-functional latrines]]/(WWWW[[#This Row],['#_Constructed latrines_by_WASHAgencies]]+WWWW[[#This Row],['#_Non Cluster partner latrines]]))</f>
        <v>0</v>
      </c>
      <c r="DL341" s="890">
        <f>IF(500*(WWWW[[#This Row],['#_male hygiene promoters]]+WWWW[[#This Row],['#_female hygiene promoters]])&gt;WWWW[[#This Row],[Total PoP ]],WWWW[[#This Row],[Total PoP ]],500*(WWWW[[#This Row],['#_male hygiene promoters]]+WWWW[[#This Row],['#_female hygiene promoters]]))</f>
        <v>0</v>
      </c>
      <c r="DM34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4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1" s="893">
        <f>IF(WWWW[[#This Row],['# People with access to soap]]&gt;WWWW[[#This Row],['# People with access to Sanity Pads]],WWWW[[#This Row],['# People with access to soap]],WWWW[[#This Row],['# People with access to Sanity Pads]])</f>
        <v>0</v>
      </c>
      <c r="DP341"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41" s="895">
        <f>IF(WWWW[[#This Row],[HRP3]]/WWWW[[#This Row],[Total PoP ]]&gt;1,1,WWWW[[#This Row],[HRP3]]/WWWW[[#This Row],[Total PoP ]])</f>
        <v>0</v>
      </c>
      <c r="DR341" s="894">
        <f>1-WWWW[[#This Row],[Hygiene Coverage%]]</f>
        <v>1</v>
      </c>
      <c r="DS341" s="892">
        <f>WWWW[[#This Row],['# people reached by regular dedicated hygiene promotion_5]]/WWWW[[#This Row],[Total PoP ]]</f>
        <v>0</v>
      </c>
      <c r="DT34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4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1" s="893">
        <f>WWWW[[#This Row],['#_Constructed/Existing hand washing stations]]-WWWW[[#This Row],['#_Non-Functional_hand_washing_stations]]</f>
        <v>3</v>
      </c>
      <c r="DW341" s="890">
        <f>IF(WWWW[[#This Row],['# Functional hand washing stations during reporting period]]*20&gt;WWWW[[#This Row],[Total HH]],WWWW[[#This Row],[Total HH]],WWWW[[#This Row],['# Functional hand washing stations during reporting period]]*20)</f>
        <v>56</v>
      </c>
      <c r="DX341" s="890">
        <f>IF(WWWW[[#This Row],[Is sufficient soap available for TLS? (Yes/No)]]="yes",WWWW[[#This Row],['#_Constructed/Existing hand washing stations at TLS/CFS/THF]],0)</f>
        <v>0</v>
      </c>
      <c r="DY341" s="428">
        <f>IF(WWWW[[#This Row],['# Functional hand washing stations during reporting period]]*100&gt;WWWW[[#This Row],[Total PoP ]],WWWW[[#This Row],[Total PoP ]],WWWW[[#This Row],['# Functional hand washing stations during reporting period]]*100)</f>
        <v>262</v>
      </c>
      <c r="DZ341" s="428" t="str">
        <f>IF(OR(WWWW[[#This Row],['#_students at TLS_CFS]]="",WWWW[[#This Row],['#_students at TLS_CFS]]=0),"No","Yes")</f>
        <v>No</v>
      </c>
      <c r="EA34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262</v>
      </c>
      <c r="ED34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1" s="886" t="str">
        <f>VLOOKUP(WWWW[[#This Row],[Site Name]],SiteDB6[[Site Name]:[CCCM Management]],6,FALSE)</f>
        <v>Yes</v>
      </c>
      <c r="EF341" s="886" t="str">
        <f>VLOOKUP(WWWW[[#This Row],[Site Name]],SiteDB6[[Site Name]:[CCCM Focal Agency]],7,FALSE)</f>
        <v>Shalom</v>
      </c>
      <c r="EG341" s="886" t="str">
        <f>VLOOKUP(WWWW[[#This Row],[Site Name]],SiteDB6[[Site Name]:[Location Type 1]],9,FALSE)</f>
        <v>Camp</v>
      </c>
      <c r="EH341" s="886" t="str">
        <f>VLOOKUP(WWWW[[#This Row],[Site Name]],SiteDB6[[Site Name]:[Type of Accommodation]],10,FALSE)</f>
        <v>Camp</v>
      </c>
      <c r="EI341" s="886" t="str">
        <f>VLOOKUP(WWWW[[#This Row],[Site Name]],SiteDB6[[Site Name]:[Ethnic or GCA/NGCA]],11,FALSE)</f>
        <v>GCA</v>
      </c>
      <c r="EJ341" s="886">
        <f>VLOOKUP(WWWW[[#This Row],[Site Name]],SiteDB6[[Site Name]:[Lat]],12,FALSE)</f>
        <v>25.423209</v>
      </c>
      <c r="EK341" s="886">
        <f>VLOOKUP(WWWW[[#This Row],[Site Name]],SiteDB6[[Site Name]:[Long]],13,FALSE)</f>
        <v>97.379987</v>
      </c>
      <c r="EL341" s="886" t="str">
        <f>VLOOKUP(WWWW[[#This Row],[Site Name]],SiteDB6[[Site Name]:[Pcode]],3,FALSE)</f>
        <v>MMR001CMP023</v>
      </c>
      <c r="EM341" s="891" t="str">
        <f t="shared" si="5"/>
        <v>Covered</v>
      </c>
      <c r="EN341" s="891"/>
      <c r="EO341" s="886">
        <f>VLOOKUP(WWWW[[#This Row],[Site Name]],SiteDB6[[Site Name]:[Pop
(Kachin/Shan-CCCM as of July 2021)]],16,FALSE)</f>
        <v>56</v>
      </c>
      <c r="EP341" s="886">
        <f>VLOOKUP(WWWW[[#This Row],[Site Name]],SiteDB6[[Site Name]:[Pop
(Kachin/Shan-CCCM as of July 2021)]],17,FALSE)</f>
        <v>266</v>
      </c>
    </row>
    <row r="342" spans="1:146" hidden="1">
      <c r="A342" s="884" t="s">
        <v>2764</v>
      </c>
      <c r="B342" s="884" t="s">
        <v>3073</v>
      </c>
      <c r="C342" s="885" t="s">
        <v>141</v>
      </c>
      <c r="D342" s="885" t="s">
        <v>3081</v>
      </c>
      <c r="E342" s="885" t="s">
        <v>37</v>
      </c>
      <c r="F342" s="885" t="s">
        <v>159</v>
      </c>
      <c r="G342" s="591" t="str">
        <f>VLOOKUP(WWWW[[#This Row],[Site Name]],SiteDB6[[Site Name]:[Location Type]],8,FALSE)</f>
        <v>Camp</v>
      </c>
      <c r="H342" s="885" t="s">
        <v>171</v>
      </c>
      <c r="I342" s="887">
        <v>35</v>
      </c>
      <c r="J342" s="887">
        <v>197</v>
      </c>
      <c r="K342" s="888">
        <v>44682</v>
      </c>
      <c r="L342" s="889">
        <v>44865</v>
      </c>
      <c r="M342" s="887"/>
      <c r="N342" s="887">
        <v>1</v>
      </c>
      <c r="O342" s="887"/>
      <c r="P342" s="887"/>
      <c r="Q342" s="890" t="s">
        <v>41</v>
      </c>
      <c r="R342" s="887">
        <v>2</v>
      </c>
      <c r="S342" s="887">
        <v>2</v>
      </c>
      <c r="T342" s="448">
        <v>3</v>
      </c>
      <c r="U342" s="887"/>
      <c r="V342" s="887"/>
      <c r="W342" s="887">
        <v>4</v>
      </c>
      <c r="X342" s="887"/>
      <c r="Y342" s="887"/>
      <c r="Z342" s="887"/>
      <c r="AA342" s="887"/>
      <c r="AB342" s="887"/>
      <c r="AC342" s="887"/>
      <c r="AD342" s="887"/>
      <c r="AE342" s="887"/>
      <c r="AF342" s="887"/>
      <c r="AG342" s="887"/>
      <c r="AH342" s="887">
        <v>3</v>
      </c>
      <c r="AI342" s="887"/>
      <c r="AJ342" s="887"/>
      <c r="AK342" s="887"/>
      <c r="AL342" s="887"/>
      <c r="AM342" s="887"/>
      <c r="AN342" s="887"/>
      <c r="AO342" s="448"/>
      <c r="AP342" s="891"/>
      <c r="AQ342" s="887">
        <v>5</v>
      </c>
      <c r="AR342" s="887"/>
      <c r="AS342" s="892"/>
      <c r="AT342" s="887"/>
      <c r="AU342" s="887"/>
      <c r="AV342" s="887"/>
      <c r="AW342" s="887"/>
      <c r="AX342" s="887">
        <v>5</v>
      </c>
      <c r="AY342" s="886" t="s">
        <v>41</v>
      </c>
      <c r="AZ342" s="891" t="s">
        <v>137</v>
      </c>
      <c r="BA342" s="887"/>
      <c r="BB342" s="887"/>
      <c r="BC342" s="887"/>
      <c r="BD342" s="448"/>
      <c r="BE342" s="448"/>
      <c r="BF342" s="886"/>
      <c r="BG342" s="887">
        <v>1</v>
      </c>
      <c r="BH342" s="887"/>
      <c r="BI342" s="887"/>
      <c r="BJ342" s="887">
        <v>3</v>
      </c>
      <c r="BK342" s="887"/>
      <c r="BL342" s="887"/>
      <c r="BM342" s="887"/>
      <c r="BN342" s="887"/>
      <c r="BO342" s="887"/>
      <c r="BP342" s="886"/>
      <c r="BQ342" s="893"/>
      <c r="BR342" s="892"/>
      <c r="BS342" s="886"/>
      <c r="BT342" s="423"/>
      <c r="BU342" s="423"/>
      <c r="BV342" s="425"/>
      <c r="BW342" s="423"/>
      <c r="BX342" s="448"/>
      <c r="BY342" s="448"/>
      <c r="BZ342" s="448"/>
      <c r="CA342" s="448"/>
      <c r="CB342" s="448"/>
      <c r="CC342" s="777"/>
      <c r="CD342" s="448"/>
      <c r="CE342" s="894" t="str">
        <f>IFERROR(WWWW[[#This Row],['#_Water sources passed]]/WWWW[[#This Row],['#_Water sources tested for fecal coliform ]],"no test")</f>
        <v>no test</v>
      </c>
      <c r="CF342" s="892" t="str">
        <f>IFERROR(WWWW[[#This Row],['#_Household passed]]/WWWW[[#This Row],['#_Household water samples tested for fecal coliform]],"no test")</f>
        <v>no test</v>
      </c>
      <c r="CG342" s="893" t="str">
        <f>IF(AND(WWWW[[#This Row],[% of water sources passed]]="no test",WWWW[[#This Row],[% Household passed]]="no test"),"No Test","Tested")</f>
        <v>No Test</v>
      </c>
      <c r="CH342" s="893">
        <f>WWWW[[#This Row],['#_Constructed/existing protected hand dug well]]-WWWW[[#This Row],['#_Non-functional protected hand dug well]]</f>
        <v>3</v>
      </c>
      <c r="CI342" s="893">
        <f>(WWWW[[#This Row],['#_Constructed/Existing tube wells/boreholes/handpumps_WASH_agency]]+WWWW[[#This Row],['#_Non-Cluster partner water tube-wells/boreholes/handpumps]])-WWWW[[#This Row],['#_Non-functional tube wells/boreholes/handpumps]]</f>
        <v>4</v>
      </c>
      <c r="CJ342" s="893">
        <f>WWWW[[#This Row],['#_Constructed/Existingwater storage tank with gravity fed reticulation system]]-WWWW[[#This Row],['#_Non-functional storage tank gravity fed reticulation system]]</f>
        <v>0</v>
      </c>
      <c r="CK342" s="893">
        <f>(WWWW[[#This Row],['#_Water_Liters_supplied_by_Water boating or water trucking]]/90)/15</f>
        <v>0</v>
      </c>
      <c r="CL342" s="893">
        <f>WWWW[[#This Row],['#_Water_Liters_from_Constructed/Existing water distribution system from river or natural spring]]/90/15</f>
        <v>0</v>
      </c>
      <c r="CM342" s="424">
        <f>IF(WWWW[[#This Row],['#_of water points in TLS/CFS]]*500&gt;WWWW[[#This Row],[Total PoP ]],WWWW[[#This Row],[Total PoP ]],WWWW[[#This Row],['#_of water points in TLS/CFS]]*500)</f>
        <v>0</v>
      </c>
      <c r="CN342" s="424">
        <f>IF(WWWW[[#This Row],['#_of water points in THF]]*500&gt;WWWW[[#This Row],[Total PoP ]],WWWW[[#This Row],[Total PoP ]],WWWW[[#This Row],['#_of water points in THF]]*500)</f>
        <v>0</v>
      </c>
      <c r="CO34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2" s="892">
        <f>IF(WWWW[[#This Row],[Location Type 1]]="Village",WWWW[[#This Row],[Access to safe drinking water for Village]],WWWW[[#This Row],[Access to safe drinking water for Camp]])</f>
        <v>1</v>
      </c>
      <c r="CR342" s="890">
        <f>WWWW[[#This Row],[%Equitable and continuous access to sufficient quantity of safe drinking water]]*WWWW[[#This Row],[Total PoP ]]</f>
        <v>197</v>
      </c>
      <c r="CS342" s="892">
        <f>IF((WWWW[[#This Row],['#_Constructed/Existing protected/fenced ponds]]*250)/WWWW[[#This Row],[Total PoP ]]&gt;1,1,(WWWW[[#This Row],['#_Constructed/Existing protected/fenced ponds]]*250)/WWWW[[#This Row],[Total PoP ]])</f>
        <v>0</v>
      </c>
      <c r="CT342" s="890">
        <f>WWWW[[#This Row],[% Access to unimproved water points]]*WWWW[[#This Row],[Total PoP ]]</f>
        <v>0</v>
      </c>
      <c r="CU34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W342" s="890">
        <f>WWWW[[#This Row],[HRP1]]/500</f>
        <v>0.39400000000000002</v>
      </c>
      <c r="CX342" s="895">
        <f>1-WWWW[[#This Row],[% Equitable and continuous access to sufficient quantity of domestic water]]</f>
        <v>0</v>
      </c>
      <c r="CY342" s="890">
        <f>WWWW[[#This Row],[%equitable and continuous access to sufficient quantity of safe drinking and domestic water''s GAP]]*WWWW[[#This Row],[Total PoP ]]</f>
        <v>0</v>
      </c>
      <c r="CZ342" s="893">
        <f>IF(WWWW[[#This Row],[Total required water points]]-WWWW[[#This Row],['#Water points coverage]]&lt;0,0,WWWW[[#This Row],[Total required water points]]-WWWW[[#This Row],['#Water points coverage]])</f>
        <v>0.60599999999999998</v>
      </c>
      <c r="DA342" s="893">
        <f>ROUND(IF(WWWW[[#This Row],[Total PoP ]]&lt;500,1,WWWW[[#This Row],[Total PoP ]]/500),0)</f>
        <v>1</v>
      </c>
      <c r="DB342" s="893">
        <f>(WWWW[[#This Row],['#_Constructed latrines_by_WASHAgencies]]+WWWW[[#This Row],['#_Non Cluster partner latrines]])-WWWW[[#This Row],['#_Non-functional latrines]]</f>
        <v>5</v>
      </c>
      <c r="DC342" s="631">
        <f>WWWW[[#This Row],[HRP2]]/WWWW[[#This Row],[Total PoP ]]</f>
        <v>0.50761421319796951</v>
      </c>
      <c r="DD34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34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2" s="424">
        <f>IF(WWWW[[#This Row],['# of functional latrines in THF supported by WASH partners during the reporting period2]]="",0,WWWW[[#This Row],['# of functional latrines in THF supported by WASH partners during the reporting period2]]*50)</f>
        <v>0</v>
      </c>
      <c r="DH342" s="893">
        <f>ROUND(IF(WWWW[[#This Row],[Location Type 1]]="camp",WWWW[[#This Row],[Total PoP ]]/20,IF(WWWW[[#This Row],[Location Type 1]]="Temporary Location",WWWW[[#This Row],[Total PoP ]]/50,(WWWW[[#This Row],[Total PoP ]]/6))),0)</f>
        <v>10</v>
      </c>
      <c r="DI342" s="893">
        <f>IF(WWWW[[#This Row],[Total required Latrines]]-(WWWW[[#This Row],['#_Constructed latrines_by_WASHAgencies]]+WWWW[[#This Row],['#_Non Cluster partner latrines]])&lt;0,0,WWWW[[#This Row],[Total required Latrines]]-(WWWW[[#This Row],['#_Constructed latrines_by_WASHAgencies]]+WWWW[[#This Row],['#_Non Cluster partner latrines]]))</f>
        <v>5</v>
      </c>
      <c r="DJ342" s="895">
        <f>1-WWWW[[#This Row],[% people access to functioning Latrine]]</f>
        <v>0.49238578680203049</v>
      </c>
      <c r="DK342" s="894">
        <f>IF(OR(WWWW[[#This Row],['#_Non-functional latrines]]="",WWWW[[#This Row],['#_Non-functional latrines]]=0),0,WWWW[[#This Row],['#_Non-functional latrines]]/(WWWW[[#This Row],['#_Constructed latrines_by_WASHAgencies]]+WWWW[[#This Row],['#_Non Cluster partner latrines]]))</f>
        <v>0</v>
      </c>
      <c r="DL342" s="890">
        <f>IF(500*(WWWW[[#This Row],['#_male hygiene promoters]]+WWWW[[#This Row],['#_female hygiene promoters]])&gt;WWWW[[#This Row],[Total PoP ]],WWWW[[#This Row],[Total PoP ]],500*(WWWW[[#This Row],['#_male hygiene promoters]]+WWWW[[#This Row],['#_female hygiene promoters]]))</f>
        <v>0</v>
      </c>
      <c r="DM34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4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2" s="893">
        <f>IF(WWWW[[#This Row],['# People with access to soap]]&gt;WWWW[[#This Row],['# People with access to Sanity Pads]],WWWW[[#This Row],['# People with access to soap]],WWWW[[#This Row],['# People with access to Sanity Pads]])</f>
        <v>0</v>
      </c>
      <c r="DP342"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42" s="895">
        <f>IF(WWWW[[#This Row],[HRP3]]/WWWW[[#This Row],[Total PoP ]]&gt;1,1,WWWW[[#This Row],[HRP3]]/WWWW[[#This Row],[Total PoP ]])</f>
        <v>0</v>
      </c>
      <c r="DR342" s="894">
        <f>1-WWWW[[#This Row],[Hygiene Coverage%]]</f>
        <v>1</v>
      </c>
      <c r="DS342" s="892">
        <f>WWWW[[#This Row],['# people reached by regular dedicated hygiene promotion_5]]/WWWW[[#This Row],[Total PoP ]]</f>
        <v>0</v>
      </c>
      <c r="DT34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4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2" s="893">
        <f>WWWW[[#This Row],['#_Constructed/Existing hand washing stations]]-WWWW[[#This Row],['#_Non-Functional_hand_washing_stations]]</f>
        <v>1</v>
      </c>
      <c r="DW342" s="890">
        <f>IF(WWWW[[#This Row],['# Functional hand washing stations during reporting period]]*20&gt;WWWW[[#This Row],[Total HH]],WWWW[[#This Row],[Total HH]],WWWW[[#This Row],['# Functional hand washing stations during reporting period]]*20)</f>
        <v>20</v>
      </c>
      <c r="DX342" s="890">
        <f>IF(WWWW[[#This Row],[Is sufficient soap available for TLS? (Yes/No)]]="yes",WWWW[[#This Row],['#_Constructed/Existing hand washing stations at TLS/CFS/THF]],0)</f>
        <v>0</v>
      </c>
      <c r="DY342" s="428">
        <f>IF(WWWW[[#This Row],['# Functional hand washing stations during reporting period]]*100&gt;WWWW[[#This Row],[Total PoP ]],WWWW[[#This Row],[Total PoP ]],WWWW[[#This Row],['# Functional hand washing stations during reporting period]]*100)</f>
        <v>100</v>
      </c>
      <c r="DZ342" s="428" t="str">
        <f>IF(OR(WWWW[[#This Row],['#_students at TLS_CFS]]="",WWWW[[#This Row],['#_students at TLS_CFS]]=0),"No","Yes")</f>
        <v>No</v>
      </c>
      <c r="EA34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2" s="886" t="str">
        <f>VLOOKUP(WWWW[[#This Row],[Site Name]],SiteDB6[[Site Name]:[CCCM Management]],6,FALSE)</f>
        <v>Yes</v>
      </c>
      <c r="EF342" s="886" t="str">
        <f>VLOOKUP(WWWW[[#This Row],[Site Name]],SiteDB6[[Site Name]:[CCCM Focal Agency]],7,FALSE)</f>
        <v>KBC-MYT</v>
      </c>
      <c r="EG342" s="886" t="str">
        <f>VLOOKUP(WWWW[[#This Row],[Site Name]],SiteDB6[[Site Name]:[Location Type 1]],9,FALSE)</f>
        <v>Camp</v>
      </c>
      <c r="EH342" s="886" t="str">
        <f>VLOOKUP(WWWW[[#This Row],[Site Name]],SiteDB6[[Site Name]:[Type of Accommodation]],10,FALSE)</f>
        <v>Camp</v>
      </c>
      <c r="EI342" s="886" t="str">
        <f>VLOOKUP(WWWW[[#This Row],[Site Name]],SiteDB6[[Site Name]:[Ethnic or GCA/NGCA]],11,FALSE)</f>
        <v>GCA</v>
      </c>
      <c r="EJ342" s="886">
        <f>VLOOKUP(WWWW[[#This Row],[Site Name]],SiteDB6[[Site Name]:[Lat]],12,FALSE)</f>
        <v>25.404752999999999</v>
      </c>
      <c r="EK342" s="886">
        <f>VLOOKUP(WWWW[[#This Row],[Site Name]],SiteDB6[[Site Name]:[Long]],13,FALSE)</f>
        <v>97.377662999999998</v>
      </c>
      <c r="EL342" s="886" t="str">
        <f>VLOOKUP(WWWW[[#This Row],[Site Name]],SiteDB6[[Site Name]:[Pcode]],3,FALSE)</f>
        <v>MMR001CMP003</v>
      </c>
      <c r="EM342" s="891" t="str">
        <f t="shared" si="5"/>
        <v>Covered</v>
      </c>
      <c r="EN342" s="891"/>
      <c r="EO342" s="886">
        <f>VLOOKUP(WWWW[[#This Row],[Site Name]],SiteDB6[[Site Name]:[Pop
(Kachin/Shan-CCCM as of July 2021)]],16,FALSE)</f>
        <v>35</v>
      </c>
      <c r="EP342" s="886">
        <f>VLOOKUP(WWWW[[#This Row],[Site Name]],SiteDB6[[Site Name]:[Pop
(Kachin/Shan-CCCM as of July 2021)]],17,FALSE)</f>
        <v>189</v>
      </c>
    </row>
    <row r="343" spans="1:146" hidden="1">
      <c r="A343" s="884" t="s">
        <v>2764</v>
      </c>
      <c r="B343" s="884" t="s">
        <v>3073</v>
      </c>
      <c r="C343" s="885" t="s">
        <v>141</v>
      </c>
      <c r="D343" s="885" t="s">
        <v>3081</v>
      </c>
      <c r="E343" s="885" t="s">
        <v>37</v>
      </c>
      <c r="F343" s="885" t="s">
        <v>159</v>
      </c>
      <c r="G343" s="591" t="str">
        <f>VLOOKUP(WWWW[[#This Row],[Site Name]],SiteDB6[[Site Name]:[Location Type]],8,FALSE)</f>
        <v>Camp</v>
      </c>
      <c r="H343" s="885" t="s">
        <v>172</v>
      </c>
      <c r="I343" s="887">
        <v>47</v>
      </c>
      <c r="J343" s="887">
        <v>239</v>
      </c>
      <c r="K343" s="888">
        <v>44682</v>
      </c>
      <c r="L343" s="889">
        <v>44865</v>
      </c>
      <c r="M343" s="887"/>
      <c r="N343" s="887">
        <v>1</v>
      </c>
      <c r="O343" s="887"/>
      <c r="P343" s="887"/>
      <c r="Q343" s="890" t="s">
        <v>41</v>
      </c>
      <c r="R343" s="887">
        <v>2</v>
      </c>
      <c r="S343" s="887">
        <v>3</v>
      </c>
      <c r="T343" s="448">
        <v>2</v>
      </c>
      <c r="U343" s="887"/>
      <c r="V343" s="887"/>
      <c r="W343" s="887">
        <v>1</v>
      </c>
      <c r="X343" s="887"/>
      <c r="Y343" s="887"/>
      <c r="Z343" s="887"/>
      <c r="AA343" s="887"/>
      <c r="AB343" s="887"/>
      <c r="AC343" s="887"/>
      <c r="AD343" s="887"/>
      <c r="AE343" s="887"/>
      <c r="AF343" s="887"/>
      <c r="AG343" s="887"/>
      <c r="AH343" s="887">
        <v>3</v>
      </c>
      <c r="AI343" s="887"/>
      <c r="AJ343" s="887"/>
      <c r="AK343" s="887"/>
      <c r="AL343" s="887"/>
      <c r="AM343" s="887"/>
      <c r="AN343" s="887"/>
      <c r="AO343" s="448"/>
      <c r="AP343" s="891"/>
      <c r="AQ343" s="887">
        <v>13</v>
      </c>
      <c r="AR343" s="887"/>
      <c r="AS343" s="892"/>
      <c r="AT343" s="887"/>
      <c r="AU343" s="887"/>
      <c r="AV343" s="887"/>
      <c r="AW343" s="887"/>
      <c r="AX343" s="887">
        <v>13</v>
      </c>
      <c r="AY343" s="886" t="s">
        <v>41</v>
      </c>
      <c r="AZ343" s="891" t="s">
        <v>137</v>
      </c>
      <c r="BA343" s="887"/>
      <c r="BB343" s="887"/>
      <c r="BC343" s="887"/>
      <c r="BD343" s="448"/>
      <c r="BE343" s="448"/>
      <c r="BF343" s="886"/>
      <c r="BG343" s="887">
        <v>1</v>
      </c>
      <c r="BH343" s="887"/>
      <c r="BI343" s="887"/>
      <c r="BJ343" s="887">
        <v>1</v>
      </c>
      <c r="BK343" s="887"/>
      <c r="BL343" s="887"/>
      <c r="BM343" s="887"/>
      <c r="BN343" s="887"/>
      <c r="BO343" s="887"/>
      <c r="BP343" s="886"/>
      <c r="BQ343" s="893"/>
      <c r="BR343" s="892"/>
      <c r="BS343" s="886"/>
      <c r="BT343" s="423"/>
      <c r="BU343" s="423"/>
      <c r="BV343" s="425"/>
      <c r="BW343" s="423"/>
      <c r="BX343" s="448"/>
      <c r="BY343" s="448"/>
      <c r="BZ343" s="448"/>
      <c r="CA343" s="448"/>
      <c r="CB343" s="448"/>
      <c r="CC343" s="777"/>
      <c r="CD343" s="448"/>
      <c r="CE343" s="894" t="str">
        <f>IFERROR(WWWW[[#This Row],['#_Water sources passed]]/WWWW[[#This Row],['#_Water sources tested for fecal coliform ]],"no test")</f>
        <v>no test</v>
      </c>
      <c r="CF343" s="892" t="str">
        <f>IFERROR(WWWW[[#This Row],['#_Household passed]]/WWWW[[#This Row],['#_Household water samples tested for fecal coliform]],"no test")</f>
        <v>no test</v>
      </c>
      <c r="CG343" s="893" t="str">
        <f>IF(AND(WWWW[[#This Row],[% of water sources passed]]="no test",WWWW[[#This Row],[% Household passed]]="no test"),"No Test","Tested")</f>
        <v>No Test</v>
      </c>
      <c r="CH343" s="893">
        <f>WWWW[[#This Row],['#_Constructed/existing protected hand dug well]]-WWWW[[#This Row],['#_Non-functional protected hand dug well]]</f>
        <v>2</v>
      </c>
      <c r="CI343" s="893">
        <f>(WWWW[[#This Row],['#_Constructed/Existing tube wells/boreholes/handpumps_WASH_agency]]+WWWW[[#This Row],['#_Non-Cluster partner water tube-wells/boreholes/handpumps]])-WWWW[[#This Row],['#_Non-functional tube wells/boreholes/handpumps]]</f>
        <v>1</v>
      </c>
      <c r="CJ343" s="893">
        <f>WWWW[[#This Row],['#_Constructed/Existingwater storage tank with gravity fed reticulation system]]-WWWW[[#This Row],['#_Non-functional storage tank gravity fed reticulation system]]</f>
        <v>0</v>
      </c>
      <c r="CK343" s="893">
        <f>(WWWW[[#This Row],['#_Water_Liters_supplied_by_Water boating or water trucking]]/90)/15</f>
        <v>0</v>
      </c>
      <c r="CL343" s="893">
        <f>WWWW[[#This Row],['#_Water_Liters_from_Constructed/Existing water distribution system from river or natural spring]]/90/15</f>
        <v>0</v>
      </c>
      <c r="CM343" s="424">
        <f>IF(WWWW[[#This Row],['#_of water points in TLS/CFS]]*500&gt;WWWW[[#This Row],[Total PoP ]],WWWW[[#This Row],[Total PoP ]],WWWW[[#This Row],['#_of water points in TLS/CFS]]*500)</f>
        <v>0</v>
      </c>
      <c r="CN343" s="424">
        <f>IF(WWWW[[#This Row],['#_of water points in THF]]*500&gt;WWWW[[#This Row],[Total PoP ]],WWWW[[#This Row],[Total PoP ]],WWWW[[#This Row],['#_of water points in THF]]*500)</f>
        <v>0</v>
      </c>
      <c r="CO34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3" s="892">
        <f>IF(WWWW[[#This Row],[Location Type 1]]="Village",WWWW[[#This Row],[Access to safe drinking water for Village]],WWWW[[#This Row],[Access to safe drinking water for Camp]])</f>
        <v>1</v>
      </c>
      <c r="CR343" s="890">
        <f>WWWW[[#This Row],[%Equitable and continuous access to sufficient quantity of safe drinking water]]*WWWW[[#This Row],[Total PoP ]]</f>
        <v>239</v>
      </c>
      <c r="CS343" s="892">
        <f>IF((WWWW[[#This Row],['#_Constructed/Existing protected/fenced ponds]]*250)/WWWW[[#This Row],[Total PoP ]]&gt;1,1,(WWWW[[#This Row],['#_Constructed/Existing protected/fenced ponds]]*250)/WWWW[[#This Row],[Total PoP ]])</f>
        <v>0</v>
      </c>
      <c r="CT343" s="890">
        <f>WWWW[[#This Row],[% Access to unimproved water points]]*WWWW[[#This Row],[Total PoP ]]</f>
        <v>0</v>
      </c>
      <c r="CU34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239</v>
      </c>
      <c r="CW343" s="890">
        <f>WWWW[[#This Row],[HRP1]]/500</f>
        <v>0.47799999999999998</v>
      </c>
      <c r="CX343" s="895">
        <f>1-WWWW[[#This Row],[% Equitable and continuous access to sufficient quantity of domestic water]]</f>
        <v>0</v>
      </c>
      <c r="CY343" s="890">
        <f>WWWW[[#This Row],[%equitable and continuous access to sufficient quantity of safe drinking and domestic water''s GAP]]*WWWW[[#This Row],[Total PoP ]]</f>
        <v>0</v>
      </c>
      <c r="CZ343" s="893">
        <f>IF(WWWW[[#This Row],[Total required water points]]-WWWW[[#This Row],['#Water points coverage]]&lt;0,0,WWWW[[#This Row],[Total required water points]]-WWWW[[#This Row],['#Water points coverage]])</f>
        <v>0.52200000000000002</v>
      </c>
      <c r="DA343" s="893">
        <f>ROUND(IF(WWWW[[#This Row],[Total PoP ]]&lt;500,1,WWWW[[#This Row],[Total PoP ]]/500),0)</f>
        <v>1</v>
      </c>
      <c r="DB343" s="893">
        <f>(WWWW[[#This Row],['#_Constructed latrines_by_WASHAgencies]]+WWWW[[#This Row],['#_Non Cluster partner latrines]])-WWWW[[#This Row],['#_Non-functional latrines]]</f>
        <v>13</v>
      </c>
      <c r="DC343" s="631">
        <f>WWWW[[#This Row],[HRP2]]/WWWW[[#This Row],[Total PoP ]]</f>
        <v>1</v>
      </c>
      <c r="DD34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239</v>
      </c>
      <c r="DE34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3" s="424">
        <f>IF(WWWW[[#This Row],['# of functional latrines in THF supported by WASH partners during the reporting period2]]="",0,WWWW[[#This Row],['# of functional latrines in THF supported by WASH partners during the reporting period2]]*50)</f>
        <v>0</v>
      </c>
      <c r="DH343" s="893">
        <f>ROUND(IF(WWWW[[#This Row],[Location Type 1]]="camp",WWWW[[#This Row],[Total PoP ]]/20,IF(WWWW[[#This Row],[Location Type 1]]="Temporary Location",WWWW[[#This Row],[Total PoP ]]/50,(WWWW[[#This Row],[Total PoP ]]/6))),0)</f>
        <v>12</v>
      </c>
      <c r="DI343" s="893">
        <f>IF(WWWW[[#This Row],[Total required Latrines]]-(WWWW[[#This Row],['#_Constructed latrines_by_WASHAgencies]]+WWWW[[#This Row],['#_Non Cluster partner latrines]])&lt;0,0,WWWW[[#This Row],[Total required Latrines]]-(WWWW[[#This Row],['#_Constructed latrines_by_WASHAgencies]]+WWWW[[#This Row],['#_Non Cluster partner latrines]]))</f>
        <v>0</v>
      </c>
      <c r="DJ343" s="895">
        <f>1-WWWW[[#This Row],[% people access to functioning Latrine]]</f>
        <v>0</v>
      </c>
      <c r="DK343" s="894">
        <f>IF(OR(WWWW[[#This Row],['#_Non-functional latrines]]="",WWWW[[#This Row],['#_Non-functional latrines]]=0),0,WWWW[[#This Row],['#_Non-functional latrines]]/(WWWW[[#This Row],['#_Constructed latrines_by_WASHAgencies]]+WWWW[[#This Row],['#_Non Cluster partner latrines]]))</f>
        <v>0</v>
      </c>
      <c r="DL343" s="890">
        <f>IF(500*(WWWW[[#This Row],['#_male hygiene promoters]]+WWWW[[#This Row],['#_female hygiene promoters]])&gt;WWWW[[#This Row],[Total PoP ]],WWWW[[#This Row],[Total PoP ]],500*(WWWW[[#This Row],['#_male hygiene promoters]]+WWWW[[#This Row],['#_female hygiene promoters]]))</f>
        <v>0</v>
      </c>
      <c r="DM34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4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3" s="893">
        <f>IF(WWWW[[#This Row],['# People with access to soap]]&gt;WWWW[[#This Row],['# People with access to Sanity Pads]],WWWW[[#This Row],['# People with access to soap]],WWWW[[#This Row],['# People with access to Sanity Pads]])</f>
        <v>0</v>
      </c>
      <c r="DP343"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43" s="895">
        <f>IF(WWWW[[#This Row],[HRP3]]/WWWW[[#This Row],[Total PoP ]]&gt;1,1,WWWW[[#This Row],[HRP3]]/WWWW[[#This Row],[Total PoP ]])</f>
        <v>0</v>
      </c>
      <c r="DR343" s="894">
        <f>1-WWWW[[#This Row],[Hygiene Coverage%]]</f>
        <v>1</v>
      </c>
      <c r="DS343" s="892">
        <f>WWWW[[#This Row],['# people reached by regular dedicated hygiene promotion_5]]/WWWW[[#This Row],[Total PoP ]]</f>
        <v>0</v>
      </c>
      <c r="DT34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4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3" s="893">
        <f>WWWW[[#This Row],['#_Constructed/Existing hand washing stations]]-WWWW[[#This Row],['#_Non-Functional_hand_washing_stations]]</f>
        <v>1</v>
      </c>
      <c r="DW343" s="890">
        <f>IF(WWWW[[#This Row],['# Functional hand washing stations during reporting period]]*20&gt;WWWW[[#This Row],[Total HH]],WWWW[[#This Row],[Total HH]],WWWW[[#This Row],['# Functional hand washing stations during reporting period]]*20)</f>
        <v>20</v>
      </c>
      <c r="DX343" s="890">
        <f>IF(WWWW[[#This Row],[Is sufficient soap available for TLS? (Yes/No)]]="yes",WWWW[[#This Row],['#_Constructed/Existing hand washing stations at TLS/CFS/THF]],0)</f>
        <v>0</v>
      </c>
      <c r="DY343" s="428">
        <f>IF(WWWW[[#This Row],['# Functional hand washing stations during reporting period]]*100&gt;WWWW[[#This Row],[Total PoP ]],WWWW[[#This Row],[Total PoP ]],WWWW[[#This Row],['# Functional hand washing stations during reporting period]]*100)</f>
        <v>100</v>
      </c>
      <c r="DZ343" s="428" t="str">
        <f>IF(OR(WWWW[[#This Row],['#_students at TLS_CFS]]="",WWWW[[#This Row],['#_students at TLS_CFS]]=0),"No","Yes")</f>
        <v>No</v>
      </c>
      <c r="EA34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3" s="886" t="str">
        <f>VLOOKUP(WWWW[[#This Row],[Site Name]],SiteDB6[[Site Name]:[CCCM Management]],6,FALSE)</f>
        <v>Yes</v>
      </c>
      <c r="EF343" s="886" t="str">
        <f>VLOOKUP(WWWW[[#This Row],[Site Name]],SiteDB6[[Site Name]:[CCCM Focal Agency]],7,FALSE)</f>
        <v>KBC-MYT</v>
      </c>
      <c r="EG343" s="886" t="str">
        <f>VLOOKUP(WWWW[[#This Row],[Site Name]],SiteDB6[[Site Name]:[Location Type 1]],9,FALSE)</f>
        <v>Camp</v>
      </c>
      <c r="EH343" s="886" t="str">
        <f>VLOOKUP(WWWW[[#This Row],[Site Name]],SiteDB6[[Site Name]:[Type of Accommodation]],10,FALSE)</f>
        <v>Camp</v>
      </c>
      <c r="EI343" s="886" t="str">
        <f>VLOOKUP(WWWW[[#This Row],[Site Name]],SiteDB6[[Site Name]:[Ethnic or GCA/NGCA]],11,FALSE)</f>
        <v>GCA</v>
      </c>
      <c r="EJ343" s="886">
        <f>VLOOKUP(WWWW[[#This Row],[Site Name]],SiteDB6[[Site Name]:[Lat]],12,FALSE)</f>
        <v>25.437125999999999</v>
      </c>
      <c r="EK343" s="886">
        <f>VLOOKUP(WWWW[[#This Row],[Site Name]],SiteDB6[[Site Name]:[Long]],13,FALSE)</f>
        <v>97.387276</v>
      </c>
      <c r="EL343" s="886" t="str">
        <f>VLOOKUP(WWWW[[#This Row],[Site Name]],SiteDB6[[Site Name]:[Pcode]],3,FALSE)</f>
        <v>MMR001CMP005</v>
      </c>
      <c r="EM343" s="891" t="str">
        <f t="shared" si="5"/>
        <v>Covered</v>
      </c>
      <c r="EN343" s="891"/>
      <c r="EO343" s="886">
        <f>VLOOKUP(WWWW[[#This Row],[Site Name]],SiteDB6[[Site Name]:[Pop
(Kachin/Shan-CCCM as of July 2021)]],16,FALSE)</f>
        <v>47</v>
      </c>
      <c r="EP343" s="886">
        <f>VLOOKUP(WWWW[[#This Row],[Site Name]],SiteDB6[[Site Name]:[Pop
(Kachin/Shan-CCCM as of July 2021)]],17,FALSE)</f>
        <v>239</v>
      </c>
    </row>
    <row r="344" spans="1:146" hidden="1">
      <c r="A344" s="884" t="s">
        <v>2764</v>
      </c>
      <c r="B344" s="884" t="s">
        <v>242</v>
      </c>
      <c r="C344" s="885" t="s">
        <v>242</v>
      </c>
      <c r="D344" s="885" t="s">
        <v>299</v>
      </c>
      <c r="E344" s="885" t="s">
        <v>37</v>
      </c>
      <c r="F344" s="885" t="s">
        <v>142</v>
      </c>
      <c r="G344" s="591" t="str">
        <f>VLOOKUP(WWWW[[#This Row],[Site Name]],SiteDB6[[Site Name]:[Location Type]],8,FALSE)</f>
        <v>Camp</v>
      </c>
      <c r="H344" s="885" t="s">
        <v>274</v>
      </c>
      <c r="I344" s="887">
        <v>46</v>
      </c>
      <c r="J344" s="887">
        <v>192</v>
      </c>
      <c r="K344" s="888">
        <v>44562</v>
      </c>
      <c r="L344" s="889">
        <v>44926</v>
      </c>
      <c r="M344" s="887"/>
      <c r="N344" s="887">
        <v>1</v>
      </c>
      <c r="O344" s="887"/>
      <c r="P344" s="887"/>
      <c r="Q344" s="890" t="s">
        <v>41</v>
      </c>
      <c r="R344" s="887">
        <v>1</v>
      </c>
      <c r="S344" s="887">
        <v>4</v>
      </c>
      <c r="T344" s="448">
        <v>1</v>
      </c>
      <c r="U344" s="887"/>
      <c r="V344" s="887"/>
      <c r="W344" s="887"/>
      <c r="X344" s="887"/>
      <c r="Y344" s="887"/>
      <c r="Z344" s="887"/>
      <c r="AA344" s="887"/>
      <c r="AB344" s="887"/>
      <c r="AC344" s="887"/>
      <c r="AD344" s="887"/>
      <c r="AE344" s="887"/>
      <c r="AF344" s="887"/>
      <c r="AG344" s="887"/>
      <c r="AH344" s="887"/>
      <c r="AI344" s="887"/>
      <c r="AJ344" s="887"/>
      <c r="AK344" s="887"/>
      <c r="AL344" s="887"/>
      <c r="AM344" s="887"/>
      <c r="AN344" s="887"/>
      <c r="AO344" s="448"/>
      <c r="AP344" s="891" t="s">
        <v>2888</v>
      </c>
      <c r="AQ344" s="887">
        <v>6</v>
      </c>
      <c r="AR344" s="887"/>
      <c r="AS344" s="892"/>
      <c r="AT344" s="887"/>
      <c r="AU344" s="887"/>
      <c r="AV344" s="887"/>
      <c r="AW344" s="887"/>
      <c r="AX344" s="887"/>
      <c r="AY344" s="886" t="s">
        <v>41</v>
      </c>
      <c r="AZ344" s="891" t="s">
        <v>137</v>
      </c>
      <c r="BA344" s="887"/>
      <c r="BB344" s="887"/>
      <c r="BC344" s="887"/>
      <c r="BD344" s="448"/>
      <c r="BE344" s="448"/>
      <c r="BF344" s="886"/>
      <c r="BG344" s="887">
        <v>4</v>
      </c>
      <c r="BH344" s="887"/>
      <c r="BI344" s="887"/>
      <c r="BJ344" s="887">
        <v>2</v>
      </c>
      <c r="BK344" s="887"/>
      <c r="BL344" s="887"/>
      <c r="BM344" s="887"/>
      <c r="BN344" s="887">
        <v>46</v>
      </c>
      <c r="BO344" s="887"/>
      <c r="BP344" s="886" t="s">
        <v>41</v>
      </c>
      <c r="BQ344" s="893"/>
      <c r="BR344" s="892">
        <v>0.4</v>
      </c>
      <c r="BS344" s="886"/>
      <c r="BT344" s="423">
        <v>0.95</v>
      </c>
      <c r="BU344" s="423">
        <v>0.9</v>
      </c>
      <c r="BV344" s="425">
        <v>3</v>
      </c>
      <c r="BW344" s="423">
        <v>0.99</v>
      </c>
      <c r="BX344" s="448"/>
      <c r="BY344" s="448"/>
      <c r="BZ344" s="448"/>
      <c r="CA344" s="448"/>
      <c r="CB344" s="448"/>
      <c r="CC344" s="777"/>
      <c r="CD344" s="448"/>
      <c r="CE344" s="894" t="str">
        <f>IFERROR(WWWW[[#This Row],['#_Water sources passed]]/WWWW[[#This Row],['#_Water sources tested for fecal coliform ]],"no test")</f>
        <v>no test</v>
      </c>
      <c r="CF344" s="892" t="str">
        <f>IFERROR(WWWW[[#This Row],['#_Household passed]]/WWWW[[#This Row],['#_Household water samples tested for fecal coliform]],"no test")</f>
        <v>no test</v>
      </c>
      <c r="CG344" s="893" t="str">
        <f>IF(AND(WWWW[[#This Row],[% of water sources passed]]="no test",WWWW[[#This Row],[% Household passed]]="no test"),"No Test","Tested")</f>
        <v>No Test</v>
      </c>
      <c r="CH344" s="893">
        <f>WWWW[[#This Row],['#_Constructed/existing protected hand dug well]]-WWWW[[#This Row],['#_Non-functional protected hand dug well]]</f>
        <v>1</v>
      </c>
      <c r="CI344" s="893">
        <f>(WWWW[[#This Row],['#_Constructed/Existing tube wells/boreholes/handpumps_WASH_agency]]+WWWW[[#This Row],['#_Non-Cluster partner water tube-wells/boreholes/handpumps]])-WWWW[[#This Row],['#_Non-functional tube wells/boreholes/handpumps]]</f>
        <v>0</v>
      </c>
      <c r="CJ344" s="893">
        <f>WWWW[[#This Row],['#_Constructed/Existingwater storage tank with gravity fed reticulation system]]-WWWW[[#This Row],['#_Non-functional storage tank gravity fed reticulation system]]</f>
        <v>0</v>
      </c>
      <c r="CK344" s="893">
        <f>(WWWW[[#This Row],['#_Water_Liters_supplied_by_Water boating or water trucking]]/90)/15</f>
        <v>0</v>
      </c>
      <c r="CL344" s="893">
        <f>WWWW[[#This Row],['#_Water_Liters_from_Constructed/Existing water distribution system from river or natural spring]]/90/15</f>
        <v>0</v>
      </c>
      <c r="CM344" s="424">
        <f>IF(WWWW[[#This Row],['#_of water points in TLS/CFS]]*500&gt;WWWW[[#This Row],[Total PoP ]],WWWW[[#This Row],[Total PoP ]],WWWW[[#This Row],['#_of water points in TLS/CFS]]*500)</f>
        <v>0</v>
      </c>
      <c r="CN344" s="424">
        <f>IF(WWWW[[#This Row],['#_of water points in THF]]*500&gt;WWWW[[#This Row],[Total PoP ]],WWWW[[#This Row],[Total PoP ]],WWWW[[#This Row],['#_of water points in THF]]*500)</f>
        <v>0</v>
      </c>
      <c r="CO34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4" s="892">
        <f>IF(WWWW[[#This Row],[Location Type 1]]="Village",WWWW[[#This Row],[Access to safe drinking water for Village]],WWWW[[#This Row],[Access to safe drinking water for Camp]])</f>
        <v>1</v>
      </c>
      <c r="CR344" s="890">
        <f>WWWW[[#This Row],[%Equitable and continuous access to sufficient quantity of safe drinking water]]*WWWW[[#This Row],[Total PoP ]]</f>
        <v>192</v>
      </c>
      <c r="CS344" s="892">
        <f>IF((WWWW[[#This Row],['#_Constructed/Existing protected/fenced ponds]]*250)/WWWW[[#This Row],[Total PoP ]]&gt;1,1,(WWWW[[#This Row],['#_Constructed/Existing protected/fenced ponds]]*250)/WWWW[[#This Row],[Total PoP ]])</f>
        <v>0</v>
      </c>
      <c r="CT344" s="890">
        <f>WWWW[[#This Row],[% Access to unimproved water points]]*WWWW[[#This Row],[Total PoP ]]</f>
        <v>0</v>
      </c>
      <c r="CU34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192</v>
      </c>
      <c r="CW344" s="890">
        <f>WWWW[[#This Row],[HRP1]]/500</f>
        <v>0.38400000000000001</v>
      </c>
      <c r="CX344" s="895">
        <f>1-WWWW[[#This Row],[% Equitable and continuous access to sufficient quantity of domestic water]]</f>
        <v>0</v>
      </c>
      <c r="CY344" s="890">
        <f>WWWW[[#This Row],[%equitable and continuous access to sufficient quantity of safe drinking and domestic water''s GAP]]*WWWW[[#This Row],[Total PoP ]]</f>
        <v>0</v>
      </c>
      <c r="CZ344" s="893">
        <f>IF(WWWW[[#This Row],[Total required water points]]-WWWW[[#This Row],['#Water points coverage]]&lt;0,0,WWWW[[#This Row],[Total required water points]]-WWWW[[#This Row],['#Water points coverage]])</f>
        <v>0.61599999999999999</v>
      </c>
      <c r="DA344" s="893">
        <f>ROUND(IF(WWWW[[#This Row],[Total PoP ]]&lt;500,1,WWWW[[#This Row],[Total PoP ]]/500),0)</f>
        <v>1</v>
      </c>
      <c r="DB344" s="893">
        <f>(WWWW[[#This Row],['#_Constructed latrines_by_WASHAgencies]]+WWWW[[#This Row],['#_Non Cluster partner latrines]])-WWWW[[#This Row],['#_Non-functional latrines]]</f>
        <v>6</v>
      </c>
      <c r="DC344" s="631">
        <f>WWWW[[#This Row],[HRP2]]/WWWW[[#This Row],[Total PoP ]]</f>
        <v>0.625</v>
      </c>
      <c r="DD34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34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4" s="424">
        <f>IF(WWWW[[#This Row],['# of functional latrines in THF supported by WASH partners during the reporting period2]]="",0,WWWW[[#This Row],['# of functional latrines in THF supported by WASH partners during the reporting period2]]*50)</f>
        <v>0</v>
      </c>
      <c r="DH344" s="893">
        <f>ROUND(IF(WWWW[[#This Row],[Location Type 1]]="camp",WWWW[[#This Row],[Total PoP ]]/20,IF(WWWW[[#This Row],[Location Type 1]]="Temporary Location",WWWW[[#This Row],[Total PoP ]]/50,(WWWW[[#This Row],[Total PoP ]]/6))),0)</f>
        <v>10</v>
      </c>
      <c r="DI344" s="893">
        <f>IF(WWWW[[#This Row],[Total required Latrines]]-(WWWW[[#This Row],['#_Constructed latrines_by_WASHAgencies]]+WWWW[[#This Row],['#_Non Cluster partner latrines]])&lt;0,0,WWWW[[#This Row],[Total required Latrines]]-(WWWW[[#This Row],['#_Constructed latrines_by_WASHAgencies]]+WWWW[[#This Row],['#_Non Cluster partner latrines]]))</f>
        <v>4</v>
      </c>
      <c r="DJ344" s="895">
        <f>1-WWWW[[#This Row],[% people access to functioning Latrine]]</f>
        <v>0.375</v>
      </c>
      <c r="DK344" s="894">
        <f>IF(OR(WWWW[[#This Row],['#_Non-functional latrines]]="",WWWW[[#This Row],['#_Non-functional latrines]]=0),0,WWWW[[#This Row],['#_Non-functional latrines]]/(WWWW[[#This Row],['#_Constructed latrines_by_WASHAgencies]]+WWWW[[#This Row],['#_Non Cluster partner latrines]]))</f>
        <v>0</v>
      </c>
      <c r="DL344" s="890">
        <f>IF(500*(WWWW[[#This Row],['#_male hygiene promoters]]+WWWW[[#This Row],['#_female hygiene promoters]])&gt;WWWW[[#This Row],[Total PoP ]],WWWW[[#This Row],[Total PoP ]],500*(WWWW[[#This Row],['#_male hygiene promoters]]+WWWW[[#This Row],['#_female hygiene promoters]]))</f>
        <v>0</v>
      </c>
      <c r="DM34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192</v>
      </c>
      <c r="DN34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4" s="893">
        <f>IF(WWWW[[#This Row],['# People with access to soap]]&gt;WWWW[[#This Row],['# People with access to Sanity Pads]],WWWW[[#This Row],['# People with access to soap]],WWWW[[#This Row],['# People with access to Sanity Pads]])</f>
        <v>192</v>
      </c>
      <c r="DP344" s="893">
        <f>IF(WWWW[[#This Row],['# people reached by regular dedicated hygiene promotion_5]]&gt;WWWW[[#This Row],['# People received regular supply of hygiene items_6]],WWWW[[#This Row],['# people reached by regular dedicated hygiene promotion_5]],WWWW[[#This Row],['# People received regular supply of hygiene items_6]])</f>
        <v>192</v>
      </c>
      <c r="DQ344" s="895">
        <f>IF(WWWW[[#This Row],[HRP3]]/WWWW[[#This Row],[Total PoP ]]&gt;1,1,WWWW[[#This Row],[HRP3]]/WWWW[[#This Row],[Total PoP ]])</f>
        <v>1</v>
      </c>
      <c r="DR344" s="894">
        <f>1-WWWW[[#This Row],[Hygiene Coverage%]]</f>
        <v>0</v>
      </c>
      <c r="DS344" s="892">
        <f>WWWW[[#This Row],['# people reached by regular dedicated hygiene promotion_5]]/WWWW[[#This Row],[Total PoP ]]</f>
        <v>0</v>
      </c>
      <c r="DT34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4" s="893">
        <f>WWWW[[#This Row],['#_Constructed/Existing hand washing stations]]-WWWW[[#This Row],['#_Non-Functional_hand_washing_stations]]</f>
        <v>4</v>
      </c>
      <c r="DW344" s="890">
        <f>IF(WWWW[[#This Row],['# Functional hand washing stations during reporting period]]*20&gt;WWWW[[#This Row],[Total HH]],WWWW[[#This Row],[Total HH]],WWWW[[#This Row],['# Functional hand washing stations during reporting period]]*20)</f>
        <v>46</v>
      </c>
      <c r="DX344" s="890">
        <f>IF(WWWW[[#This Row],[Is sufficient soap available for TLS? (Yes/No)]]="yes",WWWW[[#This Row],['#_Constructed/Existing hand washing stations at TLS/CFS/THF]],0)</f>
        <v>0</v>
      </c>
      <c r="DY344" s="428">
        <f>IF(WWWW[[#This Row],['# Functional hand washing stations during reporting period]]*100&gt;WWWW[[#This Row],[Total PoP ]],WWWW[[#This Row],[Total PoP ]],WWWW[[#This Row],['# Functional hand washing stations during reporting period]]*100)</f>
        <v>192</v>
      </c>
      <c r="DZ344" s="428" t="str">
        <f>IF(OR(WWWW[[#This Row],['#_students at TLS_CFS]]="",WWWW[[#This Row],['#_students at TLS_CFS]]=0),"No","Yes")</f>
        <v>No</v>
      </c>
      <c r="EA344" s="631">
        <f>IF(WWWW[[#This Row],['#_of_affected_people_surveyed_who_report_feeling_informed_about_the_different_WASH_services_available_to_them]]="","",WWWW[[#This Row],['#_of_affected_people_surveyed_who_report_feeling_informed_about_the_different_WASH_services_available_to_them]]/WWWW[[#This Row],[Total PoP ]])</f>
        <v>1.5625E-2</v>
      </c>
      <c r="EB34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4" s="886" t="str">
        <f>VLOOKUP(WWWW[[#This Row],[Site Name]],SiteDB6[[Site Name]:[CCCM Management]],6,FALSE)</f>
        <v>Yes</v>
      </c>
      <c r="EF344" s="886" t="str">
        <f>VLOOKUP(WWWW[[#This Row],[Site Name]],SiteDB6[[Site Name]:[CCCM Focal Agency]],7,FALSE)</f>
        <v>Shalom</v>
      </c>
      <c r="EG344" s="886" t="str">
        <f>VLOOKUP(WWWW[[#This Row],[Site Name]],SiteDB6[[Site Name]:[Location Type 1]],9,FALSE)</f>
        <v>Camp</v>
      </c>
      <c r="EH344" s="886" t="str">
        <f>VLOOKUP(WWWW[[#This Row],[Site Name]],SiteDB6[[Site Name]:[Type of Accommodation]],10,FALSE)</f>
        <v>Camp</v>
      </c>
      <c r="EI344" s="886" t="str">
        <f>VLOOKUP(WWWW[[#This Row],[Site Name]],SiteDB6[[Site Name]:[Ethnic or GCA/NGCA]],11,FALSE)</f>
        <v>GCA</v>
      </c>
      <c r="EJ344" s="886">
        <f>VLOOKUP(WWWW[[#This Row],[Site Name]],SiteDB6[[Site Name]:[Lat]],12,FALSE)</f>
        <v>25.333683333333301</v>
      </c>
      <c r="EK344" s="886">
        <f>VLOOKUP(WWWW[[#This Row],[Site Name]],SiteDB6[[Site Name]:[Long]],13,FALSE)</f>
        <v>97.428251153846105</v>
      </c>
      <c r="EL344" s="886" t="str">
        <f>VLOOKUP(WWWW[[#This Row],[Site Name]],SiteDB6[[Site Name]:[Pcode]],3,FALSE)</f>
        <v>MMR001CMP037</v>
      </c>
      <c r="EM344" s="891" t="str">
        <f t="shared" si="5"/>
        <v>Covered</v>
      </c>
      <c r="EN344" s="891"/>
      <c r="EO344" s="886">
        <f>VLOOKUP(WWWW[[#This Row],[Site Name]],SiteDB6[[Site Name]:[Pop
(Kachin/Shan-CCCM as of July 2021)]],16,FALSE)</f>
        <v>46</v>
      </c>
      <c r="EP344" s="886">
        <f>VLOOKUP(WWWW[[#This Row],[Site Name]],SiteDB6[[Site Name]:[Pop
(Kachin/Shan-CCCM as of July 2021)]],17,FALSE)</f>
        <v>192</v>
      </c>
    </row>
    <row r="345" spans="1:146" hidden="1">
      <c r="A345" s="884" t="s">
        <v>2764</v>
      </c>
      <c r="B345" s="884" t="s">
        <v>3082</v>
      </c>
      <c r="C345" s="885" t="s">
        <v>141</v>
      </c>
      <c r="D345" s="369" t="s">
        <v>3083</v>
      </c>
      <c r="E345" s="885" t="s">
        <v>37</v>
      </c>
      <c r="F345" s="885" t="s">
        <v>159</v>
      </c>
      <c r="G345" s="591" t="str">
        <f>VLOOKUP(WWWW[[#This Row],[Site Name]],SiteDB6[[Site Name]:[Location Type]],8,FALSE)</f>
        <v>Camp</v>
      </c>
      <c r="H345" s="885" t="s">
        <v>1614</v>
      </c>
      <c r="I345" s="887">
        <v>197</v>
      </c>
      <c r="J345" s="887">
        <v>975</v>
      </c>
      <c r="K345" s="800" t="s">
        <v>3084</v>
      </c>
      <c r="L345" s="56" t="s">
        <v>3080</v>
      </c>
      <c r="M345" s="887"/>
      <c r="N345" s="887">
        <v>3</v>
      </c>
      <c r="O345" s="887"/>
      <c r="P345" s="887"/>
      <c r="Q345" s="428" t="s">
        <v>41</v>
      </c>
      <c r="R345" s="887">
        <v>2</v>
      </c>
      <c r="S345" s="887">
        <v>3</v>
      </c>
      <c r="T345" s="448">
        <v>2</v>
      </c>
      <c r="U345" s="887"/>
      <c r="V345" s="887"/>
      <c r="W345" s="887">
        <v>3</v>
      </c>
      <c r="X345" s="887"/>
      <c r="Y345" s="887"/>
      <c r="Z345" s="887"/>
      <c r="AA345" s="887"/>
      <c r="AB345" s="887"/>
      <c r="AC345" s="887"/>
      <c r="AD345" s="887"/>
      <c r="AE345" s="887"/>
      <c r="AF345" s="887"/>
      <c r="AG345" s="887"/>
      <c r="AH345" s="887">
        <v>4</v>
      </c>
      <c r="AI345" s="887"/>
      <c r="AJ345" s="887"/>
      <c r="AK345" s="887"/>
      <c r="AL345" s="887"/>
      <c r="AM345" s="887"/>
      <c r="AN345" s="887"/>
      <c r="AO345" s="448"/>
      <c r="AP345" s="891"/>
      <c r="AQ345" s="887">
        <v>28</v>
      </c>
      <c r="AR345" s="887"/>
      <c r="AS345" s="892"/>
      <c r="AT345" s="887"/>
      <c r="AU345" s="887"/>
      <c r="AV345" s="887"/>
      <c r="AW345" s="887"/>
      <c r="AX345" s="887">
        <v>10</v>
      </c>
      <c r="AY345" s="886" t="s">
        <v>41</v>
      </c>
      <c r="AZ345" s="891" t="s">
        <v>137</v>
      </c>
      <c r="BA345" s="887"/>
      <c r="BB345" s="887"/>
      <c r="BC345" s="887"/>
      <c r="BD345" s="448"/>
      <c r="BE345" s="448"/>
      <c r="BF345" s="886"/>
      <c r="BG345" s="887">
        <v>3</v>
      </c>
      <c r="BH345" s="887"/>
      <c r="BI345" s="887"/>
      <c r="BJ345" s="887">
        <v>2</v>
      </c>
      <c r="BK345" s="887"/>
      <c r="BL345" s="887">
        <v>1</v>
      </c>
      <c r="BM345" s="887"/>
      <c r="BN345" s="448">
        <v>46</v>
      </c>
      <c r="BO345" s="448">
        <v>60</v>
      </c>
      <c r="BP345" s="886"/>
      <c r="BQ345" s="893"/>
      <c r="BR345" s="892"/>
      <c r="BS345" s="425" t="s">
        <v>3053</v>
      </c>
      <c r="BT345" s="423"/>
      <c r="BU345" s="423"/>
      <c r="BV345" s="425"/>
      <c r="BW345" s="423"/>
      <c r="BX345" s="448"/>
      <c r="BY345" s="448"/>
      <c r="BZ345" s="448"/>
      <c r="CA345" s="448"/>
      <c r="CB345" s="448"/>
      <c r="CC345" s="777"/>
      <c r="CD345" s="448"/>
      <c r="CE345" s="894" t="str">
        <f>IFERROR(WWWW[[#This Row],['#_Water sources passed]]/WWWW[[#This Row],['#_Water sources tested for fecal coliform ]],"no test")</f>
        <v>no test</v>
      </c>
      <c r="CF345" s="892" t="str">
        <f>IFERROR(WWWW[[#This Row],['#_Household passed]]/WWWW[[#This Row],['#_Household water samples tested for fecal coliform]],"no test")</f>
        <v>no test</v>
      </c>
      <c r="CG345" s="893" t="str">
        <f>IF(AND(WWWW[[#This Row],[% of water sources passed]]="no test",WWWW[[#This Row],[% Household passed]]="no test"),"No Test","Tested")</f>
        <v>No Test</v>
      </c>
      <c r="CH345" s="893">
        <f>WWWW[[#This Row],['#_Constructed/existing protected hand dug well]]-WWWW[[#This Row],['#_Non-functional protected hand dug well]]</f>
        <v>2</v>
      </c>
      <c r="CI345" s="893">
        <f>(WWWW[[#This Row],['#_Constructed/Existing tube wells/boreholes/handpumps_WASH_agency]]+WWWW[[#This Row],['#_Non-Cluster partner water tube-wells/boreholes/handpumps]])-WWWW[[#This Row],['#_Non-functional tube wells/boreholes/handpumps]]</f>
        <v>3</v>
      </c>
      <c r="CJ345" s="893">
        <f>WWWW[[#This Row],['#_Constructed/Existingwater storage tank with gravity fed reticulation system]]-WWWW[[#This Row],['#_Non-functional storage tank gravity fed reticulation system]]</f>
        <v>0</v>
      </c>
      <c r="CK345" s="893">
        <f>(WWWW[[#This Row],['#_Water_Liters_supplied_by_Water boating or water trucking]]/90)/15</f>
        <v>0</v>
      </c>
      <c r="CL345" s="893">
        <f>WWWW[[#This Row],['#_Water_Liters_from_Constructed/Existing water distribution system from river or natural spring]]/90/15</f>
        <v>0</v>
      </c>
      <c r="CM345" s="424">
        <f>IF(WWWW[[#This Row],['#_of water points in TLS/CFS]]*500&gt;WWWW[[#This Row],[Total PoP ]],WWWW[[#This Row],[Total PoP ]],WWWW[[#This Row],['#_of water points in TLS/CFS]]*500)</f>
        <v>0</v>
      </c>
      <c r="CN345" s="424">
        <f>IF(WWWW[[#This Row],['#_of water points in THF]]*500&gt;WWWW[[#This Row],[Total PoP ]],WWWW[[#This Row],[Total PoP ]],WWWW[[#This Row],['#_of water points in THF]]*500)</f>
        <v>0</v>
      </c>
      <c r="CO34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5" s="892">
        <f>IF(WWWW[[#This Row],[Location Type 1]]="Village",WWWW[[#This Row],[Access to safe drinking water for Village]],WWWW[[#This Row],[Access to safe drinking water for Camp]])</f>
        <v>1</v>
      </c>
      <c r="CR345" s="890">
        <f>WWWW[[#This Row],[%Equitable and continuous access to sufficient quantity of safe drinking water]]*WWWW[[#This Row],[Total PoP ]]</f>
        <v>975</v>
      </c>
      <c r="CS345" s="892">
        <f>IF((WWWW[[#This Row],['#_Constructed/Existing protected/fenced ponds]]*250)/WWWW[[#This Row],[Total PoP ]]&gt;1,1,(WWWW[[#This Row],['#_Constructed/Existing protected/fenced ponds]]*250)/WWWW[[#This Row],[Total PoP ]])</f>
        <v>0</v>
      </c>
      <c r="CT345" s="890">
        <f>WWWW[[#This Row],[% Access to unimproved water points]]*WWWW[[#This Row],[Total PoP ]]</f>
        <v>0</v>
      </c>
      <c r="CU34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975</v>
      </c>
      <c r="CW345" s="890">
        <f>WWWW[[#This Row],[HRP1]]/500</f>
        <v>1.95</v>
      </c>
      <c r="CX345" s="895">
        <f>1-WWWW[[#This Row],[% Equitable and continuous access to sufficient quantity of domestic water]]</f>
        <v>0</v>
      </c>
      <c r="CY345" s="890">
        <f>WWWW[[#This Row],[%equitable and continuous access to sufficient quantity of safe drinking and domestic water''s GAP]]*WWWW[[#This Row],[Total PoP ]]</f>
        <v>0</v>
      </c>
      <c r="CZ345" s="893">
        <f>IF(WWWW[[#This Row],[Total required water points]]-WWWW[[#This Row],['#Water points coverage]]&lt;0,0,WWWW[[#This Row],[Total required water points]]-WWWW[[#This Row],['#Water points coverage]])</f>
        <v>5.0000000000000044E-2</v>
      </c>
      <c r="DA345" s="893">
        <f>ROUND(IF(WWWW[[#This Row],[Total PoP ]]&lt;500,1,WWWW[[#This Row],[Total PoP ]]/500),0)</f>
        <v>2</v>
      </c>
      <c r="DB345" s="893">
        <f>(WWWW[[#This Row],['#_Constructed latrines_by_WASHAgencies]]+WWWW[[#This Row],['#_Non Cluster partner latrines]])-WWWW[[#This Row],['#_Non-functional latrines]]</f>
        <v>28</v>
      </c>
      <c r="DC345" s="631">
        <f>WWWW[[#This Row],[HRP2]]/WWWW[[#This Row],[Total PoP ]]</f>
        <v>0.57435897435897432</v>
      </c>
      <c r="DD34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DE34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5" s="424">
        <f>IF(WWWW[[#This Row],['# of functional latrines in THF supported by WASH partners during the reporting period2]]="",0,WWWW[[#This Row],['# of functional latrines in THF supported by WASH partners during the reporting period2]]*50)</f>
        <v>0</v>
      </c>
      <c r="DH345" s="893">
        <f>ROUND(IF(WWWW[[#This Row],[Location Type 1]]="camp",WWWW[[#This Row],[Total PoP ]]/20,IF(WWWW[[#This Row],[Location Type 1]]="Temporary Location",WWWW[[#This Row],[Total PoP ]]/50,(WWWW[[#This Row],[Total PoP ]]/6))),0)</f>
        <v>49</v>
      </c>
      <c r="DI345" s="893">
        <f>IF(WWWW[[#This Row],[Total required Latrines]]-(WWWW[[#This Row],['#_Constructed latrines_by_WASHAgencies]]+WWWW[[#This Row],['#_Non Cluster partner latrines]])&lt;0,0,WWWW[[#This Row],[Total required Latrines]]-(WWWW[[#This Row],['#_Constructed latrines_by_WASHAgencies]]+WWWW[[#This Row],['#_Non Cluster partner latrines]]))</f>
        <v>21</v>
      </c>
      <c r="DJ345" s="895">
        <f>1-WWWW[[#This Row],[% people access to functioning Latrine]]</f>
        <v>0.42564102564102568</v>
      </c>
      <c r="DK345" s="894">
        <f>IF(OR(WWWW[[#This Row],['#_Non-functional latrines]]="",WWWW[[#This Row],['#_Non-functional latrines]]=0),0,WWWW[[#This Row],['#_Non-functional latrines]]/(WWWW[[#This Row],['#_Constructed latrines_by_WASHAgencies]]+WWWW[[#This Row],['#_Non Cluster partner latrines]]))</f>
        <v>0</v>
      </c>
      <c r="DL345" s="890">
        <f>IF(500*(WWWW[[#This Row],['#_male hygiene promoters]]+WWWW[[#This Row],['#_female hygiene promoters]])&gt;WWWW[[#This Row],[Total PoP ]],WWWW[[#This Row],[Total PoP ]],500*(WWWW[[#This Row],['#_male hygiene promoters]]+WWWW[[#This Row],['#_female hygiene promoters]]))</f>
        <v>500</v>
      </c>
      <c r="DM34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230</v>
      </c>
      <c r="DN34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60</v>
      </c>
      <c r="DO345" s="893">
        <f>IF(WWWW[[#This Row],['# People with access to soap]]&gt;WWWW[[#This Row],['# People with access to Sanity Pads]],WWWW[[#This Row],['# People with access to soap]],WWWW[[#This Row],['# People with access to Sanity Pads]])</f>
        <v>230</v>
      </c>
      <c r="DP345" s="89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345" s="895">
        <f>IF(WWWW[[#This Row],[HRP3]]/WWWW[[#This Row],[Total PoP ]]&gt;1,1,WWWW[[#This Row],[HRP3]]/WWWW[[#This Row],[Total PoP ]])</f>
        <v>0.51282051282051277</v>
      </c>
      <c r="DR345" s="894">
        <f>1-WWWW[[#This Row],[Hygiene Coverage%]]</f>
        <v>0.48717948717948723</v>
      </c>
      <c r="DS345" s="892">
        <f>WWWW[[#This Row],['# people reached by regular dedicated hygiene promotion_5]]/WWWW[[#This Row],[Total PoP ]]</f>
        <v>0.51282051282051277</v>
      </c>
      <c r="DT34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0.93401015228426398</v>
      </c>
      <c r="DU34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0.30456852791878175</v>
      </c>
      <c r="DV345" s="893">
        <f>WWWW[[#This Row],['#_Constructed/Existing hand washing stations]]-WWWW[[#This Row],['#_Non-Functional_hand_washing_stations]]</f>
        <v>3</v>
      </c>
      <c r="DW345" s="890">
        <f>IF(WWWW[[#This Row],['# Functional hand washing stations during reporting period]]*20&gt;WWWW[[#This Row],[Total HH]],WWWW[[#This Row],[Total HH]],WWWW[[#This Row],['# Functional hand washing stations during reporting period]]*20)</f>
        <v>60</v>
      </c>
      <c r="DX345" s="890">
        <f>IF(WWWW[[#This Row],[Is sufficient soap available for TLS? (Yes/No)]]="yes",WWWW[[#This Row],['#_Constructed/Existing hand washing stations at TLS/CFS/THF]],0)</f>
        <v>0</v>
      </c>
      <c r="DY345" s="428">
        <f>IF(WWWW[[#This Row],['# Functional hand washing stations during reporting period]]*100&gt;WWWW[[#This Row],[Total PoP ]],WWWW[[#This Row],[Total PoP ]],WWWW[[#This Row],['# Functional hand washing stations during reporting period]]*100)</f>
        <v>300</v>
      </c>
      <c r="DZ345" s="428" t="str">
        <f>IF(OR(WWWW[[#This Row],['#_students at TLS_CFS]]="",WWWW[[#This Row],['#_students at TLS_CFS]]=0),"No","Yes")</f>
        <v>No</v>
      </c>
      <c r="EA34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5" s="886" t="str">
        <f>VLOOKUP(WWWW[[#This Row],[Site Name]],SiteDB6[[Site Name]:[CCCM Management]],6,FALSE)</f>
        <v>Yes</v>
      </c>
      <c r="EF345" s="886" t="str">
        <f>VLOOKUP(WWWW[[#This Row],[Site Name]],SiteDB6[[Site Name]:[CCCM Focal Agency]],7,FALSE)</f>
        <v>KBC-MYT</v>
      </c>
      <c r="EG345" s="886" t="str">
        <f>VLOOKUP(WWWW[[#This Row],[Site Name]],SiteDB6[[Site Name]:[Location Type 1]],9,FALSE)</f>
        <v>Camp</v>
      </c>
      <c r="EH345" s="886" t="str">
        <f>VLOOKUP(WWWW[[#This Row],[Site Name]],SiteDB6[[Site Name]:[Type of Accommodation]],10,FALSE)</f>
        <v>Camp</v>
      </c>
      <c r="EI345" s="886" t="str">
        <f>VLOOKUP(WWWW[[#This Row],[Site Name]],SiteDB6[[Site Name]:[Ethnic or GCA/NGCA]],11,FALSE)</f>
        <v>GCA</v>
      </c>
      <c r="EJ345" s="886">
        <f>VLOOKUP(WWWW[[#This Row],[Site Name]],SiteDB6[[Site Name]:[Lat]],12,FALSE)</f>
        <v>25.480989999999998</v>
      </c>
      <c r="EK345" s="886">
        <f>VLOOKUP(WWWW[[#This Row],[Site Name]],SiteDB6[[Site Name]:[Long]],13,FALSE)</f>
        <v>97.431079999999994</v>
      </c>
      <c r="EL345" s="886" t="str">
        <f>VLOOKUP(WWWW[[#This Row],[Site Name]],SiteDB6[[Site Name]:[Pcode]],3,FALSE)</f>
        <v>MMR001CMP263</v>
      </c>
      <c r="EM345" s="891" t="str">
        <f t="shared" si="5"/>
        <v>Covered</v>
      </c>
      <c r="EN345" s="891"/>
      <c r="EO345" s="886">
        <f>VLOOKUP(WWWW[[#This Row],[Site Name]],SiteDB6[[Site Name]:[Pop
(Kachin/Shan-CCCM as of July 2021)]],16,FALSE)</f>
        <v>197</v>
      </c>
      <c r="EP345" s="886">
        <f>VLOOKUP(WWWW[[#This Row],[Site Name]],SiteDB6[[Site Name]:[Pop
(Kachin/Shan-CCCM as of July 2021)]],17,FALSE)</f>
        <v>981</v>
      </c>
    </row>
    <row r="346" spans="1:146" hidden="1">
      <c r="A346" s="884" t="s">
        <v>2764</v>
      </c>
      <c r="B346" s="884" t="s">
        <v>3073</v>
      </c>
      <c r="C346" s="885" t="s">
        <v>141</v>
      </c>
      <c r="D346" s="885" t="s">
        <v>299</v>
      </c>
      <c r="E346" s="885" t="s">
        <v>37</v>
      </c>
      <c r="F346" s="885" t="s">
        <v>142</v>
      </c>
      <c r="G346" s="591" t="str">
        <f>VLOOKUP(WWWW[[#This Row],[Site Name]],SiteDB6[[Site Name]:[Location Type]],8,FALSE)</f>
        <v>Camp</v>
      </c>
      <c r="H346" s="369" t="s">
        <v>1611</v>
      </c>
      <c r="I346" s="887">
        <v>81</v>
      </c>
      <c r="J346" s="887">
        <v>387</v>
      </c>
      <c r="K346" s="888">
        <v>44682</v>
      </c>
      <c r="L346" s="889">
        <v>44865</v>
      </c>
      <c r="M346" s="887"/>
      <c r="N346" s="887">
        <v>1</v>
      </c>
      <c r="O346" s="887"/>
      <c r="P346" s="887"/>
      <c r="Q346" s="890" t="s">
        <v>41</v>
      </c>
      <c r="R346" s="887">
        <v>2</v>
      </c>
      <c r="S346" s="887">
        <v>2</v>
      </c>
      <c r="T346" s="448">
        <v>2</v>
      </c>
      <c r="U346" s="887">
        <v>2</v>
      </c>
      <c r="V346" s="887">
        <v>1</v>
      </c>
      <c r="W346" s="887">
        <v>1</v>
      </c>
      <c r="X346" s="887"/>
      <c r="Y346" s="887"/>
      <c r="Z346" s="887"/>
      <c r="AA346" s="887"/>
      <c r="AB346" s="887"/>
      <c r="AC346" s="887"/>
      <c r="AD346" s="887"/>
      <c r="AE346" s="887"/>
      <c r="AF346" s="887"/>
      <c r="AG346" s="887"/>
      <c r="AH346" s="887">
        <v>3</v>
      </c>
      <c r="AI346" s="887"/>
      <c r="AJ346" s="887"/>
      <c r="AK346" s="887"/>
      <c r="AL346" s="887"/>
      <c r="AM346" s="887"/>
      <c r="AN346" s="887"/>
      <c r="AO346" s="448"/>
      <c r="AP346" s="891"/>
      <c r="AQ346" s="887">
        <v>8</v>
      </c>
      <c r="AR346" s="887"/>
      <c r="AS346" s="892"/>
      <c r="AT346" s="887"/>
      <c r="AU346" s="887"/>
      <c r="AV346" s="887"/>
      <c r="AW346" s="887"/>
      <c r="AX346" s="887">
        <v>6</v>
      </c>
      <c r="AY346" s="886" t="s">
        <v>41</v>
      </c>
      <c r="AZ346" s="891" t="s">
        <v>137</v>
      </c>
      <c r="BA346" s="887"/>
      <c r="BB346" s="887"/>
      <c r="BC346" s="887"/>
      <c r="BD346" s="448"/>
      <c r="BE346" s="448"/>
      <c r="BF346" s="886"/>
      <c r="BG346" s="887">
        <v>3</v>
      </c>
      <c r="BH346" s="887"/>
      <c r="BI346" s="887"/>
      <c r="BJ346" s="887">
        <v>2</v>
      </c>
      <c r="BK346" s="887"/>
      <c r="BL346" s="887">
        <v>1</v>
      </c>
      <c r="BM346" s="887">
        <v>1</v>
      </c>
      <c r="BN346" s="887"/>
      <c r="BO346" s="887"/>
      <c r="BP346" s="886"/>
      <c r="BQ346" s="893"/>
      <c r="BR346" s="892"/>
      <c r="BS346" s="886"/>
      <c r="BT346" s="423"/>
      <c r="BU346" s="423"/>
      <c r="BV346" s="425"/>
      <c r="BW346" s="423"/>
      <c r="BX346" s="448"/>
      <c r="BY346" s="448"/>
      <c r="BZ346" s="448"/>
      <c r="CA346" s="448"/>
      <c r="CB346" s="448"/>
      <c r="CC346" s="777"/>
      <c r="CD346" s="448"/>
      <c r="CE346" s="894" t="str">
        <f>IFERROR(WWWW[[#This Row],['#_Water sources passed]]/WWWW[[#This Row],['#_Water sources tested for fecal coliform ]],"no test")</f>
        <v>no test</v>
      </c>
      <c r="CF346" s="892" t="str">
        <f>IFERROR(WWWW[[#This Row],['#_Household passed]]/WWWW[[#This Row],['#_Household water samples tested for fecal coliform]],"no test")</f>
        <v>no test</v>
      </c>
      <c r="CG346" s="893" t="str">
        <f>IF(AND(WWWW[[#This Row],[% of water sources passed]]="no test",WWWW[[#This Row],[% Household passed]]="no test"),"No Test","Tested")</f>
        <v>No Test</v>
      </c>
      <c r="CH346" s="893">
        <f>WWWW[[#This Row],['#_Constructed/existing protected hand dug well]]-WWWW[[#This Row],['#_Non-functional protected hand dug well]]</f>
        <v>0</v>
      </c>
      <c r="CI346" s="893">
        <f>(WWWW[[#This Row],['#_Constructed/Existing tube wells/boreholes/handpumps_WASH_agency]]+WWWW[[#This Row],['#_Non-Cluster partner water tube-wells/boreholes/handpumps]])-WWWW[[#This Row],['#_Non-functional tube wells/boreholes/handpumps]]</f>
        <v>1</v>
      </c>
      <c r="CJ346" s="893">
        <f>WWWW[[#This Row],['#_Constructed/Existingwater storage tank with gravity fed reticulation system]]-WWWW[[#This Row],['#_Non-functional storage tank gravity fed reticulation system]]</f>
        <v>0</v>
      </c>
      <c r="CK346" s="893">
        <f>(WWWW[[#This Row],['#_Water_Liters_supplied_by_Water boating or water trucking]]/90)/15</f>
        <v>0</v>
      </c>
      <c r="CL346" s="893">
        <f>WWWW[[#This Row],['#_Water_Liters_from_Constructed/Existing water distribution system from river or natural spring]]/90/15</f>
        <v>0</v>
      </c>
      <c r="CM346" s="424">
        <f>IF(WWWW[[#This Row],['#_of water points in TLS/CFS]]*500&gt;WWWW[[#This Row],[Total PoP ]],WWWW[[#This Row],[Total PoP ]],WWWW[[#This Row],['#_of water points in TLS/CFS]]*500)</f>
        <v>0</v>
      </c>
      <c r="CN346" s="424">
        <f>IF(WWWW[[#This Row],['#_of water points in THF]]*500&gt;WWWW[[#This Row],[Total PoP ]],WWWW[[#This Row],[Total PoP ]],WWWW[[#This Row],['#_of water points in THF]]*500)</f>
        <v>0</v>
      </c>
      <c r="CO34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0.64599483204134367</v>
      </c>
      <c r="CQ346" s="892">
        <f>IF(WWWW[[#This Row],[Location Type 1]]="Village",WWWW[[#This Row],[Access to safe drinking water for Village]],WWWW[[#This Row],[Access to safe drinking water for Camp]])</f>
        <v>1</v>
      </c>
      <c r="CR346" s="890">
        <f>WWWW[[#This Row],[%Equitable and continuous access to sufficient quantity of safe drinking water]]*WWWW[[#This Row],[Total PoP ]]</f>
        <v>387</v>
      </c>
      <c r="CS346" s="892">
        <f>IF((WWWW[[#This Row],['#_Constructed/Existing protected/fenced ponds]]*250)/WWWW[[#This Row],[Total PoP ]]&gt;1,1,(WWWW[[#This Row],['#_Constructed/Existing protected/fenced ponds]]*250)/WWWW[[#This Row],[Total PoP ]])</f>
        <v>0</v>
      </c>
      <c r="CT346" s="890">
        <f>WWWW[[#This Row],[% Access to unimproved water points]]*WWWW[[#This Row],[Total PoP ]]</f>
        <v>0</v>
      </c>
      <c r="CU34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387</v>
      </c>
      <c r="CW346" s="890">
        <f>WWWW[[#This Row],[HRP1]]/500</f>
        <v>0.77400000000000002</v>
      </c>
      <c r="CX346" s="895">
        <f>1-WWWW[[#This Row],[% Equitable and continuous access to sufficient quantity of domestic water]]</f>
        <v>0</v>
      </c>
      <c r="CY346" s="890">
        <f>WWWW[[#This Row],[%equitable and continuous access to sufficient quantity of safe drinking and domestic water''s GAP]]*WWWW[[#This Row],[Total PoP ]]</f>
        <v>0</v>
      </c>
      <c r="CZ346" s="893">
        <f>IF(WWWW[[#This Row],[Total required water points]]-WWWW[[#This Row],['#Water points coverage]]&lt;0,0,WWWW[[#This Row],[Total required water points]]-WWWW[[#This Row],['#Water points coverage]])</f>
        <v>0.22599999999999998</v>
      </c>
      <c r="DA346" s="893">
        <f>ROUND(IF(WWWW[[#This Row],[Total PoP ]]&lt;500,1,WWWW[[#This Row],[Total PoP ]]/500),0)</f>
        <v>1</v>
      </c>
      <c r="DB346" s="893">
        <f>(WWWW[[#This Row],['#_Constructed latrines_by_WASHAgencies]]+WWWW[[#This Row],['#_Non Cluster partner latrines]])-WWWW[[#This Row],['#_Non-functional latrines]]</f>
        <v>8</v>
      </c>
      <c r="DC346" s="631">
        <f>WWWW[[#This Row],[HRP2]]/WWWW[[#This Row],[Total PoP ]]</f>
        <v>0.41343669250645992</v>
      </c>
      <c r="DD34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34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6" s="424">
        <f>IF(WWWW[[#This Row],['# of functional latrines in THF supported by WASH partners during the reporting period2]]="",0,WWWW[[#This Row],['# of functional latrines in THF supported by WASH partners during the reporting period2]]*50)</f>
        <v>0</v>
      </c>
      <c r="DH346" s="893">
        <f>ROUND(IF(WWWW[[#This Row],[Location Type 1]]="camp",WWWW[[#This Row],[Total PoP ]]/20,IF(WWWW[[#This Row],[Location Type 1]]="Temporary Location",WWWW[[#This Row],[Total PoP ]]/50,(WWWW[[#This Row],[Total PoP ]]/6))),0)</f>
        <v>19</v>
      </c>
      <c r="DI346" s="893">
        <f>IF(WWWW[[#This Row],[Total required Latrines]]-(WWWW[[#This Row],['#_Constructed latrines_by_WASHAgencies]]+WWWW[[#This Row],['#_Non Cluster partner latrines]])&lt;0,0,WWWW[[#This Row],[Total required Latrines]]-(WWWW[[#This Row],['#_Constructed latrines_by_WASHAgencies]]+WWWW[[#This Row],['#_Non Cluster partner latrines]]))</f>
        <v>11</v>
      </c>
      <c r="DJ346" s="895">
        <f>1-WWWW[[#This Row],[% people access to functioning Latrine]]</f>
        <v>0.58656330749354013</v>
      </c>
      <c r="DK346" s="894">
        <f>IF(OR(WWWW[[#This Row],['#_Non-functional latrines]]="",WWWW[[#This Row],['#_Non-functional latrines]]=0),0,WWWW[[#This Row],['#_Non-functional latrines]]/(WWWW[[#This Row],['#_Constructed latrines_by_WASHAgencies]]+WWWW[[#This Row],['#_Non Cluster partner latrines]]))</f>
        <v>0</v>
      </c>
      <c r="DL346" s="890">
        <f>IF(500*(WWWW[[#This Row],['#_male hygiene promoters]]+WWWW[[#This Row],['#_female hygiene promoters]])&gt;WWWW[[#This Row],[Total PoP ]],WWWW[[#This Row],[Total PoP ]],500*(WWWW[[#This Row],['#_male hygiene promoters]]+WWWW[[#This Row],['#_female hygiene promoters]]))</f>
        <v>387</v>
      </c>
      <c r="DM34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4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6" s="893">
        <f>IF(WWWW[[#This Row],['# People with access to soap]]&gt;WWWW[[#This Row],['# People with access to Sanity Pads]],WWWW[[#This Row],['# People with access to soap]],WWWW[[#This Row],['# People with access to Sanity Pads]])</f>
        <v>0</v>
      </c>
      <c r="DP346" s="893">
        <f>IF(WWWW[[#This Row],['# people reached by regular dedicated hygiene promotion_5]]&gt;WWWW[[#This Row],['# People received regular supply of hygiene items_6]],WWWW[[#This Row],['# people reached by regular dedicated hygiene promotion_5]],WWWW[[#This Row],['# People received regular supply of hygiene items_6]])</f>
        <v>387</v>
      </c>
      <c r="DQ346" s="895">
        <f>IF(WWWW[[#This Row],[HRP3]]/WWWW[[#This Row],[Total PoP ]]&gt;1,1,WWWW[[#This Row],[HRP3]]/WWWW[[#This Row],[Total PoP ]])</f>
        <v>1</v>
      </c>
      <c r="DR346" s="894">
        <f>1-WWWW[[#This Row],[Hygiene Coverage%]]</f>
        <v>0</v>
      </c>
      <c r="DS346" s="892">
        <f>WWWW[[#This Row],['# people reached by regular dedicated hygiene promotion_5]]/WWWW[[#This Row],[Total PoP ]]</f>
        <v>1</v>
      </c>
      <c r="DT34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4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6" s="893">
        <f>WWWW[[#This Row],['#_Constructed/Existing hand washing stations]]-WWWW[[#This Row],['#_Non-Functional_hand_washing_stations]]</f>
        <v>3</v>
      </c>
      <c r="DW346" s="890">
        <f>IF(WWWW[[#This Row],['# Functional hand washing stations during reporting period]]*20&gt;WWWW[[#This Row],[Total HH]],WWWW[[#This Row],[Total HH]],WWWW[[#This Row],['# Functional hand washing stations during reporting period]]*20)</f>
        <v>60</v>
      </c>
      <c r="DX346" s="890">
        <f>IF(WWWW[[#This Row],[Is sufficient soap available for TLS? (Yes/No)]]="yes",WWWW[[#This Row],['#_Constructed/Existing hand washing stations at TLS/CFS/THF]],0)</f>
        <v>0</v>
      </c>
      <c r="DY346" s="428">
        <f>IF(WWWW[[#This Row],['# Functional hand washing stations during reporting period]]*100&gt;WWWW[[#This Row],[Total PoP ]],WWWW[[#This Row],[Total PoP ]],WWWW[[#This Row],['# Functional hand washing stations during reporting period]]*100)</f>
        <v>300</v>
      </c>
      <c r="DZ346" s="428" t="str">
        <f>IF(OR(WWWW[[#This Row],['#_students at TLS_CFS]]="",WWWW[[#This Row],['#_students at TLS_CFS]]=0),"No","Yes")</f>
        <v>No</v>
      </c>
      <c r="EA34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6" s="886" t="str">
        <f>VLOOKUP(WWWW[[#This Row],[Site Name]],SiteDB6[[Site Name]:[CCCM Management]],6,FALSE)</f>
        <v>Yes</v>
      </c>
      <c r="EF346" s="886" t="str">
        <f>VLOOKUP(WWWW[[#This Row],[Site Name]],SiteDB6[[Site Name]:[CCCM Focal Agency]],7,FALSE)</f>
        <v>KBC-MYT</v>
      </c>
      <c r="EG346" s="886" t="str">
        <f>VLOOKUP(WWWW[[#This Row],[Site Name]],SiteDB6[[Site Name]:[Location Type 1]],9,FALSE)</f>
        <v>Camp</v>
      </c>
      <c r="EH346" s="886" t="str">
        <f>VLOOKUP(WWWW[[#This Row],[Site Name]],SiteDB6[[Site Name]:[Type of Accommodation]],10,FALSE)</f>
        <v>Camp</v>
      </c>
      <c r="EI346" s="886" t="str">
        <f>VLOOKUP(WWWW[[#This Row],[Site Name]],SiteDB6[[Site Name]:[Ethnic or GCA/NGCA]],11,FALSE)</f>
        <v>GCA</v>
      </c>
      <c r="EJ346" s="886">
        <f>VLOOKUP(WWWW[[#This Row],[Site Name]],SiteDB6[[Site Name]:[Lat]],12,FALSE)</f>
        <v>25.350989999999999</v>
      </c>
      <c r="EK346" s="886">
        <f>VLOOKUP(WWWW[[#This Row],[Site Name]],SiteDB6[[Site Name]:[Long]],13,FALSE)</f>
        <v>97.442809999999994</v>
      </c>
      <c r="EL346" s="886" t="str">
        <f>VLOOKUP(WWWW[[#This Row],[Site Name]],SiteDB6[[Site Name]:[Pcode]],3,FALSE)</f>
        <v>MMR001CMP269</v>
      </c>
      <c r="EM346" s="891" t="str">
        <f t="shared" si="5"/>
        <v>Covered</v>
      </c>
      <c r="EN346" s="891"/>
      <c r="EO346" s="886">
        <f>VLOOKUP(WWWW[[#This Row],[Site Name]],SiteDB6[[Site Name]:[Pop
(Kachin/Shan-CCCM as of July 2021)]],16,FALSE)</f>
        <v>81</v>
      </c>
      <c r="EP346" s="886">
        <f>VLOOKUP(WWWW[[#This Row],[Site Name]],SiteDB6[[Site Name]:[Pop
(Kachin/Shan-CCCM as of July 2021)]],17,FALSE)</f>
        <v>387</v>
      </c>
    </row>
    <row r="347" spans="1:146" hidden="1">
      <c r="A347" s="884" t="s">
        <v>2764</v>
      </c>
      <c r="B347" s="884" t="s">
        <v>242</v>
      </c>
      <c r="C347" s="885" t="s">
        <v>242</v>
      </c>
      <c r="D347" s="885" t="s">
        <v>299</v>
      </c>
      <c r="E347" s="885" t="s">
        <v>37</v>
      </c>
      <c r="F347" s="885" t="s">
        <v>142</v>
      </c>
      <c r="G347" s="591" t="str">
        <f>VLOOKUP(WWWW[[#This Row],[Site Name]],SiteDB6[[Site Name]:[Location Type]],8,FALSE)</f>
        <v>Camp</v>
      </c>
      <c r="H347" s="885" t="s">
        <v>275</v>
      </c>
      <c r="I347" s="887">
        <v>68</v>
      </c>
      <c r="J347" s="887">
        <v>193</v>
      </c>
      <c r="K347" s="888">
        <v>44562</v>
      </c>
      <c r="L347" s="889">
        <v>44926</v>
      </c>
      <c r="M347" s="887"/>
      <c r="N347" s="887">
        <v>1</v>
      </c>
      <c r="O347" s="887">
        <v>1</v>
      </c>
      <c r="P347" s="887"/>
      <c r="Q347" s="890" t="s">
        <v>41</v>
      </c>
      <c r="R347" s="887">
        <v>3</v>
      </c>
      <c r="S347" s="887">
        <v>3</v>
      </c>
      <c r="T347" s="448">
        <v>2</v>
      </c>
      <c r="U347" s="887"/>
      <c r="V347" s="887"/>
      <c r="W347" s="887"/>
      <c r="X347" s="887"/>
      <c r="Y347" s="887"/>
      <c r="Z347" s="887"/>
      <c r="AA347" s="887"/>
      <c r="AB347" s="887"/>
      <c r="AC347" s="887"/>
      <c r="AD347" s="887"/>
      <c r="AE347" s="887"/>
      <c r="AF347" s="887"/>
      <c r="AG347" s="887">
        <v>1</v>
      </c>
      <c r="AH347" s="887"/>
      <c r="AI347" s="887"/>
      <c r="AJ347" s="887"/>
      <c r="AK347" s="887"/>
      <c r="AL347" s="887"/>
      <c r="AM347" s="887">
        <v>1</v>
      </c>
      <c r="AN347" s="887"/>
      <c r="AO347" s="448"/>
      <c r="AP347" s="891" t="s">
        <v>2889</v>
      </c>
      <c r="AQ347" s="887">
        <v>9</v>
      </c>
      <c r="AR347" s="887"/>
      <c r="AS347" s="892"/>
      <c r="AT347" s="887"/>
      <c r="AU347" s="887"/>
      <c r="AV347" s="887"/>
      <c r="AW347" s="887"/>
      <c r="AX347" s="887"/>
      <c r="AY347" s="886" t="s">
        <v>41</v>
      </c>
      <c r="AZ347" s="891" t="s">
        <v>137</v>
      </c>
      <c r="BA347" s="887"/>
      <c r="BB347" s="887"/>
      <c r="BC347" s="887"/>
      <c r="BD347" s="448"/>
      <c r="BE347" s="448"/>
      <c r="BF347" s="886"/>
      <c r="BG347" s="887"/>
      <c r="BH347" s="887"/>
      <c r="BI347" s="887"/>
      <c r="BJ347" s="887">
        <v>2</v>
      </c>
      <c r="BK347" s="887"/>
      <c r="BL347" s="887"/>
      <c r="BM347" s="887">
        <v>1</v>
      </c>
      <c r="BN347" s="887">
        <v>68</v>
      </c>
      <c r="BO347" s="887"/>
      <c r="BP347" s="886" t="s">
        <v>41</v>
      </c>
      <c r="BQ347" s="893"/>
      <c r="BR347" s="892">
        <v>0.5</v>
      </c>
      <c r="BS347" s="886"/>
      <c r="BT347" s="423">
        <v>0.96</v>
      </c>
      <c r="BU347" s="423">
        <v>0.9</v>
      </c>
      <c r="BV347" s="425">
        <v>4</v>
      </c>
      <c r="BW347" s="423">
        <v>0.99</v>
      </c>
      <c r="BX347" s="448"/>
      <c r="BY347" s="448"/>
      <c r="BZ347" s="448"/>
      <c r="CA347" s="448"/>
      <c r="CB347" s="448"/>
      <c r="CC347" s="777"/>
      <c r="CD347" s="448"/>
      <c r="CE347" s="894" t="str">
        <f>IFERROR(WWWW[[#This Row],['#_Water sources passed]]/WWWW[[#This Row],['#_Water sources tested for fecal coliform ]],"no test")</f>
        <v>no test</v>
      </c>
      <c r="CF347" s="892" t="str">
        <f>IFERROR(WWWW[[#This Row],['#_Household passed]]/WWWW[[#This Row],['#_Household water samples tested for fecal coliform]],"no test")</f>
        <v>no test</v>
      </c>
      <c r="CG347" s="893" t="str">
        <f>IF(AND(WWWW[[#This Row],[% of water sources passed]]="no test",WWWW[[#This Row],[% Household passed]]="no test"),"No Test","Tested")</f>
        <v>No Test</v>
      </c>
      <c r="CH347" s="893">
        <f>WWWW[[#This Row],['#_Constructed/existing protected hand dug well]]-WWWW[[#This Row],['#_Non-functional protected hand dug well]]</f>
        <v>2</v>
      </c>
      <c r="CI347" s="893">
        <f>(WWWW[[#This Row],['#_Constructed/Existing tube wells/boreholes/handpumps_WASH_agency]]+WWWW[[#This Row],['#_Non-Cluster partner water tube-wells/boreholes/handpumps]])-WWWW[[#This Row],['#_Non-functional tube wells/boreholes/handpumps]]</f>
        <v>0</v>
      </c>
      <c r="CJ347" s="893">
        <f>WWWW[[#This Row],['#_Constructed/Existingwater storage tank with gravity fed reticulation system]]-WWWW[[#This Row],['#_Non-functional storage tank gravity fed reticulation system]]</f>
        <v>0</v>
      </c>
      <c r="CK347" s="893">
        <f>(WWWW[[#This Row],['#_Water_Liters_supplied_by_Water boating or water trucking]]/90)/15</f>
        <v>0</v>
      </c>
      <c r="CL347" s="893">
        <f>WWWW[[#This Row],['#_Water_Liters_from_Constructed/Existing water distribution system from river or natural spring]]/90/15</f>
        <v>0</v>
      </c>
      <c r="CM347" s="424">
        <f>IF(WWWW[[#This Row],['#_of water points in TLS/CFS]]*500&gt;WWWW[[#This Row],[Total PoP ]],WWWW[[#This Row],[Total PoP ]],WWWW[[#This Row],['#_of water points in TLS/CFS]]*500)</f>
        <v>0</v>
      </c>
      <c r="CN347" s="424">
        <f>IF(WWWW[[#This Row],['#_of water points in THF]]*500&gt;WWWW[[#This Row],[Total PoP ]],WWWW[[#This Row],[Total PoP ]],WWWW[[#This Row],['#_of water points in THF]]*500)</f>
        <v>0</v>
      </c>
      <c r="CO34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7" s="892">
        <f>IF(WWWW[[#This Row],[Location Type 1]]="Village",WWWW[[#This Row],[Access to safe drinking water for Village]],WWWW[[#This Row],[Access to safe drinking water for Camp]])</f>
        <v>1</v>
      </c>
      <c r="CR347" s="890">
        <f>WWWW[[#This Row],[%Equitable and continuous access to sufficient quantity of safe drinking water]]*WWWW[[#This Row],[Total PoP ]]</f>
        <v>193</v>
      </c>
      <c r="CS347" s="892">
        <f>IF((WWWW[[#This Row],['#_Constructed/Existing protected/fenced ponds]]*250)/WWWW[[#This Row],[Total PoP ]]&gt;1,1,(WWWW[[#This Row],['#_Constructed/Existing protected/fenced ponds]]*250)/WWWW[[#This Row],[Total PoP ]])</f>
        <v>0</v>
      </c>
      <c r="CT347" s="890">
        <f>WWWW[[#This Row],[% Access to unimproved water points]]*WWWW[[#This Row],[Total PoP ]]</f>
        <v>0</v>
      </c>
      <c r="CU34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v>
      </c>
      <c r="CW347" s="890">
        <f>WWWW[[#This Row],[HRP1]]/500</f>
        <v>0.38600000000000001</v>
      </c>
      <c r="CX347" s="895">
        <f>1-WWWW[[#This Row],[% Equitable and continuous access to sufficient quantity of domestic water]]</f>
        <v>0</v>
      </c>
      <c r="CY347" s="890">
        <f>WWWW[[#This Row],[%equitable and continuous access to sufficient quantity of safe drinking and domestic water''s GAP]]*WWWW[[#This Row],[Total PoP ]]</f>
        <v>0</v>
      </c>
      <c r="CZ347" s="893">
        <f>IF(WWWW[[#This Row],[Total required water points]]-WWWW[[#This Row],['#Water points coverage]]&lt;0,0,WWWW[[#This Row],[Total required water points]]-WWWW[[#This Row],['#Water points coverage]])</f>
        <v>0.61399999999999999</v>
      </c>
      <c r="DA347" s="893">
        <f>ROUND(IF(WWWW[[#This Row],[Total PoP ]]&lt;500,1,WWWW[[#This Row],[Total PoP ]]/500),0)</f>
        <v>1</v>
      </c>
      <c r="DB347" s="893">
        <f>(WWWW[[#This Row],['#_Constructed latrines_by_WASHAgencies]]+WWWW[[#This Row],['#_Non Cluster partner latrines]])-WWWW[[#This Row],['#_Non-functional latrines]]</f>
        <v>9</v>
      </c>
      <c r="DC347" s="631">
        <f>WWWW[[#This Row],[HRP2]]/WWWW[[#This Row],[Total PoP ]]</f>
        <v>0.93264248704663211</v>
      </c>
      <c r="DD34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34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7" s="424">
        <f>IF(WWWW[[#This Row],['# of functional latrines in THF supported by WASH partners during the reporting period2]]="",0,WWWW[[#This Row],['# of functional latrines in THF supported by WASH partners during the reporting period2]]*50)</f>
        <v>0</v>
      </c>
      <c r="DH347" s="893">
        <f>ROUND(IF(WWWW[[#This Row],[Location Type 1]]="camp",WWWW[[#This Row],[Total PoP ]]/20,IF(WWWW[[#This Row],[Location Type 1]]="Temporary Location",WWWW[[#This Row],[Total PoP ]]/50,(WWWW[[#This Row],[Total PoP ]]/6))),0)</f>
        <v>10</v>
      </c>
      <c r="DI347" s="893">
        <f>IF(WWWW[[#This Row],[Total required Latrines]]-(WWWW[[#This Row],['#_Constructed latrines_by_WASHAgencies]]+WWWW[[#This Row],['#_Non Cluster partner latrines]])&lt;0,0,WWWW[[#This Row],[Total required Latrines]]-(WWWW[[#This Row],['#_Constructed latrines_by_WASHAgencies]]+WWWW[[#This Row],['#_Non Cluster partner latrines]]))</f>
        <v>1</v>
      </c>
      <c r="DJ347" s="895">
        <f>1-WWWW[[#This Row],[% people access to functioning Latrine]]</f>
        <v>6.7357512953367893E-2</v>
      </c>
      <c r="DK347" s="894">
        <f>IF(OR(WWWW[[#This Row],['#_Non-functional latrines]]="",WWWW[[#This Row],['#_Non-functional latrines]]=0),0,WWWW[[#This Row],['#_Non-functional latrines]]/(WWWW[[#This Row],['#_Constructed latrines_by_WASHAgencies]]+WWWW[[#This Row],['#_Non Cluster partner latrines]]))</f>
        <v>0</v>
      </c>
      <c r="DL347" s="890">
        <f>IF(500*(WWWW[[#This Row],['#_male hygiene promoters]]+WWWW[[#This Row],['#_female hygiene promoters]])&gt;WWWW[[#This Row],[Total PoP ]],WWWW[[#This Row],[Total PoP ]],500*(WWWW[[#This Row],['#_male hygiene promoters]]+WWWW[[#This Row],['#_female hygiene promoters]]))</f>
        <v>193</v>
      </c>
      <c r="DM34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193</v>
      </c>
      <c r="DN34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7" s="893">
        <f>IF(WWWW[[#This Row],['# People with access to soap]]&gt;WWWW[[#This Row],['# People with access to Sanity Pads]],WWWW[[#This Row],['# People with access to soap]],WWWW[[#This Row],['# People with access to Sanity Pads]])</f>
        <v>193</v>
      </c>
      <c r="DP347" s="893">
        <f>IF(WWWW[[#This Row],['# people reached by regular dedicated hygiene promotion_5]]&gt;WWWW[[#This Row],['# People received regular supply of hygiene items_6]],WWWW[[#This Row],['# people reached by regular dedicated hygiene promotion_5]],WWWW[[#This Row],['# People received regular supply of hygiene items_6]])</f>
        <v>193</v>
      </c>
      <c r="DQ347" s="895">
        <f>IF(WWWW[[#This Row],[HRP3]]/WWWW[[#This Row],[Total PoP ]]&gt;1,1,WWWW[[#This Row],[HRP3]]/WWWW[[#This Row],[Total PoP ]])</f>
        <v>1</v>
      </c>
      <c r="DR347" s="894">
        <f>1-WWWW[[#This Row],[Hygiene Coverage%]]</f>
        <v>0</v>
      </c>
      <c r="DS347" s="892">
        <f>WWWW[[#This Row],['# people reached by regular dedicated hygiene promotion_5]]/WWWW[[#This Row],[Total PoP ]]</f>
        <v>1</v>
      </c>
      <c r="DT34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7" s="893">
        <f>WWWW[[#This Row],['#_Constructed/Existing hand washing stations]]-WWWW[[#This Row],['#_Non-Functional_hand_washing_stations]]</f>
        <v>0</v>
      </c>
      <c r="DW347" s="890">
        <f>IF(WWWW[[#This Row],['# Functional hand washing stations during reporting period]]*20&gt;WWWW[[#This Row],[Total HH]],WWWW[[#This Row],[Total HH]],WWWW[[#This Row],['# Functional hand washing stations during reporting period]]*20)</f>
        <v>0</v>
      </c>
      <c r="DX347" s="890">
        <f>IF(WWWW[[#This Row],[Is sufficient soap available for TLS? (Yes/No)]]="yes",WWWW[[#This Row],['#_Constructed/Existing hand washing stations at TLS/CFS/THF]],0)</f>
        <v>1</v>
      </c>
      <c r="DY347" s="428">
        <f>IF(WWWW[[#This Row],['# Functional hand washing stations during reporting period]]*100&gt;WWWW[[#This Row],[Total PoP ]],WWWW[[#This Row],[Total PoP ]],WWWW[[#This Row],['# Functional hand washing stations during reporting period]]*100)</f>
        <v>0</v>
      </c>
      <c r="DZ347" s="428" t="str">
        <f>IF(OR(WWWW[[#This Row],['#_students at TLS_CFS]]="",WWWW[[#This Row],['#_students at TLS_CFS]]=0),"No","Yes")</f>
        <v>No</v>
      </c>
      <c r="EA347" s="631">
        <f>IF(WWWW[[#This Row],['#_of_affected_people_surveyed_who_report_feeling_informed_about_the_different_WASH_services_available_to_them]]="","",WWWW[[#This Row],['#_of_affected_people_surveyed_who_report_feeling_informed_about_the_different_WASH_services_available_to_them]]/WWWW[[#This Row],[Total PoP ]])</f>
        <v>2.072538860103627E-2</v>
      </c>
      <c r="EB34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7" s="886" t="str">
        <f>VLOOKUP(WWWW[[#This Row],[Site Name]],SiteDB6[[Site Name]:[CCCM Management]],6,FALSE)</f>
        <v>Yes</v>
      </c>
      <c r="EF347" s="886" t="str">
        <f>VLOOKUP(WWWW[[#This Row],[Site Name]],SiteDB6[[Site Name]:[CCCM Focal Agency]],7,FALSE)</f>
        <v>Shalom</v>
      </c>
      <c r="EG347" s="886" t="str">
        <f>VLOOKUP(WWWW[[#This Row],[Site Name]],SiteDB6[[Site Name]:[Location Type 1]],9,FALSE)</f>
        <v>Camp</v>
      </c>
      <c r="EH347" s="886" t="str">
        <f>VLOOKUP(WWWW[[#This Row],[Site Name]],SiteDB6[[Site Name]:[Type of Accommodation]],10,FALSE)</f>
        <v>Camp</v>
      </c>
      <c r="EI347" s="886" t="str">
        <f>VLOOKUP(WWWW[[#This Row],[Site Name]],SiteDB6[[Site Name]:[Ethnic or GCA/NGCA]],11,FALSE)</f>
        <v>GCA</v>
      </c>
      <c r="EJ347" s="886">
        <f>VLOOKUP(WWWW[[#This Row],[Site Name]],SiteDB6[[Site Name]:[Lat]],12,FALSE)</f>
        <v>25.351250396825399</v>
      </c>
      <c r="EK347" s="886">
        <f>VLOOKUP(WWWW[[#This Row],[Site Name]],SiteDB6[[Site Name]:[Long]],13,FALSE)</f>
        <v>97.444283730158702</v>
      </c>
      <c r="EL347" s="886" t="str">
        <f>VLOOKUP(WWWW[[#This Row],[Site Name]],SiteDB6[[Site Name]:[Pcode]],3,FALSE)</f>
        <v>MMR001CMP038</v>
      </c>
      <c r="EM347" s="891" t="str">
        <f t="shared" si="5"/>
        <v>Covered</v>
      </c>
      <c r="EN347" s="891"/>
      <c r="EO347" s="886">
        <f>VLOOKUP(WWWW[[#This Row],[Site Name]],SiteDB6[[Site Name]:[Pop
(Kachin/Shan-CCCM as of July 2021)]],16,FALSE)</f>
        <v>71</v>
      </c>
      <c r="EP347" s="886">
        <f>VLOOKUP(WWWW[[#This Row],[Site Name]],SiteDB6[[Site Name]:[Pop
(Kachin/Shan-CCCM as of July 2021)]],17,FALSE)</f>
        <v>307</v>
      </c>
    </row>
    <row r="348" spans="1:146" hidden="1">
      <c r="A348" s="884" t="s">
        <v>2764</v>
      </c>
      <c r="B348" s="884" t="s">
        <v>309</v>
      </c>
      <c r="C348" s="885" t="s">
        <v>309</v>
      </c>
      <c r="D348" s="885"/>
      <c r="E348" s="885" t="s">
        <v>37</v>
      </c>
      <c r="F348" s="885" t="s">
        <v>142</v>
      </c>
      <c r="G348" s="591" t="str">
        <f>VLOOKUP(WWWW[[#This Row],[Site Name]],SiteDB6[[Site Name]:[Location Type]],8,FALSE)</f>
        <v>Camp</v>
      </c>
      <c r="H348" s="885" t="s">
        <v>2775</v>
      </c>
      <c r="I348" s="887">
        <v>27</v>
      </c>
      <c r="J348" s="887">
        <v>139</v>
      </c>
      <c r="K348" s="888"/>
      <c r="L348" s="889"/>
      <c r="M348" s="887"/>
      <c r="N348" s="887"/>
      <c r="O348" s="887"/>
      <c r="P348" s="887"/>
      <c r="Q348" s="890"/>
      <c r="R348" s="887"/>
      <c r="S348" s="887"/>
      <c r="T348" s="448"/>
      <c r="U348" s="887"/>
      <c r="V348" s="887"/>
      <c r="W348" s="887"/>
      <c r="X348" s="887"/>
      <c r="Y348" s="887"/>
      <c r="Z348" s="887"/>
      <c r="AA348" s="887"/>
      <c r="AB348" s="887"/>
      <c r="AC348" s="887"/>
      <c r="AD348" s="887"/>
      <c r="AE348" s="887"/>
      <c r="AF348" s="887"/>
      <c r="AG348" s="887"/>
      <c r="AH348" s="887"/>
      <c r="AI348" s="887"/>
      <c r="AJ348" s="887"/>
      <c r="AK348" s="887"/>
      <c r="AL348" s="887"/>
      <c r="AM348" s="887"/>
      <c r="AN348" s="887"/>
      <c r="AO348" s="448"/>
      <c r="AP348" s="891"/>
      <c r="AQ348" s="887"/>
      <c r="AR348" s="887"/>
      <c r="AS348" s="892"/>
      <c r="AT348" s="887"/>
      <c r="AU348" s="887"/>
      <c r="AV348" s="887"/>
      <c r="AW348" s="887"/>
      <c r="AX348" s="887"/>
      <c r="AY348" s="886" t="s">
        <v>140</v>
      </c>
      <c r="AZ348" s="891" t="s">
        <v>140</v>
      </c>
      <c r="BA348" s="887"/>
      <c r="BB348" s="887"/>
      <c r="BC348" s="887"/>
      <c r="BD348" s="448"/>
      <c r="BE348" s="448"/>
      <c r="BF348" s="886"/>
      <c r="BG348" s="887">
        <v>7</v>
      </c>
      <c r="BH348" s="887"/>
      <c r="BI348" s="887"/>
      <c r="BJ348" s="887">
        <v>7</v>
      </c>
      <c r="BK348" s="887"/>
      <c r="BL348" s="887"/>
      <c r="BM348" s="887"/>
      <c r="BN348" s="887"/>
      <c r="BO348" s="887"/>
      <c r="BP348" s="886"/>
      <c r="BQ348" s="893"/>
      <c r="BR348" s="892"/>
      <c r="BS348" s="886"/>
      <c r="BT348" s="423"/>
      <c r="BU348" s="423"/>
      <c r="BV348" s="425"/>
      <c r="BW348" s="423"/>
      <c r="BX348" s="448"/>
      <c r="BY348" s="448"/>
      <c r="BZ348" s="448"/>
      <c r="CA348" s="448"/>
      <c r="CB348" s="448"/>
      <c r="CC348" s="777"/>
      <c r="CD348" s="448"/>
      <c r="CE348" s="894" t="str">
        <f>IFERROR(WWWW[[#This Row],['#_Water sources passed]]/WWWW[[#This Row],['#_Water sources tested for fecal coliform ]],"no test")</f>
        <v>no test</v>
      </c>
      <c r="CF348" s="892" t="str">
        <f>IFERROR(WWWW[[#This Row],['#_Household passed]]/WWWW[[#This Row],['#_Household water samples tested for fecal coliform]],"no test")</f>
        <v>no test</v>
      </c>
      <c r="CG348" s="893" t="str">
        <f>IF(AND(WWWW[[#This Row],[% of water sources passed]]="no test",WWWW[[#This Row],[% Household passed]]="no test"),"No Test","Tested")</f>
        <v>No Test</v>
      </c>
      <c r="CH348" s="893">
        <f>WWWW[[#This Row],['#_Constructed/existing protected hand dug well]]-WWWW[[#This Row],['#_Non-functional protected hand dug well]]</f>
        <v>0</v>
      </c>
      <c r="CI348" s="893">
        <f>(WWWW[[#This Row],['#_Constructed/Existing tube wells/boreholes/handpumps_WASH_agency]]+WWWW[[#This Row],['#_Non-Cluster partner water tube-wells/boreholes/handpumps]])-WWWW[[#This Row],['#_Non-functional tube wells/boreholes/handpumps]]</f>
        <v>0</v>
      </c>
      <c r="CJ348" s="893">
        <f>WWWW[[#This Row],['#_Constructed/Existingwater storage tank with gravity fed reticulation system]]-WWWW[[#This Row],['#_Non-functional storage tank gravity fed reticulation system]]</f>
        <v>0</v>
      </c>
      <c r="CK348" s="893">
        <f>(WWWW[[#This Row],['#_Water_Liters_supplied_by_Water boating or water trucking]]/90)/15</f>
        <v>0</v>
      </c>
      <c r="CL348" s="893">
        <f>WWWW[[#This Row],['#_Water_Liters_from_Constructed/Existing water distribution system from river or natural spring]]/90/15</f>
        <v>0</v>
      </c>
      <c r="CM348" s="424">
        <f>IF(WWWW[[#This Row],['#_of water points in TLS/CFS]]*500&gt;WWWW[[#This Row],[Total PoP ]],WWWW[[#This Row],[Total PoP ]],WWWW[[#This Row],['#_of water points in TLS/CFS]]*500)</f>
        <v>0</v>
      </c>
      <c r="CN348" s="424">
        <f>IF(WWWW[[#This Row],['#_of water points in THF]]*500&gt;WWWW[[#This Row],[Total PoP ]],WWWW[[#This Row],[Total PoP ]],WWWW[[#This Row],['#_of water points in THF]]*500)</f>
        <v>0</v>
      </c>
      <c r="CO34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4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48" s="892">
        <f>IF(WWWW[[#This Row],[Location Type 1]]="Village",WWWW[[#This Row],[Access to safe drinking water for Village]],WWWW[[#This Row],[Access to safe drinking water for Camp]])</f>
        <v>0</v>
      </c>
      <c r="CR348" s="890">
        <f>WWWW[[#This Row],[%Equitable and continuous access to sufficient quantity of safe drinking water]]*WWWW[[#This Row],[Total PoP ]]</f>
        <v>0</v>
      </c>
      <c r="CS348" s="892">
        <f>IF((WWWW[[#This Row],['#_Constructed/Existing protected/fenced ponds]]*250)/WWWW[[#This Row],[Total PoP ]]&gt;1,1,(WWWW[[#This Row],['#_Constructed/Existing protected/fenced ponds]]*250)/WWWW[[#This Row],[Total PoP ]])</f>
        <v>0</v>
      </c>
      <c r="CT348" s="890">
        <f>WWWW[[#This Row],[% Access to unimproved water points]]*WWWW[[#This Row],[Total PoP ]]</f>
        <v>0</v>
      </c>
      <c r="CU34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4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48" s="890">
        <f>WWWW[[#This Row],[HRP1]]/500</f>
        <v>0</v>
      </c>
      <c r="CX348" s="895">
        <f>1-WWWW[[#This Row],[% Equitable and continuous access to sufficient quantity of domestic water]]</f>
        <v>1</v>
      </c>
      <c r="CY348" s="890">
        <f>WWWW[[#This Row],[%equitable and continuous access to sufficient quantity of safe drinking and domestic water''s GAP]]*WWWW[[#This Row],[Total PoP ]]</f>
        <v>139</v>
      </c>
      <c r="CZ348" s="893">
        <f>IF(WWWW[[#This Row],[Total required water points]]-WWWW[[#This Row],['#Water points coverage]]&lt;0,0,WWWW[[#This Row],[Total required water points]]-WWWW[[#This Row],['#Water points coverage]])</f>
        <v>1</v>
      </c>
      <c r="DA348" s="893">
        <f>ROUND(IF(WWWW[[#This Row],[Total PoP ]]&lt;500,1,WWWW[[#This Row],[Total PoP ]]/500),0)</f>
        <v>1</v>
      </c>
      <c r="DB348" s="893">
        <f>(WWWW[[#This Row],['#_Constructed latrines_by_WASHAgencies]]+WWWW[[#This Row],['#_Non Cluster partner latrines]])-WWWW[[#This Row],['#_Non-functional latrines]]</f>
        <v>0</v>
      </c>
      <c r="DC348" s="631">
        <f>WWWW[[#This Row],[HRP2]]/WWWW[[#This Row],[Total PoP ]]</f>
        <v>0</v>
      </c>
      <c r="DD34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4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8" s="424">
        <f>IF(WWWW[[#This Row],['# of functional latrines in THF supported by WASH partners during the reporting period2]]="",0,WWWW[[#This Row],['# of functional latrines in THF supported by WASH partners during the reporting period2]]*50)</f>
        <v>0</v>
      </c>
      <c r="DH348" s="893">
        <f>ROUND(IF(WWWW[[#This Row],[Location Type 1]]="camp",WWWW[[#This Row],[Total PoP ]]/20,IF(WWWW[[#This Row],[Location Type 1]]="Temporary Location",WWWW[[#This Row],[Total PoP ]]/50,(WWWW[[#This Row],[Total PoP ]]/6))),0)</f>
        <v>7</v>
      </c>
      <c r="DI348" s="893">
        <f>IF(WWWW[[#This Row],[Total required Latrines]]-(WWWW[[#This Row],['#_Constructed latrines_by_WASHAgencies]]+WWWW[[#This Row],['#_Non Cluster partner latrines]])&lt;0,0,WWWW[[#This Row],[Total required Latrines]]-(WWWW[[#This Row],['#_Constructed latrines_by_WASHAgencies]]+WWWW[[#This Row],['#_Non Cluster partner latrines]]))</f>
        <v>7</v>
      </c>
      <c r="DJ348" s="895">
        <f>1-WWWW[[#This Row],[% people access to functioning Latrine]]</f>
        <v>1</v>
      </c>
      <c r="DK348" s="894">
        <f>IF(OR(WWWW[[#This Row],['#_Non-functional latrines]]="",WWWW[[#This Row],['#_Non-functional latrines]]=0),0,WWWW[[#This Row],['#_Non-functional latrines]]/(WWWW[[#This Row],['#_Constructed latrines_by_WASHAgencies]]+WWWW[[#This Row],['#_Non Cluster partner latrines]]))</f>
        <v>0</v>
      </c>
      <c r="DL348" s="890">
        <f>IF(500*(WWWW[[#This Row],['#_male hygiene promoters]]+WWWW[[#This Row],['#_female hygiene promoters]])&gt;WWWW[[#This Row],[Total PoP ]],WWWW[[#This Row],[Total PoP ]],500*(WWWW[[#This Row],['#_male hygiene promoters]]+WWWW[[#This Row],['#_female hygiene promoters]]))</f>
        <v>0</v>
      </c>
      <c r="DM34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4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8" s="893">
        <f>IF(WWWW[[#This Row],['# People with access to soap]]&gt;WWWW[[#This Row],['# People with access to Sanity Pads]],WWWW[[#This Row],['# People with access to soap]],WWWW[[#This Row],['# People with access to Sanity Pads]])</f>
        <v>0</v>
      </c>
      <c r="DP348"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48" s="895">
        <f>IF(WWWW[[#This Row],[HRP3]]/WWWW[[#This Row],[Total PoP ]]&gt;1,1,WWWW[[#This Row],[HRP3]]/WWWW[[#This Row],[Total PoP ]])</f>
        <v>0</v>
      </c>
      <c r="DR348" s="894">
        <f>1-WWWW[[#This Row],[Hygiene Coverage%]]</f>
        <v>1</v>
      </c>
      <c r="DS348" s="892">
        <f>WWWW[[#This Row],['# people reached by regular dedicated hygiene promotion_5]]/WWWW[[#This Row],[Total PoP ]]</f>
        <v>0</v>
      </c>
      <c r="DT34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4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8" s="893">
        <f>WWWW[[#This Row],['#_Constructed/Existing hand washing stations]]-WWWW[[#This Row],['#_Non-Functional_hand_washing_stations]]</f>
        <v>7</v>
      </c>
      <c r="DW348" s="890">
        <f>IF(WWWW[[#This Row],['# Functional hand washing stations during reporting period]]*20&gt;WWWW[[#This Row],[Total HH]],WWWW[[#This Row],[Total HH]],WWWW[[#This Row],['# Functional hand washing stations during reporting period]]*20)</f>
        <v>27</v>
      </c>
      <c r="DX348" s="890">
        <f>IF(WWWW[[#This Row],[Is sufficient soap available for TLS? (Yes/No)]]="yes",WWWW[[#This Row],['#_Constructed/Existing hand washing stations at TLS/CFS/THF]],0)</f>
        <v>0</v>
      </c>
      <c r="DY348" s="428">
        <f>IF(WWWW[[#This Row],['# Functional hand washing stations during reporting period]]*100&gt;WWWW[[#This Row],[Total PoP ]],WWWW[[#This Row],[Total PoP ]],WWWW[[#This Row],['# Functional hand washing stations during reporting period]]*100)</f>
        <v>139</v>
      </c>
      <c r="DZ348" s="428" t="str">
        <f>IF(OR(WWWW[[#This Row],['#_students at TLS_CFS]]="",WWWW[[#This Row],['#_students at TLS_CFS]]=0),"No","Yes")</f>
        <v>No</v>
      </c>
      <c r="EA34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8" s="886">
        <f>VLOOKUP(WWWW[[#This Row],[Site Name]],SiteDB6[[Site Name]:[CCCM Management]],6,FALSE)</f>
        <v>0</v>
      </c>
      <c r="EF348" s="886" t="str">
        <f>VLOOKUP(WWWW[[#This Row],[Site Name]],SiteDB6[[Site Name]:[CCCM Focal Agency]],7,FALSE)</f>
        <v xml:space="preserve">Uncovered  </v>
      </c>
      <c r="EG348" s="886" t="str">
        <f>VLOOKUP(WWWW[[#This Row],[Site Name]],SiteDB6[[Site Name]:[Location Type 1]],9,FALSE)</f>
        <v>Camp</v>
      </c>
      <c r="EH348" s="886" t="str">
        <f>VLOOKUP(WWWW[[#This Row],[Site Name]],SiteDB6[[Site Name]:[Type of Accommodation]],10,FALSE)</f>
        <v>Camp like setting</v>
      </c>
      <c r="EI348" s="886" t="str">
        <f>VLOOKUP(WWWW[[#This Row],[Site Name]],SiteDB6[[Site Name]:[Ethnic or GCA/NGCA]],11,FALSE)</f>
        <v>GCA</v>
      </c>
      <c r="EJ348" s="886">
        <f>VLOOKUP(WWWW[[#This Row],[Site Name]],SiteDB6[[Site Name]:[Lat]],12,FALSE)</f>
        <v>25.211500000000001</v>
      </c>
      <c r="EK348" s="886">
        <f>VLOOKUP(WWWW[[#This Row],[Site Name]],SiteDB6[[Site Name]:[Long]],13,FALSE)</f>
        <v>97.261799999999994</v>
      </c>
      <c r="EL348" s="886" t="str">
        <f>VLOOKUP(WWWW[[#This Row],[Site Name]],SiteDB6[[Site Name]:[Pcode]],3,FALSE)</f>
        <v>MMR001CMP287</v>
      </c>
      <c r="EM348" s="891" t="str">
        <f t="shared" si="5"/>
        <v>Notcovered</v>
      </c>
      <c r="EN348" s="891"/>
      <c r="EO348" s="886">
        <f>VLOOKUP(WWWW[[#This Row],[Site Name]],SiteDB6[[Site Name]:[Pop
(Kachin/Shan-CCCM as of July 2021)]],16,FALSE)</f>
        <v>27</v>
      </c>
      <c r="EP348" s="886">
        <f>VLOOKUP(WWWW[[#This Row],[Site Name]],SiteDB6[[Site Name]:[Pop
(Kachin/Shan-CCCM as of July 2021)]],17,FALSE)</f>
        <v>139</v>
      </c>
    </row>
    <row r="349" spans="1:146" hidden="1">
      <c r="A349" s="884" t="s">
        <v>2764</v>
      </c>
      <c r="B349" s="884" t="s">
        <v>242</v>
      </c>
      <c r="C349" s="885" t="s">
        <v>242</v>
      </c>
      <c r="D349" s="885" t="s">
        <v>299</v>
      </c>
      <c r="E349" s="885" t="s">
        <v>37</v>
      </c>
      <c r="F349" s="885" t="s">
        <v>148</v>
      </c>
      <c r="G349" s="591" t="str">
        <f>VLOOKUP(WWWW[[#This Row],[Site Name]],SiteDB6[[Site Name]:[Location Type]],8,FALSE)</f>
        <v>Camp</v>
      </c>
      <c r="H349" s="885" t="s">
        <v>261</v>
      </c>
      <c r="I349" s="887">
        <v>25</v>
      </c>
      <c r="J349" s="887">
        <v>133</v>
      </c>
      <c r="K349" s="888">
        <v>44562</v>
      </c>
      <c r="L349" s="889">
        <v>44926</v>
      </c>
      <c r="M349" s="887"/>
      <c r="N349" s="887"/>
      <c r="O349" s="887"/>
      <c r="P349" s="887"/>
      <c r="Q349" s="890" t="s">
        <v>41</v>
      </c>
      <c r="R349" s="887">
        <v>2</v>
      </c>
      <c r="S349" s="887">
        <v>2</v>
      </c>
      <c r="T349" s="448">
        <v>1</v>
      </c>
      <c r="U349" s="887"/>
      <c r="V349" s="887"/>
      <c r="W349" s="887"/>
      <c r="X349" s="887">
        <v>1</v>
      </c>
      <c r="Y349" s="887"/>
      <c r="Z349" s="887"/>
      <c r="AA349" s="887">
        <v>1</v>
      </c>
      <c r="AB349" s="887"/>
      <c r="AC349" s="887"/>
      <c r="AD349" s="887"/>
      <c r="AE349" s="887">
        <v>3</v>
      </c>
      <c r="AF349" s="887"/>
      <c r="AG349" s="887"/>
      <c r="AH349" s="887"/>
      <c r="AI349" s="887"/>
      <c r="AJ349" s="887"/>
      <c r="AK349" s="887"/>
      <c r="AL349" s="887"/>
      <c r="AM349" s="887"/>
      <c r="AN349" s="887"/>
      <c r="AO349" s="448"/>
      <c r="AP349" s="891"/>
      <c r="AQ349" s="887">
        <v>8</v>
      </c>
      <c r="AR349" s="887">
        <v>4</v>
      </c>
      <c r="AS349" s="892" t="s">
        <v>2684</v>
      </c>
      <c r="AT349" s="887"/>
      <c r="AU349" s="887">
        <v>3</v>
      </c>
      <c r="AV349" s="887"/>
      <c r="AW349" s="887"/>
      <c r="AX349" s="887"/>
      <c r="AY349" s="886" t="s">
        <v>41</v>
      </c>
      <c r="AZ349" s="891" t="s">
        <v>137</v>
      </c>
      <c r="BA349" s="887"/>
      <c r="BB349" s="887">
        <v>2</v>
      </c>
      <c r="BC349" s="887"/>
      <c r="BD349" s="448"/>
      <c r="BE349" s="448">
        <v>1</v>
      </c>
      <c r="BF349" s="886"/>
      <c r="BG349" s="887">
        <v>5</v>
      </c>
      <c r="BH349" s="887"/>
      <c r="BI349" s="887"/>
      <c r="BJ349" s="887">
        <v>2</v>
      </c>
      <c r="BK349" s="887"/>
      <c r="BL349" s="887">
        <v>1</v>
      </c>
      <c r="BM349" s="887">
        <v>25</v>
      </c>
      <c r="BN349" s="887">
        <v>47</v>
      </c>
      <c r="BO349" s="887"/>
      <c r="BP349" s="886"/>
      <c r="BQ349" s="893"/>
      <c r="BR349" s="892"/>
      <c r="BS349" s="886" t="s">
        <v>3068</v>
      </c>
      <c r="BT349" s="423">
        <v>0.7</v>
      </c>
      <c r="BU349" s="423"/>
      <c r="BV349" s="425">
        <v>7</v>
      </c>
      <c r="BW349" s="423">
        <v>0.8</v>
      </c>
      <c r="BX349" s="448"/>
      <c r="BY349" s="448"/>
      <c r="BZ349" s="448"/>
      <c r="CA349" s="448"/>
      <c r="CB349" s="448"/>
      <c r="CC349" s="777"/>
      <c r="CD349" s="448"/>
      <c r="CE349" s="894" t="str">
        <f>IFERROR(WWWW[[#This Row],['#_Water sources passed]]/WWWW[[#This Row],['#_Water sources tested for fecal coliform ]],"no test")</f>
        <v>no test</v>
      </c>
      <c r="CF349" s="892" t="str">
        <f>IFERROR(WWWW[[#This Row],['#_Household passed]]/WWWW[[#This Row],['#_Household water samples tested for fecal coliform]],"no test")</f>
        <v>no test</v>
      </c>
      <c r="CG349" s="893" t="str">
        <f>IF(AND(WWWW[[#This Row],[% of water sources passed]]="no test",WWWW[[#This Row],[% Household passed]]="no test"),"No Test","Tested")</f>
        <v>No Test</v>
      </c>
      <c r="CH349" s="893">
        <f>WWWW[[#This Row],['#_Constructed/existing protected hand dug well]]-WWWW[[#This Row],['#_Non-functional protected hand dug well]]</f>
        <v>1</v>
      </c>
      <c r="CI349" s="893">
        <f>(WWWW[[#This Row],['#_Constructed/Existing tube wells/boreholes/handpumps_WASH_agency]]+WWWW[[#This Row],['#_Non-Cluster partner water tube-wells/boreholes/handpumps]])-WWWW[[#This Row],['#_Non-functional tube wells/boreholes/handpumps]]</f>
        <v>1</v>
      </c>
      <c r="CJ349" s="893">
        <f>WWWW[[#This Row],['#_Constructed/Existingwater storage tank with gravity fed reticulation system]]-WWWW[[#This Row],['#_Non-functional storage tank gravity fed reticulation system]]</f>
        <v>1</v>
      </c>
      <c r="CK349" s="893">
        <f>(WWWW[[#This Row],['#_Water_Liters_supplied_by_Water boating or water trucking]]/90)/15</f>
        <v>0</v>
      </c>
      <c r="CL349" s="893">
        <f>WWWW[[#This Row],['#_Water_Liters_from_Constructed/Existing water distribution system from river or natural spring]]/90/15</f>
        <v>0</v>
      </c>
      <c r="CM349" s="424">
        <f>IF(WWWW[[#This Row],['#_of water points in TLS/CFS]]*500&gt;WWWW[[#This Row],[Total PoP ]],WWWW[[#This Row],[Total PoP ]],WWWW[[#This Row],['#_of water points in TLS/CFS]]*500)</f>
        <v>0</v>
      </c>
      <c r="CN349" s="424">
        <f>IF(WWWW[[#This Row],['#_of water points in THF]]*500&gt;WWWW[[#This Row],[Total PoP ]],WWWW[[#This Row],[Total PoP ]],WWWW[[#This Row],['#_of water points in THF]]*500)</f>
        <v>0</v>
      </c>
      <c r="CO34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9" s="892">
        <f>IF(WWWW[[#This Row],[Location Type 1]]="Village",WWWW[[#This Row],[Access to safe drinking water for Village]],WWWW[[#This Row],[Access to safe drinking water for Camp]])</f>
        <v>1</v>
      </c>
      <c r="CR349" s="890">
        <f>WWWW[[#This Row],[%Equitable and continuous access to sufficient quantity of safe drinking water]]*WWWW[[#This Row],[Total PoP ]]</f>
        <v>133</v>
      </c>
      <c r="CS349" s="892">
        <f>IF((WWWW[[#This Row],['#_Constructed/Existing protected/fenced ponds]]*250)/WWWW[[#This Row],[Total PoP ]]&gt;1,1,(WWWW[[#This Row],['#_Constructed/Existing protected/fenced ponds]]*250)/WWWW[[#This Row],[Total PoP ]])</f>
        <v>1</v>
      </c>
      <c r="CT349" s="890">
        <f>WWWW[[#This Row],[% Access to unimproved water points]]*WWWW[[#This Row],[Total PoP ]]</f>
        <v>133</v>
      </c>
      <c r="CU34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W349" s="890">
        <f>WWWW[[#This Row],[HRP1]]/500</f>
        <v>0.26600000000000001</v>
      </c>
      <c r="CX349" s="895">
        <f>1-WWWW[[#This Row],[% Equitable and continuous access to sufficient quantity of domestic water]]</f>
        <v>0</v>
      </c>
      <c r="CY349" s="890">
        <f>WWWW[[#This Row],[%equitable and continuous access to sufficient quantity of safe drinking and domestic water''s GAP]]*WWWW[[#This Row],[Total PoP ]]</f>
        <v>0</v>
      </c>
      <c r="CZ349" s="893">
        <f>IF(WWWW[[#This Row],[Total required water points]]-WWWW[[#This Row],['#Water points coverage]]&lt;0,0,WWWW[[#This Row],[Total required water points]]-WWWW[[#This Row],['#Water points coverage]])</f>
        <v>0.73399999999999999</v>
      </c>
      <c r="DA349" s="893">
        <f>ROUND(IF(WWWW[[#This Row],[Total PoP ]]&lt;500,1,WWWW[[#This Row],[Total PoP ]]/500),0)</f>
        <v>1</v>
      </c>
      <c r="DB349" s="893">
        <f>(WWWW[[#This Row],['#_Constructed latrines_by_WASHAgencies]]+WWWW[[#This Row],['#_Non Cluster partner latrines]])-WWWW[[#This Row],['#_Non-functional latrines]]</f>
        <v>12</v>
      </c>
      <c r="DC349" s="631">
        <f>WWWW[[#This Row],[HRP2]]/WWWW[[#This Row],[Total PoP ]]</f>
        <v>1</v>
      </c>
      <c r="DD34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133</v>
      </c>
      <c r="DE34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9" s="424">
        <f>IF(WWWW[[#This Row],['# of functional latrines in THF supported by WASH partners during the reporting period2]]="",0,WWWW[[#This Row],['# of functional latrines in THF supported by WASH partners during the reporting period2]]*50)</f>
        <v>0</v>
      </c>
      <c r="DH349" s="893">
        <f>ROUND(IF(WWWW[[#This Row],[Location Type 1]]="camp",WWWW[[#This Row],[Total PoP ]]/20,IF(WWWW[[#This Row],[Location Type 1]]="Temporary Location",WWWW[[#This Row],[Total PoP ]]/50,(WWWW[[#This Row],[Total PoP ]]/6))),0)</f>
        <v>7</v>
      </c>
      <c r="DI349" s="893">
        <f>IF(WWWW[[#This Row],[Total required Latrines]]-(WWWW[[#This Row],['#_Constructed latrines_by_WASHAgencies]]+WWWW[[#This Row],['#_Non Cluster partner latrines]])&lt;0,0,WWWW[[#This Row],[Total required Latrines]]-(WWWW[[#This Row],['#_Constructed latrines_by_WASHAgencies]]+WWWW[[#This Row],['#_Non Cluster partner latrines]]))</f>
        <v>0</v>
      </c>
      <c r="DJ349" s="895">
        <f>1-WWWW[[#This Row],[% people access to functioning Latrine]]</f>
        <v>0</v>
      </c>
      <c r="DK349" s="894">
        <f>IF(OR(WWWW[[#This Row],['#_Non-functional latrines]]="",WWWW[[#This Row],['#_Non-functional latrines]]=0),0,WWWW[[#This Row],['#_Non-functional latrines]]/(WWWW[[#This Row],['#_Constructed latrines_by_WASHAgencies]]+WWWW[[#This Row],['#_Non Cluster partner latrines]]))</f>
        <v>0</v>
      </c>
      <c r="DL349" s="890">
        <f>IF(500*(WWWW[[#This Row],['#_male hygiene promoters]]+WWWW[[#This Row],['#_female hygiene promoters]])&gt;WWWW[[#This Row],[Total PoP ]],WWWW[[#This Row],[Total PoP ]],500*(WWWW[[#This Row],['#_male hygiene promoters]]+WWWW[[#This Row],['#_female hygiene promoters]]))</f>
        <v>133</v>
      </c>
      <c r="DM34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133</v>
      </c>
      <c r="DN34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9" s="893">
        <f>IF(WWWW[[#This Row],['# People with access to soap]]&gt;WWWW[[#This Row],['# People with access to Sanity Pads]],WWWW[[#This Row],['# People with access to soap]],WWWW[[#This Row],['# People with access to Sanity Pads]])</f>
        <v>133</v>
      </c>
      <c r="DP349" s="893">
        <f>IF(WWWW[[#This Row],['# people reached by regular dedicated hygiene promotion_5]]&gt;WWWW[[#This Row],['# People received regular supply of hygiene items_6]],WWWW[[#This Row],['# people reached by regular dedicated hygiene promotion_5]],WWWW[[#This Row],['# People received regular supply of hygiene items_6]])</f>
        <v>133</v>
      </c>
      <c r="DQ349" s="895">
        <f>IF(WWWW[[#This Row],[HRP3]]/WWWW[[#This Row],[Total PoP ]]&gt;1,1,WWWW[[#This Row],[HRP3]]/WWWW[[#This Row],[Total PoP ]])</f>
        <v>1</v>
      </c>
      <c r="DR349" s="894">
        <f>1-WWWW[[#This Row],[Hygiene Coverage%]]</f>
        <v>0</v>
      </c>
      <c r="DS349" s="892">
        <f>WWWW[[#This Row],['# people reached by regular dedicated hygiene promotion_5]]/WWWW[[#This Row],[Total PoP ]]</f>
        <v>1</v>
      </c>
      <c r="DT34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9" s="893">
        <f>WWWW[[#This Row],['#_Constructed/Existing hand washing stations]]-WWWW[[#This Row],['#_Non-Functional_hand_washing_stations]]</f>
        <v>5</v>
      </c>
      <c r="DW349" s="890">
        <f>IF(WWWW[[#This Row],['# Functional hand washing stations during reporting period]]*20&gt;WWWW[[#This Row],[Total HH]],WWWW[[#This Row],[Total HH]],WWWW[[#This Row],['# Functional hand washing stations during reporting period]]*20)</f>
        <v>25</v>
      </c>
      <c r="DX349" s="890">
        <f>IF(WWWW[[#This Row],[Is sufficient soap available for TLS? (Yes/No)]]="yes",WWWW[[#This Row],['#_Constructed/Existing hand washing stations at TLS/CFS/THF]],0)</f>
        <v>0</v>
      </c>
      <c r="DY349" s="428">
        <f>IF(WWWW[[#This Row],['# Functional hand washing stations during reporting period]]*100&gt;WWWW[[#This Row],[Total PoP ]],WWWW[[#This Row],[Total PoP ]],WWWW[[#This Row],['# Functional hand washing stations during reporting period]]*100)</f>
        <v>133</v>
      </c>
      <c r="DZ349" s="428" t="str">
        <f>IF(OR(WWWW[[#This Row],['#_students at TLS_CFS]]="",WWWW[[#This Row],['#_students at TLS_CFS]]=0),"No","Yes")</f>
        <v>No</v>
      </c>
      <c r="EA349" s="631">
        <f>IF(WWWW[[#This Row],['#_of_affected_people_surveyed_who_report_feeling_informed_about_the_different_WASH_services_available_to_them]]="","",WWWW[[#This Row],['#_of_affected_people_surveyed_who_report_feeling_informed_about_the_different_WASH_services_available_to_them]]/WWWW[[#This Row],[Total PoP ]])</f>
        <v>5.2631578947368418E-2</v>
      </c>
      <c r="EB34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9" s="886" t="str">
        <f>VLOOKUP(WWWW[[#This Row],[Site Name]],SiteDB6[[Site Name]:[CCCM Management]],6,FALSE)</f>
        <v>Yes</v>
      </c>
      <c r="EF349" s="886" t="str">
        <f>VLOOKUP(WWWW[[#This Row],[Site Name]],SiteDB6[[Site Name]:[CCCM Focal Agency]],7,FALSE)</f>
        <v>KBC-MYT</v>
      </c>
      <c r="EG349" s="886" t="str">
        <f>VLOOKUP(WWWW[[#This Row],[Site Name]],SiteDB6[[Site Name]:[Location Type 1]],9,FALSE)</f>
        <v>Camp</v>
      </c>
      <c r="EH349" s="886" t="str">
        <f>VLOOKUP(WWWW[[#This Row],[Site Name]],SiteDB6[[Site Name]:[Type of Accommodation]],10,FALSE)</f>
        <v>Camp</v>
      </c>
      <c r="EI349" s="886" t="str">
        <f>VLOOKUP(WWWW[[#This Row],[Site Name]],SiteDB6[[Site Name]:[Ethnic or GCA/NGCA]],11,FALSE)</f>
        <v>GCA</v>
      </c>
      <c r="EJ349" s="886">
        <f>VLOOKUP(WWWW[[#This Row],[Site Name]],SiteDB6[[Site Name]:[Lat]],12,FALSE)</f>
        <v>25.577559999999998</v>
      </c>
      <c r="EK349" s="886">
        <f>VLOOKUP(WWWW[[#This Row],[Site Name]],SiteDB6[[Site Name]:[Long]],13,FALSE)</f>
        <v>96.286680000000004</v>
      </c>
      <c r="EL349" s="886" t="str">
        <f>VLOOKUP(WWWW[[#This Row],[Site Name]],SiteDB6[[Site Name]:[Pcode]],3,FALSE)</f>
        <v>MMR001CMP184</v>
      </c>
      <c r="EM349" s="891" t="str">
        <f t="shared" si="5"/>
        <v>Covered</v>
      </c>
      <c r="EN349" s="891"/>
      <c r="EO349" s="886">
        <f>VLOOKUP(WWWW[[#This Row],[Site Name]],SiteDB6[[Site Name]:[Pop
(Kachin/Shan-CCCM as of July 2021)]],16,FALSE)</f>
        <v>25</v>
      </c>
      <c r="EP349" s="886">
        <f>VLOOKUP(WWWW[[#This Row],[Site Name]],SiteDB6[[Site Name]:[Pop
(Kachin/Shan-CCCM as of July 2021)]],17,FALSE)</f>
        <v>133</v>
      </c>
    </row>
    <row r="350" spans="1:146" hidden="1">
      <c r="A350" s="884" t="s">
        <v>2764</v>
      </c>
      <c r="B350" s="884" t="s">
        <v>192</v>
      </c>
      <c r="C350" s="885" t="s">
        <v>192</v>
      </c>
      <c r="D350" s="885" t="s">
        <v>3050</v>
      </c>
      <c r="E350" s="885" t="s">
        <v>37</v>
      </c>
      <c r="F350" s="885" t="s">
        <v>142</v>
      </c>
      <c r="G350" s="591" t="str">
        <f>VLOOKUP(WWWW[[#This Row],[Site Name]],SiteDB6[[Site Name]:[Location Type]],8,FALSE)</f>
        <v>Camp</v>
      </c>
      <c r="H350" s="885" t="s">
        <v>221</v>
      </c>
      <c r="I350" s="887">
        <v>1294</v>
      </c>
      <c r="J350" s="887">
        <v>6861</v>
      </c>
      <c r="K350" s="888" t="s">
        <v>2670</v>
      </c>
      <c r="L350" s="889" t="s">
        <v>2680</v>
      </c>
      <c r="M350" s="887"/>
      <c r="N350" s="887"/>
      <c r="O350" s="887">
        <v>3</v>
      </c>
      <c r="P350" s="887"/>
      <c r="Q350" s="890" t="s">
        <v>41</v>
      </c>
      <c r="R350" s="887">
        <v>3</v>
      </c>
      <c r="S350" s="887">
        <v>3</v>
      </c>
      <c r="T350" s="448"/>
      <c r="U350" s="887"/>
      <c r="V350" s="887"/>
      <c r="W350" s="887"/>
      <c r="X350" s="887"/>
      <c r="Y350" s="887"/>
      <c r="Z350" s="887"/>
      <c r="AA350" s="887">
        <v>1</v>
      </c>
      <c r="AB350" s="887"/>
      <c r="AC350" s="887"/>
      <c r="AD350" s="887"/>
      <c r="AE350" s="887"/>
      <c r="AF350" s="887"/>
      <c r="AG350" s="887"/>
      <c r="AH350" s="887"/>
      <c r="AI350" s="887"/>
      <c r="AJ350" s="887"/>
      <c r="AK350" s="887"/>
      <c r="AL350" s="887"/>
      <c r="AM350" s="887">
        <v>12</v>
      </c>
      <c r="AN350" s="887">
        <v>3</v>
      </c>
      <c r="AO350" s="448"/>
      <c r="AP350" s="891"/>
      <c r="AQ350" s="887">
        <v>242</v>
      </c>
      <c r="AR350" s="887"/>
      <c r="AS350" s="892"/>
      <c r="AT350" s="887"/>
      <c r="AU350" s="887"/>
      <c r="AV350" s="887"/>
      <c r="AW350" s="887"/>
      <c r="AX350" s="887"/>
      <c r="AY350" s="886" t="s">
        <v>41</v>
      </c>
      <c r="AZ350" s="891" t="s">
        <v>137</v>
      </c>
      <c r="BA350" s="887">
        <v>4</v>
      </c>
      <c r="BB350" s="887">
        <v>2</v>
      </c>
      <c r="BC350" s="887"/>
      <c r="BD350" s="448"/>
      <c r="BE350" s="448"/>
      <c r="BF350" s="886"/>
      <c r="BG350" s="887">
        <v>1</v>
      </c>
      <c r="BH350" s="887"/>
      <c r="BI350" s="887"/>
      <c r="BJ350" s="887">
        <v>1</v>
      </c>
      <c r="BK350" s="887"/>
      <c r="BL350" s="887"/>
      <c r="BM350" s="887">
        <v>3</v>
      </c>
      <c r="BN350" s="887"/>
      <c r="BO350" s="887"/>
      <c r="BP350" s="886"/>
      <c r="BQ350" s="893"/>
      <c r="BR350" s="892"/>
      <c r="BS350" s="886"/>
      <c r="BT350" s="423"/>
      <c r="BU350" s="423"/>
      <c r="BV350" s="425"/>
      <c r="BW350" s="423"/>
      <c r="BX350" s="448"/>
      <c r="BY350" s="448"/>
      <c r="BZ350" s="448"/>
      <c r="CA350" s="448"/>
      <c r="CB350" s="448"/>
      <c r="CC350" s="777"/>
      <c r="CD350" s="448"/>
      <c r="CE350" s="894" t="str">
        <f>IFERROR(WWWW[[#This Row],['#_Water sources passed]]/WWWW[[#This Row],['#_Water sources tested for fecal coliform ]],"no test")</f>
        <v>no test</v>
      </c>
      <c r="CF350" s="892" t="str">
        <f>IFERROR(WWWW[[#This Row],['#_Household passed]]/WWWW[[#This Row],['#_Household water samples tested for fecal coliform]],"no test")</f>
        <v>no test</v>
      </c>
      <c r="CG350" s="893" t="str">
        <f>IF(AND(WWWW[[#This Row],[% of water sources passed]]="no test",WWWW[[#This Row],[% Household passed]]="no test"),"No Test","Tested")</f>
        <v>No Test</v>
      </c>
      <c r="CH350" s="893">
        <f>WWWW[[#This Row],['#_Constructed/existing protected hand dug well]]-WWWW[[#This Row],['#_Non-functional protected hand dug well]]</f>
        <v>0</v>
      </c>
      <c r="CI350" s="893">
        <f>(WWWW[[#This Row],['#_Constructed/Existing tube wells/boreholes/handpumps_WASH_agency]]+WWWW[[#This Row],['#_Non-Cluster partner water tube-wells/boreholes/handpumps]])-WWWW[[#This Row],['#_Non-functional tube wells/boreholes/handpumps]]</f>
        <v>0</v>
      </c>
      <c r="CJ350" s="893">
        <f>WWWW[[#This Row],['#_Constructed/Existingwater storage tank with gravity fed reticulation system]]-WWWW[[#This Row],['#_Non-functional storage tank gravity fed reticulation system]]</f>
        <v>1</v>
      </c>
      <c r="CK350" s="893">
        <f>(WWWW[[#This Row],['#_Water_Liters_supplied_by_Water boating or water trucking]]/90)/15</f>
        <v>0</v>
      </c>
      <c r="CL350" s="893">
        <f>WWWW[[#This Row],['#_Water_Liters_from_Constructed/Existing water distribution system from river or natural spring]]/90/15</f>
        <v>0</v>
      </c>
      <c r="CM350" s="424">
        <f>IF(WWWW[[#This Row],['#_of water points in TLS/CFS]]*500&gt;WWWW[[#This Row],[Total PoP ]],WWWW[[#This Row],[Total PoP ]],WWWW[[#This Row],['#_of water points in TLS/CFS]]*500)</f>
        <v>1500</v>
      </c>
      <c r="CN350" s="424">
        <f>IF(WWWW[[#This Row],['#_of water points in THF]]*500&gt;WWWW[[#This Row],[Total PoP ]],WWWW[[#This Row],[Total PoP ]],WWWW[[#This Row],['#_of water points in THF]]*500)</f>
        <v>0</v>
      </c>
      <c r="CO35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9.7167565466647239E-3</v>
      </c>
      <c r="CP35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9.7167565466647239E-3</v>
      </c>
      <c r="CQ350" s="892">
        <f>IF(WWWW[[#This Row],[Location Type 1]]="Village",WWWW[[#This Row],[Access to safe drinking water for Village]],WWWW[[#This Row],[Access to safe drinking water for Camp]])</f>
        <v>9.7167565466647239E-3</v>
      </c>
      <c r="CR350" s="890">
        <f>WWWW[[#This Row],[%Equitable and continuous access to sufficient quantity of safe drinking water]]*WWWW[[#This Row],[Total PoP ]]</f>
        <v>66.666666666666671</v>
      </c>
      <c r="CS350" s="892">
        <f>IF((WWWW[[#This Row],['#_Constructed/Existing protected/fenced ponds]]*250)/WWWW[[#This Row],[Total PoP ]]&gt;1,1,(WWWW[[#This Row],['#_Constructed/Existing protected/fenced ponds]]*250)/WWWW[[#This Row],[Total PoP ]])</f>
        <v>0</v>
      </c>
      <c r="CT350" s="890">
        <f>WWWW[[#This Row],[% Access to unimproved water points]]*WWWW[[#This Row],[Total PoP ]]</f>
        <v>0</v>
      </c>
      <c r="CU35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9.7167565466647239E-3</v>
      </c>
      <c r="CV35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W350" s="890">
        <f>WWWW[[#This Row],[HRP1]]/500</f>
        <v>0.13333333333333333</v>
      </c>
      <c r="CX350" s="895">
        <f>1-WWWW[[#This Row],[% Equitable and continuous access to sufficient quantity of domestic water]]</f>
        <v>0.99028324345333529</v>
      </c>
      <c r="CY350" s="890">
        <f>WWWW[[#This Row],[%equitable and continuous access to sufficient quantity of safe drinking and domestic water''s GAP]]*WWWW[[#This Row],[Total PoP ]]</f>
        <v>6794.333333333333</v>
      </c>
      <c r="CZ350" s="893">
        <f>IF(WWWW[[#This Row],[Total required water points]]-WWWW[[#This Row],['#Water points coverage]]&lt;0,0,WWWW[[#This Row],[Total required water points]]-WWWW[[#This Row],['#Water points coverage]])</f>
        <v>13.866666666666667</v>
      </c>
      <c r="DA350" s="893">
        <f>ROUND(IF(WWWW[[#This Row],[Total PoP ]]&lt;500,1,WWWW[[#This Row],[Total PoP ]]/500),0)</f>
        <v>14</v>
      </c>
      <c r="DB350" s="893">
        <f>(WWWW[[#This Row],['#_Constructed latrines_by_WASHAgencies]]+WWWW[[#This Row],['#_Non Cluster partner latrines]])-WWWW[[#This Row],['#_Non-functional latrines]]</f>
        <v>242</v>
      </c>
      <c r="DC350" s="631">
        <f>WWWW[[#This Row],[HRP2]]/WWWW[[#This Row],[Total PoP ]]</f>
        <v>0.71709663314385663</v>
      </c>
      <c r="DD35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4920</v>
      </c>
      <c r="DE35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0" s="424">
        <f>IF(WWWW[[#This Row],['# of functional latrines in THF supported by WASH partners during the reporting period2]]="",0,WWWW[[#This Row],['# of functional latrines in THF supported by WASH partners during the reporting period2]]*50)</f>
        <v>0</v>
      </c>
      <c r="DH350" s="893">
        <f>ROUND(IF(WWWW[[#This Row],[Location Type 1]]="camp",WWWW[[#This Row],[Total PoP ]]/20,IF(WWWW[[#This Row],[Location Type 1]]="Temporary Location",WWWW[[#This Row],[Total PoP ]]/50,(WWWW[[#This Row],[Total PoP ]]/6))),0)</f>
        <v>343</v>
      </c>
      <c r="DI350" s="893">
        <f>IF(WWWW[[#This Row],[Total required Latrines]]-(WWWW[[#This Row],['#_Constructed latrines_by_WASHAgencies]]+WWWW[[#This Row],['#_Non Cluster partner latrines]])&lt;0,0,WWWW[[#This Row],[Total required Latrines]]-(WWWW[[#This Row],['#_Constructed latrines_by_WASHAgencies]]+WWWW[[#This Row],['#_Non Cluster partner latrines]]))</f>
        <v>101</v>
      </c>
      <c r="DJ350" s="895">
        <f>1-WWWW[[#This Row],[% people access to functioning Latrine]]</f>
        <v>0.28290336685614337</v>
      </c>
      <c r="DK350" s="894">
        <f>IF(OR(WWWW[[#This Row],['#_Non-functional latrines]]="",WWWW[[#This Row],['#_Non-functional latrines]]=0),0,WWWW[[#This Row],['#_Non-functional latrines]]/(WWWW[[#This Row],['#_Constructed latrines_by_WASHAgencies]]+WWWW[[#This Row],['#_Non Cluster partner latrines]]))</f>
        <v>0</v>
      </c>
      <c r="DL350" s="890">
        <f>IF(500*(WWWW[[#This Row],['#_male hygiene promoters]]+WWWW[[#This Row],['#_female hygiene promoters]])&gt;WWWW[[#This Row],[Total PoP ]],WWWW[[#This Row],[Total PoP ]],500*(WWWW[[#This Row],['#_male hygiene promoters]]+WWWW[[#This Row],['#_female hygiene promoters]]))</f>
        <v>1500</v>
      </c>
      <c r="DM35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5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0" s="893">
        <f>IF(WWWW[[#This Row],['# People with access to soap]]&gt;WWWW[[#This Row],['# People with access to Sanity Pads]],WWWW[[#This Row],['# People with access to soap]],WWWW[[#This Row],['# People with access to Sanity Pads]])</f>
        <v>0</v>
      </c>
      <c r="DP350" s="893">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DQ350" s="895">
        <f>IF(WWWW[[#This Row],[HRP3]]/WWWW[[#This Row],[Total PoP ]]&gt;1,1,WWWW[[#This Row],[HRP3]]/WWWW[[#This Row],[Total PoP ]])</f>
        <v>0.21862702229995629</v>
      </c>
      <c r="DR350" s="894">
        <f>1-WWWW[[#This Row],[Hygiene Coverage%]]</f>
        <v>0.78137297770004377</v>
      </c>
      <c r="DS350" s="892">
        <f>WWWW[[#This Row],['# people reached by regular dedicated hygiene promotion_5]]/WWWW[[#This Row],[Total PoP ]]</f>
        <v>0.21862702229995629</v>
      </c>
      <c r="DT35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5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0" s="893">
        <f>WWWW[[#This Row],['#_Constructed/Existing hand washing stations]]-WWWW[[#This Row],['#_Non-Functional_hand_washing_stations]]</f>
        <v>1</v>
      </c>
      <c r="DW350" s="890">
        <f>IF(WWWW[[#This Row],['# Functional hand washing stations during reporting period]]*20&gt;WWWW[[#This Row],[Total HH]],WWWW[[#This Row],[Total HH]],WWWW[[#This Row],['# Functional hand washing stations during reporting period]]*20)</f>
        <v>20</v>
      </c>
      <c r="DX350" s="890">
        <f>IF(WWWW[[#This Row],[Is sufficient soap available for TLS? (Yes/No)]]="yes",WWWW[[#This Row],['#_Constructed/Existing hand washing stations at TLS/CFS/THF]],0)</f>
        <v>0</v>
      </c>
      <c r="DY350" s="428">
        <f>IF(WWWW[[#This Row],['# Functional hand washing stations during reporting period]]*100&gt;WWWW[[#This Row],[Total PoP ]],WWWW[[#This Row],[Total PoP ]],WWWW[[#This Row],['# Functional hand washing stations during reporting period]]*100)</f>
        <v>100</v>
      </c>
      <c r="DZ350" s="428" t="str">
        <f>IF(OR(WWWW[[#This Row],['#_students at TLS_CFS]]="",WWWW[[#This Row],['#_students at TLS_CFS]]=0),"No","Yes")</f>
        <v>No</v>
      </c>
      <c r="EA35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35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0" s="886" t="str">
        <f>VLOOKUP(WWWW[[#This Row],[Site Name]],SiteDB6[[Site Name]:[CCCM Management]],6,FALSE)</f>
        <v>Yes</v>
      </c>
      <c r="EF350" s="886" t="str">
        <f>VLOOKUP(WWWW[[#This Row],[Site Name]],SiteDB6[[Site Name]:[CCCM Focal Agency]],7,FALSE)</f>
        <v>KMSS-MYT</v>
      </c>
      <c r="EG350" s="886" t="str">
        <f>VLOOKUP(WWWW[[#This Row],[Site Name]],SiteDB6[[Site Name]:[Location Type 1]],9,FALSE)</f>
        <v>Camp</v>
      </c>
      <c r="EH350" s="886" t="str">
        <f>VLOOKUP(WWWW[[#This Row],[Site Name]],SiteDB6[[Site Name]:[Type of Accommodation]],10,FALSE)</f>
        <v>Camp</v>
      </c>
      <c r="EI350" s="886" t="str">
        <f>VLOOKUP(WWWW[[#This Row],[Site Name]],SiteDB6[[Site Name]:[Ethnic or GCA/NGCA]],11,FALSE)</f>
        <v>NGCA</v>
      </c>
      <c r="EJ350" s="886">
        <f>VLOOKUP(WWWW[[#This Row],[Site Name]],SiteDB6[[Site Name]:[Lat]],12,FALSE)</f>
        <v>24.755253</v>
      </c>
      <c r="EK350" s="886">
        <f>VLOOKUP(WWWW[[#This Row],[Site Name]],SiteDB6[[Site Name]:[Long]],13,FALSE)</f>
        <v>97.546893999999995</v>
      </c>
      <c r="EL350" s="886" t="str">
        <f>VLOOKUP(WWWW[[#This Row],[Site Name]],SiteDB6[[Site Name]:[Pcode]],3,FALSE)</f>
        <v>MMR001CMP116</v>
      </c>
      <c r="EM350" s="891" t="str">
        <f t="shared" si="5"/>
        <v>Covered</v>
      </c>
      <c r="EN350" s="891"/>
      <c r="EO350" s="886">
        <f>VLOOKUP(WWWW[[#This Row],[Site Name]],SiteDB6[[Site Name]:[Pop
(Kachin/Shan-CCCM as of July 2021)]],16,FALSE)</f>
        <v>1333</v>
      </c>
      <c r="EP350" s="886">
        <f>VLOOKUP(WWWW[[#This Row],[Site Name]],SiteDB6[[Site Name]:[Pop
(Kachin/Shan-CCCM as of July 2021)]],17,FALSE)</f>
        <v>7163</v>
      </c>
    </row>
    <row r="351" spans="1:146" hidden="1">
      <c r="A351" s="884" t="s">
        <v>2764</v>
      </c>
      <c r="B351" s="884" t="s">
        <v>192</v>
      </c>
      <c r="C351" s="885" t="s">
        <v>192</v>
      </c>
      <c r="D351" s="885" t="s">
        <v>3050</v>
      </c>
      <c r="E351" s="885" t="s">
        <v>37</v>
      </c>
      <c r="F351" s="885" t="s">
        <v>142</v>
      </c>
      <c r="G351" s="591" t="str">
        <f>VLOOKUP(WWWW[[#This Row],[Site Name]],SiteDB6[[Site Name]:[Location Type]],8,FALSE)</f>
        <v>Camp_not registered</v>
      </c>
      <c r="H351" s="885" t="s">
        <v>223</v>
      </c>
      <c r="I351" s="887">
        <v>134</v>
      </c>
      <c r="J351" s="887">
        <v>709</v>
      </c>
      <c r="K351" s="888" t="s">
        <v>2670</v>
      </c>
      <c r="L351" s="889" t="s">
        <v>2680</v>
      </c>
      <c r="M351" s="887"/>
      <c r="N351" s="887"/>
      <c r="O351" s="887"/>
      <c r="P351" s="887"/>
      <c r="Q351" s="428" t="s">
        <v>136</v>
      </c>
      <c r="R351" s="887"/>
      <c r="S351" s="887"/>
      <c r="T351" s="448"/>
      <c r="U351" s="887"/>
      <c r="V351" s="887"/>
      <c r="W351" s="887"/>
      <c r="X351" s="887"/>
      <c r="Y351" s="887"/>
      <c r="Z351" s="887"/>
      <c r="AA351" s="887"/>
      <c r="AB351" s="887"/>
      <c r="AC351" s="887"/>
      <c r="AD351" s="887"/>
      <c r="AE351" s="887"/>
      <c r="AF351" s="887"/>
      <c r="AG351" s="887"/>
      <c r="AH351" s="887"/>
      <c r="AI351" s="887"/>
      <c r="AJ351" s="887"/>
      <c r="AK351" s="887"/>
      <c r="AL351" s="887"/>
      <c r="AM351" s="887"/>
      <c r="AN351" s="887"/>
      <c r="AO351" s="448"/>
      <c r="AP351" s="891"/>
      <c r="AQ351" s="887"/>
      <c r="AR351" s="887"/>
      <c r="AS351" s="892"/>
      <c r="AT351" s="887"/>
      <c r="AU351" s="887"/>
      <c r="AV351" s="887"/>
      <c r="AW351" s="887"/>
      <c r="AX351" s="887"/>
      <c r="AY351" s="886" t="s">
        <v>41</v>
      </c>
      <c r="AZ351" s="891" t="s">
        <v>904</v>
      </c>
      <c r="BA351" s="887"/>
      <c r="BB351" s="887"/>
      <c r="BC351" s="887"/>
      <c r="BD351" s="448"/>
      <c r="BE351" s="448"/>
      <c r="BF351" s="886"/>
      <c r="BG351" s="887">
        <v>8</v>
      </c>
      <c r="BH351" s="887"/>
      <c r="BI351" s="887"/>
      <c r="BJ351" s="887">
        <v>3</v>
      </c>
      <c r="BK351" s="887"/>
      <c r="BL351" s="887"/>
      <c r="BM351" s="887"/>
      <c r="BN351" s="887"/>
      <c r="BO351" s="887"/>
      <c r="BP351" s="886"/>
      <c r="BQ351" s="893"/>
      <c r="BR351" s="892"/>
      <c r="BS351" s="886"/>
      <c r="BT351" s="423"/>
      <c r="BU351" s="423"/>
      <c r="BV351" s="425"/>
      <c r="BW351" s="423"/>
      <c r="BX351" s="448"/>
      <c r="BY351" s="448"/>
      <c r="BZ351" s="448"/>
      <c r="CA351" s="448"/>
      <c r="CB351" s="448"/>
      <c r="CC351" s="777"/>
      <c r="CD351" s="448"/>
      <c r="CE351" s="894" t="str">
        <f>IFERROR(WWWW[[#This Row],['#_Water sources passed]]/WWWW[[#This Row],['#_Water sources tested for fecal coliform ]],"no test")</f>
        <v>no test</v>
      </c>
      <c r="CF351" s="892" t="str">
        <f>IFERROR(WWWW[[#This Row],['#_Household passed]]/WWWW[[#This Row],['#_Household water samples tested for fecal coliform]],"no test")</f>
        <v>no test</v>
      </c>
      <c r="CG351" s="893" t="str">
        <f>IF(AND(WWWW[[#This Row],[% of water sources passed]]="no test",WWWW[[#This Row],[% Household passed]]="no test"),"No Test","Tested")</f>
        <v>No Test</v>
      </c>
      <c r="CH351" s="893">
        <f>WWWW[[#This Row],['#_Constructed/existing protected hand dug well]]-WWWW[[#This Row],['#_Non-functional protected hand dug well]]</f>
        <v>0</v>
      </c>
      <c r="CI351" s="893">
        <f>(WWWW[[#This Row],['#_Constructed/Existing tube wells/boreholes/handpumps_WASH_agency]]+WWWW[[#This Row],['#_Non-Cluster partner water tube-wells/boreholes/handpumps]])-WWWW[[#This Row],['#_Non-functional tube wells/boreholes/handpumps]]</f>
        <v>0</v>
      </c>
      <c r="CJ351" s="893">
        <f>WWWW[[#This Row],['#_Constructed/Existingwater storage tank with gravity fed reticulation system]]-WWWW[[#This Row],['#_Non-functional storage tank gravity fed reticulation system]]</f>
        <v>0</v>
      </c>
      <c r="CK351" s="893">
        <f>(WWWW[[#This Row],['#_Water_Liters_supplied_by_Water boating or water trucking]]/90)/15</f>
        <v>0</v>
      </c>
      <c r="CL351" s="893">
        <f>WWWW[[#This Row],['#_Water_Liters_from_Constructed/Existing water distribution system from river or natural spring]]/90/15</f>
        <v>0</v>
      </c>
      <c r="CM351" s="424">
        <f>IF(WWWW[[#This Row],['#_of water points in TLS/CFS]]*500&gt;WWWW[[#This Row],[Total PoP ]],WWWW[[#This Row],[Total PoP ]],WWWW[[#This Row],['#_of water points in TLS/CFS]]*500)</f>
        <v>0</v>
      </c>
      <c r="CN351" s="424">
        <f>IF(WWWW[[#This Row],['#_of water points in THF]]*500&gt;WWWW[[#This Row],[Total PoP ]],WWWW[[#This Row],[Total PoP ]],WWWW[[#This Row],['#_of water points in THF]]*500)</f>
        <v>0</v>
      </c>
      <c r="CO35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5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51" s="892">
        <f>IF(WWWW[[#This Row],[Location Type 1]]="Village",WWWW[[#This Row],[Access to safe drinking water for Village]],WWWW[[#This Row],[Access to safe drinking water for Camp]])</f>
        <v>0</v>
      </c>
      <c r="CR351" s="890">
        <f>WWWW[[#This Row],[%Equitable and continuous access to sufficient quantity of safe drinking water]]*WWWW[[#This Row],[Total PoP ]]</f>
        <v>0</v>
      </c>
      <c r="CS351" s="892">
        <f>IF((WWWW[[#This Row],['#_Constructed/Existing protected/fenced ponds]]*250)/WWWW[[#This Row],[Total PoP ]]&gt;1,1,(WWWW[[#This Row],['#_Constructed/Existing protected/fenced ponds]]*250)/WWWW[[#This Row],[Total PoP ]])</f>
        <v>0</v>
      </c>
      <c r="CT351" s="890">
        <f>WWWW[[#This Row],[% Access to unimproved water points]]*WWWW[[#This Row],[Total PoP ]]</f>
        <v>0</v>
      </c>
      <c r="CU35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5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51" s="890">
        <f>WWWW[[#This Row],[HRP1]]/500</f>
        <v>0</v>
      </c>
      <c r="CX351" s="895">
        <f>1-WWWW[[#This Row],[% Equitable and continuous access to sufficient quantity of domestic water]]</f>
        <v>1</v>
      </c>
      <c r="CY351" s="890">
        <f>WWWW[[#This Row],[%equitable and continuous access to sufficient quantity of safe drinking and domestic water''s GAP]]*WWWW[[#This Row],[Total PoP ]]</f>
        <v>709</v>
      </c>
      <c r="CZ351" s="893">
        <f>IF(WWWW[[#This Row],[Total required water points]]-WWWW[[#This Row],['#Water points coverage]]&lt;0,0,WWWW[[#This Row],[Total required water points]]-WWWW[[#This Row],['#Water points coverage]])</f>
        <v>1</v>
      </c>
      <c r="DA351" s="893">
        <f>ROUND(IF(WWWW[[#This Row],[Total PoP ]]&lt;500,1,WWWW[[#This Row],[Total PoP ]]/500),0)</f>
        <v>1</v>
      </c>
      <c r="DB351" s="893">
        <f>(WWWW[[#This Row],['#_Constructed latrines_by_WASHAgencies]]+WWWW[[#This Row],['#_Non Cluster partner latrines]])-WWWW[[#This Row],['#_Non-functional latrines]]</f>
        <v>0</v>
      </c>
      <c r="DC351" s="631">
        <f>WWWW[[#This Row],[HRP2]]/WWWW[[#This Row],[Total PoP ]]</f>
        <v>0</v>
      </c>
      <c r="DD35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5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1" s="424">
        <f>IF(WWWW[[#This Row],['# of functional latrines in THF supported by WASH partners during the reporting period2]]="",0,WWWW[[#This Row],['# of functional latrines in THF supported by WASH partners during the reporting period2]]*50)</f>
        <v>0</v>
      </c>
      <c r="DH351" s="893">
        <f>ROUND(IF(WWWW[[#This Row],[Location Type 1]]="camp",WWWW[[#This Row],[Total PoP ]]/20,IF(WWWW[[#This Row],[Location Type 1]]="Temporary Location",WWWW[[#This Row],[Total PoP ]]/50,(WWWW[[#This Row],[Total PoP ]]/6))),0)</f>
        <v>35</v>
      </c>
      <c r="DI351" s="893">
        <f>IF(WWWW[[#This Row],[Total required Latrines]]-(WWWW[[#This Row],['#_Constructed latrines_by_WASHAgencies]]+WWWW[[#This Row],['#_Non Cluster partner latrines]])&lt;0,0,WWWW[[#This Row],[Total required Latrines]]-(WWWW[[#This Row],['#_Constructed latrines_by_WASHAgencies]]+WWWW[[#This Row],['#_Non Cluster partner latrines]]))</f>
        <v>35</v>
      </c>
      <c r="DJ351" s="895">
        <f>1-WWWW[[#This Row],[% people access to functioning Latrine]]</f>
        <v>1</v>
      </c>
      <c r="DK351" s="894">
        <f>IF(OR(WWWW[[#This Row],['#_Non-functional latrines]]="",WWWW[[#This Row],['#_Non-functional latrines]]=0),0,WWWW[[#This Row],['#_Non-functional latrines]]/(WWWW[[#This Row],['#_Constructed latrines_by_WASHAgencies]]+WWWW[[#This Row],['#_Non Cluster partner latrines]]))</f>
        <v>0</v>
      </c>
      <c r="DL351" s="890">
        <f>IF(500*(WWWW[[#This Row],['#_male hygiene promoters]]+WWWW[[#This Row],['#_female hygiene promoters]])&gt;WWWW[[#This Row],[Total PoP ]],WWWW[[#This Row],[Total PoP ]],500*(WWWW[[#This Row],['#_male hygiene promoters]]+WWWW[[#This Row],['#_female hygiene promoters]]))</f>
        <v>0</v>
      </c>
      <c r="DM35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5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1" s="893">
        <f>IF(WWWW[[#This Row],['# People with access to soap]]&gt;WWWW[[#This Row],['# People with access to Sanity Pads]],WWWW[[#This Row],['# People with access to soap]],WWWW[[#This Row],['# People with access to Sanity Pads]])</f>
        <v>0</v>
      </c>
      <c r="DP351"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51" s="895">
        <f>IF(WWWW[[#This Row],[HRP3]]/WWWW[[#This Row],[Total PoP ]]&gt;1,1,WWWW[[#This Row],[HRP3]]/WWWW[[#This Row],[Total PoP ]])</f>
        <v>0</v>
      </c>
      <c r="DR351" s="894">
        <f>1-WWWW[[#This Row],[Hygiene Coverage%]]</f>
        <v>1</v>
      </c>
      <c r="DS351" s="892">
        <f>WWWW[[#This Row],['# people reached by regular dedicated hygiene promotion_5]]/WWWW[[#This Row],[Total PoP ]]</f>
        <v>0</v>
      </c>
      <c r="DT35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5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1" s="893">
        <f>WWWW[[#This Row],['#_Constructed/Existing hand washing stations]]-WWWW[[#This Row],['#_Non-Functional_hand_washing_stations]]</f>
        <v>8</v>
      </c>
      <c r="DW351" s="890">
        <f>IF(WWWW[[#This Row],['# Functional hand washing stations during reporting period]]*20&gt;WWWW[[#This Row],[Total HH]],WWWW[[#This Row],[Total HH]],WWWW[[#This Row],['# Functional hand washing stations during reporting period]]*20)</f>
        <v>134</v>
      </c>
      <c r="DX351" s="890">
        <f>IF(WWWW[[#This Row],[Is sufficient soap available for TLS? (Yes/No)]]="yes",WWWW[[#This Row],['#_Constructed/Existing hand washing stations at TLS/CFS/THF]],0)</f>
        <v>0</v>
      </c>
      <c r="DY351" s="428">
        <f>IF(WWWW[[#This Row],['# Functional hand washing stations during reporting period]]*100&gt;WWWW[[#This Row],[Total PoP ]],WWWW[[#This Row],[Total PoP ]],WWWW[[#This Row],['# Functional hand washing stations during reporting period]]*100)</f>
        <v>709</v>
      </c>
      <c r="DZ351" s="428" t="str">
        <f>IF(OR(WWWW[[#This Row],['#_students at TLS_CFS]]="",WWWW[[#This Row],['#_students at TLS_CFS]]=0),"No","Yes")</f>
        <v>No</v>
      </c>
      <c r="EA35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1" s="886">
        <f>VLOOKUP(WWWW[[#This Row],[Site Name]],SiteDB6[[Site Name]:[CCCM Management]],6,FALSE)</f>
        <v>0</v>
      </c>
      <c r="EF351" s="886">
        <f>VLOOKUP(WWWW[[#This Row],[Site Name]],SiteDB6[[Site Name]:[CCCM Focal Agency]],7,FALSE)</f>
        <v>0</v>
      </c>
      <c r="EG351" s="886" t="str">
        <f>VLOOKUP(WWWW[[#This Row],[Site Name]],SiteDB6[[Site Name]:[Location Type 1]],9,FALSE)</f>
        <v>Camp</v>
      </c>
      <c r="EH351" s="886" t="str">
        <f>VLOOKUP(WWWW[[#This Row],[Site Name]],SiteDB6[[Site Name]:[Type of Accommodation]],10,FALSE)</f>
        <v>CAMP</v>
      </c>
      <c r="EI351" s="886" t="str">
        <f>VLOOKUP(WWWW[[#This Row],[Site Name]],SiteDB6[[Site Name]:[Ethnic or GCA/NGCA]],11,FALSE)</f>
        <v>NGCA</v>
      </c>
      <c r="EJ351" s="886">
        <f>VLOOKUP(WWWW[[#This Row],[Site Name]],SiteDB6[[Site Name]:[Lat]],12,FALSE)</f>
        <v>0</v>
      </c>
      <c r="EK351" s="886">
        <f>VLOOKUP(WWWW[[#This Row],[Site Name]],SiteDB6[[Site Name]:[Long]],13,FALSE)</f>
        <v>0</v>
      </c>
      <c r="EL351" s="886">
        <f>VLOOKUP(WWWW[[#This Row],[Site Name]],SiteDB6[[Site Name]:[Pcode]],3,FALSE)</f>
        <v>0</v>
      </c>
      <c r="EM351" s="891" t="str">
        <f t="shared" si="5"/>
        <v>Covered</v>
      </c>
      <c r="EN351" s="891"/>
      <c r="EO351" s="886">
        <f>VLOOKUP(WWWW[[#This Row],[Site Name]],SiteDB6[[Site Name]:[Pop
(Kachin/Shan-CCCM as of July 2021)]],16,FALSE)</f>
        <v>0</v>
      </c>
      <c r="EP351" s="886">
        <f>VLOOKUP(WWWW[[#This Row],[Site Name]],SiteDB6[[Site Name]:[Pop
(Kachin/Shan-CCCM as of July 2021)]],17,FALSE)</f>
        <v>0</v>
      </c>
    </row>
    <row r="352" spans="1:146" hidden="1">
      <c r="A352" s="884" t="s">
        <v>2764</v>
      </c>
      <c r="B352" s="884" t="s">
        <v>192</v>
      </c>
      <c r="C352" s="885" t="s">
        <v>192</v>
      </c>
      <c r="D352" s="885" t="s">
        <v>3050</v>
      </c>
      <c r="E352" s="885" t="s">
        <v>37</v>
      </c>
      <c r="F352" s="885" t="s">
        <v>142</v>
      </c>
      <c r="G352" s="591" t="str">
        <f>VLOOKUP(WWWW[[#This Row],[Site Name]],SiteDB6[[Site Name]:[Location Type]],8,FALSE)</f>
        <v>Camp_not registered</v>
      </c>
      <c r="H352" s="885" t="s">
        <v>222</v>
      </c>
      <c r="I352" s="887">
        <v>546</v>
      </c>
      <c r="J352" s="887">
        <v>2550</v>
      </c>
      <c r="K352" s="888" t="s">
        <v>2670</v>
      </c>
      <c r="L352" s="889" t="s">
        <v>2680</v>
      </c>
      <c r="M352" s="887"/>
      <c r="N352" s="887"/>
      <c r="O352" s="887"/>
      <c r="P352" s="887"/>
      <c r="Q352" s="428" t="s">
        <v>136</v>
      </c>
      <c r="R352" s="887"/>
      <c r="S352" s="887"/>
      <c r="T352" s="448"/>
      <c r="U352" s="887"/>
      <c r="V352" s="887"/>
      <c r="W352" s="887"/>
      <c r="X352" s="887"/>
      <c r="Y352" s="887"/>
      <c r="Z352" s="887"/>
      <c r="AA352" s="887"/>
      <c r="AB352" s="887"/>
      <c r="AC352" s="887"/>
      <c r="AD352" s="887"/>
      <c r="AE352" s="887"/>
      <c r="AF352" s="887"/>
      <c r="AG352" s="887"/>
      <c r="AH352" s="887"/>
      <c r="AI352" s="887"/>
      <c r="AJ352" s="887"/>
      <c r="AK352" s="887"/>
      <c r="AL352" s="887"/>
      <c r="AM352" s="887"/>
      <c r="AN352" s="887"/>
      <c r="AO352" s="448"/>
      <c r="AP352" s="891"/>
      <c r="AQ352" s="887"/>
      <c r="AR352" s="887"/>
      <c r="AS352" s="892"/>
      <c r="AT352" s="887"/>
      <c r="AU352" s="887"/>
      <c r="AV352" s="887"/>
      <c r="AW352" s="887"/>
      <c r="AX352" s="887"/>
      <c r="AY352" s="886" t="s">
        <v>136</v>
      </c>
      <c r="AZ352" s="891" t="s">
        <v>136</v>
      </c>
      <c r="BA352" s="887"/>
      <c r="BB352" s="887"/>
      <c r="BC352" s="887"/>
      <c r="BD352" s="448"/>
      <c r="BE352" s="448"/>
      <c r="BF352" s="886"/>
      <c r="BG352" s="887">
        <v>7</v>
      </c>
      <c r="BH352" s="887"/>
      <c r="BI352" s="887"/>
      <c r="BJ352" s="887">
        <v>7</v>
      </c>
      <c r="BK352" s="887"/>
      <c r="BL352" s="887"/>
      <c r="BM352" s="887"/>
      <c r="BN352" s="887"/>
      <c r="BO352" s="887"/>
      <c r="BP352" s="886"/>
      <c r="BQ352" s="893"/>
      <c r="BR352" s="892"/>
      <c r="BS352" s="886"/>
      <c r="BT352" s="423"/>
      <c r="BU352" s="423"/>
      <c r="BV352" s="425"/>
      <c r="BW352" s="423"/>
      <c r="BX352" s="448"/>
      <c r="BY352" s="448"/>
      <c r="BZ352" s="448"/>
      <c r="CA352" s="448"/>
      <c r="CB352" s="448"/>
      <c r="CC352" s="777"/>
      <c r="CD352" s="448"/>
      <c r="CE352" s="894" t="str">
        <f>IFERROR(WWWW[[#This Row],['#_Water sources passed]]/WWWW[[#This Row],['#_Water sources tested for fecal coliform ]],"no test")</f>
        <v>no test</v>
      </c>
      <c r="CF352" s="892" t="str">
        <f>IFERROR(WWWW[[#This Row],['#_Household passed]]/WWWW[[#This Row],['#_Household water samples tested for fecal coliform]],"no test")</f>
        <v>no test</v>
      </c>
      <c r="CG352" s="893" t="str">
        <f>IF(AND(WWWW[[#This Row],[% of water sources passed]]="no test",WWWW[[#This Row],[% Household passed]]="no test"),"No Test","Tested")</f>
        <v>No Test</v>
      </c>
      <c r="CH352" s="893">
        <f>WWWW[[#This Row],['#_Constructed/existing protected hand dug well]]-WWWW[[#This Row],['#_Non-functional protected hand dug well]]</f>
        <v>0</v>
      </c>
      <c r="CI352" s="893">
        <f>(WWWW[[#This Row],['#_Constructed/Existing tube wells/boreholes/handpumps_WASH_agency]]+WWWW[[#This Row],['#_Non-Cluster partner water tube-wells/boreholes/handpumps]])-WWWW[[#This Row],['#_Non-functional tube wells/boreholes/handpumps]]</f>
        <v>0</v>
      </c>
      <c r="CJ352" s="893">
        <f>WWWW[[#This Row],['#_Constructed/Existingwater storage tank with gravity fed reticulation system]]-WWWW[[#This Row],['#_Non-functional storage tank gravity fed reticulation system]]</f>
        <v>0</v>
      </c>
      <c r="CK352" s="893">
        <f>(WWWW[[#This Row],['#_Water_Liters_supplied_by_Water boating or water trucking]]/90)/15</f>
        <v>0</v>
      </c>
      <c r="CL352" s="893">
        <f>WWWW[[#This Row],['#_Water_Liters_from_Constructed/Existing water distribution system from river or natural spring]]/90/15</f>
        <v>0</v>
      </c>
      <c r="CM352" s="424">
        <f>IF(WWWW[[#This Row],['#_of water points in TLS/CFS]]*500&gt;WWWW[[#This Row],[Total PoP ]],WWWW[[#This Row],[Total PoP ]],WWWW[[#This Row],['#_of water points in TLS/CFS]]*500)</f>
        <v>0</v>
      </c>
      <c r="CN352" s="424">
        <f>IF(WWWW[[#This Row],['#_of water points in THF]]*500&gt;WWWW[[#This Row],[Total PoP ]],WWWW[[#This Row],[Total PoP ]],WWWW[[#This Row],['#_of water points in THF]]*500)</f>
        <v>0</v>
      </c>
      <c r="CO35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5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52" s="892">
        <f>IF(WWWW[[#This Row],[Location Type 1]]="Village",WWWW[[#This Row],[Access to safe drinking water for Village]],WWWW[[#This Row],[Access to safe drinking water for Camp]])</f>
        <v>0</v>
      </c>
      <c r="CR352" s="890">
        <f>WWWW[[#This Row],[%Equitable and continuous access to sufficient quantity of safe drinking water]]*WWWW[[#This Row],[Total PoP ]]</f>
        <v>0</v>
      </c>
      <c r="CS352" s="892">
        <f>IF((WWWW[[#This Row],['#_Constructed/Existing protected/fenced ponds]]*250)/WWWW[[#This Row],[Total PoP ]]&gt;1,1,(WWWW[[#This Row],['#_Constructed/Existing protected/fenced ponds]]*250)/WWWW[[#This Row],[Total PoP ]])</f>
        <v>0</v>
      </c>
      <c r="CT352" s="890">
        <f>WWWW[[#This Row],[% Access to unimproved water points]]*WWWW[[#This Row],[Total PoP ]]</f>
        <v>0</v>
      </c>
      <c r="CU35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5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52" s="890">
        <f>WWWW[[#This Row],[HRP1]]/500</f>
        <v>0</v>
      </c>
      <c r="CX352" s="895">
        <f>1-WWWW[[#This Row],[% Equitable and continuous access to sufficient quantity of domestic water]]</f>
        <v>1</v>
      </c>
      <c r="CY352" s="890">
        <f>WWWW[[#This Row],[%equitable and continuous access to sufficient quantity of safe drinking and domestic water''s GAP]]*WWWW[[#This Row],[Total PoP ]]</f>
        <v>2550</v>
      </c>
      <c r="CZ352" s="893">
        <f>IF(WWWW[[#This Row],[Total required water points]]-WWWW[[#This Row],['#Water points coverage]]&lt;0,0,WWWW[[#This Row],[Total required water points]]-WWWW[[#This Row],['#Water points coverage]])</f>
        <v>5</v>
      </c>
      <c r="DA352" s="893">
        <f>ROUND(IF(WWWW[[#This Row],[Total PoP ]]&lt;500,1,WWWW[[#This Row],[Total PoP ]]/500),0)</f>
        <v>5</v>
      </c>
      <c r="DB352" s="893">
        <f>(WWWW[[#This Row],['#_Constructed latrines_by_WASHAgencies]]+WWWW[[#This Row],['#_Non Cluster partner latrines]])-WWWW[[#This Row],['#_Non-functional latrines]]</f>
        <v>0</v>
      </c>
      <c r="DC352" s="631">
        <f>WWWW[[#This Row],[HRP2]]/WWWW[[#This Row],[Total PoP ]]</f>
        <v>0</v>
      </c>
      <c r="DD35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5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2" s="424">
        <f>IF(WWWW[[#This Row],['# of functional latrines in THF supported by WASH partners during the reporting period2]]="",0,WWWW[[#This Row],['# of functional latrines in THF supported by WASH partners during the reporting period2]]*50)</f>
        <v>0</v>
      </c>
      <c r="DH352" s="893">
        <f>ROUND(IF(WWWW[[#This Row],[Location Type 1]]="camp",WWWW[[#This Row],[Total PoP ]]/20,IF(WWWW[[#This Row],[Location Type 1]]="Temporary Location",WWWW[[#This Row],[Total PoP ]]/50,(WWWW[[#This Row],[Total PoP ]]/6))),0)</f>
        <v>128</v>
      </c>
      <c r="DI352" s="893">
        <f>IF(WWWW[[#This Row],[Total required Latrines]]-(WWWW[[#This Row],['#_Constructed latrines_by_WASHAgencies]]+WWWW[[#This Row],['#_Non Cluster partner latrines]])&lt;0,0,WWWW[[#This Row],[Total required Latrines]]-(WWWW[[#This Row],['#_Constructed latrines_by_WASHAgencies]]+WWWW[[#This Row],['#_Non Cluster partner latrines]]))</f>
        <v>128</v>
      </c>
      <c r="DJ352" s="895">
        <f>1-WWWW[[#This Row],[% people access to functioning Latrine]]</f>
        <v>1</v>
      </c>
      <c r="DK352" s="894">
        <f>IF(OR(WWWW[[#This Row],['#_Non-functional latrines]]="",WWWW[[#This Row],['#_Non-functional latrines]]=0),0,WWWW[[#This Row],['#_Non-functional latrines]]/(WWWW[[#This Row],['#_Constructed latrines_by_WASHAgencies]]+WWWW[[#This Row],['#_Non Cluster partner latrines]]))</f>
        <v>0</v>
      </c>
      <c r="DL352" s="890">
        <f>IF(500*(WWWW[[#This Row],['#_male hygiene promoters]]+WWWW[[#This Row],['#_female hygiene promoters]])&gt;WWWW[[#This Row],[Total PoP ]],WWWW[[#This Row],[Total PoP ]],500*(WWWW[[#This Row],['#_male hygiene promoters]]+WWWW[[#This Row],['#_female hygiene promoters]]))</f>
        <v>0</v>
      </c>
      <c r="DM35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5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2" s="893">
        <f>IF(WWWW[[#This Row],['# People with access to soap]]&gt;WWWW[[#This Row],['# People with access to Sanity Pads]],WWWW[[#This Row],['# People with access to soap]],WWWW[[#This Row],['# People with access to Sanity Pads]])</f>
        <v>0</v>
      </c>
      <c r="DP352"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52" s="895">
        <f>IF(WWWW[[#This Row],[HRP3]]/WWWW[[#This Row],[Total PoP ]]&gt;1,1,WWWW[[#This Row],[HRP3]]/WWWW[[#This Row],[Total PoP ]])</f>
        <v>0</v>
      </c>
      <c r="DR352" s="894">
        <f>1-WWWW[[#This Row],[Hygiene Coverage%]]</f>
        <v>1</v>
      </c>
      <c r="DS352" s="892">
        <f>WWWW[[#This Row],['# people reached by regular dedicated hygiene promotion_5]]/WWWW[[#This Row],[Total PoP ]]</f>
        <v>0</v>
      </c>
      <c r="DT35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5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2" s="893">
        <f>WWWW[[#This Row],['#_Constructed/Existing hand washing stations]]-WWWW[[#This Row],['#_Non-Functional_hand_washing_stations]]</f>
        <v>7</v>
      </c>
      <c r="DW352" s="890">
        <f>IF(WWWW[[#This Row],['# Functional hand washing stations during reporting period]]*20&gt;WWWW[[#This Row],[Total HH]],WWWW[[#This Row],[Total HH]],WWWW[[#This Row],['# Functional hand washing stations during reporting period]]*20)</f>
        <v>140</v>
      </c>
      <c r="DX352" s="890">
        <f>IF(WWWW[[#This Row],[Is sufficient soap available for TLS? (Yes/No)]]="yes",WWWW[[#This Row],['#_Constructed/Existing hand washing stations at TLS/CFS/THF]],0)</f>
        <v>0</v>
      </c>
      <c r="DY352" s="428">
        <f>IF(WWWW[[#This Row],['# Functional hand washing stations during reporting period]]*100&gt;WWWW[[#This Row],[Total PoP ]],WWWW[[#This Row],[Total PoP ]],WWWW[[#This Row],['# Functional hand washing stations during reporting period]]*100)</f>
        <v>700</v>
      </c>
      <c r="DZ352" s="428" t="str">
        <f>IF(OR(WWWW[[#This Row],['#_students at TLS_CFS]]="",WWWW[[#This Row],['#_students at TLS_CFS]]=0),"No","Yes")</f>
        <v>No</v>
      </c>
      <c r="EA35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2" s="886">
        <f>VLOOKUP(WWWW[[#This Row],[Site Name]],SiteDB6[[Site Name]:[CCCM Management]],6,FALSE)</f>
        <v>0</v>
      </c>
      <c r="EF352" s="886">
        <f>VLOOKUP(WWWW[[#This Row],[Site Name]],SiteDB6[[Site Name]:[CCCM Focal Agency]],7,FALSE)</f>
        <v>0</v>
      </c>
      <c r="EG352" s="886" t="str">
        <f>VLOOKUP(WWWW[[#This Row],[Site Name]],SiteDB6[[Site Name]:[Location Type 1]],9,FALSE)</f>
        <v>Camp</v>
      </c>
      <c r="EH352" s="886" t="str">
        <f>VLOOKUP(WWWW[[#This Row],[Site Name]],SiteDB6[[Site Name]:[Type of Accommodation]],10,FALSE)</f>
        <v>Host Families</v>
      </c>
      <c r="EI352" s="886" t="str">
        <f>VLOOKUP(WWWW[[#This Row],[Site Name]],SiteDB6[[Site Name]:[Ethnic or GCA/NGCA]],11,FALSE)</f>
        <v>NGCA</v>
      </c>
      <c r="EJ352" s="886">
        <f>VLOOKUP(WWWW[[#This Row],[Site Name]],SiteDB6[[Site Name]:[Lat]],12,FALSE)</f>
        <v>0</v>
      </c>
      <c r="EK352" s="886">
        <f>VLOOKUP(WWWW[[#This Row],[Site Name]],SiteDB6[[Site Name]:[Long]],13,FALSE)</f>
        <v>0</v>
      </c>
      <c r="EL352" s="886">
        <f>VLOOKUP(WWWW[[#This Row],[Site Name]],SiteDB6[[Site Name]:[Pcode]],3,FALSE)</f>
        <v>0</v>
      </c>
      <c r="EM352" s="891" t="str">
        <f t="shared" si="5"/>
        <v>Covered</v>
      </c>
      <c r="EN352" s="891"/>
      <c r="EO352" s="886">
        <f>VLOOKUP(WWWW[[#This Row],[Site Name]],SiteDB6[[Site Name]:[Pop
(Kachin/Shan-CCCM as of July 2021)]],16,FALSE)</f>
        <v>0</v>
      </c>
      <c r="EP352" s="886">
        <f>VLOOKUP(WWWW[[#This Row],[Site Name]],SiteDB6[[Site Name]:[Pop
(Kachin/Shan-CCCM as of July 2021)]],17,FALSE)</f>
        <v>0</v>
      </c>
    </row>
    <row r="353" spans="1:146" hidden="1">
      <c r="A353" s="884" t="s">
        <v>2764</v>
      </c>
      <c r="B353" s="884" t="s">
        <v>242</v>
      </c>
      <c r="C353" s="885" t="s">
        <v>242</v>
      </c>
      <c r="D353" s="885" t="s">
        <v>299</v>
      </c>
      <c r="E353" s="885" t="s">
        <v>37</v>
      </c>
      <c r="F353" s="885" t="s">
        <v>148</v>
      </c>
      <c r="G353" s="591" t="str">
        <f>VLOOKUP(WWWW[[#This Row],[Site Name]],SiteDB6[[Site Name]:[Location Type]],8,FALSE)</f>
        <v>Camp</v>
      </c>
      <c r="H353" s="885" t="s">
        <v>262</v>
      </c>
      <c r="I353" s="887">
        <v>16</v>
      </c>
      <c r="J353" s="887">
        <v>66</v>
      </c>
      <c r="K353" s="888">
        <v>44562</v>
      </c>
      <c r="L353" s="889">
        <v>44926</v>
      </c>
      <c r="M353" s="887">
        <v>30</v>
      </c>
      <c r="N353" s="887">
        <v>1</v>
      </c>
      <c r="O353" s="887"/>
      <c r="P353" s="887"/>
      <c r="Q353" s="890" t="s">
        <v>41</v>
      </c>
      <c r="R353" s="887">
        <v>2</v>
      </c>
      <c r="S353" s="887">
        <v>4</v>
      </c>
      <c r="T353" s="448"/>
      <c r="U353" s="887"/>
      <c r="V353" s="887"/>
      <c r="W353" s="887"/>
      <c r="X353" s="887"/>
      <c r="Y353" s="887"/>
      <c r="Z353" s="887"/>
      <c r="AA353" s="887">
        <v>1</v>
      </c>
      <c r="AB353" s="887"/>
      <c r="AC353" s="887"/>
      <c r="AD353" s="887"/>
      <c r="AE353" s="887"/>
      <c r="AF353" s="887"/>
      <c r="AG353" s="887"/>
      <c r="AH353" s="887"/>
      <c r="AI353" s="887"/>
      <c r="AJ353" s="887"/>
      <c r="AK353" s="887"/>
      <c r="AL353" s="887"/>
      <c r="AM353" s="887">
        <v>2</v>
      </c>
      <c r="AN353" s="887"/>
      <c r="AO353" s="448"/>
      <c r="AP353" s="891" t="s">
        <v>3058</v>
      </c>
      <c r="AQ353" s="887">
        <v>5</v>
      </c>
      <c r="AR353" s="887"/>
      <c r="AS353" s="892"/>
      <c r="AT353" s="887"/>
      <c r="AU353" s="887"/>
      <c r="AV353" s="887"/>
      <c r="AW353" s="887"/>
      <c r="AX353" s="887"/>
      <c r="AY353" s="886" t="s">
        <v>41</v>
      </c>
      <c r="AZ353" s="891" t="s">
        <v>137</v>
      </c>
      <c r="BA353" s="887"/>
      <c r="BB353" s="887"/>
      <c r="BC353" s="887">
        <v>5</v>
      </c>
      <c r="BD353" s="448"/>
      <c r="BE353" s="448"/>
      <c r="BF353" s="886"/>
      <c r="BG353" s="887">
        <v>2</v>
      </c>
      <c r="BH353" s="887">
        <v>1</v>
      </c>
      <c r="BI353" s="887"/>
      <c r="BJ353" s="887">
        <v>2</v>
      </c>
      <c r="BK353" s="887"/>
      <c r="BL353" s="887">
        <v>1</v>
      </c>
      <c r="BM353" s="887">
        <v>1</v>
      </c>
      <c r="BN353" s="887">
        <v>16</v>
      </c>
      <c r="BO353" s="887"/>
      <c r="BP353" s="886"/>
      <c r="BQ353" s="893">
        <v>1</v>
      </c>
      <c r="BR353" s="892"/>
      <c r="BS353" s="886"/>
      <c r="BT353" s="423">
        <v>0.75</v>
      </c>
      <c r="BU353" s="423"/>
      <c r="BV353" s="425"/>
      <c r="BW353" s="423"/>
      <c r="BX353" s="448"/>
      <c r="BY353" s="448"/>
      <c r="BZ353" s="448"/>
      <c r="CA353" s="448"/>
      <c r="CB353" s="448"/>
      <c r="CC353" s="777"/>
      <c r="CD353" s="448"/>
      <c r="CE353" s="894" t="str">
        <f>IFERROR(WWWW[[#This Row],['#_Water sources passed]]/WWWW[[#This Row],['#_Water sources tested for fecal coliform ]],"no test")</f>
        <v>no test</v>
      </c>
      <c r="CF353" s="892" t="str">
        <f>IFERROR(WWWW[[#This Row],['#_Household passed]]/WWWW[[#This Row],['#_Household water samples tested for fecal coliform]],"no test")</f>
        <v>no test</v>
      </c>
      <c r="CG353" s="893" t="str">
        <f>IF(AND(WWWW[[#This Row],[% of water sources passed]]="no test",WWWW[[#This Row],[% Household passed]]="no test"),"No Test","Tested")</f>
        <v>No Test</v>
      </c>
      <c r="CH353" s="893">
        <f>WWWW[[#This Row],['#_Constructed/existing protected hand dug well]]-WWWW[[#This Row],['#_Non-functional protected hand dug well]]</f>
        <v>0</v>
      </c>
      <c r="CI353" s="893">
        <f>(WWWW[[#This Row],['#_Constructed/Existing tube wells/boreholes/handpumps_WASH_agency]]+WWWW[[#This Row],['#_Non-Cluster partner water tube-wells/boreholes/handpumps]])-WWWW[[#This Row],['#_Non-functional tube wells/boreholes/handpumps]]</f>
        <v>0</v>
      </c>
      <c r="CJ353" s="893">
        <f>WWWW[[#This Row],['#_Constructed/Existingwater storage tank with gravity fed reticulation system]]-WWWW[[#This Row],['#_Non-functional storage tank gravity fed reticulation system]]</f>
        <v>1</v>
      </c>
      <c r="CK353" s="893">
        <f>(WWWW[[#This Row],['#_Water_Liters_supplied_by_Water boating or water trucking]]/90)/15</f>
        <v>0</v>
      </c>
      <c r="CL353" s="893">
        <f>WWWW[[#This Row],['#_Water_Liters_from_Constructed/Existing water distribution system from river or natural spring]]/90/15</f>
        <v>0</v>
      </c>
      <c r="CM353" s="424">
        <f>IF(WWWW[[#This Row],['#_of water points in TLS/CFS]]*500&gt;WWWW[[#This Row],[Total PoP ]],WWWW[[#This Row],[Total PoP ]],WWWW[[#This Row],['#_of water points in TLS/CFS]]*500)</f>
        <v>0</v>
      </c>
      <c r="CN353" s="424">
        <f>IF(WWWW[[#This Row],['#_of water points in THF]]*500&gt;WWWW[[#This Row],[Total PoP ]],WWWW[[#This Row],[Total PoP ]],WWWW[[#This Row],['#_of water points in THF]]*500)</f>
        <v>0</v>
      </c>
      <c r="CO35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3" s="892">
        <f>IF(WWWW[[#This Row],[Location Type 1]]="Village",WWWW[[#This Row],[Access to safe drinking water for Village]],WWWW[[#This Row],[Access to safe drinking water for Camp]])</f>
        <v>1</v>
      </c>
      <c r="CR353" s="890">
        <f>WWWW[[#This Row],[%Equitable and continuous access to sufficient quantity of safe drinking water]]*WWWW[[#This Row],[Total PoP ]]</f>
        <v>66</v>
      </c>
      <c r="CS353" s="892">
        <f>IF((WWWW[[#This Row],['#_Constructed/Existing protected/fenced ponds]]*250)/WWWW[[#This Row],[Total PoP ]]&gt;1,1,(WWWW[[#This Row],['#_Constructed/Existing protected/fenced ponds]]*250)/WWWW[[#This Row],[Total PoP ]])</f>
        <v>0</v>
      </c>
      <c r="CT353" s="890">
        <f>WWWW[[#This Row],[% Access to unimproved water points]]*WWWW[[#This Row],[Total PoP ]]</f>
        <v>0</v>
      </c>
      <c r="CU35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W353" s="890">
        <f>WWWW[[#This Row],[HRP1]]/500</f>
        <v>0.13200000000000001</v>
      </c>
      <c r="CX353" s="895">
        <f>1-WWWW[[#This Row],[% Equitable and continuous access to sufficient quantity of domestic water]]</f>
        <v>0</v>
      </c>
      <c r="CY353" s="890">
        <f>WWWW[[#This Row],[%equitable and continuous access to sufficient quantity of safe drinking and domestic water''s GAP]]*WWWW[[#This Row],[Total PoP ]]</f>
        <v>0</v>
      </c>
      <c r="CZ353" s="893">
        <f>IF(WWWW[[#This Row],[Total required water points]]-WWWW[[#This Row],['#Water points coverage]]&lt;0,0,WWWW[[#This Row],[Total required water points]]-WWWW[[#This Row],['#Water points coverage]])</f>
        <v>0.86799999999999999</v>
      </c>
      <c r="DA353" s="893">
        <f>ROUND(IF(WWWW[[#This Row],[Total PoP ]]&lt;500,1,WWWW[[#This Row],[Total PoP ]]/500),0)</f>
        <v>1</v>
      </c>
      <c r="DB353" s="893">
        <f>(WWWW[[#This Row],['#_Constructed latrines_by_WASHAgencies]]+WWWW[[#This Row],['#_Non Cluster partner latrines]])-WWWW[[#This Row],['#_Non-functional latrines]]</f>
        <v>5</v>
      </c>
      <c r="DC353" s="631">
        <f>WWWW[[#This Row],[HRP2]]/WWWW[[#This Row],[Total PoP ]]</f>
        <v>1</v>
      </c>
      <c r="DD35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DE35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30</v>
      </c>
      <c r="DG353" s="424">
        <f>IF(WWWW[[#This Row],['# of functional latrines in THF supported by WASH partners during the reporting period2]]="",0,WWWW[[#This Row],['# of functional latrines in THF supported by WASH partners during the reporting period2]]*50)</f>
        <v>0</v>
      </c>
      <c r="DH353" s="893">
        <f>ROUND(IF(WWWW[[#This Row],[Location Type 1]]="camp",WWWW[[#This Row],[Total PoP ]]/20,IF(WWWW[[#This Row],[Location Type 1]]="Temporary Location",WWWW[[#This Row],[Total PoP ]]/50,(WWWW[[#This Row],[Total PoP ]]/6))),0)</f>
        <v>3</v>
      </c>
      <c r="DI353" s="893">
        <f>IF(WWWW[[#This Row],[Total required Latrines]]-(WWWW[[#This Row],['#_Constructed latrines_by_WASHAgencies]]+WWWW[[#This Row],['#_Non Cluster partner latrines]])&lt;0,0,WWWW[[#This Row],[Total required Latrines]]-(WWWW[[#This Row],['#_Constructed latrines_by_WASHAgencies]]+WWWW[[#This Row],['#_Non Cluster partner latrines]]))</f>
        <v>0</v>
      </c>
      <c r="DJ353" s="895">
        <f>1-WWWW[[#This Row],[% people access to functioning Latrine]]</f>
        <v>0</v>
      </c>
      <c r="DK353" s="894">
        <f>IF(OR(WWWW[[#This Row],['#_Non-functional latrines]]="",WWWW[[#This Row],['#_Non-functional latrines]]=0),0,WWWW[[#This Row],['#_Non-functional latrines]]/(WWWW[[#This Row],['#_Constructed latrines_by_WASHAgencies]]+WWWW[[#This Row],['#_Non Cluster partner latrines]]))</f>
        <v>0</v>
      </c>
      <c r="DL353" s="890">
        <f>IF(500*(WWWW[[#This Row],['#_male hygiene promoters]]+WWWW[[#This Row],['#_female hygiene promoters]])&gt;WWWW[[#This Row],[Total PoP ]],WWWW[[#This Row],[Total PoP ]],500*(WWWW[[#This Row],['#_male hygiene promoters]]+WWWW[[#This Row],['#_female hygiene promoters]]))</f>
        <v>66</v>
      </c>
      <c r="DM35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66</v>
      </c>
      <c r="DN35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3" s="893">
        <f>IF(WWWW[[#This Row],['# People with access to soap]]&gt;WWWW[[#This Row],['# People with access to Sanity Pads]],WWWW[[#This Row],['# People with access to soap]],WWWW[[#This Row],['# People with access to Sanity Pads]])</f>
        <v>66</v>
      </c>
      <c r="DP353" s="893">
        <f>IF(WWWW[[#This Row],['# people reached by regular dedicated hygiene promotion_5]]&gt;WWWW[[#This Row],['# People received regular supply of hygiene items_6]],WWWW[[#This Row],['# people reached by regular dedicated hygiene promotion_5]],WWWW[[#This Row],['# People received regular supply of hygiene items_6]])</f>
        <v>66</v>
      </c>
      <c r="DQ353" s="895">
        <f>IF(WWWW[[#This Row],[HRP3]]/WWWW[[#This Row],[Total PoP ]]&gt;1,1,WWWW[[#This Row],[HRP3]]/WWWW[[#This Row],[Total PoP ]])</f>
        <v>1</v>
      </c>
      <c r="DR353" s="894">
        <f>1-WWWW[[#This Row],[Hygiene Coverage%]]</f>
        <v>0</v>
      </c>
      <c r="DS353" s="892">
        <f>WWWW[[#This Row],['# people reached by regular dedicated hygiene promotion_5]]/WWWW[[#This Row],[Total PoP ]]</f>
        <v>1</v>
      </c>
      <c r="DT35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5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3" s="893">
        <f>WWWW[[#This Row],['#_Constructed/Existing hand washing stations]]-WWWW[[#This Row],['#_Non-Functional_hand_washing_stations]]</f>
        <v>1</v>
      </c>
      <c r="DW353" s="890">
        <f>IF(WWWW[[#This Row],['# Functional hand washing stations during reporting period]]*20&gt;WWWW[[#This Row],[Total HH]],WWWW[[#This Row],[Total HH]],WWWW[[#This Row],['# Functional hand washing stations during reporting period]]*20)</f>
        <v>16</v>
      </c>
      <c r="DX353" s="890">
        <f>IF(WWWW[[#This Row],[Is sufficient soap available for TLS? (Yes/No)]]="yes",WWWW[[#This Row],['#_Constructed/Existing hand washing stations at TLS/CFS/THF]],0)</f>
        <v>0</v>
      </c>
      <c r="DY353" s="428">
        <f>IF(WWWW[[#This Row],['# Functional hand washing stations during reporting period]]*100&gt;WWWW[[#This Row],[Total PoP ]],WWWW[[#This Row],[Total PoP ]],WWWW[[#This Row],['# Functional hand washing stations during reporting period]]*100)</f>
        <v>66</v>
      </c>
      <c r="DZ353" s="428" t="str">
        <f>IF(OR(WWWW[[#This Row],['#_students at TLS_CFS]]="",WWWW[[#This Row],['#_students at TLS_CFS]]=0),"No","Yes")</f>
        <v>Yes</v>
      </c>
      <c r="EA35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30</v>
      </c>
      <c r="ED35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3" s="886" t="str">
        <f>VLOOKUP(WWWW[[#This Row],[Site Name]],SiteDB6[[Site Name]:[CCCM Management]],6,FALSE)</f>
        <v>Yes</v>
      </c>
      <c r="EF353" s="886" t="str">
        <f>VLOOKUP(WWWW[[#This Row],[Site Name]],SiteDB6[[Site Name]:[CCCM Focal Agency]],7,FALSE)</f>
        <v>KBC-MYT</v>
      </c>
      <c r="EG353" s="886" t="str">
        <f>VLOOKUP(WWWW[[#This Row],[Site Name]],SiteDB6[[Site Name]:[Location Type 1]],9,FALSE)</f>
        <v>Camp</v>
      </c>
      <c r="EH353" s="886" t="str">
        <f>VLOOKUP(WWWW[[#This Row],[Site Name]],SiteDB6[[Site Name]:[Type of Accommodation]],10,FALSE)</f>
        <v>Camp</v>
      </c>
      <c r="EI353" s="886" t="str">
        <f>VLOOKUP(WWWW[[#This Row],[Site Name]],SiteDB6[[Site Name]:[Ethnic or GCA/NGCA]],11,FALSE)</f>
        <v>GCA</v>
      </c>
      <c r="EJ353" s="886">
        <f>VLOOKUP(WWWW[[#This Row],[Site Name]],SiteDB6[[Site Name]:[Lat]],12,FALSE)</f>
        <v>25.599250000000001</v>
      </c>
      <c r="EK353" s="886">
        <f>VLOOKUP(WWWW[[#This Row],[Site Name]],SiteDB6[[Site Name]:[Long]],13,FALSE)</f>
        <v>96.306910999999999</v>
      </c>
      <c r="EL353" s="886" t="str">
        <f>VLOOKUP(WWWW[[#This Row],[Site Name]],SiteDB6[[Site Name]:[Pcode]],3,FALSE)</f>
        <v>MMR001CMP105</v>
      </c>
      <c r="EM353" s="891" t="str">
        <f t="shared" si="5"/>
        <v>Covered</v>
      </c>
      <c r="EN353" s="891"/>
      <c r="EO353" s="886">
        <f>VLOOKUP(WWWW[[#This Row],[Site Name]],SiteDB6[[Site Name]:[Pop
(Kachin/Shan-CCCM as of July 2021)]],16,FALSE)</f>
        <v>16</v>
      </c>
      <c r="EP353" s="886">
        <f>VLOOKUP(WWWW[[#This Row],[Site Name]],SiteDB6[[Site Name]:[Pop
(Kachin/Shan-CCCM as of July 2021)]],17,FALSE)</f>
        <v>64</v>
      </c>
    </row>
    <row r="354" spans="1:146" hidden="1">
      <c r="A354" s="884" t="s">
        <v>2764</v>
      </c>
      <c r="B354" s="884" t="s">
        <v>192</v>
      </c>
      <c r="C354" s="885" t="s">
        <v>192</v>
      </c>
      <c r="D354" s="885" t="s">
        <v>241</v>
      </c>
      <c r="E354" s="885" t="s">
        <v>515</v>
      </c>
      <c r="F354" s="885" t="s">
        <v>519</v>
      </c>
      <c r="G354" s="591" t="str">
        <f>VLOOKUP(WWWW[[#This Row],[Site Name]],SiteDB6[[Site Name]:[Location Type]],8,FALSE)</f>
        <v>Camp</v>
      </c>
      <c r="H354" s="726" t="s">
        <v>3031</v>
      </c>
      <c r="I354" s="887">
        <v>27</v>
      </c>
      <c r="J354" s="887">
        <v>162</v>
      </c>
      <c r="K354" s="888">
        <v>44511</v>
      </c>
      <c r="L354" s="889">
        <v>44845</v>
      </c>
      <c r="M354" s="887"/>
      <c r="N354" s="887"/>
      <c r="O354" s="887"/>
      <c r="P354" s="887"/>
      <c r="Q354" s="890"/>
      <c r="R354" s="887"/>
      <c r="S354" s="887"/>
      <c r="T354" s="448"/>
      <c r="U354" s="887"/>
      <c r="V354" s="887"/>
      <c r="W354" s="887"/>
      <c r="X354" s="887"/>
      <c r="Y354" s="887"/>
      <c r="Z354" s="887"/>
      <c r="AA354" s="887"/>
      <c r="AB354" s="887"/>
      <c r="AC354" s="887"/>
      <c r="AD354" s="887"/>
      <c r="AE354" s="887"/>
      <c r="AF354" s="887"/>
      <c r="AG354" s="887"/>
      <c r="AH354" s="887"/>
      <c r="AI354" s="887"/>
      <c r="AJ354" s="887"/>
      <c r="AK354" s="887"/>
      <c r="AL354" s="887"/>
      <c r="AM354" s="887"/>
      <c r="AN354" s="887"/>
      <c r="AO354" s="448"/>
      <c r="AP354" s="891"/>
      <c r="AQ354" s="887"/>
      <c r="AR354" s="887"/>
      <c r="AS354" s="892"/>
      <c r="AT354" s="887"/>
      <c r="AU354" s="887"/>
      <c r="AV354" s="887"/>
      <c r="AW354" s="887"/>
      <c r="AX354" s="887"/>
      <c r="AY354" s="886" t="s">
        <v>140</v>
      </c>
      <c r="AZ354" s="891" t="s">
        <v>140</v>
      </c>
      <c r="BA354" s="887"/>
      <c r="BB354" s="887"/>
      <c r="BC354" s="887"/>
      <c r="BD354" s="448"/>
      <c r="BE354" s="448"/>
      <c r="BF354" s="886"/>
      <c r="BG354" s="887">
        <v>7</v>
      </c>
      <c r="BH354" s="887"/>
      <c r="BI354" s="887"/>
      <c r="BJ354" s="887">
        <v>4</v>
      </c>
      <c r="BK354" s="887"/>
      <c r="BL354" s="887"/>
      <c r="BM354" s="887"/>
      <c r="BN354" s="887"/>
      <c r="BO354" s="887"/>
      <c r="BP354" s="425" t="s">
        <v>41</v>
      </c>
      <c r="BQ354" s="893"/>
      <c r="BR354" s="892"/>
      <c r="BS354" s="886"/>
      <c r="BT354" s="423"/>
      <c r="BU354" s="423"/>
      <c r="BV354" s="425"/>
      <c r="BW354" s="423"/>
      <c r="BX354" s="448"/>
      <c r="BY354" s="448"/>
      <c r="BZ354" s="448"/>
      <c r="CA354" s="448"/>
      <c r="CB354" s="448"/>
      <c r="CC354" s="777"/>
      <c r="CD354" s="448"/>
      <c r="CE354" s="894" t="str">
        <f>IFERROR(WWWW[[#This Row],['#_Water sources passed]]/WWWW[[#This Row],['#_Water sources tested for fecal coliform ]],"no test")</f>
        <v>no test</v>
      </c>
      <c r="CF354" s="892" t="str">
        <f>IFERROR(WWWW[[#This Row],['#_Household passed]]/WWWW[[#This Row],['#_Household water samples tested for fecal coliform]],"no test")</f>
        <v>no test</v>
      </c>
      <c r="CG354" s="893" t="str">
        <f>IF(AND(WWWW[[#This Row],[% of water sources passed]]="no test",WWWW[[#This Row],[% Household passed]]="no test"),"No Test","Tested")</f>
        <v>No Test</v>
      </c>
      <c r="CH354" s="893">
        <f>WWWW[[#This Row],['#_Constructed/existing protected hand dug well]]-WWWW[[#This Row],['#_Non-functional protected hand dug well]]</f>
        <v>0</v>
      </c>
      <c r="CI354" s="893">
        <f>(WWWW[[#This Row],['#_Constructed/Existing tube wells/boreholes/handpumps_WASH_agency]]+WWWW[[#This Row],['#_Non-Cluster partner water tube-wells/boreholes/handpumps]])-WWWW[[#This Row],['#_Non-functional tube wells/boreholes/handpumps]]</f>
        <v>0</v>
      </c>
      <c r="CJ354" s="893">
        <f>WWWW[[#This Row],['#_Constructed/Existingwater storage tank with gravity fed reticulation system]]-WWWW[[#This Row],['#_Non-functional storage tank gravity fed reticulation system]]</f>
        <v>0</v>
      </c>
      <c r="CK354" s="893">
        <f>(WWWW[[#This Row],['#_Water_Liters_supplied_by_Water boating or water trucking]]/90)/15</f>
        <v>0</v>
      </c>
      <c r="CL354" s="893">
        <f>WWWW[[#This Row],['#_Water_Liters_from_Constructed/Existing water distribution system from river or natural spring]]/90/15</f>
        <v>0</v>
      </c>
      <c r="CM354" s="424">
        <f>IF(WWWW[[#This Row],['#_of water points in TLS/CFS]]*500&gt;WWWW[[#This Row],[Total PoP ]],WWWW[[#This Row],[Total PoP ]],WWWW[[#This Row],['#_of water points in TLS/CFS]]*500)</f>
        <v>0</v>
      </c>
      <c r="CN354" s="424">
        <f>IF(WWWW[[#This Row],['#_of water points in THF]]*500&gt;WWWW[[#This Row],[Total PoP ]],WWWW[[#This Row],[Total PoP ]],WWWW[[#This Row],['#_of water points in THF]]*500)</f>
        <v>0</v>
      </c>
      <c r="CO35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5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54" s="892">
        <f>IF(WWWW[[#This Row],[Location Type 1]]="Village",WWWW[[#This Row],[Access to safe drinking water for Village]],WWWW[[#This Row],[Access to safe drinking water for Camp]])</f>
        <v>0</v>
      </c>
      <c r="CR354" s="890">
        <f>WWWW[[#This Row],[%Equitable and continuous access to sufficient quantity of safe drinking water]]*WWWW[[#This Row],[Total PoP ]]</f>
        <v>0</v>
      </c>
      <c r="CS354" s="892">
        <f>IF((WWWW[[#This Row],['#_Constructed/Existing protected/fenced ponds]]*250)/WWWW[[#This Row],[Total PoP ]]&gt;1,1,(WWWW[[#This Row],['#_Constructed/Existing protected/fenced ponds]]*250)/WWWW[[#This Row],[Total PoP ]])</f>
        <v>0</v>
      </c>
      <c r="CT354" s="890">
        <f>WWWW[[#This Row],[% Access to unimproved water points]]*WWWW[[#This Row],[Total PoP ]]</f>
        <v>0</v>
      </c>
      <c r="CU35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5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54" s="890">
        <f>WWWW[[#This Row],[HRP1]]/500</f>
        <v>0</v>
      </c>
      <c r="CX354" s="895">
        <f>1-WWWW[[#This Row],[% Equitable and continuous access to sufficient quantity of domestic water]]</f>
        <v>1</v>
      </c>
      <c r="CY354" s="890">
        <f>WWWW[[#This Row],[%equitable and continuous access to sufficient quantity of safe drinking and domestic water''s GAP]]*WWWW[[#This Row],[Total PoP ]]</f>
        <v>162</v>
      </c>
      <c r="CZ354" s="893">
        <f>IF(WWWW[[#This Row],[Total required water points]]-WWWW[[#This Row],['#Water points coverage]]&lt;0,0,WWWW[[#This Row],[Total required water points]]-WWWW[[#This Row],['#Water points coverage]])</f>
        <v>1</v>
      </c>
      <c r="DA354" s="893">
        <f>ROUND(IF(WWWW[[#This Row],[Total PoP ]]&lt;500,1,WWWW[[#This Row],[Total PoP ]]/500),0)</f>
        <v>1</v>
      </c>
      <c r="DB354" s="893">
        <f>(WWWW[[#This Row],['#_Constructed latrines_by_WASHAgencies]]+WWWW[[#This Row],['#_Non Cluster partner latrines]])-WWWW[[#This Row],['#_Non-functional latrines]]</f>
        <v>0</v>
      </c>
      <c r="DC354" s="631">
        <f>WWWW[[#This Row],[HRP2]]/WWWW[[#This Row],[Total PoP ]]</f>
        <v>0</v>
      </c>
      <c r="DD35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5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4" s="424">
        <f>IF(WWWW[[#This Row],['# of functional latrines in THF supported by WASH partners during the reporting period2]]="",0,WWWW[[#This Row],['# of functional latrines in THF supported by WASH partners during the reporting period2]]*50)</f>
        <v>0</v>
      </c>
      <c r="DH354" s="893">
        <f>ROUND(IF(WWWW[[#This Row],[Location Type 1]]="camp",WWWW[[#This Row],[Total PoP ]]/20,IF(WWWW[[#This Row],[Location Type 1]]="Temporary Location",WWWW[[#This Row],[Total PoP ]]/50,(WWWW[[#This Row],[Total PoP ]]/6))),0)</f>
        <v>8</v>
      </c>
      <c r="DI354" s="893">
        <f>IF(WWWW[[#This Row],[Total required Latrines]]-(WWWW[[#This Row],['#_Constructed latrines_by_WASHAgencies]]+WWWW[[#This Row],['#_Non Cluster partner latrines]])&lt;0,0,WWWW[[#This Row],[Total required Latrines]]-(WWWW[[#This Row],['#_Constructed latrines_by_WASHAgencies]]+WWWW[[#This Row],['#_Non Cluster partner latrines]]))</f>
        <v>8</v>
      </c>
      <c r="DJ354" s="895">
        <f>1-WWWW[[#This Row],[% people access to functioning Latrine]]</f>
        <v>1</v>
      </c>
      <c r="DK354" s="894">
        <f>IF(OR(WWWW[[#This Row],['#_Non-functional latrines]]="",WWWW[[#This Row],['#_Non-functional latrines]]=0),0,WWWW[[#This Row],['#_Non-functional latrines]]/(WWWW[[#This Row],['#_Constructed latrines_by_WASHAgencies]]+WWWW[[#This Row],['#_Non Cluster partner latrines]]))</f>
        <v>0</v>
      </c>
      <c r="DL354" s="890">
        <f>IF(500*(WWWW[[#This Row],['#_male hygiene promoters]]+WWWW[[#This Row],['#_female hygiene promoters]])&gt;WWWW[[#This Row],[Total PoP ]],WWWW[[#This Row],[Total PoP ]],500*(WWWW[[#This Row],['#_male hygiene promoters]]+WWWW[[#This Row],['#_female hygiene promoters]]))</f>
        <v>0</v>
      </c>
      <c r="DM35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5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4" s="893">
        <f>IF(WWWW[[#This Row],['# People with access to soap]]&gt;WWWW[[#This Row],['# People with access to Sanity Pads]],WWWW[[#This Row],['# People with access to soap]],WWWW[[#This Row],['# People with access to Sanity Pads]])</f>
        <v>0</v>
      </c>
      <c r="DP354"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54" s="895">
        <f>IF(WWWW[[#This Row],[HRP3]]/WWWW[[#This Row],[Total PoP ]]&gt;1,1,WWWW[[#This Row],[HRP3]]/WWWW[[#This Row],[Total PoP ]])</f>
        <v>0</v>
      </c>
      <c r="DR354" s="894">
        <f>1-WWWW[[#This Row],[Hygiene Coverage%]]</f>
        <v>1</v>
      </c>
      <c r="DS354" s="892">
        <f>WWWW[[#This Row],['# people reached by regular dedicated hygiene promotion_5]]/WWWW[[#This Row],[Total PoP ]]</f>
        <v>0</v>
      </c>
      <c r="DT35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5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4" s="893">
        <f>WWWW[[#This Row],['#_Constructed/Existing hand washing stations]]-WWWW[[#This Row],['#_Non-Functional_hand_washing_stations]]</f>
        <v>7</v>
      </c>
      <c r="DW354" s="890">
        <f>IF(WWWW[[#This Row],['# Functional hand washing stations during reporting period]]*20&gt;WWWW[[#This Row],[Total HH]],WWWW[[#This Row],[Total HH]],WWWW[[#This Row],['# Functional hand washing stations during reporting period]]*20)</f>
        <v>27</v>
      </c>
      <c r="DX354" s="890">
        <f>IF(WWWW[[#This Row],[Is sufficient soap available for TLS? (Yes/No)]]="yes",WWWW[[#This Row],['#_Constructed/Existing hand washing stations at TLS/CFS/THF]],0)</f>
        <v>0</v>
      </c>
      <c r="DY354" s="428">
        <f>IF(WWWW[[#This Row],['# Functional hand washing stations during reporting period]]*100&gt;WWWW[[#This Row],[Total PoP ]],WWWW[[#This Row],[Total PoP ]],WWWW[[#This Row],['# Functional hand washing stations during reporting period]]*100)</f>
        <v>162</v>
      </c>
      <c r="DZ354" s="428" t="str">
        <f>IF(OR(WWWW[[#This Row],['#_students at TLS_CFS]]="",WWWW[[#This Row],['#_students at TLS_CFS]]=0),"No","Yes")</f>
        <v>No</v>
      </c>
      <c r="EA35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4" s="886">
        <f>VLOOKUP(WWWW[[#This Row],[Site Name]],SiteDB6[[Site Name]:[CCCM Management]],6,FALSE)</f>
        <v>0</v>
      </c>
      <c r="EF354" s="886">
        <f>VLOOKUP(WWWW[[#This Row],[Site Name]],SiteDB6[[Site Name]:[CCCM Focal Agency]],7,FALSE)</f>
        <v>0</v>
      </c>
      <c r="EG354" s="886" t="str">
        <f>VLOOKUP(WWWW[[#This Row],[Site Name]],SiteDB6[[Site Name]:[Location Type 1]],9,FALSE)</f>
        <v>Camp</v>
      </c>
      <c r="EH354" s="886" t="str">
        <f>VLOOKUP(WWWW[[#This Row],[Site Name]],SiteDB6[[Site Name]:[Type of Accommodation]],10,FALSE)</f>
        <v>IDPs in host</v>
      </c>
      <c r="EI354" s="886" t="str">
        <f>VLOOKUP(WWWW[[#This Row],[Site Name]],SiteDB6[[Site Name]:[Ethnic or GCA/NGCA]],11,FALSE)</f>
        <v>GCA</v>
      </c>
      <c r="EJ354" s="886">
        <f>VLOOKUP(WWWW[[#This Row],[Site Name]],SiteDB6[[Site Name]:[Lat]],12,FALSE)</f>
        <v>23.400155999999999</v>
      </c>
      <c r="EK354" s="886">
        <f>VLOOKUP(WWWW[[#This Row],[Site Name]],SiteDB6[[Site Name]:[Long]],13,FALSE)</f>
        <v>98.220614999999995</v>
      </c>
      <c r="EL354" s="886" t="str">
        <f>VLOOKUP(WWWW[[#This Row],[Site Name]],SiteDB6[[Site Name]:[Pcode]],3,FALSE)</f>
        <v>MMR015CMP071</v>
      </c>
      <c r="EM354" s="891" t="str">
        <f t="shared" si="5"/>
        <v>Covered</v>
      </c>
      <c r="EN354" s="891"/>
      <c r="EO354" s="886">
        <f>VLOOKUP(WWWW[[#This Row],[Site Name]],SiteDB6[[Site Name]:[Pop
(Kachin/Shan-CCCM as of July 2021)]],16,FALSE)</f>
        <v>27</v>
      </c>
      <c r="EP354" s="886">
        <f>VLOOKUP(WWWW[[#This Row],[Site Name]],SiteDB6[[Site Name]:[Pop
(Kachin/Shan-CCCM as of July 2021)]],17,FALSE)</f>
        <v>162</v>
      </c>
    </row>
    <row r="355" spans="1:146" hidden="1">
      <c r="A355" s="884" t="s">
        <v>2764</v>
      </c>
      <c r="B355" s="884" t="s">
        <v>192</v>
      </c>
      <c r="C355" s="885" t="s">
        <v>192</v>
      </c>
      <c r="D355" s="885" t="s">
        <v>2587</v>
      </c>
      <c r="E355" s="885" t="s">
        <v>515</v>
      </c>
      <c r="F355" s="885" t="s">
        <v>961</v>
      </c>
      <c r="G355" s="591" t="str">
        <f>VLOOKUP(WWWW[[#This Row],[Site Name]],SiteDB6[[Site Name]:[Location Type]],8,FALSE)</f>
        <v>Camp_not registered</v>
      </c>
      <c r="H355" s="885" t="s">
        <v>2159</v>
      </c>
      <c r="I355" s="887">
        <v>23</v>
      </c>
      <c r="J355" s="887">
        <v>103</v>
      </c>
      <c r="K355" s="888" t="s">
        <v>2767</v>
      </c>
      <c r="L355" s="889" t="s">
        <v>2768</v>
      </c>
      <c r="M355" s="887"/>
      <c r="N355" s="887"/>
      <c r="O355" s="887"/>
      <c r="P355" s="887"/>
      <c r="Q355" s="890" t="s">
        <v>41</v>
      </c>
      <c r="R355" s="887">
        <v>5</v>
      </c>
      <c r="S355" s="887">
        <v>1</v>
      </c>
      <c r="T355" s="448">
        <v>1</v>
      </c>
      <c r="U355" s="887"/>
      <c r="V355" s="887"/>
      <c r="W355" s="887"/>
      <c r="X355" s="887">
        <v>1</v>
      </c>
      <c r="Y355" s="887"/>
      <c r="Z355" s="887"/>
      <c r="AA355" s="887"/>
      <c r="AB355" s="887"/>
      <c r="AC355" s="887"/>
      <c r="AD355" s="887"/>
      <c r="AE355" s="887"/>
      <c r="AF355" s="887"/>
      <c r="AG355" s="887"/>
      <c r="AH355" s="887"/>
      <c r="AI355" s="887"/>
      <c r="AJ355" s="887"/>
      <c r="AK355" s="887"/>
      <c r="AL355" s="887"/>
      <c r="AM355" s="887"/>
      <c r="AN355" s="887"/>
      <c r="AO355" s="448"/>
      <c r="AP355" s="891"/>
      <c r="AQ355" s="887">
        <v>23</v>
      </c>
      <c r="AR355" s="887"/>
      <c r="AS355" s="892"/>
      <c r="AT355" s="887"/>
      <c r="AU355" s="887"/>
      <c r="AV355" s="887"/>
      <c r="AW355" s="887"/>
      <c r="AX355" s="887"/>
      <c r="AY355" s="886" t="s">
        <v>140</v>
      </c>
      <c r="AZ355" s="891" t="s">
        <v>140</v>
      </c>
      <c r="BA355" s="887"/>
      <c r="BB355" s="887"/>
      <c r="BC355" s="887"/>
      <c r="BD355" s="448"/>
      <c r="BE355" s="448"/>
      <c r="BF355" s="886"/>
      <c r="BG355" s="887">
        <v>3</v>
      </c>
      <c r="BH355" s="887"/>
      <c r="BI355" s="887"/>
      <c r="BJ355" s="887">
        <v>2</v>
      </c>
      <c r="BK355" s="887"/>
      <c r="BL355" s="887"/>
      <c r="BM355" s="887"/>
      <c r="BN355" s="887"/>
      <c r="BO355" s="887"/>
      <c r="BP355" s="425" t="s">
        <v>41</v>
      </c>
      <c r="BQ355" s="893"/>
      <c r="BR355" s="892"/>
      <c r="BS355" s="886"/>
      <c r="BT355" s="423"/>
      <c r="BU355" s="423"/>
      <c r="BV355" s="425"/>
      <c r="BW355" s="423"/>
      <c r="BX355" s="448"/>
      <c r="BY355" s="448"/>
      <c r="BZ355" s="448"/>
      <c r="CA355" s="448"/>
      <c r="CB355" s="448"/>
      <c r="CC355" s="777"/>
      <c r="CD355" s="448"/>
      <c r="CE355" s="894" t="str">
        <f>IFERROR(WWWW[[#This Row],['#_Water sources passed]]/WWWW[[#This Row],['#_Water sources tested for fecal coliform ]],"no test")</f>
        <v>no test</v>
      </c>
      <c r="CF355" s="892" t="str">
        <f>IFERROR(WWWW[[#This Row],['#_Household passed]]/WWWW[[#This Row],['#_Household water samples tested for fecal coliform]],"no test")</f>
        <v>no test</v>
      </c>
      <c r="CG355" s="893" t="str">
        <f>IF(AND(WWWW[[#This Row],[% of water sources passed]]="no test",WWWW[[#This Row],[% Household passed]]="no test"),"No Test","Tested")</f>
        <v>No Test</v>
      </c>
      <c r="CH355" s="893">
        <f>WWWW[[#This Row],['#_Constructed/existing protected hand dug well]]-WWWW[[#This Row],['#_Non-functional protected hand dug well]]</f>
        <v>1</v>
      </c>
      <c r="CI355" s="893">
        <f>(WWWW[[#This Row],['#_Constructed/Existing tube wells/boreholes/handpumps_WASH_agency]]+WWWW[[#This Row],['#_Non-Cluster partner water tube-wells/boreholes/handpumps]])-WWWW[[#This Row],['#_Non-functional tube wells/boreholes/handpumps]]</f>
        <v>1</v>
      </c>
      <c r="CJ355" s="893">
        <f>WWWW[[#This Row],['#_Constructed/Existingwater storage tank with gravity fed reticulation system]]-WWWW[[#This Row],['#_Non-functional storage tank gravity fed reticulation system]]</f>
        <v>0</v>
      </c>
      <c r="CK355" s="893">
        <f>(WWWW[[#This Row],['#_Water_Liters_supplied_by_Water boating or water trucking]]/90)/15</f>
        <v>0</v>
      </c>
      <c r="CL355" s="893">
        <f>WWWW[[#This Row],['#_Water_Liters_from_Constructed/Existing water distribution system from river or natural spring]]/90/15</f>
        <v>0</v>
      </c>
      <c r="CM355" s="424">
        <f>IF(WWWW[[#This Row],['#_of water points in TLS/CFS]]*500&gt;WWWW[[#This Row],[Total PoP ]],WWWW[[#This Row],[Total PoP ]],WWWW[[#This Row],['#_of water points in TLS/CFS]]*500)</f>
        <v>0</v>
      </c>
      <c r="CN355" s="424">
        <f>IF(WWWW[[#This Row],['#_of water points in THF]]*500&gt;WWWW[[#This Row],[Total PoP ]],WWWW[[#This Row],[Total PoP ]],WWWW[[#This Row],['#_of water points in THF]]*500)</f>
        <v>0</v>
      </c>
      <c r="CO35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5" s="892">
        <f>IF(WWWW[[#This Row],[Location Type 1]]="Village",WWWW[[#This Row],[Access to safe drinking water for Village]],WWWW[[#This Row],[Access to safe drinking water for Camp]])</f>
        <v>1</v>
      </c>
      <c r="CR355" s="890">
        <f>WWWW[[#This Row],[%Equitable and continuous access to sufficient quantity of safe drinking water]]*WWWW[[#This Row],[Total PoP ]]</f>
        <v>103</v>
      </c>
      <c r="CS355" s="892">
        <f>IF((WWWW[[#This Row],['#_Constructed/Existing protected/fenced ponds]]*250)/WWWW[[#This Row],[Total PoP ]]&gt;1,1,(WWWW[[#This Row],['#_Constructed/Existing protected/fenced ponds]]*250)/WWWW[[#This Row],[Total PoP ]])</f>
        <v>0</v>
      </c>
      <c r="CT355" s="890">
        <f>WWWW[[#This Row],[% Access to unimproved water points]]*WWWW[[#This Row],[Total PoP ]]</f>
        <v>0</v>
      </c>
      <c r="CU35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355" s="890">
        <f>WWWW[[#This Row],[HRP1]]/500</f>
        <v>0.20599999999999999</v>
      </c>
      <c r="CX355" s="895">
        <f>1-WWWW[[#This Row],[% Equitable and continuous access to sufficient quantity of domestic water]]</f>
        <v>0</v>
      </c>
      <c r="CY355" s="890">
        <f>WWWW[[#This Row],[%equitable and continuous access to sufficient quantity of safe drinking and domestic water''s GAP]]*WWWW[[#This Row],[Total PoP ]]</f>
        <v>0</v>
      </c>
      <c r="CZ355" s="893">
        <f>IF(WWWW[[#This Row],[Total required water points]]-WWWW[[#This Row],['#Water points coverage]]&lt;0,0,WWWW[[#This Row],[Total required water points]]-WWWW[[#This Row],['#Water points coverage]])</f>
        <v>0.79400000000000004</v>
      </c>
      <c r="DA355" s="893">
        <f>ROUND(IF(WWWW[[#This Row],[Total PoP ]]&lt;500,1,WWWW[[#This Row],[Total PoP ]]/500),0)</f>
        <v>1</v>
      </c>
      <c r="DB355" s="893">
        <f>(WWWW[[#This Row],['#_Constructed latrines_by_WASHAgencies]]+WWWW[[#This Row],['#_Non Cluster partner latrines]])-WWWW[[#This Row],['#_Non-functional latrines]]</f>
        <v>23</v>
      </c>
      <c r="DC355" s="631">
        <f>WWWW[[#This Row],[HRP2]]/WWWW[[#This Row],[Total PoP ]]</f>
        <v>1</v>
      </c>
      <c r="DD35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35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5" s="424">
        <f>IF(WWWW[[#This Row],['# of functional latrines in THF supported by WASH partners during the reporting period2]]="",0,WWWW[[#This Row],['# of functional latrines in THF supported by WASH partners during the reporting period2]]*50)</f>
        <v>0</v>
      </c>
      <c r="DH355" s="893">
        <f>ROUND(IF(WWWW[[#This Row],[Location Type 1]]="camp",WWWW[[#This Row],[Total PoP ]]/20,IF(WWWW[[#This Row],[Location Type 1]]="Temporary Location",WWWW[[#This Row],[Total PoP ]]/50,(WWWW[[#This Row],[Total PoP ]]/6))),0)</f>
        <v>5</v>
      </c>
      <c r="DI355" s="893">
        <f>IF(WWWW[[#This Row],[Total required Latrines]]-(WWWW[[#This Row],['#_Constructed latrines_by_WASHAgencies]]+WWWW[[#This Row],['#_Non Cluster partner latrines]])&lt;0,0,WWWW[[#This Row],[Total required Latrines]]-(WWWW[[#This Row],['#_Constructed latrines_by_WASHAgencies]]+WWWW[[#This Row],['#_Non Cluster partner latrines]]))</f>
        <v>0</v>
      </c>
      <c r="DJ355" s="895">
        <f>1-WWWW[[#This Row],[% people access to functioning Latrine]]</f>
        <v>0</v>
      </c>
      <c r="DK355" s="894">
        <f>IF(OR(WWWW[[#This Row],['#_Non-functional latrines]]="",WWWW[[#This Row],['#_Non-functional latrines]]=0),0,WWWW[[#This Row],['#_Non-functional latrines]]/(WWWW[[#This Row],['#_Constructed latrines_by_WASHAgencies]]+WWWW[[#This Row],['#_Non Cluster partner latrines]]))</f>
        <v>0</v>
      </c>
      <c r="DL355" s="890">
        <f>IF(500*(WWWW[[#This Row],['#_male hygiene promoters]]+WWWW[[#This Row],['#_female hygiene promoters]])&gt;WWWW[[#This Row],[Total PoP ]],WWWW[[#This Row],[Total PoP ]],500*(WWWW[[#This Row],['#_male hygiene promoters]]+WWWW[[#This Row],['#_female hygiene promoters]]))</f>
        <v>0</v>
      </c>
      <c r="DM35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5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5" s="893">
        <f>IF(WWWW[[#This Row],['# People with access to soap]]&gt;WWWW[[#This Row],['# People with access to Sanity Pads]],WWWW[[#This Row],['# People with access to soap]],WWWW[[#This Row],['# People with access to Sanity Pads]])</f>
        <v>0</v>
      </c>
      <c r="DP355"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55" s="895">
        <f>IF(WWWW[[#This Row],[HRP3]]/WWWW[[#This Row],[Total PoP ]]&gt;1,1,WWWW[[#This Row],[HRP3]]/WWWW[[#This Row],[Total PoP ]])</f>
        <v>0</v>
      </c>
      <c r="DR355" s="894">
        <f>1-WWWW[[#This Row],[Hygiene Coverage%]]</f>
        <v>1</v>
      </c>
      <c r="DS355" s="892">
        <f>WWWW[[#This Row],['# people reached by regular dedicated hygiene promotion_5]]/WWWW[[#This Row],[Total PoP ]]</f>
        <v>0</v>
      </c>
      <c r="DT35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5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5" s="893">
        <f>WWWW[[#This Row],['#_Constructed/Existing hand washing stations]]-WWWW[[#This Row],['#_Non-Functional_hand_washing_stations]]</f>
        <v>3</v>
      </c>
      <c r="DW355" s="890">
        <f>IF(WWWW[[#This Row],['# Functional hand washing stations during reporting period]]*20&gt;WWWW[[#This Row],[Total HH]],WWWW[[#This Row],[Total HH]],WWWW[[#This Row],['# Functional hand washing stations during reporting period]]*20)</f>
        <v>23</v>
      </c>
      <c r="DX355" s="890">
        <f>IF(WWWW[[#This Row],[Is sufficient soap available for TLS? (Yes/No)]]="yes",WWWW[[#This Row],['#_Constructed/Existing hand washing stations at TLS/CFS/THF]],0)</f>
        <v>0</v>
      </c>
      <c r="DY355" s="428">
        <f>IF(WWWW[[#This Row],['# Functional hand washing stations during reporting period]]*100&gt;WWWW[[#This Row],[Total PoP ]],WWWW[[#This Row],[Total PoP ]],WWWW[[#This Row],['# Functional hand washing stations during reporting period]]*100)</f>
        <v>103</v>
      </c>
      <c r="DZ355" s="428" t="str">
        <f>IF(OR(WWWW[[#This Row],['#_students at TLS_CFS]]="",WWWW[[#This Row],['#_students at TLS_CFS]]=0),"No","Yes")</f>
        <v>No</v>
      </c>
      <c r="EA35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5" s="886">
        <f>VLOOKUP(WWWW[[#This Row],[Site Name]],SiteDB6[[Site Name]:[CCCM Management]],6,FALSE)</f>
        <v>0</v>
      </c>
      <c r="EF355" s="886">
        <f>VLOOKUP(WWWW[[#This Row],[Site Name]],SiteDB6[[Site Name]:[CCCM Focal Agency]],7,FALSE)</f>
        <v>0</v>
      </c>
      <c r="EG355" s="886" t="str">
        <f>VLOOKUP(WWWW[[#This Row],[Site Name]],SiteDB6[[Site Name]:[Location Type 1]],9,FALSE)</f>
        <v>Camp</v>
      </c>
      <c r="EH355" s="886" t="str">
        <f>VLOOKUP(WWWW[[#This Row],[Site Name]],SiteDB6[[Site Name]:[Type of Accommodation]],10,FALSE)</f>
        <v>Camp like setting</v>
      </c>
      <c r="EI355" s="886" t="str">
        <f>VLOOKUP(WWWW[[#This Row],[Site Name]],SiteDB6[[Site Name]:[Ethnic or GCA/NGCA]],11,FALSE)</f>
        <v>GCA</v>
      </c>
      <c r="EJ355" s="886">
        <f>VLOOKUP(WWWW[[#This Row],[Site Name]],SiteDB6[[Site Name]:[Lat]],12,FALSE)</f>
        <v>0</v>
      </c>
      <c r="EK355" s="886">
        <f>VLOOKUP(WWWW[[#This Row],[Site Name]],SiteDB6[[Site Name]:[Long]],13,FALSE)</f>
        <v>0</v>
      </c>
      <c r="EL355" s="886">
        <f>VLOOKUP(WWWW[[#This Row],[Site Name]],SiteDB6[[Site Name]:[Pcode]],3,FALSE)</f>
        <v>0</v>
      </c>
      <c r="EM355" s="891" t="str">
        <f t="shared" si="5"/>
        <v>Covered</v>
      </c>
      <c r="EN355" s="891"/>
      <c r="EO355" s="886">
        <f>VLOOKUP(WWWW[[#This Row],[Site Name]],SiteDB6[[Site Name]:[Pop
(Kachin/Shan-CCCM as of July 2021)]],16,FALSE)</f>
        <v>0</v>
      </c>
      <c r="EP355" s="886">
        <f>VLOOKUP(WWWW[[#This Row],[Site Name]],SiteDB6[[Site Name]:[Pop
(Kachin/Shan-CCCM as of July 2021)]],17,FALSE)</f>
        <v>0</v>
      </c>
    </row>
    <row r="356" spans="1:146" hidden="1">
      <c r="A356" s="884" t="s">
        <v>2764</v>
      </c>
      <c r="B356" s="884" t="s">
        <v>192</v>
      </c>
      <c r="C356" s="885" t="s">
        <v>192</v>
      </c>
      <c r="D356" s="885" t="s">
        <v>2673</v>
      </c>
      <c r="E356" s="885" t="s">
        <v>515</v>
      </c>
      <c r="F356" s="885" t="s">
        <v>519</v>
      </c>
      <c r="G356" s="591" t="str">
        <f>VLOOKUP(WWWW[[#This Row],[Site Name]],SiteDB6[[Site Name]:[Location Type]],8,FALSE)</f>
        <v>Camp</v>
      </c>
      <c r="H356" s="885" t="s">
        <v>1720</v>
      </c>
      <c r="I356" s="887">
        <v>74</v>
      </c>
      <c r="J356" s="887">
        <v>439</v>
      </c>
      <c r="K356" s="888" t="s">
        <v>2767</v>
      </c>
      <c r="L356" s="889" t="s">
        <v>2768</v>
      </c>
      <c r="M356" s="887"/>
      <c r="N356" s="887">
        <v>1</v>
      </c>
      <c r="O356" s="887"/>
      <c r="P356" s="887"/>
      <c r="Q356" s="890" t="s">
        <v>41</v>
      </c>
      <c r="R356" s="887">
        <v>5</v>
      </c>
      <c r="S356" s="887">
        <v>1</v>
      </c>
      <c r="T356" s="448"/>
      <c r="U356" s="887"/>
      <c r="V356" s="887"/>
      <c r="W356" s="887"/>
      <c r="X356" s="887"/>
      <c r="Y356" s="887"/>
      <c r="Z356" s="887"/>
      <c r="AA356" s="887">
        <v>14</v>
      </c>
      <c r="AB356" s="887"/>
      <c r="AC356" s="887"/>
      <c r="AD356" s="887"/>
      <c r="AE356" s="887"/>
      <c r="AF356" s="887"/>
      <c r="AG356" s="887"/>
      <c r="AH356" s="887"/>
      <c r="AI356" s="887"/>
      <c r="AJ356" s="887"/>
      <c r="AK356" s="887"/>
      <c r="AL356" s="887"/>
      <c r="AM356" s="887"/>
      <c r="AN356" s="887"/>
      <c r="AO356" s="448"/>
      <c r="AP356" s="891"/>
      <c r="AQ356" s="887">
        <v>40</v>
      </c>
      <c r="AR356" s="887"/>
      <c r="AS356" s="892"/>
      <c r="AT356" s="887"/>
      <c r="AU356" s="887"/>
      <c r="AV356" s="887"/>
      <c r="AW356" s="887"/>
      <c r="AX356" s="887"/>
      <c r="AY356" s="886" t="s">
        <v>140</v>
      </c>
      <c r="AZ356" s="891" t="s">
        <v>140</v>
      </c>
      <c r="BA356" s="887"/>
      <c r="BB356" s="887"/>
      <c r="BC356" s="887"/>
      <c r="BD356" s="448"/>
      <c r="BE356" s="448"/>
      <c r="BF356" s="886"/>
      <c r="BG356" s="887">
        <v>3</v>
      </c>
      <c r="BH356" s="887"/>
      <c r="BI356" s="887"/>
      <c r="BJ356" s="887">
        <v>2</v>
      </c>
      <c r="BK356" s="887"/>
      <c r="BL356" s="887"/>
      <c r="BM356" s="887">
        <v>1</v>
      </c>
      <c r="BN356" s="887"/>
      <c r="BO356" s="887"/>
      <c r="BP356" s="425" t="s">
        <v>41</v>
      </c>
      <c r="BQ356" s="893"/>
      <c r="BR356" s="423">
        <v>1</v>
      </c>
      <c r="BS356" s="886"/>
      <c r="BT356" s="423"/>
      <c r="BU356" s="423"/>
      <c r="BV356" s="425"/>
      <c r="BW356" s="423"/>
      <c r="BX356" s="448"/>
      <c r="BY356" s="448"/>
      <c r="BZ356" s="448"/>
      <c r="CA356" s="448"/>
      <c r="CB356" s="448"/>
      <c r="CC356" s="777"/>
      <c r="CD356" s="448"/>
      <c r="CE356" s="894" t="str">
        <f>IFERROR(WWWW[[#This Row],['#_Water sources passed]]/WWWW[[#This Row],['#_Water sources tested for fecal coliform ]],"no test")</f>
        <v>no test</v>
      </c>
      <c r="CF356" s="892" t="str">
        <f>IFERROR(WWWW[[#This Row],['#_Household passed]]/WWWW[[#This Row],['#_Household water samples tested for fecal coliform]],"no test")</f>
        <v>no test</v>
      </c>
      <c r="CG356" s="893" t="str">
        <f>IF(AND(WWWW[[#This Row],[% of water sources passed]]="no test",WWWW[[#This Row],[% Household passed]]="no test"),"No Test","Tested")</f>
        <v>No Test</v>
      </c>
      <c r="CH356" s="893">
        <f>WWWW[[#This Row],['#_Constructed/existing protected hand dug well]]-WWWW[[#This Row],['#_Non-functional protected hand dug well]]</f>
        <v>0</v>
      </c>
      <c r="CI356" s="893">
        <f>(WWWW[[#This Row],['#_Constructed/Existing tube wells/boreholes/handpumps_WASH_agency]]+WWWW[[#This Row],['#_Non-Cluster partner water tube-wells/boreholes/handpumps]])-WWWW[[#This Row],['#_Non-functional tube wells/boreholes/handpumps]]</f>
        <v>0</v>
      </c>
      <c r="CJ356" s="893">
        <f>WWWW[[#This Row],['#_Constructed/Existingwater storage tank with gravity fed reticulation system]]-WWWW[[#This Row],['#_Non-functional storage tank gravity fed reticulation system]]</f>
        <v>14</v>
      </c>
      <c r="CK356" s="893">
        <f>(WWWW[[#This Row],['#_Water_Liters_supplied_by_Water boating or water trucking]]/90)/15</f>
        <v>0</v>
      </c>
      <c r="CL356" s="893">
        <f>WWWW[[#This Row],['#_Water_Liters_from_Constructed/Existing water distribution system from river or natural spring]]/90/15</f>
        <v>0</v>
      </c>
      <c r="CM356" s="424">
        <f>IF(WWWW[[#This Row],['#_of water points in TLS/CFS]]*500&gt;WWWW[[#This Row],[Total PoP ]],WWWW[[#This Row],[Total PoP ]],WWWW[[#This Row],['#_of water points in TLS/CFS]]*500)</f>
        <v>0</v>
      </c>
      <c r="CN356" s="424">
        <f>IF(WWWW[[#This Row],['#_of water points in THF]]*500&gt;WWWW[[#This Row],[Total PoP ]],WWWW[[#This Row],[Total PoP ]],WWWW[[#This Row],['#_of water points in THF]]*500)</f>
        <v>0</v>
      </c>
      <c r="CO35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6" s="892">
        <f>IF(WWWW[[#This Row],[Location Type 1]]="Village",WWWW[[#This Row],[Access to safe drinking water for Village]],WWWW[[#This Row],[Access to safe drinking water for Camp]])</f>
        <v>1</v>
      </c>
      <c r="CR356" s="890">
        <f>WWWW[[#This Row],[%Equitable and continuous access to sufficient quantity of safe drinking water]]*WWWW[[#This Row],[Total PoP ]]</f>
        <v>439</v>
      </c>
      <c r="CS356" s="892">
        <f>IF((WWWW[[#This Row],['#_Constructed/Existing protected/fenced ponds]]*250)/WWWW[[#This Row],[Total PoP ]]&gt;1,1,(WWWW[[#This Row],['#_Constructed/Existing protected/fenced ponds]]*250)/WWWW[[#This Row],[Total PoP ]])</f>
        <v>0</v>
      </c>
      <c r="CT356" s="890">
        <f>WWWW[[#This Row],[% Access to unimproved water points]]*WWWW[[#This Row],[Total PoP ]]</f>
        <v>0</v>
      </c>
      <c r="CU35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439</v>
      </c>
      <c r="CW356" s="890">
        <f>WWWW[[#This Row],[HRP1]]/500</f>
        <v>0.878</v>
      </c>
      <c r="CX356" s="895">
        <f>1-WWWW[[#This Row],[% Equitable and continuous access to sufficient quantity of domestic water]]</f>
        <v>0</v>
      </c>
      <c r="CY356" s="890">
        <f>WWWW[[#This Row],[%equitable and continuous access to sufficient quantity of safe drinking and domestic water''s GAP]]*WWWW[[#This Row],[Total PoP ]]</f>
        <v>0</v>
      </c>
      <c r="CZ356" s="893">
        <f>IF(WWWW[[#This Row],[Total required water points]]-WWWW[[#This Row],['#Water points coverage]]&lt;0,0,WWWW[[#This Row],[Total required water points]]-WWWW[[#This Row],['#Water points coverage]])</f>
        <v>0.122</v>
      </c>
      <c r="DA356" s="893">
        <f>ROUND(IF(WWWW[[#This Row],[Total PoP ]]&lt;500,1,WWWW[[#This Row],[Total PoP ]]/500),0)</f>
        <v>1</v>
      </c>
      <c r="DB356" s="893">
        <f>(WWWW[[#This Row],['#_Constructed latrines_by_WASHAgencies]]+WWWW[[#This Row],['#_Non Cluster partner latrines]])-WWWW[[#This Row],['#_Non-functional latrines]]</f>
        <v>40</v>
      </c>
      <c r="DC356" s="631">
        <f>WWWW[[#This Row],[HRP2]]/WWWW[[#This Row],[Total PoP ]]</f>
        <v>1</v>
      </c>
      <c r="DD35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439</v>
      </c>
      <c r="DE35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6" s="424">
        <f>IF(WWWW[[#This Row],['# of functional latrines in THF supported by WASH partners during the reporting period2]]="",0,WWWW[[#This Row],['# of functional latrines in THF supported by WASH partners during the reporting period2]]*50)</f>
        <v>0</v>
      </c>
      <c r="DH356" s="893">
        <f>ROUND(IF(WWWW[[#This Row],[Location Type 1]]="camp",WWWW[[#This Row],[Total PoP ]]/20,IF(WWWW[[#This Row],[Location Type 1]]="Temporary Location",WWWW[[#This Row],[Total PoP ]]/50,(WWWW[[#This Row],[Total PoP ]]/6))),0)</f>
        <v>22</v>
      </c>
      <c r="DI356" s="893">
        <f>IF(WWWW[[#This Row],[Total required Latrines]]-(WWWW[[#This Row],['#_Constructed latrines_by_WASHAgencies]]+WWWW[[#This Row],['#_Non Cluster partner latrines]])&lt;0,0,WWWW[[#This Row],[Total required Latrines]]-(WWWW[[#This Row],['#_Constructed latrines_by_WASHAgencies]]+WWWW[[#This Row],['#_Non Cluster partner latrines]]))</f>
        <v>0</v>
      </c>
      <c r="DJ356" s="895">
        <f>1-WWWW[[#This Row],[% people access to functioning Latrine]]</f>
        <v>0</v>
      </c>
      <c r="DK356" s="894">
        <f>IF(OR(WWWW[[#This Row],['#_Non-functional latrines]]="",WWWW[[#This Row],['#_Non-functional latrines]]=0),0,WWWW[[#This Row],['#_Non-functional latrines]]/(WWWW[[#This Row],['#_Constructed latrines_by_WASHAgencies]]+WWWW[[#This Row],['#_Non Cluster partner latrines]]))</f>
        <v>0</v>
      </c>
      <c r="DL356" s="890">
        <f>IF(500*(WWWW[[#This Row],['#_male hygiene promoters]]+WWWW[[#This Row],['#_female hygiene promoters]])&gt;WWWW[[#This Row],[Total PoP ]],WWWW[[#This Row],[Total PoP ]],500*(WWWW[[#This Row],['#_male hygiene promoters]]+WWWW[[#This Row],['#_female hygiene promoters]]))</f>
        <v>439</v>
      </c>
      <c r="DM35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5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6" s="893">
        <f>IF(WWWW[[#This Row],['# People with access to soap]]&gt;WWWW[[#This Row],['# People with access to Sanity Pads]],WWWW[[#This Row],['# People with access to soap]],WWWW[[#This Row],['# People with access to Sanity Pads]])</f>
        <v>0</v>
      </c>
      <c r="DP356" s="893">
        <f>IF(WWWW[[#This Row],['# people reached by regular dedicated hygiene promotion_5]]&gt;WWWW[[#This Row],['# People received regular supply of hygiene items_6]],WWWW[[#This Row],['# people reached by regular dedicated hygiene promotion_5]],WWWW[[#This Row],['# People received regular supply of hygiene items_6]])</f>
        <v>439</v>
      </c>
      <c r="DQ356" s="895">
        <f>IF(WWWW[[#This Row],[HRP3]]/WWWW[[#This Row],[Total PoP ]]&gt;1,1,WWWW[[#This Row],[HRP3]]/WWWW[[#This Row],[Total PoP ]])</f>
        <v>1</v>
      </c>
      <c r="DR356" s="894">
        <f>1-WWWW[[#This Row],[Hygiene Coverage%]]</f>
        <v>0</v>
      </c>
      <c r="DS356" s="892">
        <f>WWWW[[#This Row],['# people reached by regular dedicated hygiene promotion_5]]/WWWW[[#This Row],[Total PoP ]]</f>
        <v>1</v>
      </c>
      <c r="DT35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5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6" s="893">
        <f>WWWW[[#This Row],['#_Constructed/Existing hand washing stations]]-WWWW[[#This Row],['#_Non-Functional_hand_washing_stations]]</f>
        <v>3</v>
      </c>
      <c r="DW356" s="890">
        <f>IF(WWWW[[#This Row],['# Functional hand washing stations during reporting period]]*20&gt;WWWW[[#This Row],[Total HH]],WWWW[[#This Row],[Total HH]],WWWW[[#This Row],['# Functional hand washing stations during reporting period]]*20)</f>
        <v>60</v>
      </c>
      <c r="DX356" s="890">
        <f>IF(WWWW[[#This Row],[Is sufficient soap available for TLS? (Yes/No)]]="yes",WWWW[[#This Row],['#_Constructed/Existing hand washing stations at TLS/CFS/THF]],0)</f>
        <v>0</v>
      </c>
      <c r="DY356" s="428">
        <f>IF(WWWW[[#This Row],['# Functional hand washing stations during reporting period]]*100&gt;WWWW[[#This Row],[Total PoP ]],WWWW[[#This Row],[Total PoP ]],WWWW[[#This Row],['# Functional hand washing stations during reporting period]]*100)</f>
        <v>300</v>
      </c>
      <c r="DZ356" s="428" t="str">
        <f>IF(OR(WWWW[[#This Row],['#_students at TLS_CFS]]="",WWWW[[#This Row],['#_students at TLS_CFS]]=0),"No","Yes")</f>
        <v>No</v>
      </c>
      <c r="EA35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6" s="886">
        <f>VLOOKUP(WWWW[[#This Row],[Site Name]],SiteDB6[[Site Name]:[CCCM Management]],6,FALSE)</f>
        <v>0</v>
      </c>
      <c r="EF356" s="886" t="str">
        <f>VLOOKUP(WWWW[[#This Row],[Site Name]],SiteDB6[[Site Name]:[CCCM Focal Agency]],7,FALSE)</f>
        <v>uncovered</v>
      </c>
      <c r="EG356" s="886" t="str">
        <f>VLOOKUP(WWWW[[#This Row],[Site Name]],SiteDB6[[Site Name]:[Location Type 1]],9,FALSE)</f>
        <v>Camp</v>
      </c>
      <c r="EH356" s="886" t="str">
        <f>VLOOKUP(WWWW[[#This Row],[Site Name]],SiteDB6[[Site Name]:[Type of Accommodation]],10,FALSE)</f>
        <v>Camp like setting</v>
      </c>
      <c r="EI356" s="886" t="str">
        <f>VLOOKUP(WWWW[[#This Row],[Site Name]],SiteDB6[[Site Name]:[Ethnic or GCA/NGCA]],11,FALSE)</f>
        <v>GCA</v>
      </c>
      <c r="EJ356" s="886">
        <f>VLOOKUP(WWWW[[#This Row],[Site Name]],SiteDB6[[Site Name]:[Lat]],12,FALSE)</f>
        <v>23.234137</v>
      </c>
      <c r="EK356" s="886">
        <f>VLOOKUP(WWWW[[#This Row],[Site Name]],SiteDB6[[Site Name]:[Long]],13,FALSE)</f>
        <v>97.505339000000006</v>
      </c>
      <c r="EL356" s="886" t="str">
        <f>VLOOKUP(WWWW[[#This Row],[Site Name]],SiteDB6[[Site Name]:[Pcode]],3,FALSE)</f>
        <v>MMR015CMP030</v>
      </c>
      <c r="EM356" s="891" t="str">
        <f t="shared" si="5"/>
        <v>Covered</v>
      </c>
      <c r="EN356" s="891"/>
      <c r="EO356" s="886">
        <f>VLOOKUP(WWWW[[#This Row],[Site Name]],SiteDB6[[Site Name]:[Pop
(Kachin/Shan-CCCM as of July 2021)]],16,FALSE)</f>
        <v>86</v>
      </c>
      <c r="EP356" s="886">
        <f>VLOOKUP(WWWW[[#This Row],[Site Name]],SiteDB6[[Site Name]:[Pop
(Kachin/Shan-CCCM as of July 2021)]],17,FALSE)</f>
        <v>525</v>
      </c>
    </row>
    <row r="357" spans="1:146" hidden="1">
      <c r="A357" s="884" t="s">
        <v>2764</v>
      </c>
      <c r="B357" s="884" t="s">
        <v>192</v>
      </c>
      <c r="C357" s="884" t="s">
        <v>192</v>
      </c>
      <c r="D357" s="885" t="s">
        <v>2673</v>
      </c>
      <c r="E357" s="885" t="s">
        <v>515</v>
      </c>
      <c r="F357" s="885" t="s">
        <v>519</v>
      </c>
      <c r="G357" s="591" t="str">
        <f>VLOOKUP(WWWW[[#This Row],[Site Name]],SiteDB6[[Site Name]:[Location Type]],8,FALSE)</f>
        <v>Camp</v>
      </c>
      <c r="H357" s="726" t="s">
        <v>3032</v>
      </c>
      <c r="I357" s="887">
        <v>26</v>
      </c>
      <c r="J357" s="887">
        <v>132</v>
      </c>
      <c r="K357" s="888" t="s">
        <v>2767</v>
      </c>
      <c r="L357" s="889" t="s">
        <v>2768</v>
      </c>
      <c r="M357" s="887"/>
      <c r="N357" s="887"/>
      <c r="O357" s="887"/>
      <c r="P357" s="887"/>
      <c r="Q357" s="890"/>
      <c r="R357" s="887">
        <v>3</v>
      </c>
      <c r="S357" s="887">
        <v>2</v>
      </c>
      <c r="T357" s="448"/>
      <c r="U357" s="887"/>
      <c r="V357" s="887"/>
      <c r="W357" s="887"/>
      <c r="X357" s="887"/>
      <c r="Y357" s="887"/>
      <c r="Z357" s="887"/>
      <c r="AA357" s="887">
        <v>8</v>
      </c>
      <c r="AB357" s="887"/>
      <c r="AC357" s="887"/>
      <c r="AD357" s="887"/>
      <c r="AE357" s="887"/>
      <c r="AF357" s="887"/>
      <c r="AG357" s="887"/>
      <c r="AH357" s="887"/>
      <c r="AI357" s="887"/>
      <c r="AJ357" s="887"/>
      <c r="AK357" s="887"/>
      <c r="AL357" s="887"/>
      <c r="AM357" s="887"/>
      <c r="AN357" s="887"/>
      <c r="AO357" s="448"/>
      <c r="AP357" s="891"/>
      <c r="AQ357" s="887">
        <v>27</v>
      </c>
      <c r="AR357" s="887"/>
      <c r="AS357" s="892"/>
      <c r="AT357" s="887"/>
      <c r="AU357" s="887"/>
      <c r="AV357" s="887"/>
      <c r="AW357" s="887"/>
      <c r="AX357" s="887">
        <v>2</v>
      </c>
      <c r="AY357" s="886" t="s">
        <v>41</v>
      </c>
      <c r="AZ357" s="891" t="s">
        <v>136</v>
      </c>
      <c r="BA357" s="887"/>
      <c r="BB357" s="887"/>
      <c r="BC357" s="887"/>
      <c r="BD357" s="448"/>
      <c r="BE357" s="448"/>
      <c r="BF357" s="886"/>
      <c r="BG357" s="887">
        <v>7</v>
      </c>
      <c r="BH357" s="887"/>
      <c r="BI357" s="887"/>
      <c r="BJ357" s="887">
        <v>7</v>
      </c>
      <c r="BK357" s="887"/>
      <c r="BL357" s="887"/>
      <c r="BM357" s="887">
        <v>1</v>
      </c>
      <c r="BN357" s="887"/>
      <c r="BO357" s="887"/>
      <c r="BP357" s="886"/>
      <c r="BQ357" s="893"/>
      <c r="BR357" s="892"/>
      <c r="BS357" s="886"/>
      <c r="BT357" s="423"/>
      <c r="BU357" s="423"/>
      <c r="BV357" s="425"/>
      <c r="BW357" s="423"/>
      <c r="BX357" s="448"/>
      <c r="BY357" s="448"/>
      <c r="BZ357" s="448"/>
      <c r="CA357" s="448"/>
      <c r="CB357" s="448"/>
      <c r="CC357" s="777"/>
      <c r="CD357" s="448"/>
      <c r="CE357" s="894" t="str">
        <f>IFERROR(WWWW[[#This Row],['#_Water sources passed]]/WWWW[[#This Row],['#_Water sources tested for fecal coliform ]],"no test")</f>
        <v>no test</v>
      </c>
      <c r="CF357" s="892" t="str">
        <f>IFERROR(WWWW[[#This Row],['#_Household passed]]/WWWW[[#This Row],['#_Household water samples tested for fecal coliform]],"no test")</f>
        <v>no test</v>
      </c>
      <c r="CG357" s="893" t="str">
        <f>IF(AND(WWWW[[#This Row],[% of water sources passed]]="no test",WWWW[[#This Row],[% Household passed]]="no test"),"No Test","Tested")</f>
        <v>No Test</v>
      </c>
      <c r="CH357" s="893">
        <f>WWWW[[#This Row],['#_Constructed/existing protected hand dug well]]-WWWW[[#This Row],['#_Non-functional protected hand dug well]]</f>
        <v>0</v>
      </c>
      <c r="CI357" s="893">
        <f>(WWWW[[#This Row],['#_Constructed/Existing tube wells/boreholes/handpumps_WASH_agency]]+WWWW[[#This Row],['#_Non-Cluster partner water tube-wells/boreholes/handpumps]])-WWWW[[#This Row],['#_Non-functional tube wells/boreholes/handpumps]]</f>
        <v>0</v>
      </c>
      <c r="CJ357" s="893">
        <f>WWWW[[#This Row],['#_Constructed/Existingwater storage tank with gravity fed reticulation system]]-WWWW[[#This Row],['#_Non-functional storage tank gravity fed reticulation system]]</f>
        <v>8</v>
      </c>
      <c r="CK357" s="893">
        <f>(WWWW[[#This Row],['#_Water_Liters_supplied_by_Water boating or water trucking]]/90)/15</f>
        <v>0</v>
      </c>
      <c r="CL357" s="893">
        <f>WWWW[[#This Row],['#_Water_Liters_from_Constructed/Existing water distribution system from river or natural spring]]/90/15</f>
        <v>0</v>
      </c>
      <c r="CM357" s="424">
        <f>IF(WWWW[[#This Row],['#_of water points in TLS/CFS]]*500&gt;WWWW[[#This Row],[Total PoP ]],WWWW[[#This Row],[Total PoP ]],WWWW[[#This Row],['#_of water points in TLS/CFS]]*500)</f>
        <v>0</v>
      </c>
      <c r="CN357" s="424">
        <f>IF(WWWW[[#This Row],['#_of water points in THF]]*500&gt;WWWW[[#This Row],[Total PoP ]],WWWW[[#This Row],[Total PoP ]],WWWW[[#This Row],['#_of water points in THF]]*500)</f>
        <v>0</v>
      </c>
      <c r="CO35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7" s="892">
        <f>IF(WWWW[[#This Row],[Location Type 1]]="Village",WWWW[[#This Row],[Access to safe drinking water for Village]],WWWW[[#This Row],[Access to safe drinking water for Camp]])</f>
        <v>1</v>
      </c>
      <c r="CR357" s="890">
        <f>WWWW[[#This Row],[%Equitable and continuous access to sufficient quantity of safe drinking water]]*WWWW[[#This Row],[Total PoP ]]</f>
        <v>132</v>
      </c>
      <c r="CS357" s="892">
        <f>IF((WWWW[[#This Row],['#_Constructed/Existing protected/fenced ponds]]*250)/WWWW[[#This Row],[Total PoP ]]&gt;1,1,(WWWW[[#This Row],['#_Constructed/Existing protected/fenced ponds]]*250)/WWWW[[#This Row],[Total PoP ]])</f>
        <v>0</v>
      </c>
      <c r="CT357" s="890">
        <f>WWWW[[#This Row],[% Access to unimproved water points]]*WWWW[[#This Row],[Total PoP ]]</f>
        <v>0</v>
      </c>
      <c r="CU35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W357" s="890">
        <f>WWWW[[#This Row],[HRP1]]/500</f>
        <v>0.26400000000000001</v>
      </c>
      <c r="CX357" s="895">
        <f>1-WWWW[[#This Row],[% Equitable and continuous access to sufficient quantity of domestic water]]</f>
        <v>0</v>
      </c>
      <c r="CY357" s="890">
        <f>WWWW[[#This Row],[%equitable and continuous access to sufficient quantity of safe drinking and domestic water''s GAP]]*WWWW[[#This Row],[Total PoP ]]</f>
        <v>0</v>
      </c>
      <c r="CZ357" s="893">
        <f>IF(WWWW[[#This Row],[Total required water points]]-WWWW[[#This Row],['#Water points coverage]]&lt;0,0,WWWW[[#This Row],[Total required water points]]-WWWW[[#This Row],['#Water points coverage]])</f>
        <v>0.73599999999999999</v>
      </c>
      <c r="DA357" s="893">
        <f>ROUND(IF(WWWW[[#This Row],[Total PoP ]]&lt;500,1,WWWW[[#This Row],[Total PoP ]]/500),0)</f>
        <v>1</v>
      </c>
      <c r="DB357" s="893">
        <f>(WWWW[[#This Row],['#_Constructed latrines_by_WASHAgencies]]+WWWW[[#This Row],['#_Non Cluster partner latrines]])-WWWW[[#This Row],['#_Non-functional latrines]]</f>
        <v>27</v>
      </c>
      <c r="DC357" s="631">
        <f>WWWW[[#This Row],[HRP2]]/WWWW[[#This Row],[Total PoP ]]</f>
        <v>1</v>
      </c>
      <c r="DD35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DE35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7" s="424">
        <f>IF(WWWW[[#This Row],['# of functional latrines in THF supported by WASH partners during the reporting period2]]="",0,WWWW[[#This Row],['# of functional latrines in THF supported by WASH partners during the reporting period2]]*50)</f>
        <v>0</v>
      </c>
      <c r="DH357" s="893">
        <f>ROUND(IF(WWWW[[#This Row],[Location Type 1]]="camp",WWWW[[#This Row],[Total PoP ]]/20,IF(WWWW[[#This Row],[Location Type 1]]="Temporary Location",WWWW[[#This Row],[Total PoP ]]/50,(WWWW[[#This Row],[Total PoP ]]/6))),0)</f>
        <v>7</v>
      </c>
      <c r="DI357" s="893">
        <f>IF(WWWW[[#This Row],[Total required Latrines]]-(WWWW[[#This Row],['#_Constructed latrines_by_WASHAgencies]]+WWWW[[#This Row],['#_Non Cluster partner latrines]])&lt;0,0,WWWW[[#This Row],[Total required Latrines]]-(WWWW[[#This Row],['#_Constructed latrines_by_WASHAgencies]]+WWWW[[#This Row],['#_Non Cluster partner latrines]]))</f>
        <v>0</v>
      </c>
      <c r="DJ357" s="895">
        <f>1-WWWW[[#This Row],[% people access to functioning Latrine]]</f>
        <v>0</v>
      </c>
      <c r="DK357" s="894">
        <f>IF(OR(WWWW[[#This Row],['#_Non-functional latrines]]="",WWWW[[#This Row],['#_Non-functional latrines]]=0),0,WWWW[[#This Row],['#_Non-functional latrines]]/(WWWW[[#This Row],['#_Constructed latrines_by_WASHAgencies]]+WWWW[[#This Row],['#_Non Cluster partner latrines]]))</f>
        <v>0</v>
      </c>
      <c r="DL357" s="890">
        <f>IF(500*(WWWW[[#This Row],['#_male hygiene promoters]]+WWWW[[#This Row],['#_female hygiene promoters]])&gt;WWWW[[#This Row],[Total PoP ]],WWWW[[#This Row],[Total PoP ]],500*(WWWW[[#This Row],['#_male hygiene promoters]]+WWWW[[#This Row],['#_female hygiene promoters]]))</f>
        <v>132</v>
      </c>
      <c r="DM35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5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7" s="893">
        <f>IF(WWWW[[#This Row],['# People with access to soap]]&gt;WWWW[[#This Row],['# People with access to Sanity Pads]],WWWW[[#This Row],['# People with access to soap]],WWWW[[#This Row],['# People with access to Sanity Pads]])</f>
        <v>0</v>
      </c>
      <c r="DP357" s="893">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Q357" s="895">
        <f>IF(WWWW[[#This Row],[HRP3]]/WWWW[[#This Row],[Total PoP ]]&gt;1,1,WWWW[[#This Row],[HRP3]]/WWWW[[#This Row],[Total PoP ]])</f>
        <v>1</v>
      </c>
      <c r="DR357" s="894">
        <f>1-WWWW[[#This Row],[Hygiene Coverage%]]</f>
        <v>0</v>
      </c>
      <c r="DS357" s="892">
        <f>WWWW[[#This Row],['# people reached by regular dedicated hygiene promotion_5]]/WWWW[[#This Row],[Total PoP ]]</f>
        <v>1</v>
      </c>
      <c r="DT35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5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7" s="893">
        <f>WWWW[[#This Row],['#_Constructed/Existing hand washing stations]]-WWWW[[#This Row],['#_Non-Functional_hand_washing_stations]]</f>
        <v>7</v>
      </c>
      <c r="DW357" s="890">
        <f>IF(WWWW[[#This Row],['# Functional hand washing stations during reporting period]]*20&gt;WWWW[[#This Row],[Total HH]],WWWW[[#This Row],[Total HH]],WWWW[[#This Row],['# Functional hand washing stations during reporting period]]*20)</f>
        <v>26</v>
      </c>
      <c r="DX357" s="890">
        <f>IF(WWWW[[#This Row],[Is sufficient soap available for TLS? (Yes/No)]]="yes",WWWW[[#This Row],['#_Constructed/Existing hand washing stations at TLS/CFS/THF]],0)</f>
        <v>0</v>
      </c>
      <c r="DY357" s="428">
        <f>IF(WWWW[[#This Row],['# Functional hand washing stations during reporting period]]*100&gt;WWWW[[#This Row],[Total PoP ]],WWWW[[#This Row],[Total PoP ]],WWWW[[#This Row],['# Functional hand washing stations during reporting period]]*100)</f>
        <v>132</v>
      </c>
      <c r="DZ357" s="428" t="str">
        <f>IF(OR(WWWW[[#This Row],['#_students at TLS_CFS]]="",WWWW[[#This Row],['#_students at TLS_CFS]]=0),"No","Yes")</f>
        <v>No</v>
      </c>
      <c r="EA35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7" s="886" t="str">
        <f>VLOOKUP(WWWW[[#This Row],[Site Name]],SiteDB6[[Site Name]:[CCCM Management]],6,FALSE)</f>
        <v>Yes</v>
      </c>
      <c r="EF357" s="886" t="str">
        <f>VLOOKUP(WWWW[[#This Row],[Site Name]],SiteDB6[[Site Name]:[CCCM Focal Agency]],7,FALSE)</f>
        <v>KMSS-LSO</v>
      </c>
      <c r="EG357" s="886" t="str">
        <f>VLOOKUP(WWWW[[#This Row],[Site Name]],SiteDB6[[Site Name]:[Location Type 1]],9,FALSE)</f>
        <v>Camp</v>
      </c>
      <c r="EH357" s="886" t="str">
        <f>VLOOKUP(WWWW[[#This Row],[Site Name]],SiteDB6[[Site Name]:[Type of Accommodation]],10,FALSE)</f>
        <v>Camp</v>
      </c>
      <c r="EI357" s="886" t="str">
        <f>VLOOKUP(WWWW[[#This Row],[Site Name]],SiteDB6[[Site Name]:[Ethnic or GCA/NGCA]],11,FALSE)</f>
        <v>GCA</v>
      </c>
      <c r="EJ357" s="886">
        <f>VLOOKUP(WWWW[[#This Row],[Site Name]],SiteDB6[[Site Name]:[Lat]],12,FALSE)</f>
        <v>23.38503</v>
      </c>
      <c r="EK357" s="886">
        <f>VLOOKUP(WWWW[[#This Row],[Site Name]],SiteDB6[[Site Name]:[Long]],13,FALSE)</f>
        <v>97.837040000000002</v>
      </c>
      <c r="EL357" s="886" t="str">
        <f>VLOOKUP(WWWW[[#This Row],[Site Name]],SiteDB6[[Site Name]:[Pcode]],3,FALSE)</f>
        <v>MMR015CMP017</v>
      </c>
      <c r="EM357" s="891" t="str">
        <f t="shared" si="5"/>
        <v>Covered</v>
      </c>
      <c r="EN357" s="891"/>
      <c r="EO357" s="886">
        <f>VLOOKUP(WWWW[[#This Row],[Site Name]],SiteDB6[[Site Name]:[Pop
(Kachin/Shan-CCCM as of July 2021)]],16,FALSE)</f>
        <v>26</v>
      </c>
      <c r="EP357" s="886">
        <f>VLOOKUP(WWWW[[#This Row],[Site Name]],SiteDB6[[Site Name]:[Pop
(Kachin/Shan-CCCM as of July 2021)]],17,FALSE)</f>
        <v>133</v>
      </c>
    </row>
    <row r="358" spans="1:146" hidden="1">
      <c r="A358" s="884" t="s">
        <v>2764</v>
      </c>
      <c r="B358" s="884" t="s">
        <v>2161</v>
      </c>
      <c r="C358" s="885" t="s">
        <v>2161</v>
      </c>
      <c r="D358" s="885" t="s">
        <v>241</v>
      </c>
      <c r="E358" s="885" t="s">
        <v>515</v>
      </c>
      <c r="F358" s="885" t="s">
        <v>963</v>
      </c>
      <c r="G358" s="591" t="str">
        <f>VLOOKUP(WWWW[[#This Row],[Site Name]],SiteDB6[[Site Name]:[Location Type]],8,FALSE)</f>
        <v>Camp</v>
      </c>
      <c r="H358" s="885" t="s">
        <v>2602</v>
      </c>
      <c r="I358" s="887">
        <v>340</v>
      </c>
      <c r="J358" s="887">
        <v>1674</v>
      </c>
      <c r="K358" s="888">
        <v>44488</v>
      </c>
      <c r="L358" s="889">
        <v>44852</v>
      </c>
      <c r="M358" s="887"/>
      <c r="N358" s="887"/>
      <c r="O358" s="887"/>
      <c r="P358" s="887"/>
      <c r="Q358" s="890" t="s">
        <v>41</v>
      </c>
      <c r="R358" s="887">
        <v>2</v>
      </c>
      <c r="S358" s="887">
        <v>2</v>
      </c>
      <c r="T358" s="448"/>
      <c r="U358" s="887"/>
      <c r="V358" s="887"/>
      <c r="W358" s="887"/>
      <c r="X358" s="887"/>
      <c r="Y358" s="887"/>
      <c r="Z358" s="887"/>
      <c r="AA358" s="887">
        <v>24</v>
      </c>
      <c r="AB358" s="887"/>
      <c r="AC358" s="887">
        <v>14</v>
      </c>
      <c r="AD358" s="887"/>
      <c r="AE358" s="887"/>
      <c r="AF358" s="887"/>
      <c r="AG358" s="887"/>
      <c r="AH358" s="887">
        <v>1</v>
      </c>
      <c r="AI358" s="887"/>
      <c r="AJ358" s="887"/>
      <c r="AK358" s="887"/>
      <c r="AL358" s="887"/>
      <c r="AM358" s="887"/>
      <c r="AN358" s="887">
        <v>1</v>
      </c>
      <c r="AO358" s="448"/>
      <c r="AP358" s="891"/>
      <c r="AQ358" s="887">
        <v>30</v>
      </c>
      <c r="AR358" s="887"/>
      <c r="AS358" s="892"/>
      <c r="AT358" s="887">
        <v>16</v>
      </c>
      <c r="AU358" s="887"/>
      <c r="AV358" s="887"/>
      <c r="AW358" s="887"/>
      <c r="AX358" s="887"/>
      <c r="AY358" s="886" t="s">
        <v>136</v>
      </c>
      <c r="AZ358" s="891" t="s">
        <v>136</v>
      </c>
      <c r="BA358" s="887"/>
      <c r="BB358" s="887"/>
      <c r="BC358" s="887"/>
      <c r="BD358" s="448"/>
      <c r="BE358" s="448"/>
      <c r="BF358" s="886"/>
      <c r="BG358" s="887">
        <v>3</v>
      </c>
      <c r="BH358" s="887">
        <v>2</v>
      </c>
      <c r="BI358" s="887"/>
      <c r="BJ358" s="887"/>
      <c r="BK358" s="887"/>
      <c r="BL358" s="887"/>
      <c r="BM358" s="887"/>
      <c r="BN358" s="887"/>
      <c r="BO358" s="887"/>
      <c r="BP358" s="886"/>
      <c r="BQ358" s="893"/>
      <c r="BR358" s="892"/>
      <c r="BS358" s="886"/>
      <c r="BT358" s="423"/>
      <c r="BU358" s="423"/>
      <c r="BV358" s="425"/>
      <c r="BW358" s="423"/>
      <c r="BX358" s="448"/>
      <c r="BY358" s="448"/>
      <c r="BZ358" s="448"/>
      <c r="CA358" s="448"/>
      <c r="CB358" s="448"/>
      <c r="CC358" s="777"/>
      <c r="CD358" s="448"/>
      <c r="CE358" s="894" t="str">
        <f>IFERROR(WWWW[[#This Row],['#_Water sources passed]]/WWWW[[#This Row],['#_Water sources tested for fecal coliform ]],"no test")</f>
        <v>no test</v>
      </c>
      <c r="CF358" s="892" t="str">
        <f>IFERROR(WWWW[[#This Row],['#_Household passed]]/WWWW[[#This Row],['#_Household water samples tested for fecal coliform]],"no test")</f>
        <v>no test</v>
      </c>
      <c r="CG358" s="893" t="str">
        <f>IF(AND(WWWW[[#This Row],[% of water sources passed]]="no test",WWWW[[#This Row],[% Household passed]]="no test"),"No Test","Tested")</f>
        <v>No Test</v>
      </c>
      <c r="CH358" s="893">
        <f>WWWW[[#This Row],['#_Constructed/existing protected hand dug well]]-WWWW[[#This Row],['#_Non-functional protected hand dug well]]</f>
        <v>0</v>
      </c>
      <c r="CI358" s="893">
        <f>(WWWW[[#This Row],['#_Constructed/Existing tube wells/boreholes/handpumps_WASH_agency]]+WWWW[[#This Row],['#_Non-Cluster partner water tube-wells/boreholes/handpumps]])-WWWW[[#This Row],['#_Non-functional tube wells/boreholes/handpumps]]</f>
        <v>0</v>
      </c>
      <c r="CJ358" s="893">
        <f>WWWW[[#This Row],['#_Constructed/Existingwater storage tank with gravity fed reticulation system]]-WWWW[[#This Row],['#_Non-functional storage tank gravity fed reticulation system]]</f>
        <v>24</v>
      </c>
      <c r="CK358" s="893">
        <f>(WWWW[[#This Row],['#_Water_Liters_supplied_by_Water boating or water trucking]]/90)/15</f>
        <v>0</v>
      </c>
      <c r="CL358" s="893">
        <f>WWWW[[#This Row],['#_Water_Liters_from_Constructed/Existing water distribution system from river or natural spring]]/90/15</f>
        <v>0</v>
      </c>
      <c r="CM358" s="424">
        <f>IF(WWWW[[#This Row],['#_of water points in TLS/CFS]]*500&gt;WWWW[[#This Row],[Total PoP ]],WWWW[[#This Row],[Total PoP ]],WWWW[[#This Row],['#_of water points in TLS/CFS]]*500)</f>
        <v>500</v>
      </c>
      <c r="CN358" s="424">
        <f>IF(WWWW[[#This Row],['#_of water points in THF]]*500&gt;WWWW[[#This Row],[Total PoP ]],WWWW[[#This Row],[Total PoP ]],WWWW[[#This Row],['#_of water points in THF]]*500)</f>
        <v>0</v>
      </c>
      <c r="CO35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P35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Q358" s="892">
        <f>IF(WWWW[[#This Row],[Location Type 1]]="Village",WWWW[[#This Row],[Access to safe drinking water for Village]],WWWW[[#This Row],[Access to safe drinking water for Camp]])</f>
        <v>0.95579450418160095</v>
      </c>
      <c r="CR358" s="890">
        <f>WWWW[[#This Row],[%Equitable and continuous access to sufficient quantity of safe drinking water]]*WWWW[[#This Row],[Total PoP ]]</f>
        <v>1600</v>
      </c>
      <c r="CS358" s="892">
        <f>IF((WWWW[[#This Row],['#_Constructed/Existing protected/fenced ponds]]*250)/WWWW[[#This Row],[Total PoP ]]&gt;1,1,(WWWW[[#This Row],['#_Constructed/Existing protected/fenced ponds]]*250)/WWWW[[#This Row],[Total PoP ]])</f>
        <v>0</v>
      </c>
      <c r="CT358" s="890">
        <f>WWWW[[#This Row],[% Access to unimproved water points]]*WWWW[[#This Row],[Total PoP ]]</f>
        <v>0</v>
      </c>
      <c r="CU35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V35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W358" s="890">
        <f>WWWW[[#This Row],[HRP1]]/500</f>
        <v>3.2</v>
      </c>
      <c r="CX358" s="895">
        <f>1-WWWW[[#This Row],[% Equitable and continuous access to sufficient quantity of domestic water]]</f>
        <v>4.4205495818399054E-2</v>
      </c>
      <c r="CY358" s="890">
        <f>WWWW[[#This Row],[%equitable and continuous access to sufficient quantity of safe drinking and domestic water''s GAP]]*WWWW[[#This Row],[Total PoP ]]</f>
        <v>74.000000000000014</v>
      </c>
      <c r="CZ358" s="893">
        <f>IF(WWWW[[#This Row],[Total required water points]]-WWWW[[#This Row],['#Water points coverage]]&lt;0,0,WWWW[[#This Row],[Total required water points]]-WWWW[[#This Row],['#Water points coverage]])</f>
        <v>0</v>
      </c>
      <c r="DA358" s="893">
        <f>ROUND(IF(WWWW[[#This Row],[Total PoP ]]&lt;500,1,WWWW[[#This Row],[Total PoP ]]/500),0)</f>
        <v>3</v>
      </c>
      <c r="DB358" s="893">
        <f>(WWWW[[#This Row],['#_Constructed latrines_by_WASHAgencies]]+WWWW[[#This Row],['#_Non Cluster partner latrines]])-WWWW[[#This Row],['#_Non-functional latrines]]</f>
        <v>14</v>
      </c>
      <c r="DC358" s="631">
        <f>WWWW[[#This Row],[HRP2]]/WWWW[[#This Row],[Total PoP ]]</f>
        <v>0.16726403823178015</v>
      </c>
      <c r="DD35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35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8" s="424">
        <f>IF(WWWW[[#This Row],['# of functional latrines in THF supported by WASH partners during the reporting period2]]="",0,WWWW[[#This Row],['# of functional latrines in THF supported by WASH partners during the reporting period2]]*50)</f>
        <v>0</v>
      </c>
      <c r="DH358" s="893">
        <f>ROUND(IF(WWWW[[#This Row],[Location Type 1]]="camp",WWWW[[#This Row],[Total PoP ]]/20,IF(WWWW[[#This Row],[Location Type 1]]="Temporary Location",WWWW[[#This Row],[Total PoP ]]/50,(WWWW[[#This Row],[Total PoP ]]/6))),0)</f>
        <v>84</v>
      </c>
      <c r="DI358" s="893">
        <f>IF(WWWW[[#This Row],[Total required Latrines]]-(WWWW[[#This Row],['#_Constructed latrines_by_WASHAgencies]]+WWWW[[#This Row],['#_Non Cluster partner latrines]])&lt;0,0,WWWW[[#This Row],[Total required Latrines]]-(WWWW[[#This Row],['#_Constructed latrines_by_WASHAgencies]]+WWWW[[#This Row],['#_Non Cluster partner latrines]]))</f>
        <v>54</v>
      </c>
      <c r="DJ358" s="895">
        <f>1-WWWW[[#This Row],[% people access to functioning Latrine]]</f>
        <v>0.83273596176821985</v>
      </c>
      <c r="DK358" s="894">
        <f>IF(OR(WWWW[[#This Row],['#_Non-functional latrines]]="",WWWW[[#This Row],['#_Non-functional latrines]]=0),0,WWWW[[#This Row],['#_Non-functional latrines]]/(WWWW[[#This Row],['#_Constructed latrines_by_WASHAgencies]]+WWWW[[#This Row],['#_Non Cluster partner latrines]]))</f>
        <v>0.53333333333333333</v>
      </c>
      <c r="DL358" s="890">
        <f>IF(500*(WWWW[[#This Row],['#_male hygiene promoters]]+WWWW[[#This Row],['#_female hygiene promoters]])&gt;WWWW[[#This Row],[Total PoP ]],WWWW[[#This Row],[Total PoP ]],500*(WWWW[[#This Row],['#_male hygiene promoters]]+WWWW[[#This Row],['#_female hygiene promoters]]))</f>
        <v>0</v>
      </c>
      <c r="DM35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5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8" s="893">
        <f>IF(WWWW[[#This Row],['# People with access to soap]]&gt;WWWW[[#This Row],['# People with access to Sanity Pads]],WWWW[[#This Row],['# People with access to soap]],WWWW[[#This Row],['# People with access to Sanity Pads]])</f>
        <v>0</v>
      </c>
      <c r="DP358"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58" s="895">
        <f>IF(WWWW[[#This Row],[HRP3]]/WWWW[[#This Row],[Total PoP ]]&gt;1,1,WWWW[[#This Row],[HRP3]]/WWWW[[#This Row],[Total PoP ]])</f>
        <v>0</v>
      </c>
      <c r="DR358" s="894">
        <f>1-WWWW[[#This Row],[Hygiene Coverage%]]</f>
        <v>1</v>
      </c>
      <c r="DS358" s="892">
        <f>WWWW[[#This Row],['# people reached by regular dedicated hygiene promotion_5]]/WWWW[[#This Row],[Total PoP ]]</f>
        <v>0</v>
      </c>
      <c r="DT35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5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8" s="893">
        <f>WWWW[[#This Row],['#_Constructed/Existing hand washing stations]]-WWWW[[#This Row],['#_Non-Functional_hand_washing_stations]]</f>
        <v>1</v>
      </c>
      <c r="DW358" s="890">
        <f>IF(WWWW[[#This Row],['# Functional hand washing stations during reporting period]]*20&gt;WWWW[[#This Row],[Total HH]],WWWW[[#This Row],[Total HH]],WWWW[[#This Row],['# Functional hand washing stations during reporting period]]*20)</f>
        <v>20</v>
      </c>
      <c r="DX358" s="890">
        <f>IF(WWWW[[#This Row],[Is sufficient soap available for TLS? (Yes/No)]]="yes",WWWW[[#This Row],['#_Constructed/Existing hand washing stations at TLS/CFS/THF]],0)</f>
        <v>0</v>
      </c>
      <c r="DY358" s="428">
        <f>IF(WWWW[[#This Row],['# Functional hand washing stations during reporting period]]*100&gt;WWWW[[#This Row],[Total PoP ]],WWWW[[#This Row],[Total PoP ]],WWWW[[#This Row],['# Functional hand washing stations during reporting period]]*100)</f>
        <v>100</v>
      </c>
      <c r="DZ358" s="428" t="str">
        <f>IF(OR(WWWW[[#This Row],['#_students at TLS_CFS]]="",WWWW[[#This Row],['#_students at TLS_CFS]]=0),"No","Yes")</f>
        <v>No</v>
      </c>
      <c r="EA35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D35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8" s="886">
        <f>VLOOKUP(WWWW[[#This Row],[Site Name]],SiteDB6[[Site Name]:[CCCM Management]],6,FALSE)</f>
        <v>0</v>
      </c>
      <c r="EF358" s="886">
        <f>VLOOKUP(WWWW[[#This Row],[Site Name]],SiteDB6[[Site Name]:[CCCM Focal Agency]],7,FALSE)</f>
        <v>0</v>
      </c>
      <c r="EG358" s="886" t="str">
        <f>VLOOKUP(WWWW[[#This Row],[Site Name]],SiteDB6[[Site Name]:[Location Type 1]],9,FALSE)</f>
        <v>Camp</v>
      </c>
      <c r="EH358" s="886" t="str">
        <f>VLOOKUP(WWWW[[#This Row],[Site Name]],SiteDB6[[Site Name]:[Type of Accommodation]],10,FALSE)</f>
        <v>Camp Like setting</v>
      </c>
      <c r="EI358" s="886" t="str">
        <f>VLOOKUP(WWWW[[#This Row],[Site Name]],SiteDB6[[Site Name]:[Ethnic or GCA/NGCA]],11,FALSE)</f>
        <v>GCA</v>
      </c>
      <c r="EJ358" s="886">
        <f>VLOOKUP(WWWW[[#This Row],[Site Name]],SiteDB6[[Site Name]:[Lat]],12,FALSE)</f>
        <v>23.420603</v>
      </c>
      <c r="EK358" s="886">
        <f>VLOOKUP(WWWW[[#This Row],[Site Name]],SiteDB6[[Site Name]:[Long]],13,FALSE)</f>
        <v>98.451791999999998</v>
      </c>
      <c r="EL358" s="886" t="str">
        <f>VLOOKUP(WWWW[[#This Row],[Site Name]],SiteDB6[[Site Name]:[Pcode]],3,FALSE)</f>
        <v>MMR015CMP069</v>
      </c>
      <c r="EM358" s="891" t="str">
        <f t="shared" si="5"/>
        <v>Covered</v>
      </c>
      <c r="EN358" s="891"/>
      <c r="EO358" s="886">
        <f>VLOOKUP(WWWW[[#This Row],[Site Name]],SiteDB6[[Site Name]:[Pop
(Kachin/Shan-CCCM as of July 2021)]],16,FALSE)</f>
        <v>166</v>
      </c>
      <c r="EP358" s="886">
        <f>VLOOKUP(WWWW[[#This Row],[Site Name]],SiteDB6[[Site Name]:[Pop
(Kachin/Shan-CCCM as of July 2021)]],17,FALSE)</f>
        <v>830</v>
      </c>
    </row>
    <row r="359" spans="1:146" hidden="1">
      <c r="A359" s="884" t="s">
        <v>2764</v>
      </c>
      <c r="B359" s="884" t="s">
        <v>192</v>
      </c>
      <c r="C359" s="885" t="s">
        <v>192</v>
      </c>
      <c r="D359" s="885" t="s">
        <v>2673</v>
      </c>
      <c r="E359" s="885" t="s">
        <v>515</v>
      </c>
      <c r="F359" s="885" t="s">
        <v>525</v>
      </c>
      <c r="G359" s="591" t="str">
        <f>VLOOKUP(WWWW[[#This Row],[Site Name]],SiteDB6[[Site Name]:[Location Type]],8,FALSE)</f>
        <v>Camp</v>
      </c>
      <c r="H359" s="885" t="s">
        <v>555</v>
      </c>
      <c r="I359" s="904">
        <v>210</v>
      </c>
      <c r="J359" s="904">
        <v>806</v>
      </c>
      <c r="K359" s="888" t="s">
        <v>2767</v>
      </c>
      <c r="L359" s="889" t="s">
        <v>2768</v>
      </c>
      <c r="M359" s="887"/>
      <c r="N359" s="887"/>
      <c r="O359" s="887"/>
      <c r="P359" s="887"/>
      <c r="Q359" s="890"/>
      <c r="R359" s="887"/>
      <c r="S359" s="887"/>
      <c r="T359" s="448"/>
      <c r="U359" s="887"/>
      <c r="V359" s="887"/>
      <c r="W359" s="887"/>
      <c r="X359" s="887"/>
      <c r="Y359" s="887"/>
      <c r="Z359" s="887"/>
      <c r="AA359" s="887">
        <v>18</v>
      </c>
      <c r="AB359" s="887"/>
      <c r="AC359" s="887"/>
      <c r="AD359" s="887"/>
      <c r="AE359" s="887"/>
      <c r="AF359" s="887"/>
      <c r="AG359" s="887"/>
      <c r="AH359" s="887">
        <v>1</v>
      </c>
      <c r="AI359" s="887"/>
      <c r="AJ359" s="887"/>
      <c r="AK359" s="887"/>
      <c r="AL359" s="887"/>
      <c r="AM359" s="887"/>
      <c r="AN359" s="887"/>
      <c r="AO359" s="448"/>
      <c r="AP359" s="891"/>
      <c r="AQ359" s="904">
        <v>6</v>
      </c>
      <c r="AR359" s="887"/>
      <c r="AS359" s="892"/>
      <c r="AT359" s="887"/>
      <c r="AU359" s="887"/>
      <c r="AV359" s="887"/>
      <c r="AW359" s="887"/>
      <c r="AX359" s="887"/>
      <c r="AY359" s="886" t="s">
        <v>136</v>
      </c>
      <c r="AZ359" s="891" t="s">
        <v>904</v>
      </c>
      <c r="BA359" s="887"/>
      <c r="BB359" s="887"/>
      <c r="BC359" s="887"/>
      <c r="BD359" s="448"/>
      <c r="BE359" s="448"/>
      <c r="BF359" s="886"/>
      <c r="BG359" s="887">
        <v>1</v>
      </c>
      <c r="BH359" s="887"/>
      <c r="BI359" s="887"/>
      <c r="BJ359" s="887">
        <v>3</v>
      </c>
      <c r="BK359" s="887"/>
      <c r="BL359" s="887"/>
      <c r="BM359" s="887">
        <v>2</v>
      </c>
      <c r="BN359" s="887">
        <v>210</v>
      </c>
      <c r="BO359" s="887"/>
      <c r="BP359" s="425" t="s">
        <v>41</v>
      </c>
      <c r="BQ359" s="893"/>
      <c r="BR359" s="892"/>
      <c r="BS359" s="886"/>
      <c r="BT359" s="423"/>
      <c r="BU359" s="423"/>
      <c r="BV359" s="425"/>
      <c r="BW359" s="423"/>
      <c r="BX359" s="448"/>
      <c r="BY359" s="448"/>
      <c r="BZ359" s="448"/>
      <c r="CA359" s="448"/>
      <c r="CB359" s="448"/>
      <c r="CC359" s="777"/>
      <c r="CD359" s="448"/>
      <c r="CE359" s="894" t="str">
        <f>IFERROR(WWWW[[#This Row],['#_Water sources passed]]/WWWW[[#This Row],['#_Water sources tested for fecal coliform ]],"no test")</f>
        <v>no test</v>
      </c>
      <c r="CF359" s="892" t="str">
        <f>IFERROR(WWWW[[#This Row],['#_Household passed]]/WWWW[[#This Row],['#_Household water samples tested for fecal coliform]],"no test")</f>
        <v>no test</v>
      </c>
      <c r="CG359" s="893" t="str">
        <f>IF(AND(WWWW[[#This Row],[% of water sources passed]]="no test",WWWW[[#This Row],[% Household passed]]="no test"),"No Test","Tested")</f>
        <v>No Test</v>
      </c>
      <c r="CH359" s="893">
        <f>WWWW[[#This Row],['#_Constructed/existing protected hand dug well]]-WWWW[[#This Row],['#_Non-functional protected hand dug well]]</f>
        <v>0</v>
      </c>
      <c r="CI359" s="893">
        <f>(WWWW[[#This Row],['#_Constructed/Existing tube wells/boreholes/handpumps_WASH_agency]]+WWWW[[#This Row],['#_Non-Cluster partner water tube-wells/boreholes/handpumps]])-WWWW[[#This Row],['#_Non-functional tube wells/boreholes/handpumps]]</f>
        <v>0</v>
      </c>
      <c r="CJ359" s="893">
        <f>WWWW[[#This Row],['#_Constructed/Existingwater storage tank with gravity fed reticulation system]]-WWWW[[#This Row],['#_Non-functional storage tank gravity fed reticulation system]]</f>
        <v>18</v>
      </c>
      <c r="CK359" s="893">
        <f>(WWWW[[#This Row],['#_Water_Liters_supplied_by_Water boating or water trucking]]/90)/15</f>
        <v>0</v>
      </c>
      <c r="CL359" s="893">
        <f>WWWW[[#This Row],['#_Water_Liters_from_Constructed/Existing water distribution system from river or natural spring]]/90/15</f>
        <v>0</v>
      </c>
      <c r="CM359" s="424">
        <f>IF(WWWW[[#This Row],['#_of water points in TLS/CFS]]*500&gt;WWWW[[#This Row],[Total PoP ]],WWWW[[#This Row],[Total PoP ]],WWWW[[#This Row],['#_of water points in TLS/CFS]]*500)</f>
        <v>0</v>
      </c>
      <c r="CN359" s="424">
        <f>IF(WWWW[[#This Row],['#_of water points in THF]]*500&gt;WWWW[[#This Row],[Total PoP ]],WWWW[[#This Row],[Total PoP ]],WWWW[[#This Row],['#_of water points in THF]]*500)</f>
        <v>0</v>
      </c>
      <c r="CO35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9" s="892">
        <f>IF(WWWW[[#This Row],[Location Type 1]]="Village",WWWW[[#This Row],[Access to safe drinking water for Village]],WWWW[[#This Row],[Access to safe drinking water for Camp]])</f>
        <v>1</v>
      </c>
      <c r="CR359" s="890">
        <f>WWWW[[#This Row],[%Equitable and continuous access to sufficient quantity of safe drinking water]]*WWWW[[#This Row],[Total PoP ]]</f>
        <v>806</v>
      </c>
      <c r="CS359" s="892">
        <f>IF((WWWW[[#This Row],['#_Constructed/Existing protected/fenced ponds]]*250)/WWWW[[#This Row],[Total PoP ]]&gt;1,1,(WWWW[[#This Row],['#_Constructed/Existing protected/fenced ponds]]*250)/WWWW[[#This Row],[Total PoP ]])</f>
        <v>0</v>
      </c>
      <c r="CT359" s="890">
        <f>WWWW[[#This Row],[% Access to unimproved water points]]*WWWW[[#This Row],[Total PoP ]]</f>
        <v>0</v>
      </c>
      <c r="CU35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806</v>
      </c>
      <c r="CW359" s="890">
        <f>WWWW[[#This Row],[HRP1]]/500</f>
        <v>1.6120000000000001</v>
      </c>
      <c r="CX359" s="895">
        <f>1-WWWW[[#This Row],[% Equitable and continuous access to sufficient quantity of domestic water]]</f>
        <v>0</v>
      </c>
      <c r="CY359" s="890">
        <f>WWWW[[#This Row],[%equitable and continuous access to sufficient quantity of safe drinking and domestic water''s GAP]]*WWWW[[#This Row],[Total PoP ]]</f>
        <v>0</v>
      </c>
      <c r="CZ359" s="893">
        <f>IF(WWWW[[#This Row],[Total required water points]]-WWWW[[#This Row],['#Water points coverage]]&lt;0,0,WWWW[[#This Row],[Total required water points]]-WWWW[[#This Row],['#Water points coverage]])</f>
        <v>0.3879999999999999</v>
      </c>
      <c r="DA359" s="893">
        <f>ROUND(IF(WWWW[[#This Row],[Total PoP ]]&lt;500,1,WWWW[[#This Row],[Total PoP ]]/500),0)</f>
        <v>2</v>
      </c>
      <c r="DB359" s="893">
        <f>(WWWW[[#This Row],['#_Constructed latrines_by_WASHAgencies]]+WWWW[[#This Row],['#_Non Cluster partner latrines]])-WWWW[[#This Row],['#_Non-functional latrines]]</f>
        <v>6</v>
      </c>
      <c r="DC359" s="631">
        <f>WWWW[[#This Row],[HRP2]]/WWWW[[#This Row],[Total PoP ]]</f>
        <v>0.14888337468982629</v>
      </c>
      <c r="DD35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35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9" s="424">
        <f>IF(WWWW[[#This Row],['# of functional latrines in THF supported by WASH partners during the reporting period2]]="",0,WWWW[[#This Row],['# of functional latrines in THF supported by WASH partners during the reporting period2]]*50)</f>
        <v>0</v>
      </c>
      <c r="DH359" s="893">
        <f>ROUND(IF(WWWW[[#This Row],[Location Type 1]]="camp",WWWW[[#This Row],[Total PoP ]]/20,IF(WWWW[[#This Row],[Location Type 1]]="Temporary Location",WWWW[[#This Row],[Total PoP ]]/50,(WWWW[[#This Row],[Total PoP ]]/6))),0)</f>
        <v>40</v>
      </c>
      <c r="DI359" s="893">
        <f>IF(WWWW[[#This Row],[Total required Latrines]]-(WWWW[[#This Row],['#_Constructed latrines_by_WASHAgencies]]+WWWW[[#This Row],['#_Non Cluster partner latrines]])&lt;0,0,WWWW[[#This Row],[Total required Latrines]]-(WWWW[[#This Row],['#_Constructed latrines_by_WASHAgencies]]+WWWW[[#This Row],['#_Non Cluster partner latrines]]))</f>
        <v>34</v>
      </c>
      <c r="DJ359" s="895">
        <f>1-WWWW[[#This Row],[% people access to functioning Latrine]]</f>
        <v>0.85111662531017374</v>
      </c>
      <c r="DK359" s="894">
        <f>IF(OR(WWWW[[#This Row],['#_Non-functional latrines]]="",WWWW[[#This Row],['#_Non-functional latrines]]=0),0,WWWW[[#This Row],['#_Non-functional latrines]]/(WWWW[[#This Row],['#_Constructed latrines_by_WASHAgencies]]+WWWW[[#This Row],['#_Non Cluster partner latrines]]))</f>
        <v>0</v>
      </c>
      <c r="DL359" s="890">
        <f>IF(500*(WWWW[[#This Row],['#_male hygiene promoters]]+WWWW[[#This Row],['#_female hygiene promoters]])&gt;WWWW[[#This Row],[Total PoP ]],WWWW[[#This Row],[Total PoP ]],500*(WWWW[[#This Row],['#_male hygiene promoters]]+WWWW[[#This Row],['#_female hygiene promoters]]))</f>
        <v>806</v>
      </c>
      <c r="DM35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806</v>
      </c>
      <c r="DN35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9" s="893">
        <f>IF(WWWW[[#This Row],['# People with access to soap]]&gt;WWWW[[#This Row],['# People with access to Sanity Pads]],WWWW[[#This Row],['# People with access to soap]],WWWW[[#This Row],['# People with access to Sanity Pads]])</f>
        <v>806</v>
      </c>
      <c r="DP359" s="893">
        <f>IF(WWWW[[#This Row],['# people reached by regular dedicated hygiene promotion_5]]&gt;WWWW[[#This Row],['# People received regular supply of hygiene items_6]],WWWW[[#This Row],['# people reached by regular dedicated hygiene promotion_5]],WWWW[[#This Row],['# People received regular supply of hygiene items_6]])</f>
        <v>806</v>
      </c>
      <c r="DQ359" s="895">
        <f>IF(WWWW[[#This Row],[HRP3]]/WWWW[[#This Row],[Total PoP ]]&gt;1,1,WWWW[[#This Row],[HRP3]]/WWWW[[#This Row],[Total PoP ]])</f>
        <v>1</v>
      </c>
      <c r="DR359" s="894">
        <f>1-WWWW[[#This Row],[Hygiene Coverage%]]</f>
        <v>0</v>
      </c>
      <c r="DS359" s="892">
        <f>WWWW[[#This Row],['# people reached by regular dedicated hygiene promotion_5]]/WWWW[[#This Row],[Total PoP ]]</f>
        <v>1</v>
      </c>
      <c r="DT35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5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9" s="893">
        <f>WWWW[[#This Row],['#_Constructed/Existing hand washing stations]]-WWWW[[#This Row],['#_Non-Functional_hand_washing_stations]]</f>
        <v>1</v>
      </c>
      <c r="DW359" s="890">
        <f>IF(WWWW[[#This Row],['# Functional hand washing stations during reporting period]]*20&gt;WWWW[[#This Row],[Total HH]],WWWW[[#This Row],[Total HH]],WWWW[[#This Row],['# Functional hand washing stations during reporting period]]*20)</f>
        <v>20</v>
      </c>
      <c r="DX359" s="890">
        <f>IF(WWWW[[#This Row],[Is sufficient soap available for TLS? (Yes/No)]]="yes",WWWW[[#This Row],['#_Constructed/Existing hand washing stations at TLS/CFS/THF]],0)</f>
        <v>0</v>
      </c>
      <c r="DY359" s="428">
        <f>IF(WWWW[[#This Row],['# Functional hand washing stations during reporting period]]*100&gt;WWWW[[#This Row],[Total PoP ]],WWWW[[#This Row],[Total PoP ]],WWWW[[#This Row],['# Functional hand washing stations during reporting period]]*100)</f>
        <v>100</v>
      </c>
      <c r="DZ359" s="428" t="str">
        <f>IF(OR(WWWW[[#This Row],['#_students at TLS_CFS]]="",WWWW[[#This Row],['#_students at TLS_CFS]]=0),"No","Yes")</f>
        <v>No</v>
      </c>
      <c r="EA35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9" s="886" t="str">
        <f>VLOOKUP(WWWW[[#This Row],[Site Name]],SiteDB6[[Site Name]:[CCCM Management]],6,FALSE)</f>
        <v>Yes</v>
      </c>
      <c r="EF359" s="886" t="str">
        <f>VLOOKUP(WWWW[[#This Row],[Site Name]],SiteDB6[[Site Name]:[CCCM Focal Agency]],7,FALSE)</f>
        <v>KBC-NSS</v>
      </c>
      <c r="EG359" s="886" t="str">
        <f>VLOOKUP(WWWW[[#This Row],[Site Name]],SiteDB6[[Site Name]:[Location Type 1]],9,FALSE)</f>
        <v>Camp</v>
      </c>
      <c r="EH359" s="886" t="str">
        <f>VLOOKUP(WWWW[[#This Row],[Site Name]],SiteDB6[[Site Name]:[Type of Accommodation]],10,FALSE)</f>
        <v>Camp</v>
      </c>
      <c r="EI359" s="886" t="str">
        <f>VLOOKUP(WWWW[[#This Row],[Site Name]],SiteDB6[[Site Name]:[Ethnic or GCA/NGCA]],11,FALSE)</f>
        <v>GCA</v>
      </c>
      <c r="EJ359" s="886">
        <f>VLOOKUP(WWWW[[#This Row],[Site Name]],SiteDB6[[Site Name]:[Lat]],12,FALSE)</f>
        <v>24.08738</v>
      </c>
      <c r="EK359" s="886">
        <f>VLOOKUP(WWWW[[#This Row],[Site Name]],SiteDB6[[Site Name]:[Long]],13,FALSE)</f>
        <v>98.115809999999996</v>
      </c>
      <c r="EL359" s="886" t="str">
        <f>VLOOKUP(WWWW[[#This Row],[Site Name]],SiteDB6[[Site Name]:[Pcode]],3,FALSE)</f>
        <v>MMR015CMP065</v>
      </c>
      <c r="EM359" s="891" t="str">
        <f t="shared" si="5"/>
        <v>Covered</v>
      </c>
      <c r="EN359" s="891"/>
      <c r="EO359" s="886">
        <f>VLOOKUP(WWWW[[#This Row],[Site Name]],SiteDB6[[Site Name]:[Pop
(Kachin/Shan-CCCM as of July 2021)]],16,FALSE)</f>
        <v>306</v>
      </c>
      <c r="EP359" s="886">
        <f>VLOOKUP(WWWW[[#This Row],[Site Name]],SiteDB6[[Site Name]:[Pop
(Kachin/Shan-CCCM as of July 2021)]],17,FALSE)</f>
        <v>1573</v>
      </c>
    </row>
    <row r="360" spans="1:146" hidden="1">
      <c r="A360" s="884" t="s">
        <v>2764</v>
      </c>
      <c r="B360" s="884" t="s">
        <v>192</v>
      </c>
      <c r="C360" s="885" t="s">
        <v>192</v>
      </c>
      <c r="D360" s="885" t="s">
        <v>241</v>
      </c>
      <c r="E360" s="885" t="s">
        <v>515</v>
      </c>
      <c r="F360" s="885" t="s">
        <v>536</v>
      </c>
      <c r="G360" s="591" t="str">
        <f>VLOOKUP(WWWW[[#This Row],[Site Name]],SiteDB6[[Site Name]:[Location Type]],8,FALSE)</f>
        <v>Relocated</v>
      </c>
      <c r="H360" s="885" t="s">
        <v>2954</v>
      </c>
      <c r="I360" s="887">
        <v>19</v>
      </c>
      <c r="J360" s="887">
        <v>77</v>
      </c>
      <c r="K360" s="888">
        <v>44511</v>
      </c>
      <c r="L360" s="889">
        <v>44845</v>
      </c>
      <c r="M360" s="887"/>
      <c r="N360" s="887"/>
      <c r="O360" s="887"/>
      <c r="P360" s="887"/>
      <c r="Q360" s="890"/>
      <c r="R360" s="887"/>
      <c r="S360" s="887"/>
      <c r="T360" s="448"/>
      <c r="U360" s="887"/>
      <c r="V360" s="887"/>
      <c r="W360" s="887">
        <v>1</v>
      </c>
      <c r="X360" s="887"/>
      <c r="Y360" s="887"/>
      <c r="Z360" s="887"/>
      <c r="AA360" s="887"/>
      <c r="AB360" s="887"/>
      <c r="AC360" s="887"/>
      <c r="AD360" s="887"/>
      <c r="AE360" s="887"/>
      <c r="AF360" s="887"/>
      <c r="AG360" s="887"/>
      <c r="AH360" s="887"/>
      <c r="AI360" s="887"/>
      <c r="AJ360" s="887"/>
      <c r="AK360" s="887"/>
      <c r="AL360" s="887"/>
      <c r="AM360" s="887"/>
      <c r="AN360" s="887"/>
      <c r="AO360" s="448"/>
      <c r="AP360" s="891"/>
      <c r="AQ360" s="887"/>
      <c r="AR360" s="887">
        <v>4</v>
      </c>
      <c r="AS360" s="892"/>
      <c r="AT360" s="887"/>
      <c r="AU360" s="887"/>
      <c r="AV360" s="887"/>
      <c r="AW360" s="887"/>
      <c r="AX360" s="887"/>
      <c r="AY360" s="886" t="s">
        <v>140</v>
      </c>
      <c r="AZ360" s="891" t="s">
        <v>140</v>
      </c>
      <c r="BA360" s="887"/>
      <c r="BB360" s="887"/>
      <c r="BC360" s="887"/>
      <c r="BD360" s="448"/>
      <c r="BE360" s="448"/>
      <c r="BF360" s="886"/>
      <c r="BG360" s="887">
        <v>8</v>
      </c>
      <c r="BH360" s="887"/>
      <c r="BI360" s="887"/>
      <c r="BJ360" s="887"/>
      <c r="BK360" s="887"/>
      <c r="BL360" s="887"/>
      <c r="BM360" s="887"/>
      <c r="BN360" s="887"/>
      <c r="BO360" s="887"/>
      <c r="BP360" s="425" t="s">
        <v>41</v>
      </c>
      <c r="BQ360" s="893"/>
      <c r="BR360" s="892">
        <v>1</v>
      </c>
      <c r="BS360" s="886"/>
      <c r="BT360" s="423"/>
      <c r="BU360" s="423"/>
      <c r="BV360" s="425"/>
      <c r="BW360" s="423"/>
      <c r="BX360" s="448"/>
      <c r="BY360" s="448"/>
      <c r="BZ360" s="448"/>
      <c r="CA360" s="448"/>
      <c r="CB360" s="448"/>
      <c r="CC360" s="777"/>
      <c r="CD360" s="448"/>
      <c r="CE360" s="894" t="str">
        <f>IFERROR(WWWW[[#This Row],['#_Water sources passed]]/WWWW[[#This Row],['#_Water sources tested for fecal coliform ]],"no test")</f>
        <v>no test</v>
      </c>
      <c r="CF360" s="892" t="str">
        <f>IFERROR(WWWW[[#This Row],['#_Household passed]]/WWWW[[#This Row],['#_Household water samples tested for fecal coliform]],"no test")</f>
        <v>no test</v>
      </c>
      <c r="CG360" s="893" t="str">
        <f>IF(AND(WWWW[[#This Row],[% of water sources passed]]="no test",WWWW[[#This Row],[% Household passed]]="no test"),"No Test","Tested")</f>
        <v>No Test</v>
      </c>
      <c r="CH360" s="893">
        <f>WWWW[[#This Row],['#_Constructed/existing protected hand dug well]]-WWWW[[#This Row],['#_Non-functional protected hand dug well]]</f>
        <v>0</v>
      </c>
      <c r="CI360" s="893">
        <f>(WWWW[[#This Row],['#_Constructed/Existing tube wells/boreholes/handpumps_WASH_agency]]+WWWW[[#This Row],['#_Non-Cluster partner water tube-wells/boreholes/handpumps]])-WWWW[[#This Row],['#_Non-functional tube wells/boreholes/handpumps]]</f>
        <v>1</v>
      </c>
      <c r="CJ360" s="893">
        <f>WWWW[[#This Row],['#_Constructed/Existingwater storage tank with gravity fed reticulation system]]-WWWW[[#This Row],['#_Non-functional storage tank gravity fed reticulation system]]</f>
        <v>0</v>
      </c>
      <c r="CK360" s="893">
        <f>(WWWW[[#This Row],['#_Water_Liters_supplied_by_Water boating or water trucking]]/90)/15</f>
        <v>0</v>
      </c>
      <c r="CL360" s="893">
        <f>WWWW[[#This Row],['#_Water_Liters_from_Constructed/Existing water distribution system from river or natural spring]]/90/15</f>
        <v>0</v>
      </c>
      <c r="CM360" s="424">
        <f>IF(WWWW[[#This Row],['#_of water points in TLS/CFS]]*500&gt;WWWW[[#This Row],[Total PoP ]],WWWW[[#This Row],[Total PoP ]],WWWW[[#This Row],['#_of water points in TLS/CFS]]*500)</f>
        <v>0</v>
      </c>
      <c r="CN360" s="424">
        <f>IF(WWWW[[#This Row],['#_of water points in THF]]*500&gt;WWWW[[#This Row],[Total PoP ]],WWWW[[#This Row],[Total PoP ]],WWWW[[#This Row],['#_of water points in THF]]*500)</f>
        <v>0</v>
      </c>
      <c r="CO36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0" s="892">
        <f>IF(WWWW[[#This Row],[Location Type 1]]="Village",WWWW[[#This Row],[Access to safe drinking water for Village]],WWWW[[#This Row],[Access to safe drinking water for Camp]])</f>
        <v>1</v>
      </c>
      <c r="CR360" s="890">
        <f>WWWW[[#This Row],[%Equitable and continuous access to sufficient quantity of safe drinking water]]*WWWW[[#This Row],[Total PoP ]]</f>
        <v>77</v>
      </c>
      <c r="CS360" s="892">
        <f>IF((WWWW[[#This Row],['#_Constructed/Existing protected/fenced ponds]]*250)/WWWW[[#This Row],[Total PoP ]]&gt;1,1,(WWWW[[#This Row],['#_Constructed/Existing protected/fenced ponds]]*250)/WWWW[[#This Row],[Total PoP ]])</f>
        <v>0</v>
      </c>
      <c r="CT360" s="890">
        <f>WWWW[[#This Row],[% Access to unimproved water points]]*WWWW[[#This Row],[Total PoP ]]</f>
        <v>0</v>
      </c>
      <c r="CU36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W360" s="890">
        <f>WWWW[[#This Row],[HRP1]]/500</f>
        <v>0.154</v>
      </c>
      <c r="CX360" s="895">
        <f>1-WWWW[[#This Row],[% Equitable and continuous access to sufficient quantity of domestic water]]</f>
        <v>0</v>
      </c>
      <c r="CY360" s="890">
        <f>WWWW[[#This Row],[%equitable and continuous access to sufficient quantity of safe drinking and domestic water''s GAP]]*WWWW[[#This Row],[Total PoP ]]</f>
        <v>0</v>
      </c>
      <c r="CZ360" s="893">
        <f>IF(WWWW[[#This Row],[Total required water points]]-WWWW[[#This Row],['#Water points coverage]]&lt;0,0,WWWW[[#This Row],[Total required water points]]-WWWW[[#This Row],['#Water points coverage]])</f>
        <v>0.84599999999999997</v>
      </c>
      <c r="DA360" s="893">
        <f>ROUND(IF(WWWW[[#This Row],[Total PoP ]]&lt;500,1,WWWW[[#This Row],[Total PoP ]]/500),0)</f>
        <v>1</v>
      </c>
      <c r="DB360" s="893">
        <f>(WWWW[[#This Row],['#_Constructed latrines_by_WASHAgencies]]+WWWW[[#This Row],['#_Non Cluster partner latrines]])-WWWW[[#This Row],['#_Non-functional latrines]]</f>
        <v>4</v>
      </c>
      <c r="DC360" s="631">
        <f>WWWW[[#This Row],[HRP2]]/WWWW[[#This Row],[Total PoP ]]</f>
        <v>0.25974025974025972</v>
      </c>
      <c r="DD36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DE36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0" s="424">
        <f>IF(WWWW[[#This Row],['# of functional latrines in THF supported by WASH partners during the reporting period2]]="",0,WWWW[[#This Row],['# of functional latrines in THF supported by WASH partners during the reporting period2]]*50)</f>
        <v>0</v>
      </c>
      <c r="DH360" s="893">
        <f>ROUND(IF(WWWW[[#This Row],[Location Type 1]]="camp",WWWW[[#This Row],[Total PoP ]]/20,IF(WWWW[[#This Row],[Location Type 1]]="Temporary Location",WWWW[[#This Row],[Total PoP ]]/50,(WWWW[[#This Row],[Total PoP ]]/6))),0)</f>
        <v>13</v>
      </c>
      <c r="DI360" s="893">
        <f>IF(WWWW[[#This Row],[Total required Latrines]]-(WWWW[[#This Row],['#_Constructed latrines_by_WASHAgencies]]+WWWW[[#This Row],['#_Non Cluster partner latrines]])&lt;0,0,WWWW[[#This Row],[Total required Latrines]]-(WWWW[[#This Row],['#_Constructed latrines_by_WASHAgencies]]+WWWW[[#This Row],['#_Non Cluster partner latrines]]))</f>
        <v>9</v>
      </c>
      <c r="DJ360" s="895">
        <f>1-WWWW[[#This Row],[% people access to functioning Latrine]]</f>
        <v>0.74025974025974028</v>
      </c>
      <c r="DK360" s="894">
        <f>IF(OR(WWWW[[#This Row],['#_Non-functional latrines]]="",WWWW[[#This Row],['#_Non-functional latrines]]=0),0,WWWW[[#This Row],['#_Non-functional latrines]]/(WWWW[[#This Row],['#_Constructed latrines_by_WASHAgencies]]+WWWW[[#This Row],['#_Non Cluster partner latrines]]))</f>
        <v>0</v>
      </c>
      <c r="DL360" s="890">
        <f>IF(500*(WWWW[[#This Row],['#_male hygiene promoters]]+WWWW[[#This Row],['#_female hygiene promoters]])&gt;WWWW[[#This Row],[Total PoP ]],WWWW[[#This Row],[Total PoP ]],500*(WWWW[[#This Row],['#_male hygiene promoters]]+WWWW[[#This Row],['#_female hygiene promoters]]))</f>
        <v>0</v>
      </c>
      <c r="DM36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0" s="893">
        <f>IF(WWWW[[#This Row],['# People with access to soap]]&gt;WWWW[[#This Row],['# People with access to Sanity Pads]],WWWW[[#This Row],['# People with access to soap]],WWWW[[#This Row],['# People with access to Sanity Pads]])</f>
        <v>0</v>
      </c>
      <c r="DP360"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60" s="895">
        <f>IF(WWWW[[#This Row],[HRP3]]/WWWW[[#This Row],[Total PoP ]]&gt;1,1,WWWW[[#This Row],[HRP3]]/WWWW[[#This Row],[Total PoP ]])</f>
        <v>0</v>
      </c>
      <c r="DR360" s="894">
        <f>1-WWWW[[#This Row],[Hygiene Coverage%]]</f>
        <v>1</v>
      </c>
      <c r="DS360" s="892">
        <f>WWWW[[#This Row],['# people reached by regular dedicated hygiene promotion_5]]/WWWW[[#This Row],[Total PoP ]]</f>
        <v>0</v>
      </c>
      <c r="DT36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0" s="893">
        <f>WWWW[[#This Row],['#_Constructed/Existing hand washing stations]]-WWWW[[#This Row],['#_Non-Functional_hand_washing_stations]]</f>
        <v>8</v>
      </c>
      <c r="DW360" s="890">
        <f>IF(WWWW[[#This Row],['# Functional hand washing stations during reporting period]]*20&gt;WWWW[[#This Row],[Total HH]],WWWW[[#This Row],[Total HH]],WWWW[[#This Row],['# Functional hand washing stations during reporting period]]*20)</f>
        <v>19</v>
      </c>
      <c r="DX360" s="890">
        <f>IF(WWWW[[#This Row],[Is sufficient soap available for TLS? (Yes/No)]]="yes",WWWW[[#This Row],['#_Constructed/Existing hand washing stations at TLS/CFS/THF]],0)</f>
        <v>0</v>
      </c>
      <c r="DY360" s="428">
        <f>IF(WWWW[[#This Row],['# Functional hand washing stations during reporting period]]*100&gt;WWWW[[#This Row],[Total PoP ]],WWWW[[#This Row],[Total PoP ]],WWWW[[#This Row],['# Functional hand washing stations during reporting period]]*100)</f>
        <v>77</v>
      </c>
      <c r="DZ360" s="428" t="str">
        <f>IF(OR(WWWW[[#This Row],['#_students at TLS_CFS]]="",WWWW[[#This Row],['#_students at TLS_CFS]]=0),"No","Yes")</f>
        <v>No</v>
      </c>
      <c r="EA36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0" s="886">
        <f>VLOOKUP(WWWW[[#This Row],[Site Name]],SiteDB6[[Site Name]:[CCCM Management]],6,FALSE)</f>
        <v>0</v>
      </c>
      <c r="EF360" s="886">
        <f>VLOOKUP(WWWW[[#This Row],[Site Name]],SiteDB6[[Site Name]:[CCCM Focal Agency]],7,FALSE)</f>
        <v>0</v>
      </c>
      <c r="EG360" s="886" t="str">
        <f>VLOOKUP(WWWW[[#This Row],[Site Name]],SiteDB6[[Site Name]:[Location Type 1]],9,FALSE)</f>
        <v>Relocated</v>
      </c>
      <c r="EH360" s="886" t="str">
        <f>VLOOKUP(WWWW[[#This Row],[Site Name]],SiteDB6[[Site Name]:[Type of Accommodation]],10,FALSE)</f>
        <v>Relocated-IDPs in host</v>
      </c>
      <c r="EI360" s="886" t="str">
        <f>VLOOKUP(WWWW[[#This Row],[Site Name]],SiteDB6[[Site Name]:[Ethnic or GCA/NGCA]],11,FALSE)</f>
        <v>GCA</v>
      </c>
      <c r="EJ360" s="886">
        <f>VLOOKUP(WWWW[[#This Row],[Site Name]],SiteDB6[[Site Name]:[Lat]],12,FALSE)</f>
        <v>23.078210830688501</v>
      </c>
      <c r="EK360" s="886">
        <f>VLOOKUP(WWWW[[#This Row],[Site Name]],SiteDB6[[Site Name]:[Long]],13,FALSE)</f>
        <v>97.411773681640597</v>
      </c>
      <c r="EL360" s="886" t="str">
        <f>VLOOKUP(WWWW[[#This Row],[Site Name]],SiteDB6[[Site Name]:[Pcode]],3,FALSE)</f>
        <v>MMR015CMP074</v>
      </c>
      <c r="EM360" s="891" t="str">
        <f t="shared" si="5"/>
        <v>Covered</v>
      </c>
      <c r="EN360" s="891"/>
      <c r="EO360" s="886">
        <f>VLOOKUP(WWWW[[#This Row],[Site Name]],SiteDB6[[Site Name]:[Pop
(Kachin/Shan-CCCM as of July 2021)]],16,FALSE)</f>
        <v>19</v>
      </c>
      <c r="EP360" s="886">
        <f>VLOOKUP(WWWW[[#This Row],[Site Name]],SiteDB6[[Site Name]:[Pop
(Kachin/Shan-CCCM as of July 2021)]],17,FALSE)</f>
        <v>77</v>
      </c>
    </row>
    <row r="361" spans="1:146" hidden="1">
      <c r="A361" s="884" t="s">
        <v>2764</v>
      </c>
      <c r="B361" s="884" t="s">
        <v>192</v>
      </c>
      <c r="C361" s="885" t="s">
        <v>192</v>
      </c>
      <c r="D361" s="885" t="s">
        <v>2673</v>
      </c>
      <c r="E361" s="885" t="s">
        <v>515</v>
      </c>
      <c r="F361" s="885" t="s">
        <v>519</v>
      </c>
      <c r="G361" s="591" t="str">
        <f>VLOOKUP(WWWW[[#This Row],[Site Name]],SiteDB6[[Site Name]:[Location Type]],8,FALSE)</f>
        <v>Camp</v>
      </c>
      <c r="H361" s="885" t="s">
        <v>1726</v>
      </c>
      <c r="I361" s="887">
        <v>29</v>
      </c>
      <c r="J361" s="887">
        <v>130</v>
      </c>
      <c r="K361" s="888" t="s">
        <v>2767</v>
      </c>
      <c r="L361" s="889" t="s">
        <v>2768</v>
      </c>
      <c r="M361" s="887"/>
      <c r="N361" s="887">
        <v>1</v>
      </c>
      <c r="O361" s="887"/>
      <c r="P361" s="887"/>
      <c r="Q361" s="890" t="s">
        <v>41</v>
      </c>
      <c r="R361" s="887">
        <v>4</v>
      </c>
      <c r="S361" s="887">
        <v>5</v>
      </c>
      <c r="T361" s="448"/>
      <c r="U361" s="887"/>
      <c r="V361" s="887"/>
      <c r="W361" s="887"/>
      <c r="X361" s="887"/>
      <c r="Y361" s="887"/>
      <c r="Z361" s="887"/>
      <c r="AA361" s="887">
        <v>13</v>
      </c>
      <c r="AB361" s="887"/>
      <c r="AC361" s="887"/>
      <c r="AD361" s="887"/>
      <c r="AE361" s="887"/>
      <c r="AF361" s="887"/>
      <c r="AG361" s="887"/>
      <c r="AH361" s="887"/>
      <c r="AI361" s="887"/>
      <c r="AJ361" s="887"/>
      <c r="AK361" s="887"/>
      <c r="AL361" s="887"/>
      <c r="AM361" s="887"/>
      <c r="AN361" s="887"/>
      <c r="AO361" s="448"/>
      <c r="AP361" s="891"/>
      <c r="AQ361" s="887">
        <v>30</v>
      </c>
      <c r="AR361" s="887"/>
      <c r="AS361" s="892"/>
      <c r="AT361" s="887"/>
      <c r="AU361" s="887"/>
      <c r="AV361" s="887"/>
      <c r="AW361" s="887"/>
      <c r="AX361" s="887"/>
      <c r="AY361" s="886" t="s">
        <v>41</v>
      </c>
      <c r="AZ361" s="891" t="s">
        <v>137</v>
      </c>
      <c r="BA361" s="887"/>
      <c r="BB361" s="887"/>
      <c r="BC361" s="887"/>
      <c r="BD361" s="448"/>
      <c r="BE361" s="448"/>
      <c r="BF361" s="886"/>
      <c r="BG361" s="887">
        <v>7</v>
      </c>
      <c r="BH361" s="887"/>
      <c r="BI361" s="887"/>
      <c r="BJ361" s="887">
        <v>1</v>
      </c>
      <c r="BK361" s="887"/>
      <c r="BL361" s="887"/>
      <c r="BM361" s="887">
        <v>1</v>
      </c>
      <c r="BN361" s="887"/>
      <c r="BO361" s="887"/>
      <c r="BP361" s="425" t="s">
        <v>41</v>
      </c>
      <c r="BQ361" s="893"/>
      <c r="BR361" s="423">
        <v>1</v>
      </c>
      <c r="BS361" s="886"/>
      <c r="BT361" s="423"/>
      <c r="BU361" s="423"/>
      <c r="BV361" s="425"/>
      <c r="BW361" s="423"/>
      <c r="BX361" s="448"/>
      <c r="BY361" s="448"/>
      <c r="BZ361" s="448"/>
      <c r="CA361" s="448"/>
      <c r="CB361" s="448"/>
      <c r="CC361" s="777"/>
      <c r="CD361" s="448"/>
      <c r="CE361" s="894" t="str">
        <f>IFERROR(WWWW[[#This Row],['#_Water sources passed]]/WWWW[[#This Row],['#_Water sources tested for fecal coliform ]],"no test")</f>
        <v>no test</v>
      </c>
      <c r="CF361" s="892" t="str">
        <f>IFERROR(WWWW[[#This Row],['#_Household passed]]/WWWW[[#This Row],['#_Household water samples tested for fecal coliform]],"no test")</f>
        <v>no test</v>
      </c>
      <c r="CG361" s="893" t="str">
        <f>IF(AND(WWWW[[#This Row],[% of water sources passed]]="no test",WWWW[[#This Row],[% Household passed]]="no test"),"No Test","Tested")</f>
        <v>No Test</v>
      </c>
      <c r="CH361" s="893">
        <f>WWWW[[#This Row],['#_Constructed/existing protected hand dug well]]-WWWW[[#This Row],['#_Non-functional protected hand dug well]]</f>
        <v>0</v>
      </c>
      <c r="CI361" s="893">
        <f>(WWWW[[#This Row],['#_Constructed/Existing tube wells/boreholes/handpumps_WASH_agency]]+WWWW[[#This Row],['#_Non-Cluster partner water tube-wells/boreholes/handpumps]])-WWWW[[#This Row],['#_Non-functional tube wells/boreholes/handpumps]]</f>
        <v>0</v>
      </c>
      <c r="CJ361" s="893">
        <f>WWWW[[#This Row],['#_Constructed/Existingwater storage tank with gravity fed reticulation system]]-WWWW[[#This Row],['#_Non-functional storage tank gravity fed reticulation system]]</f>
        <v>13</v>
      </c>
      <c r="CK361" s="893">
        <f>(WWWW[[#This Row],['#_Water_Liters_supplied_by_Water boating or water trucking]]/90)/15</f>
        <v>0</v>
      </c>
      <c r="CL361" s="893">
        <f>WWWW[[#This Row],['#_Water_Liters_from_Constructed/Existing water distribution system from river or natural spring]]/90/15</f>
        <v>0</v>
      </c>
      <c r="CM361" s="424">
        <f>IF(WWWW[[#This Row],['#_of water points in TLS/CFS]]*500&gt;WWWW[[#This Row],[Total PoP ]],WWWW[[#This Row],[Total PoP ]],WWWW[[#This Row],['#_of water points in TLS/CFS]]*500)</f>
        <v>0</v>
      </c>
      <c r="CN361" s="424">
        <f>IF(WWWW[[#This Row],['#_of water points in THF]]*500&gt;WWWW[[#This Row],[Total PoP ]],WWWW[[#This Row],[Total PoP ]],WWWW[[#This Row],['#_of water points in THF]]*500)</f>
        <v>0</v>
      </c>
      <c r="CO36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1" s="892">
        <f>IF(WWWW[[#This Row],[Location Type 1]]="Village",WWWW[[#This Row],[Access to safe drinking water for Village]],WWWW[[#This Row],[Access to safe drinking water for Camp]])</f>
        <v>1</v>
      </c>
      <c r="CR361" s="890">
        <f>WWWW[[#This Row],[%Equitable and continuous access to sufficient quantity of safe drinking water]]*WWWW[[#This Row],[Total PoP ]]</f>
        <v>130</v>
      </c>
      <c r="CS361" s="892">
        <f>IF((WWWW[[#This Row],['#_Constructed/Existing protected/fenced ponds]]*250)/WWWW[[#This Row],[Total PoP ]]&gt;1,1,(WWWW[[#This Row],['#_Constructed/Existing protected/fenced ponds]]*250)/WWWW[[#This Row],[Total PoP ]])</f>
        <v>0</v>
      </c>
      <c r="CT361" s="890">
        <f>WWWW[[#This Row],[% Access to unimproved water points]]*WWWW[[#This Row],[Total PoP ]]</f>
        <v>0</v>
      </c>
      <c r="CU36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W361" s="890">
        <f>WWWW[[#This Row],[HRP1]]/500</f>
        <v>0.26</v>
      </c>
      <c r="CX361" s="895">
        <f>1-WWWW[[#This Row],[% Equitable and continuous access to sufficient quantity of domestic water]]</f>
        <v>0</v>
      </c>
      <c r="CY361" s="890">
        <f>WWWW[[#This Row],[%equitable and continuous access to sufficient quantity of safe drinking and domestic water''s GAP]]*WWWW[[#This Row],[Total PoP ]]</f>
        <v>0</v>
      </c>
      <c r="CZ361" s="893">
        <f>IF(WWWW[[#This Row],[Total required water points]]-WWWW[[#This Row],['#Water points coverage]]&lt;0,0,WWWW[[#This Row],[Total required water points]]-WWWW[[#This Row],['#Water points coverage]])</f>
        <v>0.74</v>
      </c>
      <c r="DA361" s="893">
        <f>ROUND(IF(WWWW[[#This Row],[Total PoP ]]&lt;500,1,WWWW[[#This Row],[Total PoP ]]/500),0)</f>
        <v>1</v>
      </c>
      <c r="DB361" s="893">
        <f>(WWWW[[#This Row],['#_Constructed latrines_by_WASHAgencies]]+WWWW[[#This Row],['#_Non Cluster partner latrines]])-WWWW[[#This Row],['#_Non-functional latrines]]</f>
        <v>30</v>
      </c>
      <c r="DC361" s="631">
        <f>WWWW[[#This Row],[HRP2]]/WWWW[[#This Row],[Total PoP ]]</f>
        <v>1</v>
      </c>
      <c r="DD36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130</v>
      </c>
      <c r="DE36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1" s="424">
        <f>IF(WWWW[[#This Row],['# of functional latrines in THF supported by WASH partners during the reporting period2]]="",0,WWWW[[#This Row],['# of functional latrines in THF supported by WASH partners during the reporting period2]]*50)</f>
        <v>0</v>
      </c>
      <c r="DH361" s="893">
        <f>ROUND(IF(WWWW[[#This Row],[Location Type 1]]="camp",WWWW[[#This Row],[Total PoP ]]/20,IF(WWWW[[#This Row],[Location Type 1]]="Temporary Location",WWWW[[#This Row],[Total PoP ]]/50,(WWWW[[#This Row],[Total PoP ]]/6))),0)</f>
        <v>7</v>
      </c>
      <c r="DI361" s="893">
        <f>IF(WWWW[[#This Row],[Total required Latrines]]-(WWWW[[#This Row],['#_Constructed latrines_by_WASHAgencies]]+WWWW[[#This Row],['#_Non Cluster partner latrines]])&lt;0,0,WWWW[[#This Row],[Total required Latrines]]-(WWWW[[#This Row],['#_Constructed latrines_by_WASHAgencies]]+WWWW[[#This Row],['#_Non Cluster partner latrines]]))</f>
        <v>0</v>
      </c>
      <c r="DJ361" s="895">
        <f>1-WWWW[[#This Row],[% people access to functioning Latrine]]</f>
        <v>0</v>
      </c>
      <c r="DK361" s="894">
        <f>IF(OR(WWWW[[#This Row],['#_Non-functional latrines]]="",WWWW[[#This Row],['#_Non-functional latrines]]=0),0,WWWW[[#This Row],['#_Non-functional latrines]]/(WWWW[[#This Row],['#_Constructed latrines_by_WASHAgencies]]+WWWW[[#This Row],['#_Non Cluster partner latrines]]))</f>
        <v>0</v>
      </c>
      <c r="DL361" s="890">
        <f>IF(500*(WWWW[[#This Row],['#_male hygiene promoters]]+WWWW[[#This Row],['#_female hygiene promoters]])&gt;WWWW[[#This Row],[Total PoP ]],WWWW[[#This Row],[Total PoP ]],500*(WWWW[[#This Row],['#_male hygiene promoters]]+WWWW[[#This Row],['#_female hygiene promoters]]))</f>
        <v>130</v>
      </c>
      <c r="DM36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1" s="893">
        <f>IF(WWWW[[#This Row],['# People with access to soap]]&gt;WWWW[[#This Row],['# People with access to Sanity Pads]],WWWW[[#This Row],['# People with access to soap]],WWWW[[#This Row],['# People with access to Sanity Pads]])</f>
        <v>0</v>
      </c>
      <c r="DP361" s="893">
        <f>IF(WWWW[[#This Row],['# people reached by regular dedicated hygiene promotion_5]]&gt;WWWW[[#This Row],['# People received regular supply of hygiene items_6]],WWWW[[#This Row],['# people reached by regular dedicated hygiene promotion_5]],WWWW[[#This Row],['# People received regular supply of hygiene items_6]])</f>
        <v>130</v>
      </c>
      <c r="DQ361" s="895">
        <f>IF(WWWW[[#This Row],[HRP3]]/WWWW[[#This Row],[Total PoP ]]&gt;1,1,WWWW[[#This Row],[HRP3]]/WWWW[[#This Row],[Total PoP ]])</f>
        <v>1</v>
      </c>
      <c r="DR361" s="894">
        <f>1-WWWW[[#This Row],[Hygiene Coverage%]]</f>
        <v>0</v>
      </c>
      <c r="DS361" s="892">
        <f>WWWW[[#This Row],['# people reached by regular dedicated hygiene promotion_5]]/WWWW[[#This Row],[Total PoP ]]</f>
        <v>1</v>
      </c>
      <c r="DT36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1" s="893">
        <f>WWWW[[#This Row],['#_Constructed/Existing hand washing stations]]-WWWW[[#This Row],['#_Non-Functional_hand_washing_stations]]</f>
        <v>7</v>
      </c>
      <c r="DW361" s="890">
        <f>IF(WWWW[[#This Row],['# Functional hand washing stations during reporting period]]*20&gt;WWWW[[#This Row],[Total HH]],WWWW[[#This Row],[Total HH]],WWWW[[#This Row],['# Functional hand washing stations during reporting period]]*20)</f>
        <v>29</v>
      </c>
      <c r="DX361" s="890">
        <f>IF(WWWW[[#This Row],[Is sufficient soap available for TLS? (Yes/No)]]="yes",WWWW[[#This Row],['#_Constructed/Existing hand washing stations at TLS/CFS/THF]],0)</f>
        <v>0</v>
      </c>
      <c r="DY361" s="428">
        <f>IF(WWWW[[#This Row],['# Functional hand washing stations during reporting period]]*100&gt;WWWW[[#This Row],[Total PoP ]],WWWW[[#This Row],[Total PoP ]],WWWW[[#This Row],['# Functional hand washing stations during reporting period]]*100)</f>
        <v>130</v>
      </c>
      <c r="DZ361" s="428" t="str">
        <f>IF(OR(WWWW[[#This Row],['#_students at TLS_CFS]]="",WWWW[[#This Row],['#_students at TLS_CFS]]=0),"No","Yes")</f>
        <v>No</v>
      </c>
      <c r="EA36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1" s="886" t="str">
        <f>VLOOKUP(WWWW[[#This Row],[Site Name]],SiteDB6[[Site Name]:[CCCM Management]],6,FALSE)</f>
        <v>Yes</v>
      </c>
      <c r="EF361" s="886" t="str">
        <f>VLOOKUP(WWWW[[#This Row],[Site Name]],SiteDB6[[Site Name]:[CCCM Focal Agency]],7,FALSE)</f>
        <v>KMSS-LSO</v>
      </c>
      <c r="EG361" s="886" t="str">
        <f>VLOOKUP(WWWW[[#This Row],[Site Name]],SiteDB6[[Site Name]:[Location Type 1]],9,FALSE)</f>
        <v>Camp</v>
      </c>
      <c r="EH361" s="886" t="str">
        <f>VLOOKUP(WWWW[[#This Row],[Site Name]],SiteDB6[[Site Name]:[Type of Accommodation]],10,FALSE)</f>
        <v>Camp</v>
      </c>
      <c r="EI361" s="886" t="str">
        <f>VLOOKUP(WWWW[[#This Row],[Site Name]],SiteDB6[[Site Name]:[Ethnic or GCA/NGCA]],11,FALSE)</f>
        <v>GCA</v>
      </c>
      <c r="EJ361" s="886">
        <f>VLOOKUP(WWWW[[#This Row],[Site Name]],SiteDB6[[Site Name]:[Lat]],12,FALSE)</f>
        <v>23.638999999999999</v>
      </c>
      <c r="EK361" s="886">
        <f>VLOOKUP(WWWW[[#This Row],[Site Name]],SiteDB6[[Site Name]:[Long]],13,FALSE)</f>
        <v>97.861999999999995</v>
      </c>
      <c r="EL361" s="886" t="str">
        <f>VLOOKUP(WWWW[[#This Row],[Site Name]],SiteDB6[[Site Name]:[Pcode]],3,FALSE)</f>
        <v>MMR015CMP068</v>
      </c>
      <c r="EM361" s="891" t="str">
        <f t="shared" si="5"/>
        <v>Covered</v>
      </c>
      <c r="EN361" s="891"/>
      <c r="EO361" s="886">
        <f>VLOOKUP(WWWW[[#This Row],[Site Name]],SiteDB6[[Site Name]:[Pop
(Kachin/Shan-CCCM as of July 2021)]],16,FALSE)</f>
        <v>31</v>
      </c>
      <c r="EP361" s="886">
        <f>VLOOKUP(WWWW[[#This Row],[Site Name]],SiteDB6[[Site Name]:[Pop
(Kachin/Shan-CCCM as of July 2021)]],17,FALSE)</f>
        <v>133</v>
      </c>
    </row>
    <row r="362" spans="1:146" hidden="1">
      <c r="A362" s="884" t="s">
        <v>2764</v>
      </c>
      <c r="B362" s="884" t="s">
        <v>192</v>
      </c>
      <c r="C362" s="885" t="s">
        <v>192</v>
      </c>
      <c r="D362" s="885" t="s">
        <v>2673</v>
      </c>
      <c r="E362" s="885" t="s">
        <v>515</v>
      </c>
      <c r="F362" s="885" t="s">
        <v>519</v>
      </c>
      <c r="G362" s="591" t="str">
        <f>VLOOKUP(WWWW[[#This Row],[Site Name]],SiteDB6[[Site Name]:[Location Type]],8,FALSE)</f>
        <v>Camp</v>
      </c>
      <c r="H362" s="885" t="s">
        <v>541</v>
      </c>
      <c r="I362" s="887">
        <v>40</v>
      </c>
      <c r="J362" s="887">
        <v>244</v>
      </c>
      <c r="K362" s="888" t="s">
        <v>2767</v>
      </c>
      <c r="L362" s="889" t="s">
        <v>2768</v>
      </c>
      <c r="M362" s="887"/>
      <c r="N362" s="887">
        <v>1</v>
      </c>
      <c r="O362" s="887"/>
      <c r="P362" s="887"/>
      <c r="Q362" s="890" t="s">
        <v>41</v>
      </c>
      <c r="R362" s="887">
        <v>3</v>
      </c>
      <c r="S362" s="887">
        <v>3</v>
      </c>
      <c r="T362" s="448">
        <v>1</v>
      </c>
      <c r="U362" s="887"/>
      <c r="V362" s="887"/>
      <c r="W362" s="887">
        <v>1</v>
      </c>
      <c r="X362" s="887">
        <v>2</v>
      </c>
      <c r="Y362" s="887"/>
      <c r="Z362" s="448">
        <v>1</v>
      </c>
      <c r="AA362" s="887"/>
      <c r="AB362" s="887"/>
      <c r="AC362" s="887"/>
      <c r="AD362" s="887"/>
      <c r="AE362" s="887"/>
      <c r="AF362" s="887"/>
      <c r="AG362" s="887"/>
      <c r="AH362" s="887"/>
      <c r="AI362" s="887"/>
      <c r="AJ362" s="887"/>
      <c r="AK362" s="887"/>
      <c r="AL362" s="887"/>
      <c r="AM362" s="887"/>
      <c r="AN362" s="887"/>
      <c r="AO362" s="448"/>
      <c r="AP362" s="891"/>
      <c r="AQ362" s="887">
        <v>12</v>
      </c>
      <c r="AR362" s="887"/>
      <c r="AS362" s="892"/>
      <c r="AT362" s="887"/>
      <c r="AU362" s="887"/>
      <c r="AV362" s="887"/>
      <c r="AW362" s="887"/>
      <c r="AX362" s="887"/>
      <c r="AY362" s="886" t="s">
        <v>41</v>
      </c>
      <c r="AZ362" s="891" t="s">
        <v>136</v>
      </c>
      <c r="BA362" s="887"/>
      <c r="BB362" s="887"/>
      <c r="BC362" s="887">
        <v>1</v>
      </c>
      <c r="BD362" s="448"/>
      <c r="BE362" s="448"/>
      <c r="BF362" s="886"/>
      <c r="BG362" s="448">
        <v>7</v>
      </c>
      <c r="BH362" s="887"/>
      <c r="BI362" s="887"/>
      <c r="BJ362" s="887">
        <v>1</v>
      </c>
      <c r="BK362" s="887"/>
      <c r="BL362" s="887"/>
      <c r="BM362" s="887">
        <v>1</v>
      </c>
      <c r="BN362" s="887"/>
      <c r="BO362" s="887"/>
      <c r="BP362" s="425" t="s">
        <v>41</v>
      </c>
      <c r="BQ362" s="893"/>
      <c r="BR362" s="423">
        <v>1</v>
      </c>
      <c r="BS362" s="886"/>
      <c r="BT362" s="423"/>
      <c r="BU362" s="423"/>
      <c r="BV362" s="425"/>
      <c r="BW362" s="423"/>
      <c r="BX362" s="448"/>
      <c r="BY362" s="448"/>
      <c r="BZ362" s="448"/>
      <c r="CA362" s="448"/>
      <c r="CB362" s="448"/>
      <c r="CC362" s="777"/>
      <c r="CD362" s="448"/>
      <c r="CE362" s="894" t="str">
        <f>IFERROR(WWWW[[#This Row],['#_Water sources passed]]/WWWW[[#This Row],['#_Water sources tested for fecal coliform ]],"no test")</f>
        <v>no test</v>
      </c>
      <c r="CF362" s="892" t="str">
        <f>IFERROR(WWWW[[#This Row],['#_Household passed]]/WWWW[[#This Row],['#_Household water samples tested for fecal coliform]],"no test")</f>
        <v>no test</v>
      </c>
      <c r="CG362" s="893" t="str">
        <f>IF(AND(WWWW[[#This Row],[% of water sources passed]]="no test",WWWW[[#This Row],[% Household passed]]="no test"),"No Test","Tested")</f>
        <v>No Test</v>
      </c>
      <c r="CH362" s="893">
        <f>WWWW[[#This Row],['#_Constructed/existing protected hand dug well]]-WWWW[[#This Row],['#_Non-functional protected hand dug well]]</f>
        <v>1</v>
      </c>
      <c r="CI362" s="893">
        <f>(WWWW[[#This Row],['#_Constructed/Existing tube wells/boreholes/handpumps_WASH_agency]]+WWWW[[#This Row],['#_Non-Cluster partner water tube-wells/boreholes/handpumps]])-WWWW[[#This Row],['#_Non-functional tube wells/boreholes/handpumps]]</f>
        <v>3</v>
      </c>
      <c r="CJ362" s="893">
        <f>WWWW[[#This Row],['#_Constructed/Existingwater storage tank with gravity fed reticulation system]]-WWWW[[#This Row],['#_Non-functional storage tank gravity fed reticulation system]]</f>
        <v>0</v>
      </c>
      <c r="CK362" s="893">
        <f>(WWWW[[#This Row],['#_Water_Liters_supplied_by_Water boating or water trucking]]/90)/15</f>
        <v>0</v>
      </c>
      <c r="CL362" s="893">
        <f>WWWW[[#This Row],['#_Water_Liters_from_Constructed/Existing water distribution system from river or natural spring]]/90/15</f>
        <v>0</v>
      </c>
      <c r="CM362" s="424">
        <f>IF(WWWW[[#This Row],['#_of water points in TLS/CFS]]*500&gt;WWWW[[#This Row],[Total PoP ]],WWWW[[#This Row],[Total PoP ]],WWWW[[#This Row],['#_of water points in TLS/CFS]]*500)</f>
        <v>0</v>
      </c>
      <c r="CN362" s="424">
        <f>IF(WWWW[[#This Row],['#_of water points in THF]]*500&gt;WWWW[[#This Row],[Total PoP ]],WWWW[[#This Row],[Total PoP ]],WWWW[[#This Row],['#_of water points in THF]]*500)</f>
        <v>0</v>
      </c>
      <c r="CO36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2" s="892">
        <f>IF(WWWW[[#This Row],[Location Type 1]]="Village",WWWW[[#This Row],[Access to safe drinking water for Village]],WWWW[[#This Row],[Access to safe drinking water for Camp]])</f>
        <v>1</v>
      </c>
      <c r="CR362" s="890">
        <f>WWWW[[#This Row],[%Equitable and continuous access to sufficient quantity of safe drinking water]]*WWWW[[#This Row],[Total PoP ]]</f>
        <v>244</v>
      </c>
      <c r="CS362" s="892">
        <f>IF((WWWW[[#This Row],['#_Constructed/Existing protected/fenced ponds]]*250)/WWWW[[#This Row],[Total PoP ]]&gt;1,1,(WWWW[[#This Row],['#_Constructed/Existing protected/fenced ponds]]*250)/WWWW[[#This Row],[Total PoP ]])</f>
        <v>0</v>
      </c>
      <c r="CT362" s="890">
        <f>WWWW[[#This Row],[% Access to unimproved water points]]*WWWW[[#This Row],[Total PoP ]]</f>
        <v>0</v>
      </c>
      <c r="CU36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W362" s="890">
        <f>WWWW[[#This Row],[HRP1]]/500</f>
        <v>0.48799999999999999</v>
      </c>
      <c r="CX362" s="895">
        <f>1-WWWW[[#This Row],[% Equitable and continuous access to sufficient quantity of domestic water]]</f>
        <v>0</v>
      </c>
      <c r="CY362" s="890">
        <f>WWWW[[#This Row],[%equitable and continuous access to sufficient quantity of safe drinking and domestic water''s GAP]]*WWWW[[#This Row],[Total PoP ]]</f>
        <v>0</v>
      </c>
      <c r="CZ362" s="893">
        <f>IF(WWWW[[#This Row],[Total required water points]]-WWWW[[#This Row],['#Water points coverage]]&lt;0,0,WWWW[[#This Row],[Total required water points]]-WWWW[[#This Row],['#Water points coverage]])</f>
        <v>0.51200000000000001</v>
      </c>
      <c r="DA362" s="893">
        <f>ROUND(IF(WWWW[[#This Row],[Total PoP ]]&lt;500,1,WWWW[[#This Row],[Total PoP ]]/500),0)</f>
        <v>1</v>
      </c>
      <c r="DB362" s="893">
        <f>(WWWW[[#This Row],['#_Constructed latrines_by_WASHAgencies]]+WWWW[[#This Row],['#_Non Cluster partner latrines]])-WWWW[[#This Row],['#_Non-functional latrines]]</f>
        <v>12</v>
      </c>
      <c r="DC362" s="631">
        <f>WWWW[[#This Row],[HRP2]]/WWWW[[#This Row],[Total PoP ]]</f>
        <v>0.98360655737704916</v>
      </c>
      <c r="DD36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DE36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2" s="424">
        <f>IF(WWWW[[#This Row],['# of functional latrines in THF supported by WASH partners during the reporting period2]]="",0,WWWW[[#This Row],['# of functional latrines in THF supported by WASH partners during the reporting period2]]*50)</f>
        <v>0</v>
      </c>
      <c r="DH362" s="893">
        <f>ROUND(IF(WWWW[[#This Row],[Location Type 1]]="camp",WWWW[[#This Row],[Total PoP ]]/20,IF(WWWW[[#This Row],[Location Type 1]]="Temporary Location",WWWW[[#This Row],[Total PoP ]]/50,(WWWW[[#This Row],[Total PoP ]]/6))),0)</f>
        <v>12</v>
      </c>
      <c r="DI362" s="893">
        <f>IF(WWWW[[#This Row],[Total required Latrines]]-(WWWW[[#This Row],['#_Constructed latrines_by_WASHAgencies]]+WWWW[[#This Row],['#_Non Cluster partner latrines]])&lt;0,0,WWWW[[#This Row],[Total required Latrines]]-(WWWW[[#This Row],['#_Constructed latrines_by_WASHAgencies]]+WWWW[[#This Row],['#_Non Cluster partner latrines]]))</f>
        <v>0</v>
      </c>
      <c r="DJ362" s="895">
        <f>1-WWWW[[#This Row],[% people access to functioning Latrine]]</f>
        <v>1.6393442622950838E-2</v>
      </c>
      <c r="DK362" s="894">
        <f>IF(OR(WWWW[[#This Row],['#_Non-functional latrines]]="",WWWW[[#This Row],['#_Non-functional latrines]]=0),0,WWWW[[#This Row],['#_Non-functional latrines]]/(WWWW[[#This Row],['#_Constructed latrines_by_WASHAgencies]]+WWWW[[#This Row],['#_Non Cluster partner latrines]]))</f>
        <v>0</v>
      </c>
      <c r="DL362" s="890">
        <f>IF(500*(WWWW[[#This Row],['#_male hygiene promoters]]+WWWW[[#This Row],['#_female hygiene promoters]])&gt;WWWW[[#This Row],[Total PoP ]],WWWW[[#This Row],[Total PoP ]],500*(WWWW[[#This Row],['#_male hygiene promoters]]+WWWW[[#This Row],['#_female hygiene promoters]]))</f>
        <v>244</v>
      </c>
      <c r="DM36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2" s="893">
        <f>IF(WWWW[[#This Row],['# People with access to soap]]&gt;WWWW[[#This Row],['# People with access to Sanity Pads]],WWWW[[#This Row],['# People with access to soap]],WWWW[[#This Row],['# People with access to Sanity Pads]])</f>
        <v>0</v>
      </c>
      <c r="DP362" s="893">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Q362" s="895">
        <f>IF(WWWW[[#This Row],[HRP3]]/WWWW[[#This Row],[Total PoP ]]&gt;1,1,WWWW[[#This Row],[HRP3]]/WWWW[[#This Row],[Total PoP ]])</f>
        <v>1</v>
      </c>
      <c r="DR362" s="894">
        <f>1-WWWW[[#This Row],[Hygiene Coverage%]]</f>
        <v>0</v>
      </c>
      <c r="DS362" s="892">
        <f>WWWW[[#This Row],['# people reached by regular dedicated hygiene promotion_5]]/WWWW[[#This Row],[Total PoP ]]</f>
        <v>1</v>
      </c>
      <c r="DT36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2" s="893">
        <f>WWWW[[#This Row],['#_Constructed/Existing hand washing stations]]-WWWW[[#This Row],['#_Non-Functional_hand_washing_stations]]</f>
        <v>7</v>
      </c>
      <c r="DW362" s="890">
        <f>IF(WWWW[[#This Row],['# Functional hand washing stations during reporting period]]*20&gt;WWWW[[#This Row],[Total HH]],WWWW[[#This Row],[Total HH]],WWWW[[#This Row],['# Functional hand washing stations during reporting period]]*20)</f>
        <v>40</v>
      </c>
      <c r="DX362" s="890">
        <f>IF(WWWW[[#This Row],[Is sufficient soap available for TLS? (Yes/No)]]="yes",WWWW[[#This Row],['#_Constructed/Existing hand washing stations at TLS/CFS/THF]],0)</f>
        <v>0</v>
      </c>
      <c r="DY362" s="428">
        <f>IF(WWWW[[#This Row],['# Functional hand washing stations during reporting period]]*100&gt;WWWW[[#This Row],[Total PoP ]],WWWW[[#This Row],[Total PoP ]],WWWW[[#This Row],['# Functional hand washing stations during reporting period]]*100)</f>
        <v>244</v>
      </c>
      <c r="DZ362" s="428" t="str">
        <f>IF(OR(WWWW[[#This Row],['#_students at TLS_CFS]]="",WWWW[[#This Row],['#_students at TLS_CFS]]=0),"No","Yes")</f>
        <v>No</v>
      </c>
      <c r="EA36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2" s="886" t="str">
        <f>VLOOKUP(WWWW[[#This Row],[Site Name]],SiteDB6[[Site Name]:[CCCM Management]],6,FALSE)</f>
        <v>Yes</v>
      </c>
      <c r="EF362" s="886" t="str">
        <f>VLOOKUP(WWWW[[#This Row],[Site Name]],SiteDB6[[Site Name]:[CCCM Focal Agency]],7,FALSE)</f>
        <v>KBC-NSS</v>
      </c>
      <c r="EG362" s="886" t="str">
        <f>VLOOKUP(WWWW[[#This Row],[Site Name]],SiteDB6[[Site Name]:[Location Type 1]],9,FALSE)</f>
        <v>Camp</v>
      </c>
      <c r="EH362" s="886" t="str">
        <f>VLOOKUP(WWWW[[#This Row],[Site Name]],SiteDB6[[Site Name]:[Type of Accommodation]],10,FALSE)</f>
        <v>Camp</v>
      </c>
      <c r="EI362" s="886" t="str">
        <f>VLOOKUP(WWWW[[#This Row],[Site Name]],SiteDB6[[Site Name]:[Ethnic or GCA/NGCA]],11,FALSE)</f>
        <v>GCA</v>
      </c>
      <c r="EJ362" s="886">
        <f>VLOOKUP(WWWW[[#This Row],[Site Name]],SiteDB6[[Site Name]:[Lat]],12,FALSE)</f>
        <v>23.450914000000001</v>
      </c>
      <c r="EK362" s="886">
        <f>VLOOKUP(WWWW[[#This Row],[Site Name]],SiteDB6[[Site Name]:[Long]],13,FALSE)</f>
        <v>97.926813999999993</v>
      </c>
      <c r="EL362" s="886" t="str">
        <f>VLOOKUP(WWWW[[#This Row],[Site Name]],SiteDB6[[Site Name]:[Pcode]],3,FALSE)</f>
        <v>MMR015CMP016</v>
      </c>
      <c r="EM362" s="891" t="str">
        <f t="shared" si="5"/>
        <v>Covered</v>
      </c>
      <c r="EN362" s="891"/>
      <c r="EO362" s="886">
        <f>VLOOKUP(WWWW[[#This Row],[Site Name]],SiteDB6[[Site Name]:[Pop
(Kachin/Shan-CCCM as of July 2021)]],16,FALSE)</f>
        <v>40</v>
      </c>
      <c r="EP362" s="886">
        <f>VLOOKUP(WWWW[[#This Row],[Site Name]],SiteDB6[[Site Name]:[Pop
(Kachin/Shan-CCCM as of July 2021)]],17,FALSE)</f>
        <v>251</v>
      </c>
    </row>
    <row r="363" spans="1:146" hidden="1">
      <c r="A363" s="884" t="s">
        <v>2764</v>
      </c>
      <c r="B363" s="884" t="s">
        <v>192</v>
      </c>
      <c r="C363" s="885" t="s">
        <v>192</v>
      </c>
      <c r="D363" s="885" t="s">
        <v>2673</v>
      </c>
      <c r="E363" s="885" t="s">
        <v>515</v>
      </c>
      <c r="F363" s="885" t="s">
        <v>519</v>
      </c>
      <c r="G363" s="591" t="str">
        <f>VLOOKUP(WWWW[[#This Row],[Site Name]],SiteDB6[[Site Name]:[Location Type]],8,FALSE)</f>
        <v>Camp</v>
      </c>
      <c r="H363" s="885" t="s">
        <v>546</v>
      </c>
      <c r="I363" s="887">
        <v>38</v>
      </c>
      <c r="J363" s="887">
        <v>180</v>
      </c>
      <c r="K363" s="888" t="s">
        <v>2767</v>
      </c>
      <c r="L363" s="889" t="s">
        <v>2768</v>
      </c>
      <c r="M363" s="887"/>
      <c r="N363" s="887"/>
      <c r="O363" s="887"/>
      <c r="P363" s="887"/>
      <c r="Q363" s="890"/>
      <c r="R363" s="887">
        <v>4</v>
      </c>
      <c r="S363" s="887">
        <v>5</v>
      </c>
      <c r="T363" s="448">
        <v>1</v>
      </c>
      <c r="U363" s="887"/>
      <c r="V363" s="887"/>
      <c r="W363" s="887">
        <v>1</v>
      </c>
      <c r="X363" s="887"/>
      <c r="Y363" s="887"/>
      <c r="Z363" s="887"/>
      <c r="AA363" s="887"/>
      <c r="AB363" s="887"/>
      <c r="AC363" s="887"/>
      <c r="AD363" s="887"/>
      <c r="AE363" s="887"/>
      <c r="AF363" s="887"/>
      <c r="AG363" s="887"/>
      <c r="AH363" s="887"/>
      <c r="AI363" s="887"/>
      <c r="AJ363" s="887"/>
      <c r="AK363" s="887"/>
      <c r="AL363" s="887"/>
      <c r="AM363" s="887"/>
      <c r="AN363" s="887"/>
      <c r="AO363" s="448"/>
      <c r="AP363" s="891"/>
      <c r="AQ363" s="887">
        <v>9</v>
      </c>
      <c r="AR363" s="887"/>
      <c r="AS363" s="892"/>
      <c r="AT363" s="887"/>
      <c r="AU363" s="887"/>
      <c r="AV363" s="887"/>
      <c r="AW363" s="887"/>
      <c r="AX363" s="887"/>
      <c r="AY363" s="886" t="s">
        <v>41</v>
      </c>
      <c r="AZ363" s="891" t="s">
        <v>137</v>
      </c>
      <c r="BA363" s="887"/>
      <c r="BB363" s="887"/>
      <c r="BC363" s="887"/>
      <c r="BD363" s="448"/>
      <c r="BE363" s="448"/>
      <c r="BF363" s="886"/>
      <c r="BG363" s="448">
        <v>4</v>
      </c>
      <c r="BH363" s="887"/>
      <c r="BI363" s="887"/>
      <c r="BJ363" s="887">
        <v>2</v>
      </c>
      <c r="BK363" s="887"/>
      <c r="BL363" s="887"/>
      <c r="BM363" s="887">
        <v>1</v>
      </c>
      <c r="BN363" s="887"/>
      <c r="BO363" s="887"/>
      <c r="BP363" s="425" t="s">
        <v>41</v>
      </c>
      <c r="BQ363" s="893"/>
      <c r="BR363" s="423">
        <v>1</v>
      </c>
      <c r="BS363" s="886"/>
      <c r="BT363" s="423"/>
      <c r="BU363" s="423"/>
      <c r="BV363" s="425"/>
      <c r="BW363" s="423"/>
      <c r="BX363" s="448"/>
      <c r="BY363" s="448"/>
      <c r="BZ363" s="448"/>
      <c r="CA363" s="448"/>
      <c r="CB363" s="448"/>
      <c r="CC363" s="777"/>
      <c r="CD363" s="448"/>
      <c r="CE363" s="894" t="str">
        <f>IFERROR(WWWW[[#This Row],['#_Water sources passed]]/WWWW[[#This Row],['#_Water sources tested for fecal coliform ]],"no test")</f>
        <v>no test</v>
      </c>
      <c r="CF363" s="892" t="str">
        <f>IFERROR(WWWW[[#This Row],['#_Household passed]]/WWWW[[#This Row],['#_Household water samples tested for fecal coliform]],"no test")</f>
        <v>no test</v>
      </c>
      <c r="CG363" s="893" t="str">
        <f>IF(AND(WWWW[[#This Row],[% of water sources passed]]="no test",WWWW[[#This Row],[% Household passed]]="no test"),"No Test","Tested")</f>
        <v>No Test</v>
      </c>
      <c r="CH363" s="893">
        <f>WWWW[[#This Row],['#_Constructed/existing protected hand dug well]]-WWWW[[#This Row],['#_Non-functional protected hand dug well]]</f>
        <v>1</v>
      </c>
      <c r="CI363" s="893">
        <f>(WWWW[[#This Row],['#_Constructed/Existing tube wells/boreholes/handpumps_WASH_agency]]+WWWW[[#This Row],['#_Non-Cluster partner water tube-wells/boreholes/handpumps]])-WWWW[[#This Row],['#_Non-functional tube wells/boreholes/handpumps]]</f>
        <v>1</v>
      </c>
      <c r="CJ363" s="893">
        <f>WWWW[[#This Row],['#_Constructed/Existingwater storage tank with gravity fed reticulation system]]-WWWW[[#This Row],['#_Non-functional storage tank gravity fed reticulation system]]</f>
        <v>0</v>
      </c>
      <c r="CK363" s="893">
        <f>(WWWW[[#This Row],['#_Water_Liters_supplied_by_Water boating or water trucking]]/90)/15</f>
        <v>0</v>
      </c>
      <c r="CL363" s="893">
        <f>WWWW[[#This Row],['#_Water_Liters_from_Constructed/Existing water distribution system from river or natural spring]]/90/15</f>
        <v>0</v>
      </c>
      <c r="CM363" s="424">
        <f>IF(WWWW[[#This Row],['#_of water points in TLS/CFS]]*500&gt;WWWW[[#This Row],[Total PoP ]],WWWW[[#This Row],[Total PoP ]],WWWW[[#This Row],['#_of water points in TLS/CFS]]*500)</f>
        <v>0</v>
      </c>
      <c r="CN363" s="424">
        <f>IF(WWWW[[#This Row],['#_of water points in THF]]*500&gt;WWWW[[#This Row],[Total PoP ]],WWWW[[#This Row],[Total PoP ]],WWWW[[#This Row],['#_of water points in THF]]*500)</f>
        <v>0</v>
      </c>
      <c r="CO36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3" s="892">
        <f>IF(WWWW[[#This Row],[Location Type 1]]="Village",WWWW[[#This Row],[Access to safe drinking water for Village]],WWWW[[#This Row],[Access to safe drinking water for Camp]])</f>
        <v>1</v>
      </c>
      <c r="CR363" s="890">
        <f>WWWW[[#This Row],[%Equitable and continuous access to sufficient quantity of safe drinking water]]*WWWW[[#This Row],[Total PoP ]]</f>
        <v>180</v>
      </c>
      <c r="CS363" s="892">
        <f>IF((WWWW[[#This Row],['#_Constructed/Existing protected/fenced ponds]]*250)/WWWW[[#This Row],[Total PoP ]]&gt;1,1,(WWWW[[#This Row],['#_Constructed/Existing protected/fenced ponds]]*250)/WWWW[[#This Row],[Total PoP ]])</f>
        <v>0</v>
      </c>
      <c r="CT363" s="890">
        <f>WWWW[[#This Row],[% Access to unimproved water points]]*WWWW[[#This Row],[Total PoP ]]</f>
        <v>0</v>
      </c>
      <c r="CU36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W363" s="890">
        <f>WWWW[[#This Row],[HRP1]]/500</f>
        <v>0.36</v>
      </c>
      <c r="CX363" s="895">
        <f>1-WWWW[[#This Row],[% Equitable and continuous access to sufficient quantity of domestic water]]</f>
        <v>0</v>
      </c>
      <c r="CY363" s="890">
        <f>WWWW[[#This Row],[%equitable and continuous access to sufficient quantity of safe drinking and domestic water''s GAP]]*WWWW[[#This Row],[Total PoP ]]</f>
        <v>0</v>
      </c>
      <c r="CZ363" s="893">
        <f>IF(WWWW[[#This Row],[Total required water points]]-WWWW[[#This Row],['#Water points coverage]]&lt;0,0,WWWW[[#This Row],[Total required water points]]-WWWW[[#This Row],['#Water points coverage]])</f>
        <v>0.64</v>
      </c>
      <c r="DA363" s="893">
        <f>ROUND(IF(WWWW[[#This Row],[Total PoP ]]&lt;500,1,WWWW[[#This Row],[Total PoP ]]/500),0)</f>
        <v>1</v>
      </c>
      <c r="DB363" s="893">
        <f>(WWWW[[#This Row],['#_Constructed latrines_by_WASHAgencies]]+WWWW[[#This Row],['#_Non Cluster partner latrines]])-WWWW[[#This Row],['#_Non-functional latrines]]</f>
        <v>9</v>
      </c>
      <c r="DC363" s="631">
        <f>WWWW[[#This Row],[HRP2]]/WWWW[[#This Row],[Total PoP ]]</f>
        <v>1</v>
      </c>
      <c r="DD36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36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3" s="424">
        <f>IF(WWWW[[#This Row],['# of functional latrines in THF supported by WASH partners during the reporting period2]]="",0,WWWW[[#This Row],['# of functional latrines in THF supported by WASH partners during the reporting period2]]*50)</f>
        <v>0</v>
      </c>
      <c r="DH363" s="893">
        <f>ROUND(IF(WWWW[[#This Row],[Location Type 1]]="camp",WWWW[[#This Row],[Total PoP ]]/20,IF(WWWW[[#This Row],[Location Type 1]]="Temporary Location",WWWW[[#This Row],[Total PoP ]]/50,(WWWW[[#This Row],[Total PoP ]]/6))),0)</f>
        <v>9</v>
      </c>
      <c r="DI363" s="893">
        <f>IF(WWWW[[#This Row],[Total required Latrines]]-(WWWW[[#This Row],['#_Constructed latrines_by_WASHAgencies]]+WWWW[[#This Row],['#_Non Cluster partner latrines]])&lt;0,0,WWWW[[#This Row],[Total required Latrines]]-(WWWW[[#This Row],['#_Constructed latrines_by_WASHAgencies]]+WWWW[[#This Row],['#_Non Cluster partner latrines]]))</f>
        <v>0</v>
      </c>
      <c r="DJ363" s="895">
        <f>1-WWWW[[#This Row],[% people access to functioning Latrine]]</f>
        <v>0</v>
      </c>
      <c r="DK363" s="894">
        <f>IF(OR(WWWW[[#This Row],['#_Non-functional latrines]]="",WWWW[[#This Row],['#_Non-functional latrines]]=0),0,WWWW[[#This Row],['#_Non-functional latrines]]/(WWWW[[#This Row],['#_Constructed latrines_by_WASHAgencies]]+WWWW[[#This Row],['#_Non Cluster partner latrines]]))</f>
        <v>0</v>
      </c>
      <c r="DL363" s="890">
        <f>IF(500*(WWWW[[#This Row],['#_male hygiene promoters]]+WWWW[[#This Row],['#_female hygiene promoters]])&gt;WWWW[[#This Row],[Total PoP ]],WWWW[[#This Row],[Total PoP ]],500*(WWWW[[#This Row],['#_male hygiene promoters]]+WWWW[[#This Row],['#_female hygiene promoters]]))</f>
        <v>180</v>
      </c>
      <c r="DM36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3" s="893">
        <f>IF(WWWW[[#This Row],['# People with access to soap]]&gt;WWWW[[#This Row],['# People with access to Sanity Pads]],WWWW[[#This Row],['# People with access to soap]],WWWW[[#This Row],['# People with access to Sanity Pads]])</f>
        <v>0</v>
      </c>
      <c r="DP363" s="893">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Q363" s="895">
        <f>IF(WWWW[[#This Row],[HRP3]]/WWWW[[#This Row],[Total PoP ]]&gt;1,1,WWWW[[#This Row],[HRP3]]/WWWW[[#This Row],[Total PoP ]])</f>
        <v>1</v>
      </c>
      <c r="DR363" s="894">
        <f>1-WWWW[[#This Row],[Hygiene Coverage%]]</f>
        <v>0</v>
      </c>
      <c r="DS363" s="892">
        <f>WWWW[[#This Row],['# people reached by regular dedicated hygiene promotion_5]]/WWWW[[#This Row],[Total PoP ]]</f>
        <v>1</v>
      </c>
      <c r="DT36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3" s="893">
        <f>WWWW[[#This Row],['#_Constructed/Existing hand washing stations]]-WWWW[[#This Row],['#_Non-Functional_hand_washing_stations]]</f>
        <v>4</v>
      </c>
      <c r="DW363" s="890">
        <f>IF(WWWW[[#This Row],['# Functional hand washing stations during reporting period]]*20&gt;WWWW[[#This Row],[Total HH]],WWWW[[#This Row],[Total HH]],WWWW[[#This Row],['# Functional hand washing stations during reporting period]]*20)</f>
        <v>38</v>
      </c>
      <c r="DX363" s="890">
        <f>IF(WWWW[[#This Row],[Is sufficient soap available for TLS? (Yes/No)]]="yes",WWWW[[#This Row],['#_Constructed/Existing hand washing stations at TLS/CFS/THF]],0)</f>
        <v>0</v>
      </c>
      <c r="DY363" s="428">
        <f>IF(WWWW[[#This Row],['# Functional hand washing stations during reporting period]]*100&gt;WWWW[[#This Row],[Total PoP ]],WWWW[[#This Row],[Total PoP ]],WWWW[[#This Row],['# Functional hand washing stations during reporting period]]*100)</f>
        <v>180</v>
      </c>
      <c r="DZ363" s="428" t="str">
        <f>IF(OR(WWWW[[#This Row],['#_students at TLS_CFS]]="",WWWW[[#This Row],['#_students at TLS_CFS]]=0),"No","Yes")</f>
        <v>No</v>
      </c>
      <c r="EA36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3" s="886" t="str">
        <f>VLOOKUP(WWWW[[#This Row],[Site Name]],SiteDB6[[Site Name]:[CCCM Management]],6,FALSE)</f>
        <v>Yes</v>
      </c>
      <c r="EF363" s="886" t="str">
        <f>VLOOKUP(WWWW[[#This Row],[Site Name]],SiteDB6[[Site Name]:[CCCM Focal Agency]],7,FALSE)</f>
        <v>KBC-NSS</v>
      </c>
      <c r="EG363" s="886" t="str">
        <f>VLOOKUP(WWWW[[#This Row],[Site Name]],SiteDB6[[Site Name]:[Location Type 1]],9,FALSE)</f>
        <v>Camp</v>
      </c>
      <c r="EH363" s="886" t="str">
        <f>VLOOKUP(WWWW[[#This Row],[Site Name]],SiteDB6[[Site Name]:[Type of Accommodation]],10,FALSE)</f>
        <v>Camp</v>
      </c>
      <c r="EI363" s="886" t="str">
        <f>VLOOKUP(WWWW[[#This Row],[Site Name]],SiteDB6[[Site Name]:[Ethnic or GCA/NGCA]],11,FALSE)</f>
        <v>GCA</v>
      </c>
      <c r="EJ363" s="886">
        <f>VLOOKUP(WWWW[[#This Row],[Site Name]],SiteDB6[[Site Name]:[Lat]],12,FALSE)</f>
        <v>23.460349999999998</v>
      </c>
      <c r="EK363" s="886">
        <f>VLOOKUP(WWWW[[#This Row],[Site Name]],SiteDB6[[Site Name]:[Long]],13,FALSE)</f>
        <v>97.947360000000003</v>
      </c>
      <c r="EL363" s="886" t="str">
        <f>VLOOKUP(WWWW[[#This Row],[Site Name]],SiteDB6[[Site Name]:[Pcode]],3,FALSE)</f>
        <v>MMR015CMP063</v>
      </c>
      <c r="EM363" s="891" t="str">
        <f t="shared" si="5"/>
        <v>Covered</v>
      </c>
      <c r="EN363" s="891"/>
      <c r="EO363" s="886">
        <f>VLOOKUP(WWWW[[#This Row],[Site Name]],SiteDB6[[Site Name]:[Pop
(Kachin/Shan-CCCM as of July 2021)]],16,FALSE)</f>
        <v>36</v>
      </c>
      <c r="EP363" s="886">
        <f>VLOOKUP(WWWW[[#This Row],[Site Name]],SiteDB6[[Site Name]:[Pop
(Kachin/Shan-CCCM as of July 2021)]],17,FALSE)</f>
        <v>158</v>
      </c>
    </row>
    <row r="364" spans="1:146" hidden="1">
      <c r="A364" s="884" t="s">
        <v>2764</v>
      </c>
      <c r="B364" s="884" t="s">
        <v>309</v>
      </c>
      <c r="C364" s="885" t="s">
        <v>309</v>
      </c>
      <c r="D364" s="885"/>
      <c r="E364" s="885" t="s">
        <v>515</v>
      </c>
      <c r="F364" s="885" t="s">
        <v>960</v>
      </c>
      <c r="G364" s="591" t="str">
        <f>VLOOKUP(WWWW[[#This Row],[Site Name]],SiteDB6[[Site Name]:[Location Type]],8,FALSE)</f>
        <v>Camp</v>
      </c>
      <c r="H364" s="885" t="s">
        <v>2696</v>
      </c>
      <c r="I364" s="887">
        <v>142</v>
      </c>
      <c r="J364" s="887">
        <v>504</v>
      </c>
      <c r="K364" s="888"/>
      <c r="L364" s="889"/>
      <c r="M364" s="887"/>
      <c r="N364" s="887"/>
      <c r="O364" s="887"/>
      <c r="P364" s="887"/>
      <c r="Q364" s="890"/>
      <c r="R364" s="887"/>
      <c r="S364" s="887"/>
      <c r="T364" s="448"/>
      <c r="U364" s="887"/>
      <c r="V364" s="887"/>
      <c r="W364" s="887"/>
      <c r="X364" s="887"/>
      <c r="Y364" s="887"/>
      <c r="Z364" s="887"/>
      <c r="AA364" s="887"/>
      <c r="AB364" s="887"/>
      <c r="AC364" s="887"/>
      <c r="AD364" s="887"/>
      <c r="AE364" s="887"/>
      <c r="AF364" s="887"/>
      <c r="AG364" s="887"/>
      <c r="AH364" s="887"/>
      <c r="AI364" s="887"/>
      <c r="AJ364" s="887"/>
      <c r="AK364" s="887"/>
      <c r="AL364" s="887"/>
      <c r="AM364" s="887"/>
      <c r="AN364" s="887"/>
      <c r="AO364" s="448"/>
      <c r="AP364" s="891"/>
      <c r="AQ364" s="887"/>
      <c r="AR364" s="887"/>
      <c r="AS364" s="892"/>
      <c r="AT364" s="887"/>
      <c r="AU364" s="887"/>
      <c r="AV364" s="887"/>
      <c r="AW364" s="887"/>
      <c r="AX364" s="887"/>
      <c r="AY364" s="425" t="s">
        <v>140</v>
      </c>
      <c r="AZ364" s="425" t="s">
        <v>140</v>
      </c>
      <c r="BA364" s="887"/>
      <c r="BB364" s="887"/>
      <c r="BC364" s="887"/>
      <c r="BD364" s="448"/>
      <c r="BE364" s="448"/>
      <c r="BF364" s="886"/>
      <c r="BG364" s="887"/>
      <c r="BH364" s="887"/>
      <c r="BI364" s="887"/>
      <c r="BJ364" s="887"/>
      <c r="BK364" s="887"/>
      <c r="BL364" s="887"/>
      <c r="BM364" s="887"/>
      <c r="BN364" s="887"/>
      <c r="BO364" s="887"/>
      <c r="BP364" s="886"/>
      <c r="BQ364" s="893"/>
      <c r="BR364" s="892"/>
      <c r="BS364" s="886"/>
      <c r="BT364" s="423"/>
      <c r="BU364" s="423"/>
      <c r="BV364" s="425"/>
      <c r="BW364" s="423"/>
      <c r="BX364" s="448"/>
      <c r="BY364" s="448"/>
      <c r="BZ364" s="448"/>
      <c r="CA364" s="448"/>
      <c r="CB364" s="448"/>
      <c r="CC364" s="777"/>
      <c r="CD364" s="448"/>
      <c r="CE364" s="894" t="str">
        <f>IFERROR(WWWW[[#This Row],['#_Water sources passed]]/WWWW[[#This Row],['#_Water sources tested for fecal coliform ]],"no test")</f>
        <v>no test</v>
      </c>
      <c r="CF364" s="892" t="str">
        <f>IFERROR(WWWW[[#This Row],['#_Household passed]]/WWWW[[#This Row],['#_Household water samples tested for fecal coliform]],"no test")</f>
        <v>no test</v>
      </c>
      <c r="CG364" s="893" t="str">
        <f>IF(AND(WWWW[[#This Row],[% of water sources passed]]="no test",WWWW[[#This Row],[% Household passed]]="no test"),"No Test","Tested")</f>
        <v>No Test</v>
      </c>
      <c r="CH364" s="893">
        <f>WWWW[[#This Row],['#_Constructed/existing protected hand dug well]]-WWWW[[#This Row],['#_Non-functional protected hand dug well]]</f>
        <v>0</v>
      </c>
      <c r="CI364" s="893">
        <f>(WWWW[[#This Row],['#_Constructed/Existing tube wells/boreholes/handpumps_WASH_agency]]+WWWW[[#This Row],['#_Non-Cluster partner water tube-wells/boreholes/handpumps]])-WWWW[[#This Row],['#_Non-functional tube wells/boreholes/handpumps]]</f>
        <v>0</v>
      </c>
      <c r="CJ364" s="893">
        <f>WWWW[[#This Row],['#_Constructed/Existingwater storage tank with gravity fed reticulation system]]-WWWW[[#This Row],['#_Non-functional storage tank gravity fed reticulation system]]</f>
        <v>0</v>
      </c>
      <c r="CK364" s="893">
        <f>(WWWW[[#This Row],['#_Water_Liters_supplied_by_Water boating or water trucking]]/90)/15</f>
        <v>0</v>
      </c>
      <c r="CL364" s="893">
        <f>WWWW[[#This Row],['#_Water_Liters_from_Constructed/Existing water distribution system from river or natural spring]]/90/15</f>
        <v>0</v>
      </c>
      <c r="CM364" s="424">
        <f>IF(WWWW[[#This Row],['#_of water points in TLS/CFS]]*500&gt;WWWW[[#This Row],[Total PoP ]],WWWW[[#This Row],[Total PoP ]],WWWW[[#This Row],['#_of water points in TLS/CFS]]*500)</f>
        <v>0</v>
      </c>
      <c r="CN364" s="424">
        <f>IF(WWWW[[#This Row],['#_of water points in THF]]*500&gt;WWWW[[#This Row],[Total PoP ]],WWWW[[#This Row],[Total PoP ]],WWWW[[#This Row],['#_of water points in THF]]*500)</f>
        <v>0</v>
      </c>
      <c r="CO36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6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64" s="892">
        <f>IF(WWWW[[#This Row],[Location Type 1]]="Village",WWWW[[#This Row],[Access to safe drinking water for Village]],WWWW[[#This Row],[Access to safe drinking water for Camp]])</f>
        <v>0</v>
      </c>
      <c r="CR364" s="890">
        <f>WWWW[[#This Row],[%Equitable and continuous access to sufficient quantity of safe drinking water]]*WWWW[[#This Row],[Total PoP ]]</f>
        <v>0</v>
      </c>
      <c r="CS364" s="892">
        <f>IF((WWWW[[#This Row],['#_Constructed/Existing protected/fenced ponds]]*250)/WWWW[[#This Row],[Total PoP ]]&gt;1,1,(WWWW[[#This Row],['#_Constructed/Existing protected/fenced ponds]]*250)/WWWW[[#This Row],[Total PoP ]])</f>
        <v>0</v>
      </c>
      <c r="CT364" s="890">
        <f>WWWW[[#This Row],[% Access to unimproved water points]]*WWWW[[#This Row],[Total PoP ]]</f>
        <v>0</v>
      </c>
      <c r="CU36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6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64" s="890">
        <f>WWWW[[#This Row],[HRP1]]/500</f>
        <v>0</v>
      </c>
      <c r="CX364" s="895">
        <f>1-WWWW[[#This Row],[% Equitable and continuous access to sufficient quantity of domestic water]]</f>
        <v>1</v>
      </c>
      <c r="CY364" s="890">
        <f>WWWW[[#This Row],[%equitable and continuous access to sufficient quantity of safe drinking and domestic water''s GAP]]*WWWW[[#This Row],[Total PoP ]]</f>
        <v>504</v>
      </c>
      <c r="CZ364" s="893">
        <f>IF(WWWW[[#This Row],[Total required water points]]-WWWW[[#This Row],['#Water points coverage]]&lt;0,0,WWWW[[#This Row],[Total required water points]]-WWWW[[#This Row],['#Water points coverage]])</f>
        <v>1</v>
      </c>
      <c r="DA364" s="893">
        <f>ROUND(IF(WWWW[[#This Row],[Total PoP ]]&lt;500,1,WWWW[[#This Row],[Total PoP ]]/500),0)</f>
        <v>1</v>
      </c>
      <c r="DB364" s="893">
        <f>(WWWW[[#This Row],['#_Constructed latrines_by_WASHAgencies]]+WWWW[[#This Row],['#_Non Cluster partner latrines]])-WWWW[[#This Row],['#_Non-functional latrines]]</f>
        <v>0</v>
      </c>
      <c r="DC364" s="631">
        <f>WWWW[[#This Row],[HRP2]]/WWWW[[#This Row],[Total PoP ]]</f>
        <v>0</v>
      </c>
      <c r="DD36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6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4" s="424">
        <f>IF(WWWW[[#This Row],['# of functional latrines in THF supported by WASH partners during the reporting period2]]="",0,WWWW[[#This Row],['# of functional latrines in THF supported by WASH partners during the reporting period2]]*50)</f>
        <v>0</v>
      </c>
      <c r="DH364" s="893">
        <f>ROUND(IF(WWWW[[#This Row],[Location Type 1]]="camp",WWWW[[#This Row],[Total PoP ]]/20,IF(WWWW[[#This Row],[Location Type 1]]="Temporary Location",WWWW[[#This Row],[Total PoP ]]/50,(WWWW[[#This Row],[Total PoP ]]/6))),0)</f>
        <v>25</v>
      </c>
      <c r="DI364" s="893">
        <f>IF(WWWW[[#This Row],[Total required Latrines]]-(WWWW[[#This Row],['#_Constructed latrines_by_WASHAgencies]]+WWWW[[#This Row],['#_Non Cluster partner latrines]])&lt;0,0,WWWW[[#This Row],[Total required Latrines]]-(WWWW[[#This Row],['#_Constructed latrines_by_WASHAgencies]]+WWWW[[#This Row],['#_Non Cluster partner latrines]]))</f>
        <v>25</v>
      </c>
      <c r="DJ364" s="895">
        <f>1-WWWW[[#This Row],[% people access to functioning Latrine]]</f>
        <v>1</v>
      </c>
      <c r="DK364" s="894">
        <f>IF(OR(WWWW[[#This Row],['#_Non-functional latrines]]="",WWWW[[#This Row],['#_Non-functional latrines]]=0),0,WWWW[[#This Row],['#_Non-functional latrines]]/(WWWW[[#This Row],['#_Constructed latrines_by_WASHAgencies]]+WWWW[[#This Row],['#_Non Cluster partner latrines]]))</f>
        <v>0</v>
      </c>
      <c r="DL364" s="890">
        <f>IF(500*(WWWW[[#This Row],['#_male hygiene promoters]]+WWWW[[#This Row],['#_female hygiene promoters]])&gt;WWWW[[#This Row],[Total PoP ]],WWWW[[#This Row],[Total PoP ]],500*(WWWW[[#This Row],['#_male hygiene promoters]]+WWWW[[#This Row],['#_female hygiene promoters]]))</f>
        <v>0</v>
      </c>
      <c r="DM36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4" s="893">
        <f>IF(WWWW[[#This Row],['# People with access to soap]]&gt;WWWW[[#This Row],['# People with access to Sanity Pads]],WWWW[[#This Row],['# People with access to soap]],WWWW[[#This Row],['# People with access to Sanity Pads]])</f>
        <v>0</v>
      </c>
      <c r="DP364"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64" s="895">
        <f>IF(WWWW[[#This Row],[HRP3]]/WWWW[[#This Row],[Total PoP ]]&gt;1,1,WWWW[[#This Row],[HRP3]]/WWWW[[#This Row],[Total PoP ]])</f>
        <v>0</v>
      </c>
      <c r="DR364" s="894">
        <f>1-WWWW[[#This Row],[Hygiene Coverage%]]</f>
        <v>1</v>
      </c>
      <c r="DS364" s="892">
        <f>WWWW[[#This Row],['# people reached by regular dedicated hygiene promotion_5]]/WWWW[[#This Row],[Total PoP ]]</f>
        <v>0</v>
      </c>
      <c r="DT36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4" s="893">
        <f>WWWW[[#This Row],['#_Constructed/Existing hand washing stations]]-WWWW[[#This Row],['#_Non-Functional_hand_washing_stations]]</f>
        <v>0</v>
      </c>
      <c r="DW364" s="890">
        <f>IF(WWWW[[#This Row],['# Functional hand washing stations during reporting period]]*20&gt;WWWW[[#This Row],[Total HH]],WWWW[[#This Row],[Total HH]],WWWW[[#This Row],['# Functional hand washing stations during reporting period]]*20)</f>
        <v>0</v>
      </c>
      <c r="DX364" s="890">
        <f>IF(WWWW[[#This Row],[Is sufficient soap available for TLS? (Yes/No)]]="yes",WWWW[[#This Row],['#_Constructed/Existing hand washing stations at TLS/CFS/THF]],0)</f>
        <v>0</v>
      </c>
      <c r="DY364" s="428">
        <f>IF(WWWW[[#This Row],['# Functional hand washing stations during reporting period]]*100&gt;WWWW[[#This Row],[Total PoP ]],WWWW[[#This Row],[Total PoP ]],WWWW[[#This Row],['# Functional hand washing stations during reporting period]]*100)</f>
        <v>0</v>
      </c>
      <c r="DZ364" s="428" t="str">
        <f>IF(OR(WWWW[[#This Row],['#_students at TLS_CFS]]="",WWWW[[#This Row],['#_students at TLS_CFS]]=0),"No","Yes")</f>
        <v>No</v>
      </c>
      <c r="EA36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4" s="886">
        <f>VLOOKUP(WWWW[[#This Row],[Site Name]],SiteDB6[[Site Name]:[CCCM Management]],6,FALSE)</f>
        <v>0</v>
      </c>
      <c r="EF364" s="886" t="str">
        <f>VLOOKUP(WWWW[[#This Row],[Site Name]],SiteDB6[[Site Name]:[CCCM Focal Agency]],7,FALSE)</f>
        <v>uncovered</v>
      </c>
      <c r="EG364" s="886" t="str">
        <f>VLOOKUP(WWWW[[#This Row],[Site Name]],SiteDB6[[Site Name]:[Location Type 1]],9,FALSE)</f>
        <v>Camp</v>
      </c>
      <c r="EH364" s="886" t="str">
        <f>VLOOKUP(WWWW[[#This Row],[Site Name]],SiteDB6[[Site Name]:[Type of Accommodation]],10,FALSE)</f>
        <v>IDPs in host</v>
      </c>
      <c r="EI364" s="886" t="str">
        <f>VLOOKUP(WWWW[[#This Row],[Site Name]],SiteDB6[[Site Name]:[Ethnic or GCA/NGCA]],11,FALSE)</f>
        <v>GCA</v>
      </c>
      <c r="EJ364" s="886">
        <f>VLOOKUP(WWWW[[#This Row],[Site Name]],SiteDB6[[Site Name]:[Lat]],12,FALSE)</f>
        <v>22.325900000000001</v>
      </c>
      <c r="EK364" s="886">
        <f>VLOOKUP(WWWW[[#This Row],[Site Name]],SiteDB6[[Site Name]:[Long]],13,FALSE)</f>
        <v>97.021000000000001</v>
      </c>
      <c r="EL364" s="886" t="str">
        <f>VLOOKUP(WWWW[[#This Row],[Site Name]],SiteDB6[[Site Name]:[Pcode]],3,FALSE)</f>
        <v>MMR015CMP075</v>
      </c>
      <c r="EM364" s="891" t="str">
        <f t="shared" si="5"/>
        <v>Notcovered</v>
      </c>
      <c r="EN364" s="891"/>
      <c r="EO364" s="886">
        <f>VLOOKUP(WWWW[[#This Row],[Site Name]],SiteDB6[[Site Name]:[Pop
(Kachin/Shan-CCCM as of July 2021)]],16,FALSE)</f>
        <v>1036</v>
      </c>
      <c r="EP364" s="886">
        <f>VLOOKUP(WWWW[[#This Row],[Site Name]],SiteDB6[[Site Name]:[Pop
(Kachin/Shan-CCCM as of July 2021)]],17,FALSE)</f>
        <v>3986</v>
      </c>
    </row>
    <row r="365" spans="1:146" hidden="1">
      <c r="A365" s="884" t="s">
        <v>2764</v>
      </c>
      <c r="B365" s="884" t="s">
        <v>192</v>
      </c>
      <c r="C365" s="885" t="s">
        <v>192</v>
      </c>
      <c r="D365" s="885" t="s">
        <v>2673</v>
      </c>
      <c r="E365" s="885" t="s">
        <v>515</v>
      </c>
      <c r="F365" s="885" t="s">
        <v>536</v>
      </c>
      <c r="G365" s="591" t="str">
        <f>VLOOKUP(WWWW[[#This Row],[Site Name]],SiteDB6[[Site Name]:[Location Type]],8,FALSE)</f>
        <v>Camp</v>
      </c>
      <c r="H365" s="885" t="s">
        <v>543</v>
      </c>
      <c r="I365" s="887">
        <v>60</v>
      </c>
      <c r="J365" s="887">
        <v>270</v>
      </c>
      <c r="K365" s="888" t="s">
        <v>2767</v>
      </c>
      <c r="L365" s="889" t="s">
        <v>2768</v>
      </c>
      <c r="M365" s="887"/>
      <c r="N365" s="887"/>
      <c r="O365" s="887">
        <v>1</v>
      </c>
      <c r="P365" s="887"/>
      <c r="Q365" s="890" t="s">
        <v>41</v>
      </c>
      <c r="R365" s="887">
        <v>4</v>
      </c>
      <c r="S365" s="887">
        <v>3</v>
      </c>
      <c r="T365" s="448">
        <v>1</v>
      </c>
      <c r="U365" s="887"/>
      <c r="V365" s="887"/>
      <c r="W365" s="887">
        <v>1</v>
      </c>
      <c r="X365" s="887">
        <v>1</v>
      </c>
      <c r="Y365" s="887"/>
      <c r="Z365" s="887">
        <v>1</v>
      </c>
      <c r="AA365" s="887"/>
      <c r="AB365" s="887"/>
      <c r="AC365" s="887"/>
      <c r="AD365" s="887"/>
      <c r="AE365" s="887"/>
      <c r="AF365" s="887"/>
      <c r="AG365" s="887"/>
      <c r="AH365" s="887"/>
      <c r="AI365" s="887"/>
      <c r="AJ365" s="887"/>
      <c r="AK365" s="887"/>
      <c r="AL365" s="887"/>
      <c r="AM365" s="887">
        <v>2</v>
      </c>
      <c r="AN365" s="887"/>
      <c r="AO365" s="448"/>
      <c r="AP365" s="891"/>
      <c r="AQ365" s="887">
        <v>16</v>
      </c>
      <c r="AR365" s="887"/>
      <c r="AS365" s="892"/>
      <c r="AT365" s="887"/>
      <c r="AU365" s="887"/>
      <c r="AV365" s="887"/>
      <c r="AW365" s="887"/>
      <c r="AX365" s="887"/>
      <c r="AY365" s="886" t="s">
        <v>41</v>
      </c>
      <c r="AZ365" s="891" t="s">
        <v>137</v>
      </c>
      <c r="BA365" s="887"/>
      <c r="BB365" s="887"/>
      <c r="BC365" s="887"/>
      <c r="BD365" s="448"/>
      <c r="BE365" s="448"/>
      <c r="BF365" s="886"/>
      <c r="BG365" s="887">
        <v>11</v>
      </c>
      <c r="BH365" s="887"/>
      <c r="BI365" s="887"/>
      <c r="BJ365" s="887">
        <v>2</v>
      </c>
      <c r="BK365" s="887"/>
      <c r="BL365" s="887"/>
      <c r="BM365" s="887">
        <v>1</v>
      </c>
      <c r="BN365" s="887"/>
      <c r="BO365" s="887"/>
      <c r="BP365" s="425" t="s">
        <v>41</v>
      </c>
      <c r="BQ365" s="893"/>
      <c r="BR365" s="892">
        <v>1</v>
      </c>
      <c r="BS365" s="886"/>
      <c r="BT365" s="423"/>
      <c r="BU365" s="423"/>
      <c r="BV365" s="425"/>
      <c r="BW365" s="423"/>
      <c r="BX365" s="448"/>
      <c r="BY365" s="448"/>
      <c r="BZ365" s="448"/>
      <c r="CA365" s="448"/>
      <c r="CB365" s="448"/>
      <c r="CC365" s="777"/>
      <c r="CD365" s="448"/>
      <c r="CE365" s="894" t="str">
        <f>IFERROR(WWWW[[#This Row],['#_Water sources passed]]/WWWW[[#This Row],['#_Water sources tested for fecal coliform ]],"no test")</f>
        <v>no test</v>
      </c>
      <c r="CF365" s="892" t="str">
        <f>IFERROR(WWWW[[#This Row],['#_Household passed]]/WWWW[[#This Row],['#_Household water samples tested for fecal coliform]],"no test")</f>
        <v>no test</v>
      </c>
      <c r="CG365" s="893" t="str">
        <f>IF(AND(WWWW[[#This Row],[% of water sources passed]]="no test",WWWW[[#This Row],[% Household passed]]="no test"),"No Test","Tested")</f>
        <v>No Test</v>
      </c>
      <c r="CH365" s="893">
        <f>WWWW[[#This Row],['#_Constructed/existing protected hand dug well]]-WWWW[[#This Row],['#_Non-functional protected hand dug well]]</f>
        <v>1</v>
      </c>
      <c r="CI365" s="893">
        <f>(WWWW[[#This Row],['#_Constructed/Existing tube wells/boreholes/handpumps_WASH_agency]]+WWWW[[#This Row],['#_Non-Cluster partner water tube-wells/boreholes/handpumps]])-WWWW[[#This Row],['#_Non-functional tube wells/boreholes/handpumps]]</f>
        <v>2</v>
      </c>
      <c r="CJ365" s="893">
        <f>WWWW[[#This Row],['#_Constructed/Existingwater storage tank with gravity fed reticulation system]]-WWWW[[#This Row],['#_Non-functional storage tank gravity fed reticulation system]]</f>
        <v>0</v>
      </c>
      <c r="CK365" s="893">
        <f>(WWWW[[#This Row],['#_Water_Liters_supplied_by_Water boating or water trucking]]/90)/15</f>
        <v>0</v>
      </c>
      <c r="CL365" s="893">
        <f>WWWW[[#This Row],['#_Water_Liters_from_Constructed/Existing water distribution system from river or natural spring]]/90/15</f>
        <v>0</v>
      </c>
      <c r="CM365" s="424">
        <f>IF(WWWW[[#This Row],['#_of water points in TLS/CFS]]*500&gt;WWWW[[#This Row],[Total PoP ]],WWWW[[#This Row],[Total PoP ]],WWWW[[#This Row],['#_of water points in TLS/CFS]]*500)</f>
        <v>0</v>
      </c>
      <c r="CN365" s="424">
        <f>IF(WWWW[[#This Row],['#_of water points in THF]]*500&gt;WWWW[[#This Row],[Total PoP ]],WWWW[[#This Row],[Total PoP ]],WWWW[[#This Row],['#_of water points in THF]]*500)</f>
        <v>0</v>
      </c>
      <c r="CO36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5" s="892">
        <f>IF(WWWW[[#This Row],[Location Type 1]]="Village",WWWW[[#This Row],[Access to safe drinking water for Village]],WWWW[[#This Row],[Access to safe drinking water for Camp]])</f>
        <v>1</v>
      </c>
      <c r="CR365" s="890">
        <f>WWWW[[#This Row],[%Equitable and continuous access to sufficient quantity of safe drinking water]]*WWWW[[#This Row],[Total PoP ]]</f>
        <v>270</v>
      </c>
      <c r="CS365" s="892">
        <f>IF((WWWW[[#This Row],['#_Constructed/Existing protected/fenced ponds]]*250)/WWWW[[#This Row],[Total PoP ]]&gt;1,1,(WWWW[[#This Row],['#_Constructed/Existing protected/fenced ponds]]*250)/WWWW[[#This Row],[Total PoP ]])</f>
        <v>0</v>
      </c>
      <c r="CT365" s="890">
        <f>WWWW[[#This Row],[% Access to unimproved water points]]*WWWW[[#This Row],[Total PoP ]]</f>
        <v>0</v>
      </c>
      <c r="CU36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CW365" s="890">
        <f>WWWW[[#This Row],[HRP1]]/500</f>
        <v>0.54</v>
      </c>
      <c r="CX365" s="895">
        <f>1-WWWW[[#This Row],[% Equitable and continuous access to sufficient quantity of domestic water]]</f>
        <v>0</v>
      </c>
      <c r="CY365" s="890">
        <f>WWWW[[#This Row],[%equitable and continuous access to sufficient quantity of safe drinking and domestic water''s GAP]]*WWWW[[#This Row],[Total PoP ]]</f>
        <v>0</v>
      </c>
      <c r="CZ365" s="893">
        <f>IF(WWWW[[#This Row],[Total required water points]]-WWWW[[#This Row],['#Water points coverage]]&lt;0,0,WWWW[[#This Row],[Total required water points]]-WWWW[[#This Row],['#Water points coverage]])</f>
        <v>0.45999999999999996</v>
      </c>
      <c r="DA365" s="893">
        <f>ROUND(IF(WWWW[[#This Row],[Total PoP ]]&lt;500,1,WWWW[[#This Row],[Total PoP ]]/500),0)</f>
        <v>1</v>
      </c>
      <c r="DB365" s="893">
        <f>(WWWW[[#This Row],['#_Constructed latrines_by_WASHAgencies]]+WWWW[[#This Row],['#_Non Cluster partner latrines]])-WWWW[[#This Row],['#_Non-functional latrines]]</f>
        <v>16</v>
      </c>
      <c r="DC365" s="631">
        <f>WWWW[[#This Row],[HRP2]]/WWWW[[#This Row],[Total PoP ]]</f>
        <v>1</v>
      </c>
      <c r="DD36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270</v>
      </c>
      <c r="DE36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5" s="424">
        <f>IF(WWWW[[#This Row],['# of functional latrines in THF supported by WASH partners during the reporting period2]]="",0,WWWW[[#This Row],['# of functional latrines in THF supported by WASH partners during the reporting period2]]*50)</f>
        <v>0</v>
      </c>
      <c r="DH365" s="893">
        <f>ROUND(IF(WWWW[[#This Row],[Location Type 1]]="camp",WWWW[[#This Row],[Total PoP ]]/20,IF(WWWW[[#This Row],[Location Type 1]]="Temporary Location",WWWW[[#This Row],[Total PoP ]]/50,(WWWW[[#This Row],[Total PoP ]]/6))),0)</f>
        <v>14</v>
      </c>
      <c r="DI365" s="893">
        <f>IF(WWWW[[#This Row],[Total required Latrines]]-(WWWW[[#This Row],['#_Constructed latrines_by_WASHAgencies]]+WWWW[[#This Row],['#_Non Cluster partner latrines]])&lt;0,0,WWWW[[#This Row],[Total required Latrines]]-(WWWW[[#This Row],['#_Constructed latrines_by_WASHAgencies]]+WWWW[[#This Row],['#_Non Cluster partner latrines]]))</f>
        <v>0</v>
      </c>
      <c r="DJ365" s="895">
        <f>1-WWWW[[#This Row],[% people access to functioning Latrine]]</f>
        <v>0</v>
      </c>
      <c r="DK365" s="894">
        <f>IF(OR(WWWW[[#This Row],['#_Non-functional latrines]]="",WWWW[[#This Row],['#_Non-functional latrines]]=0),0,WWWW[[#This Row],['#_Non-functional latrines]]/(WWWW[[#This Row],['#_Constructed latrines_by_WASHAgencies]]+WWWW[[#This Row],['#_Non Cluster partner latrines]]))</f>
        <v>0</v>
      </c>
      <c r="DL365" s="890">
        <f>IF(500*(WWWW[[#This Row],['#_male hygiene promoters]]+WWWW[[#This Row],['#_female hygiene promoters]])&gt;WWWW[[#This Row],[Total PoP ]],WWWW[[#This Row],[Total PoP ]],500*(WWWW[[#This Row],['#_male hygiene promoters]]+WWWW[[#This Row],['#_female hygiene promoters]]))</f>
        <v>270</v>
      </c>
      <c r="DM36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5" s="893">
        <f>IF(WWWW[[#This Row],['# People with access to soap]]&gt;WWWW[[#This Row],['# People with access to Sanity Pads]],WWWW[[#This Row],['# People with access to soap]],WWWW[[#This Row],['# People with access to Sanity Pads]])</f>
        <v>0</v>
      </c>
      <c r="DP365" s="893">
        <f>IF(WWWW[[#This Row],['# people reached by regular dedicated hygiene promotion_5]]&gt;WWWW[[#This Row],['# People received regular supply of hygiene items_6]],WWWW[[#This Row],['# people reached by regular dedicated hygiene promotion_5]],WWWW[[#This Row],['# People received regular supply of hygiene items_6]])</f>
        <v>270</v>
      </c>
      <c r="DQ365" s="895">
        <f>IF(WWWW[[#This Row],[HRP3]]/WWWW[[#This Row],[Total PoP ]]&gt;1,1,WWWW[[#This Row],[HRP3]]/WWWW[[#This Row],[Total PoP ]])</f>
        <v>1</v>
      </c>
      <c r="DR365" s="894">
        <f>1-WWWW[[#This Row],[Hygiene Coverage%]]</f>
        <v>0</v>
      </c>
      <c r="DS365" s="892">
        <f>WWWW[[#This Row],['# people reached by regular dedicated hygiene promotion_5]]/WWWW[[#This Row],[Total PoP ]]</f>
        <v>1</v>
      </c>
      <c r="DT36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5" s="893">
        <f>WWWW[[#This Row],['#_Constructed/Existing hand washing stations]]-WWWW[[#This Row],['#_Non-Functional_hand_washing_stations]]</f>
        <v>11</v>
      </c>
      <c r="DW365" s="890">
        <f>IF(WWWW[[#This Row],['# Functional hand washing stations during reporting period]]*20&gt;WWWW[[#This Row],[Total HH]],WWWW[[#This Row],[Total HH]],WWWW[[#This Row],['# Functional hand washing stations during reporting period]]*20)</f>
        <v>60</v>
      </c>
      <c r="DX365" s="890">
        <f>IF(WWWW[[#This Row],[Is sufficient soap available for TLS? (Yes/No)]]="yes",WWWW[[#This Row],['#_Constructed/Existing hand washing stations at TLS/CFS/THF]],0)</f>
        <v>2</v>
      </c>
      <c r="DY365" s="428">
        <f>IF(WWWW[[#This Row],['# Functional hand washing stations during reporting period]]*100&gt;WWWW[[#This Row],[Total PoP ]],WWWW[[#This Row],[Total PoP ]],WWWW[[#This Row],['# Functional hand washing stations during reporting period]]*100)</f>
        <v>270</v>
      </c>
      <c r="DZ365" s="428" t="str">
        <f>IF(OR(WWWW[[#This Row],['#_students at TLS_CFS]]="",WWWW[[#This Row],['#_students at TLS_CFS]]=0),"No","Yes")</f>
        <v>No</v>
      </c>
      <c r="EA36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5" s="886" t="str">
        <f>VLOOKUP(WWWW[[#This Row],[Site Name]],SiteDB6[[Site Name]:[CCCM Management]],6,FALSE)</f>
        <v>Yes</v>
      </c>
      <c r="EF365" s="886" t="str">
        <f>VLOOKUP(WWWW[[#This Row],[Site Name]],SiteDB6[[Site Name]:[CCCM Focal Agency]],7,FALSE)</f>
        <v>KMSS-LSO</v>
      </c>
      <c r="EG365" s="886" t="str">
        <f>VLOOKUP(WWWW[[#This Row],[Site Name]],SiteDB6[[Site Name]:[Location Type 1]],9,FALSE)</f>
        <v>Camp</v>
      </c>
      <c r="EH365" s="886" t="str">
        <f>VLOOKUP(WWWW[[#This Row],[Site Name]],SiteDB6[[Site Name]:[Type of Accommodation]],10,FALSE)</f>
        <v>Camp</v>
      </c>
      <c r="EI365" s="886" t="str">
        <f>VLOOKUP(WWWW[[#This Row],[Site Name]],SiteDB6[[Site Name]:[Ethnic or GCA/NGCA]],11,FALSE)</f>
        <v>GCA</v>
      </c>
      <c r="EJ365" s="886">
        <f>VLOOKUP(WWWW[[#This Row],[Site Name]],SiteDB6[[Site Name]:[Lat]],12,FALSE)</f>
        <v>23.099304</v>
      </c>
      <c r="EK365" s="886">
        <f>VLOOKUP(WWWW[[#This Row],[Site Name]],SiteDB6[[Site Name]:[Long]],13,FALSE)</f>
        <v>97.400671000000003</v>
      </c>
      <c r="EL365" s="886" t="str">
        <f>VLOOKUP(WWWW[[#This Row],[Site Name]],SiteDB6[[Site Name]:[Pcode]],3,FALSE)</f>
        <v>MMR015CMP066</v>
      </c>
      <c r="EM365" s="891" t="str">
        <f t="shared" si="5"/>
        <v>Covered</v>
      </c>
      <c r="EN365" s="891"/>
      <c r="EO365" s="886">
        <f>VLOOKUP(WWWW[[#This Row],[Site Name]],SiteDB6[[Site Name]:[Pop
(Kachin/Shan-CCCM as of July 2021)]],16,FALSE)</f>
        <v>60</v>
      </c>
      <c r="EP365" s="886">
        <f>VLOOKUP(WWWW[[#This Row],[Site Name]],SiteDB6[[Site Name]:[Pop
(Kachin/Shan-CCCM as of July 2021)]],17,FALSE)</f>
        <v>272</v>
      </c>
    </row>
    <row r="366" spans="1:146" hidden="1">
      <c r="A366" s="884" t="s">
        <v>2764</v>
      </c>
      <c r="B366" s="707" t="s">
        <v>309</v>
      </c>
      <c r="C366" s="369" t="s">
        <v>309</v>
      </c>
      <c r="D366" s="369"/>
      <c r="E366" s="885" t="s">
        <v>515</v>
      </c>
      <c r="F366" s="369" t="s">
        <v>963</v>
      </c>
      <c r="G366" s="425" t="str">
        <f>VLOOKUP(WWWW[[#This Row],[Site Name]],SiteDB6[[Site Name]:[Location Type]],8,FALSE)</f>
        <v>Relocated</v>
      </c>
      <c r="H366" s="369" t="s">
        <v>2606</v>
      </c>
      <c r="I366" s="448">
        <v>219</v>
      </c>
      <c r="J366" s="448">
        <v>653</v>
      </c>
      <c r="K366" s="800"/>
      <c r="L366" s="56"/>
      <c r="M366" s="448"/>
      <c r="N366" s="448"/>
      <c r="O366" s="448"/>
      <c r="P366" s="448"/>
      <c r="Q366" s="428"/>
      <c r="R366" s="448"/>
      <c r="S366" s="448"/>
      <c r="T366" s="448"/>
      <c r="U366" s="448"/>
      <c r="V366" s="448"/>
      <c r="W366" s="448"/>
      <c r="X366" s="448"/>
      <c r="Y366" s="448"/>
      <c r="Z366" s="448"/>
      <c r="AA366" s="448"/>
      <c r="AB366" s="448"/>
      <c r="AC366" s="448"/>
      <c r="AD366" s="448"/>
      <c r="AE366" s="448"/>
      <c r="AF366" s="448"/>
      <c r="AG366" s="448"/>
      <c r="AH366" s="448"/>
      <c r="AI366" s="448"/>
      <c r="AJ366" s="448"/>
      <c r="AK366" s="448"/>
      <c r="AL366" s="448"/>
      <c r="AM366" s="448"/>
      <c r="AN366" s="448"/>
      <c r="AO366" s="448"/>
      <c r="AP366" s="860"/>
      <c r="AQ366" s="448"/>
      <c r="AR366" s="448"/>
      <c r="AS366" s="423"/>
      <c r="AT366" s="448"/>
      <c r="AU366" s="448"/>
      <c r="AV366" s="448"/>
      <c r="AW366" s="448"/>
      <c r="AX366" s="448"/>
      <c r="AY366" s="425" t="s">
        <v>140</v>
      </c>
      <c r="AZ366" s="425" t="s">
        <v>140</v>
      </c>
      <c r="BA366" s="448"/>
      <c r="BB366" s="448"/>
      <c r="BC366" s="448"/>
      <c r="BD366" s="448"/>
      <c r="BE366" s="448"/>
      <c r="BF366" s="425"/>
      <c r="BG366" s="448"/>
      <c r="BH366" s="448"/>
      <c r="BI366" s="448"/>
      <c r="BJ366" s="448"/>
      <c r="BK366" s="448"/>
      <c r="BL366" s="448"/>
      <c r="BM366" s="448"/>
      <c r="BN366" s="448"/>
      <c r="BO366" s="448"/>
      <c r="BP366" s="425"/>
      <c r="BQ366" s="424"/>
      <c r="BR366" s="423"/>
      <c r="BS366" s="425"/>
      <c r="BT366" s="423"/>
      <c r="BU366" s="423"/>
      <c r="BV366" s="425"/>
      <c r="BW366" s="423"/>
      <c r="BX366" s="448"/>
      <c r="BY366" s="448"/>
      <c r="BZ366" s="448"/>
      <c r="CA366" s="448"/>
      <c r="CB366" s="448"/>
      <c r="CC366" s="777"/>
      <c r="CD366" s="448"/>
      <c r="CE366" s="631" t="str">
        <f>IFERROR(WWWW[[#This Row],['#_Water sources passed]]/WWWW[[#This Row],['#_Water sources tested for fecal coliform ]],"no test")</f>
        <v>no test</v>
      </c>
      <c r="CF366" s="423" t="str">
        <f>IFERROR(WWWW[[#This Row],['#_Household passed]]/WWWW[[#This Row],['#_Household water samples tested for fecal coliform]],"no test")</f>
        <v>no test</v>
      </c>
      <c r="CG366" s="424" t="str">
        <f>IF(AND(WWWW[[#This Row],[% of water sources passed]]="no test",WWWW[[#This Row],[% Household passed]]="no test"),"No Test","Tested")</f>
        <v>No Test</v>
      </c>
      <c r="CH366" s="424">
        <f>WWWW[[#This Row],['#_Constructed/existing protected hand dug well]]-WWWW[[#This Row],['#_Non-functional protected hand dug well]]</f>
        <v>0</v>
      </c>
      <c r="CI366" s="424">
        <f>(WWWW[[#This Row],['#_Constructed/Existing tube wells/boreholes/handpumps_WASH_agency]]+WWWW[[#This Row],['#_Non-Cluster partner water tube-wells/boreholes/handpumps]])-WWWW[[#This Row],['#_Non-functional tube wells/boreholes/handpumps]]</f>
        <v>0</v>
      </c>
      <c r="CJ366" s="424">
        <f>WWWW[[#This Row],['#_Constructed/Existingwater storage tank with gravity fed reticulation system]]-WWWW[[#This Row],['#_Non-functional storage tank gravity fed reticulation system]]</f>
        <v>0</v>
      </c>
      <c r="CK366" s="424">
        <f>(WWWW[[#This Row],['#_Water_Liters_supplied_by_Water boating or water trucking]]/90)/15</f>
        <v>0</v>
      </c>
      <c r="CL366" s="424">
        <f>WWWW[[#This Row],['#_Water_Liters_from_Constructed/Existing water distribution system from river or natural spring]]/90/15</f>
        <v>0</v>
      </c>
      <c r="CM366" s="424">
        <f>IF(WWWW[[#This Row],['#_of water points in TLS/CFS]]*500&gt;WWWW[[#This Row],[Total PoP ]],WWWW[[#This Row],[Total PoP ]],WWWW[[#This Row],['#_of water points in TLS/CFS]]*500)</f>
        <v>0</v>
      </c>
      <c r="CN366" s="424">
        <f>IF(WWWW[[#This Row],['#_of water points in THF]]*500&gt;WWWW[[#This Row],[Total PoP ]],WWWW[[#This Row],[Total PoP ]],WWWW[[#This Row],['#_of water points in THF]]*500)</f>
        <v>0</v>
      </c>
      <c r="CO366"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66"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66" s="423">
        <f>IF(WWWW[[#This Row],[Location Type 1]]="Village",WWWW[[#This Row],[Access to safe drinking water for Village]],WWWW[[#This Row],[Access to safe drinking water for Camp]])</f>
        <v>0</v>
      </c>
      <c r="CR366" s="428">
        <f>WWWW[[#This Row],[%Equitable and continuous access to sufficient quantity of safe drinking water]]*WWWW[[#This Row],[Total PoP ]]</f>
        <v>0</v>
      </c>
      <c r="CS366" s="423">
        <f>IF((WWWW[[#This Row],['#_Constructed/Existing protected/fenced ponds]]*250)/WWWW[[#This Row],[Total PoP ]]&gt;1,1,(WWWW[[#This Row],['#_Constructed/Existing protected/fenced ponds]]*250)/WWWW[[#This Row],[Total PoP ]])</f>
        <v>0</v>
      </c>
      <c r="CT366" s="428">
        <f>WWWW[[#This Row],[% Access to unimproved water points]]*WWWW[[#This Row],[Total PoP ]]</f>
        <v>0</v>
      </c>
      <c r="CU366"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66"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66" s="428">
        <f>WWWW[[#This Row],[HRP1]]/500</f>
        <v>0</v>
      </c>
      <c r="CX366" s="898">
        <f>1-WWWW[[#This Row],[% Equitable and continuous access to sufficient quantity of domestic water]]</f>
        <v>1</v>
      </c>
      <c r="CY366" s="428">
        <f>WWWW[[#This Row],[%equitable and continuous access to sufficient quantity of safe drinking and domestic water''s GAP]]*WWWW[[#This Row],[Total PoP ]]</f>
        <v>653</v>
      </c>
      <c r="CZ366" s="424">
        <f>IF(WWWW[[#This Row],[Total required water points]]-WWWW[[#This Row],['#Water points coverage]]&lt;0,0,WWWW[[#This Row],[Total required water points]]-WWWW[[#This Row],['#Water points coverage]])</f>
        <v>1</v>
      </c>
      <c r="DA366" s="424">
        <f>ROUND(IF(WWWW[[#This Row],[Total PoP ]]&lt;500,1,WWWW[[#This Row],[Total PoP ]]/500),0)</f>
        <v>1</v>
      </c>
      <c r="DB366" s="424">
        <f>(WWWW[[#This Row],['#_Constructed latrines_by_WASHAgencies]]+WWWW[[#This Row],['#_Non Cluster partner latrines]])-WWWW[[#This Row],['#_Non-functional latrines]]</f>
        <v>0</v>
      </c>
      <c r="DC366" s="631">
        <f>WWWW[[#This Row],[HRP2]]/WWWW[[#This Row],[Total PoP ]]</f>
        <v>0</v>
      </c>
      <c r="DD366"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66"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6"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6" s="424">
        <f>IF(WWWW[[#This Row],['# of functional latrines in THF supported by WASH partners during the reporting period2]]="",0,WWWW[[#This Row],['# of functional latrines in THF supported by WASH partners during the reporting period2]]*50)</f>
        <v>0</v>
      </c>
      <c r="DH366" s="424">
        <f>ROUND(IF(WWWW[[#This Row],[Location Type 1]]="camp",WWWW[[#This Row],[Total PoP ]]/20,IF(WWWW[[#This Row],[Location Type 1]]="Temporary Location",WWWW[[#This Row],[Total PoP ]]/50,(WWWW[[#This Row],[Total PoP ]]/6))),0)</f>
        <v>109</v>
      </c>
      <c r="DI366" s="424">
        <f>IF(WWWW[[#This Row],[Total required Latrines]]-(WWWW[[#This Row],['#_Constructed latrines_by_WASHAgencies]]+WWWW[[#This Row],['#_Non Cluster partner latrines]])&lt;0,0,WWWW[[#This Row],[Total required Latrines]]-(WWWW[[#This Row],['#_Constructed latrines_by_WASHAgencies]]+WWWW[[#This Row],['#_Non Cluster partner latrines]]))</f>
        <v>109</v>
      </c>
      <c r="DJ366" s="898">
        <f>1-WWWW[[#This Row],[% people access to functioning Latrine]]</f>
        <v>1</v>
      </c>
      <c r="DK366" s="631">
        <f>IF(OR(WWWW[[#This Row],['#_Non-functional latrines]]="",WWWW[[#This Row],['#_Non-functional latrines]]=0),0,WWWW[[#This Row],['#_Non-functional latrines]]/(WWWW[[#This Row],['#_Constructed latrines_by_WASHAgencies]]+WWWW[[#This Row],['#_Non Cluster partner latrines]]))</f>
        <v>0</v>
      </c>
      <c r="DL366" s="428">
        <f>IF(500*(WWWW[[#This Row],['#_male hygiene promoters]]+WWWW[[#This Row],['#_female hygiene promoters]])&gt;WWWW[[#This Row],[Total PoP ]],WWWW[[#This Row],[Total PoP ]],500*(WWWW[[#This Row],['#_male hygiene promoters]]+WWWW[[#This Row],['#_female hygiene promoters]]))</f>
        <v>0</v>
      </c>
      <c r="DM366"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6"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6" s="424">
        <f>IF(WWWW[[#This Row],['# People with access to soap]]&gt;WWWW[[#This Row],['# People with access to Sanity Pads]],WWWW[[#This Row],['# People with access to soap]],WWWW[[#This Row],['# People with access to Sanity Pads]])</f>
        <v>0</v>
      </c>
      <c r="DP366"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66" s="898">
        <f>IF(WWWW[[#This Row],[HRP3]]/WWWW[[#This Row],[Total PoP ]]&gt;1,1,WWWW[[#This Row],[HRP3]]/WWWW[[#This Row],[Total PoP ]])</f>
        <v>0</v>
      </c>
      <c r="DR366" s="631">
        <f>1-WWWW[[#This Row],[Hygiene Coverage%]]</f>
        <v>1</v>
      </c>
      <c r="DS366" s="423">
        <f>WWWW[[#This Row],['# people reached by regular dedicated hygiene promotion_5]]/WWWW[[#This Row],[Total PoP ]]</f>
        <v>0</v>
      </c>
      <c r="DT366"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6"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6" s="424">
        <f>WWWW[[#This Row],['#_Constructed/Existing hand washing stations]]-WWWW[[#This Row],['#_Non-Functional_hand_washing_stations]]</f>
        <v>0</v>
      </c>
      <c r="DW366" s="428">
        <f>IF(WWWW[[#This Row],['# Functional hand washing stations during reporting period]]*20&gt;WWWW[[#This Row],[Total HH]],WWWW[[#This Row],[Total HH]],WWWW[[#This Row],['# Functional hand washing stations during reporting period]]*20)</f>
        <v>0</v>
      </c>
      <c r="DX366" s="428">
        <f>IF(WWWW[[#This Row],[Is sufficient soap available for TLS? (Yes/No)]]="yes",WWWW[[#This Row],['#_Constructed/Existing hand washing stations at TLS/CFS/THF]],0)</f>
        <v>0</v>
      </c>
      <c r="DY366" s="428">
        <f>IF(WWWW[[#This Row],['# Functional hand washing stations during reporting period]]*100&gt;WWWW[[#This Row],[Total PoP ]],WWWW[[#This Row],[Total PoP ]],WWWW[[#This Row],['# Functional hand washing stations during reporting period]]*100)</f>
        <v>0</v>
      </c>
      <c r="DZ366" s="428" t="str">
        <f>IF(OR(WWWW[[#This Row],['#_students at TLS_CFS]]="",WWWW[[#This Row],['#_students at TLS_CFS]]=0),"No","Yes")</f>
        <v>No</v>
      </c>
      <c r="EA36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6" s="425">
        <f>VLOOKUP(WWWW[[#This Row],[Site Name]],SiteDB6[[Site Name]:[CCCM Management]],6,FALSE)</f>
        <v>0</v>
      </c>
      <c r="EF366" s="425">
        <f>VLOOKUP(WWWW[[#This Row],[Site Name]],SiteDB6[[Site Name]:[CCCM Focal Agency]],7,FALSE)</f>
        <v>0</v>
      </c>
      <c r="EG366" s="425" t="str">
        <f>VLOOKUP(WWWW[[#This Row],[Site Name]],SiteDB6[[Site Name]:[Location Type 1]],9,FALSE)</f>
        <v>Relocated</v>
      </c>
      <c r="EH366" s="425" t="str">
        <f>VLOOKUP(WWWW[[#This Row],[Site Name]],SiteDB6[[Site Name]:[Type of Accommodation]],10,FALSE)</f>
        <v>Relocated-Individual House</v>
      </c>
      <c r="EI366" s="425" t="str">
        <f>VLOOKUP(WWWW[[#This Row],[Site Name]],SiteDB6[[Site Name]:[Ethnic or GCA/NGCA]],11,FALSE)</f>
        <v>GCA</v>
      </c>
      <c r="EJ366" s="425">
        <f>VLOOKUP(WWWW[[#This Row],[Site Name]],SiteDB6[[Site Name]:[Lat]],12,FALSE)</f>
        <v>23.415991000000002</v>
      </c>
      <c r="EK366" s="425">
        <f>VLOOKUP(WWWW[[#This Row],[Site Name]],SiteDB6[[Site Name]:[Long]],13,FALSE)</f>
        <v>98.471779999999995</v>
      </c>
      <c r="EL366" s="425" t="str">
        <f>VLOOKUP(WWWW[[#This Row],[Site Name]],SiteDB6[[Site Name]:[Pcode]],3,FALSE)</f>
        <v>MMR015CMP073</v>
      </c>
      <c r="EM366" s="860" t="str">
        <f t="shared" si="5"/>
        <v>Notcovered</v>
      </c>
      <c r="EN366" s="860"/>
      <c r="EO366" s="425">
        <f>VLOOKUP(WWWW[[#This Row],[Site Name]],SiteDB6[[Site Name]:[Pop
(Kachin/Shan-CCCM as of July 2021)]],16,FALSE)</f>
        <v>219</v>
      </c>
      <c r="EP366" s="425">
        <f>VLOOKUP(WWWW[[#This Row],[Site Name]],SiteDB6[[Site Name]:[Pop
(Kachin/Shan-CCCM as of July 2021)]],17,FALSE)</f>
        <v>653</v>
      </c>
    </row>
    <row r="367" spans="1:146" hidden="1">
      <c r="A367" s="884" t="s">
        <v>2764</v>
      </c>
      <c r="B367" s="884" t="s">
        <v>192</v>
      </c>
      <c r="C367" s="885" t="s">
        <v>192</v>
      </c>
      <c r="D367" s="885" t="s">
        <v>2673</v>
      </c>
      <c r="E367" s="885" t="s">
        <v>515</v>
      </c>
      <c r="F367" s="885" t="s">
        <v>536</v>
      </c>
      <c r="G367" s="591" t="str">
        <f>VLOOKUP(WWWW[[#This Row],[Site Name]],SiteDB6[[Site Name]:[Location Type]],8,FALSE)</f>
        <v>Camp</v>
      </c>
      <c r="H367" s="885" t="s">
        <v>544</v>
      </c>
      <c r="I367" s="887">
        <v>30</v>
      </c>
      <c r="J367" s="887">
        <v>127</v>
      </c>
      <c r="K367" s="888" t="s">
        <v>2767</v>
      </c>
      <c r="L367" s="889" t="s">
        <v>2768</v>
      </c>
      <c r="M367" s="887"/>
      <c r="N367" s="887"/>
      <c r="O367" s="887">
        <v>1</v>
      </c>
      <c r="P367" s="887"/>
      <c r="Q367" s="890" t="s">
        <v>41</v>
      </c>
      <c r="R367" s="887">
        <v>3</v>
      </c>
      <c r="S367" s="887">
        <v>3</v>
      </c>
      <c r="T367" s="448"/>
      <c r="U367" s="887"/>
      <c r="V367" s="887"/>
      <c r="W367" s="887">
        <v>2</v>
      </c>
      <c r="X367" s="887">
        <v>1</v>
      </c>
      <c r="Y367" s="887"/>
      <c r="Z367" s="887">
        <v>1</v>
      </c>
      <c r="AA367" s="887"/>
      <c r="AB367" s="887"/>
      <c r="AC367" s="887"/>
      <c r="AD367" s="887"/>
      <c r="AE367" s="887"/>
      <c r="AF367" s="887"/>
      <c r="AG367" s="887"/>
      <c r="AH367" s="887"/>
      <c r="AI367" s="887"/>
      <c r="AJ367" s="887"/>
      <c r="AK367" s="887"/>
      <c r="AL367" s="887"/>
      <c r="AM367" s="887"/>
      <c r="AN367" s="887"/>
      <c r="AO367" s="448"/>
      <c r="AP367" s="891"/>
      <c r="AQ367" s="887">
        <v>10</v>
      </c>
      <c r="AR367" s="887">
        <v>2</v>
      </c>
      <c r="AS367" s="892"/>
      <c r="AT367" s="887"/>
      <c r="AU367" s="887"/>
      <c r="AV367" s="887"/>
      <c r="AW367" s="887"/>
      <c r="AX367" s="887">
        <v>2</v>
      </c>
      <c r="AY367" s="886" t="s">
        <v>41</v>
      </c>
      <c r="AZ367" s="891" t="s">
        <v>137</v>
      </c>
      <c r="BA367" s="887"/>
      <c r="BB367" s="887"/>
      <c r="BC367" s="887"/>
      <c r="BD367" s="448"/>
      <c r="BE367" s="448"/>
      <c r="BF367" s="886"/>
      <c r="BG367" s="887">
        <v>11</v>
      </c>
      <c r="BH367" s="887"/>
      <c r="BI367" s="887"/>
      <c r="BJ367" s="887">
        <v>3</v>
      </c>
      <c r="BK367" s="887"/>
      <c r="BL367" s="887"/>
      <c r="BM367" s="887">
        <v>1</v>
      </c>
      <c r="BN367" s="887"/>
      <c r="BO367" s="887"/>
      <c r="BP367" s="425" t="s">
        <v>41</v>
      </c>
      <c r="BQ367" s="893"/>
      <c r="BR367" s="892">
        <v>1</v>
      </c>
      <c r="BS367" s="886"/>
      <c r="BT367" s="423"/>
      <c r="BU367" s="423"/>
      <c r="BV367" s="425"/>
      <c r="BW367" s="423"/>
      <c r="BX367" s="448"/>
      <c r="BY367" s="448"/>
      <c r="BZ367" s="448"/>
      <c r="CA367" s="448"/>
      <c r="CB367" s="448"/>
      <c r="CC367" s="777"/>
      <c r="CD367" s="448"/>
      <c r="CE367" s="894" t="str">
        <f>IFERROR(WWWW[[#This Row],['#_Water sources passed]]/WWWW[[#This Row],['#_Water sources tested for fecal coliform ]],"no test")</f>
        <v>no test</v>
      </c>
      <c r="CF367" s="892" t="str">
        <f>IFERROR(WWWW[[#This Row],['#_Household passed]]/WWWW[[#This Row],['#_Household water samples tested for fecal coliform]],"no test")</f>
        <v>no test</v>
      </c>
      <c r="CG367" s="893" t="str">
        <f>IF(AND(WWWW[[#This Row],[% of water sources passed]]="no test",WWWW[[#This Row],[% Household passed]]="no test"),"No Test","Tested")</f>
        <v>No Test</v>
      </c>
      <c r="CH367" s="893">
        <f>WWWW[[#This Row],['#_Constructed/existing protected hand dug well]]-WWWW[[#This Row],['#_Non-functional protected hand dug well]]</f>
        <v>0</v>
      </c>
      <c r="CI367" s="893">
        <f>(WWWW[[#This Row],['#_Constructed/Existing tube wells/boreholes/handpumps_WASH_agency]]+WWWW[[#This Row],['#_Non-Cluster partner water tube-wells/boreholes/handpumps]])-WWWW[[#This Row],['#_Non-functional tube wells/boreholes/handpumps]]</f>
        <v>3</v>
      </c>
      <c r="CJ367" s="893">
        <f>WWWW[[#This Row],['#_Constructed/Existingwater storage tank with gravity fed reticulation system]]-WWWW[[#This Row],['#_Non-functional storage tank gravity fed reticulation system]]</f>
        <v>0</v>
      </c>
      <c r="CK367" s="893">
        <f>(WWWW[[#This Row],['#_Water_Liters_supplied_by_Water boating or water trucking]]/90)/15</f>
        <v>0</v>
      </c>
      <c r="CL367" s="893">
        <f>WWWW[[#This Row],['#_Water_Liters_from_Constructed/Existing water distribution system from river or natural spring]]/90/15</f>
        <v>0</v>
      </c>
      <c r="CM367" s="424">
        <f>IF(WWWW[[#This Row],['#_of water points in TLS/CFS]]*500&gt;WWWW[[#This Row],[Total PoP ]],WWWW[[#This Row],[Total PoP ]],WWWW[[#This Row],['#_of water points in TLS/CFS]]*500)</f>
        <v>0</v>
      </c>
      <c r="CN367" s="424">
        <f>IF(WWWW[[#This Row],['#_of water points in THF]]*500&gt;WWWW[[#This Row],[Total PoP ]],WWWW[[#This Row],[Total PoP ]],WWWW[[#This Row],['#_of water points in THF]]*500)</f>
        <v>0</v>
      </c>
      <c r="CO36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7" s="892">
        <f>IF(WWWW[[#This Row],[Location Type 1]]="Village",WWWW[[#This Row],[Access to safe drinking water for Village]],WWWW[[#This Row],[Access to safe drinking water for Camp]])</f>
        <v>1</v>
      </c>
      <c r="CR367" s="890">
        <f>WWWW[[#This Row],[%Equitable and continuous access to sufficient quantity of safe drinking water]]*WWWW[[#This Row],[Total PoP ]]</f>
        <v>127</v>
      </c>
      <c r="CS367" s="892">
        <f>IF((WWWW[[#This Row],['#_Constructed/Existing protected/fenced ponds]]*250)/WWWW[[#This Row],[Total PoP ]]&gt;1,1,(WWWW[[#This Row],['#_Constructed/Existing protected/fenced ponds]]*250)/WWWW[[#This Row],[Total PoP ]])</f>
        <v>0</v>
      </c>
      <c r="CT367" s="890">
        <f>WWWW[[#This Row],[% Access to unimproved water points]]*WWWW[[#This Row],[Total PoP ]]</f>
        <v>0</v>
      </c>
      <c r="CU36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W367" s="890">
        <f>WWWW[[#This Row],[HRP1]]/500</f>
        <v>0.254</v>
      </c>
      <c r="CX367" s="895">
        <f>1-WWWW[[#This Row],[% Equitable and continuous access to sufficient quantity of domestic water]]</f>
        <v>0</v>
      </c>
      <c r="CY367" s="890">
        <f>WWWW[[#This Row],[%equitable and continuous access to sufficient quantity of safe drinking and domestic water''s GAP]]*WWWW[[#This Row],[Total PoP ]]</f>
        <v>0</v>
      </c>
      <c r="CZ367" s="893">
        <f>IF(WWWW[[#This Row],[Total required water points]]-WWWW[[#This Row],['#Water points coverage]]&lt;0,0,WWWW[[#This Row],[Total required water points]]-WWWW[[#This Row],['#Water points coverage]])</f>
        <v>0.746</v>
      </c>
      <c r="DA367" s="893">
        <f>ROUND(IF(WWWW[[#This Row],[Total PoP ]]&lt;500,1,WWWW[[#This Row],[Total PoP ]]/500),0)</f>
        <v>1</v>
      </c>
      <c r="DB367" s="893">
        <f>(WWWW[[#This Row],['#_Constructed latrines_by_WASHAgencies]]+WWWW[[#This Row],['#_Non Cluster partner latrines]])-WWWW[[#This Row],['#_Non-functional latrines]]</f>
        <v>12</v>
      </c>
      <c r="DC367" s="631">
        <f>WWWW[[#This Row],[HRP2]]/WWWW[[#This Row],[Total PoP ]]</f>
        <v>1</v>
      </c>
      <c r="DD36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127</v>
      </c>
      <c r="DE36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7" s="424">
        <f>IF(WWWW[[#This Row],['# of functional latrines in THF supported by WASH partners during the reporting period2]]="",0,WWWW[[#This Row],['# of functional latrines in THF supported by WASH partners during the reporting period2]]*50)</f>
        <v>0</v>
      </c>
      <c r="DH367" s="893">
        <f>ROUND(IF(WWWW[[#This Row],[Location Type 1]]="camp",WWWW[[#This Row],[Total PoP ]]/20,IF(WWWW[[#This Row],[Location Type 1]]="Temporary Location",WWWW[[#This Row],[Total PoP ]]/50,(WWWW[[#This Row],[Total PoP ]]/6))),0)</f>
        <v>6</v>
      </c>
      <c r="DI367" s="893">
        <f>IF(WWWW[[#This Row],[Total required Latrines]]-(WWWW[[#This Row],['#_Constructed latrines_by_WASHAgencies]]+WWWW[[#This Row],['#_Non Cluster partner latrines]])&lt;0,0,WWWW[[#This Row],[Total required Latrines]]-(WWWW[[#This Row],['#_Constructed latrines_by_WASHAgencies]]+WWWW[[#This Row],['#_Non Cluster partner latrines]]))</f>
        <v>0</v>
      </c>
      <c r="DJ367" s="895">
        <f>1-WWWW[[#This Row],[% people access to functioning Latrine]]</f>
        <v>0</v>
      </c>
      <c r="DK367" s="894">
        <f>IF(OR(WWWW[[#This Row],['#_Non-functional latrines]]="",WWWW[[#This Row],['#_Non-functional latrines]]=0),0,WWWW[[#This Row],['#_Non-functional latrines]]/(WWWW[[#This Row],['#_Constructed latrines_by_WASHAgencies]]+WWWW[[#This Row],['#_Non Cluster partner latrines]]))</f>
        <v>0</v>
      </c>
      <c r="DL367" s="890">
        <f>IF(500*(WWWW[[#This Row],['#_male hygiene promoters]]+WWWW[[#This Row],['#_female hygiene promoters]])&gt;WWWW[[#This Row],[Total PoP ]],WWWW[[#This Row],[Total PoP ]],500*(WWWW[[#This Row],['#_male hygiene promoters]]+WWWW[[#This Row],['#_female hygiene promoters]]))</f>
        <v>127</v>
      </c>
      <c r="DM36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7" s="893">
        <f>IF(WWWW[[#This Row],['# People with access to soap]]&gt;WWWW[[#This Row],['# People with access to Sanity Pads]],WWWW[[#This Row],['# People with access to soap]],WWWW[[#This Row],['# People with access to Sanity Pads]])</f>
        <v>0</v>
      </c>
      <c r="DP367" s="893">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Q367" s="895">
        <f>IF(WWWW[[#This Row],[HRP3]]/WWWW[[#This Row],[Total PoP ]]&gt;1,1,WWWW[[#This Row],[HRP3]]/WWWW[[#This Row],[Total PoP ]])</f>
        <v>1</v>
      </c>
      <c r="DR367" s="894">
        <f>1-WWWW[[#This Row],[Hygiene Coverage%]]</f>
        <v>0</v>
      </c>
      <c r="DS367" s="892">
        <f>WWWW[[#This Row],['# people reached by regular dedicated hygiene promotion_5]]/WWWW[[#This Row],[Total PoP ]]</f>
        <v>1</v>
      </c>
      <c r="DT36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7" s="893">
        <f>WWWW[[#This Row],['#_Constructed/Existing hand washing stations]]-WWWW[[#This Row],['#_Non-Functional_hand_washing_stations]]</f>
        <v>11</v>
      </c>
      <c r="DW367" s="890">
        <f>IF(WWWW[[#This Row],['# Functional hand washing stations during reporting period]]*20&gt;WWWW[[#This Row],[Total HH]],WWWW[[#This Row],[Total HH]],WWWW[[#This Row],['# Functional hand washing stations during reporting period]]*20)</f>
        <v>30</v>
      </c>
      <c r="DX367" s="890">
        <f>IF(WWWW[[#This Row],[Is sufficient soap available for TLS? (Yes/No)]]="yes",WWWW[[#This Row],['#_Constructed/Existing hand washing stations at TLS/CFS/THF]],0)</f>
        <v>0</v>
      </c>
      <c r="DY367" s="428">
        <f>IF(WWWW[[#This Row],['# Functional hand washing stations during reporting period]]*100&gt;WWWW[[#This Row],[Total PoP ]],WWWW[[#This Row],[Total PoP ]],WWWW[[#This Row],['# Functional hand washing stations during reporting period]]*100)</f>
        <v>127</v>
      </c>
      <c r="DZ367" s="428" t="str">
        <f>IF(OR(WWWW[[#This Row],['#_students at TLS_CFS]]="",WWWW[[#This Row],['#_students at TLS_CFS]]=0),"No","Yes")</f>
        <v>No</v>
      </c>
      <c r="EA36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7" s="886" t="str">
        <f>VLOOKUP(WWWW[[#This Row],[Site Name]],SiteDB6[[Site Name]:[CCCM Management]],6,FALSE)</f>
        <v>Yes</v>
      </c>
      <c r="EF367" s="886" t="str">
        <f>VLOOKUP(WWWW[[#This Row],[Site Name]],SiteDB6[[Site Name]:[CCCM Focal Agency]],7,FALSE)</f>
        <v>KMSS-LSO</v>
      </c>
      <c r="EG367" s="886" t="str">
        <f>VLOOKUP(WWWW[[#This Row],[Site Name]],SiteDB6[[Site Name]:[Location Type 1]],9,FALSE)</f>
        <v>Camp</v>
      </c>
      <c r="EH367" s="886" t="str">
        <f>VLOOKUP(WWWW[[#This Row],[Site Name]],SiteDB6[[Site Name]:[Type of Accommodation]],10,FALSE)</f>
        <v>Camp</v>
      </c>
      <c r="EI367" s="886" t="str">
        <f>VLOOKUP(WWWW[[#This Row],[Site Name]],SiteDB6[[Site Name]:[Ethnic or GCA/NGCA]],11,FALSE)</f>
        <v>GCA</v>
      </c>
      <c r="EJ367" s="886">
        <f>VLOOKUP(WWWW[[#This Row],[Site Name]],SiteDB6[[Site Name]:[Lat]],12,FALSE)</f>
        <v>23.088011000000002</v>
      </c>
      <c r="EK367" s="886">
        <f>VLOOKUP(WWWW[[#This Row],[Site Name]],SiteDB6[[Site Name]:[Long]],13,FALSE)</f>
        <v>97.398698999999993</v>
      </c>
      <c r="EL367" s="886" t="str">
        <f>VLOOKUP(WWWW[[#This Row],[Site Name]],SiteDB6[[Site Name]:[Pcode]],3,FALSE)</f>
        <v>MMR015CMP050</v>
      </c>
      <c r="EM367" s="891" t="str">
        <f t="shared" si="5"/>
        <v>Covered</v>
      </c>
      <c r="EN367" s="891"/>
      <c r="EO367" s="886">
        <f>VLOOKUP(WWWW[[#This Row],[Site Name]],SiteDB6[[Site Name]:[Pop
(Kachin/Shan-CCCM as of July 2021)]],16,FALSE)</f>
        <v>30</v>
      </c>
      <c r="EP367" s="886">
        <f>VLOOKUP(WWWW[[#This Row],[Site Name]],SiteDB6[[Site Name]:[Pop
(Kachin/Shan-CCCM as of July 2021)]],17,FALSE)</f>
        <v>129</v>
      </c>
    </row>
    <row r="368" spans="1:146" hidden="1">
      <c r="A368" s="884" t="s">
        <v>2764</v>
      </c>
      <c r="B368" s="884" t="s">
        <v>192</v>
      </c>
      <c r="C368" s="885" t="s">
        <v>192</v>
      </c>
      <c r="D368" s="885" t="s">
        <v>2673</v>
      </c>
      <c r="E368" s="885" t="s">
        <v>515</v>
      </c>
      <c r="F368" s="885" t="s">
        <v>519</v>
      </c>
      <c r="G368" s="591" t="str">
        <f>VLOOKUP(WWWW[[#This Row],[Site Name]],SiteDB6[[Site Name]:[Location Type]],8,FALSE)</f>
        <v>Camp</v>
      </c>
      <c r="H368" s="885" t="s">
        <v>1616</v>
      </c>
      <c r="I368" s="887">
        <v>74</v>
      </c>
      <c r="J368" s="887">
        <v>502</v>
      </c>
      <c r="K368" s="888" t="s">
        <v>2767</v>
      </c>
      <c r="L368" s="889" t="s">
        <v>2768</v>
      </c>
      <c r="M368" s="887"/>
      <c r="N368" s="887"/>
      <c r="O368" s="887"/>
      <c r="P368" s="887"/>
      <c r="Q368" s="890"/>
      <c r="R368" s="887">
        <v>6</v>
      </c>
      <c r="S368" s="887">
        <v>3</v>
      </c>
      <c r="T368" s="448"/>
      <c r="U368" s="887"/>
      <c r="V368" s="887"/>
      <c r="W368" s="887"/>
      <c r="X368" s="887"/>
      <c r="Y368" s="887"/>
      <c r="Z368" s="887"/>
      <c r="AA368" s="887">
        <v>8</v>
      </c>
      <c r="AB368" s="887"/>
      <c r="AC368" s="887"/>
      <c r="AD368" s="887"/>
      <c r="AE368" s="887"/>
      <c r="AF368" s="887"/>
      <c r="AG368" s="887"/>
      <c r="AH368" s="887"/>
      <c r="AI368" s="887"/>
      <c r="AJ368" s="887"/>
      <c r="AK368" s="887"/>
      <c r="AL368" s="887"/>
      <c r="AM368" s="887">
        <v>1</v>
      </c>
      <c r="AN368" s="887">
        <v>2</v>
      </c>
      <c r="AO368" s="448"/>
      <c r="AP368" s="891"/>
      <c r="AQ368" s="887">
        <v>85</v>
      </c>
      <c r="AR368" s="887"/>
      <c r="AS368" s="892"/>
      <c r="AT368" s="887"/>
      <c r="AU368" s="887"/>
      <c r="AV368" s="887"/>
      <c r="AW368" s="887"/>
      <c r="AX368" s="887">
        <v>5</v>
      </c>
      <c r="AY368" s="886" t="s">
        <v>41</v>
      </c>
      <c r="AZ368" s="891" t="s">
        <v>904</v>
      </c>
      <c r="BA368" s="887"/>
      <c r="BB368" s="887"/>
      <c r="BC368" s="887"/>
      <c r="BD368" s="448"/>
      <c r="BE368" s="448"/>
      <c r="BF368" s="886"/>
      <c r="BG368" s="448">
        <v>2</v>
      </c>
      <c r="BH368" s="887"/>
      <c r="BI368" s="887"/>
      <c r="BJ368" s="887">
        <v>1</v>
      </c>
      <c r="BK368" s="887"/>
      <c r="BL368" s="887">
        <v>1</v>
      </c>
      <c r="BM368" s="887"/>
      <c r="BN368" s="887"/>
      <c r="BO368" s="887"/>
      <c r="BP368" s="425" t="s">
        <v>41</v>
      </c>
      <c r="BQ368" s="893"/>
      <c r="BR368" s="423">
        <v>1</v>
      </c>
      <c r="BS368" s="886"/>
      <c r="BT368" s="423"/>
      <c r="BU368" s="423"/>
      <c r="BV368" s="425"/>
      <c r="BW368" s="423"/>
      <c r="BX368" s="448"/>
      <c r="BY368" s="448"/>
      <c r="BZ368" s="448"/>
      <c r="CA368" s="448"/>
      <c r="CB368" s="448"/>
      <c r="CC368" s="777"/>
      <c r="CD368" s="448"/>
      <c r="CE368" s="894" t="str">
        <f>IFERROR(WWWW[[#This Row],['#_Water sources passed]]/WWWW[[#This Row],['#_Water sources tested for fecal coliform ]],"no test")</f>
        <v>no test</v>
      </c>
      <c r="CF368" s="892" t="str">
        <f>IFERROR(WWWW[[#This Row],['#_Household passed]]/WWWW[[#This Row],['#_Household water samples tested for fecal coliform]],"no test")</f>
        <v>no test</v>
      </c>
      <c r="CG368" s="893" t="str">
        <f>IF(AND(WWWW[[#This Row],[% of water sources passed]]="no test",WWWW[[#This Row],[% Household passed]]="no test"),"No Test","Tested")</f>
        <v>No Test</v>
      </c>
      <c r="CH368" s="893">
        <f>WWWW[[#This Row],['#_Constructed/existing protected hand dug well]]-WWWW[[#This Row],['#_Non-functional protected hand dug well]]</f>
        <v>0</v>
      </c>
      <c r="CI368" s="893">
        <f>(WWWW[[#This Row],['#_Constructed/Existing tube wells/boreholes/handpumps_WASH_agency]]+WWWW[[#This Row],['#_Non-Cluster partner water tube-wells/boreholes/handpumps]])-WWWW[[#This Row],['#_Non-functional tube wells/boreholes/handpumps]]</f>
        <v>0</v>
      </c>
      <c r="CJ368" s="893">
        <f>WWWW[[#This Row],['#_Constructed/Existingwater storage tank with gravity fed reticulation system]]-WWWW[[#This Row],['#_Non-functional storage tank gravity fed reticulation system]]</f>
        <v>8</v>
      </c>
      <c r="CK368" s="893">
        <f>(WWWW[[#This Row],['#_Water_Liters_supplied_by_Water boating or water trucking]]/90)/15</f>
        <v>0</v>
      </c>
      <c r="CL368" s="893">
        <f>WWWW[[#This Row],['#_Water_Liters_from_Constructed/Existing water distribution system from river or natural spring]]/90/15</f>
        <v>0</v>
      </c>
      <c r="CM368" s="424">
        <f>IF(WWWW[[#This Row],['#_of water points in TLS/CFS]]*500&gt;WWWW[[#This Row],[Total PoP ]],WWWW[[#This Row],[Total PoP ]],WWWW[[#This Row],['#_of water points in TLS/CFS]]*500)</f>
        <v>502</v>
      </c>
      <c r="CN368" s="424">
        <f>IF(WWWW[[#This Row],['#_of water points in THF]]*500&gt;WWWW[[#This Row],[Total PoP ]],WWWW[[#This Row],[Total PoP ]],WWWW[[#This Row],['#_of water points in THF]]*500)</f>
        <v>0</v>
      </c>
      <c r="CO36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8" s="892">
        <f>IF(WWWW[[#This Row],[Location Type 1]]="Village",WWWW[[#This Row],[Access to safe drinking water for Village]],WWWW[[#This Row],[Access to safe drinking water for Camp]])</f>
        <v>1</v>
      </c>
      <c r="CR368" s="890">
        <f>WWWW[[#This Row],[%Equitable and continuous access to sufficient quantity of safe drinking water]]*WWWW[[#This Row],[Total PoP ]]</f>
        <v>502</v>
      </c>
      <c r="CS368" s="892">
        <f>IF((WWWW[[#This Row],['#_Constructed/Existing protected/fenced ponds]]*250)/WWWW[[#This Row],[Total PoP ]]&gt;1,1,(WWWW[[#This Row],['#_Constructed/Existing protected/fenced ponds]]*250)/WWWW[[#This Row],[Total PoP ]])</f>
        <v>0</v>
      </c>
      <c r="CT368" s="890">
        <f>WWWW[[#This Row],[% Access to unimproved water points]]*WWWW[[#This Row],[Total PoP ]]</f>
        <v>0</v>
      </c>
      <c r="CU36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W368" s="890">
        <f>WWWW[[#This Row],[HRP1]]/500</f>
        <v>1.004</v>
      </c>
      <c r="CX368" s="895">
        <f>1-WWWW[[#This Row],[% Equitable and continuous access to sufficient quantity of domestic water]]</f>
        <v>0</v>
      </c>
      <c r="CY368" s="890">
        <f>WWWW[[#This Row],[%equitable and continuous access to sufficient quantity of safe drinking and domestic water''s GAP]]*WWWW[[#This Row],[Total PoP ]]</f>
        <v>0</v>
      </c>
      <c r="CZ368" s="893">
        <f>IF(WWWW[[#This Row],[Total required water points]]-WWWW[[#This Row],['#Water points coverage]]&lt;0,0,WWWW[[#This Row],[Total required water points]]-WWWW[[#This Row],['#Water points coverage]])</f>
        <v>0</v>
      </c>
      <c r="DA368" s="893">
        <f>ROUND(IF(WWWW[[#This Row],[Total PoP ]]&lt;500,1,WWWW[[#This Row],[Total PoP ]]/500),0)</f>
        <v>1</v>
      </c>
      <c r="DB368" s="893">
        <f>(WWWW[[#This Row],['#_Constructed latrines_by_WASHAgencies]]+WWWW[[#This Row],['#_Non Cluster partner latrines]])-WWWW[[#This Row],['#_Non-functional latrines]]</f>
        <v>85</v>
      </c>
      <c r="DC368" s="631">
        <f>WWWW[[#This Row],[HRP2]]/WWWW[[#This Row],[Total PoP ]]</f>
        <v>1</v>
      </c>
      <c r="DD36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502</v>
      </c>
      <c r="DE36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8" s="424">
        <f>IF(WWWW[[#This Row],['# of functional latrines in THF supported by WASH partners during the reporting period2]]="",0,WWWW[[#This Row],['# of functional latrines in THF supported by WASH partners during the reporting period2]]*50)</f>
        <v>0</v>
      </c>
      <c r="DH368" s="893">
        <f>ROUND(IF(WWWW[[#This Row],[Location Type 1]]="camp",WWWW[[#This Row],[Total PoP ]]/20,IF(WWWW[[#This Row],[Location Type 1]]="Temporary Location",WWWW[[#This Row],[Total PoP ]]/50,(WWWW[[#This Row],[Total PoP ]]/6))),0)</f>
        <v>25</v>
      </c>
      <c r="DI368" s="893">
        <f>IF(WWWW[[#This Row],[Total required Latrines]]-(WWWW[[#This Row],['#_Constructed latrines_by_WASHAgencies]]+WWWW[[#This Row],['#_Non Cluster partner latrines]])&lt;0,0,WWWW[[#This Row],[Total required Latrines]]-(WWWW[[#This Row],['#_Constructed latrines_by_WASHAgencies]]+WWWW[[#This Row],['#_Non Cluster partner latrines]]))</f>
        <v>0</v>
      </c>
      <c r="DJ368" s="895">
        <f>1-WWWW[[#This Row],[% people access to functioning Latrine]]</f>
        <v>0</v>
      </c>
      <c r="DK368" s="894">
        <f>IF(OR(WWWW[[#This Row],['#_Non-functional latrines]]="",WWWW[[#This Row],['#_Non-functional latrines]]=0),0,WWWW[[#This Row],['#_Non-functional latrines]]/(WWWW[[#This Row],['#_Constructed latrines_by_WASHAgencies]]+WWWW[[#This Row],['#_Non Cluster partner latrines]]))</f>
        <v>0</v>
      </c>
      <c r="DL368" s="890">
        <f>IF(500*(WWWW[[#This Row],['#_male hygiene promoters]]+WWWW[[#This Row],['#_female hygiene promoters]])&gt;WWWW[[#This Row],[Total PoP ]],WWWW[[#This Row],[Total PoP ]],500*(WWWW[[#This Row],['#_male hygiene promoters]]+WWWW[[#This Row],['#_female hygiene promoters]]))</f>
        <v>500</v>
      </c>
      <c r="DM36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8" s="893">
        <f>IF(WWWW[[#This Row],['# People with access to soap]]&gt;WWWW[[#This Row],['# People with access to Sanity Pads]],WWWW[[#This Row],['# People with access to soap]],WWWW[[#This Row],['# People with access to Sanity Pads]])</f>
        <v>0</v>
      </c>
      <c r="DP368" s="89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368" s="895">
        <f>IF(WWWW[[#This Row],[HRP3]]/WWWW[[#This Row],[Total PoP ]]&gt;1,1,WWWW[[#This Row],[HRP3]]/WWWW[[#This Row],[Total PoP ]])</f>
        <v>0.99601593625498008</v>
      </c>
      <c r="DR368" s="894">
        <f>1-WWWW[[#This Row],[Hygiene Coverage%]]</f>
        <v>3.9840637450199168E-3</v>
      </c>
      <c r="DS368" s="892">
        <f>WWWW[[#This Row],['# people reached by regular dedicated hygiene promotion_5]]/WWWW[[#This Row],[Total PoP ]]</f>
        <v>0.99601593625498008</v>
      </c>
      <c r="DT36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8" s="893">
        <f>WWWW[[#This Row],['#_Constructed/Existing hand washing stations]]-WWWW[[#This Row],['#_Non-Functional_hand_washing_stations]]</f>
        <v>2</v>
      </c>
      <c r="DW368" s="890">
        <f>IF(WWWW[[#This Row],['# Functional hand washing stations during reporting period]]*20&gt;WWWW[[#This Row],[Total HH]],WWWW[[#This Row],[Total HH]],WWWW[[#This Row],['# Functional hand washing stations during reporting period]]*20)</f>
        <v>40</v>
      </c>
      <c r="DX368" s="890">
        <f>IF(WWWW[[#This Row],[Is sufficient soap available for TLS? (Yes/No)]]="yes",WWWW[[#This Row],['#_Constructed/Existing hand washing stations at TLS/CFS/THF]],0)</f>
        <v>1</v>
      </c>
      <c r="DY368" s="428">
        <f>IF(WWWW[[#This Row],['# Functional hand washing stations during reporting period]]*100&gt;WWWW[[#This Row],[Total PoP ]],WWWW[[#This Row],[Total PoP ]],WWWW[[#This Row],['# Functional hand washing stations during reporting period]]*100)</f>
        <v>200</v>
      </c>
      <c r="DZ368" s="428" t="str">
        <f>IF(OR(WWWW[[#This Row],['#_students at TLS_CFS]]="",WWWW[[#This Row],['#_students at TLS_CFS]]=0),"No","Yes")</f>
        <v>No</v>
      </c>
      <c r="EA36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502</v>
      </c>
      <c r="ED36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8" s="886" t="str">
        <f>VLOOKUP(WWWW[[#This Row],[Site Name]],SiteDB6[[Site Name]:[CCCM Management]],6,FALSE)</f>
        <v>Yes</v>
      </c>
      <c r="EF368" s="886" t="str">
        <f>VLOOKUP(WWWW[[#This Row],[Site Name]],SiteDB6[[Site Name]:[CCCM Focal Agency]],7,FALSE)</f>
        <v>KMSS-LSO</v>
      </c>
      <c r="EG368" s="886" t="str">
        <f>VLOOKUP(WWWW[[#This Row],[Site Name]],SiteDB6[[Site Name]:[Location Type 1]],9,FALSE)</f>
        <v>Camp</v>
      </c>
      <c r="EH368" s="886" t="str">
        <f>VLOOKUP(WWWW[[#This Row],[Site Name]],SiteDB6[[Site Name]:[Type of Accommodation]],10,FALSE)</f>
        <v>Camp</v>
      </c>
      <c r="EI368" s="886" t="str">
        <f>VLOOKUP(WWWW[[#This Row],[Site Name]],SiteDB6[[Site Name]:[Ethnic or GCA/NGCA]],11,FALSE)</f>
        <v>GCA</v>
      </c>
      <c r="EJ368" s="886">
        <f>VLOOKUP(WWWW[[#This Row],[Site Name]],SiteDB6[[Site Name]:[Lat]],12,FALSE)</f>
        <v>23.591999999999999</v>
      </c>
      <c r="EK368" s="886">
        <f>VLOOKUP(WWWW[[#This Row],[Site Name]],SiteDB6[[Site Name]:[Long]],13,FALSE)</f>
        <v>97.796999999999997</v>
      </c>
      <c r="EL368" s="886" t="str">
        <f>VLOOKUP(WWWW[[#This Row],[Site Name]],SiteDB6[[Site Name]:[Pcode]],3,FALSE)</f>
        <v>MMR015CMP038</v>
      </c>
      <c r="EM368" s="891" t="str">
        <f t="shared" si="5"/>
        <v>Covered</v>
      </c>
      <c r="EN368" s="891"/>
      <c r="EO368" s="886">
        <f>VLOOKUP(WWWW[[#This Row],[Site Name]],SiteDB6[[Site Name]:[Pop
(Kachin/Shan-CCCM as of July 2021)]],16,FALSE)</f>
        <v>75</v>
      </c>
      <c r="EP368" s="886">
        <f>VLOOKUP(WWWW[[#This Row],[Site Name]],SiteDB6[[Site Name]:[Pop
(Kachin/Shan-CCCM as of July 2021)]],17,FALSE)</f>
        <v>395</v>
      </c>
    </row>
    <row r="369" spans="1:146" hidden="1">
      <c r="A369" s="884" t="s">
        <v>2764</v>
      </c>
      <c r="B369" s="884" t="s">
        <v>309</v>
      </c>
      <c r="C369" s="885" t="s">
        <v>309</v>
      </c>
      <c r="D369" s="885"/>
      <c r="E369" s="885" t="s">
        <v>515</v>
      </c>
      <c r="F369" s="885" t="s">
        <v>556</v>
      </c>
      <c r="G369" s="591" t="str">
        <f>VLOOKUP(WWWW[[#This Row],[Site Name]],SiteDB6[[Site Name]:[Location Type]],8,FALSE)</f>
        <v>Camp</v>
      </c>
      <c r="H369" s="885" t="s">
        <v>557</v>
      </c>
      <c r="I369" s="887">
        <v>37</v>
      </c>
      <c r="J369" s="887">
        <v>120</v>
      </c>
      <c r="K369" s="888"/>
      <c r="L369" s="889"/>
      <c r="M369" s="887"/>
      <c r="N369" s="887"/>
      <c r="O369" s="887"/>
      <c r="P369" s="887"/>
      <c r="Q369" s="890"/>
      <c r="R369" s="887"/>
      <c r="S369" s="887"/>
      <c r="T369" s="448"/>
      <c r="U369" s="887"/>
      <c r="V369" s="887"/>
      <c r="W369" s="887"/>
      <c r="X369" s="887"/>
      <c r="Y369" s="887"/>
      <c r="Z369" s="887"/>
      <c r="AA369" s="887"/>
      <c r="AB369" s="887"/>
      <c r="AC369" s="887"/>
      <c r="AD369" s="887"/>
      <c r="AE369" s="887"/>
      <c r="AF369" s="887"/>
      <c r="AG369" s="887"/>
      <c r="AH369" s="887"/>
      <c r="AI369" s="887"/>
      <c r="AJ369" s="887"/>
      <c r="AK369" s="887"/>
      <c r="AL369" s="887"/>
      <c r="AM369" s="887"/>
      <c r="AN369" s="887"/>
      <c r="AO369" s="448"/>
      <c r="AP369" s="891"/>
      <c r="AQ369" s="887"/>
      <c r="AR369" s="887"/>
      <c r="AS369" s="892"/>
      <c r="AT369" s="887"/>
      <c r="AU369" s="887"/>
      <c r="AV369" s="887"/>
      <c r="AW369" s="887"/>
      <c r="AX369" s="887"/>
      <c r="AY369" s="886" t="s">
        <v>140</v>
      </c>
      <c r="AZ369" s="891" t="s">
        <v>140</v>
      </c>
      <c r="BA369" s="887"/>
      <c r="BB369" s="887"/>
      <c r="BC369" s="887"/>
      <c r="BD369" s="448"/>
      <c r="BE369" s="448"/>
      <c r="BF369" s="886"/>
      <c r="BG369" s="887">
        <v>1</v>
      </c>
      <c r="BH369" s="887"/>
      <c r="BI369" s="887"/>
      <c r="BJ369" s="887">
        <v>1</v>
      </c>
      <c r="BK369" s="887"/>
      <c r="BL369" s="887"/>
      <c r="BM369" s="887"/>
      <c r="BN369" s="887"/>
      <c r="BO369" s="887"/>
      <c r="BP369" s="886"/>
      <c r="BQ369" s="893"/>
      <c r="BR369" s="892"/>
      <c r="BS369" s="886"/>
      <c r="BT369" s="423"/>
      <c r="BU369" s="423"/>
      <c r="BV369" s="425"/>
      <c r="BW369" s="423"/>
      <c r="BX369" s="448"/>
      <c r="BY369" s="448"/>
      <c r="BZ369" s="448"/>
      <c r="CA369" s="448"/>
      <c r="CB369" s="448"/>
      <c r="CC369" s="777"/>
      <c r="CD369" s="448"/>
      <c r="CE369" s="894" t="str">
        <f>IFERROR(WWWW[[#This Row],['#_Water sources passed]]/WWWW[[#This Row],['#_Water sources tested for fecal coliform ]],"no test")</f>
        <v>no test</v>
      </c>
      <c r="CF369" s="892" t="str">
        <f>IFERROR(WWWW[[#This Row],['#_Household passed]]/WWWW[[#This Row],['#_Household water samples tested for fecal coliform]],"no test")</f>
        <v>no test</v>
      </c>
      <c r="CG369" s="893" t="str">
        <f>IF(AND(WWWW[[#This Row],[% of water sources passed]]="no test",WWWW[[#This Row],[% Household passed]]="no test"),"No Test","Tested")</f>
        <v>No Test</v>
      </c>
      <c r="CH369" s="893">
        <f>WWWW[[#This Row],['#_Constructed/existing protected hand dug well]]-WWWW[[#This Row],['#_Non-functional protected hand dug well]]</f>
        <v>0</v>
      </c>
      <c r="CI369" s="893">
        <f>(WWWW[[#This Row],['#_Constructed/Existing tube wells/boreholes/handpumps_WASH_agency]]+WWWW[[#This Row],['#_Non-Cluster partner water tube-wells/boreholes/handpumps]])-WWWW[[#This Row],['#_Non-functional tube wells/boreholes/handpumps]]</f>
        <v>0</v>
      </c>
      <c r="CJ369" s="893">
        <f>WWWW[[#This Row],['#_Constructed/Existingwater storage tank with gravity fed reticulation system]]-WWWW[[#This Row],['#_Non-functional storage tank gravity fed reticulation system]]</f>
        <v>0</v>
      </c>
      <c r="CK369" s="893">
        <f>(WWWW[[#This Row],['#_Water_Liters_supplied_by_Water boating or water trucking]]/90)/15</f>
        <v>0</v>
      </c>
      <c r="CL369" s="893">
        <f>WWWW[[#This Row],['#_Water_Liters_from_Constructed/Existing water distribution system from river or natural spring]]/90/15</f>
        <v>0</v>
      </c>
      <c r="CM369" s="424">
        <f>IF(WWWW[[#This Row],['#_of water points in TLS/CFS]]*500&gt;WWWW[[#This Row],[Total PoP ]],WWWW[[#This Row],[Total PoP ]],WWWW[[#This Row],['#_of water points in TLS/CFS]]*500)</f>
        <v>0</v>
      </c>
      <c r="CN369" s="424">
        <f>IF(WWWW[[#This Row],['#_of water points in THF]]*500&gt;WWWW[[#This Row],[Total PoP ]],WWWW[[#This Row],[Total PoP ]],WWWW[[#This Row],['#_of water points in THF]]*500)</f>
        <v>0</v>
      </c>
      <c r="CO36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6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69" s="892">
        <f>IF(WWWW[[#This Row],[Location Type 1]]="Village",WWWW[[#This Row],[Access to safe drinking water for Village]],WWWW[[#This Row],[Access to safe drinking water for Camp]])</f>
        <v>0</v>
      </c>
      <c r="CR369" s="890">
        <f>WWWW[[#This Row],[%Equitable and continuous access to sufficient quantity of safe drinking water]]*WWWW[[#This Row],[Total PoP ]]</f>
        <v>0</v>
      </c>
      <c r="CS369" s="892">
        <f>IF((WWWW[[#This Row],['#_Constructed/Existing protected/fenced ponds]]*250)/WWWW[[#This Row],[Total PoP ]]&gt;1,1,(WWWW[[#This Row],['#_Constructed/Existing protected/fenced ponds]]*250)/WWWW[[#This Row],[Total PoP ]])</f>
        <v>0</v>
      </c>
      <c r="CT369" s="890">
        <f>WWWW[[#This Row],[% Access to unimproved water points]]*WWWW[[#This Row],[Total PoP ]]</f>
        <v>0</v>
      </c>
      <c r="CU36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6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69" s="890">
        <f>WWWW[[#This Row],[HRP1]]/500</f>
        <v>0</v>
      </c>
      <c r="CX369" s="895">
        <f>1-WWWW[[#This Row],[% Equitable and continuous access to sufficient quantity of domestic water]]</f>
        <v>1</v>
      </c>
      <c r="CY369" s="890">
        <f>WWWW[[#This Row],[%equitable and continuous access to sufficient quantity of safe drinking and domestic water''s GAP]]*WWWW[[#This Row],[Total PoP ]]</f>
        <v>120</v>
      </c>
      <c r="CZ369" s="893">
        <f>IF(WWWW[[#This Row],[Total required water points]]-WWWW[[#This Row],['#Water points coverage]]&lt;0,0,WWWW[[#This Row],[Total required water points]]-WWWW[[#This Row],['#Water points coverage]])</f>
        <v>1</v>
      </c>
      <c r="DA369" s="893">
        <f>ROUND(IF(WWWW[[#This Row],[Total PoP ]]&lt;500,1,WWWW[[#This Row],[Total PoP ]]/500),0)</f>
        <v>1</v>
      </c>
      <c r="DB369" s="893">
        <f>(WWWW[[#This Row],['#_Constructed latrines_by_WASHAgencies]]+WWWW[[#This Row],['#_Non Cluster partner latrines]])-WWWW[[#This Row],['#_Non-functional latrines]]</f>
        <v>0</v>
      </c>
      <c r="DC369" s="631">
        <f>WWWW[[#This Row],[HRP2]]/WWWW[[#This Row],[Total PoP ]]</f>
        <v>0</v>
      </c>
      <c r="DD36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6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9" s="424">
        <f>IF(WWWW[[#This Row],['# of functional latrines in THF supported by WASH partners during the reporting period2]]="",0,WWWW[[#This Row],['# of functional latrines in THF supported by WASH partners during the reporting period2]]*50)</f>
        <v>0</v>
      </c>
      <c r="DH369" s="893">
        <f>ROUND(IF(WWWW[[#This Row],[Location Type 1]]="camp",WWWW[[#This Row],[Total PoP ]]/20,IF(WWWW[[#This Row],[Location Type 1]]="Temporary Location",WWWW[[#This Row],[Total PoP ]]/50,(WWWW[[#This Row],[Total PoP ]]/6))),0)</f>
        <v>6</v>
      </c>
      <c r="DI369" s="893">
        <f>IF(WWWW[[#This Row],[Total required Latrines]]-(WWWW[[#This Row],['#_Constructed latrines_by_WASHAgencies]]+WWWW[[#This Row],['#_Non Cluster partner latrines]])&lt;0,0,WWWW[[#This Row],[Total required Latrines]]-(WWWW[[#This Row],['#_Constructed latrines_by_WASHAgencies]]+WWWW[[#This Row],['#_Non Cluster partner latrines]]))</f>
        <v>6</v>
      </c>
      <c r="DJ369" s="895">
        <f>1-WWWW[[#This Row],[% people access to functioning Latrine]]</f>
        <v>1</v>
      </c>
      <c r="DK369" s="894">
        <f>IF(OR(WWWW[[#This Row],['#_Non-functional latrines]]="",WWWW[[#This Row],['#_Non-functional latrines]]=0),0,WWWW[[#This Row],['#_Non-functional latrines]]/(WWWW[[#This Row],['#_Constructed latrines_by_WASHAgencies]]+WWWW[[#This Row],['#_Non Cluster partner latrines]]))</f>
        <v>0</v>
      </c>
      <c r="DL369" s="890">
        <f>IF(500*(WWWW[[#This Row],['#_male hygiene promoters]]+WWWW[[#This Row],['#_female hygiene promoters]])&gt;WWWW[[#This Row],[Total PoP ]],WWWW[[#This Row],[Total PoP ]],500*(WWWW[[#This Row],['#_male hygiene promoters]]+WWWW[[#This Row],['#_female hygiene promoters]]))</f>
        <v>0</v>
      </c>
      <c r="DM36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9" s="893">
        <f>IF(WWWW[[#This Row],['# People with access to soap]]&gt;WWWW[[#This Row],['# People with access to Sanity Pads]],WWWW[[#This Row],['# People with access to soap]],WWWW[[#This Row],['# People with access to Sanity Pads]])</f>
        <v>0</v>
      </c>
      <c r="DP369"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69" s="895">
        <f>IF(WWWW[[#This Row],[HRP3]]/WWWW[[#This Row],[Total PoP ]]&gt;1,1,WWWW[[#This Row],[HRP3]]/WWWW[[#This Row],[Total PoP ]])</f>
        <v>0</v>
      </c>
      <c r="DR369" s="894">
        <f>1-WWWW[[#This Row],[Hygiene Coverage%]]</f>
        <v>1</v>
      </c>
      <c r="DS369" s="892">
        <f>WWWW[[#This Row],['# people reached by regular dedicated hygiene promotion_5]]/WWWW[[#This Row],[Total PoP ]]</f>
        <v>0</v>
      </c>
      <c r="DT36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9" s="893">
        <f>WWWW[[#This Row],['#_Constructed/Existing hand washing stations]]-WWWW[[#This Row],['#_Non-Functional_hand_washing_stations]]</f>
        <v>1</v>
      </c>
      <c r="DW369" s="890">
        <f>IF(WWWW[[#This Row],['# Functional hand washing stations during reporting period]]*20&gt;WWWW[[#This Row],[Total HH]],WWWW[[#This Row],[Total HH]],WWWW[[#This Row],['# Functional hand washing stations during reporting period]]*20)</f>
        <v>20</v>
      </c>
      <c r="DX369" s="890">
        <f>IF(WWWW[[#This Row],[Is sufficient soap available for TLS? (Yes/No)]]="yes",WWWW[[#This Row],['#_Constructed/Existing hand washing stations at TLS/CFS/THF]],0)</f>
        <v>0</v>
      </c>
      <c r="DY369" s="428">
        <f>IF(WWWW[[#This Row],['# Functional hand washing stations during reporting period]]*100&gt;WWWW[[#This Row],[Total PoP ]],WWWW[[#This Row],[Total PoP ]],WWWW[[#This Row],['# Functional hand washing stations during reporting period]]*100)</f>
        <v>100</v>
      </c>
      <c r="DZ369" s="428" t="str">
        <f>IF(OR(WWWW[[#This Row],['#_students at TLS_CFS]]="",WWWW[[#This Row],['#_students at TLS_CFS]]=0),"No","Yes")</f>
        <v>No</v>
      </c>
      <c r="EA36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9" s="886">
        <f>VLOOKUP(WWWW[[#This Row],[Site Name]],SiteDB6[[Site Name]:[CCCM Management]],6,FALSE)</f>
        <v>0</v>
      </c>
      <c r="EF369" s="886" t="str">
        <f>VLOOKUP(WWWW[[#This Row],[Site Name]],SiteDB6[[Site Name]:[CCCM Focal Agency]],7,FALSE)</f>
        <v>uncovered</v>
      </c>
      <c r="EG369" s="886" t="str">
        <f>VLOOKUP(WWWW[[#This Row],[Site Name]],SiteDB6[[Site Name]:[Location Type 1]],9,FALSE)</f>
        <v>Camp</v>
      </c>
      <c r="EH369" s="886" t="str">
        <f>VLOOKUP(WWWW[[#This Row],[Site Name]],SiteDB6[[Site Name]:[Type of Accommodation]],10,FALSE)</f>
        <v>Camp like setting</v>
      </c>
      <c r="EI369" s="886" t="str">
        <f>VLOOKUP(WWWW[[#This Row],[Site Name]],SiteDB6[[Site Name]:[Ethnic or GCA/NGCA]],11,FALSE)</f>
        <v>GCA</v>
      </c>
      <c r="EJ369" s="886">
        <f>VLOOKUP(WWWW[[#This Row],[Site Name]],SiteDB6[[Site Name]:[Lat]],12,FALSE)</f>
        <v>22.677008000000001</v>
      </c>
      <c r="EK369" s="886">
        <f>VLOOKUP(WWWW[[#This Row],[Site Name]],SiteDB6[[Site Name]:[Long]],13,FALSE)</f>
        <v>97.314762999999999</v>
      </c>
      <c r="EL369" s="886" t="str">
        <f>VLOOKUP(WWWW[[#This Row],[Site Name]],SiteDB6[[Site Name]:[Pcode]],3,FALSE)</f>
        <v>MMR015CMP062</v>
      </c>
      <c r="EM369" s="891" t="str">
        <f t="shared" si="5"/>
        <v>Notcovered</v>
      </c>
      <c r="EN369" s="891"/>
      <c r="EO369" s="886">
        <f>VLOOKUP(WWWW[[#This Row],[Site Name]],SiteDB6[[Site Name]:[Pop
(Kachin/Shan-CCCM as of July 2021)]],16,FALSE)</f>
        <v>37</v>
      </c>
      <c r="EP369" s="886">
        <f>VLOOKUP(WWWW[[#This Row],[Site Name]],SiteDB6[[Site Name]:[Pop
(Kachin/Shan-CCCM as of July 2021)]],17,FALSE)</f>
        <v>120</v>
      </c>
    </row>
    <row r="370" spans="1:146" hidden="1">
      <c r="A370" s="884" t="s">
        <v>2764</v>
      </c>
      <c r="B370" s="884" t="s">
        <v>192</v>
      </c>
      <c r="C370" s="885" t="s">
        <v>192</v>
      </c>
      <c r="D370" s="885" t="s">
        <v>2673</v>
      </c>
      <c r="E370" s="885" t="s">
        <v>515</v>
      </c>
      <c r="F370" s="885" t="s">
        <v>519</v>
      </c>
      <c r="G370" s="591" t="str">
        <f>VLOOKUP(WWWW[[#This Row],[Site Name]],SiteDB6[[Site Name]:[Location Type]],8,FALSE)</f>
        <v>Camp</v>
      </c>
      <c r="H370" s="885" t="s">
        <v>554</v>
      </c>
      <c r="I370" s="887">
        <v>26</v>
      </c>
      <c r="J370" s="887">
        <v>104</v>
      </c>
      <c r="K370" s="888" t="s">
        <v>2767</v>
      </c>
      <c r="L370" s="889" t="s">
        <v>2768</v>
      </c>
      <c r="M370" s="887"/>
      <c r="N370" s="887"/>
      <c r="O370" s="887"/>
      <c r="P370" s="887"/>
      <c r="Q370" s="890"/>
      <c r="R370" s="887"/>
      <c r="S370" s="887"/>
      <c r="T370" s="448"/>
      <c r="U370" s="887"/>
      <c r="V370" s="887"/>
      <c r="W370" s="887"/>
      <c r="X370" s="887">
        <v>1</v>
      </c>
      <c r="Y370" s="887"/>
      <c r="Z370" s="887"/>
      <c r="AA370" s="887"/>
      <c r="AB370" s="887"/>
      <c r="AC370" s="887"/>
      <c r="AD370" s="887"/>
      <c r="AE370" s="887"/>
      <c r="AF370" s="887"/>
      <c r="AG370" s="887"/>
      <c r="AH370" s="887"/>
      <c r="AI370" s="887"/>
      <c r="AJ370" s="887"/>
      <c r="AK370" s="887"/>
      <c r="AL370" s="887"/>
      <c r="AM370" s="887"/>
      <c r="AN370" s="887"/>
      <c r="AO370" s="448"/>
      <c r="AP370" s="891"/>
      <c r="AQ370" s="887">
        <v>4</v>
      </c>
      <c r="AR370" s="887"/>
      <c r="AS370" s="892"/>
      <c r="AT370" s="887"/>
      <c r="AU370" s="887"/>
      <c r="AV370" s="887"/>
      <c r="AW370" s="887"/>
      <c r="AX370" s="887"/>
      <c r="AY370" s="886" t="s">
        <v>140</v>
      </c>
      <c r="AZ370" s="891" t="s">
        <v>140</v>
      </c>
      <c r="BA370" s="887"/>
      <c r="BB370" s="887"/>
      <c r="BC370" s="887"/>
      <c r="BD370" s="448"/>
      <c r="BE370" s="448"/>
      <c r="BF370" s="886"/>
      <c r="BG370" s="887">
        <v>8</v>
      </c>
      <c r="BH370" s="887"/>
      <c r="BI370" s="887"/>
      <c r="BJ370" s="887">
        <v>3</v>
      </c>
      <c r="BK370" s="887"/>
      <c r="BL370" s="887"/>
      <c r="BM370" s="887"/>
      <c r="BN370" s="887"/>
      <c r="BO370" s="887"/>
      <c r="BP370" s="425" t="s">
        <v>41</v>
      </c>
      <c r="BQ370" s="893"/>
      <c r="BR370" s="892"/>
      <c r="BS370" s="886"/>
      <c r="BT370" s="423"/>
      <c r="BU370" s="423"/>
      <c r="BV370" s="425"/>
      <c r="BW370" s="423"/>
      <c r="BX370" s="448"/>
      <c r="BY370" s="448"/>
      <c r="BZ370" s="448"/>
      <c r="CA370" s="448"/>
      <c r="CB370" s="448"/>
      <c r="CC370" s="777"/>
      <c r="CD370" s="448"/>
      <c r="CE370" s="894" t="str">
        <f>IFERROR(WWWW[[#This Row],['#_Water sources passed]]/WWWW[[#This Row],['#_Water sources tested for fecal coliform ]],"no test")</f>
        <v>no test</v>
      </c>
      <c r="CF370" s="892" t="str">
        <f>IFERROR(WWWW[[#This Row],['#_Household passed]]/WWWW[[#This Row],['#_Household water samples tested for fecal coliform]],"no test")</f>
        <v>no test</v>
      </c>
      <c r="CG370" s="893" t="str">
        <f>IF(AND(WWWW[[#This Row],[% of water sources passed]]="no test",WWWW[[#This Row],[% Household passed]]="no test"),"No Test","Tested")</f>
        <v>No Test</v>
      </c>
      <c r="CH370" s="893">
        <f>WWWW[[#This Row],['#_Constructed/existing protected hand dug well]]-WWWW[[#This Row],['#_Non-functional protected hand dug well]]</f>
        <v>0</v>
      </c>
      <c r="CI370" s="893">
        <f>(WWWW[[#This Row],['#_Constructed/Existing tube wells/boreholes/handpumps_WASH_agency]]+WWWW[[#This Row],['#_Non-Cluster partner water tube-wells/boreholes/handpumps]])-WWWW[[#This Row],['#_Non-functional tube wells/boreholes/handpumps]]</f>
        <v>1</v>
      </c>
      <c r="CJ370" s="893">
        <f>WWWW[[#This Row],['#_Constructed/Existingwater storage tank with gravity fed reticulation system]]-WWWW[[#This Row],['#_Non-functional storage tank gravity fed reticulation system]]</f>
        <v>0</v>
      </c>
      <c r="CK370" s="893">
        <f>(WWWW[[#This Row],['#_Water_Liters_supplied_by_Water boating or water trucking]]/90)/15</f>
        <v>0</v>
      </c>
      <c r="CL370" s="893">
        <f>WWWW[[#This Row],['#_Water_Liters_from_Constructed/Existing water distribution system from river or natural spring]]/90/15</f>
        <v>0</v>
      </c>
      <c r="CM370" s="424">
        <f>IF(WWWW[[#This Row],['#_of water points in TLS/CFS]]*500&gt;WWWW[[#This Row],[Total PoP ]],WWWW[[#This Row],[Total PoP ]],WWWW[[#This Row],['#_of water points in TLS/CFS]]*500)</f>
        <v>0</v>
      </c>
      <c r="CN370" s="424">
        <f>IF(WWWW[[#This Row],['#_of water points in THF]]*500&gt;WWWW[[#This Row],[Total PoP ]],WWWW[[#This Row],[Total PoP ]],WWWW[[#This Row],['#_of water points in THF]]*500)</f>
        <v>0</v>
      </c>
      <c r="CO37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0" s="892">
        <f>IF(WWWW[[#This Row],[Location Type 1]]="Village",WWWW[[#This Row],[Access to safe drinking water for Village]],WWWW[[#This Row],[Access to safe drinking water for Camp]])</f>
        <v>1</v>
      </c>
      <c r="CR370" s="890">
        <f>WWWW[[#This Row],[%Equitable and continuous access to sufficient quantity of safe drinking water]]*WWWW[[#This Row],[Total PoP ]]</f>
        <v>104</v>
      </c>
      <c r="CS370" s="892">
        <f>IF((WWWW[[#This Row],['#_Constructed/Existing protected/fenced ponds]]*250)/WWWW[[#This Row],[Total PoP ]]&gt;1,1,(WWWW[[#This Row],['#_Constructed/Existing protected/fenced ponds]]*250)/WWWW[[#This Row],[Total PoP ]])</f>
        <v>0</v>
      </c>
      <c r="CT370" s="890">
        <f>WWWW[[#This Row],[% Access to unimproved water points]]*WWWW[[#This Row],[Total PoP ]]</f>
        <v>0</v>
      </c>
      <c r="CU37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104</v>
      </c>
      <c r="CW370" s="890">
        <f>WWWW[[#This Row],[HRP1]]/500</f>
        <v>0.20799999999999999</v>
      </c>
      <c r="CX370" s="895">
        <f>1-WWWW[[#This Row],[% Equitable and continuous access to sufficient quantity of domestic water]]</f>
        <v>0</v>
      </c>
      <c r="CY370" s="890">
        <f>WWWW[[#This Row],[%equitable and continuous access to sufficient quantity of safe drinking and domestic water''s GAP]]*WWWW[[#This Row],[Total PoP ]]</f>
        <v>0</v>
      </c>
      <c r="CZ370" s="893">
        <f>IF(WWWW[[#This Row],[Total required water points]]-WWWW[[#This Row],['#Water points coverage]]&lt;0,0,WWWW[[#This Row],[Total required water points]]-WWWW[[#This Row],['#Water points coverage]])</f>
        <v>0.79200000000000004</v>
      </c>
      <c r="DA370" s="893">
        <f>ROUND(IF(WWWW[[#This Row],[Total PoP ]]&lt;500,1,WWWW[[#This Row],[Total PoP ]]/500),0)</f>
        <v>1</v>
      </c>
      <c r="DB370" s="893">
        <f>(WWWW[[#This Row],['#_Constructed latrines_by_WASHAgencies]]+WWWW[[#This Row],['#_Non Cluster partner latrines]])-WWWW[[#This Row],['#_Non-functional latrines]]</f>
        <v>4</v>
      </c>
      <c r="DC370" s="631">
        <f>WWWW[[#This Row],[HRP2]]/WWWW[[#This Row],[Total PoP ]]</f>
        <v>0.76923076923076927</v>
      </c>
      <c r="DD37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37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0" s="424">
        <f>IF(WWWW[[#This Row],['# of functional latrines in THF supported by WASH partners during the reporting period2]]="",0,WWWW[[#This Row],['# of functional latrines in THF supported by WASH partners during the reporting period2]]*50)</f>
        <v>0</v>
      </c>
      <c r="DH370" s="893">
        <f>ROUND(IF(WWWW[[#This Row],[Location Type 1]]="camp",WWWW[[#This Row],[Total PoP ]]/20,IF(WWWW[[#This Row],[Location Type 1]]="Temporary Location",WWWW[[#This Row],[Total PoP ]]/50,(WWWW[[#This Row],[Total PoP ]]/6))),0)</f>
        <v>5</v>
      </c>
      <c r="DI370" s="893">
        <f>IF(WWWW[[#This Row],[Total required Latrines]]-(WWWW[[#This Row],['#_Constructed latrines_by_WASHAgencies]]+WWWW[[#This Row],['#_Non Cluster partner latrines]])&lt;0,0,WWWW[[#This Row],[Total required Latrines]]-(WWWW[[#This Row],['#_Constructed latrines_by_WASHAgencies]]+WWWW[[#This Row],['#_Non Cluster partner latrines]]))</f>
        <v>1</v>
      </c>
      <c r="DJ370" s="895">
        <f>1-WWWW[[#This Row],[% people access to functioning Latrine]]</f>
        <v>0.23076923076923073</v>
      </c>
      <c r="DK370" s="894">
        <f>IF(OR(WWWW[[#This Row],['#_Non-functional latrines]]="",WWWW[[#This Row],['#_Non-functional latrines]]=0),0,WWWW[[#This Row],['#_Non-functional latrines]]/(WWWW[[#This Row],['#_Constructed latrines_by_WASHAgencies]]+WWWW[[#This Row],['#_Non Cluster partner latrines]]))</f>
        <v>0</v>
      </c>
      <c r="DL370" s="890">
        <f>IF(500*(WWWW[[#This Row],['#_male hygiene promoters]]+WWWW[[#This Row],['#_female hygiene promoters]])&gt;WWWW[[#This Row],[Total PoP ]],WWWW[[#This Row],[Total PoP ]],500*(WWWW[[#This Row],['#_male hygiene promoters]]+WWWW[[#This Row],['#_female hygiene promoters]]))</f>
        <v>0</v>
      </c>
      <c r="DM37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0" s="893">
        <f>IF(WWWW[[#This Row],['# People with access to soap]]&gt;WWWW[[#This Row],['# People with access to Sanity Pads]],WWWW[[#This Row],['# People with access to soap]],WWWW[[#This Row],['# People with access to Sanity Pads]])</f>
        <v>0</v>
      </c>
      <c r="DP370"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70" s="895">
        <f>IF(WWWW[[#This Row],[HRP3]]/WWWW[[#This Row],[Total PoP ]]&gt;1,1,WWWW[[#This Row],[HRP3]]/WWWW[[#This Row],[Total PoP ]])</f>
        <v>0</v>
      </c>
      <c r="DR370" s="894">
        <f>1-WWWW[[#This Row],[Hygiene Coverage%]]</f>
        <v>1</v>
      </c>
      <c r="DS370" s="892">
        <f>WWWW[[#This Row],['# people reached by regular dedicated hygiene promotion_5]]/WWWW[[#This Row],[Total PoP ]]</f>
        <v>0</v>
      </c>
      <c r="DT37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0" s="893">
        <f>WWWW[[#This Row],['#_Constructed/Existing hand washing stations]]-WWWW[[#This Row],['#_Non-Functional_hand_washing_stations]]</f>
        <v>8</v>
      </c>
      <c r="DW370" s="890">
        <f>IF(WWWW[[#This Row],['# Functional hand washing stations during reporting period]]*20&gt;WWWW[[#This Row],[Total HH]],WWWW[[#This Row],[Total HH]],WWWW[[#This Row],['# Functional hand washing stations during reporting period]]*20)</f>
        <v>26</v>
      </c>
      <c r="DX370" s="890">
        <f>IF(WWWW[[#This Row],[Is sufficient soap available for TLS? (Yes/No)]]="yes",WWWW[[#This Row],['#_Constructed/Existing hand washing stations at TLS/CFS/THF]],0)</f>
        <v>0</v>
      </c>
      <c r="DY370" s="428">
        <f>IF(WWWW[[#This Row],['# Functional hand washing stations during reporting period]]*100&gt;WWWW[[#This Row],[Total PoP ]],WWWW[[#This Row],[Total PoP ]],WWWW[[#This Row],['# Functional hand washing stations during reporting period]]*100)</f>
        <v>104</v>
      </c>
      <c r="DZ370" s="428" t="str">
        <f>IF(OR(WWWW[[#This Row],['#_students at TLS_CFS]]="",WWWW[[#This Row],['#_students at TLS_CFS]]=0),"No","Yes")</f>
        <v>No</v>
      </c>
      <c r="EA37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0" s="886">
        <f>VLOOKUP(WWWW[[#This Row],[Site Name]],SiteDB6[[Site Name]:[CCCM Management]],6,FALSE)</f>
        <v>0</v>
      </c>
      <c r="EF370" s="886" t="str">
        <f>VLOOKUP(WWWW[[#This Row],[Site Name]],SiteDB6[[Site Name]:[CCCM Focal Agency]],7,FALSE)</f>
        <v>uncovered</v>
      </c>
      <c r="EG370" s="886" t="str">
        <f>VLOOKUP(WWWW[[#This Row],[Site Name]],SiteDB6[[Site Name]:[Location Type 1]],9,FALSE)</f>
        <v>Camp</v>
      </c>
      <c r="EH370" s="886" t="str">
        <f>VLOOKUP(WWWW[[#This Row],[Site Name]],SiteDB6[[Site Name]:[Type of Accommodation]],10,FALSE)</f>
        <v>Camp like setting</v>
      </c>
      <c r="EI370" s="886" t="str">
        <f>VLOOKUP(WWWW[[#This Row],[Site Name]],SiteDB6[[Site Name]:[Ethnic or GCA/NGCA]],11,FALSE)</f>
        <v>GCA</v>
      </c>
      <c r="EJ370" s="886">
        <f>VLOOKUP(WWWW[[#This Row],[Site Name]],SiteDB6[[Site Name]:[Lat]],12,FALSE)</f>
        <v>23.621317999999999</v>
      </c>
      <c r="EK370" s="886">
        <f>VLOOKUP(WWWW[[#This Row],[Site Name]],SiteDB6[[Site Name]:[Long]],13,FALSE)</f>
        <v>97.795981999999995</v>
      </c>
      <c r="EL370" s="886" t="str">
        <f>VLOOKUP(WWWW[[#This Row],[Site Name]],SiteDB6[[Site Name]:[Pcode]],3,FALSE)</f>
        <v>MMR015CMP064</v>
      </c>
      <c r="EM370" s="891" t="str">
        <f t="shared" si="5"/>
        <v>Covered</v>
      </c>
      <c r="EN370" s="891"/>
      <c r="EO370" s="886">
        <f>VLOOKUP(WWWW[[#This Row],[Site Name]],SiteDB6[[Site Name]:[Pop
(Kachin/Shan-CCCM as of July 2021)]],16,FALSE)</f>
        <v>24</v>
      </c>
      <c r="EP370" s="886">
        <f>VLOOKUP(WWWW[[#This Row],[Site Name]],SiteDB6[[Site Name]:[Pop
(Kachin/Shan-CCCM as of July 2021)]],17,FALSE)</f>
        <v>84</v>
      </c>
    </row>
    <row r="371" spans="1:146" hidden="1">
      <c r="A371" s="884" t="s">
        <v>2764</v>
      </c>
      <c r="B371" s="884" t="s">
        <v>192</v>
      </c>
      <c r="C371" s="884" t="s">
        <v>192</v>
      </c>
      <c r="D371" s="885" t="s">
        <v>241</v>
      </c>
      <c r="E371" s="885" t="s">
        <v>515</v>
      </c>
      <c r="F371" s="885" t="s">
        <v>960</v>
      </c>
      <c r="G371" s="886" t="str">
        <f>VLOOKUP(WWWW[[#This Row],[Site Name]],SiteDB6[[Site Name]:[Location Type]],8,FALSE)</f>
        <v>Camp</v>
      </c>
      <c r="H371" s="885" t="s">
        <v>2982</v>
      </c>
      <c r="I371" s="887">
        <v>11</v>
      </c>
      <c r="J371" s="887">
        <v>40</v>
      </c>
      <c r="K371" s="888">
        <v>44511</v>
      </c>
      <c r="L371" s="889">
        <v>44875</v>
      </c>
      <c r="M371" s="887"/>
      <c r="N371" s="887"/>
      <c r="O371" s="887"/>
      <c r="P371" s="887"/>
      <c r="Q371" s="890"/>
      <c r="R371" s="887"/>
      <c r="S371" s="887"/>
      <c r="T371" s="448"/>
      <c r="U371" s="887"/>
      <c r="V371" s="887"/>
      <c r="W371" s="887"/>
      <c r="X371" s="887"/>
      <c r="Y371" s="887"/>
      <c r="Z371" s="887"/>
      <c r="AA371" s="887"/>
      <c r="AB371" s="887"/>
      <c r="AC371" s="887"/>
      <c r="AD371" s="887"/>
      <c r="AE371" s="887"/>
      <c r="AF371" s="887"/>
      <c r="AG371" s="887"/>
      <c r="AH371" s="887"/>
      <c r="AI371" s="887"/>
      <c r="AJ371" s="887"/>
      <c r="AK371" s="887"/>
      <c r="AL371" s="887"/>
      <c r="AM371" s="887"/>
      <c r="AN371" s="887"/>
      <c r="AO371" s="448"/>
      <c r="AP371" s="891"/>
      <c r="AQ371" s="910"/>
      <c r="AR371" s="910">
        <v>3</v>
      </c>
      <c r="AS371" s="911"/>
      <c r="AT371" s="887"/>
      <c r="AU371" s="887"/>
      <c r="AV371" s="887"/>
      <c r="AW371" s="887"/>
      <c r="AX371" s="887"/>
      <c r="AY371" s="425" t="s">
        <v>140</v>
      </c>
      <c r="AZ371" s="425" t="s">
        <v>140</v>
      </c>
      <c r="BA371" s="887"/>
      <c r="BB371" s="887"/>
      <c r="BC371" s="887"/>
      <c r="BD371" s="448"/>
      <c r="BE371" s="448"/>
      <c r="BF371" s="886"/>
      <c r="BG371" s="910"/>
      <c r="BH371" s="887"/>
      <c r="BI371" s="887"/>
      <c r="BJ371" s="887"/>
      <c r="BK371" s="887"/>
      <c r="BL371" s="887"/>
      <c r="BM371" s="887"/>
      <c r="BN371" s="887"/>
      <c r="BO371" s="887"/>
      <c r="BP371" s="425" t="s">
        <v>41</v>
      </c>
      <c r="BQ371" s="893"/>
      <c r="BR371" s="892"/>
      <c r="BS371" s="886"/>
      <c r="BT371" s="423"/>
      <c r="BU371" s="423"/>
      <c r="BV371" s="425"/>
      <c r="BW371" s="423"/>
      <c r="BX371" s="448"/>
      <c r="BY371" s="448"/>
      <c r="BZ371" s="448"/>
      <c r="CA371" s="448"/>
      <c r="CB371" s="448"/>
      <c r="CC371" s="777"/>
      <c r="CD371" s="448"/>
      <c r="CE371" s="894" t="str">
        <f>IFERROR(WWWW[[#This Row],['#_Water sources passed]]/WWWW[[#This Row],['#_Water sources tested for fecal coliform ]],"no test")</f>
        <v>no test</v>
      </c>
      <c r="CF371" s="892" t="str">
        <f>IFERROR(WWWW[[#This Row],['#_Household passed]]/WWWW[[#This Row],['#_Household water samples tested for fecal coliform]],"no test")</f>
        <v>no test</v>
      </c>
      <c r="CG371" s="893" t="str">
        <f>IF(AND(WWWW[[#This Row],[% of water sources passed]]="no test",WWWW[[#This Row],[% Household passed]]="no test"),"No Test","Tested")</f>
        <v>No Test</v>
      </c>
      <c r="CH371" s="893">
        <f>WWWW[[#This Row],['#_Constructed/existing protected hand dug well]]-WWWW[[#This Row],['#_Non-functional protected hand dug well]]</f>
        <v>0</v>
      </c>
      <c r="CI371" s="893">
        <f>(WWWW[[#This Row],['#_Constructed/Existing tube wells/boreholes/handpumps_WASH_agency]]+WWWW[[#This Row],['#_Non-Cluster partner water tube-wells/boreholes/handpumps]])-WWWW[[#This Row],['#_Non-functional tube wells/boreholes/handpumps]]</f>
        <v>0</v>
      </c>
      <c r="CJ371" s="893">
        <f>WWWW[[#This Row],['#_Constructed/Existingwater storage tank with gravity fed reticulation system]]-WWWW[[#This Row],['#_Non-functional storage tank gravity fed reticulation system]]</f>
        <v>0</v>
      </c>
      <c r="CK371" s="893">
        <f>(WWWW[[#This Row],['#_Water_Liters_supplied_by_Water boating or water trucking]]/90)/15</f>
        <v>0</v>
      </c>
      <c r="CL371" s="893">
        <f>WWWW[[#This Row],['#_Water_Liters_from_Constructed/Existing water distribution system from river or natural spring]]/90/15</f>
        <v>0</v>
      </c>
      <c r="CM371" s="424">
        <f>IF(WWWW[[#This Row],['#_of water points in TLS/CFS]]*500&gt;WWWW[[#This Row],[Total PoP ]],WWWW[[#This Row],[Total PoP ]],WWWW[[#This Row],['#_of water points in TLS/CFS]]*500)</f>
        <v>0</v>
      </c>
      <c r="CN371" s="424">
        <f>IF(WWWW[[#This Row],['#_of water points in THF]]*500&gt;WWWW[[#This Row],[Total PoP ]],WWWW[[#This Row],[Total PoP ]],WWWW[[#This Row],['#_of water points in THF]]*500)</f>
        <v>0</v>
      </c>
      <c r="CO37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7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71" s="892">
        <f>IF(WWWW[[#This Row],[Location Type 1]]="Village",WWWW[[#This Row],[Access to safe drinking water for Village]],WWWW[[#This Row],[Access to safe drinking water for Camp]])</f>
        <v>0</v>
      </c>
      <c r="CR371" s="890">
        <f>WWWW[[#This Row],[%Equitable and continuous access to sufficient quantity of safe drinking water]]*WWWW[[#This Row],[Total PoP ]]</f>
        <v>0</v>
      </c>
      <c r="CS371" s="892">
        <f>IF((WWWW[[#This Row],['#_Constructed/Existing protected/fenced ponds]]*250)/WWWW[[#This Row],[Total PoP ]]&gt;1,1,(WWWW[[#This Row],['#_Constructed/Existing protected/fenced ponds]]*250)/WWWW[[#This Row],[Total PoP ]])</f>
        <v>0</v>
      </c>
      <c r="CT371" s="890">
        <f>WWWW[[#This Row],[% Access to unimproved water points]]*WWWW[[#This Row],[Total PoP ]]</f>
        <v>0</v>
      </c>
      <c r="CU37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7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71" s="890">
        <f>WWWW[[#This Row],[HRP1]]/500</f>
        <v>0</v>
      </c>
      <c r="CX371" s="895">
        <f>1-WWWW[[#This Row],[% Equitable and continuous access to sufficient quantity of domestic water]]</f>
        <v>1</v>
      </c>
      <c r="CY371" s="890">
        <f>WWWW[[#This Row],[%equitable and continuous access to sufficient quantity of safe drinking and domestic water''s GAP]]*WWWW[[#This Row],[Total PoP ]]</f>
        <v>40</v>
      </c>
      <c r="CZ371" s="893">
        <f>IF(WWWW[[#This Row],[Total required water points]]-WWWW[[#This Row],['#Water points coverage]]&lt;0,0,WWWW[[#This Row],[Total required water points]]-WWWW[[#This Row],['#Water points coverage]])</f>
        <v>1</v>
      </c>
      <c r="DA371" s="893">
        <f>ROUND(IF(WWWW[[#This Row],[Total PoP ]]&lt;500,1,WWWW[[#This Row],[Total PoP ]]/500),0)</f>
        <v>1</v>
      </c>
      <c r="DB371" s="893">
        <f>(WWWW[[#This Row],['#_Constructed latrines_by_WASHAgencies]]+WWWW[[#This Row],['#_Non Cluster partner latrines]])-WWWW[[#This Row],['#_Non-functional latrines]]</f>
        <v>3</v>
      </c>
      <c r="DC371" s="631">
        <f>WWWW[[#This Row],[HRP2]]/WWWW[[#This Row],[Total PoP ]]</f>
        <v>1</v>
      </c>
      <c r="DD37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37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1" s="424">
        <f>IF(WWWW[[#This Row],['# of functional latrines in THF supported by WASH partners during the reporting period2]]="",0,WWWW[[#This Row],['# of functional latrines in THF supported by WASH partners during the reporting period2]]*50)</f>
        <v>0</v>
      </c>
      <c r="DH371" s="893">
        <f>ROUND(IF(WWWW[[#This Row],[Location Type 1]]="camp",WWWW[[#This Row],[Total PoP ]]/20,IF(WWWW[[#This Row],[Location Type 1]]="Temporary Location",WWWW[[#This Row],[Total PoP ]]/50,(WWWW[[#This Row],[Total PoP ]]/6))),0)</f>
        <v>2</v>
      </c>
      <c r="DI371" s="893">
        <f>IF(WWWW[[#This Row],[Total required Latrines]]-(WWWW[[#This Row],['#_Constructed latrines_by_WASHAgencies]]+WWWW[[#This Row],['#_Non Cluster partner latrines]])&lt;0,0,WWWW[[#This Row],[Total required Latrines]]-(WWWW[[#This Row],['#_Constructed latrines_by_WASHAgencies]]+WWWW[[#This Row],['#_Non Cluster partner latrines]]))</f>
        <v>0</v>
      </c>
      <c r="DJ371" s="895">
        <f>1-WWWW[[#This Row],[% people access to functioning Latrine]]</f>
        <v>0</v>
      </c>
      <c r="DK371" s="894">
        <f>IF(OR(WWWW[[#This Row],['#_Non-functional latrines]]="",WWWW[[#This Row],['#_Non-functional latrines]]=0),0,WWWW[[#This Row],['#_Non-functional latrines]]/(WWWW[[#This Row],['#_Constructed latrines_by_WASHAgencies]]+WWWW[[#This Row],['#_Non Cluster partner latrines]]))</f>
        <v>0</v>
      </c>
      <c r="DL371" s="890">
        <f>IF(500*(WWWW[[#This Row],['#_male hygiene promoters]]+WWWW[[#This Row],['#_female hygiene promoters]])&gt;WWWW[[#This Row],[Total PoP ]],WWWW[[#This Row],[Total PoP ]],500*(WWWW[[#This Row],['#_male hygiene promoters]]+WWWW[[#This Row],['#_female hygiene promoters]]))</f>
        <v>0</v>
      </c>
      <c r="DM37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1" s="893">
        <f>IF(WWWW[[#This Row],['# People with access to soap]]&gt;WWWW[[#This Row],['# People with access to Sanity Pads]],WWWW[[#This Row],['# People with access to soap]],WWWW[[#This Row],['# People with access to Sanity Pads]])</f>
        <v>0</v>
      </c>
      <c r="DP371"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71" s="895">
        <f>IF(WWWW[[#This Row],[HRP3]]/WWWW[[#This Row],[Total PoP ]]&gt;1,1,WWWW[[#This Row],[HRP3]]/WWWW[[#This Row],[Total PoP ]])</f>
        <v>0</v>
      </c>
      <c r="DR371" s="894">
        <f>1-WWWW[[#This Row],[Hygiene Coverage%]]</f>
        <v>1</v>
      </c>
      <c r="DS371" s="892">
        <f>WWWW[[#This Row],['# people reached by regular dedicated hygiene promotion_5]]/WWWW[[#This Row],[Total PoP ]]</f>
        <v>0</v>
      </c>
      <c r="DT37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1" s="893">
        <f>WWWW[[#This Row],['#_Constructed/Existing hand washing stations]]-WWWW[[#This Row],['#_Non-Functional_hand_washing_stations]]</f>
        <v>0</v>
      </c>
      <c r="DW371" s="890">
        <f>IF(WWWW[[#This Row],['# Functional hand washing stations during reporting period]]*20&gt;WWWW[[#This Row],[Total HH]],WWWW[[#This Row],[Total HH]],WWWW[[#This Row],['# Functional hand washing stations during reporting period]]*20)</f>
        <v>0</v>
      </c>
      <c r="DX371" s="890">
        <f>IF(WWWW[[#This Row],[Is sufficient soap available for TLS? (Yes/No)]]="yes",WWWW[[#This Row],['#_Constructed/Existing hand washing stations at TLS/CFS/THF]],0)</f>
        <v>0</v>
      </c>
      <c r="DY371" s="428">
        <f>IF(WWWW[[#This Row],['# Functional hand washing stations during reporting period]]*100&gt;WWWW[[#This Row],[Total PoP ]],WWWW[[#This Row],[Total PoP ]],WWWW[[#This Row],['# Functional hand washing stations during reporting period]]*100)</f>
        <v>0</v>
      </c>
      <c r="DZ371" s="428" t="str">
        <f>IF(OR(WWWW[[#This Row],['#_students at TLS_CFS]]="",WWWW[[#This Row],['#_students at TLS_CFS]]=0),"No","Yes")</f>
        <v>No</v>
      </c>
      <c r="EA37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1" s="886">
        <f>VLOOKUP(WWWW[[#This Row],[Site Name]],SiteDB6[[Site Name]:[CCCM Management]],6,FALSE)</f>
        <v>0</v>
      </c>
      <c r="EF371" s="886">
        <f>VLOOKUP(WWWW[[#This Row],[Site Name]],SiteDB6[[Site Name]:[CCCM Focal Agency]],7,FALSE)</f>
        <v>0</v>
      </c>
      <c r="EG371" s="886" t="str">
        <f>VLOOKUP(WWWW[[#This Row],[Site Name]],SiteDB6[[Site Name]:[Location Type 1]],9,FALSE)</f>
        <v>Camp</v>
      </c>
      <c r="EH371" s="886" t="str">
        <f>VLOOKUP(WWWW[[#This Row],[Site Name]],SiteDB6[[Site Name]:[Type of Accommodation]],10,FALSE)</f>
        <v>Camp like setting</v>
      </c>
      <c r="EI371" s="886" t="str">
        <f>VLOOKUP(WWWW[[#This Row],[Site Name]],SiteDB6[[Site Name]:[Ethnic or GCA/NGCA]],11,FALSE)</f>
        <v>GCA</v>
      </c>
      <c r="EJ371" s="886">
        <f>VLOOKUP(WWWW[[#This Row],[Site Name]],SiteDB6[[Site Name]:[Lat]],12,FALSE)</f>
        <v>0</v>
      </c>
      <c r="EK371" s="886">
        <f>VLOOKUP(WWWW[[#This Row],[Site Name]],SiteDB6[[Site Name]:[Long]],13,FALSE)</f>
        <v>0</v>
      </c>
      <c r="EL371" s="886" t="str">
        <f>VLOOKUP(WWWW[[#This Row],[Site Name]],SiteDB6[[Site Name]:[Pcode]],3,FALSE)</f>
        <v>MMR015CMP077</v>
      </c>
      <c r="EM371" s="891" t="str">
        <f t="shared" si="5"/>
        <v>Covered</v>
      </c>
      <c r="EN371" s="891"/>
      <c r="EO371" s="886">
        <f>VLOOKUP(WWWW[[#This Row],[Site Name]],SiteDB6[[Site Name]:[Pop
(Kachin/Shan-CCCM as of July 2021)]],16,FALSE)</f>
        <v>11</v>
      </c>
      <c r="EP371" s="886">
        <f>VLOOKUP(WWWW[[#This Row],[Site Name]],SiteDB6[[Site Name]:[Pop
(Kachin/Shan-CCCM as of July 2021)]],17,FALSE)</f>
        <v>40</v>
      </c>
    </row>
    <row r="372" spans="1:146" hidden="1">
      <c r="A372" s="884" t="s">
        <v>2764</v>
      </c>
      <c r="B372" s="884" t="s">
        <v>192</v>
      </c>
      <c r="C372" s="885" t="s">
        <v>192</v>
      </c>
      <c r="D372" s="885" t="s">
        <v>2673</v>
      </c>
      <c r="E372" s="885" t="s">
        <v>515</v>
      </c>
      <c r="F372" s="885" t="s">
        <v>522</v>
      </c>
      <c r="G372" s="591" t="str">
        <f>VLOOKUP(WWWW[[#This Row],[Site Name]],SiteDB6[[Site Name]:[Location Type]],8,FALSE)</f>
        <v>Camp</v>
      </c>
      <c r="H372" s="885" t="s">
        <v>548</v>
      </c>
      <c r="I372" s="887">
        <v>28</v>
      </c>
      <c r="J372" s="887">
        <v>125</v>
      </c>
      <c r="K372" s="888" t="s">
        <v>2767</v>
      </c>
      <c r="L372" s="889" t="s">
        <v>2768</v>
      </c>
      <c r="M372" s="887"/>
      <c r="N372" s="887"/>
      <c r="O372" s="887">
        <v>1</v>
      </c>
      <c r="P372" s="887"/>
      <c r="Q372" s="890" t="s">
        <v>41</v>
      </c>
      <c r="R372" s="887"/>
      <c r="S372" s="887"/>
      <c r="T372" s="448"/>
      <c r="U372" s="887"/>
      <c r="V372" s="887"/>
      <c r="W372" s="887">
        <v>1</v>
      </c>
      <c r="X372" s="887">
        <v>1</v>
      </c>
      <c r="Y372" s="887"/>
      <c r="Z372" s="887"/>
      <c r="AA372" s="887"/>
      <c r="AB372" s="887"/>
      <c r="AC372" s="887"/>
      <c r="AD372" s="887"/>
      <c r="AE372" s="887"/>
      <c r="AF372" s="887"/>
      <c r="AG372" s="887"/>
      <c r="AH372" s="887"/>
      <c r="AI372" s="887"/>
      <c r="AJ372" s="887"/>
      <c r="AK372" s="887"/>
      <c r="AL372" s="887"/>
      <c r="AM372" s="887"/>
      <c r="AN372" s="887"/>
      <c r="AO372" s="448"/>
      <c r="AP372" s="891"/>
      <c r="AQ372" s="887">
        <v>18</v>
      </c>
      <c r="AR372" s="887"/>
      <c r="AS372" s="892"/>
      <c r="AT372" s="887"/>
      <c r="AU372" s="887"/>
      <c r="AV372" s="887"/>
      <c r="AW372" s="887"/>
      <c r="AX372" s="887"/>
      <c r="AY372" s="886" t="s">
        <v>41</v>
      </c>
      <c r="AZ372" s="891" t="s">
        <v>137</v>
      </c>
      <c r="BA372" s="887"/>
      <c r="BB372" s="887"/>
      <c r="BC372" s="887"/>
      <c r="BD372" s="448"/>
      <c r="BE372" s="448"/>
      <c r="BF372" s="886"/>
      <c r="BG372" s="887">
        <v>7</v>
      </c>
      <c r="BH372" s="887"/>
      <c r="BI372" s="887"/>
      <c r="BJ372" s="887">
        <v>5</v>
      </c>
      <c r="BK372" s="887"/>
      <c r="BL372" s="887"/>
      <c r="BM372" s="887">
        <v>1</v>
      </c>
      <c r="BN372" s="887"/>
      <c r="BO372" s="887"/>
      <c r="BP372" s="425" t="s">
        <v>41</v>
      </c>
      <c r="BQ372" s="893"/>
      <c r="BR372" s="892"/>
      <c r="BS372" s="886"/>
      <c r="BT372" s="423"/>
      <c r="BU372" s="423"/>
      <c r="BV372" s="425"/>
      <c r="BW372" s="423"/>
      <c r="BX372" s="448"/>
      <c r="BY372" s="448"/>
      <c r="BZ372" s="448"/>
      <c r="CA372" s="448"/>
      <c r="CB372" s="448"/>
      <c r="CC372" s="777"/>
      <c r="CD372" s="448"/>
      <c r="CE372" s="894" t="str">
        <f>IFERROR(WWWW[[#This Row],['#_Water sources passed]]/WWWW[[#This Row],['#_Water sources tested for fecal coliform ]],"no test")</f>
        <v>no test</v>
      </c>
      <c r="CF372" s="892" t="str">
        <f>IFERROR(WWWW[[#This Row],['#_Household passed]]/WWWW[[#This Row],['#_Household water samples tested for fecal coliform]],"no test")</f>
        <v>no test</v>
      </c>
      <c r="CG372" s="893" t="str">
        <f>IF(AND(WWWW[[#This Row],[% of water sources passed]]="no test",WWWW[[#This Row],[% Household passed]]="no test"),"No Test","Tested")</f>
        <v>No Test</v>
      </c>
      <c r="CH372" s="893">
        <f>WWWW[[#This Row],['#_Constructed/existing protected hand dug well]]-WWWW[[#This Row],['#_Non-functional protected hand dug well]]</f>
        <v>0</v>
      </c>
      <c r="CI372" s="893">
        <f>(WWWW[[#This Row],['#_Constructed/Existing tube wells/boreholes/handpumps_WASH_agency]]+WWWW[[#This Row],['#_Non-Cluster partner water tube-wells/boreholes/handpumps]])-WWWW[[#This Row],['#_Non-functional tube wells/boreholes/handpumps]]</f>
        <v>2</v>
      </c>
      <c r="CJ372" s="893">
        <f>WWWW[[#This Row],['#_Constructed/Existingwater storage tank with gravity fed reticulation system]]-WWWW[[#This Row],['#_Non-functional storage tank gravity fed reticulation system]]</f>
        <v>0</v>
      </c>
      <c r="CK372" s="893">
        <f>(WWWW[[#This Row],['#_Water_Liters_supplied_by_Water boating or water trucking]]/90)/15</f>
        <v>0</v>
      </c>
      <c r="CL372" s="893">
        <f>WWWW[[#This Row],['#_Water_Liters_from_Constructed/Existing water distribution system from river or natural spring]]/90/15</f>
        <v>0</v>
      </c>
      <c r="CM372" s="424">
        <f>IF(WWWW[[#This Row],['#_of water points in TLS/CFS]]*500&gt;WWWW[[#This Row],[Total PoP ]],WWWW[[#This Row],[Total PoP ]],WWWW[[#This Row],['#_of water points in TLS/CFS]]*500)</f>
        <v>0</v>
      </c>
      <c r="CN372" s="424">
        <f>IF(WWWW[[#This Row],['#_of water points in THF]]*500&gt;WWWW[[#This Row],[Total PoP ]],WWWW[[#This Row],[Total PoP ]],WWWW[[#This Row],['#_of water points in THF]]*500)</f>
        <v>0</v>
      </c>
      <c r="CO37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2" s="892">
        <f>IF(WWWW[[#This Row],[Location Type 1]]="Village",WWWW[[#This Row],[Access to safe drinking water for Village]],WWWW[[#This Row],[Access to safe drinking water for Camp]])</f>
        <v>1</v>
      </c>
      <c r="CR372" s="890">
        <f>WWWW[[#This Row],[%Equitable and continuous access to sufficient quantity of safe drinking water]]*WWWW[[#This Row],[Total PoP ]]</f>
        <v>125</v>
      </c>
      <c r="CS372" s="892">
        <f>IF((WWWW[[#This Row],['#_Constructed/Existing protected/fenced ponds]]*250)/WWWW[[#This Row],[Total PoP ]]&gt;1,1,(WWWW[[#This Row],['#_Constructed/Existing protected/fenced ponds]]*250)/WWWW[[#This Row],[Total PoP ]])</f>
        <v>0</v>
      </c>
      <c r="CT372" s="890">
        <f>WWWW[[#This Row],[% Access to unimproved water points]]*WWWW[[#This Row],[Total PoP ]]</f>
        <v>0</v>
      </c>
      <c r="CU37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v>
      </c>
      <c r="CW372" s="890">
        <f>WWWW[[#This Row],[HRP1]]/500</f>
        <v>0.25</v>
      </c>
      <c r="CX372" s="895">
        <f>1-WWWW[[#This Row],[% Equitable and continuous access to sufficient quantity of domestic water]]</f>
        <v>0</v>
      </c>
      <c r="CY372" s="890">
        <f>WWWW[[#This Row],[%equitable and continuous access to sufficient quantity of safe drinking and domestic water''s GAP]]*WWWW[[#This Row],[Total PoP ]]</f>
        <v>0</v>
      </c>
      <c r="CZ372" s="893">
        <f>IF(WWWW[[#This Row],[Total required water points]]-WWWW[[#This Row],['#Water points coverage]]&lt;0,0,WWWW[[#This Row],[Total required water points]]-WWWW[[#This Row],['#Water points coverage]])</f>
        <v>0.75</v>
      </c>
      <c r="DA372" s="893">
        <f>ROUND(IF(WWWW[[#This Row],[Total PoP ]]&lt;500,1,WWWW[[#This Row],[Total PoP ]]/500),0)</f>
        <v>1</v>
      </c>
      <c r="DB372" s="893">
        <f>(WWWW[[#This Row],['#_Constructed latrines_by_WASHAgencies]]+WWWW[[#This Row],['#_Non Cluster partner latrines]])-WWWW[[#This Row],['#_Non-functional latrines]]</f>
        <v>18</v>
      </c>
      <c r="DC372" s="631">
        <f>WWWW[[#This Row],[HRP2]]/WWWW[[#This Row],[Total PoP ]]</f>
        <v>1</v>
      </c>
      <c r="DD37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125</v>
      </c>
      <c r="DE37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2" s="424">
        <f>IF(WWWW[[#This Row],['# of functional latrines in THF supported by WASH partners during the reporting period2]]="",0,WWWW[[#This Row],['# of functional latrines in THF supported by WASH partners during the reporting period2]]*50)</f>
        <v>0</v>
      </c>
      <c r="DH372" s="893">
        <f>ROUND(IF(WWWW[[#This Row],[Location Type 1]]="camp",WWWW[[#This Row],[Total PoP ]]/20,IF(WWWW[[#This Row],[Location Type 1]]="Temporary Location",WWWW[[#This Row],[Total PoP ]]/50,(WWWW[[#This Row],[Total PoP ]]/6))),0)</f>
        <v>6</v>
      </c>
      <c r="DI372" s="893">
        <f>IF(WWWW[[#This Row],[Total required Latrines]]-(WWWW[[#This Row],['#_Constructed latrines_by_WASHAgencies]]+WWWW[[#This Row],['#_Non Cluster partner latrines]])&lt;0,0,WWWW[[#This Row],[Total required Latrines]]-(WWWW[[#This Row],['#_Constructed latrines_by_WASHAgencies]]+WWWW[[#This Row],['#_Non Cluster partner latrines]]))</f>
        <v>0</v>
      </c>
      <c r="DJ372" s="895">
        <f>1-WWWW[[#This Row],[% people access to functioning Latrine]]</f>
        <v>0</v>
      </c>
      <c r="DK372" s="894">
        <f>IF(OR(WWWW[[#This Row],['#_Non-functional latrines]]="",WWWW[[#This Row],['#_Non-functional latrines]]=0),0,WWWW[[#This Row],['#_Non-functional latrines]]/(WWWW[[#This Row],['#_Constructed latrines_by_WASHAgencies]]+WWWW[[#This Row],['#_Non Cluster partner latrines]]))</f>
        <v>0</v>
      </c>
      <c r="DL372" s="890">
        <f>IF(500*(WWWW[[#This Row],['#_male hygiene promoters]]+WWWW[[#This Row],['#_female hygiene promoters]])&gt;WWWW[[#This Row],[Total PoP ]],WWWW[[#This Row],[Total PoP ]],500*(WWWW[[#This Row],['#_male hygiene promoters]]+WWWW[[#This Row],['#_female hygiene promoters]]))</f>
        <v>125</v>
      </c>
      <c r="DM37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2" s="893">
        <f>IF(WWWW[[#This Row],['# People with access to soap]]&gt;WWWW[[#This Row],['# People with access to Sanity Pads]],WWWW[[#This Row],['# People with access to soap]],WWWW[[#This Row],['# People with access to Sanity Pads]])</f>
        <v>0</v>
      </c>
      <c r="DP372" s="893">
        <f>IF(WWWW[[#This Row],['# people reached by regular dedicated hygiene promotion_5]]&gt;WWWW[[#This Row],['# People received regular supply of hygiene items_6]],WWWW[[#This Row],['# people reached by regular dedicated hygiene promotion_5]],WWWW[[#This Row],['# People received regular supply of hygiene items_6]])</f>
        <v>125</v>
      </c>
      <c r="DQ372" s="895">
        <f>IF(WWWW[[#This Row],[HRP3]]/WWWW[[#This Row],[Total PoP ]]&gt;1,1,WWWW[[#This Row],[HRP3]]/WWWW[[#This Row],[Total PoP ]])</f>
        <v>1</v>
      </c>
      <c r="DR372" s="894">
        <f>1-WWWW[[#This Row],[Hygiene Coverage%]]</f>
        <v>0</v>
      </c>
      <c r="DS372" s="892">
        <f>WWWW[[#This Row],['# people reached by regular dedicated hygiene promotion_5]]/WWWW[[#This Row],[Total PoP ]]</f>
        <v>1</v>
      </c>
      <c r="DT37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2" s="893">
        <f>WWWW[[#This Row],['#_Constructed/Existing hand washing stations]]-WWWW[[#This Row],['#_Non-Functional_hand_washing_stations]]</f>
        <v>7</v>
      </c>
      <c r="DW372" s="890">
        <f>IF(WWWW[[#This Row],['# Functional hand washing stations during reporting period]]*20&gt;WWWW[[#This Row],[Total HH]],WWWW[[#This Row],[Total HH]],WWWW[[#This Row],['# Functional hand washing stations during reporting period]]*20)</f>
        <v>28</v>
      </c>
      <c r="DX372" s="890">
        <f>IF(WWWW[[#This Row],[Is sufficient soap available for TLS? (Yes/No)]]="yes",WWWW[[#This Row],['#_Constructed/Existing hand washing stations at TLS/CFS/THF]],0)</f>
        <v>0</v>
      </c>
      <c r="DY372" s="428">
        <f>IF(WWWW[[#This Row],['# Functional hand washing stations during reporting period]]*100&gt;WWWW[[#This Row],[Total PoP ]],WWWW[[#This Row],[Total PoP ]],WWWW[[#This Row],['# Functional hand washing stations during reporting period]]*100)</f>
        <v>125</v>
      </c>
      <c r="DZ372" s="428" t="str">
        <f>IF(OR(WWWW[[#This Row],['#_students at TLS_CFS]]="",WWWW[[#This Row],['#_students at TLS_CFS]]=0),"No","Yes")</f>
        <v>No</v>
      </c>
      <c r="EA37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2" s="886" t="str">
        <f>VLOOKUP(WWWW[[#This Row],[Site Name]],SiteDB6[[Site Name]:[CCCM Management]],6,FALSE)</f>
        <v>Yes</v>
      </c>
      <c r="EF372" s="886" t="str">
        <f>VLOOKUP(WWWW[[#This Row],[Site Name]],SiteDB6[[Site Name]:[CCCM Focal Agency]],7,FALSE)</f>
        <v>KBC-NSS</v>
      </c>
      <c r="EG372" s="886" t="str">
        <f>VLOOKUP(WWWW[[#This Row],[Site Name]],SiteDB6[[Site Name]:[Location Type 1]],9,FALSE)</f>
        <v>Camp</v>
      </c>
      <c r="EH372" s="886" t="str">
        <f>VLOOKUP(WWWW[[#This Row],[Site Name]],SiteDB6[[Site Name]:[Type of Accommodation]],10,FALSE)</f>
        <v>Closed Camp</v>
      </c>
      <c r="EI372" s="886" t="str">
        <f>VLOOKUP(WWWW[[#This Row],[Site Name]],SiteDB6[[Site Name]:[Ethnic or GCA/NGCA]],11,FALSE)</f>
        <v>GCA</v>
      </c>
      <c r="EJ372" s="886">
        <f>VLOOKUP(WWWW[[#This Row],[Site Name]],SiteDB6[[Site Name]:[Lat]],12,FALSE)</f>
        <v>23.250678000000001</v>
      </c>
      <c r="EK372" s="886">
        <f>VLOOKUP(WWWW[[#This Row],[Site Name]],SiteDB6[[Site Name]:[Long]],13,FALSE)</f>
        <v>97.124403000000001</v>
      </c>
      <c r="EL372" s="886" t="str">
        <f>VLOOKUP(WWWW[[#This Row],[Site Name]],SiteDB6[[Site Name]:[Pcode]],3,FALSE)</f>
        <v>MMR015CMP009</v>
      </c>
      <c r="EM372" s="891" t="str">
        <f t="shared" si="5"/>
        <v>Covered</v>
      </c>
      <c r="EN372" s="891"/>
      <c r="EO372" s="886">
        <f>VLOOKUP(WWWW[[#This Row],[Site Name]],SiteDB6[[Site Name]:[Pop
(Kachin/Shan-CCCM as of July 2021)]],16,FALSE)</f>
        <v>28</v>
      </c>
      <c r="EP372" s="886">
        <f>VLOOKUP(WWWW[[#This Row],[Site Name]],SiteDB6[[Site Name]:[Pop
(Kachin/Shan-CCCM as of July 2021)]],17,FALSE)</f>
        <v>147</v>
      </c>
    </row>
    <row r="373" spans="1:146" hidden="1">
      <c r="A373" s="884" t="s">
        <v>2764</v>
      </c>
      <c r="B373" s="885" t="s">
        <v>2359</v>
      </c>
      <c r="C373" s="885" t="s">
        <v>2359</v>
      </c>
      <c r="D373" s="885" t="s">
        <v>2673</v>
      </c>
      <c r="E373" s="885" t="s">
        <v>515</v>
      </c>
      <c r="F373" s="885" t="s">
        <v>522</v>
      </c>
      <c r="G373" s="591" t="str">
        <f>VLOOKUP(WWWW[[#This Row],[Site Name]],SiteDB6[[Site Name]:[Location Type]],8,FALSE)</f>
        <v>Camp</v>
      </c>
      <c r="H373" s="885" t="s">
        <v>523</v>
      </c>
      <c r="I373" s="887">
        <v>30</v>
      </c>
      <c r="J373" s="887">
        <v>157</v>
      </c>
      <c r="K373" s="888" t="s">
        <v>2767</v>
      </c>
      <c r="L373" s="889" t="s">
        <v>2768</v>
      </c>
      <c r="M373" s="887"/>
      <c r="N373" s="887">
        <v>2</v>
      </c>
      <c r="O373" s="887"/>
      <c r="P373" s="887"/>
      <c r="Q373" s="890" t="s">
        <v>41</v>
      </c>
      <c r="R373" s="887">
        <v>2</v>
      </c>
      <c r="S373" s="887">
        <v>8</v>
      </c>
      <c r="T373" s="448">
        <v>1</v>
      </c>
      <c r="U373" s="887"/>
      <c r="V373" s="887"/>
      <c r="W373" s="887">
        <v>2</v>
      </c>
      <c r="X373" s="887"/>
      <c r="Y373" s="887"/>
      <c r="Z373" s="887"/>
      <c r="AA373" s="887"/>
      <c r="AB373" s="887"/>
      <c r="AC373" s="887"/>
      <c r="AD373" s="887"/>
      <c r="AE373" s="887">
        <v>2</v>
      </c>
      <c r="AF373" s="887"/>
      <c r="AG373" s="887"/>
      <c r="AH373" s="887">
        <v>1</v>
      </c>
      <c r="AI373" s="887"/>
      <c r="AJ373" s="887"/>
      <c r="AK373" s="887"/>
      <c r="AL373" s="887"/>
      <c r="AM373" s="887">
        <v>4</v>
      </c>
      <c r="AN373" s="887"/>
      <c r="AO373" s="448"/>
      <c r="AP373" s="891"/>
      <c r="AQ373" s="448">
        <v>38</v>
      </c>
      <c r="AR373" s="887"/>
      <c r="AS373" s="892"/>
      <c r="AT373" s="887"/>
      <c r="AU373" s="887"/>
      <c r="AV373" s="887"/>
      <c r="AW373" s="887"/>
      <c r="AX373" s="887">
        <v>38</v>
      </c>
      <c r="AY373" s="886" t="s">
        <v>41</v>
      </c>
      <c r="AZ373" s="891" t="s">
        <v>137</v>
      </c>
      <c r="BA373" s="887"/>
      <c r="BB373" s="887"/>
      <c r="BC373" s="887"/>
      <c r="BD373" s="448"/>
      <c r="BE373" s="448"/>
      <c r="BF373" s="886"/>
      <c r="BG373" s="448">
        <v>4</v>
      </c>
      <c r="BH373" s="887"/>
      <c r="BI373" s="887"/>
      <c r="BJ373" s="887">
        <v>2</v>
      </c>
      <c r="BK373" s="887"/>
      <c r="BL373" s="887"/>
      <c r="BM373" s="887">
        <v>2</v>
      </c>
      <c r="BN373" s="887"/>
      <c r="BO373" s="887"/>
      <c r="BP373" s="425" t="s">
        <v>41</v>
      </c>
      <c r="BQ373" s="893"/>
      <c r="BR373" s="423">
        <v>1</v>
      </c>
      <c r="BS373" s="886"/>
      <c r="BT373" s="423"/>
      <c r="BU373" s="423"/>
      <c r="BV373" s="425"/>
      <c r="BW373" s="423"/>
      <c r="BX373" s="448"/>
      <c r="BY373" s="448"/>
      <c r="BZ373" s="448"/>
      <c r="CA373" s="448"/>
      <c r="CB373" s="448"/>
      <c r="CC373" s="777"/>
      <c r="CD373" s="448"/>
      <c r="CE373" s="894" t="str">
        <f>IFERROR(WWWW[[#This Row],['#_Water sources passed]]/WWWW[[#This Row],['#_Water sources tested for fecal coliform ]],"no test")</f>
        <v>no test</v>
      </c>
      <c r="CF373" s="892" t="str">
        <f>IFERROR(WWWW[[#This Row],['#_Household passed]]/WWWW[[#This Row],['#_Household water samples tested for fecal coliform]],"no test")</f>
        <v>no test</v>
      </c>
      <c r="CG373" s="893" t="str">
        <f>IF(AND(WWWW[[#This Row],[% of water sources passed]]="no test",WWWW[[#This Row],[% Household passed]]="no test"),"No Test","Tested")</f>
        <v>No Test</v>
      </c>
      <c r="CH373" s="893">
        <f>WWWW[[#This Row],['#_Constructed/existing protected hand dug well]]-WWWW[[#This Row],['#_Non-functional protected hand dug well]]</f>
        <v>1</v>
      </c>
      <c r="CI373" s="893">
        <f>(WWWW[[#This Row],['#_Constructed/Existing tube wells/boreholes/handpumps_WASH_agency]]+WWWW[[#This Row],['#_Non-Cluster partner water tube-wells/boreholes/handpumps]])-WWWW[[#This Row],['#_Non-functional tube wells/boreholes/handpumps]]</f>
        <v>2</v>
      </c>
      <c r="CJ373" s="893">
        <f>WWWW[[#This Row],['#_Constructed/Existingwater storage tank with gravity fed reticulation system]]-WWWW[[#This Row],['#_Non-functional storage tank gravity fed reticulation system]]</f>
        <v>0</v>
      </c>
      <c r="CK373" s="893">
        <f>(WWWW[[#This Row],['#_Water_Liters_supplied_by_Water boating or water trucking]]/90)/15</f>
        <v>0</v>
      </c>
      <c r="CL373" s="893">
        <f>WWWW[[#This Row],['#_Water_Liters_from_Constructed/Existing water distribution system from river or natural spring]]/90/15</f>
        <v>0</v>
      </c>
      <c r="CM373" s="424">
        <f>IF(WWWW[[#This Row],['#_of water points in TLS/CFS]]*500&gt;WWWW[[#This Row],[Total PoP ]],WWWW[[#This Row],[Total PoP ]],WWWW[[#This Row],['#_of water points in TLS/CFS]]*500)</f>
        <v>0</v>
      </c>
      <c r="CN373" s="424">
        <f>IF(WWWW[[#This Row],['#_of water points in THF]]*500&gt;WWWW[[#This Row],[Total PoP ]],WWWW[[#This Row],[Total PoP ]],WWWW[[#This Row],['#_of water points in THF]]*500)</f>
        <v>0</v>
      </c>
      <c r="CO37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3" s="892">
        <f>IF(WWWW[[#This Row],[Location Type 1]]="Village",WWWW[[#This Row],[Access to safe drinking water for Village]],WWWW[[#This Row],[Access to safe drinking water for Camp]])</f>
        <v>1</v>
      </c>
      <c r="CR373" s="890">
        <f>WWWW[[#This Row],[%Equitable and continuous access to sufficient quantity of safe drinking water]]*WWWW[[#This Row],[Total PoP ]]</f>
        <v>157</v>
      </c>
      <c r="CS373" s="892">
        <f>IF((WWWW[[#This Row],['#_Constructed/Existing protected/fenced ponds]]*250)/WWWW[[#This Row],[Total PoP ]]&gt;1,1,(WWWW[[#This Row],['#_Constructed/Existing protected/fenced ponds]]*250)/WWWW[[#This Row],[Total PoP ]])</f>
        <v>1</v>
      </c>
      <c r="CT373" s="890">
        <f>WWWW[[#This Row],[% Access to unimproved water points]]*WWWW[[#This Row],[Total PoP ]]</f>
        <v>157</v>
      </c>
      <c r="CU37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v>
      </c>
      <c r="CW373" s="890">
        <f>WWWW[[#This Row],[HRP1]]/500</f>
        <v>0.314</v>
      </c>
      <c r="CX373" s="895">
        <f>1-WWWW[[#This Row],[% Equitable and continuous access to sufficient quantity of domestic water]]</f>
        <v>0</v>
      </c>
      <c r="CY373" s="890">
        <f>WWWW[[#This Row],[%equitable and continuous access to sufficient quantity of safe drinking and domestic water''s GAP]]*WWWW[[#This Row],[Total PoP ]]</f>
        <v>0</v>
      </c>
      <c r="CZ373" s="893">
        <f>IF(WWWW[[#This Row],[Total required water points]]-WWWW[[#This Row],['#Water points coverage]]&lt;0,0,WWWW[[#This Row],[Total required water points]]-WWWW[[#This Row],['#Water points coverage]])</f>
        <v>0.68599999999999994</v>
      </c>
      <c r="DA373" s="893">
        <f>ROUND(IF(WWWW[[#This Row],[Total PoP ]]&lt;500,1,WWWW[[#This Row],[Total PoP ]]/500),0)</f>
        <v>1</v>
      </c>
      <c r="DB373" s="893">
        <f>(WWWW[[#This Row],['#_Constructed latrines_by_WASHAgencies]]+WWWW[[#This Row],['#_Non Cluster partner latrines]])-WWWW[[#This Row],['#_Non-functional latrines]]</f>
        <v>38</v>
      </c>
      <c r="DC373" s="631">
        <f>WWWW[[#This Row],[HRP2]]/WWWW[[#This Row],[Total PoP ]]</f>
        <v>1</v>
      </c>
      <c r="DD37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157</v>
      </c>
      <c r="DE37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3" s="424">
        <f>IF(WWWW[[#This Row],['# of functional latrines in THF supported by WASH partners during the reporting period2]]="",0,WWWW[[#This Row],['# of functional latrines in THF supported by WASH partners during the reporting period2]]*50)</f>
        <v>0</v>
      </c>
      <c r="DH373" s="893">
        <f>ROUND(IF(WWWW[[#This Row],[Location Type 1]]="camp",WWWW[[#This Row],[Total PoP ]]/20,IF(WWWW[[#This Row],[Location Type 1]]="Temporary Location",WWWW[[#This Row],[Total PoP ]]/50,(WWWW[[#This Row],[Total PoP ]]/6))),0)</f>
        <v>8</v>
      </c>
      <c r="DI373" s="893">
        <f>IF(WWWW[[#This Row],[Total required Latrines]]-(WWWW[[#This Row],['#_Constructed latrines_by_WASHAgencies]]+WWWW[[#This Row],['#_Non Cluster partner latrines]])&lt;0,0,WWWW[[#This Row],[Total required Latrines]]-(WWWW[[#This Row],['#_Constructed latrines_by_WASHAgencies]]+WWWW[[#This Row],['#_Non Cluster partner latrines]]))</f>
        <v>0</v>
      </c>
      <c r="DJ373" s="895">
        <f>1-WWWW[[#This Row],[% people access to functioning Latrine]]</f>
        <v>0</v>
      </c>
      <c r="DK373" s="894">
        <f>IF(OR(WWWW[[#This Row],['#_Non-functional latrines]]="",WWWW[[#This Row],['#_Non-functional latrines]]=0),0,WWWW[[#This Row],['#_Non-functional latrines]]/(WWWW[[#This Row],['#_Constructed latrines_by_WASHAgencies]]+WWWW[[#This Row],['#_Non Cluster partner latrines]]))</f>
        <v>0</v>
      </c>
      <c r="DL373" s="890">
        <f>IF(500*(WWWW[[#This Row],['#_male hygiene promoters]]+WWWW[[#This Row],['#_female hygiene promoters]])&gt;WWWW[[#This Row],[Total PoP ]],WWWW[[#This Row],[Total PoP ]],500*(WWWW[[#This Row],['#_male hygiene promoters]]+WWWW[[#This Row],['#_female hygiene promoters]]))</f>
        <v>157</v>
      </c>
      <c r="DM37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3" s="893">
        <f>IF(WWWW[[#This Row],['# People with access to soap]]&gt;WWWW[[#This Row],['# People with access to Sanity Pads]],WWWW[[#This Row],['# People with access to soap]],WWWW[[#This Row],['# People with access to Sanity Pads]])</f>
        <v>0</v>
      </c>
      <c r="DP373" s="893">
        <f>IF(WWWW[[#This Row],['# people reached by regular dedicated hygiene promotion_5]]&gt;WWWW[[#This Row],['# People received regular supply of hygiene items_6]],WWWW[[#This Row],['# people reached by regular dedicated hygiene promotion_5]],WWWW[[#This Row],['# People received regular supply of hygiene items_6]])</f>
        <v>157</v>
      </c>
      <c r="DQ373" s="895">
        <f>IF(WWWW[[#This Row],[HRP3]]/WWWW[[#This Row],[Total PoP ]]&gt;1,1,WWWW[[#This Row],[HRP3]]/WWWW[[#This Row],[Total PoP ]])</f>
        <v>1</v>
      </c>
      <c r="DR373" s="894">
        <f>1-WWWW[[#This Row],[Hygiene Coverage%]]</f>
        <v>0</v>
      </c>
      <c r="DS373" s="892">
        <f>WWWW[[#This Row],['# people reached by regular dedicated hygiene promotion_5]]/WWWW[[#This Row],[Total PoP ]]</f>
        <v>1</v>
      </c>
      <c r="DT37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3" s="893">
        <f>WWWW[[#This Row],['#_Constructed/Existing hand washing stations]]-WWWW[[#This Row],['#_Non-Functional_hand_washing_stations]]</f>
        <v>4</v>
      </c>
      <c r="DW373" s="890">
        <f>IF(WWWW[[#This Row],['# Functional hand washing stations during reporting period]]*20&gt;WWWW[[#This Row],[Total HH]],WWWW[[#This Row],[Total HH]],WWWW[[#This Row],['# Functional hand washing stations during reporting period]]*20)</f>
        <v>30</v>
      </c>
      <c r="DX373" s="890">
        <f>IF(WWWW[[#This Row],[Is sufficient soap available for TLS? (Yes/No)]]="yes",WWWW[[#This Row],['#_Constructed/Existing hand washing stations at TLS/CFS/THF]],0)</f>
        <v>4</v>
      </c>
      <c r="DY373" s="428">
        <f>IF(WWWW[[#This Row],['# Functional hand washing stations during reporting period]]*100&gt;WWWW[[#This Row],[Total PoP ]],WWWW[[#This Row],[Total PoP ]],WWWW[[#This Row],['# Functional hand washing stations during reporting period]]*100)</f>
        <v>157</v>
      </c>
      <c r="DZ373" s="428" t="str">
        <f>IF(OR(WWWW[[#This Row],['#_students at TLS_CFS]]="",WWWW[[#This Row],['#_students at TLS_CFS]]=0),"No","Yes")</f>
        <v>No</v>
      </c>
      <c r="EA37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3" s="886" t="str">
        <f>VLOOKUP(WWWW[[#This Row],[Site Name]],SiteDB6[[Site Name]:[CCCM Management]],6,FALSE)</f>
        <v>Yes</v>
      </c>
      <c r="EF373" s="886" t="str">
        <f>VLOOKUP(WWWW[[#This Row],[Site Name]],SiteDB6[[Site Name]:[CCCM Focal Agency]],7,FALSE)</f>
        <v>KMSS-LSO</v>
      </c>
      <c r="EG373" s="886" t="str">
        <f>VLOOKUP(WWWW[[#This Row],[Site Name]],SiteDB6[[Site Name]:[Location Type 1]],9,FALSE)</f>
        <v>Camp</v>
      </c>
      <c r="EH373" s="886" t="str">
        <f>VLOOKUP(WWWW[[#This Row],[Site Name]],SiteDB6[[Site Name]:[Type of Accommodation]],10,FALSE)</f>
        <v>Camp</v>
      </c>
      <c r="EI373" s="886" t="str">
        <f>VLOOKUP(WWWW[[#This Row],[Site Name]],SiteDB6[[Site Name]:[Ethnic or GCA/NGCA]],11,FALSE)</f>
        <v>GCA</v>
      </c>
      <c r="EJ373" s="886">
        <f>VLOOKUP(WWWW[[#This Row],[Site Name]],SiteDB6[[Site Name]:[Lat]],12,FALSE)</f>
        <v>23.24661</v>
      </c>
      <c r="EK373" s="886">
        <f>VLOOKUP(WWWW[[#This Row],[Site Name]],SiteDB6[[Site Name]:[Long]],13,FALSE)</f>
        <v>97.116680000000002</v>
      </c>
      <c r="EL373" s="886" t="str">
        <f>VLOOKUP(WWWW[[#This Row],[Site Name]],SiteDB6[[Site Name]:[Pcode]],3,FALSE)</f>
        <v>MMR015CMP027</v>
      </c>
      <c r="EM373" s="891" t="str">
        <f t="shared" si="5"/>
        <v>Covered</v>
      </c>
      <c r="EN373" s="891"/>
      <c r="EO373" s="886">
        <f>VLOOKUP(WWWW[[#This Row],[Site Name]],SiteDB6[[Site Name]:[Pop
(Kachin/Shan-CCCM as of July 2021)]],16,FALSE)</f>
        <v>30</v>
      </c>
      <c r="EP373" s="886">
        <f>VLOOKUP(WWWW[[#This Row],[Site Name]],SiteDB6[[Site Name]:[Pop
(Kachin/Shan-CCCM as of July 2021)]],17,FALSE)</f>
        <v>159</v>
      </c>
    </row>
    <row r="374" spans="1:146" hidden="1">
      <c r="A374" s="884" t="s">
        <v>2764</v>
      </c>
      <c r="B374" s="884" t="s">
        <v>192</v>
      </c>
      <c r="C374" s="885" t="s">
        <v>192</v>
      </c>
      <c r="D374" s="369" t="s">
        <v>241</v>
      </c>
      <c r="E374" s="885" t="s">
        <v>515</v>
      </c>
      <c r="F374" s="885" t="s">
        <v>525</v>
      </c>
      <c r="G374" s="591" t="str">
        <f>VLOOKUP(WWWW[[#This Row],[Site Name]],SiteDB6[[Site Name]:[Location Type]],8,FALSE)</f>
        <v>Camp</v>
      </c>
      <c r="H374" s="885" t="s">
        <v>2694</v>
      </c>
      <c r="I374" s="448">
        <v>19</v>
      </c>
      <c r="J374" s="448">
        <v>60</v>
      </c>
      <c r="K374" s="992">
        <v>44511</v>
      </c>
      <c r="L374" s="993">
        <v>44875</v>
      </c>
      <c r="M374" s="887"/>
      <c r="N374" s="887"/>
      <c r="O374" s="887"/>
      <c r="P374" s="887"/>
      <c r="Q374" s="890"/>
      <c r="R374" s="887"/>
      <c r="S374" s="887"/>
      <c r="T374" s="448"/>
      <c r="U374" s="887"/>
      <c r="V374" s="887"/>
      <c r="W374" s="887"/>
      <c r="X374" s="887"/>
      <c r="Y374" s="887"/>
      <c r="Z374" s="887"/>
      <c r="AA374" s="887"/>
      <c r="AB374" s="887"/>
      <c r="AC374" s="887"/>
      <c r="AD374" s="887"/>
      <c r="AE374" s="887"/>
      <c r="AF374" s="887"/>
      <c r="AG374" s="887"/>
      <c r="AH374" s="887"/>
      <c r="AI374" s="887"/>
      <c r="AJ374" s="887"/>
      <c r="AK374" s="887"/>
      <c r="AL374" s="887"/>
      <c r="AM374" s="887"/>
      <c r="AN374" s="887"/>
      <c r="AO374" s="448"/>
      <c r="AP374" s="891"/>
      <c r="AQ374" s="887"/>
      <c r="AR374" s="887"/>
      <c r="AS374" s="892"/>
      <c r="AT374" s="887"/>
      <c r="AU374" s="887"/>
      <c r="AV374" s="887"/>
      <c r="AW374" s="887"/>
      <c r="AX374" s="887"/>
      <c r="AY374" s="886" t="s">
        <v>140</v>
      </c>
      <c r="AZ374" s="891" t="s">
        <v>140</v>
      </c>
      <c r="BA374" s="887"/>
      <c r="BB374" s="887"/>
      <c r="BC374" s="887"/>
      <c r="BD374" s="448"/>
      <c r="BE374" s="448"/>
      <c r="BF374" s="886"/>
      <c r="BG374" s="887">
        <v>8</v>
      </c>
      <c r="BH374" s="887"/>
      <c r="BI374" s="887"/>
      <c r="BJ374" s="887">
        <v>3</v>
      </c>
      <c r="BK374" s="887"/>
      <c r="BL374" s="887"/>
      <c r="BM374" s="887"/>
      <c r="BN374" s="887"/>
      <c r="BO374" s="887"/>
      <c r="BP374" s="425" t="s">
        <v>41</v>
      </c>
      <c r="BQ374" s="893"/>
      <c r="BR374" s="892"/>
      <c r="BS374" s="886"/>
      <c r="BT374" s="423"/>
      <c r="BU374" s="423"/>
      <c r="BV374" s="425"/>
      <c r="BW374" s="423"/>
      <c r="BX374" s="448"/>
      <c r="BY374" s="448"/>
      <c r="BZ374" s="448"/>
      <c r="CA374" s="448"/>
      <c r="CB374" s="448"/>
      <c r="CC374" s="777"/>
      <c r="CD374" s="448"/>
      <c r="CE374" s="894" t="str">
        <f>IFERROR(WWWW[[#This Row],['#_Water sources passed]]/WWWW[[#This Row],['#_Water sources tested for fecal coliform ]],"no test")</f>
        <v>no test</v>
      </c>
      <c r="CF374" s="892" t="str">
        <f>IFERROR(WWWW[[#This Row],['#_Household passed]]/WWWW[[#This Row],['#_Household water samples tested for fecal coliform]],"no test")</f>
        <v>no test</v>
      </c>
      <c r="CG374" s="893" t="str">
        <f>IF(AND(WWWW[[#This Row],[% of water sources passed]]="no test",WWWW[[#This Row],[% Household passed]]="no test"),"No Test","Tested")</f>
        <v>No Test</v>
      </c>
      <c r="CH374" s="893">
        <f>WWWW[[#This Row],['#_Constructed/existing protected hand dug well]]-WWWW[[#This Row],['#_Non-functional protected hand dug well]]</f>
        <v>0</v>
      </c>
      <c r="CI374" s="893">
        <f>(WWWW[[#This Row],['#_Constructed/Existing tube wells/boreholes/handpumps_WASH_agency]]+WWWW[[#This Row],['#_Non-Cluster partner water tube-wells/boreholes/handpumps]])-WWWW[[#This Row],['#_Non-functional tube wells/boreholes/handpumps]]</f>
        <v>0</v>
      </c>
      <c r="CJ374" s="893">
        <f>WWWW[[#This Row],['#_Constructed/Existingwater storage tank with gravity fed reticulation system]]-WWWW[[#This Row],['#_Non-functional storage tank gravity fed reticulation system]]</f>
        <v>0</v>
      </c>
      <c r="CK374" s="893">
        <f>(WWWW[[#This Row],['#_Water_Liters_supplied_by_Water boating or water trucking]]/90)/15</f>
        <v>0</v>
      </c>
      <c r="CL374" s="893">
        <f>WWWW[[#This Row],['#_Water_Liters_from_Constructed/Existing water distribution system from river or natural spring]]/90/15</f>
        <v>0</v>
      </c>
      <c r="CM374" s="424">
        <f>IF(WWWW[[#This Row],['#_of water points in TLS/CFS]]*500&gt;WWWW[[#This Row],[Total PoP ]],WWWW[[#This Row],[Total PoP ]],WWWW[[#This Row],['#_of water points in TLS/CFS]]*500)</f>
        <v>0</v>
      </c>
      <c r="CN374" s="424">
        <f>IF(WWWW[[#This Row],['#_of water points in THF]]*500&gt;WWWW[[#This Row],[Total PoP ]],WWWW[[#This Row],[Total PoP ]],WWWW[[#This Row],['#_of water points in THF]]*500)</f>
        <v>0</v>
      </c>
      <c r="CO37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7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74" s="892">
        <f>IF(WWWW[[#This Row],[Location Type 1]]="Village",WWWW[[#This Row],[Access to safe drinking water for Village]],WWWW[[#This Row],[Access to safe drinking water for Camp]])</f>
        <v>0</v>
      </c>
      <c r="CR374" s="890">
        <f>WWWW[[#This Row],[%Equitable and continuous access to sufficient quantity of safe drinking water]]*WWWW[[#This Row],[Total PoP ]]</f>
        <v>0</v>
      </c>
      <c r="CS374" s="892">
        <f>IF((WWWW[[#This Row],['#_Constructed/Existing protected/fenced ponds]]*250)/WWWW[[#This Row],[Total PoP ]]&gt;1,1,(WWWW[[#This Row],['#_Constructed/Existing protected/fenced ponds]]*250)/WWWW[[#This Row],[Total PoP ]])</f>
        <v>0</v>
      </c>
      <c r="CT374" s="890">
        <f>WWWW[[#This Row],[% Access to unimproved water points]]*WWWW[[#This Row],[Total PoP ]]</f>
        <v>0</v>
      </c>
      <c r="CU37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7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74" s="890">
        <f>WWWW[[#This Row],[HRP1]]/500</f>
        <v>0</v>
      </c>
      <c r="CX374" s="895">
        <f>1-WWWW[[#This Row],[% Equitable and continuous access to sufficient quantity of domestic water]]</f>
        <v>1</v>
      </c>
      <c r="CY374" s="890">
        <f>WWWW[[#This Row],[%equitable and continuous access to sufficient quantity of safe drinking and domestic water''s GAP]]*WWWW[[#This Row],[Total PoP ]]</f>
        <v>60</v>
      </c>
      <c r="CZ374" s="893">
        <f>IF(WWWW[[#This Row],[Total required water points]]-WWWW[[#This Row],['#Water points coverage]]&lt;0,0,WWWW[[#This Row],[Total required water points]]-WWWW[[#This Row],['#Water points coverage]])</f>
        <v>1</v>
      </c>
      <c r="DA374" s="893">
        <f>ROUND(IF(WWWW[[#This Row],[Total PoP ]]&lt;500,1,WWWW[[#This Row],[Total PoP ]]/500),0)</f>
        <v>1</v>
      </c>
      <c r="DB374" s="893">
        <f>(WWWW[[#This Row],['#_Constructed latrines_by_WASHAgencies]]+WWWW[[#This Row],['#_Non Cluster partner latrines]])-WWWW[[#This Row],['#_Non-functional latrines]]</f>
        <v>0</v>
      </c>
      <c r="DC374" s="631">
        <f>WWWW[[#This Row],[HRP2]]/WWWW[[#This Row],[Total PoP ]]</f>
        <v>0</v>
      </c>
      <c r="DD37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7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4" s="424">
        <f>IF(WWWW[[#This Row],['# of functional latrines in THF supported by WASH partners during the reporting period2]]="",0,WWWW[[#This Row],['# of functional latrines in THF supported by WASH partners during the reporting period2]]*50)</f>
        <v>0</v>
      </c>
      <c r="DH374" s="893">
        <f>ROUND(IF(WWWW[[#This Row],[Location Type 1]]="camp",WWWW[[#This Row],[Total PoP ]]/20,IF(WWWW[[#This Row],[Location Type 1]]="Temporary Location",WWWW[[#This Row],[Total PoP ]]/50,(WWWW[[#This Row],[Total PoP ]]/6))),0)</f>
        <v>3</v>
      </c>
      <c r="DI374" s="893">
        <f>IF(WWWW[[#This Row],[Total required Latrines]]-(WWWW[[#This Row],['#_Constructed latrines_by_WASHAgencies]]+WWWW[[#This Row],['#_Non Cluster partner latrines]])&lt;0,0,WWWW[[#This Row],[Total required Latrines]]-(WWWW[[#This Row],['#_Constructed latrines_by_WASHAgencies]]+WWWW[[#This Row],['#_Non Cluster partner latrines]]))</f>
        <v>3</v>
      </c>
      <c r="DJ374" s="895">
        <f>1-WWWW[[#This Row],[% people access to functioning Latrine]]</f>
        <v>1</v>
      </c>
      <c r="DK374" s="894">
        <f>IF(OR(WWWW[[#This Row],['#_Non-functional latrines]]="",WWWW[[#This Row],['#_Non-functional latrines]]=0),0,WWWW[[#This Row],['#_Non-functional latrines]]/(WWWW[[#This Row],['#_Constructed latrines_by_WASHAgencies]]+WWWW[[#This Row],['#_Non Cluster partner latrines]]))</f>
        <v>0</v>
      </c>
      <c r="DL374" s="890">
        <f>IF(500*(WWWW[[#This Row],['#_male hygiene promoters]]+WWWW[[#This Row],['#_female hygiene promoters]])&gt;WWWW[[#This Row],[Total PoP ]],WWWW[[#This Row],[Total PoP ]],500*(WWWW[[#This Row],['#_male hygiene promoters]]+WWWW[[#This Row],['#_female hygiene promoters]]))</f>
        <v>0</v>
      </c>
      <c r="DM37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4" s="893">
        <f>IF(WWWW[[#This Row],['# People with access to soap]]&gt;WWWW[[#This Row],['# People with access to Sanity Pads]],WWWW[[#This Row],['# People with access to soap]],WWWW[[#This Row],['# People with access to Sanity Pads]])</f>
        <v>0</v>
      </c>
      <c r="DP374"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74" s="895">
        <f>IF(WWWW[[#This Row],[HRP3]]/WWWW[[#This Row],[Total PoP ]]&gt;1,1,WWWW[[#This Row],[HRP3]]/WWWW[[#This Row],[Total PoP ]])</f>
        <v>0</v>
      </c>
      <c r="DR374" s="894">
        <f>1-WWWW[[#This Row],[Hygiene Coverage%]]</f>
        <v>1</v>
      </c>
      <c r="DS374" s="892">
        <f>WWWW[[#This Row],['# people reached by regular dedicated hygiene promotion_5]]/WWWW[[#This Row],[Total PoP ]]</f>
        <v>0</v>
      </c>
      <c r="DT37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4" s="893">
        <f>WWWW[[#This Row],['#_Constructed/Existing hand washing stations]]-WWWW[[#This Row],['#_Non-Functional_hand_washing_stations]]</f>
        <v>8</v>
      </c>
      <c r="DW374" s="890">
        <f>IF(WWWW[[#This Row],['# Functional hand washing stations during reporting period]]*20&gt;WWWW[[#This Row],[Total HH]],WWWW[[#This Row],[Total HH]],WWWW[[#This Row],['# Functional hand washing stations during reporting period]]*20)</f>
        <v>19</v>
      </c>
      <c r="DX374" s="890">
        <f>IF(WWWW[[#This Row],[Is sufficient soap available for TLS? (Yes/No)]]="yes",WWWW[[#This Row],['#_Constructed/Existing hand washing stations at TLS/CFS/THF]],0)</f>
        <v>0</v>
      </c>
      <c r="DY374" s="428">
        <f>IF(WWWW[[#This Row],['# Functional hand washing stations during reporting period]]*100&gt;WWWW[[#This Row],[Total PoP ]],WWWW[[#This Row],[Total PoP ]],WWWW[[#This Row],['# Functional hand washing stations during reporting period]]*100)</f>
        <v>60</v>
      </c>
      <c r="DZ374" s="428" t="str">
        <f>IF(OR(WWWW[[#This Row],['#_students at TLS_CFS]]="",WWWW[[#This Row],['#_students at TLS_CFS]]=0),"No","Yes")</f>
        <v>No</v>
      </c>
      <c r="EA37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4" s="886">
        <f>VLOOKUP(WWWW[[#This Row],[Site Name]],SiteDB6[[Site Name]:[CCCM Management]],6,FALSE)</f>
        <v>0</v>
      </c>
      <c r="EF374" s="886">
        <f>VLOOKUP(WWWW[[#This Row],[Site Name]],SiteDB6[[Site Name]:[CCCM Focal Agency]],7,FALSE)</f>
        <v>0</v>
      </c>
      <c r="EG374" s="886" t="str">
        <f>VLOOKUP(WWWW[[#This Row],[Site Name]],SiteDB6[[Site Name]:[Location Type 1]],9,FALSE)</f>
        <v>Camp</v>
      </c>
      <c r="EH374" s="886" t="str">
        <f>VLOOKUP(WWWW[[#This Row],[Site Name]],SiteDB6[[Site Name]:[Type of Accommodation]],10,FALSE)</f>
        <v>IDPs in host</v>
      </c>
      <c r="EI374" s="886" t="str">
        <f>VLOOKUP(WWWW[[#This Row],[Site Name]],SiteDB6[[Site Name]:[Ethnic or GCA/NGCA]],11,FALSE)</f>
        <v>GCA</v>
      </c>
      <c r="EJ374" s="886">
        <f>VLOOKUP(WWWW[[#This Row],[Site Name]],SiteDB6[[Site Name]:[Lat]],12,FALSE)</f>
        <v>23.963060379028299</v>
      </c>
      <c r="EK374" s="886">
        <f>VLOOKUP(WWWW[[#This Row],[Site Name]],SiteDB6[[Site Name]:[Long]],13,FALSE)</f>
        <v>98.127189636230497</v>
      </c>
      <c r="EL374" s="886" t="str">
        <f>VLOOKUP(WWWW[[#This Row],[Site Name]],SiteDB6[[Site Name]:[Pcode]],3,FALSE)</f>
        <v>MMR015CMP076</v>
      </c>
      <c r="EM374" s="891" t="str">
        <f t="shared" si="5"/>
        <v>Covered</v>
      </c>
      <c r="EN374" s="891"/>
      <c r="EO374" s="886">
        <f>VLOOKUP(WWWW[[#This Row],[Site Name]],SiteDB6[[Site Name]:[Pop
(Kachin/Shan-CCCM as of July 2021)]],16,FALSE)</f>
        <v>19</v>
      </c>
      <c r="EP374" s="886">
        <f>VLOOKUP(WWWW[[#This Row],[Site Name]],SiteDB6[[Site Name]:[Pop
(Kachin/Shan-CCCM as of July 2021)]],17,FALSE)</f>
        <v>60</v>
      </c>
    </row>
    <row r="375" spans="1:146" hidden="1">
      <c r="A375" s="884" t="s">
        <v>2764</v>
      </c>
      <c r="B375" s="884" t="s">
        <v>192</v>
      </c>
      <c r="C375" s="885" t="s">
        <v>192</v>
      </c>
      <c r="D375" s="885" t="s">
        <v>2673</v>
      </c>
      <c r="E375" s="885" t="s">
        <v>515</v>
      </c>
      <c r="F375" s="885" t="s">
        <v>519</v>
      </c>
      <c r="G375" s="591" t="str">
        <f>VLOOKUP(WWWW[[#This Row],[Site Name]],SiteDB6[[Site Name]:[Location Type]],8,FALSE)</f>
        <v>Camp</v>
      </c>
      <c r="H375" s="885" t="s">
        <v>1617</v>
      </c>
      <c r="I375" s="887">
        <v>64</v>
      </c>
      <c r="J375" s="887">
        <v>251</v>
      </c>
      <c r="K375" s="888" t="s">
        <v>2767</v>
      </c>
      <c r="L375" s="889" t="s">
        <v>2768</v>
      </c>
      <c r="M375" s="887"/>
      <c r="N375" s="887">
        <v>1</v>
      </c>
      <c r="O375" s="887"/>
      <c r="P375" s="887"/>
      <c r="Q375" s="890" t="s">
        <v>41</v>
      </c>
      <c r="R375" s="887">
        <v>4</v>
      </c>
      <c r="S375" s="887">
        <v>5</v>
      </c>
      <c r="T375" s="448"/>
      <c r="U375" s="887"/>
      <c r="V375" s="887"/>
      <c r="W375" s="887"/>
      <c r="X375" s="887"/>
      <c r="Y375" s="887"/>
      <c r="Z375" s="887"/>
      <c r="AA375" s="887">
        <v>14</v>
      </c>
      <c r="AB375" s="887"/>
      <c r="AC375" s="887"/>
      <c r="AD375" s="887"/>
      <c r="AE375" s="887"/>
      <c r="AF375" s="887"/>
      <c r="AG375" s="887"/>
      <c r="AH375" s="887">
        <v>1</v>
      </c>
      <c r="AI375" s="887"/>
      <c r="AJ375" s="887"/>
      <c r="AK375" s="887"/>
      <c r="AL375" s="887"/>
      <c r="AM375" s="887">
        <v>3</v>
      </c>
      <c r="AN375" s="887"/>
      <c r="AO375" s="448"/>
      <c r="AP375" s="891"/>
      <c r="AQ375" s="887">
        <v>71</v>
      </c>
      <c r="AR375" s="887"/>
      <c r="AS375" s="892"/>
      <c r="AT375" s="887"/>
      <c r="AU375" s="887"/>
      <c r="AV375" s="887"/>
      <c r="AW375" s="887"/>
      <c r="AX375" s="887"/>
      <c r="AY375" s="886" t="s">
        <v>136</v>
      </c>
      <c r="AZ375" s="891" t="s">
        <v>904</v>
      </c>
      <c r="BA375" s="887"/>
      <c r="BB375" s="887"/>
      <c r="BC375" s="887">
        <v>4</v>
      </c>
      <c r="BD375" s="448"/>
      <c r="BE375" s="448"/>
      <c r="BF375" s="886"/>
      <c r="BG375" s="448">
        <v>5</v>
      </c>
      <c r="BH375" s="887"/>
      <c r="BI375" s="887"/>
      <c r="BJ375" s="887">
        <v>3</v>
      </c>
      <c r="BK375" s="887"/>
      <c r="BL375" s="887">
        <v>1</v>
      </c>
      <c r="BM375" s="887"/>
      <c r="BN375" s="887"/>
      <c r="BO375" s="887"/>
      <c r="BP375" s="425" t="s">
        <v>41</v>
      </c>
      <c r="BQ375" s="893"/>
      <c r="BR375" s="423">
        <v>1</v>
      </c>
      <c r="BS375" s="886"/>
      <c r="BT375" s="423"/>
      <c r="BU375" s="423"/>
      <c r="BV375" s="425"/>
      <c r="BW375" s="423"/>
      <c r="BX375" s="448"/>
      <c r="BY375" s="448"/>
      <c r="BZ375" s="448"/>
      <c r="CA375" s="448"/>
      <c r="CB375" s="448"/>
      <c r="CC375" s="777"/>
      <c r="CD375" s="448"/>
      <c r="CE375" s="894" t="str">
        <f>IFERROR(WWWW[[#This Row],['#_Water sources passed]]/WWWW[[#This Row],['#_Water sources tested for fecal coliform ]],"no test")</f>
        <v>no test</v>
      </c>
      <c r="CF375" s="892" t="str">
        <f>IFERROR(WWWW[[#This Row],['#_Household passed]]/WWWW[[#This Row],['#_Household water samples tested for fecal coliform]],"no test")</f>
        <v>no test</v>
      </c>
      <c r="CG375" s="893" t="str">
        <f>IF(AND(WWWW[[#This Row],[% of water sources passed]]="no test",WWWW[[#This Row],[% Household passed]]="no test"),"No Test","Tested")</f>
        <v>No Test</v>
      </c>
      <c r="CH375" s="893">
        <f>WWWW[[#This Row],['#_Constructed/existing protected hand dug well]]-WWWW[[#This Row],['#_Non-functional protected hand dug well]]</f>
        <v>0</v>
      </c>
      <c r="CI375" s="893">
        <f>(WWWW[[#This Row],['#_Constructed/Existing tube wells/boreholes/handpumps_WASH_agency]]+WWWW[[#This Row],['#_Non-Cluster partner water tube-wells/boreholes/handpumps]])-WWWW[[#This Row],['#_Non-functional tube wells/boreholes/handpumps]]</f>
        <v>0</v>
      </c>
      <c r="CJ375" s="893">
        <f>WWWW[[#This Row],['#_Constructed/Existingwater storage tank with gravity fed reticulation system]]-WWWW[[#This Row],['#_Non-functional storage tank gravity fed reticulation system]]</f>
        <v>14</v>
      </c>
      <c r="CK375" s="893">
        <f>(WWWW[[#This Row],['#_Water_Liters_supplied_by_Water boating or water trucking]]/90)/15</f>
        <v>0</v>
      </c>
      <c r="CL375" s="893">
        <f>WWWW[[#This Row],['#_Water_Liters_from_Constructed/Existing water distribution system from river or natural spring]]/90/15</f>
        <v>0</v>
      </c>
      <c r="CM375" s="424">
        <f>IF(WWWW[[#This Row],['#_of water points in TLS/CFS]]*500&gt;WWWW[[#This Row],[Total PoP ]],WWWW[[#This Row],[Total PoP ]],WWWW[[#This Row],['#_of water points in TLS/CFS]]*500)</f>
        <v>0</v>
      </c>
      <c r="CN375" s="424">
        <f>IF(WWWW[[#This Row],['#_of water points in THF]]*500&gt;WWWW[[#This Row],[Total PoP ]],WWWW[[#This Row],[Total PoP ]],WWWW[[#This Row],['#_of water points in THF]]*500)</f>
        <v>0</v>
      </c>
      <c r="CO37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5" s="892">
        <f>IF(WWWW[[#This Row],[Location Type 1]]="Village",WWWW[[#This Row],[Access to safe drinking water for Village]],WWWW[[#This Row],[Access to safe drinking water for Camp]])</f>
        <v>1</v>
      </c>
      <c r="CR375" s="890">
        <f>WWWW[[#This Row],[%Equitable and continuous access to sufficient quantity of safe drinking water]]*WWWW[[#This Row],[Total PoP ]]</f>
        <v>251</v>
      </c>
      <c r="CS375" s="892">
        <f>IF((WWWW[[#This Row],['#_Constructed/Existing protected/fenced ponds]]*250)/WWWW[[#This Row],[Total PoP ]]&gt;1,1,(WWWW[[#This Row],['#_Constructed/Existing protected/fenced ponds]]*250)/WWWW[[#This Row],[Total PoP ]])</f>
        <v>0</v>
      </c>
      <c r="CT375" s="890">
        <f>WWWW[[#This Row],[% Access to unimproved water points]]*WWWW[[#This Row],[Total PoP ]]</f>
        <v>0</v>
      </c>
      <c r="CU37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CW375" s="890">
        <f>WWWW[[#This Row],[HRP1]]/500</f>
        <v>0.502</v>
      </c>
      <c r="CX375" s="895">
        <f>1-WWWW[[#This Row],[% Equitable and continuous access to sufficient quantity of domestic water]]</f>
        <v>0</v>
      </c>
      <c r="CY375" s="890">
        <f>WWWW[[#This Row],[%equitable and continuous access to sufficient quantity of safe drinking and domestic water''s GAP]]*WWWW[[#This Row],[Total PoP ]]</f>
        <v>0</v>
      </c>
      <c r="CZ375" s="893">
        <f>IF(WWWW[[#This Row],[Total required water points]]-WWWW[[#This Row],['#Water points coverage]]&lt;0,0,WWWW[[#This Row],[Total required water points]]-WWWW[[#This Row],['#Water points coverage]])</f>
        <v>0.498</v>
      </c>
      <c r="DA375" s="893">
        <f>ROUND(IF(WWWW[[#This Row],[Total PoP ]]&lt;500,1,WWWW[[#This Row],[Total PoP ]]/500),0)</f>
        <v>1</v>
      </c>
      <c r="DB375" s="893">
        <f>(WWWW[[#This Row],['#_Constructed latrines_by_WASHAgencies]]+WWWW[[#This Row],['#_Non Cluster partner latrines]])-WWWW[[#This Row],['#_Non-functional latrines]]</f>
        <v>71</v>
      </c>
      <c r="DC375" s="631">
        <f>WWWW[[#This Row],[HRP2]]/WWWW[[#This Row],[Total PoP ]]</f>
        <v>1</v>
      </c>
      <c r="DD37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251</v>
      </c>
      <c r="DE37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5" s="424">
        <f>IF(WWWW[[#This Row],['# of functional latrines in THF supported by WASH partners during the reporting period2]]="",0,WWWW[[#This Row],['# of functional latrines in THF supported by WASH partners during the reporting period2]]*50)</f>
        <v>0</v>
      </c>
      <c r="DH375" s="893">
        <f>ROUND(IF(WWWW[[#This Row],[Location Type 1]]="camp",WWWW[[#This Row],[Total PoP ]]/20,IF(WWWW[[#This Row],[Location Type 1]]="Temporary Location",WWWW[[#This Row],[Total PoP ]]/50,(WWWW[[#This Row],[Total PoP ]]/6))),0)</f>
        <v>42</v>
      </c>
      <c r="DI375" s="893">
        <f>IF(WWWW[[#This Row],[Total required Latrines]]-(WWWW[[#This Row],['#_Constructed latrines_by_WASHAgencies]]+WWWW[[#This Row],['#_Non Cluster partner latrines]])&lt;0,0,WWWW[[#This Row],[Total required Latrines]]-(WWWW[[#This Row],['#_Constructed latrines_by_WASHAgencies]]+WWWW[[#This Row],['#_Non Cluster partner latrines]]))</f>
        <v>0</v>
      </c>
      <c r="DJ375" s="895">
        <f>1-WWWW[[#This Row],[% people access to functioning Latrine]]</f>
        <v>0</v>
      </c>
      <c r="DK375" s="894">
        <f>IF(OR(WWWW[[#This Row],['#_Non-functional latrines]]="",WWWW[[#This Row],['#_Non-functional latrines]]=0),0,WWWW[[#This Row],['#_Non-functional latrines]]/(WWWW[[#This Row],['#_Constructed latrines_by_WASHAgencies]]+WWWW[[#This Row],['#_Non Cluster partner latrines]]))</f>
        <v>0</v>
      </c>
      <c r="DL375" s="890">
        <f>IF(500*(WWWW[[#This Row],['#_male hygiene promoters]]+WWWW[[#This Row],['#_female hygiene promoters]])&gt;WWWW[[#This Row],[Total PoP ]],WWWW[[#This Row],[Total PoP ]],500*(WWWW[[#This Row],['#_male hygiene promoters]]+WWWW[[#This Row],['#_female hygiene promoters]]))</f>
        <v>251</v>
      </c>
      <c r="DM37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5" s="893">
        <f>IF(WWWW[[#This Row],['# People with access to soap]]&gt;WWWW[[#This Row],['# People with access to Sanity Pads]],WWWW[[#This Row],['# People with access to soap]],WWWW[[#This Row],['# People with access to Sanity Pads]])</f>
        <v>0</v>
      </c>
      <c r="DP375" s="893">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Q375" s="895">
        <f>IF(WWWW[[#This Row],[HRP3]]/WWWW[[#This Row],[Total PoP ]]&gt;1,1,WWWW[[#This Row],[HRP3]]/WWWW[[#This Row],[Total PoP ]])</f>
        <v>1</v>
      </c>
      <c r="DR375" s="894">
        <f>1-WWWW[[#This Row],[Hygiene Coverage%]]</f>
        <v>0</v>
      </c>
      <c r="DS375" s="892">
        <f>WWWW[[#This Row],['# people reached by regular dedicated hygiene promotion_5]]/WWWW[[#This Row],[Total PoP ]]</f>
        <v>1</v>
      </c>
      <c r="DT37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5" s="893">
        <f>WWWW[[#This Row],['#_Constructed/Existing hand washing stations]]-WWWW[[#This Row],['#_Non-Functional_hand_washing_stations]]</f>
        <v>5</v>
      </c>
      <c r="DW375" s="890">
        <f>IF(WWWW[[#This Row],['# Functional hand washing stations during reporting period]]*20&gt;WWWW[[#This Row],[Total HH]],WWWW[[#This Row],[Total HH]],WWWW[[#This Row],['# Functional hand washing stations during reporting period]]*20)</f>
        <v>64</v>
      </c>
      <c r="DX375" s="890">
        <f>IF(WWWW[[#This Row],[Is sufficient soap available for TLS? (Yes/No)]]="yes",WWWW[[#This Row],['#_Constructed/Existing hand washing stations at TLS/CFS/THF]],0)</f>
        <v>3</v>
      </c>
      <c r="DY375" s="428">
        <f>IF(WWWW[[#This Row],['# Functional hand washing stations during reporting period]]*100&gt;WWWW[[#This Row],[Total PoP ]],WWWW[[#This Row],[Total PoP ]],WWWW[[#This Row],['# Functional hand washing stations during reporting period]]*100)</f>
        <v>251</v>
      </c>
      <c r="DZ375" s="428" t="str">
        <f>IF(OR(WWWW[[#This Row],['#_students at TLS_CFS]]="",WWWW[[#This Row],['#_students at TLS_CFS]]=0),"No","Yes")</f>
        <v>No</v>
      </c>
      <c r="EA37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5" s="886" t="str">
        <f>VLOOKUP(WWWW[[#This Row],[Site Name]],SiteDB6[[Site Name]:[CCCM Management]],6,FALSE)</f>
        <v>Yes</v>
      </c>
      <c r="EF375" s="886" t="str">
        <f>VLOOKUP(WWWW[[#This Row],[Site Name]],SiteDB6[[Site Name]:[CCCM Focal Agency]],7,FALSE)</f>
        <v>KMSS-LSO</v>
      </c>
      <c r="EG375" s="886" t="str">
        <f>VLOOKUP(WWWW[[#This Row],[Site Name]],SiteDB6[[Site Name]:[Location Type 1]],9,FALSE)</f>
        <v>Village Type Camp</v>
      </c>
      <c r="EH375" s="886" t="str">
        <f>VLOOKUP(WWWW[[#This Row],[Site Name]],SiteDB6[[Site Name]:[Type of Accommodation]],10,FALSE)</f>
        <v>Camp</v>
      </c>
      <c r="EI375" s="886" t="str">
        <f>VLOOKUP(WWWW[[#This Row],[Site Name]],SiteDB6[[Site Name]:[Ethnic or GCA/NGCA]],11,FALSE)</f>
        <v>GCA</v>
      </c>
      <c r="EJ375" s="886">
        <f>VLOOKUP(WWWW[[#This Row],[Site Name]],SiteDB6[[Site Name]:[Lat]],12,FALSE)</f>
        <v>23.588920000000002</v>
      </c>
      <c r="EK375" s="886">
        <f>VLOOKUP(WWWW[[#This Row],[Site Name]],SiteDB6[[Site Name]:[Long]],13,FALSE)</f>
        <v>97.793019999999999</v>
      </c>
      <c r="EL375" s="886" t="str">
        <f>VLOOKUP(WWWW[[#This Row],[Site Name]],SiteDB6[[Site Name]:[Pcode]],3,FALSE)</f>
        <v>MMR015CMP018</v>
      </c>
      <c r="EM375" s="891" t="str">
        <f t="shared" si="5"/>
        <v>Covered</v>
      </c>
      <c r="EN375" s="891"/>
      <c r="EO375" s="886">
        <f>VLOOKUP(WWWW[[#This Row],[Site Name]],SiteDB6[[Site Name]:[Pop
(Kachin/Shan-CCCM as of July 2021)]],16,FALSE)</f>
        <v>66</v>
      </c>
      <c r="EP375" s="886">
        <f>VLOOKUP(WWWW[[#This Row],[Site Name]],SiteDB6[[Site Name]:[Pop
(Kachin/Shan-CCCM as of July 2021)]],17,FALSE)</f>
        <v>248</v>
      </c>
    </row>
    <row r="376" spans="1:146" hidden="1">
      <c r="A376" s="884" t="s">
        <v>2764</v>
      </c>
      <c r="B376" s="884" t="s">
        <v>192</v>
      </c>
      <c r="C376" s="884" t="s">
        <v>192</v>
      </c>
      <c r="D376" s="885" t="s">
        <v>241</v>
      </c>
      <c r="E376" s="885" t="s">
        <v>515</v>
      </c>
      <c r="F376" s="885" t="s">
        <v>960</v>
      </c>
      <c r="G376" s="886" t="str">
        <f>VLOOKUP(WWWW[[#This Row],[Site Name]],SiteDB6[[Site Name]:[Location Type]],8,FALSE)</f>
        <v>Camp</v>
      </c>
      <c r="H376" s="885" t="s">
        <v>2983</v>
      </c>
      <c r="I376" s="887">
        <v>9</v>
      </c>
      <c r="J376" s="887">
        <v>28</v>
      </c>
      <c r="K376" s="888">
        <v>44511</v>
      </c>
      <c r="L376" s="889">
        <v>44875</v>
      </c>
      <c r="M376" s="887"/>
      <c r="N376" s="887"/>
      <c r="O376" s="887"/>
      <c r="P376" s="887"/>
      <c r="Q376" s="890"/>
      <c r="R376" s="887"/>
      <c r="S376" s="887"/>
      <c r="T376" s="448"/>
      <c r="U376" s="887"/>
      <c r="V376" s="887"/>
      <c r="W376" s="887"/>
      <c r="X376" s="887"/>
      <c r="Y376" s="887"/>
      <c r="Z376" s="887"/>
      <c r="AA376" s="887"/>
      <c r="AB376" s="887"/>
      <c r="AC376" s="887"/>
      <c r="AD376" s="887"/>
      <c r="AE376" s="887"/>
      <c r="AF376" s="887"/>
      <c r="AG376" s="887"/>
      <c r="AH376" s="887"/>
      <c r="AI376" s="887"/>
      <c r="AJ376" s="887"/>
      <c r="AK376" s="887"/>
      <c r="AL376" s="887"/>
      <c r="AM376" s="887"/>
      <c r="AN376" s="887"/>
      <c r="AO376" s="448"/>
      <c r="AP376" s="891"/>
      <c r="AQ376" s="910"/>
      <c r="AR376" s="910">
        <v>6</v>
      </c>
      <c r="AS376" s="911"/>
      <c r="AT376" s="887"/>
      <c r="AU376" s="887"/>
      <c r="AV376" s="887"/>
      <c r="AW376" s="887"/>
      <c r="AX376" s="887"/>
      <c r="AY376" s="425" t="s">
        <v>140</v>
      </c>
      <c r="AZ376" s="425" t="s">
        <v>140</v>
      </c>
      <c r="BA376" s="887"/>
      <c r="BB376" s="887"/>
      <c r="BC376" s="887"/>
      <c r="BD376" s="448"/>
      <c r="BE376" s="448"/>
      <c r="BF376" s="886"/>
      <c r="BG376" s="910"/>
      <c r="BH376" s="887"/>
      <c r="BI376" s="887"/>
      <c r="BJ376" s="887"/>
      <c r="BK376" s="887"/>
      <c r="BL376" s="887"/>
      <c r="BM376" s="887"/>
      <c r="BN376" s="887"/>
      <c r="BO376" s="887"/>
      <c r="BP376" s="425" t="s">
        <v>41</v>
      </c>
      <c r="BQ376" s="893"/>
      <c r="BR376" s="892"/>
      <c r="BS376" s="886"/>
      <c r="BT376" s="423"/>
      <c r="BU376" s="423"/>
      <c r="BV376" s="425"/>
      <c r="BW376" s="423"/>
      <c r="BX376" s="448"/>
      <c r="BY376" s="448"/>
      <c r="BZ376" s="448"/>
      <c r="CA376" s="448"/>
      <c r="CB376" s="448"/>
      <c r="CC376" s="777"/>
      <c r="CD376" s="448"/>
      <c r="CE376" s="894" t="str">
        <f>IFERROR(WWWW[[#This Row],['#_Water sources passed]]/WWWW[[#This Row],['#_Water sources tested for fecal coliform ]],"no test")</f>
        <v>no test</v>
      </c>
      <c r="CF376" s="892" t="str">
        <f>IFERROR(WWWW[[#This Row],['#_Household passed]]/WWWW[[#This Row],['#_Household water samples tested for fecal coliform]],"no test")</f>
        <v>no test</v>
      </c>
      <c r="CG376" s="893" t="str">
        <f>IF(AND(WWWW[[#This Row],[% of water sources passed]]="no test",WWWW[[#This Row],[% Household passed]]="no test"),"No Test","Tested")</f>
        <v>No Test</v>
      </c>
      <c r="CH376" s="893">
        <f>WWWW[[#This Row],['#_Constructed/existing protected hand dug well]]-WWWW[[#This Row],['#_Non-functional protected hand dug well]]</f>
        <v>0</v>
      </c>
      <c r="CI376" s="893">
        <f>(WWWW[[#This Row],['#_Constructed/Existing tube wells/boreholes/handpumps_WASH_agency]]+WWWW[[#This Row],['#_Non-Cluster partner water tube-wells/boreholes/handpumps]])-WWWW[[#This Row],['#_Non-functional tube wells/boreholes/handpumps]]</f>
        <v>0</v>
      </c>
      <c r="CJ376" s="893">
        <f>WWWW[[#This Row],['#_Constructed/Existingwater storage tank with gravity fed reticulation system]]-WWWW[[#This Row],['#_Non-functional storage tank gravity fed reticulation system]]</f>
        <v>0</v>
      </c>
      <c r="CK376" s="893">
        <f>(WWWW[[#This Row],['#_Water_Liters_supplied_by_Water boating or water trucking]]/90)/15</f>
        <v>0</v>
      </c>
      <c r="CL376" s="893">
        <f>WWWW[[#This Row],['#_Water_Liters_from_Constructed/Existing water distribution system from river or natural spring]]/90/15</f>
        <v>0</v>
      </c>
      <c r="CM376" s="424">
        <f>IF(WWWW[[#This Row],['#_of water points in TLS/CFS]]*500&gt;WWWW[[#This Row],[Total PoP ]],WWWW[[#This Row],[Total PoP ]],WWWW[[#This Row],['#_of water points in TLS/CFS]]*500)</f>
        <v>0</v>
      </c>
      <c r="CN376" s="424">
        <f>IF(WWWW[[#This Row],['#_of water points in THF]]*500&gt;WWWW[[#This Row],[Total PoP ]],WWWW[[#This Row],[Total PoP ]],WWWW[[#This Row],['#_of water points in THF]]*500)</f>
        <v>0</v>
      </c>
      <c r="CO37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7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76" s="892">
        <f>IF(WWWW[[#This Row],[Location Type 1]]="Village",WWWW[[#This Row],[Access to safe drinking water for Village]],WWWW[[#This Row],[Access to safe drinking water for Camp]])</f>
        <v>0</v>
      </c>
      <c r="CR376" s="890">
        <f>WWWW[[#This Row],[%Equitable and continuous access to sufficient quantity of safe drinking water]]*WWWW[[#This Row],[Total PoP ]]</f>
        <v>0</v>
      </c>
      <c r="CS376" s="892">
        <f>IF((WWWW[[#This Row],['#_Constructed/Existing protected/fenced ponds]]*250)/WWWW[[#This Row],[Total PoP ]]&gt;1,1,(WWWW[[#This Row],['#_Constructed/Existing protected/fenced ponds]]*250)/WWWW[[#This Row],[Total PoP ]])</f>
        <v>0</v>
      </c>
      <c r="CT376" s="890">
        <f>WWWW[[#This Row],[% Access to unimproved water points]]*WWWW[[#This Row],[Total PoP ]]</f>
        <v>0</v>
      </c>
      <c r="CU37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7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76" s="890">
        <f>WWWW[[#This Row],[HRP1]]/500</f>
        <v>0</v>
      </c>
      <c r="CX376" s="895">
        <f>1-WWWW[[#This Row],[% Equitable and continuous access to sufficient quantity of domestic water]]</f>
        <v>1</v>
      </c>
      <c r="CY376" s="890">
        <f>WWWW[[#This Row],[%equitable and continuous access to sufficient quantity of safe drinking and domestic water''s GAP]]*WWWW[[#This Row],[Total PoP ]]</f>
        <v>28</v>
      </c>
      <c r="CZ376" s="893">
        <f>IF(WWWW[[#This Row],[Total required water points]]-WWWW[[#This Row],['#Water points coverage]]&lt;0,0,WWWW[[#This Row],[Total required water points]]-WWWW[[#This Row],['#Water points coverage]])</f>
        <v>1</v>
      </c>
      <c r="DA376" s="893">
        <f>ROUND(IF(WWWW[[#This Row],[Total PoP ]]&lt;500,1,WWWW[[#This Row],[Total PoP ]]/500),0)</f>
        <v>1</v>
      </c>
      <c r="DB376" s="893">
        <f>(WWWW[[#This Row],['#_Constructed latrines_by_WASHAgencies]]+WWWW[[#This Row],['#_Non Cluster partner latrines]])-WWWW[[#This Row],['#_Non-functional latrines]]</f>
        <v>6</v>
      </c>
      <c r="DC376" s="631">
        <f>WWWW[[#This Row],[HRP2]]/WWWW[[#This Row],[Total PoP ]]</f>
        <v>1</v>
      </c>
      <c r="DD37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v>
      </c>
      <c r="DE37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6" s="424">
        <f>IF(WWWW[[#This Row],['# of functional latrines in THF supported by WASH partners during the reporting period2]]="",0,WWWW[[#This Row],['# of functional latrines in THF supported by WASH partners during the reporting period2]]*50)</f>
        <v>0</v>
      </c>
      <c r="DH376" s="893">
        <f>ROUND(IF(WWWW[[#This Row],[Location Type 1]]="camp",WWWW[[#This Row],[Total PoP ]]/20,IF(WWWW[[#This Row],[Location Type 1]]="Temporary Location",WWWW[[#This Row],[Total PoP ]]/50,(WWWW[[#This Row],[Total PoP ]]/6))),0)</f>
        <v>1</v>
      </c>
      <c r="DI376" s="893">
        <f>IF(WWWW[[#This Row],[Total required Latrines]]-(WWWW[[#This Row],['#_Constructed latrines_by_WASHAgencies]]+WWWW[[#This Row],['#_Non Cluster partner latrines]])&lt;0,0,WWWW[[#This Row],[Total required Latrines]]-(WWWW[[#This Row],['#_Constructed latrines_by_WASHAgencies]]+WWWW[[#This Row],['#_Non Cluster partner latrines]]))</f>
        <v>0</v>
      </c>
      <c r="DJ376" s="895">
        <f>1-WWWW[[#This Row],[% people access to functioning Latrine]]</f>
        <v>0</v>
      </c>
      <c r="DK376" s="894">
        <f>IF(OR(WWWW[[#This Row],['#_Non-functional latrines]]="",WWWW[[#This Row],['#_Non-functional latrines]]=0),0,WWWW[[#This Row],['#_Non-functional latrines]]/(WWWW[[#This Row],['#_Constructed latrines_by_WASHAgencies]]+WWWW[[#This Row],['#_Non Cluster partner latrines]]))</f>
        <v>0</v>
      </c>
      <c r="DL376" s="890">
        <f>IF(500*(WWWW[[#This Row],['#_male hygiene promoters]]+WWWW[[#This Row],['#_female hygiene promoters]])&gt;WWWW[[#This Row],[Total PoP ]],WWWW[[#This Row],[Total PoP ]],500*(WWWW[[#This Row],['#_male hygiene promoters]]+WWWW[[#This Row],['#_female hygiene promoters]]))</f>
        <v>0</v>
      </c>
      <c r="DM37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6" s="893">
        <f>IF(WWWW[[#This Row],['# People with access to soap]]&gt;WWWW[[#This Row],['# People with access to Sanity Pads]],WWWW[[#This Row],['# People with access to soap]],WWWW[[#This Row],['# People with access to Sanity Pads]])</f>
        <v>0</v>
      </c>
      <c r="DP376"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76" s="895">
        <f>IF(WWWW[[#This Row],[HRP3]]/WWWW[[#This Row],[Total PoP ]]&gt;1,1,WWWW[[#This Row],[HRP3]]/WWWW[[#This Row],[Total PoP ]])</f>
        <v>0</v>
      </c>
      <c r="DR376" s="894">
        <f>1-WWWW[[#This Row],[Hygiene Coverage%]]</f>
        <v>1</v>
      </c>
      <c r="DS376" s="892">
        <f>WWWW[[#This Row],['# people reached by regular dedicated hygiene promotion_5]]/WWWW[[#This Row],[Total PoP ]]</f>
        <v>0</v>
      </c>
      <c r="DT37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6" s="893">
        <f>WWWW[[#This Row],['#_Constructed/Existing hand washing stations]]-WWWW[[#This Row],['#_Non-Functional_hand_washing_stations]]</f>
        <v>0</v>
      </c>
      <c r="DW376" s="890">
        <f>IF(WWWW[[#This Row],['# Functional hand washing stations during reporting period]]*20&gt;WWWW[[#This Row],[Total HH]],WWWW[[#This Row],[Total HH]],WWWW[[#This Row],['# Functional hand washing stations during reporting period]]*20)</f>
        <v>0</v>
      </c>
      <c r="DX376" s="890">
        <f>IF(WWWW[[#This Row],[Is sufficient soap available for TLS? (Yes/No)]]="yes",WWWW[[#This Row],['#_Constructed/Existing hand washing stations at TLS/CFS/THF]],0)</f>
        <v>0</v>
      </c>
      <c r="DY376" s="428">
        <f>IF(WWWW[[#This Row],['# Functional hand washing stations during reporting period]]*100&gt;WWWW[[#This Row],[Total PoP ]],WWWW[[#This Row],[Total PoP ]],WWWW[[#This Row],['# Functional hand washing stations during reporting period]]*100)</f>
        <v>0</v>
      </c>
      <c r="DZ376" s="428" t="str">
        <f>IF(OR(WWWW[[#This Row],['#_students at TLS_CFS]]="",WWWW[[#This Row],['#_students at TLS_CFS]]=0),"No","Yes")</f>
        <v>No</v>
      </c>
      <c r="EA37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6" s="886">
        <f>VLOOKUP(WWWW[[#This Row],[Site Name]],SiteDB6[[Site Name]:[CCCM Management]],6,FALSE)</f>
        <v>0</v>
      </c>
      <c r="EF376" s="886">
        <f>VLOOKUP(WWWW[[#This Row],[Site Name]],SiteDB6[[Site Name]:[CCCM Focal Agency]],7,FALSE)</f>
        <v>0</v>
      </c>
      <c r="EG376" s="886" t="str">
        <f>VLOOKUP(WWWW[[#This Row],[Site Name]],SiteDB6[[Site Name]:[Location Type 1]],9,FALSE)</f>
        <v>Camp</v>
      </c>
      <c r="EH376" s="886" t="str">
        <f>VLOOKUP(WWWW[[#This Row],[Site Name]],SiteDB6[[Site Name]:[Type of Accommodation]],10,FALSE)</f>
        <v>Camp like setting</v>
      </c>
      <c r="EI376" s="886" t="str">
        <f>VLOOKUP(WWWW[[#This Row],[Site Name]],SiteDB6[[Site Name]:[Ethnic or GCA/NGCA]],11,FALSE)</f>
        <v>GCA</v>
      </c>
      <c r="EJ376" s="886">
        <f>VLOOKUP(WWWW[[#This Row],[Site Name]],SiteDB6[[Site Name]:[Lat]],12,FALSE)</f>
        <v>0</v>
      </c>
      <c r="EK376" s="886">
        <f>VLOOKUP(WWWW[[#This Row],[Site Name]],SiteDB6[[Site Name]:[Long]],13,FALSE)</f>
        <v>0</v>
      </c>
      <c r="EL376" s="886" t="str">
        <f>VLOOKUP(WWWW[[#This Row],[Site Name]],SiteDB6[[Site Name]:[Pcode]],3,FALSE)</f>
        <v>MMR015CMP078</v>
      </c>
      <c r="EM376" s="891" t="str">
        <f t="shared" si="5"/>
        <v>Covered</v>
      </c>
      <c r="EN376" s="891"/>
      <c r="EO376" s="886">
        <f>VLOOKUP(WWWW[[#This Row],[Site Name]],SiteDB6[[Site Name]:[Pop
(Kachin/Shan-CCCM as of July 2021)]],16,FALSE)</f>
        <v>9</v>
      </c>
      <c r="EP376" s="886">
        <f>VLOOKUP(WWWW[[#This Row],[Site Name]],SiteDB6[[Site Name]:[Pop
(Kachin/Shan-CCCM as of July 2021)]],17,FALSE)</f>
        <v>28</v>
      </c>
    </row>
    <row r="377" spans="1:146" hidden="1">
      <c r="A377" s="884" t="s">
        <v>2764</v>
      </c>
      <c r="B377" s="884" t="s">
        <v>192</v>
      </c>
      <c r="C377" s="885" t="s">
        <v>192</v>
      </c>
      <c r="D377" s="885" t="s">
        <v>2673</v>
      </c>
      <c r="E377" s="885" t="s">
        <v>515</v>
      </c>
      <c r="F377" s="885" t="s">
        <v>516</v>
      </c>
      <c r="G377" s="591" t="str">
        <f>VLOOKUP(WWWW[[#This Row],[Site Name]],SiteDB6[[Site Name]:[Location Type]],8,FALSE)</f>
        <v>Relocated</v>
      </c>
      <c r="H377" s="885" t="s">
        <v>2953</v>
      </c>
      <c r="I377" s="887">
        <v>64</v>
      </c>
      <c r="J377" s="887">
        <v>292</v>
      </c>
      <c r="K377" s="992">
        <v>44511</v>
      </c>
      <c r="L377" s="993">
        <v>44875</v>
      </c>
      <c r="M377" s="887"/>
      <c r="N377" s="887"/>
      <c r="O377" s="887"/>
      <c r="P377" s="887"/>
      <c r="Q377" s="890"/>
      <c r="R377" s="887">
        <v>4</v>
      </c>
      <c r="S377" s="887">
        <v>5</v>
      </c>
      <c r="T377" s="448"/>
      <c r="U377" s="887"/>
      <c r="V377" s="887"/>
      <c r="W377" s="887"/>
      <c r="X377" s="887"/>
      <c r="Y377" s="887"/>
      <c r="Z377" s="887"/>
      <c r="AA377" s="887">
        <v>8</v>
      </c>
      <c r="AB377" s="887"/>
      <c r="AC377" s="887"/>
      <c r="AD377" s="887"/>
      <c r="AE377" s="887"/>
      <c r="AF377" s="887"/>
      <c r="AG377" s="887"/>
      <c r="AH377" s="887"/>
      <c r="AI377" s="887"/>
      <c r="AJ377" s="887"/>
      <c r="AK377" s="887"/>
      <c r="AL377" s="887"/>
      <c r="AM377" s="887"/>
      <c r="AN377" s="887"/>
      <c r="AO377" s="448"/>
      <c r="AP377" s="891"/>
      <c r="AQ377" s="912">
        <v>55</v>
      </c>
      <c r="AR377" s="887"/>
      <c r="AS377" s="892"/>
      <c r="AT377" s="887"/>
      <c r="AU377" s="887"/>
      <c r="AV377" s="887"/>
      <c r="AW377" s="887"/>
      <c r="AX377" s="887">
        <v>25</v>
      </c>
      <c r="AY377" s="886" t="s">
        <v>41</v>
      </c>
      <c r="AZ377" s="891" t="s">
        <v>137</v>
      </c>
      <c r="BA377" s="887"/>
      <c r="BB377" s="887"/>
      <c r="BC377" s="887"/>
      <c r="BD377" s="448"/>
      <c r="BE377" s="448"/>
      <c r="BF377" s="886"/>
      <c r="BG377" s="887">
        <v>2</v>
      </c>
      <c r="BH377" s="887"/>
      <c r="BI377" s="887"/>
      <c r="BJ377" s="887">
        <v>2</v>
      </c>
      <c r="BK377" s="887"/>
      <c r="BL377" s="887"/>
      <c r="BM377" s="887">
        <v>1</v>
      </c>
      <c r="BN377" s="887"/>
      <c r="BO377" s="887"/>
      <c r="BP377" s="886"/>
      <c r="BQ377" s="893"/>
      <c r="BR377" s="892"/>
      <c r="BS377" s="886"/>
      <c r="BT377" s="423"/>
      <c r="BU377" s="423"/>
      <c r="BV377" s="425"/>
      <c r="BW377" s="423"/>
      <c r="BX377" s="448"/>
      <c r="BY377" s="448"/>
      <c r="BZ377" s="448"/>
      <c r="CA377" s="448"/>
      <c r="CB377" s="448"/>
      <c r="CC377" s="777"/>
      <c r="CD377" s="448"/>
      <c r="CE377" s="894" t="str">
        <f>IFERROR(WWWW[[#This Row],['#_Water sources passed]]/WWWW[[#This Row],['#_Water sources tested for fecal coliform ]],"no test")</f>
        <v>no test</v>
      </c>
      <c r="CF377" s="892" t="str">
        <f>IFERROR(WWWW[[#This Row],['#_Household passed]]/WWWW[[#This Row],['#_Household water samples tested for fecal coliform]],"no test")</f>
        <v>no test</v>
      </c>
      <c r="CG377" s="893" t="str">
        <f>IF(AND(WWWW[[#This Row],[% of water sources passed]]="no test",WWWW[[#This Row],[% Household passed]]="no test"),"No Test","Tested")</f>
        <v>No Test</v>
      </c>
      <c r="CH377" s="893">
        <f>WWWW[[#This Row],['#_Constructed/existing protected hand dug well]]-WWWW[[#This Row],['#_Non-functional protected hand dug well]]</f>
        <v>0</v>
      </c>
      <c r="CI377" s="893">
        <f>(WWWW[[#This Row],['#_Constructed/Existing tube wells/boreholes/handpumps_WASH_agency]]+WWWW[[#This Row],['#_Non-Cluster partner water tube-wells/boreholes/handpumps]])-WWWW[[#This Row],['#_Non-functional tube wells/boreholes/handpumps]]</f>
        <v>0</v>
      </c>
      <c r="CJ377" s="893">
        <f>WWWW[[#This Row],['#_Constructed/Existingwater storage tank with gravity fed reticulation system]]-WWWW[[#This Row],['#_Non-functional storage tank gravity fed reticulation system]]</f>
        <v>8</v>
      </c>
      <c r="CK377" s="893">
        <f>(WWWW[[#This Row],['#_Water_Liters_supplied_by_Water boating or water trucking]]/90)/15</f>
        <v>0</v>
      </c>
      <c r="CL377" s="893">
        <f>WWWW[[#This Row],['#_Water_Liters_from_Constructed/Existing water distribution system from river or natural spring]]/90/15</f>
        <v>0</v>
      </c>
      <c r="CM377" s="424">
        <f>IF(WWWW[[#This Row],['#_of water points in TLS/CFS]]*500&gt;WWWW[[#This Row],[Total PoP ]],WWWW[[#This Row],[Total PoP ]],WWWW[[#This Row],['#_of water points in TLS/CFS]]*500)</f>
        <v>0</v>
      </c>
      <c r="CN377" s="424">
        <f>IF(WWWW[[#This Row],['#_of water points in THF]]*500&gt;WWWW[[#This Row],[Total PoP ]],WWWW[[#This Row],[Total PoP ]],WWWW[[#This Row],['#_of water points in THF]]*500)</f>
        <v>0</v>
      </c>
      <c r="CO37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7" s="892">
        <f>IF(WWWW[[#This Row],[Location Type 1]]="Village",WWWW[[#This Row],[Access to safe drinking water for Village]],WWWW[[#This Row],[Access to safe drinking water for Camp]])</f>
        <v>1</v>
      </c>
      <c r="CR377" s="890">
        <f>WWWW[[#This Row],[%Equitable and continuous access to sufficient quantity of safe drinking water]]*WWWW[[#This Row],[Total PoP ]]</f>
        <v>292</v>
      </c>
      <c r="CS377" s="892">
        <f>IF((WWWW[[#This Row],['#_Constructed/Existing protected/fenced ponds]]*250)/WWWW[[#This Row],[Total PoP ]]&gt;1,1,(WWWW[[#This Row],['#_Constructed/Existing protected/fenced ponds]]*250)/WWWW[[#This Row],[Total PoP ]])</f>
        <v>0</v>
      </c>
      <c r="CT377" s="890">
        <f>WWWW[[#This Row],[% Access to unimproved water points]]*WWWW[[#This Row],[Total PoP ]]</f>
        <v>0</v>
      </c>
      <c r="CU37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CW377" s="890">
        <f>WWWW[[#This Row],[HRP1]]/500</f>
        <v>0.58399999999999996</v>
      </c>
      <c r="CX377" s="895">
        <f>1-WWWW[[#This Row],[% Equitable and continuous access to sufficient quantity of domestic water]]</f>
        <v>0</v>
      </c>
      <c r="CY377" s="890">
        <f>WWWW[[#This Row],[%equitable and continuous access to sufficient quantity of safe drinking and domestic water''s GAP]]*WWWW[[#This Row],[Total PoP ]]</f>
        <v>0</v>
      </c>
      <c r="CZ377" s="893">
        <f>IF(WWWW[[#This Row],[Total required water points]]-WWWW[[#This Row],['#Water points coverage]]&lt;0,0,WWWW[[#This Row],[Total required water points]]-WWWW[[#This Row],['#Water points coverage]])</f>
        <v>0.41600000000000004</v>
      </c>
      <c r="DA377" s="893">
        <f>ROUND(IF(WWWW[[#This Row],[Total PoP ]]&lt;500,1,WWWW[[#This Row],[Total PoP ]]/500),0)</f>
        <v>1</v>
      </c>
      <c r="DB377" s="893">
        <f>(WWWW[[#This Row],['#_Constructed latrines_by_WASHAgencies]]+WWWW[[#This Row],['#_Non Cluster partner latrines]])-WWWW[[#This Row],['#_Non-functional latrines]]</f>
        <v>55</v>
      </c>
      <c r="DC377" s="631">
        <f>WWWW[[#This Row],[HRP2]]/WWWW[[#This Row],[Total PoP ]]</f>
        <v>0.94178082191780821</v>
      </c>
      <c r="DD37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275</v>
      </c>
      <c r="DE37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7" s="424">
        <f>IF(WWWW[[#This Row],['# of functional latrines in THF supported by WASH partners during the reporting period2]]="",0,WWWW[[#This Row],['# of functional latrines in THF supported by WASH partners during the reporting period2]]*50)</f>
        <v>0</v>
      </c>
      <c r="DH377" s="893">
        <f>ROUND(IF(WWWW[[#This Row],[Location Type 1]]="camp",WWWW[[#This Row],[Total PoP ]]/20,IF(WWWW[[#This Row],[Location Type 1]]="Temporary Location",WWWW[[#This Row],[Total PoP ]]/50,(WWWW[[#This Row],[Total PoP ]]/6))),0)</f>
        <v>49</v>
      </c>
      <c r="DI377" s="893">
        <f>IF(WWWW[[#This Row],[Total required Latrines]]-(WWWW[[#This Row],['#_Constructed latrines_by_WASHAgencies]]+WWWW[[#This Row],['#_Non Cluster partner latrines]])&lt;0,0,WWWW[[#This Row],[Total required Latrines]]-(WWWW[[#This Row],['#_Constructed latrines_by_WASHAgencies]]+WWWW[[#This Row],['#_Non Cluster partner latrines]]))</f>
        <v>0</v>
      </c>
      <c r="DJ377" s="895">
        <f>1-WWWW[[#This Row],[% people access to functioning Latrine]]</f>
        <v>5.8219178082191791E-2</v>
      </c>
      <c r="DK377" s="894">
        <f>IF(OR(WWWW[[#This Row],['#_Non-functional latrines]]="",WWWW[[#This Row],['#_Non-functional latrines]]=0),0,WWWW[[#This Row],['#_Non-functional latrines]]/(WWWW[[#This Row],['#_Constructed latrines_by_WASHAgencies]]+WWWW[[#This Row],['#_Non Cluster partner latrines]]))</f>
        <v>0</v>
      </c>
      <c r="DL377" s="890">
        <f>IF(500*(WWWW[[#This Row],['#_male hygiene promoters]]+WWWW[[#This Row],['#_female hygiene promoters]])&gt;WWWW[[#This Row],[Total PoP ]],WWWW[[#This Row],[Total PoP ]],500*(WWWW[[#This Row],['#_male hygiene promoters]]+WWWW[[#This Row],['#_female hygiene promoters]]))</f>
        <v>292</v>
      </c>
      <c r="DM37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7" s="893">
        <f>IF(WWWW[[#This Row],['# People with access to soap]]&gt;WWWW[[#This Row],['# People with access to Sanity Pads]],WWWW[[#This Row],['# People with access to soap]],WWWW[[#This Row],['# People with access to Sanity Pads]])</f>
        <v>0</v>
      </c>
      <c r="DP377" s="893">
        <f>IF(WWWW[[#This Row],['# people reached by regular dedicated hygiene promotion_5]]&gt;WWWW[[#This Row],['# People received regular supply of hygiene items_6]],WWWW[[#This Row],['# people reached by regular dedicated hygiene promotion_5]],WWWW[[#This Row],['# People received regular supply of hygiene items_6]])</f>
        <v>292</v>
      </c>
      <c r="DQ377" s="895">
        <f>IF(WWWW[[#This Row],[HRP3]]/WWWW[[#This Row],[Total PoP ]]&gt;1,1,WWWW[[#This Row],[HRP3]]/WWWW[[#This Row],[Total PoP ]])</f>
        <v>1</v>
      </c>
      <c r="DR377" s="894">
        <f>1-WWWW[[#This Row],[Hygiene Coverage%]]</f>
        <v>0</v>
      </c>
      <c r="DS377" s="892">
        <f>WWWW[[#This Row],['# people reached by regular dedicated hygiene promotion_5]]/WWWW[[#This Row],[Total PoP ]]</f>
        <v>1</v>
      </c>
      <c r="DT37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7" s="893">
        <f>WWWW[[#This Row],['#_Constructed/Existing hand washing stations]]-WWWW[[#This Row],['#_Non-Functional_hand_washing_stations]]</f>
        <v>2</v>
      </c>
      <c r="DW377" s="890">
        <f>IF(WWWW[[#This Row],['# Functional hand washing stations during reporting period]]*20&gt;WWWW[[#This Row],[Total HH]],WWWW[[#This Row],[Total HH]],WWWW[[#This Row],['# Functional hand washing stations during reporting period]]*20)</f>
        <v>40</v>
      </c>
      <c r="DX377" s="890">
        <f>IF(WWWW[[#This Row],[Is sufficient soap available for TLS? (Yes/No)]]="yes",WWWW[[#This Row],['#_Constructed/Existing hand washing stations at TLS/CFS/THF]],0)</f>
        <v>0</v>
      </c>
      <c r="DY377" s="428">
        <f>IF(WWWW[[#This Row],['# Functional hand washing stations during reporting period]]*100&gt;WWWW[[#This Row],[Total PoP ]],WWWW[[#This Row],[Total PoP ]],WWWW[[#This Row],['# Functional hand washing stations during reporting period]]*100)</f>
        <v>200</v>
      </c>
      <c r="DZ377" s="428" t="str">
        <f>IF(OR(WWWW[[#This Row],['#_students at TLS_CFS]]="",WWWW[[#This Row],['#_students at TLS_CFS]]=0),"No","Yes")</f>
        <v>No</v>
      </c>
      <c r="EA37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7" s="886">
        <f>VLOOKUP(WWWW[[#This Row],[Site Name]],SiteDB6[[Site Name]:[CCCM Management]],6,FALSE)</f>
        <v>0</v>
      </c>
      <c r="EF377" s="886" t="str">
        <f>VLOOKUP(WWWW[[#This Row],[Site Name]],SiteDB6[[Site Name]:[CCCM Focal Agency]],7,FALSE)</f>
        <v>uncovered</v>
      </c>
      <c r="EG377" s="886" t="str">
        <f>VLOOKUP(WWWW[[#This Row],[Site Name]],SiteDB6[[Site Name]:[Location Type 1]],9,FALSE)</f>
        <v>Relocated</v>
      </c>
      <c r="EH377" s="886" t="str">
        <f>VLOOKUP(WWWW[[#This Row],[Site Name]],SiteDB6[[Site Name]:[Type of Accommodation]],10,FALSE)</f>
        <v>Closed Camp</v>
      </c>
      <c r="EI377" s="886" t="str">
        <f>VLOOKUP(WWWW[[#This Row],[Site Name]],SiteDB6[[Site Name]:[Ethnic or GCA/NGCA]],11,FALSE)</f>
        <v>GCA</v>
      </c>
      <c r="EJ377" s="886">
        <f>VLOOKUP(WWWW[[#This Row],[Site Name]],SiteDB6[[Site Name]:[Lat]],12,FALSE)</f>
        <v>23.611999999999998</v>
      </c>
      <c r="EK377" s="886">
        <f>VLOOKUP(WWWW[[#This Row],[Site Name]],SiteDB6[[Site Name]:[Long]],13,FALSE)</f>
        <v>97.506</v>
      </c>
      <c r="EL377" s="886" t="str">
        <f>VLOOKUP(WWWW[[#This Row],[Site Name]],SiteDB6[[Site Name]:[Pcode]],3,FALSE)</f>
        <v>MMR015CMP042</v>
      </c>
      <c r="EM377" s="891" t="str">
        <f t="shared" si="5"/>
        <v>Covered</v>
      </c>
      <c r="EN377" s="891"/>
      <c r="EO377" s="886">
        <f>VLOOKUP(WWWW[[#This Row],[Site Name]],SiteDB6[[Site Name]:[Pop
(Kachin/Shan-CCCM as of July 2021)]],16,FALSE)</f>
        <v>67</v>
      </c>
      <c r="EP377" s="886">
        <f>VLOOKUP(WWWW[[#This Row],[Site Name]],SiteDB6[[Site Name]:[Pop
(Kachin/Shan-CCCM as of July 2021)]],17,FALSE)</f>
        <v>307</v>
      </c>
    </row>
    <row r="378" spans="1:146" hidden="1">
      <c r="A378" s="884" t="s">
        <v>2764</v>
      </c>
      <c r="B378" s="884" t="s">
        <v>192</v>
      </c>
      <c r="C378" s="885" t="s">
        <v>192</v>
      </c>
      <c r="D378" s="885" t="s">
        <v>2673</v>
      </c>
      <c r="E378" s="885" t="s">
        <v>515</v>
      </c>
      <c r="F378" s="885" t="s">
        <v>519</v>
      </c>
      <c r="G378" s="591" t="str">
        <f>VLOOKUP(WWWW[[#This Row],[Site Name]],SiteDB6[[Site Name]:[Location Type]],8,FALSE)</f>
        <v>Camp</v>
      </c>
      <c r="H378" s="885" t="s">
        <v>545</v>
      </c>
      <c r="I378" s="887">
        <v>31</v>
      </c>
      <c r="J378" s="887">
        <v>176</v>
      </c>
      <c r="K378" s="888" t="s">
        <v>2767</v>
      </c>
      <c r="L378" s="889" t="s">
        <v>2768</v>
      </c>
      <c r="M378" s="887"/>
      <c r="N378" s="887"/>
      <c r="O378" s="887"/>
      <c r="P378" s="887"/>
      <c r="Q378" s="890"/>
      <c r="R378" s="887">
        <v>5</v>
      </c>
      <c r="S378" s="887">
        <v>4</v>
      </c>
      <c r="T378" s="448"/>
      <c r="U378" s="887"/>
      <c r="V378" s="887"/>
      <c r="W378" s="887"/>
      <c r="X378" s="887"/>
      <c r="Y378" s="887"/>
      <c r="Z378" s="887"/>
      <c r="AA378" s="887">
        <v>14</v>
      </c>
      <c r="AB378" s="887"/>
      <c r="AC378" s="887"/>
      <c r="AD378" s="887"/>
      <c r="AE378" s="887"/>
      <c r="AF378" s="887"/>
      <c r="AG378" s="887"/>
      <c r="AH378" s="887"/>
      <c r="AI378" s="887"/>
      <c r="AJ378" s="887"/>
      <c r="AK378" s="887"/>
      <c r="AL378" s="887"/>
      <c r="AM378" s="887"/>
      <c r="AN378" s="887"/>
      <c r="AO378" s="448"/>
      <c r="AP378" s="891"/>
      <c r="AQ378" s="887">
        <v>34</v>
      </c>
      <c r="AR378" s="887"/>
      <c r="AS378" s="892"/>
      <c r="AT378" s="887"/>
      <c r="AU378" s="887"/>
      <c r="AV378" s="887"/>
      <c r="AW378" s="887"/>
      <c r="AX378" s="887"/>
      <c r="AY378" s="886" t="s">
        <v>41</v>
      </c>
      <c r="AZ378" s="891" t="s">
        <v>137</v>
      </c>
      <c r="BA378" s="887"/>
      <c r="BB378" s="887"/>
      <c r="BC378" s="887">
        <v>2</v>
      </c>
      <c r="BD378" s="448"/>
      <c r="BE378" s="448"/>
      <c r="BF378" s="886"/>
      <c r="BG378" s="448">
        <v>2</v>
      </c>
      <c r="BH378" s="887"/>
      <c r="BI378" s="887"/>
      <c r="BJ378" s="887">
        <v>2</v>
      </c>
      <c r="BK378" s="887"/>
      <c r="BL378" s="887"/>
      <c r="BM378" s="887">
        <v>1</v>
      </c>
      <c r="BN378" s="887"/>
      <c r="BO378" s="887"/>
      <c r="BP378" s="425" t="s">
        <v>41</v>
      </c>
      <c r="BQ378" s="893"/>
      <c r="BR378" s="423"/>
      <c r="BS378" s="886"/>
      <c r="BT378" s="423"/>
      <c r="BU378" s="423"/>
      <c r="BV378" s="425"/>
      <c r="BW378" s="423"/>
      <c r="BX378" s="448"/>
      <c r="BY378" s="448"/>
      <c r="BZ378" s="448"/>
      <c r="CA378" s="448"/>
      <c r="CB378" s="448"/>
      <c r="CC378" s="777"/>
      <c r="CD378" s="448"/>
      <c r="CE378" s="894" t="str">
        <f>IFERROR(WWWW[[#This Row],['#_Water sources passed]]/WWWW[[#This Row],['#_Water sources tested for fecal coliform ]],"no test")</f>
        <v>no test</v>
      </c>
      <c r="CF378" s="892" t="str">
        <f>IFERROR(WWWW[[#This Row],['#_Household passed]]/WWWW[[#This Row],['#_Household water samples tested for fecal coliform]],"no test")</f>
        <v>no test</v>
      </c>
      <c r="CG378" s="893" t="str">
        <f>IF(AND(WWWW[[#This Row],[% of water sources passed]]="no test",WWWW[[#This Row],[% Household passed]]="no test"),"No Test","Tested")</f>
        <v>No Test</v>
      </c>
      <c r="CH378" s="893">
        <f>WWWW[[#This Row],['#_Constructed/existing protected hand dug well]]-WWWW[[#This Row],['#_Non-functional protected hand dug well]]</f>
        <v>0</v>
      </c>
      <c r="CI378" s="893">
        <f>(WWWW[[#This Row],['#_Constructed/Existing tube wells/boreholes/handpumps_WASH_agency]]+WWWW[[#This Row],['#_Non-Cluster partner water tube-wells/boreholes/handpumps]])-WWWW[[#This Row],['#_Non-functional tube wells/boreholes/handpumps]]</f>
        <v>0</v>
      </c>
      <c r="CJ378" s="893">
        <f>WWWW[[#This Row],['#_Constructed/Existingwater storage tank with gravity fed reticulation system]]-WWWW[[#This Row],['#_Non-functional storage tank gravity fed reticulation system]]</f>
        <v>14</v>
      </c>
      <c r="CK378" s="893">
        <f>(WWWW[[#This Row],['#_Water_Liters_supplied_by_Water boating or water trucking]]/90)/15</f>
        <v>0</v>
      </c>
      <c r="CL378" s="893">
        <f>WWWW[[#This Row],['#_Water_Liters_from_Constructed/Existing water distribution system from river or natural spring]]/90/15</f>
        <v>0</v>
      </c>
      <c r="CM378" s="424">
        <f>IF(WWWW[[#This Row],['#_of water points in TLS/CFS]]*500&gt;WWWW[[#This Row],[Total PoP ]],WWWW[[#This Row],[Total PoP ]],WWWW[[#This Row],['#_of water points in TLS/CFS]]*500)</f>
        <v>0</v>
      </c>
      <c r="CN378" s="424">
        <f>IF(WWWW[[#This Row],['#_of water points in THF]]*500&gt;WWWW[[#This Row],[Total PoP ]],WWWW[[#This Row],[Total PoP ]],WWWW[[#This Row],['#_of water points in THF]]*500)</f>
        <v>0</v>
      </c>
      <c r="CO37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8" s="892">
        <f>IF(WWWW[[#This Row],[Location Type 1]]="Village",WWWW[[#This Row],[Access to safe drinking water for Village]],WWWW[[#This Row],[Access to safe drinking water for Camp]])</f>
        <v>1</v>
      </c>
      <c r="CR378" s="890">
        <f>WWWW[[#This Row],[%Equitable and continuous access to sufficient quantity of safe drinking water]]*WWWW[[#This Row],[Total PoP ]]</f>
        <v>176</v>
      </c>
      <c r="CS378" s="892">
        <f>IF((WWWW[[#This Row],['#_Constructed/Existing protected/fenced ponds]]*250)/WWWW[[#This Row],[Total PoP ]]&gt;1,1,(WWWW[[#This Row],['#_Constructed/Existing protected/fenced ponds]]*250)/WWWW[[#This Row],[Total PoP ]])</f>
        <v>0</v>
      </c>
      <c r="CT378" s="890">
        <f>WWWW[[#This Row],[% Access to unimproved water points]]*WWWW[[#This Row],[Total PoP ]]</f>
        <v>0</v>
      </c>
      <c r="CU37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W378" s="890">
        <f>WWWW[[#This Row],[HRP1]]/500</f>
        <v>0.35199999999999998</v>
      </c>
      <c r="CX378" s="895">
        <f>1-WWWW[[#This Row],[% Equitable and continuous access to sufficient quantity of domestic water]]</f>
        <v>0</v>
      </c>
      <c r="CY378" s="890">
        <f>WWWW[[#This Row],[%equitable and continuous access to sufficient quantity of safe drinking and domestic water''s GAP]]*WWWW[[#This Row],[Total PoP ]]</f>
        <v>0</v>
      </c>
      <c r="CZ378" s="893">
        <f>IF(WWWW[[#This Row],[Total required water points]]-WWWW[[#This Row],['#Water points coverage]]&lt;0,0,WWWW[[#This Row],[Total required water points]]-WWWW[[#This Row],['#Water points coverage]])</f>
        <v>0.64800000000000002</v>
      </c>
      <c r="DA378" s="893">
        <f>ROUND(IF(WWWW[[#This Row],[Total PoP ]]&lt;500,1,WWWW[[#This Row],[Total PoP ]]/500),0)</f>
        <v>1</v>
      </c>
      <c r="DB378" s="893">
        <f>(WWWW[[#This Row],['#_Constructed latrines_by_WASHAgencies]]+WWWW[[#This Row],['#_Non Cluster partner latrines]])-WWWW[[#This Row],['#_Non-functional latrines]]</f>
        <v>34</v>
      </c>
      <c r="DC378" s="631">
        <f>WWWW[[#This Row],[HRP2]]/WWWW[[#This Row],[Total PoP ]]</f>
        <v>1</v>
      </c>
      <c r="DD37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176</v>
      </c>
      <c r="DE37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8" s="424">
        <f>IF(WWWW[[#This Row],['# of functional latrines in THF supported by WASH partners during the reporting period2]]="",0,WWWW[[#This Row],['# of functional latrines in THF supported by WASH partners during the reporting period2]]*50)</f>
        <v>0</v>
      </c>
      <c r="DH378" s="893">
        <f>ROUND(IF(WWWW[[#This Row],[Location Type 1]]="camp",WWWW[[#This Row],[Total PoP ]]/20,IF(WWWW[[#This Row],[Location Type 1]]="Temporary Location",WWWW[[#This Row],[Total PoP ]]/50,(WWWW[[#This Row],[Total PoP ]]/6))),0)</f>
        <v>9</v>
      </c>
      <c r="DI378" s="893">
        <f>IF(WWWW[[#This Row],[Total required Latrines]]-(WWWW[[#This Row],['#_Constructed latrines_by_WASHAgencies]]+WWWW[[#This Row],['#_Non Cluster partner latrines]])&lt;0,0,WWWW[[#This Row],[Total required Latrines]]-(WWWW[[#This Row],['#_Constructed latrines_by_WASHAgencies]]+WWWW[[#This Row],['#_Non Cluster partner latrines]]))</f>
        <v>0</v>
      </c>
      <c r="DJ378" s="895">
        <f>1-WWWW[[#This Row],[% people access to functioning Latrine]]</f>
        <v>0</v>
      </c>
      <c r="DK378" s="894">
        <f>IF(OR(WWWW[[#This Row],['#_Non-functional latrines]]="",WWWW[[#This Row],['#_Non-functional latrines]]=0),0,WWWW[[#This Row],['#_Non-functional latrines]]/(WWWW[[#This Row],['#_Constructed latrines_by_WASHAgencies]]+WWWW[[#This Row],['#_Non Cluster partner latrines]]))</f>
        <v>0</v>
      </c>
      <c r="DL378" s="890">
        <f>IF(500*(WWWW[[#This Row],['#_male hygiene promoters]]+WWWW[[#This Row],['#_female hygiene promoters]])&gt;WWWW[[#This Row],[Total PoP ]],WWWW[[#This Row],[Total PoP ]],500*(WWWW[[#This Row],['#_male hygiene promoters]]+WWWW[[#This Row],['#_female hygiene promoters]]))</f>
        <v>176</v>
      </c>
      <c r="DM37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8" s="893">
        <f>IF(WWWW[[#This Row],['# People with access to soap]]&gt;WWWW[[#This Row],['# People with access to Sanity Pads]],WWWW[[#This Row],['# People with access to soap]],WWWW[[#This Row],['# People with access to Sanity Pads]])</f>
        <v>0</v>
      </c>
      <c r="DP378" s="893">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Q378" s="895">
        <f>IF(WWWW[[#This Row],[HRP3]]/WWWW[[#This Row],[Total PoP ]]&gt;1,1,WWWW[[#This Row],[HRP3]]/WWWW[[#This Row],[Total PoP ]])</f>
        <v>1</v>
      </c>
      <c r="DR378" s="894">
        <f>1-WWWW[[#This Row],[Hygiene Coverage%]]</f>
        <v>0</v>
      </c>
      <c r="DS378" s="892">
        <f>WWWW[[#This Row],['# people reached by regular dedicated hygiene promotion_5]]/WWWW[[#This Row],[Total PoP ]]</f>
        <v>1</v>
      </c>
      <c r="DT37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8" s="893">
        <f>WWWW[[#This Row],['#_Constructed/Existing hand washing stations]]-WWWW[[#This Row],['#_Non-Functional_hand_washing_stations]]</f>
        <v>2</v>
      </c>
      <c r="DW378" s="890">
        <f>IF(WWWW[[#This Row],['# Functional hand washing stations during reporting period]]*20&gt;WWWW[[#This Row],[Total HH]],WWWW[[#This Row],[Total HH]],WWWW[[#This Row],['# Functional hand washing stations during reporting period]]*20)</f>
        <v>31</v>
      </c>
      <c r="DX378" s="890">
        <f>IF(WWWW[[#This Row],[Is sufficient soap available for TLS? (Yes/No)]]="yes",WWWW[[#This Row],['#_Constructed/Existing hand washing stations at TLS/CFS/THF]],0)</f>
        <v>0</v>
      </c>
      <c r="DY378" s="428">
        <f>IF(WWWW[[#This Row],['# Functional hand washing stations during reporting period]]*100&gt;WWWW[[#This Row],[Total PoP ]],WWWW[[#This Row],[Total PoP ]],WWWW[[#This Row],['# Functional hand washing stations during reporting period]]*100)</f>
        <v>176</v>
      </c>
      <c r="DZ378" s="428" t="str">
        <f>IF(OR(WWWW[[#This Row],['#_students at TLS_CFS]]="",WWWW[[#This Row],['#_students at TLS_CFS]]=0),"No","Yes")</f>
        <v>No</v>
      </c>
      <c r="EA37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8" s="886">
        <f>VLOOKUP(WWWW[[#This Row],[Site Name]],SiteDB6[[Site Name]:[CCCM Management]],6,FALSE)</f>
        <v>0</v>
      </c>
      <c r="EF378" s="886" t="str">
        <f>VLOOKUP(WWWW[[#This Row],[Site Name]],SiteDB6[[Site Name]:[CCCM Focal Agency]],7,FALSE)</f>
        <v>uncovered</v>
      </c>
      <c r="EG378" s="886" t="str">
        <f>VLOOKUP(WWWW[[#This Row],[Site Name]],SiteDB6[[Site Name]:[Location Type 1]],9,FALSE)</f>
        <v>Camp</v>
      </c>
      <c r="EH378" s="886" t="str">
        <f>VLOOKUP(WWWW[[#This Row],[Site Name]],SiteDB6[[Site Name]:[Type of Accommodation]],10,FALSE)</f>
        <v>Camp like setting</v>
      </c>
      <c r="EI378" s="886" t="str">
        <f>VLOOKUP(WWWW[[#This Row],[Site Name]],SiteDB6[[Site Name]:[Ethnic or GCA/NGCA]],11,FALSE)</f>
        <v>GCA</v>
      </c>
      <c r="EJ378" s="886">
        <f>VLOOKUP(WWWW[[#This Row],[Site Name]],SiteDB6[[Site Name]:[Lat]],12,FALSE)</f>
        <v>23.850999999999999</v>
      </c>
      <c r="EK378" s="886">
        <f>VLOOKUP(WWWW[[#This Row],[Site Name]],SiteDB6[[Site Name]:[Long]],13,FALSE)</f>
        <v>98.337999999999994</v>
      </c>
      <c r="EL378" s="886" t="str">
        <f>VLOOKUP(WWWW[[#This Row],[Site Name]],SiteDB6[[Site Name]:[Pcode]],3,FALSE)</f>
        <v>MMR015CMP045</v>
      </c>
      <c r="EM378" s="891" t="str">
        <f t="shared" si="5"/>
        <v>Covered</v>
      </c>
      <c r="EN378" s="891"/>
      <c r="EO378" s="886">
        <f>VLOOKUP(WWWW[[#This Row],[Site Name]],SiteDB6[[Site Name]:[Pop
(Kachin/Shan-CCCM as of July 2021)]],16,FALSE)</f>
        <v>30</v>
      </c>
      <c r="EP378" s="886">
        <f>VLOOKUP(WWWW[[#This Row],[Site Name]],SiteDB6[[Site Name]:[Pop
(Kachin/Shan-CCCM as of July 2021)]],17,FALSE)</f>
        <v>170</v>
      </c>
    </row>
    <row r="379" spans="1:146" hidden="1">
      <c r="A379" s="884" t="s">
        <v>2764</v>
      </c>
      <c r="B379" s="884" t="s">
        <v>2359</v>
      </c>
      <c r="C379" s="885" t="s">
        <v>2359</v>
      </c>
      <c r="D379" s="885" t="s">
        <v>2673</v>
      </c>
      <c r="E379" s="885" t="s">
        <v>515</v>
      </c>
      <c r="F379" s="885" t="s">
        <v>516</v>
      </c>
      <c r="G379" s="591" t="str">
        <f>VLOOKUP(WWWW[[#This Row],[Site Name]],SiteDB6[[Site Name]:[Location Type]],8,FALSE)</f>
        <v>Camp</v>
      </c>
      <c r="H379" s="885" t="s">
        <v>527</v>
      </c>
      <c r="I379" s="887">
        <v>85</v>
      </c>
      <c r="J379" s="887">
        <v>396</v>
      </c>
      <c r="K379" s="888" t="s">
        <v>2767</v>
      </c>
      <c r="L379" s="889" t="s">
        <v>2768</v>
      </c>
      <c r="M379" s="887"/>
      <c r="N379" s="887">
        <v>2</v>
      </c>
      <c r="O379" s="887"/>
      <c r="P379" s="887"/>
      <c r="Q379" s="890" t="s">
        <v>41</v>
      </c>
      <c r="R379" s="887">
        <v>7</v>
      </c>
      <c r="S379" s="887">
        <v>9</v>
      </c>
      <c r="T379" s="448"/>
      <c r="U379" s="887"/>
      <c r="V379" s="887"/>
      <c r="W379" s="887"/>
      <c r="X379" s="887">
        <v>1</v>
      </c>
      <c r="Y379" s="887"/>
      <c r="Z379" s="887"/>
      <c r="AA379" s="887">
        <v>1</v>
      </c>
      <c r="AB379" s="887"/>
      <c r="AC379" s="887"/>
      <c r="AD379" s="887"/>
      <c r="AE379" s="887"/>
      <c r="AF379" s="887"/>
      <c r="AG379" s="887"/>
      <c r="AH379" s="887">
        <v>2</v>
      </c>
      <c r="AI379" s="887"/>
      <c r="AJ379" s="887"/>
      <c r="AK379" s="887"/>
      <c r="AL379" s="887"/>
      <c r="AM379" s="887">
        <v>8</v>
      </c>
      <c r="AN379" s="887"/>
      <c r="AO379" s="448"/>
      <c r="AP379" s="891"/>
      <c r="AQ379" s="887">
        <v>14</v>
      </c>
      <c r="AR379" s="887">
        <v>6</v>
      </c>
      <c r="AS379" s="892"/>
      <c r="AT379" s="887"/>
      <c r="AU379" s="887"/>
      <c r="AV379" s="887"/>
      <c r="AW379" s="887"/>
      <c r="AX379" s="887">
        <v>14</v>
      </c>
      <c r="AY379" s="886" t="s">
        <v>41</v>
      </c>
      <c r="AZ379" s="891" t="s">
        <v>137</v>
      </c>
      <c r="BA379" s="887"/>
      <c r="BB379" s="887"/>
      <c r="BC379" s="887"/>
      <c r="BD379" s="448"/>
      <c r="BE379" s="448"/>
      <c r="BF379" s="886"/>
      <c r="BG379" s="887">
        <v>8</v>
      </c>
      <c r="BH379" s="887"/>
      <c r="BI379" s="887"/>
      <c r="BJ379" s="887">
        <v>2</v>
      </c>
      <c r="BK379" s="887"/>
      <c r="BL379" s="887">
        <v>1</v>
      </c>
      <c r="BM379" s="887">
        <v>1</v>
      </c>
      <c r="BN379" s="887"/>
      <c r="BO379" s="887"/>
      <c r="BP379" s="886"/>
      <c r="BQ379" s="893"/>
      <c r="BR379" s="892"/>
      <c r="BS379" s="886"/>
      <c r="BT379" s="423"/>
      <c r="BU379" s="423"/>
      <c r="BV379" s="425"/>
      <c r="BW379" s="423"/>
      <c r="BX379" s="448"/>
      <c r="BY379" s="448"/>
      <c r="BZ379" s="448"/>
      <c r="CA379" s="448"/>
      <c r="CB379" s="448"/>
      <c r="CC379" s="777"/>
      <c r="CD379" s="448"/>
      <c r="CE379" s="894" t="str">
        <f>IFERROR(WWWW[[#This Row],['#_Water sources passed]]/WWWW[[#This Row],['#_Water sources tested for fecal coliform ]],"no test")</f>
        <v>no test</v>
      </c>
      <c r="CF379" s="892" t="str">
        <f>IFERROR(WWWW[[#This Row],['#_Household passed]]/WWWW[[#This Row],['#_Household water samples tested for fecal coliform]],"no test")</f>
        <v>no test</v>
      </c>
      <c r="CG379" s="893" t="str">
        <f>IF(AND(WWWW[[#This Row],[% of water sources passed]]="no test",WWWW[[#This Row],[% Household passed]]="no test"),"No Test","Tested")</f>
        <v>No Test</v>
      </c>
      <c r="CH379" s="893">
        <f>WWWW[[#This Row],['#_Constructed/existing protected hand dug well]]-WWWW[[#This Row],['#_Non-functional protected hand dug well]]</f>
        <v>0</v>
      </c>
      <c r="CI379" s="893">
        <f>(WWWW[[#This Row],['#_Constructed/Existing tube wells/boreholes/handpumps_WASH_agency]]+WWWW[[#This Row],['#_Non-Cluster partner water tube-wells/boreholes/handpumps]])-WWWW[[#This Row],['#_Non-functional tube wells/boreholes/handpumps]]</f>
        <v>1</v>
      </c>
      <c r="CJ379" s="893">
        <f>WWWW[[#This Row],['#_Constructed/Existingwater storage tank with gravity fed reticulation system]]-WWWW[[#This Row],['#_Non-functional storage tank gravity fed reticulation system]]</f>
        <v>1</v>
      </c>
      <c r="CK379" s="893">
        <f>(WWWW[[#This Row],['#_Water_Liters_supplied_by_Water boating or water trucking]]/90)/15</f>
        <v>0</v>
      </c>
      <c r="CL379" s="893">
        <f>WWWW[[#This Row],['#_Water_Liters_from_Constructed/Existing water distribution system from river or natural spring]]/90/15</f>
        <v>0</v>
      </c>
      <c r="CM379" s="424">
        <f>IF(WWWW[[#This Row],['#_of water points in TLS/CFS]]*500&gt;WWWW[[#This Row],[Total PoP ]],WWWW[[#This Row],[Total PoP ]],WWWW[[#This Row],['#_of water points in TLS/CFS]]*500)</f>
        <v>0</v>
      </c>
      <c r="CN379" s="424">
        <f>IF(WWWW[[#This Row],['#_of water points in THF]]*500&gt;WWWW[[#This Row],[Total PoP ]],WWWW[[#This Row],[Total PoP ]],WWWW[[#This Row],['#_of water points in THF]]*500)</f>
        <v>0</v>
      </c>
      <c r="CO37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0.79966329966329974</v>
      </c>
      <c r="CQ379" s="892">
        <f>IF(WWWW[[#This Row],[Location Type 1]]="Village",WWWW[[#This Row],[Access to safe drinking water for Village]],WWWW[[#This Row],[Access to safe drinking water for Camp]])</f>
        <v>1</v>
      </c>
      <c r="CR379" s="890">
        <f>WWWW[[#This Row],[%Equitable and continuous access to sufficient quantity of safe drinking water]]*WWWW[[#This Row],[Total PoP ]]</f>
        <v>396</v>
      </c>
      <c r="CS379" s="892">
        <f>IF((WWWW[[#This Row],['#_Constructed/Existing protected/fenced ponds]]*250)/WWWW[[#This Row],[Total PoP ]]&gt;1,1,(WWWW[[#This Row],['#_Constructed/Existing protected/fenced ponds]]*250)/WWWW[[#This Row],[Total PoP ]])</f>
        <v>0</v>
      </c>
      <c r="CT379" s="890">
        <f>WWWW[[#This Row],[% Access to unimproved water points]]*WWWW[[#This Row],[Total PoP ]]</f>
        <v>0</v>
      </c>
      <c r="CU37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W379" s="890">
        <f>WWWW[[#This Row],[HRP1]]/500</f>
        <v>0.79200000000000004</v>
      </c>
      <c r="CX379" s="895">
        <f>1-WWWW[[#This Row],[% Equitable and continuous access to sufficient quantity of domestic water]]</f>
        <v>0</v>
      </c>
      <c r="CY379" s="890">
        <f>WWWW[[#This Row],[%equitable and continuous access to sufficient quantity of safe drinking and domestic water''s GAP]]*WWWW[[#This Row],[Total PoP ]]</f>
        <v>0</v>
      </c>
      <c r="CZ379" s="893">
        <f>IF(WWWW[[#This Row],[Total required water points]]-WWWW[[#This Row],['#Water points coverage]]&lt;0,0,WWWW[[#This Row],[Total required water points]]-WWWW[[#This Row],['#Water points coverage]])</f>
        <v>0.20799999999999996</v>
      </c>
      <c r="DA379" s="893">
        <f>ROUND(IF(WWWW[[#This Row],[Total PoP ]]&lt;500,1,WWWW[[#This Row],[Total PoP ]]/500),0)</f>
        <v>1</v>
      </c>
      <c r="DB379" s="893">
        <f>(WWWW[[#This Row],['#_Constructed latrines_by_WASHAgencies]]+WWWW[[#This Row],['#_Non Cluster partner latrines]])-WWWW[[#This Row],['#_Non-functional latrines]]</f>
        <v>20</v>
      </c>
      <c r="DC379" s="631">
        <f>WWWW[[#This Row],[HRP2]]/WWWW[[#This Row],[Total PoP ]]</f>
        <v>1</v>
      </c>
      <c r="DD37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396</v>
      </c>
      <c r="DE37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9" s="424">
        <f>IF(WWWW[[#This Row],['# of functional latrines in THF supported by WASH partners during the reporting period2]]="",0,WWWW[[#This Row],['# of functional latrines in THF supported by WASH partners during the reporting period2]]*50)</f>
        <v>0</v>
      </c>
      <c r="DH379" s="893">
        <f>ROUND(IF(WWWW[[#This Row],[Location Type 1]]="camp",WWWW[[#This Row],[Total PoP ]]/20,IF(WWWW[[#This Row],[Location Type 1]]="Temporary Location",WWWW[[#This Row],[Total PoP ]]/50,(WWWW[[#This Row],[Total PoP ]]/6))),0)</f>
        <v>20</v>
      </c>
      <c r="DI379" s="893">
        <f>IF(WWWW[[#This Row],[Total required Latrines]]-(WWWW[[#This Row],['#_Constructed latrines_by_WASHAgencies]]+WWWW[[#This Row],['#_Non Cluster partner latrines]])&lt;0,0,WWWW[[#This Row],[Total required Latrines]]-(WWWW[[#This Row],['#_Constructed latrines_by_WASHAgencies]]+WWWW[[#This Row],['#_Non Cluster partner latrines]]))</f>
        <v>0</v>
      </c>
      <c r="DJ379" s="895">
        <f>1-WWWW[[#This Row],[% people access to functioning Latrine]]</f>
        <v>0</v>
      </c>
      <c r="DK379" s="894">
        <f>IF(OR(WWWW[[#This Row],['#_Non-functional latrines]]="",WWWW[[#This Row],['#_Non-functional latrines]]=0),0,WWWW[[#This Row],['#_Non-functional latrines]]/(WWWW[[#This Row],['#_Constructed latrines_by_WASHAgencies]]+WWWW[[#This Row],['#_Non Cluster partner latrines]]))</f>
        <v>0</v>
      </c>
      <c r="DL379" s="890">
        <f>IF(500*(WWWW[[#This Row],['#_male hygiene promoters]]+WWWW[[#This Row],['#_female hygiene promoters]])&gt;WWWW[[#This Row],[Total PoP ]],WWWW[[#This Row],[Total PoP ]],500*(WWWW[[#This Row],['#_male hygiene promoters]]+WWWW[[#This Row],['#_female hygiene promoters]]))</f>
        <v>396</v>
      </c>
      <c r="DM37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9" s="893">
        <f>IF(WWWW[[#This Row],['# People with access to soap]]&gt;WWWW[[#This Row],['# People with access to Sanity Pads]],WWWW[[#This Row],['# People with access to soap]],WWWW[[#This Row],['# People with access to Sanity Pads]])</f>
        <v>0</v>
      </c>
      <c r="DP379" s="893">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Q379" s="895">
        <f>IF(WWWW[[#This Row],[HRP3]]/WWWW[[#This Row],[Total PoP ]]&gt;1,1,WWWW[[#This Row],[HRP3]]/WWWW[[#This Row],[Total PoP ]])</f>
        <v>1</v>
      </c>
      <c r="DR379" s="894">
        <f>1-WWWW[[#This Row],[Hygiene Coverage%]]</f>
        <v>0</v>
      </c>
      <c r="DS379" s="892">
        <f>WWWW[[#This Row],['# people reached by regular dedicated hygiene promotion_5]]/WWWW[[#This Row],[Total PoP ]]</f>
        <v>1</v>
      </c>
      <c r="DT37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9" s="893">
        <f>WWWW[[#This Row],['#_Constructed/Existing hand washing stations]]-WWWW[[#This Row],['#_Non-Functional_hand_washing_stations]]</f>
        <v>8</v>
      </c>
      <c r="DW379" s="890">
        <f>IF(WWWW[[#This Row],['# Functional hand washing stations during reporting period]]*20&gt;WWWW[[#This Row],[Total HH]],WWWW[[#This Row],[Total HH]],WWWW[[#This Row],['# Functional hand washing stations during reporting period]]*20)</f>
        <v>85</v>
      </c>
      <c r="DX379" s="890">
        <f>IF(WWWW[[#This Row],[Is sufficient soap available for TLS? (Yes/No)]]="yes",WWWW[[#This Row],['#_Constructed/Existing hand washing stations at TLS/CFS/THF]],0)</f>
        <v>0</v>
      </c>
      <c r="DY379" s="428">
        <f>IF(WWWW[[#This Row],['# Functional hand washing stations during reporting period]]*100&gt;WWWW[[#This Row],[Total PoP ]],WWWW[[#This Row],[Total PoP ]],WWWW[[#This Row],['# Functional hand washing stations during reporting period]]*100)</f>
        <v>396</v>
      </c>
      <c r="DZ379" s="428" t="str">
        <f>IF(OR(WWWW[[#This Row],['#_students at TLS_CFS]]="",WWWW[[#This Row],['#_students at TLS_CFS]]=0),"No","Yes")</f>
        <v>No</v>
      </c>
      <c r="EA37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9" s="886" t="str">
        <f>VLOOKUP(WWWW[[#This Row],[Site Name]],SiteDB6[[Site Name]:[CCCM Management]],6,FALSE)</f>
        <v>Yes</v>
      </c>
      <c r="EF379" s="886" t="str">
        <f>VLOOKUP(WWWW[[#This Row],[Site Name]],SiteDB6[[Site Name]:[CCCM Focal Agency]],7,FALSE)</f>
        <v>KBC-NSS</v>
      </c>
      <c r="EG379" s="886" t="str">
        <f>VLOOKUP(WWWW[[#This Row],[Site Name]],SiteDB6[[Site Name]:[Location Type 1]],9,FALSE)</f>
        <v>Camp</v>
      </c>
      <c r="EH379" s="886" t="str">
        <f>VLOOKUP(WWWW[[#This Row],[Site Name]],SiteDB6[[Site Name]:[Type of Accommodation]],10,FALSE)</f>
        <v>Camp</v>
      </c>
      <c r="EI379" s="886" t="str">
        <f>VLOOKUP(WWWW[[#This Row],[Site Name]],SiteDB6[[Site Name]:[Ethnic or GCA/NGCA]],11,FALSE)</f>
        <v>GCA</v>
      </c>
      <c r="EJ379" s="886">
        <f>VLOOKUP(WWWW[[#This Row],[Site Name]],SiteDB6[[Site Name]:[Lat]],12,FALSE)</f>
        <v>23.821380000000001</v>
      </c>
      <c r="EK379" s="886">
        <f>VLOOKUP(WWWW[[#This Row],[Site Name]],SiteDB6[[Site Name]:[Long]],13,FALSE)</f>
        <v>97.681970000000007</v>
      </c>
      <c r="EL379" s="886" t="str">
        <f>VLOOKUP(WWWW[[#This Row],[Site Name]],SiteDB6[[Site Name]:[Pcode]],3,FALSE)</f>
        <v>MMR015CMP004</v>
      </c>
      <c r="EM379" s="891" t="str">
        <f t="shared" si="5"/>
        <v>Covered</v>
      </c>
      <c r="EN379" s="891"/>
      <c r="EO379" s="886">
        <f>VLOOKUP(WWWW[[#This Row],[Site Name]],SiteDB6[[Site Name]:[Pop
(Kachin/Shan-CCCM as of July 2021)]],16,FALSE)</f>
        <v>89</v>
      </c>
      <c r="EP379" s="886">
        <f>VLOOKUP(WWWW[[#This Row],[Site Name]],SiteDB6[[Site Name]:[Pop
(Kachin/Shan-CCCM as of July 2021)]],17,FALSE)</f>
        <v>401</v>
      </c>
    </row>
    <row r="380" spans="1:146" hidden="1">
      <c r="A380" s="884" t="s">
        <v>2764</v>
      </c>
      <c r="B380" s="884" t="s">
        <v>192</v>
      </c>
      <c r="C380" s="885" t="s">
        <v>192</v>
      </c>
      <c r="D380" s="885" t="s">
        <v>2673</v>
      </c>
      <c r="E380" s="885" t="s">
        <v>515</v>
      </c>
      <c r="F380" s="885" t="s">
        <v>516</v>
      </c>
      <c r="G380" s="591" t="str">
        <f>VLOOKUP(WWWW[[#This Row],[Site Name]],SiteDB6[[Site Name]:[Location Type]],8,FALSE)</f>
        <v>Camp</v>
      </c>
      <c r="H380" s="885" t="s">
        <v>562</v>
      </c>
      <c r="I380" s="887">
        <v>64</v>
      </c>
      <c r="J380" s="887">
        <v>323</v>
      </c>
      <c r="K380" s="888" t="s">
        <v>2767</v>
      </c>
      <c r="L380" s="889" t="s">
        <v>2768</v>
      </c>
      <c r="M380" s="887"/>
      <c r="N380" s="887">
        <v>1</v>
      </c>
      <c r="O380" s="887">
        <v>1</v>
      </c>
      <c r="P380" s="887"/>
      <c r="Q380" s="890" t="s">
        <v>41</v>
      </c>
      <c r="R380" s="887"/>
      <c r="S380" s="887"/>
      <c r="T380" s="448"/>
      <c r="U380" s="887"/>
      <c r="V380" s="887"/>
      <c r="W380" s="887"/>
      <c r="X380" s="887">
        <v>1</v>
      </c>
      <c r="Y380" s="887"/>
      <c r="Z380" s="887"/>
      <c r="AA380" s="887"/>
      <c r="AB380" s="887"/>
      <c r="AC380" s="887"/>
      <c r="AD380" s="887"/>
      <c r="AE380" s="887"/>
      <c r="AF380" s="887"/>
      <c r="AG380" s="887"/>
      <c r="AH380" s="887"/>
      <c r="AI380" s="887"/>
      <c r="AJ380" s="887"/>
      <c r="AK380" s="887"/>
      <c r="AL380" s="887"/>
      <c r="AM380" s="887"/>
      <c r="AN380" s="887"/>
      <c r="AO380" s="448"/>
      <c r="AP380" s="891"/>
      <c r="AQ380" s="887">
        <v>10</v>
      </c>
      <c r="AR380" s="887"/>
      <c r="AS380" s="892"/>
      <c r="AT380" s="887"/>
      <c r="AU380" s="887"/>
      <c r="AV380" s="912">
        <v>20</v>
      </c>
      <c r="AW380" s="887"/>
      <c r="AX380" s="887"/>
      <c r="AY380" s="886" t="s">
        <v>140</v>
      </c>
      <c r="AZ380" s="891" t="s">
        <v>140</v>
      </c>
      <c r="BA380" s="887"/>
      <c r="BB380" s="887"/>
      <c r="BC380" s="887"/>
      <c r="BD380" s="448"/>
      <c r="BE380" s="448"/>
      <c r="BF380" s="886"/>
      <c r="BG380" s="887">
        <v>7</v>
      </c>
      <c r="BH380" s="887"/>
      <c r="BI380" s="887"/>
      <c r="BJ380" s="887">
        <v>7</v>
      </c>
      <c r="BK380" s="887"/>
      <c r="BL380" s="887"/>
      <c r="BM380" s="887"/>
      <c r="BN380" s="887"/>
      <c r="BO380" s="887"/>
      <c r="BP380" s="886"/>
      <c r="BQ380" s="893"/>
      <c r="BR380" s="892"/>
      <c r="BS380" s="886"/>
      <c r="BT380" s="423"/>
      <c r="BU380" s="423"/>
      <c r="BV380" s="425"/>
      <c r="BW380" s="423"/>
      <c r="BX380" s="448"/>
      <c r="BY380" s="448"/>
      <c r="BZ380" s="448"/>
      <c r="CA380" s="448"/>
      <c r="CB380" s="448"/>
      <c r="CC380" s="777"/>
      <c r="CD380" s="448"/>
      <c r="CE380" s="894" t="str">
        <f>IFERROR(WWWW[[#This Row],['#_Water sources passed]]/WWWW[[#This Row],['#_Water sources tested for fecal coliform ]],"no test")</f>
        <v>no test</v>
      </c>
      <c r="CF380" s="892" t="str">
        <f>IFERROR(WWWW[[#This Row],['#_Household passed]]/WWWW[[#This Row],['#_Household water samples tested for fecal coliform]],"no test")</f>
        <v>no test</v>
      </c>
      <c r="CG380" s="893" t="str">
        <f>IF(AND(WWWW[[#This Row],[% of water sources passed]]="no test",WWWW[[#This Row],[% Household passed]]="no test"),"No Test","Tested")</f>
        <v>No Test</v>
      </c>
      <c r="CH380" s="893">
        <f>WWWW[[#This Row],['#_Constructed/existing protected hand dug well]]-WWWW[[#This Row],['#_Non-functional protected hand dug well]]</f>
        <v>0</v>
      </c>
      <c r="CI380" s="893">
        <f>(WWWW[[#This Row],['#_Constructed/Existing tube wells/boreholes/handpumps_WASH_agency]]+WWWW[[#This Row],['#_Non-Cluster partner water tube-wells/boreholes/handpumps]])-WWWW[[#This Row],['#_Non-functional tube wells/boreholes/handpumps]]</f>
        <v>1</v>
      </c>
      <c r="CJ380" s="893">
        <f>WWWW[[#This Row],['#_Constructed/Existingwater storage tank with gravity fed reticulation system]]-WWWW[[#This Row],['#_Non-functional storage tank gravity fed reticulation system]]</f>
        <v>0</v>
      </c>
      <c r="CK380" s="893">
        <f>(WWWW[[#This Row],['#_Water_Liters_supplied_by_Water boating or water trucking]]/90)/15</f>
        <v>0</v>
      </c>
      <c r="CL380" s="893">
        <f>WWWW[[#This Row],['#_Water_Liters_from_Constructed/Existing water distribution system from river or natural spring]]/90/15</f>
        <v>0</v>
      </c>
      <c r="CM380" s="424">
        <f>IF(WWWW[[#This Row],['#_of water points in TLS/CFS]]*500&gt;WWWW[[#This Row],[Total PoP ]],WWWW[[#This Row],[Total PoP ]],WWWW[[#This Row],['#_of water points in TLS/CFS]]*500)</f>
        <v>0</v>
      </c>
      <c r="CN380" s="424">
        <f>IF(WWWW[[#This Row],['#_of water points in THF]]*500&gt;WWWW[[#This Row],[Total PoP ]],WWWW[[#This Row],[Total PoP ]],WWWW[[#This Row],['#_of water points in THF]]*500)</f>
        <v>0</v>
      </c>
      <c r="CO380"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0"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Q380" s="892">
        <f>IF(WWWW[[#This Row],[Location Type 1]]="Village",WWWW[[#This Row],[Access to safe drinking water for Village]],WWWW[[#This Row],[Access to safe drinking water for Camp]])</f>
        <v>1</v>
      </c>
      <c r="CR380" s="890">
        <f>WWWW[[#This Row],[%Equitable and continuous access to sufficient quantity of safe drinking water]]*WWWW[[#This Row],[Total PoP ]]</f>
        <v>323</v>
      </c>
      <c r="CS380" s="892">
        <f>IF((WWWW[[#This Row],['#_Constructed/Existing protected/fenced ponds]]*250)/WWWW[[#This Row],[Total PoP ]]&gt;1,1,(WWWW[[#This Row],['#_Constructed/Existing protected/fenced ponds]]*250)/WWWW[[#This Row],[Total PoP ]])</f>
        <v>0</v>
      </c>
      <c r="CT380" s="890">
        <f>WWWW[[#This Row],[% Access to unimproved water points]]*WWWW[[#This Row],[Total PoP ]]</f>
        <v>0</v>
      </c>
      <c r="CU380"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0"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380" s="890">
        <f>WWWW[[#This Row],[HRP1]]/500</f>
        <v>0.64600000000000002</v>
      </c>
      <c r="CX380" s="895">
        <f>1-WWWW[[#This Row],[% Equitable and continuous access to sufficient quantity of domestic water]]</f>
        <v>0</v>
      </c>
      <c r="CY380" s="890">
        <f>WWWW[[#This Row],[%equitable and continuous access to sufficient quantity of safe drinking and domestic water''s GAP]]*WWWW[[#This Row],[Total PoP ]]</f>
        <v>0</v>
      </c>
      <c r="CZ380" s="893">
        <f>IF(WWWW[[#This Row],[Total required water points]]-WWWW[[#This Row],['#Water points coverage]]&lt;0,0,WWWW[[#This Row],[Total required water points]]-WWWW[[#This Row],['#Water points coverage]])</f>
        <v>0.35399999999999998</v>
      </c>
      <c r="DA380" s="893">
        <f>ROUND(IF(WWWW[[#This Row],[Total PoP ]]&lt;500,1,WWWW[[#This Row],[Total PoP ]]/500),0)</f>
        <v>1</v>
      </c>
      <c r="DB380" s="893">
        <f>(WWWW[[#This Row],['#_Constructed latrines_by_WASHAgencies]]+WWWW[[#This Row],['#_Non Cluster partner latrines]])-WWWW[[#This Row],['#_Non-functional latrines]]</f>
        <v>10</v>
      </c>
      <c r="DC380" s="631">
        <f>WWWW[[#This Row],[HRP2]]/WWWW[[#This Row],[Total PoP ]]</f>
        <v>0.61919504643962853</v>
      </c>
      <c r="DD380"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380"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323</v>
      </c>
      <c r="DF380"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0" s="424">
        <f>IF(WWWW[[#This Row],['# of functional latrines in THF supported by WASH partners during the reporting period2]]="",0,WWWW[[#This Row],['# of functional latrines in THF supported by WASH partners during the reporting period2]]*50)</f>
        <v>0</v>
      </c>
      <c r="DH380" s="893">
        <f>ROUND(IF(WWWW[[#This Row],[Location Type 1]]="camp",WWWW[[#This Row],[Total PoP ]]/20,IF(WWWW[[#This Row],[Location Type 1]]="Temporary Location",WWWW[[#This Row],[Total PoP ]]/50,(WWWW[[#This Row],[Total PoP ]]/6))),0)</f>
        <v>16</v>
      </c>
      <c r="DI380" s="893">
        <f>IF(WWWW[[#This Row],[Total required Latrines]]-(WWWW[[#This Row],['#_Constructed latrines_by_WASHAgencies]]+WWWW[[#This Row],['#_Non Cluster partner latrines]])&lt;0,0,WWWW[[#This Row],[Total required Latrines]]-(WWWW[[#This Row],['#_Constructed latrines_by_WASHAgencies]]+WWWW[[#This Row],['#_Non Cluster partner latrines]]))</f>
        <v>6</v>
      </c>
      <c r="DJ380" s="895">
        <f>1-WWWW[[#This Row],[% people access to functioning Latrine]]</f>
        <v>0.38080495356037147</v>
      </c>
      <c r="DK380" s="894">
        <f>IF(OR(WWWW[[#This Row],['#_Non-functional latrines]]="",WWWW[[#This Row],['#_Non-functional latrines]]=0),0,WWWW[[#This Row],['#_Non-functional latrines]]/(WWWW[[#This Row],['#_Constructed latrines_by_WASHAgencies]]+WWWW[[#This Row],['#_Non Cluster partner latrines]]))</f>
        <v>0</v>
      </c>
      <c r="DL380" s="890">
        <f>IF(500*(WWWW[[#This Row],['#_male hygiene promoters]]+WWWW[[#This Row],['#_female hygiene promoters]])&gt;WWWW[[#This Row],[Total PoP ]],WWWW[[#This Row],[Total PoP ]],500*(WWWW[[#This Row],['#_male hygiene promoters]]+WWWW[[#This Row],['#_female hygiene promoters]]))</f>
        <v>0</v>
      </c>
      <c r="DM380"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0"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0" s="893">
        <f>IF(WWWW[[#This Row],['# People with access to soap]]&gt;WWWW[[#This Row],['# People with access to Sanity Pads]],WWWW[[#This Row],['# People with access to soap]],WWWW[[#This Row],['# People with access to Sanity Pads]])</f>
        <v>0</v>
      </c>
      <c r="DP380"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80" s="895">
        <f>IF(WWWW[[#This Row],[HRP3]]/WWWW[[#This Row],[Total PoP ]]&gt;1,1,WWWW[[#This Row],[HRP3]]/WWWW[[#This Row],[Total PoP ]])</f>
        <v>0</v>
      </c>
      <c r="DR380" s="894">
        <f>1-WWWW[[#This Row],[Hygiene Coverage%]]</f>
        <v>1</v>
      </c>
      <c r="DS380" s="892">
        <f>WWWW[[#This Row],['# people reached by regular dedicated hygiene promotion_5]]/WWWW[[#This Row],[Total PoP ]]</f>
        <v>0</v>
      </c>
      <c r="DT380"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0"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0" s="893">
        <f>WWWW[[#This Row],['#_Constructed/Existing hand washing stations]]-WWWW[[#This Row],['#_Non-Functional_hand_washing_stations]]</f>
        <v>7</v>
      </c>
      <c r="DW380" s="890">
        <f>IF(WWWW[[#This Row],['# Functional hand washing stations during reporting period]]*20&gt;WWWW[[#This Row],[Total HH]],WWWW[[#This Row],[Total HH]],WWWW[[#This Row],['# Functional hand washing stations during reporting period]]*20)</f>
        <v>64</v>
      </c>
      <c r="DX380" s="890">
        <f>IF(WWWW[[#This Row],[Is sufficient soap available for TLS? (Yes/No)]]="yes",WWWW[[#This Row],['#_Constructed/Existing hand washing stations at TLS/CFS/THF]],0)</f>
        <v>0</v>
      </c>
      <c r="DY380" s="428">
        <f>IF(WWWW[[#This Row],['# Functional hand washing stations during reporting period]]*100&gt;WWWW[[#This Row],[Total PoP ]],WWWW[[#This Row],[Total PoP ]],WWWW[[#This Row],['# Functional hand washing stations during reporting period]]*100)</f>
        <v>323</v>
      </c>
      <c r="DZ380" s="428" t="str">
        <f>IF(OR(WWWW[[#This Row],['#_students at TLS_CFS]]="",WWWW[[#This Row],['#_students at TLS_CFS]]=0),"No","Yes")</f>
        <v>No</v>
      </c>
      <c r="EA38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0" s="886" t="str">
        <f>VLOOKUP(WWWW[[#This Row],[Site Name]],SiteDB6[[Site Name]:[CCCM Management]],6,FALSE)</f>
        <v>Yes</v>
      </c>
      <c r="EF380" s="886" t="str">
        <f>VLOOKUP(WWWW[[#This Row],[Site Name]],SiteDB6[[Site Name]:[CCCM Focal Agency]],7,FALSE)</f>
        <v>KBC-NSS</v>
      </c>
      <c r="EG380" s="886" t="str">
        <f>VLOOKUP(WWWW[[#This Row],[Site Name]],SiteDB6[[Site Name]:[Location Type 1]],9,FALSE)</f>
        <v>Camp</v>
      </c>
      <c r="EH380" s="886" t="str">
        <f>VLOOKUP(WWWW[[#This Row],[Site Name]],SiteDB6[[Site Name]:[Type of Accommodation]],10,FALSE)</f>
        <v>Camp</v>
      </c>
      <c r="EI380" s="886" t="str">
        <f>VLOOKUP(WWWW[[#This Row],[Site Name]],SiteDB6[[Site Name]:[Ethnic or GCA/NGCA]],11,FALSE)</f>
        <v>GCA</v>
      </c>
      <c r="EJ380" s="886">
        <f>VLOOKUP(WWWW[[#This Row],[Site Name]],SiteDB6[[Site Name]:[Lat]],12,FALSE)</f>
        <v>23.828520000000001</v>
      </c>
      <c r="EK380" s="886">
        <f>VLOOKUP(WWWW[[#This Row],[Site Name]],SiteDB6[[Site Name]:[Long]],13,FALSE)</f>
        <v>97.669557999999995</v>
      </c>
      <c r="EL380" s="886" t="str">
        <f>VLOOKUP(WWWW[[#This Row],[Site Name]],SiteDB6[[Site Name]:[Pcode]],3,FALSE)</f>
        <v>MMR015CMP001</v>
      </c>
      <c r="EM380" s="891" t="str">
        <f t="shared" si="5"/>
        <v>Covered</v>
      </c>
      <c r="EN380" s="891"/>
      <c r="EO380" s="886">
        <f>VLOOKUP(WWWW[[#This Row],[Site Name]],SiteDB6[[Site Name]:[Pop
(Kachin/Shan-CCCM as of July 2021)]],16,FALSE)</f>
        <v>66</v>
      </c>
      <c r="EP380" s="886">
        <f>VLOOKUP(WWWW[[#This Row],[Site Name]],SiteDB6[[Site Name]:[Pop
(Kachin/Shan-CCCM as of July 2021)]],17,FALSE)</f>
        <v>333</v>
      </c>
    </row>
    <row r="381" spans="1:146" hidden="1">
      <c r="A381" s="884" t="s">
        <v>2764</v>
      </c>
      <c r="B381" s="884" t="s">
        <v>192</v>
      </c>
      <c r="C381" s="885" t="s">
        <v>192</v>
      </c>
      <c r="D381" s="885" t="s">
        <v>2673</v>
      </c>
      <c r="E381" s="885" t="s">
        <v>515</v>
      </c>
      <c r="F381" s="885" t="s">
        <v>516</v>
      </c>
      <c r="G381" s="591" t="str">
        <f>VLOOKUP(WWWW[[#This Row],[Site Name]],SiteDB6[[Site Name]:[Location Type]],8,FALSE)</f>
        <v>Camp</v>
      </c>
      <c r="H381" s="885" t="s">
        <v>551</v>
      </c>
      <c r="I381" s="887">
        <v>6</v>
      </c>
      <c r="J381" s="887">
        <v>31</v>
      </c>
      <c r="K381" s="888" t="s">
        <v>2767</v>
      </c>
      <c r="L381" s="889" t="s">
        <v>2768</v>
      </c>
      <c r="M381" s="887"/>
      <c r="N381" s="887"/>
      <c r="O381" s="887">
        <v>1</v>
      </c>
      <c r="P381" s="887"/>
      <c r="Q381" s="890"/>
      <c r="R381" s="887"/>
      <c r="S381" s="887"/>
      <c r="T381" s="448"/>
      <c r="U381" s="887"/>
      <c r="V381" s="887"/>
      <c r="W381" s="887"/>
      <c r="X381" s="887">
        <v>1</v>
      </c>
      <c r="Y381" s="887"/>
      <c r="Z381" s="887"/>
      <c r="AA381" s="887"/>
      <c r="AB381" s="887"/>
      <c r="AC381" s="887"/>
      <c r="AD381" s="887"/>
      <c r="AE381" s="887"/>
      <c r="AF381" s="887"/>
      <c r="AG381" s="887"/>
      <c r="AH381" s="887"/>
      <c r="AI381" s="887"/>
      <c r="AJ381" s="887"/>
      <c r="AK381" s="887"/>
      <c r="AL381" s="887"/>
      <c r="AM381" s="887"/>
      <c r="AN381" s="887"/>
      <c r="AO381" s="448"/>
      <c r="AP381" s="891"/>
      <c r="AQ381" s="887"/>
      <c r="AR381" s="887">
        <v>10</v>
      </c>
      <c r="AS381" s="892"/>
      <c r="AT381" s="887"/>
      <c r="AU381" s="887"/>
      <c r="AV381" s="887"/>
      <c r="AW381" s="887"/>
      <c r="AX381" s="887"/>
      <c r="AY381" s="886" t="s">
        <v>140</v>
      </c>
      <c r="AZ381" s="891" t="s">
        <v>140</v>
      </c>
      <c r="BA381" s="887"/>
      <c r="BB381" s="887"/>
      <c r="BC381" s="887"/>
      <c r="BD381" s="448"/>
      <c r="BE381" s="448"/>
      <c r="BF381" s="886"/>
      <c r="BG381" s="887">
        <v>7</v>
      </c>
      <c r="BH381" s="887"/>
      <c r="BI381" s="887"/>
      <c r="BJ381" s="887">
        <v>4</v>
      </c>
      <c r="BK381" s="887"/>
      <c r="BL381" s="887"/>
      <c r="BM381" s="887">
        <v>1</v>
      </c>
      <c r="BN381" s="887"/>
      <c r="BO381" s="887"/>
      <c r="BP381" s="886"/>
      <c r="BQ381" s="893"/>
      <c r="BR381" s="892"/>
      <c r="BS381" s="886"/>
      <c r="BT381" s="423"/>
      <c r="BU381" s="423"/>
      <c r="BV381" s="425"/>
      <c r="BW381" s="423"/>
      <c r="BX381" s="448"/>
      <c r="BY381" s="448"/>
      <c r="BZ381" s="448"/>
      <c r="CA381" s="448"/>
      <c r="CB381" s="448"/>
      <c r="CC381" s="777"/>
      <c r="CD381" s="448"/>
      <c r="CE381" s="894" t="str">
        <f>IFERROR(WWWW[[#This Row],['#_Water sources passed]]/WWWW[[#This Row],['#_Water sources tested for fecal coliform ]],"no test")</f>
        <v>no test</v>
      </c>
      <c r="CF381" s="892" t="str">
        <f>IFERROR(WWWW[[#This Row],['#_Household passed]]/WWWW[[#This Row],['#_Household water samples tested for fecal coliform]],"no test")</f>
        <v>no test</v>
      </c>
      <c r="CG381" s="893" t="str">
        <f>IF(AND(WWWW[[#This Row],[% of water sources passed]]="no test",WWWW[[#This Row],[% Household passed]]="no test"),"No Test","Tested")</f>
        <v>No Test</v>
      </c>
      <c r="CH381" s="893">
        <f>WWWW[[#This Row],['#_Constructed/existing protected hand dug well]]-WWWW[[#This Row],['#_Non-functional protected hand dug well]]</f>
        <v>0</v>
      </c>
      <c r="CI381" s="893">
        <f>(WWWW[[#This Row],['#_Constructed/Existing tube wells/boreholes/handpumps_WASH_agency]]+WWWW[[#This Row],['#_Non-Cluster partner water tube-wells/boreholes/handpumps]])-WWWW[[#This Row],['#_Non-functional tube wells/boreholes/handpumps]]</f>
        <v>1</v>
      </c>
      <c r="CJ381" s="893">
        <f>WWWW[[#This Row],['#_Constructed/Existingwater storage tank with gravity fed reticulation system]]-WWWW[[#This Row],['#_Non-functional storage tank gravity fed reticulation system]]</f>
        <v>0</v>
      </c>
      <c r="CK381" s="893">
        <f>(WWWW[[#This Row],['#_Water_Liters_supplied_by_Water boating or water trucking]]/90)/15</f>
        <v>0</v>
      </c>
      <c r="CL381" s="893">
        <f>WWWW[[#This Row],['#_Water_Liters_from_Constructed/Existing water distribution system from river or natural spring]]/90/15</f>
        <v>0</v>
      </c>
      <c r="CM381" s="424">
        <f>IF(WWWW[[#This Row],['#_of water points in TLS/CFS]]*500&gt;WWWW[[#This Row],[Total PoP ]],WWWW[[#This Row],[Total PoP ]],WWWW[[#This Row],['#_of water points in TLS/CFS]]*500)</f>
        <v>0</v>
      </c>
      <c r="CN381" s="424">
        <f>IF(WWWW[[#This Row],['#_of water points in THF]]*500&gt;WWWW[[#This Row],[Total PoP ]],WWWW[[#This Row],[Total PoP ]],WWWW[[#This Row],['#_of water points in THF]]*500)</f>
        <v>0</v>
      </c>
      <c r="CO381"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1"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1" s="892">
        <f>IF(WWWW[[#This Row],[Location Type 1]]="Village",WWWW[[#This Row],[Access to safe drinking water for Village]],WWWW[[#This Row],[Access to safe drinking water for Camp]])</f>
        <v>1</v>
      </c>
      <c r="CR381" s="890">
        <f>WWWW[[#This Row],[%Equitable and continuous access to sufficient quantity of safe drinking water]]*WWWW[[#This Row],[Total PoP ]]</f>
        <v>31</v>
      </c>
      <c r="CS381" s="892">
        <f>IF((WWWW[[#This Row],['#_Constructed/Existing protected/fenced ponds]]*250)/WWWW[[#This Row],[Total PoP ]]&gt;1,1,(WWWW[[#This Row],['#_Constructed/Existing protected/fenced ponds]]*250)/WWWW[[#This Row],[Total PoP ]])</f>
        <v>0</v>
      </c>
      <c r="CT381" s="890">
        <f>WWWW[[#This Row],[% Access to unimproved water points]]*WWWW[[#This Row],[Total PoP ]]</f>
        <v>0</v>
      </c>
      <c r="CU381"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1"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v>
      </c>
      <c r="CW381" s="890">
        <f>WWWW[[#This Row],[HRP1]]/500</f>
        <v>6.2E-2</v>
      </c>
      <c r="CX381" s="895">
        <f>1-WWWW[[#This Row],[% Equitable and continuous access to sufficient quantity of domestic water]]</f>
        <v>0</v>
      </c>
      <c r="CY381" s="890">
        <f>WWWW[[#This Row],[%equitable and continuous access to sufficient quantity of safe drinking and domestic water''s GAP]]*WWWW[[#This Row],[Total PoP ]]</f>
        <v>0</v>
      </c>
      <c r="CZ381" s="893">
        <f>IF(WWWW[[#This Row],[Total required water points]]-WWWW[[#This Row],['#Water points coverage]]&lt;0,0,WWWW[[#This Row],[Total required water points]]-WWWW[[#This Row],['#Water points coverage]])</f>
        <v>0.93799999999999994</v>
      </c>
      <c r="DA381" s="893">
        <f>ROUND(IF(WWWW[[#This Row],[Total PoP ]]&lt;500,1,WWWW[[#This Row],[Total PoP ]]/500),0)</f>
        <v>1</v>
      </c>
      <c r="DB381" s="893">
        <f>(WWWW[[#This Row],['#_Constructed latrines_by_WASHAgencies]]+WWWW[[#This Row],['#_Non Cluster partner latrines]])-WWWW[[#This Row],['#_Non-functional latrines]]</f>
        <v>10</v>
      </c>
      <c r="DC381" s="631">
        <f>WWWW[[#This Row],[HRP2]]/WWWW[[#This Row],[Total PoP ]]</f>
        <v>1</v>
      </c>
      <c r="DD381"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DE381"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1"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1" s="424">
        <f>IF(WWWW[[#This Row],['# of functional latrines in THF supported by WASH partners during the reporting period2]]="",0,WWWW[[#This Row],['# of functional latrines in THF supported by WASH partners during the reporting period2]]*50)</f>
        <v>0</v>
      </c>
      <c r="DH381" s="893">
        <f>ROUND(IF(WWWW[[#This Row],[Location Type 1]]="camp",WWWW[[#This Row],[Total PoP ]]/20,IF(WWWW[[#This Row],[Location Type 1]]="Temporary Location",WWWW[[#This Row],[Total PoP ]]/50,(WWWW[[#This Row],[Total PoP ]]/6))),0)</f>
        <v>2</v>
      </c>
      <c r="DI381" s="893">
        <f>IF(WWWW[[#This Row],[Total required Latrines]]-(WWWW[[#This Row],['#_Constructed latrines_by_WASHAgencies]]+WWWW[[#This Row],['#_Non Cluster partner latrines]])&lt;0,0,WWWW[[#This Row],[Total required Latrines]]-(WWWW[[#This Row],['#_Constructed latrines_by_WASHAgencies]]+WWWW[[#This Row],['#_Non Cluster partner latrines]]))</f>
        <v>0</v>
      </c>
      <c r="DJ381" s="895">
        <f>1-WWWW[[#This Row],[% people access to functioning Latrine]]</f>
        <v>0</v>
      </c>
      <c r="DK381" s="894">
        <f>IF(OR(WWWW[[#This Row],['#_Non-functional latrines]]="",WWWW[[#This Row],['#_Non-functional latrines]]=0),0,WWWW[[#This Row],['#_Non-functional latrines]]/(WWWW[[#This Row],['#_Constructed latrines_by_WASHAgencies]]+WWWW[[#This Row],['#_Non Cluster partner latrines]]))</f>
        <v>0</v>
      </c>
      <c r="DL381" s="890">
        <f>IF(500*(WWWW[[#This Row],['#_male hygiene promoters]]+WWWW[[#This Row],['#_female hygiene promoters]])&gt;WWWW[[#This Row],[Total PoP ]],WWWW[[#This Row],[Total PoP ]],500*(WWWW[[#This Row],['#_male hygiene promoters]]+WWWW[[#This Row],['#_female hygiene promoters]]))</f>
        <v>31</v>
      </c>
      <c r="DM381"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1"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1" s="893">
        <f>IF(WWWW[[#This Row],['# People with access to soap]]&gt;WWWW[[#This Row],['# People with access to Sanity Pads]],WWWW[[#This Row],['# People with access to soap]],WWWW[[#This Row],['# People with access to Sanity Pads]])</f>
        <v>0</v>
      </c>
      <c r="DP381" s="893">
        <f>IF(WWWW[[#This Row],['# people reached by regular dedicated hygiene promotion_5]]&gt;WWWW[[#This Row],['# People received regular supply of hygiene items_6]],WWWW[[#This Row],['# people reached by regular dedicated hygiene promotion_5]],WWWW[[#This Row],['# People received regular supply of hygiene items_6]])</f>
        <v>31</v>
      </c>
      <c r="DQ381" s="895">
        <f>IF(WWWW[[#This Row],[HRP3]]/WWWW[[#This Row],[Total PoP ]]&gt;1,1,WWWW[[#This Row],[HRP3]]/WWWW[[#This Row],[Total PoP ]])</f>
        <v>1</v>
      </c>
      <c r="DR381" s="894">
        <f>1-WWWW[[#This Row],[Hygiene Coverage%]]</f>
        <v>0</v>
      </c>
      <c r="DS381" s="892">
        <f>WWWW[[#This Row],['# people reached by regular dedicated hygiene promotion_5]]/WWWW[[#This Row],[Total PoP ]]</f>
        <v>1</v>
      </c>
      <c r="DT381"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1"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1" s="893">
        <f>WWWW[[#This Row],['#_Constructed/Existing hand washing stations]]-WWWW[[#This Row],['#_Non-Functional_hand_washing_stations]]</f>
        <v>7</v>
      </c>
      <c r="DW381" s="890">
        <f>IF(WWWW[[#This Row],['# Functional hand washing stations during reporting period]]*20&gt;WWWW[[#This Row],[Total HH]],WWWW[[#This Row],[Total HH]],WWWW[[#This Row],['# Functional hand washing stations during reporting period]]*20)</f>
        <v>6</v>
      </c>
      <c r="DX381" s="890">
        <f>IF(WWWW[[#This Row],[Is sufficient soap available for TLS? (Yes/No)]]="yes",WWWW[[#This Row],['#_Constructed/Existing hand washing stations at TLS/CFS/THF]],0)</f>
        <v>0</v>
      </c>
      <c r="DY381" s="428">
        <f>IF(WWWW[[#This Row],['# Functional hand washing stations during reporting period]]*100&gt;WWWW[[#This Row],[Total PoP ]],WWWW[[#This Row],[Total PoP ]],WWWW[[#This Row],['# Functional hand washing stations during reporting period]]*100)</f>
        <v>31</v>
      </c>
      <c r="DZ381" s="428" t="str">
        <f>IF(OR(WWWW[[#This Row],['#_students at TLS_CFS]]="",WWWW[[#This Row],['#_students at TLS_CFS]]=0),"No","Yes")</f>
        <v>No</v>
      </c>
      <c r="EA38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1" s="886" t="str">
        <f>VLOOKUP(WWWW[[#This Row],[Site Name]],SiteDB6[[Site Name]:[CCCM Management]],6,FALSE)</f>
        <v>Yes</v>
      </c>
      <c r="EF381" s="886" t="str">
        <f>VLOOKUP(WWWW[[#This Row],[Site Name]],SiteDB6[[Site Name]:[CCCM Focal Agency]],7,FALSE)</f>
        <v>KBC-NSS</v>
      </c>
      <c r="EG381" s="886" t="str">
        <f>VLOOKUP(WWWW[[#This Row],[Site Name]],SiteDB6[[Site Name]:[Location Type 1]],9,FALSE)</f>
        <v>Camp</v>
      </c>
      <c r="EH381" s="886" t="str">
        <f>VLOOKUP(WWWW[[#This Row],[Site Name]],SiteDB6[[Site Name]:[Type of Accommodation]],10,FALSE)</f>
        <v>Closed Camp</v>
      </c>
      <c r="EI381" s="886" t="str">
        <f>VLOOKUP(WWWW[[#This Row],[Site Name]],SiteDB6[[Site Name]:[Ethnic or GCA/NGCA]],11,FALSE)</f>
        <v>GCA</v>
      </c>
      <c r="EJ381" s="886">
        <f>VLOOKUP(WWWW[[#This Row],[Site Name]],SiteDB6[[Site Name]:[Lat]],12,FALSE)</f>
        <v>23.841646999999998</v>
      </c>
      <c r="EK381" s="886">
        <f>VLOOKUP(WWWW[[#This Row],[Site Name]],SiteDB6[[Site Name]:[Long]],13,FALSE)</f>
        <v>97.700940000000003</v>
      </c>
      <c r="EL381" s="886" t="str">
        <f>VLOOKUP(WWWW[[#This Row],[Site Name]],SiteDB6[[Site Name]:[Pcode]],3,FALSE)</f>
        <v>MMR015CMP214</v>
      </c>
      <c r="EM381" s="891" t="str">
        <f t="shared" si="5"/>
        <v>Covered</v>
      </c>
      <c r="EN381" s="891"/>
      <c r="EO381" s="886">
        <f>VLOOKUP(WWWW[[#This Row],[Site Name]],SiteDB6[[Site Name]:[Pop
(Kachin/Shan-CCCM as of July 2021)]],16,FALSE)</f>
        <v>7</v>
      </c>
      <c r="EP381" s="886">
        <f>VLOOKUP(WWWW[[#This Row],[Site Name]],SiteDB6[[Site Name]:[Pop
(Kachin/Shan-CCCM as of July 2021)]],17,FALSE)</f>
        <v>32</v>
      </c>
    </row>
    <row r="382" spans="1:146" hidden="1">
      <c r="A382" s="884" t="s">
        <v>2764</v>
      </c>
      <c r="B382" s="884" t="s">
        <v>2359</v>
      </c>
      <c r="C382" s="885" t="s">
        <v>2359</v>
      </c>
      <c r="D382" s="885" t="s">
        <v>2673</v>
      </c>
      <c r="E382" s="885" t="s">
        <v>515</v>
      </c>
      <c r="F382" s="885" t="s">
        <v>516</v>
      </c>
      <c r="G382" s="591" t="str">
        <f>VLOOKUP(WWWW[[#This Row],[Site Name]],SiteDB6[[Site Name]:[Location Type]],8,FALSE)</f>
        <v>Camp</v>
      </c>
      <c r="H382" s="885" t="s">
        <v>517</v>
      </c>
      <c r="I382" s="887">
        <v>44</v>
      </c>
      <c r="J382" s="887">
        <v>213</v>
      </c>
      <c r="K382" s="888" t="s">
        <v>2767</v>
      </c>
      <c r="L382" s="889" t="s">
        <v>2768</v>
      </c>
      <c r="M382" s="887"/>
      <c r="N382" s="887">
        <v>2</v>
      </c>
      <c r="O382" s="887"/>
      <c r="P382" s="887"/>
      <c r="Q382" s="890" t="s">
        <v>41</v>
      </c>
      <c r="R382" s="887">
        <v>3</v>
      </c>
      <c r="S382" s="887">
        <v>9</v>
      </c>
      <c r="T382" s="448">
        <v>1</v>
      </c>
      <c r="U382" s="887"/>
      <c r="V382" s="887"/>
      <c r="W382" s="887"/>
      <c r="X382" s="887">
        <v>2</v>
      </c>
      <c r="Y382" s="887"/>
      <c r="Z382" s="887"/>
      <c r="AA382" s="887"/>
      <c r="AB382" s="887"/>
      <c r="AC382" s="887"/>
      <c r="AD382" s="887"/>
      <c r="AE382" s="887">
        <v>1</v>
      </c>
      <c r="AF382" s="887"/>
      <c r="AG382" s="887"/>
      <c r="AH382" s="887">
        <v>2</v>
      </c>
      <c r="AI382" s="887"/>
      <c r="AJ382" s="887"/>
      <c r="AK382" s="887"/>
      <c r="AL382" s="887"/>
      <c r="AM382" s="887">
        <v>3</v>
      </c>
      <c r="AN382" s="887"/>
      <c r="AO382" s="448"/>
      <c r="AP382" s="891"/>
      <c r="AQ382" s="887">
        <v>14</v>
      </c>
      <c r="AR382" s="887"/>
      <c r="AS382" s="892"/>
      <c r="AT382" s="887"/>
      <c r="AU382" s="887"/>
      <c r="AV382" s="887"/>
      <c r="AW382" s="887"/>
      <c r="AX382" s="887">
        <v>14</v>
      </c>
      <c r="AY382" s="886" t="s">
        <v>41</v>
      </c>
      <c r="AZ382" s="891" t="s">
        <v>137</v>
      </c>
      <c r="BA382" s="887"/>
      <c r="BB382" s="887"/>
      <c r="BC382" s="887"/>
      <c r="BD382" s="448"/>
      <c r="BE382" s="448"/>
      <c r="BF382" s="886"/>
      <c r="BG382" s="887">
        <v>3</v>
      </c>
      <c r="BH382" s="887"/>
      <c r="BI382" s="887"/>
      <c r="BJ382" s="887">
        <v>2</v>
      </c>
      <c r="BK382" s="887"/>
      <c r="BL382" s="887">
        <v>1</v>
      </c>
      <c r="BM382" s="887">
        <v>1</v>
      </c>
      <c r="BN382" s="887"/>
      <c r="BO382" s="887"/>
      <c r="BP382" s="886"/>
      <c r="BQ382" s="893"/>
      <c r="BR382" s="892"/>
      <c r="BS382" s="886"/>
      <c r="BT382" s="423"/>
      <c r="BU382" s="423"/>
      <c r="BV382" s="425"/>
      <c r="BW382" s="423"/>
      <c r="BX382" s="448"/>
      <c r="BY382" s="448"/>
      <c r="BZ382" s="448"/>
      <c r="CA382" s="448"/>
      <c r="CB382" s="448"/>
      <c r="CC382" s="777"/>
      <c r="CD382" s="448"/>
      <c r="CE382" s="894" t="str">
        <f>IFERROR(WWWW[[#This Row],['#_Water sources passed]]/WWWW[[#This Row],['#_Water sources tested for fecal coliform ]],"no test")</f>
        <v>no test</v>
      </c>
      <c r="CF382" s="892" t="str">
        <f>IFERROR(WWWW[[#This Row],['#_Household passed]]/WWWW[[#This Row],['#_Household water samples tested for fecal coliform]],"no test")</f>
        <v>no test</v>
      </c>
      <c r="CG382" s="893" t="str">
        <f>IF(AND(WWWW[[#This Row],[% of water sources passed]]="no test",WWWW[[#This Row],[% Household passed]]="no test"),"No Test","Tested")</f>
        <v>No Test</v>
      </c>
      <c r="CH382" s="893">
        <f>WWWW[[#This Row],['#_Constructed/existing protected hand dug well]]-WWWW[[#This Row],['#_Non-functional protected hand dug well]]</f>
        <v>1</v>
      </c>
      <c r="CI382" s="893">
        <f>(WWWW[[#This Row],['#_Constructed/Existing tube wells/boreholes/handpumps_WASH_agency]]+WWWW[[#This Row],['#_Non-Cluster partner water tube-wells/boreholes/handpumps]])-WWWW[[#This Row],['#_Non-functional tube wells/boreholes/handpumps]]</f>
        <v>2</v>
      </c>
      <c r="CJ382" s="893">
        <f>WWWW[[#This Row],['#_Constructed/Existingwater storage tank with gravity fed reticulation system]]-WWWW[[#This Row],['#_Non-functional storage tank gravity fed reticulation system]]</f>
        <v>0</v>
      </c>
      <c r="CK382" s="893">
        <f>(WWWW[[#This Row],['#_Water_Liters_supplied_by_Water boating or water trucking]]/90)/15</f>
        <v>0</v>
      </c>
      <c r="CL382" s="893">
        <f>WWWW[[#This Row],['#_Water_Liters_from_Constructed/Existing water distribution system from river or natural spring]]/90/15</f>
        <v>0</v>
      </c>
      <c r="CM382" s="424">
        <f>IF(WWWW[[#This Row],['#_of water points in TLS/CFS]]*500&gt;WWWW[[#This Row],[Total PoP ]],WWWW[[#This Row],[Total PoP ]],WWWW[[#This Row],['#_of water points in TLS/CFS]]*500)</f>
        <v>0</v>
      </c>
      <c r="CN382" s="424">
        <f>IF(WWWW[[#This Row],['#_of water points in THF]]*500&gt;WWWW[[#This Row],[Total PoP ]],WWWW[[#This Row],[Total PoP ]],WWWW[[#This Row],['#_of water points in THF]]*500)</f>
        <v>0</v>
      </c>
      <c r="CO38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2" s="892">
        <f>IF(WWWW[[#This Row],[Location Type 1]]="Village",WWWW[[#This Row],[Access to safe drinking water for Village]],WWWW[[#This Row],[Access to safe drinking water for Camp]])</f>
        <v>1</v>
      </c>
      <c r="CR382" s="890">
        <f>WWWW[[#This Row],[%Equitable and continuous access to sufficient quantity of safe drinking water]]*WWWW[[#This Row],[Total PoP ]]</f>
        <v>213</v>
      </c>
      <c r="CS382" s="892">
        <f>IF((WWWW[[#This Row],['#_Constructed/Existing protected/fenced ponds]]*250)/WWWW[[#This Row],[Total PoP ]]&gt;1,1,(WWWW[[#This Row],['#_Constructed/Existing protected/fenced ponds]]*250)/WWWW[[#This Row],[Total PoP ]])</f>
        <v>1</v>
      </c>
      <c r="CT382" s="890">
        <f>WWWW[[#This Row],[% Access to unimproved water points]]*WWWW[[#This Row],[Total PoP ]]</f>
        <v>213</v>
      </c>
      <c r="CU38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W382" s="890">
        <f>WWWW[[#This Row],[HRP1]]/500</f>
        <v>0.42599999999999999</v>
      </c>
      <c r="CX382" s="895">
        <f>1-WWWW[[#This Row],[% Equitable and continuous access to sufficient quantity of domestic water]]</f>
        <v>0</v>
      </c>
      <c r="CY382" s="890">
        <f>WWWW[[#This Row],[%equitable and continuous access to sufficient quantity of safe drinking and domestic water''s GAP]]*WWWW[[#This Row],[Total PoP ]]</f>
        <v>0</v>
      </c>
      <c r="CZ382" s="893">
        <f>IF(WWWW[[#This Row],[Total required water points]]-WWWW[[#This Row],['#Water points coverage]]&lt;0,0,WWWW[[#This Row],[Total required water points]]-WWWW[[#This Row],['#Water points coverage]])</f>
        <v>0.57400000000000007</v>
      </c>
      <c r="DA382" s="893">
        <f>ROUND(IF(WWWW[[#This Row],[Total PoP ]]&lt;500,1,WWWW[[#This Row],[Total PoP ]]/500),0)</f>
        <v>1</v>
      </c>
      <c r="DB382" s="893">
        <f>(WWWW[[#This Row],['#_Constructed latrines_by_WASHAgencies]]+WWWW[[#This Row],['#_Non Cluster partner latrines]])-WWWW[[#This Row],['#_Non-functional latrines]]</f>
        <v>14</v>
      </c>
      <c r="DC382" s="631">
        <f>WWWW[[#This Row],[HRP2]]/WWWW[[#This Row],[Total PoP ]]</f>
        <v>1</v>
      </c>
      <c r="DD38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213</v>
      </c>
      <c r="DE38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2" s="424">
        <f>IF(WWWW[[#This Row],['# of functional latrines in THF supported by WASH partners during the reporting period2]]="",0,WWWW[[#This Row],['# of functional latrines in THF supported by WASH partners during the reporting period2]]*50)</f>
        <v>0</v>
      </c>
      <c r="DH382" s="893">
        <f>ROUND(IF(WWWW[[#This Row],[Location Type 1]]="camp",WWWW[[#This Row],[Total PoP ]]/20,IF(WWWW[[#This Row],[Location Type 1]]="Temporary Location",WWWW[[#This Row],[Total PoP ]]/50,(WWWW[[#This Row],[Total PoP ]]/6))),0)</f>
        <v>11</v>
      </c>
      <c r="DI382" s="893">
        <f>IF(WWWW[[#This Row],[Total required Latrines]]-(WWWW[[#This Row],['#_Constructed latrines_by_WASHAgencies]]+WWWW[[#This Row],['#_Non Cluster partner latrines]])&lt;0,0,WWWW[[#This Row],[Total required Latrines]]-(WWWW[[#This Row],['#_Constructed latrines_by_WASHAgencies]]+WWWW[[#This Row],['#_Non Cluster partner latrines]]))</f>
        <v>0</v>
      </c>
      <c r="DJ382" s="895">
        <f>1-WWWW[[#This Row],[% people access to functioning Latrine]]</f>
        <v>0</v>
      </c>
      <c r="DK382" s="894">
        <f>IF(OR(WWWW[[#This Row],['#_Non-functional latrines]]="",WWWW[[#This Row],['#_Non-functional latrines]]=0),0,WWWW[[#This Row],['#_Non-functional latrines]]/(WWWW[[#This Row],['#_Constructed latrines_by_WASHAgencies]]+WWWW[[#This Row],['#_Non Cluster partner latrines]]))</f>
        <v>0</v>
      </c>
      <c r="DL382" s="890">
        <f>IF(500*(WWWW[[#This Row],['#_male hygiene promoters]]+WWWW[[#This Row],['#_female hygiene promoters]])&gt;WWWW[[#This Row],[Total PoP ]],WWWW[[#This Row],[Total PoP ]],500*(WWWW[[#This Row],['#_male hygiene promoters]]+WWWW[[#This Row],['#_female hygiene promoters]]))</f>
        <v>213</v>
      </c>
      <c r="DM38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2" s="893">
        <f>IF(WWWW[[#This Row],['# People with access to soap]]&gt;WWWW[[#This Row],['# People with access to Sanity Pads]],WWWW[[#This Row],['# People with access to soap]],WWWW[[#This Row],['# People with access to Sanity Pads]])</f>
        <v>0</v>
      </c>
      <c r="DP382" s="893">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Q382" s="895">
        <f>IF(WWWW[[#This Row],[HRP3]]/WWWW[[#This Row],[Total PoP ]]&gt;1,1,WWWW[[#This Row],[HRP3]]/WWWW[[#This Row],[Total PoP ]])</f>
        <v>1</v>
      </c>
      <c r="DR382" s="894">
        <f>1-WWWW[[#This Row],[Hygiene Coverage%]]</f>
        <v>0</v>
      </c>
      <c r="DS382" s="892">
        <f>WWWW[[#This Row],['# people reached by regular dedicated hygiene promotion_5]]/WWWW[[#This Row],[Total PoP ]]</f>
        <v>1</v>
      </c>
      <c r="DT38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2" s="893">
        <f>WWWW[[#This Row],['#_Constructed/Existing hand washing stations]]-WWWW[[#This Row],['#_Non-Functional_hand_washing_stations]]</f>
        <v>3</v>
      </c>
      <c r="DW382" s="890">
        <f>IF(WWWW[[#This Row],['# Functional hand washing stations during reporting period]]*20&gt;WWWW[[#This Row],[Total HH]],WWWW[[#This Row],[Total HH]],WWWW[[#This Row],['# Functional hand washing stations during reporting period]]*20)</f>
        <v>44</v>
      </c>
      <c r="DX382" s="890">
        <f>IF(WWWW[[#This Row],[Is sufficient soap available for TLS? (Yes/No)]]="yes",WWWW[[#This Row],['#_Constructed/Existing hand washing stations at TLS/CFS/THF]],0)</f>
        <v>0</v>
      </c>
      <c r="DY382" s="428">
        <f>IF(WWWW[[#This Row],['# Functional hand washing stations during reporting period]]*100&gt;WWWW[[#This Row],[Total PoP ]],WWWW[[#This Row],[Total PoP ]],WWWW[[#This Row],['# Functional hand washing stations during reporting period]]*100)</f>
        <v>213</v>
      </c>
      <c r="DZ382" s="428" t="str">
        <f>IF(OR(WWWW[[#This Row],['#_students at TLS_CFS]]="",WWWW[[#This Row],['#_students at TLS_CFS]]=0),"No","Yes")</f>
        <v>No</v>
      </c>
      <c r="EA38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2" s="886" t="str">
        <f>VLOOKUP(WWWW[[#This Row],[Site Name]],SiteDB6[[Site Name]:[CCCM Management]],6,FALSE)</f>
        <v>Yes</v>
      </c>
      <c r="EF382" s="886" t="str">
        <f>VLOOKUP(WWWW[[#This Row],[Site Name]],SiteDB6[[Site Name]:[CCCM Focal Agency]],7,FALSE)</f>
        <v>KMSS-LSO</v>
      </c>
      <c r="EG382" s="886" t="str">
        <f>VLOOKUP(WWWW[[#This Row],[Site Name]],SiteDB6[[Site Name]:[Location Type 1]],9,FALSE)</f>
        <v>Camp</v>
      </c>
      <c r="EH382" s="886" t="str">
        <f>VLOOKUP(WWWW[[#This Row],[Site Name]],SiteDB6[[Site Name]:[Type of Accommodation]],10,FALSE)</f>
        <v>Camp</v>
      </c>
      <c r="EI382" s="886" t="str">
        <f>VLOOKUP(WWWW[[#This Row],[Site Name]],SiteDB6[[Site Name]:[Ethnic or GCA/NGCA]],11,FALSE)</f>
        <v>GCA</v>
      </c>
      <c r="EJ382" s="886">
        <f>VLOOKUP(WWWW[[#This Row],[Site Name]],SiteDB6[[Site Name]:[Lat]],12,FALSE)</f>
        <v>23.828150000000001</v>
      </c>
      <c r="EK382" s="886">
        <f>VLOOKUP(WWWW[[#This Row],[Site Name]],SiteDB6[[Site Name]:[Long]],13,FALSE)</f>
        <v>97.670360000000002</v>
      </c>
      <c r="EL382" s="886" t="str">
        <f>VLOOKUP(WWWW[[#This Row],[Site Name]],SiteDB6[[Site Name]:[Pcode]],3,FALSE)</f>
        <v>MMR015CMP003</v>
      </c>
      <c r="EM382" s="891" t="str">
        <f t="shared" si="5"/>
        <v>Covered</v>
      </c>
      <c r="EN382" s="891"/>
      <c r="EO382" s="886">
        <f>VLOOKUP(WWWW[[#This Row],[Site Name]],SiteDB6[[Site Name]:[Pop
(Kachin/Shan-CCCM as of July 2021)]],16,FALSE)</f>
        <v>44</v>
      </c>
      <c r="EP382" s="886">
        <f>VLOOKUP(WWWW[[#This Row],[Site Name]],SiteDB6[[Site Name]:[Pop
(Kachin/Shan-CCCM as of July 2021)]],17,FALSE)</f>
        <v>217</v>
      </c>
    </row>
    <row r="383" spans="1:146" hidden="1">
      <c r="A383" s="884" t="s">
        <v>2764</v>
      </c>
      <c r="B383" s="884" t="s">
        <v>192</v>
      </c>
      <c r="C383" s="885" t="s">
        <v>192</v>
      </c>
      <c r="D383" s="885" t="s">
        <v>2673</v>
      </c>
      <c r="E383" s="885" t="s">
        <v>515</v>
      </c>
      <c r="F383" s="885" t="s">
        <v>519</v>
      </c>
      <c r="G383" s="591" t="str">
        <f>VLOOKUP(WWWW[[#This Row],[Site Name]],SiteDB6[[Site Name]:[Location Type]],8,FALSE)</f>
        <v>Camp</v>
      </c>
      <c r="H383" s="885" t="s">
        <v>531</v>
      </c>
      <c r="I383" s="887">
        <v>54</v>
      </c>
      <c r="J383" s="887">
        <v>250</v>
      </c>
      <c r="K383" s="888" t="s">
        <v>2767</v>
      </c>
      <c r="L383" s="889" t="s">
        <v>2768</v>
      </c>
      <c r="M383" s="887"/>
      <c r="N383" s="887">
        <v>1</v>
      </c>
      <c r="O383" s="887"/>
      <c r="P383" s="887"/>
      <c r="Q383" s="890" t="s">
        <v>41</v>
      </c>
      <c r="R383" s="887">
        <v>5</v>
      </c>
      <c r="S383" s="887">
        <v>4</v>
      </c>
      <c r="T383" s="448"/>
      <c r="U383" s="887"/>
      <c r="V383" s="887"/>
      <c r="W383" s="887"/>
      <c r="X383" s="887"/>
      <c r="Y383" s="887"/>
      <c r="Z383" s="887"/>
      <c r="AA383" s="887">
        <v>12</v>
      </c>
      <c r="AB383" s="887"/>
      <c r="AC383" s="887"/>
      <c r="AD383" s="887"/>
      <c r="AE383" s="887"/>
      <c r="AF383" s="887"/>
      <c r="AG383" s="887"/>
      <c r="AH383" s="887">
        <v>1</v>
      </c>
      <c r="AI383" s="887"/>
      <c r="AJ383" s="887"/>
      <c r="AK383" s="887"/>
      <c r="AL383" s="887"/>
      <c r="AM383" s="887"/>
      <c r="AN383" s="887"/>
      <c r="AO383" s="448"/>
      <c r="AP383" s="891"/>
      <c r="AQ383" s="887">
        <v>18</v>
      </c>
      <c r="AR383" s="887"/>
      <c r="AS383" s="892"/>
      <c r="AT383" s="887"/>
      <c r="AU383" s="887"/>
      <c r="AV383" s="887"/>
      <c r="AW383" s="887"/>
      <c r="AX383" s="887"/>
      <c r="AY383" s="886" t="s">
        <v>41</v>
      </c>
      <c r="AZ383" s="891" t="s">
        <v>137</v>
      </c>
      <c r="BA383" s="887"/>
      <c r="BB383" s="887"/>
      <c r="BC383" s="887"/>
      <c r="BD383" s="448"/>
      <c r="BE383" s="448"/>
      <c r="BF383" s="886"/>
      <c r="BG383" s="448">
        <v>6</v>
      </c>
      <c r="BH383" s="887"/>
      <c r="BI383" s="887"/>
      <c r="BJ383" s="887">
        <v>1</v>
      </c>
      <c r="BK383" s="887"/>
      <c r="BL383" s="887"/>
      <c r="BM383" s="887">
        <v>2</v>
      </c>
      <c r="BN383" s="887"/>
      <c r="BO383" s="887"/>
      <c r="BP383" s="425" t="s">
        <v>41</v>
      </c>
      <c r="BQ383" s="893"/>
      <c r="BR383" s="423">
        <v>1</v>
      </c>
      <c r="BS383" s="886"/>
      <c r="BT383" s="423"/>
      <c r="BU383" s="423"/>
      <c r="BV383" s="425"/>
      <c r="BW383" s="423"/>
      <c r="BX383" s="448"/>
      <c r="BY383" s="448"/>
      <c r="BZ383" s="448"/>
      <c r="CA383" s="448"/>
      <c r="CB383" s="448"/>
      <c r="CC383" s="777"/>
      <c r="CD383" s="448"/>
      <c r="CE383" s="894" t="str">
        <f>IFERROR(WWWW[[#This Row],['#_Water sources passed]]/WWWW[[#This Row],['#_Water sources tested for fecal coliform ]],"no test")</f>
        <v>no test</v>
      </c>
      <c r="CF383" s="892" t="str">
        <f>IFERROR(WWWW[[#This Row],['#_Household passed]]/WWWW[[#This Row],['#_Household water samples tested for fecal coliform]],"no test")</f>
        <v>no test</v>
      </c>
      <c r="CG383" s="893" t="str">
        <f>IF(AND(WWWW[[#This Row],[% of water sources passed]]="no test",WWWW[[#This Row],[% Household passed]]="no test"),"No Test","Tested")</f>
        <v>No Test</v>
      </c>
      <c r="CH383" s="893">
        <f>WWWW[[#This Row],['#_Constructed/existing protected hand dug well]]-WWWW[[#This Row],['#_Non-functional protected hand dug well]]</f>
        <v>0</v>
      </c>
      <c r="CI383" s="893">
        <f>(WWWW[[#This Row],['#_Constructed/Existing tube wells/boreholes/handpumps_WASH_agency]]+WWWW[[#This Row],['#_Non-Cluster partner water tube-wells/boreholes/handpumps]])-WWWW[[#This Row],['#_Non-functional tube wells/boreholes/handpumps]]</f>
        <v>0</v>
      </c>
      <c r="CJ383" s="893">
        <f>WWWW[[#This Row],['#_Constructed/Existingwater storage tank with gravity fed reticulation system]]-WWWW[[#This Row],['#_Non-functional storage tank gravity fed reticulation system]]</f>
        <v>12</v>
      </c>
      <c r="CK383" s="893">
        <f>(WWWW[[#This Row],['#_Water_Liters_supplied_by_Water boating or water trucking]]/90)/15</f>
        <v>0</v>
      </c>
      <c r="CL383" s="893">
        <f>WWWW[[#This Row],['#_Water_Liters_from_Constructed/Existing water distribution system from river or natural spring]]/90/15</f>
        <v>0</v>
      </c>
      <c r="CM383" s="424">
        <f>IF(WWWW[[#This Row],['#_of water points in TLS/CFS]]*500&gt;WWWW[[#This Row],[Total PoP ]],WWWW[[#This Row],[Total PoP ]],WWWW[[#This Row],['#_of water points in TLS/CFS]]*500)</f>
        <v>0</v>
      </c>
      <c r="CN383" s="424">
        <f>IF(WWWW[[#This Row],['#_of water points in THF]]*500&gt;WWWW[[#This Row],[Total PoP ]],WWWW[[#This Row],[Total PoP ]],WWWW[[#This Row],['#_of water points in THF]]*500)</f>
        <v>0</v>
      </c>
      <c r="CO38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3" s="892">
        <f>IF(WWWW[[#This Row],[Location Type 1]]="Village",WWWW[[#This Row],[Access to safe drinking water for Village]],WWWW[[#This Row],[Access to safe drinking water for Camp]])</f>
        <v>1</v>
      </c>
      <c r="CR383" s="890">
        <f>WWWW[[#This Row],[%Equitable and continuous access to sufficient quantity of safe drinking water]]*WWWW[[#This Row],[Total PoP ]]</f>
        <v>250</v>
      </c>
      <c r="CS383" s="892">
        <f>IF((WWWW[[#This Row],['#_Constructed/Existing protected/fenced ponds]]*250)/WWWW[[#This Row],[Total PoP ]]&gt;1,1,(WWWW[[#This Row],['#_Constructed/Existing protected/fenced ponds]]*250)/WWWW[[#This Row],[Total PoP ]])</f>
        <v>0</v>
      </c>
      <c r="CT383" s="890">
        <f>WWWW[[#This Row],[% Access to unimproved water points]]*WWWW[[#This Row],[Total PoP ]]</f>
        <v>0</v>
      </c>
      <c r="CU38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383" s="890">
        <f>WWWW[[#This Row],[HRP1]]/500</f>
        <v>0.5</v>
      </c>
      <c r="CX383" s="895">
        <f>1-WWWW[[#This Row],[% Equitable and continuous access to sufficient quantity of domestic water]]</f>
        <v>0</v>
      </c>
      <c r="CY383" s="890">
        <f>WWWW[[#This Row],[%equitable and continuous access to sufficient quantity of safe drinking and domestic water''s GAP]]*WWWW[[#This Row],[Total PoP ]]</f>
        <v>0</v>
      </c>
      <c r="CZ383" s="893">
        <f>IF(WWWW[[#This Row],[Total required water points]]-WWWW[[#This Row],['#Water points coverage]]&lt;0,0,WWWW[[#This Row],[Total required water points]]-WWWW[[#This Row],['#Water points coverage]])</f>
        <v>0.5</v>
      </c>
      <c r="DA383" s="893">
        <f>ROUND(IF(WWWW[[#This Row],[Total PoP ]]&lt;500,1,WWWW[[#This Row],[Total PoP ]]/500),0)</f>
        <v>1</v>
      </c>
      <c r="DB383" s="893">
        <f>(WWWW[[#This Row],['#_Constructed latrines_by_WASHAgencies]]+WWWW[[#This Row],['#_Non Cluster partner latrines]])-WWWW[[#This Row],['#_Non-functional latrines]]</f>
        <v>18</v>
      </c>
      <c r="DC383" s="631">
        <f>WWWW[[#This Row],[HRP2]]/WWWW[[#This Row],[Total PoP ]]</f>
        <v>1</v>
      </c>
      <c r="DD38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v>
      </c>
      <c r="DE38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3" s="424">
        <f>IF(WWWW[[#This Row],['# of functional latrines in THF supported by WASH partners during the reporting period2]]="",0,WWWW[[#This Row],['# of functional latrines in THF supported by WASH partners during the reporting period2]]*50)</f>
        <v>0</v>
      </c>
      <c r="DH383" s="893">
        <f>ROUND(IF(WWWW[[#This Row],[Location Type 1]]="camp",WWWW[[#This Row],[Total PoP ]]/20,IF(WWWW[[#This Row],[Location Type 1]]="Temporary Location",WWWW[[#This Row],[Total PoP ]]/50,(WWWW[[#This Row],[Total PoP ]]/6))),0)</f>
        <v>13</v>
      </c>
      <c r="DI383" s="893">
        <f>IF(WWWW[[#This Row],[Total required Latrines]]-(WWWW[[#This Row],['#_Constructed latrines_by_WASHAgencies]]+WWWW[[#This Row],['#_Non Cluster partner latrines]])&lt;0,0,WWWW[[#This Row],[Total required Latrines]]-(WWWW[[#This Row],['#_Constructed latrines_by_WASHAgencies]]+WWWW[[#This Row],['#_Non Cluster partner latrines]]))</f>
        <v>0</v>
      </c>
      <c r="DJ383" s="895">
        <f>1-WWWW[[#This Row],[% people access to functioning Latrine]]</f>
        <v>0</v>
      </c>
      <c r="DK383" s="894">
        <f>IF(OR(WWWW[[#This Row],['#_Non-functional latrines]]="",WWWW[[#This Row],['#_Non-functional latrines]]=0),0,WWWW[[#This Row],['#_Non-functional latrines]]/(WWWW[[#This Row],['#_Constructed latrines_by_WASHAgencies]]+WWWW[[#This Row],['#_Non Cluster partner latrines]]))</f>
        <v>0</v>
      </c>
      <c r="DL383" s="890">
        <f>IF(500*(WWWW[[#This Row],['#_male hygiene promoters]]+WWWW[[#This Row],['#_female hygiene promoters]])&gt;WWWW[[#This Row],[Total PoP ]],WWWW[[#This Row],[Total PoP ]],500*(WWWW[[#This Row],['#_male hygiene promoters]]+WWWW[[#This Row],['#_female hygiene promoters]]))</f>
        <v>250</v>
      </c>
      <c r="DM38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3" s="893">
        <f>IF(WWWW[[#This Row],['# People with access to soap]]&gt;WWWW[[#This Row],['# People with access to Sanity Pads]],WWWW[[#This Row],['# People with access to soap]],WWWW[[#This Row],['# People with access to Sanity Pads]])</f>
        <v>0</v>
      </c>
      <c r="DP383" s="893">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383" s="895">
        <f>IF(WWWW[[#This Row],[HRP3]]/WWWW[[#This Row],[Total PoP ]]&gt;1,1,WWWW[[#This Row],[HRP3]]/WWWW[[#This Row],[Total PoP ]])</f>
        <v>1</v>
      </c>
      <c r="DR383" s="894">
        <f>1-WWWW[[#This Row],[Hygiene Coverage%]]</f>
        <v>0</v>
      </c>
      <c r="DS383" s="892">
        <f>WWWW[[#This Row],['# people reached by regular dedicated hygiene promotion_5]]/WWWW[[#This Row],[Total PoP ]]</f>
        <v>1</v>
      </c>
      <c r="DT38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3" s="893">
        <f>WWWW[[#This Row],['#_Constructed/Existing hand washing stations]]-WWWW[[#This Row],['#_Non-Functional_hand_washing_stations]]</f>
        <v>6</v>
      </c>
      <c r="DW383" s="890">
        <f>IF(WWWW[[#This Row],['# Functional hand washing stations during reporting period]]*20&gt;WWWW[[#This Row],[Total HH]],WWWW[[#This Row],[Total HH]],WWWW[[#This Row],['# Functional hand washing stations during reporting period]]*20)</f>
        <v>54</v>
      </c>
      <c r="DX383" s="890">
        <f>IF(WWWW[[#This Row],[Is sufficient soap available for TLS? (Yes/No)]]="yes",WWWW[[#This Row],['#_Constructed/Existing hand washing stations at TLS/CFS/THF]],0)</f>
        <v>0</v>
      </c>
      <c r="DY383" s="428">
        <f>IF(WWWW[[#This Row],['# Functional hand washing stations during reporting period]]*100&gt;WWWW[[#This Row],[Total PoP ]],WWWW[[#This Row],[Total PoP ]],WWWW[[#This Row],['# Functional hand washing stations during reporting period]]*100)</f>
        <v>250</v>
      </c>
      <c r="DZ383" s="428" t="str">
        <f>IF(OR(WWWW[[#This Row],['#_students at TLS_CFS]]="",WWWW[[#This Row],['#_students at TLS_CFS]]=0),"No","Yes")</f>
        <v>No</v>
      </c>
      <c r="EA38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3" s="886" t="str">
        <f>VLOOKUP(WWWW[[#This Row],[Site Name]],SiteDB6[[Site Name]:[CCCM Management]],6,FALSE)</f>
        <v>Yes</v>
      </c>
      <c r="EF383" s="886" t="str">
        <f>VLOOKUP(WWWW[[#This Row],[Site Name]],SiteDB6[[Site Name]:[CCCM Focal Agency]],7,FALSE)</f>
        <v>KBC-NSS</v>
      </c>
      <c r="EG383" s="886" t="str">
        <f>VLOOKUP(WWWW[[#This Row],[Site Name]],SiteDB6[[Site Name]:[Location Type 1]],9,FALSE)</f>
        <v>Camp</v>
      </c>
      <c r="EH383" s="886" t="str">
        <f>VLOOKUP(WWWW[[#This Row],[Site Name]],SiteDB6[[Site Name]:[Type of Accommodation]],10,FALSE)</f>
        <v>Camp</v>
      </c>
      <c r="EI383" s="886" t="str">
        <f>VLOOKUP(WWWW[[#This Row],[Site Name]],SiteDB6[[Site Name]:[Ethnic or GCA/NGCA]],11,FALSE)</f>
        <v>GCA</v>
      </c>
      <c r="EJ383" s="886">
        <f>VLOOKUP(WWWW[[#This Row],[Site Name]],SiteDB6[[Site Name]:[Lat]],12,FALSE)</f>
        <v>23.694130000000001</v>
      </c>
      <c r="EK383" s="886">
        <f>VLOOKUP(WWWW[[#This Row],[Site Name]],SiteDB6[[Site Name]:[Long]],13,FALSE)</f>
        <v>97.818979999999996</v>
      </c>
      <c r="EL383" s="886" t="str">
        <f>VLOOKUP(WWWW[[#This Row],[Site Name]],SiteDB6[[Site Name]:[Pcode]],3,FALSE)</f>
        <v>MMR015CMP007</v>
      </c>
      <c r="EM383" s="891" t="str">
        <f t="shared" si="5"/>
        <v>Covered</v>
      </c>
      <c r="EN383" s="891"/>
      <c r="EO383" s="886">
        <f>VLOOKUP(WWWW[[#This Row],[Site Name]],SiteDB6[[Site Name]:[Pop
(Kachin/Shan-CCCM as of July 2021)]],16,FALSE)</f>
        <v>54</v>
      </c>
      <c r="EP383" s="886">
        <f>VLOOKUP(WWWW[[#This Row],[Site Name]],SiteDB6[[Site Name]:[Pop
(Kachin/Shan-CCCM as of July 2021)]],17,FALSE)</f>
        <v>279</v>
      </c>
    </row>
    <row r="384" spans="1:146" hidden="1">
      <c r="A384" s="884" t="s">
        <v>2764</v>
      </c>
      <c r="B384" s="884" t="s">
        <v>192</v>
      </c>
      <c r="C384" s="885" t="s">
        <v>192</v>
      </c>
      <c r="D384" s="885" t="s">
        <v>2673</v>
      </c>
      <c r="E384" s="885" t="s">
        <v>515</v>
      </c>
      <c r="F384" s="885" t="s">
        <v>519</v>
      </c>
      <c r="G384" s="591" t="str">
        <f>VLOOKUP(WWWW[[#This Row],[Site Name]],SiteDB6[[Site Name]:[Location Type]],8,FALSE)</f>
        <v>Camp</v>
      </c>
      <c r="H384" s="885" t="s">
        <v>1618</v>
      </c>
      <c r="I384" s="887">
        <v>35</v>
      </c>
      <c r="J384" s="887">
        <v>158</v>
      </c>
      <c r="K384" s="888" t="s">
        <v>2767</v>
      </c>
      <c r="L384" s="889" t="s">
        <v>2768</v>
      </c>
      <c r="M384" s="887"/>
      <c r="N384" s="887">
        <v>1</v>
      </c>
      <c r="O384" s="887"/>
      <c r="P384" s="887"/>
      <c r="Q384" s="890" t="s">
        <v>41</v>
      </c>
      <c r="R384" s="887">
        <v>5</v>
      </c>
      <c r="S384" s="887">
        <v>4</v>
      </c>
      <c r="T384" s="448"/>
      <c r="U384" s="887"/>
      <c r="V384" s="887"/>
      <c r="W384" s="887">
        <v>2</v>
      </c>
      <c r="X384" s="887"/>
      <c r="Y384" s="887"/>
      <c r="Z384" s="887"/>
      <c r="AA384" s="887"/>
      <c r="AB384" s="887"/>
      <c r="AC384" s="887"/>
      <c r="AD384" s="887"/>
      <c r="AE384" s="887"/>
      <c r="AF384" s="887"/>
      <c r="AG384" s="887"/>
      <c r="AH384" s="887">
        <v>1</v>
      </c>
      <c r="AI384" s="887"/>
      <c r="AJ384" s="887"/>
      <c r="AK384" s="887"/>
      <c r="AL384" s="887"/>
      <c r="AM384" s="887"/>
      <c r="AN384" s="887"/>
      <c r="AO384" s="448"/>
      <c r="AP384" s="891"/>
      <c r="AQ384" s="887">
        <v>8</v>
      </c>
      <c r="AR384" s="887"/>
      <c r="AS384" s="892"/>
      <c r="AT384" s="887"/>
      <c r="AU384" s="887"/>
      <c r="AV384" s="887"/>
      <c r="AW384" s="887"/>
      <c r="AX384" s="887"/>
      <c r="AY384" s="886" t="s">
        <v>41</v>
      </c>
      <c r="AZ384" s="891" t="s">
        <v>136</v>
      </c>
      <c r="BA384" s="887"/>
      <c r="BB384" s="887"/>
      <c r="BC384" s="887"/>
      <c r="BD384" s="448"/>
      <c r="BE384" s="448"/>
      <c r="BF384" s="886"/>
      <c r="BG384" s="448">
        <v>4</v>
      </c>
      <c r="BH384" s="887"/>
      <c r="BI384" s="887"/>
      <c r="BJ384" s="887">
        <v>1</v>
      </c>
      <c r="BK384" s="887"/>
      <c r="BL384" s="887"/>
      <c r="BM384" s="887">
        <v>2</v>
      </c>
      <c r="BN384" s="887"/>
      <c r="BO384" s="887"/>
      <c r="BP384" s="425" t="s">
        <v>41</v>
      </c>
      <c r="BQ384" s="893"/>
      <c r="BR384" s="423">
        <v>1</v>
      </c>
      <c r="BS384" s="886"/>
      <c r="BT384" s="423"/>
      <c r="BU384" s="423"/>
      <c r="BV384" s="425"/>
      <c r="BW384" s="423"/>
      <c r="BX384" s="448"/>
      <c r="BY384" s="448"/>
      <c r="BZ384" s="448"/>
      <c r="CA384" s="448"/>
      <c r="CB384" s="448"/>
      <c r="CC384" s="777"/>
      <c r="CD384" s="448"/>
      <c r="CE384" s="894" t="str">
        <f>IFERROR(WWWW[[#This Row],['#_Water sources passed]]/WWWW[[#This Row],['#_Water sources tested for fecal coliform ]],"no test")</f>
        <v>no test</v>
      </c>
      <c r="CF384" s="892" t="str">
        <f>IFERROR(WWWW[[#This Row],['#_Household passed]]/WWWW[[#This Row],['#_Household water samples tested for fecal coliform]],"no test")</f>
        <v>no test</v>
      </c>
      <c r="CG384" s="893" t="str">
        <f>IF(AND(WWWW[[#This Row],[% of water sources passed]]="no test",WWWW[[#This Row],[% Household passed]]="no test"),"No Test","Tested")</f>
        <v>No Test</v>
      </c>
      <c r="CH384" s="893">
        <f>WWWW[[#This Row],['#_Constructed/existing protected hand dug well]]-WWWW[[#This Row],['#_Non-functional protected hand dug well]]</f>
        <v>0</v>
      </c>
      <c r="CI384" s="893">
        <f>(WWWW[[#This Row],['#_Constructed/Existing tube wells/boreholes/handpumps_WASH_agency]]+WWWW[[#This Row],['#_Non-Cluster partner water tube-wells/boreholes/handpumps]])-WWWW[[#This Row],['#_Non-functional tube wells/boreholes/handpumps]]</f>
        <v>2</v>
      </c>
      <c r="CJ384" s="893">
        <f>WWWW[[#This Row],['#_Constructed/Existingwater storage tank with gravity fed reticulation system]]-WWWW[[#This Row],['#_Non-functional storage tank gravity fed reticulation system]]</f>
        <v>0</v>
      </c>
      <c r="CK384" s="893">
        <f>(WWWW[[#This Row],['#_Water_Liters_supplied_by_Water boating or water trucking]]/90)/15</f>
        <v>0</v>
      </c>
      <c r="CL384" s="893">
        <f>WWWW[[#This Row],['#_Water_Liters_from_Constructed/Existing water distribution system from river or natural spring]]/90/15</f>
        <v>0</v>
      </c>
      <c r="CM384" s="424">
        <f>IF(WWWW[[#This Row],['#_of water points in TLS/CFS]]*500&gt;WWWW[[#This Row],[Total PoP ]],WWWW[[#This Row],[Total PoP ]],WWWW[[#This Row],['#_of water points in TLS/CFS]]*500)</f>
        <v>0</v>
      </c>
      <c r="CN384" s="424">
        <f>IF(WWWW[[#This Row],['#_of water points in THF]]*500&gt;WWWW[[#This Row],[Total PoP ]],WWWW[[#This Row],[Total PoP ]],WWWW[[#This Row],['#_of water points in THF]]*500)</f>
        <v>0</v>
      </c>
      <c r="CO38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4" s="892">
        <f>IF(WWWW[[#This Row],[Location Type 1]]="Village",WWWW[[#This Row],[Access to safe drinking water for Village]],WWWW[[#This Row],[Access to safe drinking water for Camp]])</f>
        <v>1</v>
      </c>
      <c r="CR384" s="890">
        <f>WWWW[[#This Row],[%Equitable and continuous access to sufficient quantity of safe drinking water]]*WWWW[[#This Row],[Total PoP ]]</f>
        <v>158</v>
      </c>
      <c r="CS384" s="892">
        <f>IF((WWWW[[#This Row],['#_Constructed/Existing protected/fenced ponds]]*250)/WWWW[[#This Row],[Total PoP ]]&gt;1,1,(WWWW[[#This Row],['#_Constructed/Existing protected/fenced ponds]]*250)/WWWW[[#This Row],[Total PoP ]])</f>
        <v>0</v>
      </c>
      <c r="CT384" s="890">
        <f>WWWW[[#This Row],[% Access to unimproved water points]]*WWWW[[#This Row],[Total PoP ]]</f>
        <v>0</v>
      </c>
      <c r="CU38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158</v>
      </c>
      <c r="CW384" s="890">
        <f>WWWW[[#This Row],[HRP1]]/500</f>
        <v>0.316</v>
      </c>
      <c r="CX384" s="895">
        <f>1-WWWW[[#This Row],[% Equitable and continuous access to sufficient quantity of domestic water]]</f>
        <v>0</v>
      </c>
      <c r="CY384" s="890">
        <f>WWWW[[#This Row],[%equitable and continuous access to sufficient quantity of safe drinking and domestic water''s GAP]]*WWWW[[#This Row],[Total PoP ]]</f>
        <v>0</v>
      </c>
      <c r="CZ384" s="893">
        <f>IF(WWWW[[#This Row],[Total required water points]]-WWWW[[#This Row],['#Water points coverage]]&lt;0,0,WWWW[[#This Row],[Total required water points]]-WWWW[[#This Row],['#Water points coverage]])</f>
        <v>0.68399999999999994</v>
      </c>
      <c r="DA384" s="893">
        <f>ROUND(IF(WWWW[[#This Row],[Total PoP ]]&lt;500,1,WWWW[[#This Row],[Total PoP ]]/500),0)</f>
        <v>1</v>
      </c>
      <c r="DB384" s="893">
        <f>(WWWW[[#This Row],['#_Constructed latrines_by_WASHAgencies]]+WWWW[[#This Row],['#_Non Cluster partner latrines]])-WWWW[[#This Row],['#_Non-functional latrines]]</f>
        <v>8</v>
      </c>
      <c r="DC384" s="631">
        <f>WWWW[[#This Row],[HRP2]]/WWWW[[#This Row],[Total PoP ]]</f>
        <v>1</v>
      </c>
      <c r="DD38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158</v>
      </c>
      <c r="DE38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4" s="424">
        <f>IF(WWWW[[#This Row],['# of functional latrines in THF supported by WASH partners during the reporting period2]]="",0,WWWW[[#This Row],['# of functional latrines in THF supported by WASH partners during the reporting period2]]*50)</f>
        <v>0</v>
      </c>
      <c r="DH384" s="893">
        <f>ROUND(IF(WWWW[[#This Row],[Location Type 1]]="camp",WWWW[[#This Row],[Total PoP ]]/20,IF(WWWW[[#This Row],[Location Type 1]]="Temporary Location",WWWW[[#This Row],[Total PoP ]]/50,(WWWW[[#This Row],[Total PoP ]]/6))),0)</f>
        <v>8</v>
      </c>
      <c r="DI384" s="893">
        <f>IF(WWWW[[#This Row],[Total required Latrines]]-(WWWW[[#This Row],['#_Constructed latrines_by_WASHAgencies]]+WWWW[[#This Row],['#_Non Cluster partner latrines]])&lt;0,0,WWWW[[#This Row],[Total required Latrines]]-(WWWW[[#This Row],['#_Constructed latrines_by_WASHAgencies]]+WWWW[[#This Row],['#_Non Cluster partner latrines]]))</f>
        <v>0</v>
      </c>
      <c r="DJ384" s="895">
        <f>1-WWWW[[#This Row],[% people access to functioning Latrine]]</f>
        <v>0</v>
      </c>
      <c r="DK384" s="894">
        <f>IF(OR(WWWW[[#This Row],['#_Non-functional latrines]]="",WWWW[[#This Row],['#_Non-functional latrines]]=0),0,WWWW[[#This Row],['#_Non-functional latrines]]/(WWWW[[#This Row],['#_Constructed latrines_by_WASHAgencies]]+WWWW[[#This Row],['#_Non Cluster partner latrines]]))</f>
        <v>0</v>
      </c>
      <c r="DL384" s="890">
        <f>IF(500*(WWWW[[#This Row],['#_male hygiene promoters]]+WWWW[[#This Row],['#_female hygiene promoters]])&gt;WWWW[[#This Row],[Total PoP ]],WWWW[[#This Row],[Total PoP ]],500*(WWWW[[#This Row],['#_male hygiene promoters]]+WWWW[[#This Row],['#_female hygiene promoters]]))</f>
        <v>158</v>
      </c>
      <c r="DM38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4" s="893">
        <f>IF(WWWW[[#This Row],['# People with access to soap]]&gt;WWWW[[#This Row],['# People with access to Sanity Pads]],WWWW[[#This Row],['# People with access to soap]],WWWW[[#This Row],['# People with access to Sanity Pads]])</f>
        <v>0</v>
      </c>
      <c r="DP384" s="893">
        <f>IF(WWWW[[#This Row],['# people reached by regular dedicated hygiene promotion_5]]&gt;WWWW[[#This Row],['# People received regular supply of hygiene items_6]],WWWW[[#This Row],['# people reached by regular dedicated hygiene promotion_5]],WWWW[[#This Row],['# People received regular supply of hygiene items_6]])</f>
        <v>158</v>
      </c>
      <c r="DQ384" s="895">
        <f>IF(WWWW[[#This Row],[HRP3]]/WWWW[[#This Row],[Total PoP ]]&gt;1,1,WWWW[[#This Row],[HRP3]]/WWWW[[#This Row],[Total PoP ]])</f>
        <v>1</v>
      </c>
      <c r="DR384" s="894">
        <f>1-WWWW[[#This Row],[Hygiene Coverage%]]</f>
        <v>0</v>
      </c>
      <c r="DS384" s="892">
        <f>WWWW[[#This Row],['# people reached by regular dedicated hygiene promotion_5]]/WWWW[[#This Row],[Total PoP ]]</f>
        <v>1</v>
      </c>
      <c r="DT38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4" s="893">
        <f>WWWW[[#This Row],['#_Constructed/Existing hand washing stations]]-WWWW[[#This Row],['#_Non-Functional_hand_washing_stations]]</f>
        <v>4</v>
      </c>
      <c r="DW384" s="890">
        <f>IF(WWWW[[#This Row],['# Functional hand washing stations during reporting period]]*20&gt;WWWW[[#This Row],[Total HH]],WWWW[[#This Row],[Total HH]],WWWW[[#This Row],['# Functional hand washing stations during reporting period]]*20)</f>
        <v>35</v>
      </c>
      <c r="DX384" s="890">
        <f>IF(WWWW[[#This Row],[Is sufficient soap available for TLS? (Yes/No)]]="yes",WWWW[[#This Row],['#_Constructed/Existing hand washing stations at TLS/CFS/THF]],0)</f>
        <v>0</v>
      </c>
      <c r="DY384" s="428">
        <f>IF(WWWW[[#This Row],['# Functional hand washing stations during reporting period]]*100&gt;WWWW[[#This Row],[Total PoP ]],WWWW[[#This Row],[Total PoP ]],WWWW[[#This Row],['# Functional hand washing stations during reporting period]]*100)</f>
        <v>158</v>
      </c>
      <c r="DZ384" s="428" t="str">
        <f>IF(OR(WWWW[[#This Row],['#_students at TLS_CFS]]="",WWWW[[#This Row],['#_students at TLS_CFS]]=0),"No","Yes")</f>
        <v>No</v>
      </c>
      <c r="EA38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4" s="886" t="str">
        <f>VLOOKUP(WWWW[[#This Row],[Site Name]],SiteDB6[[Site Name]:[CCCM Management]],6,FALSE)</f>
        <v>Yes</v>
      </c>
      <c r="EF384" s="886" t="str">
        <f>VLOOKUP(WWWW[[#This Row],[Site Name]],SiteDB6[[Site Name]:[CCCM Focal Agency]],7,FALSE)</f>
        <v>KMSS-LSO</v>
      </c>
      <c r="EG384" s="886" t="str">
        <f>VLOOKUP(WWWW[[#This Row],[Site Name]],SiteDB6[[Site Name]:[Location Type 1]],9,FALSE)</f>
        <v>Camp</v>
      </c>
      <c r="EH384" s="886" t="str">
        <f>VLOOKUP(WWWW[[#This Row],[Site Name]],SiteDB6[[Site Name]:[Type of Accommodation]],10,FALSE)</f>
        <v>Camp</v>
      </c>
      <c r="EI384" s="886" t="str">
        <f>VLOOKUP(WWWW[[#This Row],[Site Name]],SiteDB6[[Site Name]:[Ethnic or GCA/NGCA]],11,FALSE)</f>
        <v>GCA</v>
      </c>
      <c r="EJ384" s="886">
        <f>VLOOKUP(WWWW[[#This Row],[Site Name]],SiteDB6[[Site Name]:[Lat]],12,FALSE)</f>
        <v>23.682887999999998</v>
      </c>
      <c r="EK384" s="886">
        <f>VLOOKUP(WWWW[[#This Row],[Site Name]],SiteDB6[[Site Name]:[Long]],13,FALSE)</f>
        <v>97.810101000000003</v>
      </c>
      <c r="EL384" s="886" t="str">
        <f>VLOOKUP(WWWW[[#This Row],[Site Name]],SiteDB6[[Site Name]:[Pcode]],3,FALSE)</f>
        <v>MMR015CMP043</v>
      </c>
      <c r="EM384" s="891" t="str">
        <f t="shared" si="5"/>
        <v>Covered</v>
      </c>
      <c r="EN384" s="891"/>
      <c r="EO384" s="886">
        <f>VLOOKUP(WWWW[[#This Row],[Site Name]],SiteDB6[[Site Name]:[Pop
(Kachin/Shan-CCCM as of July 2021)]],16,FALSE)</f>
        <v>34</v>
      </c>
      <c r="EP384" s="886">
        <f>VLOOKUP(WWWW[[#This Row],[Site Name]],SiteDB6[[Site Name]:[Pop
(Kachin/Shan-CCCM as of July 2021)]],17,FALSE)</f>
        <v>144</v>
      </c>
    </row>
    <row r="385" spans="1:146" hidden="1">
      <c r="A385" s="884" t="s">
        <v>2764</v>
      </c>
      <c r="B385" s="884" t="s">
        <v>192</v>
      </c>
      <c r="C385" s="885" t="s">
        <v>192</v>
      </c>
      <c r="D385" s="885" t="s">
        <v>2673</v>
      </c>
      <c r="E385" s="885" t="s">
        <v>515</v>
      </c>
      <c r="F385" s="989" t="s">
        <v>525</v>
      </c>
      <c r="G385" s="591" t="str">
        <f>VLOOKUP(WWWW[[#This Row],[Site Name]],SiteDB6[[Site Name]:[Location Type]],8,FALSE)</f>
        <v>Camp</v>
      </c>
      <c r="H385" s="885" t="s">
        <v>535</v>
      </c>
      <c r="I385" s="887">
        <v>40</v>
      </c>
      <c r="J385" s="887">
        <v>206</v>
      </c>
      <c r="K385" s="888">
        <v>44511</v>
      </c>
      <c r="L385" s="889">
        <v>44875</v>
      </c>
      <c r="M385" s="887"/>
      <c r="N385" s="887"/>
      <c r="O385" s="887">
        <v>1</v>
      </c>
      <c r="P385" s="887"/>
      <c r="Q385" s="890" t="s">
        <v>41</v>
      </c>
      <c r="R385" s="887"/>
      <c r="S385" s="887">
        <v>5</v>
      </c>
      <c r="T385" s="448">
        <v>4</v>
      </c>
      <c r="U385" s="887"/>
      <c r="V385" s="887"/>
      <c r="W385" s="887">
        <v>1</v>
      </c>
      <c r="X385" s="887"/>
      <c r="Y385" s="887"/>
      <c r="Z385" s="887"/>
      <c r="AA385" s="887"/>
      <c r="AB385" s="887"/>
      <c r="AC385" s="887"/>
      <c r="AD385" s="887"/>
      <c r="AE385" s="887"/>
      <c r="AF385" s="887"/>
      <c r="AG385" s="887"/>
      <c r="AH385" s="887"/>
      <c r="AI385" s="887"/>
      <c r="AJ385" s="887"/>
      <c r="AK385" s="887"/>
      <c r="AL385" s="887"/>
      <c r="AM385" s="887"/>
      <c r="AN385" s="887"/>
      <c r="AO385" s="448"/>
      <c r="AP385" s="891"/>
      <c r="AQ385" s="887">
        <v>6</v>
      </c>
      <c r="AR385" s="887">
        <v>10</v>
      </c>
      <c r="AS385" s="892"/>
      <c r="AT385" s="887"/>
      <c r="AU385" s="887"/>
      <c r="AV385" s="887"/>
      <c r="AW385" s="887"/>
      <c r="AX385" s="887"/>
      <c r="AY385" s="886" t="s">
        <v>41</v>
      </c>
      <c r="AZ385" s="891" t="s">
        <v>137</v>
      </c>
      <c r="BA385" s="887"/>
      <c r="BB385" s="887"/>
      <c r="BC385" s="887"/>
      <c r="BD385" s="448"/>
      <c r="BE385" s="448"/>
      <c r="BF385" s="886"/>
      <c r="BG385" s="887"/>
      <c r="BH385" s="887"/>
      <c r="BI385" s="887"/>
      <c r="BJ385" s="887">
        <v>2</v>
      </c>
      <c r="BK385" s="887"/>
      <c r="BL385" s="887"/>
      <c r="BM385" s="887">
        <v>1</v>
      </c>
      <c r="BN385" s="887"/>
      <c r="BO385" s="887"/>
      <c r="BP385" s="425" t="s">
        <v>41</v>
      </c>
      <c r="BQ385" s="893"/>
      <c r="BR385" s="892">
        <v>1</v>
      </c>
      <c r="BS385" s="886"/>
      <c r="BT385" s="423"/>
      <c r="BU385" s="423"/>
      <c r="BV385" s="425"/>
      <c r="BW385" s="423"/>
      <c r="BX385" s="448"/>
      <c r="BY385" s="448"/>
      <c r="BZ385" s="448"/>
      <c r="CA385" s="448"/>
      <c r="CB385" s="448"/>
      <c r="CC385" s="777"/>
      <c r="CD385" s="448"/>
      <c r="CE385" s="894" t="str">
        <f>IFERROR(WWWW[[#This Row],['#_Water sources passed]]/WWWW[[#This Row],['#_Water sources tested for fecal coliform ]],"no test")</f>
        <v>no test</v>
      </c>
      <c r="CF385" s="892" t="str">
        <f>IFERROR(WWWW[[#This Row],['#_Household passed]]/WWWW[[#This Row],['#_Household water samples tested for fecal coliform]],"no test")</f>
        <v>no test</v>
      </c>
      <c r="CG385" s="893" t="str">
        <f>IF(AND(WWWW[[#This Row],[% of water sources passed]]="no test",WWWW[[#This Row],[% Household passed]]="no test"),"No Test","Tested")</f>
        <v>No Test</v>
      </c>
      <c r="CH385" s="893">
        <f>WWWW[[#This Row],['#_Constructed/existing protected hand dug well]]-WWWW[[#This Row],['#_Non-functional protected hand dug well]]</f>
        <v>4</v>
      </c>
      <c r="CI385" s="893">
        <f>(WWWW[[#This Row],['#_Constructed/Existing tube wells/boreholes/handpumps_WASH_agency]]+WWWW[[#This Row],['#_Non-Cluster partner water tube-wells/boreholes/handpumps]])-WWWW[[#This Row],['#_Non-functional tube wells/boreholes/handpumps]]</f>
        <v>1</v>
      </c>
      <c r="CJ385" s="893">
        <f>WWWW[[#This Row],['#_Constructed/Existingwater storage tank with gravity fed reticulation system]]-WWWW[[#This Row],['#_Non-functional storage tank gravity fed reticulation system]]</f>
        <v>0</v>
      </c>
      <c r="CK385" s="893">
        <f>(WWWW[[#This Row],['#_Water_Liters_supplied_by_Water boating or water trucking]]/90)/15</f>
        <v>0</v>
      </c>
      <c r="CL385" s="893">
        <f>WWWW[[#This Row],['#_Water_Liters_from_Constructed/Existing water distribution system from river or natural spring]]/90/15</f>
        <v>0</v>
      </c>
      <c r="CM385" s="424">
        <f>IF(WWWW[[#This Row],['#_of water points in TLS/CFS]]*500&gt;WWWW[[#This Row],[Total PoP ]],WWWW[[#This Row],[Total PoP ]],WWWW[[#This Row],['#_of water points in TLS/CFS]]*500)</f>
        <v>0</v>
      </c>
      <c r="CN385" s="424">
        <f>IF(WWWW[[#This Row],['#_of water points in THF]]*500&gt;WWWW[[#This Row],[Total PoP ]],WWWW[[#This Row],[Total PoP ]],WWWW[[#This Row],['#_of water points in THF]]*500)</f>
        <v>0</v>
      </c>
      <c r="CO38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5" s="892">
        <f>IF(WWWW[[#This Row],[Location Type 1]]="Village",WWWW[[#This Row],[Access to safe drinking water for Village]],WWWW[[#This Row],[Access to safe drinking water for Camp]])</f>
        <v>1</v>
      </c>
      <c r="CR385" s="890">
        <f>WWWW[[#This Row],[%Equitable and continuous access to sufficient quantity of safe drinking water]]*WWWW[[#This Row],[Total PoP ]]</f>
        <v>206</v>
      </c>
      <c r="CS385" s="892">
        <f>IF((WWWW[[#This Row],['#_Constructed/Existing protected/fenced ponds]]*250)/WWWW[[#This Row],[Total PoP ]]&gt;1,1,(WWWW[[#This Row],['#_Constructed/Existing protected/fenced ponds]]*250)/WWWW[[#This Row],[Total PoP ]])</f>
        <v>0</v>
      </c>
      <c r="CT385" s="890">
        <f>WWWW[[#This Row],[% Access to unimproved water points]]*WWWW[[#This Row],[Total PoP ]]</f>
        <v>0</v>
      </c>
      <c r="CU38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W385" s="890">
        <f>WWWW[[#This Row],[HRP1]]/500</f>
        <v>0.41199999999999998</v>
      </c>
      <c r="CX385" s="895">
        <f>1-WWWW[[#This Row],[% Equitable and continuous access to sufficient quantity of domestic water]]</f>
        <v>0</v>
      </c>
      <c r="CY385" s="890">
        <f>WWWW[[#This Row],[%equitable and continuous access to sufficient quantity of safe drinking and domestic water''s GAP]]*WWWW[[#This Row],[Total PoP ]]</f>
        <v>0</v>
      </c>
      <c r="CZ385" s="893">
        <f>IF(WWWW[[#This Row],[Total required water points]]-WWWW[[#This Row],['#Water points coverage]]&lt;0,0,WWWW[[#This Row],[Total required water points]]-WWWW[[#This Row],['#Water points coverage]])</f>
        <v>0.58800000000000008</v>
      </c>
      <c r="DA385" s="893">
        <f>ROUND(IF(WWWW[[#This Row],[Total PoP ]]&lt;500,1,WWWW[[#This Row],[Total PoP ]]/500),0)</f>
        <v>1</v>
      </c>
      <c r="DB385" s="893">
        <f>(WWWW[[#This Row],['#_Constructed latrines_by_WASHAgencies]]+WWWW[[#This Row],['#_Non Cluster partner latrines]])-WWWW[[#This Row],['#_Non-functional latrines]]</f>
        <v>16</v>
      </c>
      <c r="DC385" s="631">
        <f>WWWW[[#This Row],[HRP2]]/WWWW[[#This Row],[Total PoP ]]</f>
        <v>1</v>
      </c>
      <c r="DD38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206</v>
      </c>
      <c r="DE38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5" s="424">
        <f>IF(WWWW[[#This Row],['# of functional latrines in THF supported by WASH partners during the reporting period2]]="",0,WWWW[[#This Row],['# of functional latrines in THF supported by WASH partners during the reporting period2]]*50)</f>
        <v>0</v>
      </c>
      <c r="DH385" s="893">
        <f>ROUND(IF(WWWW[[#This Row],[Location Type 1]]="camp",WWWW[[#This Row],[Total PoP ]]/20,IF(WWWW[[#This Row],[Location Type 1]]="Temporary Location",WWWW[[#This Row],[Total PoP ]]/50,(WWWW[[#This Row],[Total PoP ]]/6))),0)</f>
        <v>10</v>
      </c>
      <c r="DI385" s="893">
        <f>IF(WWWW[[#This Row],[Total required Latrines]]-(WWWW[[#This Row],['#_Constructed latrines_by_WASHAgencies]]+WWWW[[#This Row],['#_Non Cluster partner latrines]])&lt;0,0,WWWW[[#This Row],[Total required Latrines]]-(WWWW[[#This Row],['#_Constructed latrines_by_WASHAgencies]]+WWWW[[#This Row],['#_Non Cluster partner latrines]]))</f>
        <v>0</v>
      </c>
      <c r="DJ385" s="895">
        <f>1-WWWW[[#This Row],[% people access to functioning Latrine]]</f>
        <v>0</v>
      </c>
      <c r="DK385" s="894">
        <f>IF(OR(WWWW[[#This Row],['#_Non-functional latrines]]="",WWWW[[#This Row],['#_Non-functional latrines]]=0),0,WWWW[[#This Row],['#_Non-functional latrines]]/(WWWW[[#This Row],['#_Constructed latrines_by_WASHAgencies]]+WWWW[[#This Row],['#_Non Cluster partner latrines]]))</f>
        <v>0</v>
      </c>
      <c r="DL385" s="890">
        <f>IF(500*(WWWW[[#This Row],['#_male hygiene promoters]]+WWWW[[#This Row],['#_female hygiene promoters]])&gt;WWWW[[#This Row],[Total PoP ]],WWWW[[#This Row],[Total PoP ]],500*(WWWW[[#This Row],['#_male hygiene promoters]]+WWWW[[#This Row],['#_female hygiene promoters]]))</f>
        <v>206</v>
      </c>
      <c r="DM38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5" s="893">
        <f>IF(WWWW[[#This Row],['# People with access to soap]]&gt;WWWW[[#This Row],['# People with access to Sanity Pads]],WWWW[[#This Row],['# People with access to soap]],WWWW[[#This Row],['# People with access to Sanity Pads]])</f>
        <v>0</v>
      </c>
      <c r="DP385" s="893">
        <f>IF(WWWW[[#This Row],['# people reached by regular dedicated hygiene promotion_5]]&gt;WWWW[[#This Row],['# People received regular supply of hygiene items_6]],WWWW[[#This Row],['# people reached by regular dedicated hygiene promotion_5]],WWWW[[#This Row],['# People received regular supply of hygiene items_6]])</f>
        <v>206</v>
      </c>
      <c r="DQ385" s="895">
        <f>IF(WWWW[[#This Row],[HRP3]]/WWWW[[#This Row],[Total PoP ]]&gt;1,1,WWWW[[#This Row],[HRP3]]/WWWW[[#This Row],[Total PoP ]])</f>
        <v>1</v>
      </c>
      <c r="DR385" s="894">
        <f>1-WWWW[[#This Row],[Hygiene Coverage%]]</f>
        <v>0</v>
      </c>
      <c r="DS385" s="892">
        <f>WWWW[[#This Row],['# people reached by regular dedicated hygiene promotion_5]]/WWWW[[#This Row],[Total PoP ]]</f>
        <v>1</v>
      </c>
      <c r="DT38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5" s="893">
        <f>WWWW[[#This Row],['#_Constructed/Existing hand washing stations]]-WWWW[[#This Row],['#_Non-Functional_hand_washing_stations]]</f>
        <v>0</v>
      </c>
      <c r="DW385" s="890">
        <f>IF(WWWW[[#This Row],['# Functional hand washing stations during reporting period]]*20&gt;WWWW[[#This Row],[Total HH]],WWWW[[#This Row],[Total HH]],WWWW[[#This Row],['# Functional hand washing stations during reporting period]]*20)</f>
        <v>0</v>
      </c>
      <c r="DX385" s="890">
        <f>IF(WWWW[[#This Row],[Is sufficient soap available for TLS? (Yes/No)]]="yes",WWWW[[#This Row],['#_Constructed/Existing hand washing stations at TLS/CFS/THF]],0)</f>
        <v>0</v>
      </c>
      <c r="DY385" s="428">
        <f>IF(WWWW[[#This Row],['# Functional hand washing stations during reporting period]]*100&gt;WWWW[[#This Row],[Total PoP ]],WWWW[[#This Row],[Total PoP ]],WWWW[[#This Row],['# Functional hand washing stations during reporting period]]*100)</f>
        <v>0</v>
      </c>
      <c r="DZ385" s="428" t="str">
        <f>IF(OR(WWWW[[#This Row],['#_students at TLS_CFS]]="",WWWW[[#This Row],['#_students at TLS_CFS]]=0),"No","Yes")</f>
        <v>No</v>
      </c>
      <c r="EA38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5" s="886" t="str">
        <f>VLOOKUP(WWWW[[#This Row],[Site Name]],SiteDB6[[Site Name]:[CCCM Management]],6,FALSE)</f>
        <v>Yes</v>
      </c>
      <c r="EF385" s="886" t="str">
        <f>VLOOKUP(WWWW[[#This Row],[Site Name]],SiteDB6[[Site Name]:[CCCM Focal Agency]],7,FALSE)</f>
        <v>KBC-NSS</v>
      </c>
      <c r="EG385" s="886" t="str">
        <f>VLOOKUP(WWWW[[#This Row],[Site Name]],SiteDB6[[Site Name]:[Location Type 1]],9,FALSE)</f>
        <v>Camp</v>
      </c>
      <c r="EH385" s="886" t="str">
        <f>VLOOKUP(WWWW[[#This Row],[Site Name]],SiteDB6[[Site Name]:[Type of Accommodation]],10,FALSE)</f>
        <v>Camp</v>
      </c>
      <c r="EI385" s="886" t="str">
        <f>VLOOKUP(WWWW[[#This Row],[Site Name]],SiteDB6[[Site Name]:[Ethnic or GCA/NGCA]],11,FALSE)</f>
        <v>GCA</v>
      </c>
      <c r="EJ385" s="886">
        <f>VLOOKUP(WWWW[[#This Row],[Site Name]],SiteDB6[[Site Name]:[Lat]],12,FALSE)</f>
        <v>23.354268999999999</v>
      </c>
      <c r="EK385" s="886">
        <f>VLOOKUP(WWWW[[#This Row],[Site Name]],SiteDB6[[Site Name]:[Long]],13,FALSE)</f>
        <v>98.218626999999998</v>
      </c>
      <c r="EL385" s="886" t="str">
        <f>VLOOKUP(WWWW[[#This Row],[Site Name]],SiteDB6[[Site Name]:[Pcode]],3,FALSE)</f>
        <v>MMR015CMP036</v>
      </c>
      <c r="EM385" s="891" t="str">
        <f t="shared" si="5"/>
        <v>Covered</v>
      </c>
      <c r="EN385" s="891"/>
      <c r="EO385" s="886">
        <f>VLOOKUP(WWWW[[#This Row],[Site Name]],SiteDB6[[Site Name]:[Pop
(Kachin/Shan-CCCM as of July 2021)]],16,FALSE)</f>
        <v>36</v>
      </c>
      <c r="EP385" s="886">
        <f>VLOOKUP(WWWW[[#This Row],[Site Name]],SiteDB6[[Site Name]:[Pop
(Kachin/Shan-CCCM as of July 2021)]],17,FALSE)</f>
        <v>180</v>
      </c>
    </row>
    <row r="386" spans="1:146" hidden="1">
      <c r="A386" s="884" t="s">
        <v>2764</v>
      </c>
      <c r="B386" s="884" t="s">
        <v>192</v>
      </c>
      <c r="C386" s="885" t="s">
        <v>192</v>
      </c>
      <c r="D386" s="885" t="s">
        <v>2673</v>
      </c>
      <c r="E386" s="885" t="s">
        <v>515</v>
      </c>
      <c r="F386" s="885" t="s">
        <v>536</v>
      </c>
      <c r="G386" s="591" t="str">
        <f>VLOOKUP(WWWW[[#This Row],[Site Name]],SiteDB6[[Site Name]:[Location Type]],8,FALSE)</f>
        <v>Camp</v>
      </c>
      <c r="H386" s="885" t="s">
        <v>547</v>
      </c>
      <c r="I386" s="887">
        <v>32</v>
      </c>
      <c r="J386" s="887">
        <v>141</v>
      </c>
      <c r="K386" s="888" t="s">
        <v>2767</v>
      </c>
      <c r="L386" s="889" t="s">
        <v>2768</v>
      </c>
      <c r="M386" s="887"/>
      <c r="N386" s="887"/>
      <c r="O386" s="887">
        <v>1</v>
      </c>
      <c r="P386" s="887"/>
      <c r="Q386" s="890" t="s">
        <v>41</v>
      </c>
      <c r="R386" s="887">
        <v>3</v>
      </c>
      <c r="S386" s="887">
        <v>3</v>
      </c>
      <c r="T386" s="448"/>
      <c r="U386" s="887"/>
      <c r="V386" s="887"/>
      <c r="W386" s="887">
        <v>1</v>
      </c>
      <c r="X386" s="887"/>
      <c r="Y386" s="887"/>
      <c r="Z386" s="887"/>
      <c r="AA386" s="887">
        <v>1</v>
      </c>
      <c r="AB386" s="887"/>
      <c r="AC386" s="887"/>
      <c r="AD386" s="887"/>
      <c r="AE386" s="887"/>
      <c r="AF386" s="887"/>
      <c r="AG386" s="887"/>
      <c r="AH386" s="887"/>
      <c r="AI386" s="887"/>
      <c r="AJ386" s="887"/>
      <c r="AK386" s="887"/>
      <c r="AL386" s="887"/>
      <c r="AM386" s="887"/>
      <c r="AN386" s="887"/>
      <c r="AO386" s="448"/>
      <c r="AP386" s="891"/>
      <c r="AQ386" s="887">
        <v>8</v>
      </c>
      <c r="AR386" s="887"/>
      <c r="AS386" s="892"/>
      <c r="AT386" s="887"/>
      <c r="AU386" s="887"/>
      <c r="AV386" s="887"/>
      <c r="AW386" s="887"/>
      <c r="AX386" s="887"/>
      <c r="AY386" s="886" t="s">
        <v>41</v>
      </c>
      <c r="AZ386" s="891" t="s">
        <v>137</v>
      </c>
      <c r="BA386" s="887"/>
      <c r="BB386" s="887"/>
      <c r="BC386" s="887"/>
      <c r="BD386" s="448"/>
      <c r="BE386" s="448"/>
      <c r="BF386" s="886"/>
      <c r="BG386" s="887">
        <v>5</v>
      </c>
      <c r="BH386" s="887"/>
      <c r="BI386" s="887"/>
      <c r="BJ386" s="887">
        <v>2</v>
      </c>
      <c r="BK386" s="887"/>
      <c r="BL386" s="887"/>
      <c r="BM386" s="887">
        <v>1</v>
      </c>
      <c r="BN386" s="887"/>
      <c r="BO386" s="887"/>
      <c r="BP386" s="425" t="s">
        <v>41</v>
      </c>
      <c r="BQ386" s="893"/>
      <c r="BR386" s="892">
        <v>1</v>
      </c>
      <c r="BS386" s="886"/>
      <c r="BT386" s="423"/>
      <c r="BU386" s="423"/>
      <c r="BV386" s="425"/>
      <c r="BW386" s="423"/>
      <c r="BX386" s="448"/>
      <c r="BY386" s="448"/>
      <c r="BZ386" s="448"/>
      <c r="CA386" s="448"/>
      <c r="CB386" s="448"/>
      <c r="CC386" s="777"/>
      <c r="CD386" s="448"/>
      <c r="CE386" s="894" t="str">
        <f>IFERROR(WWWW[[#This Row],['#_Water sources passed]]/WWWW[[#This Row],['#_Water sources tested for fecal coliform ]],"no test")</f>
        <v>no test</v>
      </c>
      <c r="CF386" s="892" t="str">
        <f>IFERROR(WWWW[[#This Row],['#_Household passed]]/WWWW[[#This Row],['#_Household water samples tested for fecal coliform]],"no test")</f>
        <v>no test</v>
      </c>
      <c r="CG386" s="893" t="str">
        <f>IF(AND(WWWW[[#This Row],[% of water sources passed]]="no test",WWWW[[#This Row],[% Household passed]]="no test"),"No Test","Tested")</f>
        <v>No Test</v>
      </c>
      <c r="CH386" s="893">
        <f>WWWW[[#This Row],['#_Constructed/existing protected hand dug well]]-WWWW[[#This Row],['#_Non-functional protected hand dug well]]</f>
        <v>0</v>
      </c>
      <c r="CI386" s="893">
        <f>(WWWW[[#This Row],['#_Constructed/Existing tube wells/boreholes/handpumps_WASH_agency]]+WWWW[[#This Row],['#_Non-Cluster partner water tube-wells/boreholes/handpumps]])-WWWW[[#This Row],['#_Non-functional tube wells/boreholes/handpumps]]</f>
        <v>1</v>
      </c>
      <c r="CJ386" s="893">
        <f>WWWW[[#This Row],['#_Constructed/Existingwater storage tank with gravity fed reticulation system]]-WWWW[[#This Row],['#_Non-functional storage tank gravity fed reticulation system]]</f>
        <v>1</v>
      </c>
      <c r="CK386" s="893">
        <f>(WWWW[[#This Row],['#_Water_Liters_supplied_by_Water boating or water trucking]]/90)/15</f>
        <v>0</v>
      </c>
      <c r="CL386" s="893">
        <f>WWWW[[#This Row],['#_Water_Liters_from_Constructed/Existing water distribution system from river or natural spring]]/90/15</f>
        <v>0</v>
      </c>
      <c r="CM386" s="424">
        <f>IF(WWWW[[#This Row],['#_of water points in TLS/CFS]]*500&gt;WWWW[[#This Row],[Total PoP ]],WWWW[[#This Row],[Total PoP ]],WWWW[[#This Row],['#_of water points in TLS/CFS]]*500)</f>
        <v>0</v>
      </c>
      <c r="CN386" s="424">
        <f>IF(WWWW[[#This Row],['#_of water points in THF]]*500&gt;WWWW[[#This Row],[Total PoP ]],WWWW[[#This Row],[Total PoP ]],WWWW[[#This Row],['#_of water points in THF]]*500)</f>
        <v>0</v>
      </c>
      <c r="CO38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6" s="892">
        <f>IF(WWWW[[#This Row],[Location Type 1]]="Village",WWWW[[#This Row],[Access to safe drinking water for Village]],WWWW[[#This Row],[Access to safe drinking water for Camp]])</f>
        <v>1</v>
      </c>
      <c r="CR386" s="890">
        <f>WWWW[[#This Row],[%Equitable and continuous access to sufficient quantity of safe drinking water]]*WWWW[[#This Row],[Total PoP ]]</f>
        <v>141</v>
      </c>
      <c r="CS386" s="892">
        <f>IF((WWWW[[#This Row],['#_Constructed/Existing protected/fenced ponds]]*250)/WWWW[[#This Row],[Total PoP ]]&gt;1,1,(WWWW[[#This Row],['#_Constructed/Existing protected/fenced ponds]]*250)/WWWW[[#This Row],[Total PoP ]])</f>
        <v>0</v>
      </c>
      <c r="CT386" s="890">
        <f>WWWW[[#This Row],[% Access to unimproved water points]]*WWWW[[#This Row],[Total PoP ]]</f>
        <v>0</v>
      </c>
      <c r="CU38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W386" s="890">
        <f>WWWW[[#This Row],[HRP1]]/500</f>
        <v>0.28199999999999997</v>
      </c>
      <c r="CX386" s="895">
        <f>1-WWWW[[#This Row],[% Equitable and continuous access to sufficient quantity of domestic water]]</f>
        <v>0</v>
      </c>
      <c r="CY386" s="890">
        <f>WWWW[[#This Row],[%equitable and continuous access to sufficient quantity of safe drinking and domestic water''s GAP]]*WWWW[[#This Row],[Total PoP ]]</f>
        <v>0</v>
      </c>
      <c r="CZ386" s="893">
        <f>IF(WWWW[[#This Row],[Total required water points]]-WWWW[[#This Row],['#Water points coverage]]&lt;0,0,WWWW[[#This Row],[Total required water points]]-WWWW[[#This Row],['#Water points coverage]])</f>
        <v>0.71799999999999997</v>
      </c>
      <c r="DA386" s="893">
        <f>ROUND(IF(WWWW[[#This Row],[Total PoP ]]&lt;500,1,WWWW[[#This Row],[Total PoP ]]/500),0)</f>
        <v>1</v>
      </c>
      <c r="DB386" s="893">
        <f>(WWWW[[#This Row],['#_Constructed latrines_by_WASHAgencies]]+WWWW[[#This Row],['#_Non Cluster partner latrines]])-WWWW[[#This Row],['#_Non-functional latrines]]</f>
        <v>8</v>
      </c>
      <c r="DC386" s="631">
        <f>WWWW[[#This Row],[HRP2]]/WWWW[[#This Row],[Total PoP ]]</f>
        <v>1</v>
      </c>
      <c r="DD38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141</v>
      </c>
      <c r="DE38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6" s="424">
        <f>IF(WWWW[[#This Row],['# of functional latrines in THF supported by WASH partners during the reporting period2]]="",0,WWWW[[#This Row],['# of functional latrines in THF supported by WASH partners during the reporting period2]]*50)</f>
        <v>0</v>
      </c>
      <c r="DH386" s="893">
        <f>ROUND(IF(WWWW[[#This Row],[Location Type 1]]="camp",WWWW[[#This Row],[Total PoP ]]/20,IF(WWWW[[#This Row],[Location Type 1]]="Temporary Location",WWWW[[#This Row],[Total PoP ]]/50,(WWWW[[#This Row],[Total PoP ]]/6))),0)</f>
        <v>7</v>
      </c>
      <c r="DI386" s="893">
        <f>IF(WWWW[[#This Row],[Total required Latrines]]-(WWWW[[#This Row],['#_Constructed latrines_by_WASHAgencies]]+WWWW[[#This Row],['#_Non Cluster partner latrines]])&lt;0,0,WWWW[[#This Row],[Total required Latrines]]-(WWWW[[#This Row],['#_Constructed latrines_by_WASHAgencies]]+WWWW[[#This Row],['#_Non Cluster partner latrines]]))</f>
        <v>0</v>
      </c>
      <c r="DJ386" s="895">
        <f>1-WWWW[[#This Row],[% people access to functioning Latrine]]</f>
        <v>0</v>
      </c>
      <c r="DK386" s="894">
        <f>IF(OR(WWWW[[#This Row],['#_Non-functional latrines]]="",WWWW[[#This Row],['#_Non-functional latrines]]=0),0,WWWW[[#This Row],['#_Non-functional latrines]]/(WWWW[[#This Row],['#_Constructed latrines_by_WASHAgencies]]+WWWW[[#This Row],['#_Non Cluster partner latrines]]))</f>
        <v>0</v>
      </c>
      <c r="DL386" s="890">
        <f>IF(500*(WWWW[[#This Row],['#_male hygiene promoters]]+WWWW[[#This Row],['#_female hygiene promoters]])&gt;WWWW[[#This Row],[Total PoP ]],WWWW[[#This Row],[Total PoP ]],500*(WWWW[[#This Row],['#_male hygiene promoters]]+WWWW[[#This Row],['#_female hygiene promoters]]))</f>
        <v>141</v>
      </c>
      <c r="DM38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6" s="893">
        <f>IF(WWWW[[#This Row],['# People with access to soap]]&gt;WWWW[[#This Row],['# People with access to Sanity Pads]],WWWW[[#This Row],['# People with access to soap]],WWWW[[#This Row],['# People with access to Sanity Pads]])</f>
        <v>0</v>
      </c>
      <c r="DP386" s="893">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Q386" s="895">
        <f>IF(WWWW[[#This Row],[HRP3]]/WWWW[[#This Row],[Total PoP ]]&gt;1,1,WWWW[[#This Row],[HRP3]]/WWWW[[#This Row],[Total PoP ]])</f>
        <v>1</v>
      </c>
      <c r="DR386" s="894">
        <f>1-WWWW[[#This Row],[Hygiene Coverage%]]</f>
        <v>0</v>
      </c>
      <c r="DS386" s="892">
        <f>WWWW[[#This Row],['# people reached by regular dedicated hygiene promotion_5]]/WWWW[[#This Row],[Total PoP ]]</f>
        <v>1</v>
      </c>
      <c r="DT38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6" s="893">
        <f>WWWW[[#This Row],['#_Constructed/Existing hand washing stations]]-WWWW[[#This Row],['#_Non-Functional_hand_washing_stations]]</f>
        <v>5</v>
      </c>
      <c r="DW386" s="890">
        <f>IF(WWWW[[#This Row],['# Functional hand washing stations during reporting period]]*20&gt;WWWW[[#This Row],[Total HH]],WWWW[[#This Row],[Total HH]],WWWW[[#This Row],['# Functional hand washing stations during reporting period]]*20)</f>
        <v>32</v>
      </c>
      <c r="DX386" s="890">
        <f>IF(WWWW[[#This Row],[Is sufficient soap available for TLS? (Yes/No)]]="yes",WWWW[[#This Row],['#_Constructed/Existing hand washing stations at TLS/CFS/THF]],0)</f>
        <v>0</v>
      </c>
      <c r="DY386" s="428">
        <f>IF(WWWW[[#This Row],['# Functional hand washing stations during reporting period]]*100&gt;WWWW[[#This Row],[Total PoP ]],WWWW[[#This Row],[Total PoP ]],WWWW[[#This Row],['# Functional hand washing stations during reporting period]]*100)</f>
        <v>141</v>
      </c>
      <c r="DZ386" s="428" t="str">
        <f>IF(OR(WWWW[[#This Row],['#_students at TLS_CFS]]="",WWWW[[#This Row],['#_students at TLS_CFS]]=0),"No","Yes")</f>
        <v>No</v>
      </c>
      <c r="EA38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6" s="886" t="str">
        <f>VLOOKUP(WWWW[[#This Row],[Site Name]],SiteDB6[[Site Name]:[CCCM Management]],6,FALSE)</f>
        <v>Yes</v>
      </c>
      <c r="EF386" s="886" t="str">
        <f>VLOOKUP(WWWW[[#This Row],[Site Name]],SiteDB6[[Site Name]:[CCCM Focal Agency]],7,FALSE)</f>
        <v>KBC-NSS</v>
      </c>
      <c r="EG386" s="886" t="str">
        <f>VLOOKUP(WWWW[[#This Row],[Site Name]],SiteDB6[[Site Name]:[Location Type 1]],9,FALSE)</f>
        <v>Camp</v>
      </c>
      <c r="EH386" s="886" t="str">
        <f>VLOOKUP(WWWW[[#This Row],[Site Name]],SiteDB6[[Site Name]:[Type of Accommodation]],10,FALSE)</f>
        <v>Camp</v>
      </c>
      <c r="EI386" s="886" t="str">
        <f>VLOOKUP(WWWW[[#This Row],[Site Name]],SiteDB6[[Site Name]:[Ethnic or GCA/NGCA]],11,FALSE)</f>
        <v>GCA</v>
      </c>
      <c r="EJ386" s="886">
        <f>VLOOKUP(WWWW[[#This Row],[Site Name]],SiteDB6[[Site Name]:[Lat]],12,FALSE)</f>
        <v>23.094290000000001</v>
      </c>
      <c r="EK386" s="886">
        <f>VLOOKUP(WWWW[[#This Row],[Site Name]],SiteDB6[[Site Name]:[Long]],13,FALSE)</f>
        <v>97.404089999999997</v>
      </c>
      <c r="EL386" s="886" t="str">
        <f>VLOOKUP(WWWW[[#This Row],[Site Name]],SiteDB6[[Site Name]:[Pcode]],3,FALSE)</f>
        <v>MMR015CMP014</v>
      </c>
      <c r="EM386" s="891" t="str">
        <f t="shared" si="5"/>
        <v>Covered</v>
      </c>
      <c r="EN386" s="891"/>
      <c r="EO386" s="886">
        <f>VLOOKUP(WWWW[[#This Row],[Site Name]],SiteDB6[[Site Name]:[Pop
(Kachin/Shan-CCCM as of July 2021)]],16,FALSE)</f>
        <v>30</v>
      </c>
      <c r="EP386" s="886">
        <f>VLOOKUP(WWWW[[#This Row],[Site Name]],SiteDB6[[Site Name]:[Pop
(Kachin/Shan-CCCM as of July 2021)]],17,FALSE)</f>
        <v>126</v>
      </c>
    </row>
    <row r="387" spans="1:146" hidden="1">
      <c r="A387" s="884" t="s">
        <v>2764</v>
      </c>
      <c r="B387" s="884" t="s">
        <v>192</v>
      </c>
      <c r="C387" s="884" t="s">
        <v>192</v>
      </c>
      <c r="D387" s="885" t="s">
        <v>241</v>
      </c>
      <c r="E387" s="885" t="s">
        <v>515</v>
      </c>
      <c r="F387" s="885" t="s">
        <v>960</v>
      </c>
      <c r="G387" s="886" t="str">
        <f>VLOOKUP(WWWW[[#This Row],[Site Name]],SiteDB6[[Site Name]:[Location Type]],8,FALSE)</f>
        <v>Camp</v>
      </c>
      <c r="H387" s="885" t="s">
        <v>2984</v>
      </c>
      <c r="I387" s="887">
        <v>14</v>
      </c>
      <c r="J387" s="887">
        <v>31</v>
      </c>
      <c r="K387" s="888">
        <v>44511</v>
      </c>
      <c r="L387" s="889">
        <v>44875</v>
      </c>
      <c r="M387" s="887"/>
      <c r="N387" s="887"/>
      <c r="O387" s="887"/>
      <c r="P387" s="887"/>
      <c r="Q387" s="890"/>
      <c r="R387" s="887"/>
      <c r="S387" s="887"/>
      <c r="T387" s="448"/>
      <c r="U387" s="887"/>
      <c r="V387" s="887"/>
      <c r="W387" s="887"/>
      <c r="X387" s="887"/>
      <c r="Y387" s="887"/>
      <c r="Z387" s="887"/>
      <c r="AA387" s="887"/>
      <c r="AB387" s="887"/>
      <c r="AC387" s="887"/>
      <c r="AD387" s="887"/>
      <c r="AE387" s="887"/>
      <c r="AF387" s="887"/>
      <c r="AG387" s="887"/>
      <c r="AH387" s="887"/>
      <c r="AI387" s="887"/>
      <c r="AJ387" s="887"/>
      <c r="AK387" s="887"/>
      <c r="AL387" s="887"/>
      <c r="AM387" s="887"/>
      <c r="AN387" s="887"/>
      <c r="AO387" s="448"/>
      <c r="AP387" s="891"/>
      <c r="AQ387" s="910"/>
      <c r="AR387" s="910">
        <v>4</v>
      </c>
      <c r="AS387" s="911"/>
      <c r="AT387" s="887"/>
      <c r="AU387" s="887"/>
      <c r="AV387" s="887"/>
      <c r="AW387" s="887"/>
      <c r="AX387" s="887"/>
      <c r="AY387" s="425" t="s">
        <v>140</v>
      </c>
      <c r="AZ387" s="425" t="s">
        <v>140</v>
      </c>
      <c r="BA387" s="887"/>
      <c r="BB387" s="887"/>
      <c r="BC387" s="887"/>
      <c r="BD387" s="448"/>
      <c r="BE387" s="448"/>
      <c r="BF387" s="886"/>
      <c r="BG387" s="910"/>
      <c r="BH387" s="887"/>
      <c r="BI387" s="887"/>
      <c r="BJ387" s="887"/>
      <c r="BK387" s="887"/>
      <c r="BL387" s="887"/>
      <c r="BM387" s="887"/>
      <c r="BN387" s="887"/>
      <c r="BO387" s="887"/>
      <c r="BP387" s="425" t="s">
        <v>41</v>
      </c>
      <c r="BQ387" s="893"/>
      <c r="BR387" s="892"/>
      <c r="BS387" s="886"/>
      <c r="BT387" s="423"/>
      <c r="BU387" s="423"/>
      <c r="BV387" s="425"/>
      <c r="BW387" s="423"/>
      <c r="BX387" s="448"/>
      <c r="BY387" s="448"/>
      <c r="BZ387" s="448"/>
      <c r="CA387" s="448"/>
      <c r="CB387" s="448"/>
      <c r="CC387" s="777"/>
      <c r="CD387" s="448"/>
      <c r="CE387" s="894" t="str">
        <f>IFERROR(WWWW[[#This Row],['#_Water sources passed]]/WWWW[[#This Row],['#_Water sources tested for fecal coliform ]],"no test")</f>
        <v>no test</v>
      </c>
      <c r="CF387" s="892" t="str">
        <f>IFERROR(WWWW[[#This Row],['#_Household passed]]/WWWW[[#This Row],['#_Household water samples tested for fecal coliform]],"no test")</f>
        <v>no test</v>
      </c>
      <c r="CG387" s="893" t="str">
        <f>IF(AND(WWWW[[#This Row],[% of water sources passed]]="no test",WWWW[[#This Row],[% Household passed]]="no test"),"No Test","Tested")</f>
        <v>No Test</v>
      </c>
      <c r="CH387" s="893">
        <f>WWWW[[#This Row],['#_Constructed/existing protected hand dug well]]-WWWW[[#This Row],['#_Non-functional protected hand dug well]]</f>
        <v>0</v>
      </c>
      <c r="CI387" s="893">
        <f>(WWWW[[#This Row],['#_Constructed/Existing tube wells/boreholes/handpumps_WASH_agency]]+WWWW[[#This Row],['#_Non-Cluster partner water tube-wells/boreholes/handpumps]])-WWWW[[#This Row],['#_Non-functional tube wells/boreholes/handpumps]]</f>
        <v>0</v>
      </c>
      <c r="CJ387" s="893">
        <f>WWWW[[#This Row],['#_Constructed/Existingwater storage tank with gravity fed reticulation system]]-WWWW[[#This Row],['#_Non-functional storage tank gravity fed reticulation system]]</f>
        <v>0</v>
      </c>
      <c r="CK387" s="893">
        <f>(WWWW[[#This Row],['#_Water_Liters_supplied_by_Water boating or water trucking]]/90)/15</f>
        <v>0</v>
      </c>
      <c r="CL387" s="893">
        <f>WWWW[[#This Row],['#_Water_Liters_from_Constructed/Existing water distribution system from river or natural spring]]/90/15</f>
        <v>0</v>
      </c>
      <c r="CM387" s="424">
        <f>IF(WWWW[[#This Row],['#_of water points in TLS/CFS]]*500&gt;WWWW[[#This Row],[Total PoP ]],WWWW[[#This Row],[Total PoP ]],WWWW[[#This Row],['#_of water points in TLS/CFS]]*500)</f>
        <v>0</v>
      </c>
      <c r="CN387" s="424">
        <f>IF(WWWW[[#This Row],['#_of water points in THF]]*500&gt;WWWW[[#This Row],[Total PoP ]],WWWW[[#This Row],[Total PoP ]],WWWW[[#This Row],['#_of water points in THF]]*500)</f>
        <v>0</v>
      </c>
      <c r="CO387"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87"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87" s="892">
        <f>IF(WWWW[[#This Row],[Location Type 1]]="Village",WWWW[[#This Row],[Access to safe drinking water for Village]],WWWW[[#This Row],[Access to safe drinking water for Camp]])</f>
        <v>0</v>
      </c>
      <c r="CR387" s="890">
        <f>WWWW[[#This Row],[%Equitable and continuous access to sufficient quantity of safe drinking water]]*WWWW[[#This Row],[Total PoP ]]</f>
        <v>0</v>
      </c>
      <c r="CS387" s="892">
        <f>IF((WWWW[[#This Row],['#_Constructed/Existing protected/fenced ponds]]*250)/WWWW[[#This Row],[Total PoP ]]&gt;1,1,(WWWW[[#This Row],['#_Constructed/Existing protected/fenced ponds]]*250)/WWWW[[#This Row],[Total PoP ]])</f>
        <v>0</v>
      </c>
      <c r="CT387" s="890">
        <f>WWWW[[#This Row],[% Access to unimproved water points]]*WWWW[[#This Row],[Total PoP ]]</f>
        <v>0</v>
      </c>
      <c r="CU387"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87"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87" s="890">
        <f>WWWW[[#This Row],[HRP1]]/500</f>
        <v>0</v>
      </c>
      <c r="CX387" s="895">
        <f>1-WWWW[[#This Row],[% Equitable and continuous access to sufficient quantity of domestic water]]</f>
        <v>1</v>
      </c>
      <c r="CY387" s="890">
        <f>WWWW[[#This Row],[%equitable and continuous access to sufficient quantity of safe drinking and domestic water''s GAP]]*WWWW[[#This Row],[Total PoP ]]</f>
        <v>31</v>
      </c>
      <c r="CZ387" s="893">
        <f>IF(WWWW[[#This Row],[Total required water points]]-WWWW[[#This Row],['#Water points coverage]]&lt;0,0,WWWW[[#This Row],[Total required water points]]-WWWW[[#This Row],['#Water points coverage]])</f>
        <v>1</v>
      </c>
      <c r="DA387" s="893">
        <f>ROUND(IF(WWWW[[#This Row],[Total PoP ]]&lt;500,1,WWWW[[#This Row],[Total PoP ]]/500),0)</f>
        <v>1</v>
      </c>
      <c r="DB387" s="893">
        <f>(WWWW[[#This Row],['#_Constructed latrines_by_WASHAgencies]]+WWWW[[#This Row],['#_Non Cluster partner latrines]])-WWWW[[#This Row],['#_Non-functional latrines]]</f>
        <v>4</v>
      </c>
      <c r="DC387" s="631">
        <f>WWWW[[#This Row],[HRP2]]/WWWW[[#This Row],[Total PoP ]]</f>
        <v>1</v>
      </c>
      <c r="DD387"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DE387"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7"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7" s="424">
        <f>IF(WWWW[[#This Row],['# of functional latrines in THF supported by WASH partners during the reporting period2]]="",0,WWWW[[#This Row],['# of functional latrines in THF supported by WASH partners during the reporting period2]]*50)</f>
        <v>0</v>
      </c>
      <c r="DH387" s="893">
        <f>ROUND(IF(WWWW[[#This Row],[Location Type 1]]="camp",WWWW[[#This Row],[Total PoP ]]/20,IF(WWWW[[#This Row],[Location Type 1]]="Temporary Location",WWWW[[#This Row],[Total PoP ]]/50,(WWWW[[#This Row],[Total PoP ]]/6))),0)</f>
        <v>2</v>
      </c>
      <c r="DI387" s="893">
        <f>IF(WWWW[[#This Row],[Total required Latrines]]-(WWWW[[#This Row],['#_Constructed latrines_by_WASHAgencies]]+WWWW[[#This Row],['#_Non Cluster partner latrines]])&lt;0,0,WWWW[[#This Row],[Total required Latrines]]-(WWWW[[#This Row],['#_Constructed latrines_by_WASHAgencies]]+WWWW[[#This Row],['#_Non Cluster partner latrines]]))</f>
        <v>0</v>
      </c>
      <c r="DJ387" s="895">
        <f>1-WWWW[[#This Row],[% people access to functioning Latrine]]</f>
        <v>0</v>
      </c>
      <c r="DK387" s="894">
        <f>IF(OR(WWWW[[#This Row],['#_Non-functional latrines]]="",WWWW[[#This Row],['#_Non-functional latrines]]=0),0,WWWW[[#This Row],['#_Non-functional latrines]]/(WWWW[[#This Row],['#_Constructed latrines_by_WASHAgencies]]+WWWW[[#This Row],['#_Non Cluster partner latrines]]))</f>
        <v>0</v>
      </c>
      <c r="DL387" s="890">
        <f>IF(500*(WWWW[[#This Row],['#_male hygiene promoters]]+WWWW[[#This Row],['#_female hygiene promoters]])&gt;WWWW[[#This Row],[Total PoP ]],WWWW[[#This Row],[Total PoP ]],500*(WWWW[[#This Row],['#_male hygiene promoters]]+WWWW[[#This Row],['#_female hygiene promoters]]))</f>
        <v>0</v>
      </c>
      <c r="DM387"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7"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7" s="893">
        <f>IF(WWWW[[#This Row],['# People with access to soap]]&gt;WWWW[[#This Row],['# People with access to Sanity Pads]],WWWW[[#This Row],['# People with access to soap]],WWWW[[#This Row],['# People with access to Sanity Pads]])</f>
        <v>0</v>
      </c>
      <c r="DP387"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87" s="895">
        <f>IF(WWWW[[#This Row],[HRP3]]/WWWW[[#This Row],[Total PoP ]]&gt;1,1,WWWW[[#This Row],[HRP3]]/WWWW[[#This Row],[Total PoP ]])</f>
        <v>0</v>
      </c>
      <c r="DR387" s="894">
        <f>1-WWWW[[#This Row],[Hygiene Coverage%]]</f>
        <v>1</v>
      </c>
      <c r="DS387" s="892">
        <f>WWWW[[#This Row],['# people reached by regular dedicated hygiene promotion_5]]/WWWW[[#This Row],[Total PoP ]]</f>
        <v>0</v>
      </c>
      <c r="DT387"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7"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7" s="893">
        <f>WWWW[[#This Row],['#_Constructed/Existing hand washing stations]]-WWWW[[#This Row],['#_Non-Functional_hand_washing_stations]]</f>
        <v>0</v>
      </c>
      <c r="DW387" s="890">
        <f>IF(WWWW[[#This Row],['# Functional hand washing stations during reporting period]]*20&gt;WWWW[[#This Row],[Total HH]],WWWW[[#This Row],[Total HH]],WWWW[[#This Row],['# Functional hand washing stations during reporting period]]*20)</f>
        <v>0</v>
      </c>
      <c r="DX387" s="890">
        <f>IF(WWWW[[#This Row],[Is sufficient soap available for TLS? (Yes/No)]]="yes",WWWW[[#This Row],['#_Constructed/Existing hand washing stations at TLS/CFS/THF]],0)</f>
        <v>0</v>
      </c>
      <c r="DY387" s="428">
        <f>IF(WWWW[[#This Row],['# Functional hand washing stations during reporting period]]*100&gt;WWWW[[#This Row],[Total PoP ]],WWWW[[#This Row],[Total PoP ]],WWWW[[#This Row],['# Functional hand washing stations during reporting period]]*100)</f>
        <v>0</v>
      </c>
      <c r="DZ387" s="428" t="str">
        <f>IF(OR(WWWW[[#This Row],['#_students at TLS_CFS]]="",WWWW[[#This Row],['#_students at TLS_CFS]]=0),"No","Yes")</f>
        <v>No</v>
      </c>
      <c r="EA38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7" s="886">
        <f>VLOOKUP(WWWW[[#This Row],[Site Name]],SiteDB6[[Site Name]:[CCCM Management]],6,FALSE)</f>
        <v>0</v>
      </c>
      <c r="EF387" s="886">
        <f>VLOOKUP(WWWW[[#This Row],[Site Name]],SiteDB6[[Site Name]:[CCCM Focal Agency]],7,FALSE)</f>
        <v>0</v>
      </c>
      <c r="EG387" s="886" t="str">
        <f>VLOOKUP(WWWW[[#This Row],[Site Name]],SiteDB6[[Site Name]:[Location Type 1]],9,FALSE)</f>
        <v>Camp</v>
      </c>
      <c r="EH387" s="886" t="str">
        <f>VLOOKUP(WWWW[[#This Row],[Site Name]],SiteDB6[[Site Name]:[Type of Accommodation]],10,FALSE)</f>
        <v>Camp like setting</v>
      </c>
      <c r="EI387" s="886" t="str">
        <f>VLOOKUP(WWWW[[#This Row],[Site Name]],SiteDB6[[Site Name]:[Ethnic or GCA/NGCA]],11,FALSE)</f>
        <v>GCA</v>
      </c>
      <c r="EJ387" s="886">
        <f>VLOOKUP(WWWW[[#This Row],[Site Name]],SiteDB6[[Site Name]:[Lat]],12,FALSE)</f>
        <v>0</v>
      </c>
      <c r="EK387" s="886">
        <f>VLOOKUP(WWWW[[#This Row],[Site Name]],SiteDB6[[Site Name]:[Long]],13,FALSE)</f>
        <v>0</v>
      </c>
      <c r="EL387" s="886" t="str">
        <f>VLOOKUP(WWWW[[#This Row],[Site Name]],SiteDB6[[Site Name]:[Pcode]],3,FALSE)</f>
        <v>MMR015CMP079</v>
      </c>
      <c r="EM387" s="891" t="str">
        <f t="shared" si="5"/>
        <v>Covered</v>
      </c>
      <c r="EN387" s="891"/>
      <c r="EO387" s="886">
        <f>VLOOKUP(WWWW[[#This Row],[Site Name]],SiteDB6[[Site Name]:[Pop
(Kachin/Shan-CCCM as of July 2021)]],16,FALSE)</f>
        <v>14</v>
      </c>
      <c r="EP387" s="886">
        <f>VLOOKUP(WWWW[[#This Row],[Site Name]],SiteDB6[[Site Name]:[Pop
(Kachin/Shan-CCCM as of July 2021)]],17,FALSE)</f>
        <v>31</v>
      </c>
    </row>
    <row r="388" spans="1:146" hidden="1">
      <c r="A388" s="884" t="s">
        <v>2764</v>
      </c>
      <c r="B388" s="884" t="s">
        <v>192</v>
      </c>
      <c r="C388" s="885" t="s">
        <v>192</v>
      </c>
      <c r="D388" s="885" t="s">
        <v>2673</v>
      </c>
      <c r="E388" s="885" t="s">
        <v>515</v>
      </c>
      <c r="F388" s="885" t="s">
        <v>519</v>
      </c>
      <c r="G388" s="591" t="str">
        <f>VLOOKUP(WWWW[[#This Row],[Site Name]],SiteDB6[[Site Name]:[Location Type]],8,FALSE)</f>
        <v>Camp</v>
      </c>
      <c r="H388" s="885" t="s">
        <v>542</v>
      </c>
      <c r="I388" s="887">
        <v>121</v>
      </c>
      <c r="J388" s="887">
        <v>664</v>
      </c>
      <c r="K388" s="888" t="s">
        <v>2767</v>
      </c>
      <c r="L388" s="889" t="s">
        <v>2768</v>
      </c>
      <c r="M388" s="887"/>
      <c r="N388" s="887">
        <v>1</v>
      </c>
      <c r="O388" s="887"/>
      <c r="P388" s="887"/>
      <c r="Q388" s="890" t="s">
        <v>41</v>
      </c>
      <c r="R388" s="887">
        <v>4</v>
      </c>
      <c r="S388" s="887">
        <v>5</v>
      </c>
      <c r="T388" s="448"/>
      <c r="U388" s="887"/>
      <c r="V388" s="887"/>
      <c r="W388" s="887"/>
      <c r="X388" s="887"/>
      <c r="Y388" s="887"/>
      <c r="Z388" s="887"/>
      <c r="AA388" s="887">
        <v>8</v>
      </c>
      <c r="AB388" s="887"/>
      <c r="AC388" s="887"/>
      <c r="AD388" s="887"/>
      <c r="AE388" s="887"/>
      <c r="AF388" s="887"/>
      <c r="AG388" s="887"/>
      <c r="AH388" s="887"/>
      <c r="AI388" s="887"/>
      <c r="AJ388" s="887"/>
      <c r="AK388" s="887"/>
      <c r="AL388" s="887"/>
      <c r="AM388" s="887">
        <v>1</v>
      </c>
      <c r="AN388" s="887"/>
      <c r="AO388" s="448"/>
      <c r="AP388" s="891"/>
      <c r="AQ388" s="887">
        <v>105</v>
      </c>
      <c r="AR388" s="887"/>
      <c r="AS388" s="892"/>
      <c r="AT388" s="887"/>
      <c r="AU388" s="887"/>
      <c r="AV388" s="887"/>
      <c r="AW388" s="887"/>
      <c r="AX388" s="887"/>
      <c r="AY388" s="886" t="s">
        <v>41</v>
      </c>
      <c r="AZ388" s="891" t="s">
        <v>137</v>
      </c>
      <c r="BA388" s="887"/>
      <c r="BB388" s="887"/>
      <c r="BC388" s="887"/>
      <c r="BD388" s="448"/>
      <c r="BE388" s="448"/>
      <c r="BF388" s="886"/>
      <c r="BG388" s="728">
        <v>8</v>
      </c>
      <c r="BH388" s="887"/>
      <c r="BI388" s="887"/>
      <c r="BJ388" s="887">
        <v>3</v>
      </c>
      <c r="BK388" s="887"/>
      <c r="BL388" s="887"/>
      <c r="BM388" s="887">
        <v>1</v>
      </c>
      <c r="BN388" s="887"/>
      <c r="BO388" s="887"/>
      <c r="BP388" s="425" t="s">
        <v>41</v>
      </c>
      <c r="BQ388" s="893"/>
      <c r="BR388" s="423">
        <v>1</v>
      </c>
      <c r="BS388" s="886"/>
      <c r="BT388" s="423"/>
      <c r="BU388" s="423"/>
      <c r="BV388" s="425"/>
      <c r="BW388" s="423"/>
      <c r="BX388" s="448"/>
      <c r="BY388" s="448"/>
      <c r="BZ388" s="448"/>
      <c r="CA388" s="448"/>
      <c r="CB388" s="448"/>
      <c r="CC388" s="777"/>
      <c r="CD388" s="448"/>
      <c r="CE388" s="894" t="str">
        <f>IFERROR(WWWW[[#This Row],['#_Water sources passed]]/WWWW[[#This Row],['#_Water sources tested for fecal coliform ]],"no test")</f>
        <v>no test</v>
      </c>
      <c r="CF388" s="892" t="str">
        <f>IFERROR(WWWW[[#This Row],['#_Household passed]]/WWWW[[#This Row],['#_Household water samples tested for fecal coliform]],"no test")</f>
        <v>no test</v>
      </c>
      <c r="CG388" s="893" t="str">
        <f>IF(AND(WWWW[[#This Row],[% of water sources passed]]="no test",WWWW[[#This Row],[% Household passed]]="no test"),"No Test","Tested")</f>
        <v>No Test</v>
      </c>
      <c r="CH388" s="893">
        <f>WWWW[[#This Row],['#_Constructed/existing protected hand dug well]]-WWWW[[#This Row],['#_Non-functional protected hand dug well]]</f>
        <v>0</v>
      </c>
      <c r="CI388" s="893">
        <f>(WWWW[[#This Row],['#_Constructed/Existing tube wells/boreholes/handpumps_WASH_agency]]+WWWW[[#This Row],['#_Non-Cluster partner water tube-wells/boreholes/handpumps]])-WWWW[[#This Row],['#_Non-functional tube wells/boreholes/handpumps]]</f>
        <v>0</v>
      </c>
      <c r="CJ388" s="893">
        <f>WWWW[[#This Row],['#_Constructed/Existingwater storage tank with gravity fed reticulation system]]-WWWW[[#This Row],['#_Non-functional storage tank gravity fed reticulation system]]</f>
        <v>8</v>
      </c>
      <c r="CK388" s="893">
        <f>(WWWW[[#This Row],['#_Water_Liters_supplied_by_Water boating or water trucking]]/90)/15</f>
        <v>0</v>
      </c>
      <c r="CL388" s="893">
        <f>WWWW[[#This Row],['#_Water_Liters_from_Constructed/Existing water distribution system from river or natural spring]]/90/15</f>
        <v>0</v>
      </c>
      <c r="CM388" s="424">
        <f>IF(WWWW[[#This Row],['#_of water points in TLS/CFS]]*500&gt;WWWW[[#This Row],[Total PoP ]],WWWW[[#This Row],[Total PoP ]],WWWW[[#This Row],['#_of water points in TLS/CFS]]*500)</f>
        <v>0</v>
      </c>
      <c r="CN388" s="424">
        <f>IF(WWWW[[#This Row],['#_of water points in THF]]*500&gt;WWWW[[#This Row],[Total PoP ]],WWWW[[#This Row],[Total PoP ]],WWWW[[#This Row],['#_of water points in THF]]*500)</f>
        <v>0</v>
      </c>
      <c r="CO388"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P388"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Q388" s="892">
        <f>IF(WWWW[[#This Row],[Location Type 1]]="Village",WWWW[[#This Row],[Access to safe drinking water for Village]],WWWW[[#This Row],[Access to safe drinking water for Camp]])</f>
        <v>0.8032128514056226</v>
      </c>
      <c r="CR388" s="890">
        <f>WWWW[[#This Row],[%Equitable and continuous access to sufficient quantity of safe drinking water]]*WWWW[[#This Row],[Total PoP ]]</f>
        <v>533.33333333333337</v>
      </c>
      <c r="CS388" s="892">
        <f>IF((WWWW[[#This Row],['#_Constructed/Existing protected/fenced ponds]]*250)/WWWW[[#This Row],[Total PoP ]]&gt;1,1,(WWWW[[#This Row],['#_Constructed/Existing protected/fenced ponds]]*250)/WWWW[[#This Row],[Total PoP ]])</f>
        <v>0</v>
      </c>
      <c r="CT388" s="890">
        <f>WWWW[[#This Row],[% Access to unimproved water points]]*WWWW[[#This Row],[Total PoP ]]</f>
        <v>0</v>
      </c>
      <c r="CU388"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V388"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W388" s="890">
        <f>WWWW[[#This Row],[HRP1]]/500</f>
        <v>1.0666666666666667</v>
      </c>
      <c r="CX388" s="895">
        <f>1-WWWW[[#This Row],[% Equitable and continuous access to sufficient quantity of domestic water]]</f>
        <v>0.1967871485943774</v>
      </c>
      <c r="CY388" s="890">
        <f>WWWW[[#This Row],[%equitable and continuous access to sufficient quantity of safe drinking and domestic water''s GAP]]*WWWW[[#This Row],[Total PoP ]]</f>
        <v>130.6666666666666</v>
      </c>
      <c r="CZ388" s="893">
        <f>IF(WWWW[[#This Row],[Total required water points]]-WWWW[[#This Row],['#Water points coverage]]&lt;0,0,WWWW[[#This Row],[Total required water points]]-WWWW[[#This Row],['#Water points coverage]])</f>
        <v>0</v>
      </c>
      <c r="DA388" s="893">
        <f>ROUND(IF(WWWW[[#This Row],[Total PoP ]]&lt;500,1,WWWW[[#This Row],[Total PoP ]]/500),0)</f>
        <v>1</v>
      </c>
      <c r="DB388" s="893">
        <f>(WWWW[[#This Row],['#_Constructed latrines_by_WASHAgencies]]+WWWW[[#This Row],['#_Non Cluster partner latrines]])-WWWW[[#This Row],['#_Non-functional latrines]]</f>
        <v>105</v>
      </c>
      <c r="DC388" s="631">
        <f>WWWW[[#This Row],[HRP2]]/WWWW[[#This Row],[Total PoP ]]</f>
        <v>0.79066265060240959</v>
      </c>
      <c r="DD388"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525</v>
      </c>
      <c r="DE388"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8"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8" s="424">
        <f>IF(WWWW[[#This Row],['# of functional latrines in THF supported by WASH partners during the reporting period2]]="",0,WWWW[[#This Row],['# of functional latrines in THF supported by WASH partners during the reporting period2]]*50)</f>
        <v>0</v>
      </c>
      <c r="DH388" s="893">
        <f>ROUND(IF(WWWW[[#This Row],[Location Type 1]]="camp",WWWW[[#This Row],[Total PoP ]]/20,IF(WWWW[[#This Row],[Location Type 1]]="Temporary Location",WWWW[[#This Row],[Total PoP ]]/50,(WWWW[[#This Row],[Total PoP ]]/6))),0)</f>
        <v>111</v>
      </c>
      <c r="DI388" s="893">
        <f>IF(WWWW[[#This Row],[Total required Latrines]]-(WWWW[[#This Row],['#_Constructed latrines_by_WASHAgencies]]+WWWW[[#This Row],['#_Non Cluster partner latrines]])&lt;0,0,WWWW[[#This Row],[Total required Latrines]]-(WWWW[[#This Row],['#_Constructed latrines_by_WASHAgencies]]+WWWW[[#This Row],['#_Non Cluster partner latrines]]))</f>
        <v>6</v>
      </c>
      <c r="DJ388" s="895">
        <f>1-WWWW[[#This Row],[% people access to functioning Latrine]]</f>
        <v>0.20933734939759041</v>
      </c>
      <c r="DK388" s="894">
        <f>IF(OR(WWWW[[#This Row],['#_Non-functional latrines]]="",WWWW[[#This Row],['#_Non-functional latrines]]=0),0,WWWW[[#This Row],['#_Non-functional latrines]]/(WWWW[[#This Row],['#_Constructed latrines_by_WASHAgencies]]+WWWW[[#This Row],['#_Non Cluster partner latrines]]))</f>
        <v>0</v>
      </c>
      <c r="DL388" s="890">
        <f>IF(500*(WWWW[[#This Row],['#_male hygiene promoters]]+WWWW[[#This Row],['#_female hygiene promoters]])&gt;WWWW[[#This Row],[Total PoP ]],WWWW[[#This Row],[Total PoP ]],500*(WWWW[[#This Row],['#_male hygiene promoters]]+WWWW[[#This Row],['#_female hygiene promoters]]))</f>
        <v>500</v>
      </c>
      <c r="DM388"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8"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8" s="893">
        <f>IF(WWWW[[#This Row],['# People with access to soap]]&gt;WWWW[[#This Row],['# People with access to Sanity Pads]],WWWW[[#This Row],['# People with access to soap]],WWWW[[#This Row],['# People with access to Sanity Pads]])</f>
        <v>0</v>
      </c>
      <c r="DP388" s="89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388" s="895">
        <f>IF(WWWW[[#This Row],[HRP3]]/WWWW[[#This Row],[Total PoP ]]&gt;1,1,WWWW[[#This Row],[HRP3]]/WWWW[[#This Row],[Total PoP ]])</f>
        <v>0.75301204819277112</v>
      </c>
      <c r="DR388" s="894">
        <f>1-WWWW[[#This Row],[Hygiene Coverage%]]</f>
        <v>0.24698795180722888</v>
      </c>
      <c r="DS388" s="892">
        <f>WWWW[[#This Row],['# people reached by regular dedicated hygiene promotion_5]]/WWWW[[#This Row],[Total PoP ]]</f>
        <v>0.75301204819277112</v>
      </c>
      <c r="DT388"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8"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8" s="893">
        <f>WWWW[[#This Row],['#_Constructed/Existing hand washing stations]]-WWWW[[#This Row],['#_Non-Functional_hand_washing_stations]]</f>
        <v>8</v>
      </c>
      <c r="DW388" s="890">
        <f>IF(WWWW[[#This Row],['# Functional hand washing stations during reporting period]]*20&gt;WWWW[[#This Row],[Total HH]],WWWW[[#This Row],[Total HH]],WWWW[[#This Row],['# Functional hand washing stations during reporting period]]*20)</f>
        <v>121</v>
      </c>
      <c r="DX388" s="890">
        <f>IF(WWWW[[#This Row],[Is sufficient soap available for TLS? (Yes/No)]]="yes",WWWW[[#This Row],['#_Constructed/Existing hand washing stations at TLS/CFS/THF]],0)</f>
        <v>1</v>
      </c>
      <c r="DY388" s="428">
        <f>IF(WWWW[[#This Row],['# Functional hand washing stations during reporting period]]*100&gt;WWWW[[#This Row],[Total PoP ]],WWWW[[#This Row],[Total PoP ]],WWWW[[#This Row],['# Functional hand washing stations during reporting period]]*100)</f>
        <v>664</v>
      </c>
      <c r="DZ388" s="428" t="str">
        <f>IF(OR(WWWW[[#This Row],['#_students at TLS_CFS]]="",WWWW[[#This Row],['#_students at TLS_CFS]]=0),"No","Yes")</f>
        <v>No</v>
      </c>
      <c r="EA38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8" s="886" t="str">
        <f>VLOOKUP(WWWW[[#This Row],[Site Name]],SiteDB6[[Site Name]:[CCCM Management]],6,FALSE)</f>
        <v>Yes</v>
      </c>
      <c r="EF388" s="886" t="str">
        <f>VLOOKUP(WWWW[[#This Row],[Site Name]],SiteDB6[[Site Name]:[CCCM Focal Agency]],7,FALSE)</f>
        <v>KMSS-LSO</v>
      </c>
      <c r="EG388" s="886" t="str">
        <f>VLOOKUP(WWWW[[#This Row],[Site Name]],SiteDB6[[Site Name]:[Location Type 1]],9,FALSE)</f>
        <v>Village Type Camp</v>
      </c>
      <c r="EH388" s="886" t="str">
        <f>VLOOKUP(WWWW[[#This Row],[Site Name]],SiteDB6[[Site Name]:[Type of Accommodation]],10,FALSE)</f>
        <v>Camp</v>
      </c>
      <c r="EI388" s="886" t="str">
        <f>VLOOKUP(WWWW[[#This Row],[Site Name]],SiteDB6[[Site Name]:[Ethnic or GCA/NGCA]],11,FALSE)</f>
        <v>GCA</v>
      </c>
      <c r="EJ388" s="886">
        <f>VLOOKUP(WWWW[[#This Row],[Site Name]],SiteDB6[[Site Name]:[Lat]],12,FALSE)</f>
        <v>23.447111</v>
      </c>
      <c r="EK388" s="886">
        <f>VLOOKUP(WWWW[[#This Row],[Site Name]],SiteDB6[[Site Name]:[Long]],13,FALSE)</f>
        <v>97.868876999999998</v>
      </c>
      <c r="EL388" s="886" t="str">
        <f>VLOOKUP(WWWW[[#This Row],[Site Name]],SiteDB6[[Site Name]:[Pcode]],3,FALSE)</f>
        <v>MMR015CMP037</v>
      </c>
      <c r="EM388" s="891" t="str">
        <f t="shared" si="5"/>
        <v>Covered</v>
      </c>
      <c r="EN388" s="891"/>
      <c r="EO388" s="886">
        <f>VLOOKUP(WWWW[[#This Row],[Site Name]],SiteDB6[[Site Name]:[Pop
(Kachin/Shan-CCCM as of July 2021)]],16,FALSE)</f>
        <v>123</v>
      </c>
      <c r="EP388" s="886">
        <f>VLOOKUP(WWWW[[#This Row],[Site Name]],SiteDB6[[Site Name]:[Pop
(Kachin/Shan-CCCM as of July 2021)]],17,FALSE)</f>
        <v>706</v>
      </c>
    </row>
    <row r="389" spans="1:146" hidden="1">
      <c r="A389" s="884" t="s">
        <v>2764</v>
      </c>
      <c r="B389" s="884" t="s">
        <v>192</v>
      </c>
      <c r="C389" s="885" t="s">
        <v>192</v>
      </c>
      <c r="D389" s="885" t="s">
        <v>2673</v>
      </c>
      <c r="E389" s="885" t="s">
        <v>515</v>
      </c>
      <c r="F389" s="885" t="s">
        <v>519</v>
      </c>
      <c r="G389" s="591" t="str">
        <f>VLOOKUP(WWWW[[#This Row],[Site Name]],SiteDB6[[Site Name]:[Location Type]],8,FALSE)</f>
        <v>Camp</v>
      </c>
      <c r="H389" s="885" t="s">
        <v>561</v>
      </c>
      <c r="I389" s="887">
        <v>45</v>
      </c>
      <c r="J389" s="887">
        <v>221</v>
      </c>
      <c r="K389" s="888" t="s">
        <v>2767</v>
      </c>
      <c r="L389" s="889" t="s">
        <v>2768</v>
      </c>
      <c r="M389" s="887"/>
      <c r="N389" s="887"/>
      <c r="O389" s="887"/>
      <c r="P389" s="887"/>
      <c r="Q389" s="890"/>
      <c r="R389" s="887">
        <v>5</v>
      </c>
      <c r="S389" s="887">
        <v>4</v>
      </c>
      <c r="T389" s="448"/>
      <c r="U389" s="887"/>
      <c r="V389" s="887"/>
      <c r="W389" s="887"/>
      <c r="X389" s="887"/>
      <c r="Y389" s="887"/>
      <c r="Z389" s="887"/>
      <c r="AA389" s="887">
        <v>8</v>
      </c>
      <c r="AB389" s="887"/>
      <c r="AC389" s="887"/>
      <c r="AD389" s="887"/>
      <c r="AE389" s="887"/>
      <c r="AF389" s="887"/>
      <c r="AG389" s="887"/>
      <c r="AH389" s="887">
        <v>1</v>
      </c>
      <c r="AI389" s="887"/>
      <c r="AJ389" s="887"/>
      <c r="AK389" s="887"/>
      <c r="AL389" s="887"/>
      <c r="AM389" s="887">
        <v>2</v>
      </c>
      <c r="AN389" s="887">
        <v>1</v>
      </c>
      <c r="AO389" s="448"/>
      <c r="AP389" s="891"/>
      <c r="AQ389" s="887">
        <v>37</v>
      </c>
      <c r="AR389" s="887"/>
      <c r="AS389" s="892"/>
      <c r="AT389" s="887"/>
      <c r="AU389" s="887"/>
      <c r="AV389" s="887"/>
      <c r="AW389" s="887"/>
      <c r="AX389" s="887">
        <v>3</v>
      </c>
      <c r="AY389" s="886" t="s">
        <v>136</v>
      </c>
      <c r="AZ389" s="891" t="s">
        <v>904</v>
      </c>
      <c r="BA389" s="887"/>
      <c r="BB389" s="887"/>
      <c r="BC389" s="887">
        <v>2</v>
      </c>
      <c r="BD389" s="448"/>
      <c r="BE389" s="448"/>
      <c r="BF389" s="886"/>
      <c r="BG389" s="448">
        <v>7</v>
      </c>
      <c r="BH389" s="887"/>
      <c r="BI389" s="887"/>
      <c r="BJ389" s="887"/>
      <c r="BK389" s="887"/>
      <c r="BL389" s="887"/>
      <c r="BM389" s="887">
        <v>1</v>
      </c>
      <c r="BN389" s="887"/>
      <c r="BO389" s="887"/>
      <c r="BP389" s="425" t="s">
        <v>41</v>
      </c>
      <c r="BQ389" s="893"/>
      <c r="BR389" s="423">
        <v>1</v>
      </c>
      <c r="BS389" s="886"/>
      <c r="BT389" s="423"/>
      <c r="BU389" s="423"/>
      <c r="BV389" s="425"/>
      <c r="BW389" s="423"/>
      <c r="BX389" s="448"/>
      <c r="BY389" s="448"/>
      <c r="BZ389" s="448"/>
      <c r="CA389" s="448"/>
      <c r="CB389" s="448"/>
      <c r="CC389" s="777"/>
      <c r="CD389" s="448"/>
      <c r="CE389" s="894" t="str">
        <f>IFERROR(WWWW[[#This Row],['#_Water sources passed]]/WWWW[[#This Row],['#_Water sources tested for fecal coliform ]],"no test")</f>
        <v>no test</v>
      </c>
      <c r="CF389" s="892" t="str">
        <f>IFERROR(WWWW[[#This Row],['#_Household passed]]/WWWW[[#This Row],['#_Household water samples tested for fecal coliform]],"no test")</f>
        <v>no test</v>
      </c>
      <c r="CG389" s="893" t="str">
        <f>IF(AND(WWWW[[#This Row],[% of water sources passed]]="no test",WWWW[[#This Row],[% Household passed]]="no test"),"No Test","Tested")</f>
        <v>No Test</v>
      </c>
      <c r="CH389" s="893">
        <f>WWWW[[#This Row],['#_Constructed/existing protected hand dug well]]-WWWW[[#This Row],['#_Non-functional protected hand dug well]]</f>
        <v>0</v>
      </c>
      <c r="CI389" s="893">
        <f>(WWWW[[#This Row],['#_Constructed/Existing tube wells/boreholes/handpumps_WASH_agency]]+WWWW[[#This Row],['#_Non-Cluster partner water tube-wells/boreholes/handpumps]])-WWWW[[#This Row],['#_Non-functional tube wells/boreholes/handpumps]]</f>
        <v>0</v>
      </c>
      <c r="CJ389" s="893">
        <f>WWWW[[#This Row],['#_Constructed/Existingwater storage tank with gravity fed reticulation system]]-WWWW[[#This Row],['#_Non-functional storage tank gravity fed reticulation system]]</f>
        <v>8</v>
      </c>
      <c r="CK389" s="893">
        <f>(WWWW[[#This Row],['#_Water_Liters_supplied_by_Water boating or water trucking]]/90)/15</f>
        <v>0</v>
      </c>
      <c r="CL389" s="893">
        <f>WWWW[[#This Row],['#_Water_Liters_from_Constructed/Existing water distribution system from river or natural spring]]/90/15</f>
        <v>0</v>
      </c>
      <c r="CM389" s="424">
        <f>IF(WWWW[[#This Row],['#_of water points in TLS/CFS]]*500&gt;WWWW[[#This Row],[Total PoP ]],WWWW[[#This Row],[Total PoP ]],WWWW[[#This Row],['#_of water points in TLS/CFS]]*500)</f>
        <v>221</v>
      </c>
      <c r="CN389" s="424">
        <f>IF(WWWW[[#This Row],['#_of water points in THF]]*500&gt;WWWW[[#This Row],[Total PoP ]],WWWW[[#This Row],[Total PoP ]],WWWW[[#This Row],['#_of water points in THF]]*500)</f>
        <v>0</v>
      </c>
      <c r="CO389"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9"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9" s="892">
        <f>IF(WWWW[[#This Row],[Location Type 1]]="Village",WWWW[[#This Row],[Access to safe drinking water for Village]],WWWW[[#This Row],[Access to safe drinking water for Camp]])</f>
        <v>1</v>
      </c>
      <c r="CR389" s="890">
        <f>WWWW[[#This Row],[%Equitable and continuous access to sufficient quantity of safe drinking water]]*WWWW[[#This Row],[Total PoP ]]</f>
        <v>221</v>
      </c>
      <c r="CS389" s="892">
        <f>IF((WWWW[[#This Row],['#_Constructed/Existing protected/fenced ponds]]*250)/WWWW[[#This Row],[Total PoP ]]&gt;1,1,(WWWW[[#This Row],['#_Constructed/Existing protected/fenced ponds]]*250)/WWWW[[#This Row],[Total PoP ]])</f>
        <v>0</v>
      </c>
      <c r="CT389" s="890">
        <f>WWWW[[#This Row],[% Access to unimproved water points]]*WWWW[[#This Row],[Total PoP ]]</f>
        <v>0</v>
      </c>
      <c r="CU389"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9"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389" s="890">
        <f>WWWW[[#This Row],[HRP1]]/500</f>
        <v>0.442</v>
      </c>
      <c r="CX389" s="895">
        <f>1-WWWW[[#This Row],[% Equitable and continuous access to sufficient quantity of domestic water]]</f>
        <v>0</v>
      </c>
      <c r="CY389" s="890">
        <f>WWWW[[#This Row],[%equitable and continuous access to sufficient quantity of safe drinking and domestic water''s GAP]]*WWWW[[#This Row],[Total PoP ]]</f>
        <v>0</v>
      </c>
      <c r="CZ389" s="893">
        <f>IF(WWWW[[#This Row],[Total required water points]]-WWWW[[#This Row],['#Water points coverage]]&lt;0,0,WWWW[[#This Row],[Total required water points]]-WWWW[[#This Row],['#Water points coverage]])</f>
        <v>0.55800000000000005</v>
      </c>
      <c r="DA389" s="893">
        <f>ROUND(IF(WWWW[[#This Row],[Total PoP ]]&lt;500,1,WWWW[[#This Row],[Total PoP ]]/500),0)</f>
        <v>1</v>
      </c>
      <c r="DB389" s="893">
        <f>(WWWW[[#This Row],['#_Constructed latrines_by_WASHAgencies]]+WWWW[[#This Row],['#_Non Cluster partner latrines]])-WWWW[[#This Row],['#_Non-functional latrines]]</f>
        <v>37</v>
      </c>
      <c r="DC389" s="631">
        <f>WWWW[[#This Row],[HRP2]]/WWWW[[#This Row],[Total PoP ]]</f>
        <v>1</v>
      </c>
      <c r="DD389"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221</v>
      </c>
      <c r="DE389"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9"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9" s="424">
        <f>IF(WWWW[[#This Row],['# of functional latrines in THF supported by WASH partners during the reporting period2]]="",0,WWWW[[#This Row],['# of functional latrines in THF supported by WASH partners during the reporting period2]]*50)</f>
        <v>0</v>
      </c>
      <c r="DH389" s="893">
        <f>ROUND(IF(WWWW[[#This Row],[Location Type 1]]="camp",WWWW[[#This Row],[Total PoP ]]/20,IF(WWWW[[#This Row],[Location Type 1]]="Temporary Location",WWWW[[#This Row],[Total PoP ]]/50,(WWWW[[#This Row],[Total PoP ]]/6))),0)</f>
        <v>11</v>
      </c>
      <c r="DI389" s="893">
        <f>IF(WWWW[[#This Row],[Total required Latrines]]-(WWWW[[#This Row],['#_Constructed latrines_by_WASHAgencies]]+WWWW[[#This Row],['#_Non Cluster partner latrines]])&lt;0,0,WWWW[[#This Row],[Total required Latrines]]-(WWWW[[#This Row],['#_Constructed latrines_by_WASHAgencies]]+WWWW[[#This Row],['#_Non Cluster partner latrines]]))</f>
        <v>0</v>
      </c>
      <c r="DJ389" s="895">
        <f>1-WWWW[[#This Row],[% people access to functioning Latrine]]</f>
        <v>0</v>
      </c>
      <c r="DK389" s="894">
        <f>IF(OR(WWWW[[#This Row],['#_Non-functional latrines]]="",WWWW[[#This Row],['#_Non-functional latrines]]=0),0,WWWW[[#This Row],['#_Non-functional latrines]]/(WWWW[[#This Row],['#_Constructed latrines_by_WASHAgencies]]+WWWW[[#This Row],['#_Non Cluster partner latrines]]))</f>
        <v>0</v>
      </c>
      <c r="DL389" s="890">
        <f>IF(500*(WWWW[[#This Row],['#_male hygiene promoters]]+WWWW[[#This Row],['#_female hygiene promoters]])&gt;WWWW[[#This Row],[Total PoP ]],WWWW[[#This Row],[Total PoP ]],500*(WWWW[[#This Row],['#_male hygiene promoters]]+WWWW[[#This Row],['#_female hygiene promoters]]))</f>
        <v>221</v>
      </c>
      <c r="DM389"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9"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9" s="893">
        <f>IF(WWWW[[#This Row],['# People with access to soap]]&gt;WWWW[[#This Row],['# People with access to Sanity Pads]],WWWW[[#This Row],['# People with access to soap]],WWWW[[#This Row],['# People with access to Sanity Pads]])</f>
        <v>0</v>
      </c>
      <c r="DP389" s="893">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Q389" s="895">
        <f>IF(WWWW[[#This Row],[HRP3]]/WWWW[[#This Row],[Total PoP ]]&gt;1,1,WWWW[[#This Row],[HRP3]]/WWWW[[#This Row],[Total PoP ]])</f>
        <v>1</v>
      </c>
      <c r="DR389" s="894">
        <f>1-WWWW[[#This Row],[Hygiene Coverage%]]</f>
        <v>0</v>
      </c>
      <c r="DS389" s="892">
        <f>WWWW[[#This Row],['# people reached by regular dedicated hygiene promotion_5]]/WWWW[[#This Row],[Total PoP ]]</f>
        <v>1</v>
      </c>
      <c r="DT389"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9"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9" s="893">
        <f>WWWW[[#This Row],['#_Constructed/Existing hand washing stations]]-WWWW[[#This Row],['#_Non-Functional_hand_washing_stations]]</f>
        <v>7</v>
      </c>
      <c r="DW389" s="890">
        <f>IF(WWWW[[#This Row],['# Functional hand washing stations during reporting period]]*20&gt;WWWW[[#This Row],[Total HH]],WWWW[[#This Row],[Total HH]],WWWW[[#This Row],['# Functional hand washing stations during reporting period]]*20)</f>
        <v>45</v>
      </c>
      <c r="DX389" s="890">
        <f>IF(WWWW[[#This Row],[Is sufficient soap available for TLS? (Yes/No)]]="yes",WWWW[[#This Row],['#_Constructed/Existing hand washing stations at TLS/CFS/THF]],0)</f>
        <v>2</v>
      </c>
      <c r="DY389" s="428">
        <f>IF(WWWW[[#This Row],['# Functional hand washing stations during reporting period]]*100&gt;WWWW[[#This Row],[Total PoP ]],WWWW[[#This Row],[Total PoP ]],WWWW[[#This Row],['# Functional hand washing stations during reporting period]]*100)</f>
        <v>221</v>
      </c>
      <c r="DZ389" s="428" t="str">
        <f>IF(OR(WWWW[[#This Row],['#_students at TLS_CFS]]="",WWWW[[#This Row],['#_students at TLS_CFS]]=0),"No","Yes")</f>
        <v>No</v>
      </c>
      <c r="EA38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D38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9" s="886" t="str">
        <f>VLOOKUP(WWWW[[#This Row],[Site Name]],SiteDB6[[Site Name]:[CCCM Management]],6,FALSE)</f>
        <v>Yes</v>
      </c>
      <c r="EF389" s="886" t="str">
        <f>VLOOKUP(WWWW[[#This Row],[Site Name]],SiteDB6[[Site Name]:[CCCM Focal Agency]],7,FALSE)</f>
        <v>KMSS-LSO</v>
      </c>
      <c r="EG389" s="886" t="str">
        <f>VLOOKUP(WWWW[[#This Row],[Site Name]],SiteDB6[[Site Name]:[Location Type 1]],9,FALSE)</f>
        <v>Camp</v>
      </c>
      <c r="EH389" s="886" t="str">
        <f>VLOOKUP(WWWW[[#This Row],[Site Name]],SiteDB6[[Site Name]:[Type of Accommodation]],10,FALSE)</f>
        <v>Camp</v>
      </c>
      <c r="EI389" s="886" t="str">
        <f>VLOOKUP(WWWW[[#This Row],[Site Name]],SiteDB6[[Site Name]:[Ethnic or GCA/NGCA]],11,FALSE)</f>
        <v>GCA</v>
      </c>
      <c r="EJ389" s="886">
        <f>VLOOKUP(WWWW[[#This Row],[Site Name]],SiteDB6[[Site Name]:[Lat]],12,FALSE)</f>
        <v>23.59</v>
      </c>
      <c r="EK389" s="886">
        <f>VLOOKUP(WWWW[[#This Row],[Site Name]],SiteDB6[[Site Name]:[Long]],13,FALSE)</f>
        <v>97.805999999999997</v>
      </c>
      <c r="EL389" s="886" t="str">
        <f>VLOOKUP(WWWW[[#This Row],[Site Name]],SiteDB6[[Site Name]:[Pcode]],3,FALSE)</f>
        <v>MMR015CMP067</v>
      </c>
      <c r="EM389" s="891" t="str">
        <f t="shared" si="5"/>
        <v>Covered</v>
      </c>
      <c r="EN389" s="891"/>
      <c r="EO389" s="886">
        <f>VLOOKUP(WWWW[[#This Row],[Site Name]],SiteDB6[[Site Name]:[Pop
(Kachin/Shan-CCCM as of July 2021)]],16,FALSE)</f>
        <v>47</v>
      </c>
      <c r="EP389" s="886">
        <f>VLOOKUP(WWWW[[#This Row],[Site Name]],SiteDB6[[Site Name]:[Pop
(Kachin/Shan-CCCM as of July 2021)]],17,FALSE)</f>
        <v>230</v>
      </c>
    </row>
    <row r="390" spans="1:146" hidden="1">
      <c r="A390" s="884" t="s">
        <v>2764</v>
      </c>
      <c r="B390" s="707" t="s">
        <v>309</v>
      </c>
      <c r="C390" s="369" t="s">
        <v>309</v>
      </c>
      <c r="D390" s="369"/>
      <c r="E390" s="885" t="s">
        <v>515</v>
      </c>
      <c r="F390" s="369" t="s">
        <v>963</v>
      </c>
      <c r="G390" s="425" t="str">
        <f>VLOOKUP(WWWW[[#This Row],[Site Name]],SiteDB6[[Site Name]:[Location Type]],8,FALSE)</f>
        <v>Relocated</v>
      </c>
      <c r="H390" s="369" t="s">
        <v>2605</v>
      </c>
      <c r="I390" s="448">
        <v>657</v>
      </c>
      <c r="J390" s="448">
        <v>2786</v>
      </c>
      <c r="K390" s="800"/>
      <c r="L390" s="56"/>
      <c r="M390" s="448"/>
      <c r="N390" s="448"/>
      <c r="O390" s="448"/>
      <c r="P390" s="448"/>
      <c r="Q390" s="428"/>
      <c r="R390" s="448"/>
      <c r="S390" s="448"/>
      <c r="T390" s="448"/>
      <c r="U390" s="448"/>
      <c r="V390" s="448"/>
      <c r="W390" s="448"/>
      <c r="X390" s="448"/>
      <c r="Y390" s="448"/>
      <c r="Z390" s="448"/>
      <c r="AA390" s="448"/>
      <c r="AB390" s="448"/>
      <c r="AC390" s="448"/>
      <c r="AD390" s="448"/>
      <c r="AE390" s="448"/>
      <c r="AF390" s="448"/>
      <c r="AG390" s="448"/>
      <c r="AH390" s="448"/>
      <c r="AI390" s="448"/>
      <c r="AJ390" s="448"/>
      <c r="AK390" s="448"/>
      <c r="AL390" s="448"/>
      <c r="AM390" s="448"/>
      <c r="AN390" s="448"/>
      <c r="AO390" s="448"/>
      <c r="AP390" s="860"/>
      <c r="AQ390" s="448"/>
      <c r="AR390" s="448"/>
      <c r="AS390" s="423"/>
      <c r="AT390" s="448"/>
      <c r="AU390" s="448"/>
      <c r="AV390" s="448"/>
      <c r="AW390" s="448"/>
      <c r="AX390" s="448"/>
      <c r="AY390" s="425" t="s">
        <v>140</v>
      </c>
      <c r="AZ390" s="425" t="s">
        <v>140</v>
      </c>
      <c r="BA390" s="448"/>
      <c r="BB390" s="448"/>
      <c r="BC390" s="448"/>
      <c r="BD390" s="448"/>
      <c r="BE390" s="448"/>
      <c r="BF390" s="425"/>
      <c r="BG390" s="448"/>
      <c r="BH390" s="448"/>
      <c r="BI390" s="448"/>
      <c r="BJ390" s="448"/>
      <c r="BK390" s="448"/>
      <c r="BL390" s="448"/>
      <c r="BM390" s="448"/>
      <c r="BN390" s="448"/>
      <c r="BO390" s="448"/>
      <c r="BP390" s="425"/>
      <c r="BQ390" s="424"/>
      <c r="BR390" s="423"/>
      <c r="BS390" s="425"/>
      <c r="BT390" s="423"/>
      <c r="BU390" s="423"/>
      <c r="BV390" s="425"/>
      <c r="BW390" s="423"/>
      <c r="BX390" s="448"/>
      <c r="BY390" s="448"/>
      <c r="BZ390" s="448"/>
      <c r="CA390" s="448"/>
      <c r="CB390" s="448"/>
      <c r="CC390" s="777"/>
      <c r="CD390" s="448"/>
      <c r="CE390" s="631" t="str">
        <f>IFERROR(WWWW[[#This Row],['#_Water sources passed]]/WWWW[[#This Row],['#_Water sources tested for fecal coliform ]],"no test")</f>
        <v>no test</v>
      </c>
      <c r="CF390" s="423" t="str">
        <f>IFERROR(WWWW[[#This Row],['#_Household passed]]/WWWW[[#This Row],['#_Household water samples tested for fecal coliform]],"no test")</f>
        <v>no test</v>
      </c>
      <c r="CG390" s="424" t="str">
        <f>IF(AND(WWWW[[#This Row],[% of water sources passed]]="no test",WWWW[[#This Row],[% Household passed]]="no test"),"No Test","Tested")</f>
        <v>No Test</v>
      </c>
      <c r="CH390" s="424">
        <f>WWWW[[#This Row],['#_Constructed/existing protected hand dug well]]-WWWW[[#This Row],['#_Non-functional protected hand dug well]]</f>
        <v>0</v>
      </c>
      <c r="CI390" s="424">
        <f>(WWWW[[#This Row],['#_Constructed/Existing tube wells/boreholes/handpumps_WASH_agency]]+WWWW[[#This Row],['#_Non-Cluster partner water tube-wells/boreholes/handpumps]])-WWWW[[#This Row],['#_Non-functional tube wells/boreholes/handpumps]]</f>
        <v>0</v>
      </c>
      <c r="CJ390" s="424">
        <f>WWWW[[#This Row],['#_Constructed/Existingwater storage tank with gravity fed reticulation system]]-WWWW[[#This Row],['#_Non-functional storage tank gravity fed reticulation system]]</f>
        <v>0</v>
      </c>
      <c r="CK390" s="424">
        <f>(WWWW[[#This Row],['#_Water_Liters_supplied_by_Water boating or water trucking]]/90)/15</f>
        <v>0</v>
      </c>
      <c r="CL390" s="424">
        <f>WWWW[[#This Row],['#_Water_Liters_from_Constructed/Existing water distribution system from river or natural spring]]/90/15</f>
        <v>0</v>
      </c>
      <c r="CM390" s="424">
        <f>IF(WWWW[[#This Row],['#_of water points in TLS/CFS]]*500&gt;WWWW[[#This Row],[Total PoP ]],WWWW[[#This Row],[Total PoP ]],WWWW[[#This Row],['#_of water points in TLS/CFS]]*500)</f>
        <v>0</v>
      </c>
      <c r="CN390" s="424">
        <f>IF(WWWW[[#This Row],['#_of water points in THF]]*500&gt;WWWW[[#This Row],[Total PoP ]],WWWW[[#This Row],[Total PoP ]],WWWW[[#This Row],['#_of water points in THF]]*500)</f>
        <v>0</v>
      </c>
      <c r="CO390"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90"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90" s="423">
        <f>IF(WWWW[[#This Row],[Location Type 1]]="Village",WWWW[[#This Row],[Access to safe drinking water for Village]],WWWW[[#This Row],[Access to safe drinking water for Camp]])</f>
        <v>0</v>
      </c>
      <c r="CR390" s="428">
        <f>WWWW[[#This Row],[%Equitable and continuous access to sufficient quantity of safe drinking water]]*WWWW[[#This Row],[Total PoP ]]</f>
        <v>0</v>
      </c>
      <c r="CS390" s="423">
        <f>IF((WWWW[[#This Row],['#_Constructed/Existing protected/fenced ponds]]*250)/WWWW[[#This Row],[Total PoP ]]&gt;1,1,(WWWW[[#This Row],['#_Constructed/Existing protected/fenced ponds]]*250)/WWWW[[#This Row],[Total PoP ]])</f>
        <v>0</v>
      </c>
      <c r="CT390" s="428">
        <f>WWWW[[#This Row],[% Access to unimproved water points]]*WWWW[[#This Row],[Total PoP ]]</f>
        <v>0</v>
      </c>
      <c r="CU390"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90"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90" s="428">
        <f>WWWW[[#This Row],[HRP1]]/500</f>
        <v>0</v>
      </c>
      <c r="CX390" s="898">
        <f>1-WWWW[[#This Row],[% Equitable and continuous access to sufficient quantity of domestic water]]</f>
        <v>1</v>
      </c>
      <c r="CY390" s="428">
        <f>WWWW[[#This Row],[%equitable and continuous access to sufficient quantity of safe drinking and domestic water''s GAP]]*WWWW[[#This Row],[Total PoP ]]</f>
        <v>2786</v>
      </c>
      <c r="CZ390" s="424">
        <f>IF(WWWW[[#This Row],[Total required water points]]-WWWW[[#This Row],['#Water points coverage]]&lt;0,0,WWWW[[#This Row],[Total required water points]]-WWWW[[#This Row],['#Water points coverage]])</f>
        <v>6</v>
      </c>
      <c r="DA390" s="424">
        <f>ROUND(IF(WWWW[[#This Row],[Total PoP ]]&lt;500,1,WWWW[[#This Row],[Total PoP ]]/500),0)</f>
        <v>6</v>
      </c>
      <c r="DB390" s="424">
        <f>(WWWW[[#This Row],['#_Constructed latrines_by_WASHAgencies]]+WWWW[[#This Row],['#_Non Cluster partner latrines]])-WWWW[[#This Row],['#_Non-functional latrines]]</f>
        <v>0</v>
      </c>
      <c r="DC390" s="631">
        <f>WWWW[[#This Row],[HRP2]]/WWWW[[#This Row],[Total PoP ]]</f>
        <v>0</v>
      </c>
      <c r="DD390"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90"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0"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0" s="424">
        <f>IF(WWWW[[#This Row],['# of functional latrines in THF supported by WASH partners during the reporting period2]]="",0,WWWW[[#This Row],['# of functional latrines in THF supported by WASH partners during the reporting period2]]*50)</f>
        <v>0</v>
      </c>
      <c r="DH390" s="424">
        <f>ROUND(IF(WWWW[[#This Row],[Location Type 1]]="camp",WWWW[[#This Row],[Total PoP ]]/20,IF(WWWW[[#This Row],[Location Type 1]]="Temporary Location",WWWW[[#This Row],[Total PoP ]]/50,(WWWW[[#This Row],[Total PoP ]]/6))),0)</f>
        <v>464</v>
      </c>
      <c r="DI390" s="424">
        <f>IF(WWWW[[#This Row],[Total required Latrines]]-(WWWW[[#This Row],['#_Constructed latrines_by_WASHAgencies]]+WWWW[[#This Row],['#_Non Cluster partner latrines]])&lt;0,0,WWWW[[#This Row],[Total required Latrines]]-(WWWW[[#This Row],['#_Constructed latrines_by_WASHAgencies]]+WWWW[[#This Row],['#_Non Cluster partner latrines]]))</f>
        <v>464</v>
      </c>
      <c r="DJ390" s="898">
        <f>1-WWWW[[#This Row],[% people access to functioning Latrine]]</f>
        <v>1</v>
      </c>
      <c r="DK390" s="631">
        <f>IF(OR(WWWW[[#This Row],['#_Non-functional latrines]]="",WWWW[[#This Row],['#_Non-functional latrines]]=0),0,WWWW[[#This Row],['#_Non-functional latrines]]/(WWWW[[#This Row],['#_Constructed latrines_by_WASHAgencies]]+WWWW[[#This Row],['#_Non Cluster partner latrines]]))</f>
        <v>0</v>
      </c>
      <c r="DL390" s="428">
        <f>IF(500*(WWWW[[#This Row],['#_male hygiene promoters]]+WWWW[[#This Row],['#_female hygiene promoters]])&gt;WWWW[[#This Row],[Total PoP ]],WWWW[[#This Row],[Total PoP ]],500*(WWWW[[#This Row],['#_male hygiene promoters]]+WWWW[[#This Row],['#_female hygiene promoters]]))</f>
        <v>0</v>
      </c>
      <c r="DM390"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0"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0" s="424">
        <f>IF(WWWW[[#This Row],['# People with access to soap]]&gt;WWWW[[#This Row],['# People with access to Sanity Pads]],WWWW[[#This Row],['# People with access to soap]],WWWW[[#This Row],['# People with access to Sanity Pads]])</f>
        <v>0</v>
      </c>
      <c r="DP390"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90" s="898">
        <f>IF(WWWW[[#This Row],[HRP3]]/WWWW[[#This Row],[Total PoP ]]&gt;1,1,WWWW[[#This Row],[HRP3]]/WWWW[[#This Row],[Total PoP ]])</f>
        <v>0</v>
      </c>
      <c r="DR390" s="631">
        <f>1-WWWW[[#This Row],[Hygiene Coverage%]]</f>
        <v>1</v>
      </c>
      <c r="DS390" s="423">
        <f>WWWW[[#This Row],['# people reached by regular dedicated hygiene promotion_5]]/WWWW[[#This Row],[Total PoP ]]</f>
        <v>0</v>
      </c>
      <c r="DT390"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0"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0" s="424">
        <f>WWWW[[#This Row],['#_Constructed/Existing hand washing stations]]-WWWW[[#This Row],['#_Non-Functional_hand_washing_stations]]</f>
        <v>0</v>
      </c>
      <c r="DW390" s="428">
        <f>IF(WWWW[[#This Row],['# Functional hand washing stations during reporting period]]*20&gt;WWWW[[#This Row],[Total HH]],WWWW[[#This Row],[Total HH]],WWWW[[#This Row],['# Functional hand washing stations during reporting period]]*20)</f>
        <v>0</v>
      </c>
      <c r="DX390" s="428">
        <f>IF(WWWW[[#This Row],[Is sufficient soap available for TLS? (Yes/No)]]="yes",WWWW[[#This Row],['#_Constructed/Existing hand washing stations at TLS/CFS/THF]],0)</f>
        <v>0</v>
      </c>
      <c r="DY390" s="428">
        <f>IF(WWWW[[#This Row],['# Functional hand washing stations during reporting period]]*100&gt;WWWW[[#This Row],[Total PoP ]],WWWW[[#This Row],[Total PoP ]],WWWW[[#This Row],['# Functional hand washing stations during reporting period]]*100)</f>
        <v>0</v>
      </c>
      <c r="DZ390" s="428" t="str">
        <f>IF(OR(WWWW[[#This Row],['#_students at TLS_CFS]]="",WWWW[[#This Row],['#_students at TLS_CFS]]=0),"No","Yes")</f>
        <v>No</v>
      </c>
      <c r="EA39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0" s="425">
        <f>VLOOKUP(WWWW[[#This Row],[Site Name]],SiteDB6[[Site Name]:[CCCM Management]],6,FALSE)</f>
        <v>0</v>
      </c>
      <c r="EF390" s="425">
        <f>VLOOKUP(WWWW[[#This Row],[Site Name]],SiteDB6[[Site Name]:[CCCM Focal Agency]],7,FALSE)</f>
        <v>0</v>
      </c>
      <c r="EG390" s="425" t="str">
        <f>VLOOKUP(WWWW[[#This Row],[Site Name]],SiteDB6[[Site Name]:[Location Type 1]],9,FALSE)</f>
        <v>Relocated</v>
      </c>
      <c r="EH390" s="425" t="str">
        <f>VLOOKUP(WWWW[[#This Row],[Site Name]],SiteDB6[[Site Name]:[Type of Accommodation]],10,FALSE)</f>
        <v>Relocated-Individual House</v>
      </c>
      <c r="EI390" s="425" t="str">
        <f>VLOOKUP(WWWW[[#This Row],[Site Name]],SiteDB6[[Site Name]:[Ethnic or GCA/NGCA]],11,FALSE)</f>
        <v>GCA</v>
      </c>
      <c r="EJ390" s="425">
        <f>VLOOKUP(WWWW[[#This Row],[Site Name]],SiteDB6[[Site Name]:[Lat]],12,FALSE)</f>
        <v>23.363275999999999</v>
      </c>
      <c r="EK390" s="425">
        <f>VLOOKUP(WWWW[[#This Row],[Site Name]],SiteDB6[[Site Name]:[Long]],13,FALSE)</f>
        <v>98.472977999999998</v>
      </c>
      <c r="EL390" s="425" t="str">
        <f>VLOOKUP(WWWW[[#This Row],[Site Name]],SiteDB6[[Site Name]:[Pcode]],3,FALSE)</f>
        <v>MMR015CMP072</v>
      </c>
      <c r="EM390" s="860" t="str">
        <f t="shared" si="5"/>
        <v>Notcovered</v>
      </c>
      <c r="EN390" s="860"/>
      <c r="EO390" s="425">
        <f>VLOOKUP(WWWW[[#This Row],[Site Name]],SiteDB6[[Site Name]:[Pop
(Kachin/Shan-CCCM as of July 2021)]],16,FALSE)</f>
        <v>657</v>
      </c>
      <c r="EP390" s="425">
        <f>VLOOKUP(WWWW[[#This Row],[Site Name]],SiteDB6[[Site Name]:[Pop
(Kachin/Shan-CCCM as of July 2021)]],17,FALSE)</f>
        <v>2786</v>
      </c>
    </row>
    <row r="391" spans="1:146" hidden="1">
      <c r="A391" s="884" t="s">
        <v>2764</v>
      </c>
      <c r="B391" s="913" t="s">
        <v>309</v>
      </c>
      <c r="C391" s="914" t="s">
        <v>309</v>
      </c>
      <c r="D391" s="914"/>
      <c r="E391" s="885" t="s">
        <v>515</v>
      </c>
      <c r="F391" s="885" t="s">
        <v>963</v>
      </c>
      <c r="G391" s="591" t="str">
        <f>VLOOKUP(WWWW[[#This Row],[Site Name]],SiteDB6[[Site Name]:[Location Type]],8,FALSE)</f>
        <v>Camp</v>
      </c>
      <c r="H391" s="885" t="s">
        <v>2603</v>
      </c>
      <c r="I391" s="904">
        <v>34</v>
      </c>
      <c r="J391" s="904">
        <v>170</v>
      </c>
      <c r="K391" s="915"/>
      <c r="L391" s="916"/>
      <c r="M391" s="904"/>
      <c r="N391" s="904"/>
      <c r="O391" s="904"/>
      <c r="P391" s="904"/>
      <c r="Q391" s="917"/>
      <c r="R391" s="904"/>
      <c r="S391" s="904"/>
      <c r="T391" s="448"/>
      <c r="U391" s="904"/>
      <c r="V391" s="904"/>
      <c r="W391" s="904"/>
      <c r="X391" s="904"/>
      <c r="Y391" s="904"/>
      <c r="Z391" s="904"/>
      <c r="AA391" s="904"/>
      <c r="AB391" s="904"/>
      <c r="AC391" s="904"/>
      <c r="AD391" s="904"/>
      <c r="AE391" s="904"/>
      <c r="AF391" s="904"/>
      <c r="AG391" s="904"/>
      <c r="AH391" s="904"/>
      <c r="AI391" s="904"/>
      <c r="AJ391" s="904"/>
      <c r="AK391" s="904"/>
      <c r="AL391" s="904"/>
      <c r="AM391" s="904"/>
      <c r="AN391" s="904"/>
      <c r="AO391" s="448"/>
      <c r="AP391" s="918"/>
      <c r="AQ391" s="904"/>
      <c r="AR391" s="904"/>
      <c r="AS391" s="908"/>
      <c r="AT391" s="904"/>
      <c r="AU391" s="904"/>
      <c r="AV391" s="904"/>
      <c r="AW391" s="904"/>
      <c r="AX391" s="904"/>
      <c r="AY391" s="425" t="s">
        <v>140</v>
      </c>
      <c r="AZ391" s="425" t="s">
        <v>140</v>
      </c>
      <c r="BA391" s="904"/>
      <c r="BB391" s="904"/>
      <c r="BC391" s="904"/>
      <c r="BD391" s="448"/>
      <c r="BE391" s="448"/>
      <c r="BF391" s="909"/>
      <c r="BG391" s="904"/>
      <c r="BH391" s="904"/>
      <c r="BI391" s="904"/>
      <c r="BJ391" s="904"/>
      <c r="BK391" s="904"/>
      <c r="BL391" s="904"/>
      <c r="BM391" s="904"/>
      <c r="BN391" s="904"/>
      <c r="BO391" s="904"/>
      <c r="BP391" s="909"/>
      <c r="BQ391" s="907"/>
      <c r="BR391" s="908"/>
      <c r="BS391" s="909"/>
      <c r="BT391" s="423"/>
      <c r="BU391" s="423"/>
      <c r="BV391" s="425"/>
      <c r="BW391" s="423"/>
      <c r="BX391" s="448"/>
      <c r="BY391" s="448"/>
      <c r="BZ391" s="448"/>
      <c r="CA391" s="448"/>
      <c r="CB391" s="448"/>
      <c r="CC391" s="777"/>
      <c r="CD391" s="448"/>
      <c r="CE391" s="919" t="str">
        <f>IFERROR(WWWW[[#This Row],['#_Water sources passed]]/WWWW[[#This Row],['#_Water sources tested for fecal coliform ]],"no test")</f>
        <v>no test</v>
      </c>
      <c r="CF391" s="908" t="str">
        <f>IFERROR(WWWW[[#This Row],['#_Household passed]]/WWWW[[#This Row],['#_Household water samples tested for fecal coliform]],"no test")</f>
        <v>no test</v>
      </c>
      <c r="CG391" s="907" t="str">
        <f>IF(AND(WWWW[[#This Row],[% of water sources passed]]="no test",WWWW[[#This Row],[% Household passed]]="no test"),"No Test","Tested")</f>
        <v>No Test</v>
      </c>
      <c r="CH391" s="907">
        <f>WWWW[[#This Row],['#_Constructed/existing protected hand dug well]]-WWWW[[#This Row],['#_Non-functional protected hand dug well]]</f>
        <v>0</v>
      </c>
      <c r="CI391" s="907">
        <f>(WWWW[[#This Row],['#_Constructed/Existing tube wells/boreholes/handpumps_WASH_agency]]+WWWW[[#This Row],['#_Non-Cluster partner water tube-wells/boreholes/handpumps]])-WWWW[[#This Row],['#_Non-functional tube wells/boreholes/handpumps]]</f>
        <v>0</v>
      </c>
      <c r="CJ391" s="907">
        <f>WWWW[[#This Row],['#_Constructed/Existingwater storage tank with gravity fed reticulation system]]-WWWW[[#This Row],['#_Non-functional storage tank gravity fed reticulation system]]</f>
        <v>0</v>
      </c>
      <c r="CK391" s="907">
        <f>(WWWW[[#This Row],['#_Water_Liters_supplied_by_Water boating or water trucking]]/90)/15</f>
        <v>0</v>
      </c>
      <c r="CL391" s="907">
        <f>WWWW[[#This Row],['#_Water_Liters_from_Constructed/Existing water distribution system from river or natural spring]]/90/15</f>
        <v>0</v>
      </c>
      <c r="CM391" s="424">
        <f>IF(WWWW[[#This Row],['#_of water points in TLS/CFS]]*500&gt;WWWW[[#This Row],[Total PoP ]],WWWW[[#This Row],[Total PoP ]],WWWW[[#This Row],['#_of water points in TLS/CFS]]*500)</f>
        <v>0</v>
      </c>
      <c r="CN391" s="424">
        <f>IF(WWWW[[#This Row],['#_of water points in THF]]*500&gt;WWWW[[#This Row],[Total PoP ]],WWWW[[#This Row],[Total PoP ]],WWWW[[#This Row],['#_of water points in THF]]*500)</f>
        <v>0</v>
      </c>
      <c r="CO391" s="919">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91" s="919">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91" s="908">
        <f>IF(WWWW[[#This Row],[Location Type 1]]="Village",WWWW[[#This Row],[Access to safe drinking water for Village]],WWWW[[#This Row],[Access to safe drinking water for Camp]])</f>
        <v>0</v>
      </c>
      <c r="CR391" s="917">
        <f>WWWW[[#This Row],[%Equitable and continuous access to sufficient quantity of safe drinking water]]*WWWW[[#This Row],[Total PoP ]]</f>
        <v>0</v>
      </c>
      <c r="CS391" s="908">
        <f>IF((WWWW[[#This Row],['#_Constructed/Existing protected/fenced ponds]]*250)/WWWW[[#This Row],[Total PoP ]]&gt;1,1,(WWWW[[#This Row],['#_Constructed/Existing protected/fenced ponds]]*250)/WWWW[[#This Row],[Total PoP ]])</f>
        <v>0</v>
      </c>
      <c r="CT391" s="917">
        <f>WWWW[[#This Row],[% Access to unimproved water points]]*WWWW[[#This Row],[Total PoP ]]</f>
        <v>0</v>
      </c>
      <c r="CU39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91" s="9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91" s="917">
        <f>WWWW[[#This Row],[HRP1]]/500</f>
        <v>0</v>
      </c>
      <c r="CX391" s="920">
        <f>1-WWWW[[#This Row],[% Equitable and continuous access to sufficient quantity of domestic water]]</f>
        <v>1</v>
      </c>
      <c r="CY391" s="917">
        <f>WWWW[[#This Row],[%equitable and continuous access to sufficient quantity of safe drinking and domestic water''s GAP]]*WWWW[[#This Row],[Total PoP ]]</f>
        <v>170</v>
      </c>
      <c r="CZ391" s="907">
        <f>IF(WWWW[[#This Row],[Total required water points]]-WWWW[[#This Row],['#Water points coverage]]&lt;0,0,WWWW[[#This Row],[Total required water points]]-WWWW[[#This Row],['#Water points coverage]])</f>
        <v>1</v>
      </c>
      <c r="DA391" s="907">
        <f>ROUND(IF(WWWW[[#This Row],[Total PoP ]]&lt;500,1,WWWW[[#This Row],[Total PoP ]]/500),0)</f>
        <v>1</v>
      </c>
      <c r="DB391" s="907">
        <f>(WWWW[[#This Row],['#_Constructed latrines_by_WASHAgencies]]+WWWW[[#This Row],['#_Non Cluster partner latrines]])-WWWW[[#This Row],['#_Non-functional latrines]]</f>
        <v>0</v>
      </c>
      <c r="DC391" s="631">
        <f>WWWW[[#This Row],[HRP2]]/WWWW[[#This Row],[Total PoP ]]</f>
        <v>0</v>
      </c>
      <c r="DD391" s="91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91" s="92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1" s="90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1" s="424">
        <f>IF(WWWW[[#This Row],['# of functional latrines in THF supported by WASH partners during the reporting period2]]="",0,WWWW[[#This Row],['# of functional latrines in THF supported by WASH partners during the reporting period2]]*50)</f>
        <v>0</v>
      </c>
      <c r="DH391" s="907">
        <f>ROUND(IF(WWWW[[#This Row],[Location Type 1]]="camp",WWWW[[#This Row],[Total PoP ]]/20,IF(WWWW[[#This Row],[Location Type 1]]="Temporary Location",WWWW[[#This Row],[Total PoP ]]/50,(WWWW[[#This Row],[Total PoP ]]/6))),0)</f>
        <v>9</v>
      </c>
      <c r="DI391" s="907">
        <f>IF(WWWW[[#This Row],[Total required Latrines]]-(WWWW[[#This Row],['#_Constructed latrines_by_WASHAgencies]]+WWWW[[#This Row],['#_Non Cluster partner latrines]])&lt;0,0,WWWW[[#This Row],[Total required Latrines]]-(WWWW[[#This Row],['#_Constructed latrines_by_WASHAgencies]]+WWWW[[#This Row],['#_Non Cluster partner latrines]]))</f>
        <v>9</v>
      </c>
      <c r="DJ391" s="920">
        <f>1-WWWW[[#This Row],[% people access to functioning Latrine]]</f>
        <v>1</v>
      </c>
      <c r="DK391" s="919">
        <f>IF(OR(WWWW[[#This Row],['#_Non-functional latrines]]="",WWWW[[#This Row],['#_Non-functional latrines]]=0),0,WWWW[[#This Row],['#_Non-functional latrines]]/(WWWW[[#This Row],['#_Constructed latrines_by_WASHAgencies]]+WWWW[[#This Row],['#_Non Cluster partner latrines]]))</f>
        <v>0</v>
      </c>
      <c r="DL391" s="917">
        <f>IF(500*(WWWW[[#This Row],['#_male hygiene promoters]]+WWWW[[#This Row],['#_female hygiene promoters]])&gt;WWWW[[#This Row],[Total PoP ]],WWWW[[#This Row],[Total PoP ]],500*(WWWW[[#This Row],['#_male hygiene promoters]]+WWWW[[#This Row],['#_female hygiene promoters]]))</f>
        <v>0</v>
      </c>
      <c r="DM391" s="90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1" s="90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1" s="907">
        <f>IF(WWWW[[#This Row],['# People with access to soap]]&gt;WWWW[[#This Row],['# People with access to Sanity Pads]],WWWW[[#This Row],['# People with access to soap]],WWWW[[#This Row],['# People with access to Sanity Pads]])</f>
        <v>0</v>
      </c>
      <c r="DP391" s="90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91" s="920">
        <f>IF(WWWW[[#This Row],[HRP3]]/WWWW[[#This Row],[Total PoP ]]&gt;1,1,WWWW[[#This Row],[HRP3]]/WWWW[[#This Row],[Total PoP ]])</f>
        <v>0</v>
      </c>
      <c r="DR391" s="919">
        <f>1-WWWW[[#This Row],[Hygiene Coverage%]]</f>
        <v>1</v>
      </c>
      <c r="DS391" s="908">
        <f>WWWW[[#This Row],['# people reached by regular dedicated hygiene promotion_5]]/WWWW[[#This Row],[Total PoP ]]</f>
        <v>0</v>
      </c>
      <c r="DT391" s="919">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1" s="907">
        <f>WWWW[[#This Row],['#_Constructed/Existing hand washing stations]]-WWWW[[#This Row],['#_Non-Functional_hand_washing_stations]]</f>
        <v>0</v>
      </c>
      <c r="DW391" s="917">
        <f>IF(WWWW[[#This Row],['# Functional hand washing stations during reporting period]]*20&gt;WWWW[[#This Row],[Total HH]],WWWW[[#This Row],[Total HH]],WWWW[[#This Row],['# Functional hand washing stations during reporting period]]*20)</f>
        <v>0</v>
      </c>
      <c r="DX391" s="917">
        <f>IF(WWWW[[#This Row],[Is sufficient soap available for TLS? (Yes/No)]]="yes",WWWW[[#This Row],['#_Constructed/Existing hand washing stations at TLS/CFS/THF]],0)</f>
        <v>0</v>
      </c>
      <c r="DY391" s="428">
        <f>IF(WWWW[[#This Row],['# Functional hand washing stations during reporting period]]*100&gt;WWWW[[#This Row],[Total PoP ]],WWWW[[#This Row],[Total PoP ]],WWWW[[#This Row],['# Functional hand washing stations during reporting period]]*100)</f>
        <v>0</v>
      </c>
      <c r="DZ391" s="428" t="str">
        <f>IF(OR(WWWW[[#This Row],['#_students at TLS_CFS]]="",WWWW[[#This Row],['#_students at TLS_CFS]]=0),"No","Yes")</f>
        <v>No</v>
      </c>
      <c r="EA39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1" s="909">
        <f>VLOOKUP(WWWW[[#This Row],[Site Name]],SiteDB6[[Site Name]:[CCCM Management]],6,FALSE)</f>
        <v>0</v>
      </c>
      <c r="EF391" s="909">
        <f>VLOOKUP(WWWW[[#This Row],[Site Name]],SiteDB6[[Site Name]:[CCCM Focal Agency]],7,FALSE)</f>
        <v>0</v>
      </c>
      <c r="EG391" s="909" t="str">
        <f>VLOOKUP(WWWW[[#This Row],[Site Name]],SiteDB6[[Site Name]:[Location Type 1]],9,FALSE)</f>
        <v>Camp</v>
      </c>
      <c r="EH391" s="909" t="str">
        <f>VLOOKUP(WWWW[[#This Row],[Site Name]],SiteDB6[[Site Name]:[Type of Accommodation]],10,FALSE)</f>
        <v>Camp Like setting</v>
      </c>
      <c r="EI391" s="909" t="str">
        <f>VLOOKUP(WWWW[[#This Row],[Site Name]],SiteDB6[[Site Name]:[Ethnic or GCA/NGCA]],11,FALSE)</f>
        <v>GCA</v>
      </c>
      <c r="EJ391" s="909">
        <f>VLOOKUP(WWWW[[#This Row],[Site Name]],SiteDB6[[Site Name]:[Lat]],12,FALSE)</f>
        <v>23.729893000000001</v>
      </c>
      <c r="EK391" s="909">
        <f>VLOOKUP(WWWW[[#This Row],[Site Name]],SiteDB6[[Site Name]:[Long]],13,FALSE)</f>
        <v>98.779853500000002</v>
      </c>
      <c r="EL391" s="909" t="str">
        <f>VLOOKUP(WWWW[[#This Row],[Site Name]],SiteDB6[[Site Name]:[Pcode]],3,FALSE)</f>
        <v>MMR015CMP070</v>
      </c>
      <c r="EM391" s="918" t="str">
        <f t="shared" ref="EM391:EM396" si="6">IF(C391="none","Notcovered","Covered")</f>
        <v>Notcovered</v>
      </c>
      <c r="EN391" s="918"/>
      <c r="EO391" s="909">
        <f>VLOOKUP(WWWW[[#This Row],[Site Name]],SiteDB6[[Site Name]:[Pop
(Kachin/Shan-CCCM as of July 2021)]],16,FALSE)</f>
        <v>34</v>
      </c>
      <c r="EP391" s="909">
        <f>VLOOKUP(WWWW[[#This Row],[Site Name]],SiteDB6[[Site Name]:[Pop
(Kachin/Shan-CCCM as of July 2021)]],17,FALSE)</f>
        <v>170</v>
      </c>
    </row>
    <row r="392" spans="1:146" hidden="1">
      <c r="A392" s="884" t="s">
        <v>2764</v>
      </c>
      <c r="B392" s="884" t="s">
        <v>192</v>
      </c>
      <c r="C392" s="884" t="s">
        <v>192</v>
      </c>
      <c r="D392" s="885" t="s">
        <v>241</v>
      </c>
      <c r="E392" s="885" t="s">
        <v>515</v>
      </c>
      <c r="F392" s="885" t="s">
        <v>960</v>
      </c>
      <c r="G392" s="886" t="str">
        <f>VLOOKUP(WWWW[[#This Row],[Site Name]],SiteDB6[[Site Name]:[Location Type]],8,FALSE)</f>
        <v>Camp</v>
      </c>
      <c r="H392" s="885" t="s">
        <v>2985</v>
      </c>
      <c r="I392" s="887">
        <v>54</v>
      </c>
      <c r="J392" s="887">
        <v>179</v>
      </c>
      <c r="K392" s="888">
        <v>44511</v>
      </c>
      <c r="L392" s="889">
        <v>44875</v>
      </c>
      <c r="M392" s="887"/>
      <c r="N392" s="887"/>
      <c r="O392" s="887"/>
      <c r="P392" s="887"/>
      <c r="Q392" s="890"/>
      <c r="R392" s="887"/>
      <c r="S392" s="887"/>
      <c r="T392" s="448"/>
      <c r="U392" s="887"/>
      <c r="V392" s="887"/>
      <c r="W392" s="887"/>
      <c r="X392" s="910">
        <v>2</v>
      </c>
      <c r="Y392" s="887"/>
      <c r="Z392" s="887"/>
      <c r="AA392" s="887"/>
      <c r="AB392" s="887"/>
      <c r="AC392" s="887"/>
      <c r="AD392" s="887"/>
      <c r="AE392" s="887"/>
      <c r="AF392" s="887"/>
      <c r="AG392" s="887"/>
      <c r="AH392" s="887"/>
      <c r="AI392" s="887"/>
      <c r="AJ392" s="887"/>
      <c r="AK392" s="887"/>
      <c r="AL392" s="887"/>
      <c r="AM392" s="887"/>
      <c r="AN392" s="887"/>
      <c r="AO392" s="448"/>
      <c r="AP392" s="891"/>
      <c r="AQ392" s="910">
        <v>24</v>
      </c>
      <c r="AR392" s="910">
        <v>6</v>
      </c>
      <c r="AS392" s="911"/>
      <c r="AT392" s="887"/>
      <c r="AU392" s="887"/>
      <c r="AV392" s="887"/>
      <c r="AW392" s="887"/>
      <c r="AX392" s="887"/>
      <c r="AY392" s="425" t="s">
        <v>140</v>
      </c>
      <c r="AZ392" s="425" t="s">
        <v>140</v>
      </c>
      <c r="BA392" s="887"/>
      <c r="BB392" s="887"/>
      <c r="BC392" s="887"/>
      <c r="BD392" s="448"/>
      <c r="BE392" s="448"/>
      <c r="BF392" s="886"/>
      <c r="BG392" s="910">
        <v>20</v>
      </c>
      <c r="BH392" s="887"/>
      <c r="BI392" s="910">
        <v>2</v>
      </c>
      <c r="BJ392" s="887"/>
      <c r="BK392" s="887"/>
      <c r="BL392" s="887"/>
      <c r="BM392" s="887"/>
      <c r="BN392" s="887"/>
      <c r="BO392" s="887"/>
      <c r="BP392" s="425" t="s">
        <v>41</v>
      </c>
      <c r="BQ392" s="893"/>
      <c r="BR392" s="892"/>
      <c r="BS392" s="886"/>
      <c r="BT392" s="423"/>
      <c r="BU392" s="423"/>
      <c r="BV392" s="425"/>
      <c r="BW392" s="423"/>
      <c r="BX392" s="448"/>
      <c r="BY392" s="448"/>
      <c r="BZ392" s="448"/>
      <c r="CA392" s="448"/>
      <c r="CB392" s="448"/>
      <c r="CC392" s="777"/>
      <c r="CD392" s="448"/>
      <c r="CE392" s="894" t="str">
        <f>IFERROR(WWWW[[#This Row],['#_Water sources passed]]/WWWW[[#This Row],['#_Water sources tested for fecal coliform ]],"no test")</f>
        <v>no test</v>
      </c>
      <c r="CF392" s="892" t="str">
        <f>IFERROR(WWWW[[#This Row],['#_Household passed]]/WWWW[[#This Row],['#_Household water samples tested for fecal coliform]],"no test")</f>
        <v>no test</v>
      </c>
      <c r="CG392" s="893" t="str">
        <f>IF(AND(WWWW[[#This Row],[% of water sources passed]]="no test",WWWW[[#This Row],[% Household passed]]="no test"),"No Test","Tested")</f>
        <v>No Test</v>
      </c>
      <c r="CH392" s="893">
        <f>WWWW[[#This Row],['#_Constructed/existing protected hand dug well]]-WWWW[[#This Row],['#_Non-functional protected hand dug well]]</f>
        <v>0</v>
      </c>
      <c r="CI392" s="893">
        <f>(WWWW[[#This Row],['#_Constructed/Existing tube wells/boreholes/handpumps_WASH_agency]]+WWWW[[#This Row],['#_Non-Cluster partner water tube-wells/boreholes/handpumps]])-WWWW[[#This Row],['#_Non-functional tube wells/boreholes/handpumps]]</f>
        <v>2</v>
      </c>
      <c r="CJ392" s="893">
        <f>WWWW[[#This Row],['#_Constructed/Existingwater storage tank with gravity fed reticulation system]]-WWWW[[#This Row],['#_Non-functional storage tank gravity fed reticulation system]]</f>
        <v>0</v>
      </c>
      <c r="CK392" s="893">
        <f>(WWWW[[#This Row],['#_Water_Liters_supplied_by_Water boating or water trucking]]/90)/15</f>
        <v>0</v>
      </c>
      <c r="CL392" s="893">
        <f>WWWW[[#This Row],['#_Water_Liters_from_Constructed/Existing water distribution system from river or natural spring]]/90/15</f>
        <v>0</v>
      </c>
      <c r="CM392" s="424">
        <f>IF(WWWW[[#This Row],['#_of water points in TLS/CFS]]*500&gt;WWWW[[#This Row],[Total PoP ]],WWWW[[#This Row],[Total PoP ]],WWWW[[#This Row],['#_of water points in TLS/CFS]]*500)</f>
        <v>0</v>
      </c>
      <c r="CN392" s="424">
        <f>IF(WWWW[[#This Row],['#_of water points in THF]]*500&gt;WWWW[[#This Row],[Total PoP ]],WWWW[[#This Row],[Total PoP ]],WWWW[[#This Row],['#_of water points in THF]]*500)</f>
        <v>0</v>
      </c>
      <c r="CO392"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2"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92" s="892">
        <f>IF(WWWW[[#This Row],[Location Type 1]]="Village",WWWW[[#This Row],[Access to safe drinking water for Village]],WWWW[[#This Row],[Access to safe drinking water for Camp]])</f>
        <v>1</v>
      </c>
      <c r="CR392" s="890">
        <f>WWWW[[#This Row],[%Equitable and continuous access to sufficient quantity of safe drinking water]]*WWWW[[#This Row],[Total PoP ]]</f>
        <v>179</v>
      </c>
      <c r="CS392" s="892">
        <f>IF((WWWW[[#This Row],['#_Constructed/Existing protected/fenced ponds]]*250)/WWWW[[#This Row],[Total PoP ]]&gt;1,1,(WWWW[[#This Row],['#_Constructed/Existing protected/fenced ponds]]*250)/WWWW[[#This Row],[Total PoP ]])</f>
        <v>0</v>
      </c>
      <c r="CT392" s="890">
        <f>WWWW[[#This Row],[% Access to unimproved water points]]*WWWW[[#This Row],[Total PoP ]]</f>
        <v>0</v>
      </c>
      <c r="CU392"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2"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179</v>
      </c>
      <c r="CW392" s="890">
        <f>WWWW[[#This Row],[HRP1]]/500</f>
        <v>0.35799999999999998</v>
      </c>
      <c r="CX392" s="895">
        <f>1-WWWW[[#This Row],[% Equitable and continuous access to sufficient quantity of domestic water]]</f>
        <v>0</v>
      </c>
      <c r="CY392" s="890">
        <f>WWWW[[#This Row],[%equitable and continuous access to sufficient quantity of safe drinking and domestic water''s GAP]]*WWWW[[#This Row],[Total PoP ]]</f>
        <v>0</v>
      </c>
      <c r="CZ392" s="893">
        <f>IF(WWWW[[#This Row],[Total required water points]]-WWWW[[#This Row],['#Water points coverage]]&lt;0,0,WWWW[[#This Row],[Total required water points]]-WWWW[[#This Row],['#Water points coverage]])</f>
        <v>0.64200000000000002</v>
      </c>
      <c r="DA392" s="893">
        <f>ROUND(IF(WWWW[[#This Row],[Total PoP ]]&lt;500,1,WWWW[[#This Row],[Total PoP ]]/500),0)</f>
        <v>1</v>
      </c>
      <c r="DB392" s="893">
        <f>(WWWW[[#This Row],['#_Constructed latrines_by_WASHAgencies]]+WWWW[[#This Row],['#_Non Cluster partner latrines]])-WWWW[[#This Row],['#_Non-functional latrines]]</f>
        <v>30</v>
      </c>
      <c r="DC392" s="631">
        <f>WWWW[[#This Row],[HRP2]]/WWWW[[#This Row],[Total PoP ]]</f>
        <v>1</v>
      </c>
      <c r="DD392"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179</v>
      </c>
      <c r="DE392"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2"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2" s="424">
        <f>IF(WWWW[[#This Row],['# of functional latrines in THF supported by WASH partners during the reporting period2]]="",0,WWWW[[#This Row],['# of functional latrines in THF supported by WASH partners during the reporting period2]]*50)</f>
        <v>0</v>
      </c>
      <c r="DH392" s="893">
        <f>ROUND(IF(WWWW[[#This Row],[Location Type 1]]="camp",WWWW[[#This Row],[Total PoP ]]/20,IF(WWWW[[#This Row],[Location Type 1]]="Temporary Location",WWWW[[#This Row],[Total PoP ]]/50,(WWWW[[#This Row],[Total PoP ]]/6))),0)</f>
        <v>9</v>
      </c>
      <c r="DI392" s="893">
        <f>IF(WWWW[[#This Row],[Total required Latrines]]-(WWWW[[#This Row],['#_Constructed latrines_by_WASHAgencies]]+WWWW[[#This Row],['#_Non Cluster partner latrines]])&lt;0,0,WWWW[[#This Row],[Total required Latrines]]-(WWWW[[#This Row],['#_Constructed latrines_by_WASHAgencies]]+WWWW[[#This Row],['#_Non Cluster partner latrines]]))</f>
        <v>0</v>
      </c>
      <c r="DJ392" s="895">
        <f>1-WWWW[[#This Row],[% people access to functioning Latrine]]</f>
        <v>0</v>
      </c>
      <c r="DK392" s="894">
        <f>IF(OR(WWWW[[#This Row],['#_Non-functional latrines]]="",WWWW[[#This Row],['#_Non-functional latrines]]=0),0,WWWW[[#This Row],['#_Non-functional latrines]]/(WWWW[[#This Row],['#_Constructed latrines_by_WASHAgencies]]+WWWW[[#This Row],['#_Non Cluster partner latrines]]))</f>
        <v>0</v>
      </c>
      <c r="DL392" s="890">
        <f>IF(500*(WWWW[[#This Row],['#_male hygiene promoters]]+WWWW[[#This Row],['#_female hygiene promoters]])&gt;WWWW[[#This Row],[Total PoP ]],WWWW[[#This Row],[Total PoP ]],500*(WWWW[[#This Row],['#_male hygiene promoters]]+WWWW[[#This Row],['#_female hygiene promoters]]))</f>
        <v>0</v>
      </c>
      <c r="DM392"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2"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2" s="893">
        <f>IF(WWWW[[#This Row],['# People with access to soap]]&gt;WWWW[[#This Row],['# People with access to Sanity Pads]],WWWW[[#This Row],['# People with access to soap]],WWWW[[#This Row],['# People with access to Sanity Pads]])</f>
        <v>0</v>
      </c>
      <c r="DP392"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92" s="895">
        <f>IF(WWWW[[#This Row],[HRP3]]/WWWW[[#This Row],[Total PoP ]]&gt;1,1,WWWW[[#This Row],[HRP3]]/WWWW[[#This Row],[Total PoP ]])</f>
        <v>0</v>
      </c>
      <c r="DR392" s="894">
        <f>1-WWWW[[#This Row],[Hygiene Coverage%]]</f>
        <v>1</v>
      </c>
      <c r="DS392" s="892">
        <f>WWWW[[#This Row],['# people reached by regular dedicated hygiene promotion_5]]/WWWW[[#This Row],[Total PoP ]]</f>
        <v>0</v>
      </c>
      <c r="DT392"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2"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2" s="893">
        <f>WWWW[[#This Row],['#_Constructed/Existing hand washing stations]]-WWWW[[#This Row],['#_Non-Functional_hand_washing_stations]]</f>
        <v>20</v>
      </c>
      <c r="DW392" s="890">
        <f>IF(WWWW[[#This Row],['# Functional hand washing stations during reporting period]]*20&gt;WWWW[[#This Row],[Total HH]],WWWW[[#This Row],[Total HH]],WWWW[[#This Row],['# Functional hand washing stations during reporting period]]*20)</f>
        <v>54</v>
      </c>
      <c r="DX392" s="890">
        <f>IF(WWWW[[#This Row],[Is sufficient soap available for TLS? (Yes/No)]]="yes",WWWW[[#This Row],['#_Constructed/Existing hand washing stations at TLS/CFS/THF]],0)</f>
        <v>0</v>
      </c>
      <c r="DY392" s="428">
        <f>IF(WWWW[[#This Row],['# Functional hand washing stations during reporting period]]*100&gt;WWWW[[#This Row],[Total PoP ]],WWWW[[#This Row],[Total PoP ]],WWWW[[#This Row],['# Functional hand washing stations during reporting period]]*100)</f>
        <v>179</v>
      </c>
      <c r="DZ392" s="428" t="str">
        <f>IF(OR(WWWW[[#This Row],['#_students at TLS_CFS]]="",WWWW[[#This Row],['#_students at TLS_CFS]]=0),"No","Yes")</f>
        <v>No</v>
      </c>
      <c r="EA39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2" s="886">
        <f>VLOOKUP(WWWW[[#This Row],[Site Name]],SiteDB6[[Site Name]:[CCCM Management]],6,FALSE)</f>
        <v>0</v>
      </c>
      <c r="EF392" s="886">
        <f>VLOOKUP(WWWW[[#This Row],[Site Name]],SiteDB6[[Site Name]:[CCCM Focal Agency]],7,FALSE)</f>
        <v>0</v>
      </c>
      <c r="EG392" s="886" t="str">
        <f>VLOOKUP(WWWW[[#This Row],[Site Name]],SiteDB6[[Site Name]:[Location Type 1]],9,FALSE)</f>
        <v>Camp</v>
      </c>
      <c r="EH392" s="886" t="str">
        <f>VLOOKUP(WWWW[[#This Row],[Site Name]],SiteDB6[[Site Name]:[Type of Accommodation]],10,FALSE)</f>
        <v>Camp like setting</v>
      </c>
      <c r="EI392" s="886" t="str">
        <f>VLOOKUP(WWWW[[#This Row],[Site Name]],SiteDB6[[Site Name]:[Ethnic or GCA/NGCA]],11,FALSE)</f>
        <v>GCA</v>
      </c>
      <c r="EJ392" s="886">
        <f>VLOOKUP(WWWW[[#This Row],[Site Name]],SiteDB6[[Site Name]:[Lat]],12,FALSE)</f>
        <v>0</v>
      </c>
      <c r="EK392" s="886">
        <f>VLOOKUP(WWWW[[#This Row],[Site Name]],SiteDB6[[Site Name]:[Long]],13,FALSE)</f>
        <v>0</v>
      </c>
      <c r="EL392" s="886" t="str">
        <f>VLOOKUP(WWWW[[#This Row],[Site Name]],SiteDB6[[Site Name]:[Pcode]],3,FALSE)</f>
        <v>MMR015CMP080</v>
      </c>
      <c r="EM392" s="891" t="str">
        <f t="shared" si="6"/>
        <v>Covered</v>
      </c>
      <c r="EN392" s="891"/>
      <c r="EO392" s="886">
        <f>VLOOKUP(WWWW[[#This Row],[Site Name]],SiteDB6[[Site Name]:[Pop
(Kachin/Shan-CCCM as of July 2021)]],16,FALSE)</f>
        <v>54</v>
      </c>
      <c r="EP392" s="886">
        <f>VLOOKUP(WWWW[[#This Row],[Site Name]],SiteDB6[[Site Name]:[Pop
(Kachin/Shan-CCCM as of July 2021)]],17,FALSE)</f>
        <v>179</v>
      </c>
    </row>
    <row r="393" spans="1:146" hidden="1">
      <c r="A393" s="884" t="s">
        <v>2764</v>
      </c>
      <c r="B393" s="884" t="s">
        <v>192</v>
      </c>
      <c r="C393" s="884" t="s">
        <v>192</v>
      </c>
      <c r="D393" s="885" t="s">
        <v>241</v>
      </c>
      <c r="E393" s="885" t="s">
        <v>515</v>
      </c>
      <c r="F393" s="885" t="s">
        <v>960</v>
      </c>
      <c r="G393" s="886" t="str">
        <f>VLOOKUP(WWWW[[#This Row],[Site Name]],SiteDB6[[Site Name]:[Location Type]],8,FALSE)</f>
        <v>Camp</v>
      </c>
      <c r="H393" s="885" t="s">
        <v>2986</v>
      </c>
      <c r="I393" s="887">
        <v>12</v>
      </c>
      <c r="J393" s="887">
        <v>26</v>
      </c>
      <c r="K393" s="888">
        <v>44511</v>
      </c>
      <c r="L393" s="889">
        <v>44875</v>
      </c>
      <c r="M393" s="887"/>
      <c r="N393" s="887"/>
      <c r="O393" s="887"/>
      <c r="P393" s="887"/>
      <c r="Q393" s="890"/>
      <c r="R393" s="887"/>
      <c r="S393" s="887"/>
      <c r="T393" s="448"/>
      <c r="U393" s="887"/>
      <c r="V393" s="887"/>
      <c r="W393" s="887"/>
      <c r="X393" s="910">
        <v>1</v>
      </c>
      <c r="Y393" s="887"/>
      <c r="Z393" s="887"/>
      <c r="AA393" s="887"/>
      <c r="AB393" s="887"/>
      <c r="AC393" s="887"/>
      <c r="AD393" s="887"/>
      <c r="AE393" s="887"/>
      <c r="AF393" s="887"/>
      <c r="AG393" s="887"/>
      <c r="AH393" s="887"/>
      <c r="AI393" s="887"/>
      <c r="AJ393" s="887"/>
      <c r="AK393" s="887"/>
      <c r="AL393" s="887"/>
      <c r="AM393" s="887"/>
      <c r="AN393" s="887"/>
      <c r="AO393" s="448"/>
      <c r="AP393" s="891"/>
      <c r="AQ393" s="910">
        <v>2</v>
      </c>
      <c r="AR393" s="910"/>
      <c r="AS393" s="911"/>
      <c r="AT393" s="887"/>
      <c r="AU393" s="887"/>
      <c r="AV393" s="887"/>
      <c r="AW393" s="887"/>
      <c r="AX393" s="887"/>
      <c r="AY393" s="425" t="s">
        <v>140</v>
      </c>
      <c r="AZ393" s="425" t="s">
        <v>140</v>
      </c>
      <c r="BA393" s="887"/>
      <c r="BB393" s="887"/>
      <c r="BC393" s="887"/>
      <c r="BD393" s="448"/>
      <c r="BE393" s="448"/>
      <c r="BF393" s="886"/>
      <c r="BG393" s="910">
        <v>4</v>
      </c>
      <c r="BH393" s="887"/>
      <c r="BI393" s="887"/>
      <c r="BJ393" s="887"/>
      <c r="BK393" s="887"/>
      <c r="BL393" s="887"/>
      <c r="BM393" s="887"/>
      <c r="BN393" s="887"/>
      <c r="BO393" s="887"/>
      <c r="BP393" s="425" t="s">
        <v>41</v>
      </c>
      <c r="BQ393" s="893"/>
      <c r="BR393" s="892"/>
      <c r="BS393" s="886"/>
      <c r="BT393" s="423"/>
      <c r="BU393" s="423"/>
      <c r="BV393" s="425"/>
      <c r="BW393" s="423"/>
      <c r="BX393" s="448"/>
      <c r="BY393" s="448"/>
      <c r="BZ393" s="448"/>
      <c r="CA393" s="448"/>
      <c r="CB393" s="448"/>
      <c r="CC393" s="777"/>
      <c r="CD393" s="448"/>
      <c r="CE393" s="894" t="str">
        <f>IFERROR(WWWW[[#This Row],['#_Water sources passed]]/WWWW[[#This Row],['#_Water sources tested for fecal coliform ]],"no test")</f>
        <v>no test</v>
      </c>
      <c r="CF393" s="892" t="str">
        <f>IFERROR(WWWW[[#This Row],['#_Household passed]]/WWWW[[#This Row],['#_Household water samples tested for fecal coliform]],"no test")</f>
        <v>no test</v>
      </c>
      <c r="CG393" s="893" t="str">
        <f>IF(AND(WWWW[[#This Row],[% of water sources passed]]="no test",WWWW[[#This Row],[% Household passed]]="no test"),"No Test","Tested")</f>
        <v>No Test</v>
      </c>
      <c r="CH393" s="893">
        <f>WWWW[[#This Row],['#_Constructed/existing protected hand dug well]]-WWWW[[#This Row],['#_Non-functional protected hand dug well]]</f>
        <v>0</v>
      </c>
      <c r="CI393" s="893">
        <f>(WWWW[[#This Row],['#_Constructed/Existing tube wells/boreholes/handpumps_WASH_agency]]+WWWW[[#This Row],['#_Non-Cluster partner water tube-wells/boreholes/handpumps]])-WWWW[[#This Row],['#_Non-functional tube wells/boreholes/handpumps]]</f>
        <v>1</v>
      </c>
      <c r="CJ393" s="893">
        <f>WWWW[[#This Row],['#_Constructed/Existingwater storage tank with gravity fed reticulation system]]-WWWW[[#This Row],['#_Non-functional storage tank gravity fed reticulation system]]</f>
        <v>0</v>
      </c>
      <c r="CK393" s="893">
        <f>(WWWW[[#This Row],['#_Water_Liters_supplied_by_Water boating or water trucking]]/90)/15</f>
        <v>0</v>
      </c>
      <c r="CL393" s="893">
        <f>WWWW[[#This Row],['#_Water_Liters_from_Constructed/Existing water distribution system from river or natural spring]]/90/15</f>
        <v>0</v>
      </c>
      <c r="CM393" s="424">
        <f>IF(WWWW[[#This Row],['#_of water points in TLS/CFS]]*500&gt;WWWW[[#This Row],[Total PoP ]],WWWW[[#This Row],[Total PoP ]],WWWW[[#This Row],['#_of water points in TLS/CFS]]*500)</f>
        <v>0</v>
      </c>
      <c r="CN393" s="424">
        <f>IF(WWWW[[#This Row],['#_of water points in THF]]*500&gt;WWWW[[#This Row],[Total PoP ]],WWWW[[#This Row],[Total PoP ]],WWWW[[#This Row],['#_of water points in THF]]*500)</f>
        <v>0</v>
      </c>
      <c r="CO393"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3"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93" s="892">
        <f>IF(WWWW[[#This Row],[Location Type 1]]="Village",WWWW[[#This Row],[Access to safe drinking water for Village]],WWWW[[#This Row],[Access to safe drinking water for Camp]])</f>
        <v>1</v>
      </c>
      <c r="CR393" s="890">
        <f>WWWW[[#This Row],[%Equitable and continuous access to sufficient quantity of safe drinking water]]*WWWW[[#This Row],[Total PoP ]]</f>
        <v>26</v>
      </c>
      <c r="CS393" s="892">
        <f>IF((WWWW[[#This Row],['#_Constructed/Existing protected/fenced ponds]]*250)/WWWW[[#This Row],[Total PoP ]]&gt;1,1,(WWWW[[#This Row],['#_Constructed/Existing protected/fenced ponds]]*250)/WWWW[[#This Row],[Total PoP ]])</f>
        <v>0</v>
      </c>
      <c r="CT393" s="890">
        <f>WWWW[[#This Row],[% Access to unimproved water points]]*WWWW[[#This Row],[Total PoP ]]</f>
        <v>0</v>
      </c>
      <c r="CU393"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3"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v>
      </c>
      <c r="CW393" s="890">
        <f>WWWW[[#This Row],[HRP1]]/500</f>
        <v>5.1999999999999998E-2</v>
      </c>
      <c r="CX393" s="895">
        <f>1-WWWW[[#This Row],[% Equitable and continuous access to sufficient quantity of domestic water]]</f>
        <v>0</v>
      </c>
      <c r="CY393" s="890">
        <f>WWWW[[#This Row],[%equitable and continuous access to sufficient quantity of safe drinking and domestic water''s GAP]]*WWWW[[#This Row],[Total PoP ]]</f>
        <v>0</v>
      </c>
      <c r="CZ393" s="893">
        <f>IF(WWWW[[#This Row],[Total required water points]]-WWWW[[#This Row],['#Water points coverage]]&lt;0,0,WWWW[[#This Row],[Total required water points]]-WWWW[[#This Row],['#Water points coverage]])</f>
        <v>0.94799999999999995</v>
      </c>
      <c r="DA393" s="893">
        <f>ROUND(IF(WWWW[[#This Row],[Total PoP ]]&lt;500,1,WWWW[[#This Row],[Total PoP ]]/500),0)</f>
        <v>1</v>
      </c>
      <c r="DB393" s="893">
        <f>(WWWW[[#This Row],['#_Constructed latrines_by_WASHAgencies]]+WWWW[[#This Row],['#_Non Cluster partner latrines]])-WWWW[[#This Row],['#_Non-functional latrines]]</f>
        <v>2</v>
      </c>
      <c r="DC393" s="631">
        <f>WWWW[[#This Row],[HRP2]]/WWWW[[#This Row],[Total PoP ]]</f>
        <v>1</v>
      </c>
      <c r="DD393"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v>
      </c>
      <c r="DE393"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3"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3" s="424">
        <f>IF(WWWW[[#This Row],['# of functional latrines in THF supported by WASH partners during the reporting period2]]="",0,WWWW[[#This Row],['# of functional latrines in THF supported by WASH partners during the reporting period2]]*50)</f>
        <v>0</v>
      </c>
      <c r="DH393" s="893">
        <f>ROUND(IF(WWWW[[#This Row],[Location Type 1]]="camp",WWWW[[#This Row],[Total PoP ]]/20,IF(WWWW[[#This Row],[Location Type 1]]="Temporary Location",WWWW[[#This Row],[Total PoP ]]/50,(WWWW[[#This Row],[Total PoP ]]/6))),0)</f>
        <v>1</v>
      </c>
      <c r="DI393" s="893">
        <f>IF(WWWW[[#This Row],[Total required Latrines]]-(WWWW[[#This Row],['#_Constructed latrines_by_WASHAgencies]]+WWWW[[#This Row],['#_Non Cluster partner latrines]])&lt;0,0,WWWW[[#This Row],[Total required Latrines]]-(WWWW[[#This Row],['#_Constructed latrines_by_WASHAgencies]]+WWWW[[#This Row],['#_Non Cluster partner latrines]]))</f>
        <v>0</v>
      </c>
      <c r="DJ393" s="895">
        <f>1-WWWW[[#This Row],[% people access to functioning Latrine]]</f>
        <v>0</v>
      </c>
      <c r="DK393" s="894">
        <f>IF(OR(WWWW[[#This Row],['#_Non-functional latrines]]="",WWWW[[#This Row],['#_Non-functional latrines]]=0),0,WWWW[[#This Row],['#_Non-functional latrines]]/(WWWW[[#This Row],['#_Constructed latrines_by_WASHAgencies]]+WWWW[[#This Row],['#_Non Cluster partner latrines]]))</f>
        <v>0</v>
      </c>
      <c r="DL393" s="890">
        <f>IF(500*(WWWW[[#This Row],['#_male hygiene promoters]]+WWWW[[#This Row],['#_female hygiene promoters]])&gt;WWWW[[#This Row],[Total PoP ]],WWWW[[#This Row],[Total PoP ]],500*(WWWW[[#This Row],['#_male hygiene promoters]]+WWWW[[#This Row],['#_female hygiene promoters]]))</f>
        <v>0</v>
      </c>
      <c r="DM393"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3"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3" s="893">
        <f>IF(WWWW[[#This Row],['# People with access to soap]]&gt;WWWW[[#This Row],['# People with access to Sanity Pads]],WWWW[[#This Row],['# People with access to soap]],WWWW[[#This Row],['# People with access to Sanity Pads]])</f>
        <v>0</v>
      </c>
      <c r="DP393"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93" s="895">
        <f>IF(WWWW[[#This Row],[HRP3]]/WWWW[[#This Row],[Total PoP ]]&gt;1,1,WWWW[[#This Row],[HRP3]]/WWWW[[#This Row],[Total PoP ]])</f>
        <v>0</v>
      </c>
      <c r="DR393" s="894">
        <f>1-WWWW[[#This Row],[Hygiene Coverage%]]</f>
        <v>1</v>
      </c>
      <c r="DS393" s="892">
        <f>WWWW[[#This Row],['# people reached by regular dedicated hygiene promotion_5]]/WWWW[[#This Row],[Total PoP ]]</f>
        <v>0</v>
      </c>
      <c r="DT393"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3"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3" s="893">
        <f>WWWW[[#This Row],['#_Constructed/Existing hand washing stations]]-WWWW[[#This Row],['#_Non-Functional_hand_washing_stations]]</f>
        <v>4</v>
      </c>
      <c r="DW393" s="890">
        <f>IF(WWWW[[#This Row],['# Functional hand washing stations during reporting period]]*20&gt;WWWW[[#This Row],[Total HH]],WWWW[[#This Row],[Total HH]],WWWW[[#This Row],['# Functional hand washing stations during reporting period]]*20)</f>
        <v>12</v>
      </c>
      <c r="DX393" s="890">
        <f>IF(WWWW[[#This Row],[Is sufficient soap available for TLS? (Yes/No)]]="yes",WWWW[[#This Row],['#_Constructed/Existing hand washing stations at TLS/CFS/THF]],0)</f>
        <v>0</v>
      </c>
      <c r="DY393" s="428">
        <f>IF(WWWW[[#This Row],['# Functional hand washing stations during reporting period]]*100&gt;WWWW[[#This Row],[Total PoP ]],WWWW[[#This Row],[Total PoP ]],WWWW[[#This Row],['# Functional hand washing stations during reporting period]]*100)</f>
        <v>26</v>
      </c>
      <c r="DZ393" s="428" t="str">
        <f>IF(OR(WWWW[[#This Row],['#_students at TLS_CFS]]="",WWWW[[#This Row],['#_students at TLS_CFS]]=0),"No","Yes")</f>
        <v>No</v>
      </c>
      <c r="EA39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3" s="886">
        <f>VLOOKUP(WWWW[[#This Row],[Site Name]],SiteDB6[[Site Name]:[CCCM Management]],6,FALSE)</f>
        <v>0</v>
      </c>
      <c r="EF393" s="886">
        <f>VLOOKUP(WWWW[[#This Row],[Site Name]],SiteDB6[[Site Name]:[CCCM Focal Agency]],7,FALSE)</f>
        <v>0</v>
      </c>
      <c r="EG393" s="886" t="str">
        <f>VLOOKUP(WWWW[[#This Row],[Site Name]],SiteDB6[[Site Name]:[Location Type 1]],9,FALSE)</f>
        <v>Camp</v>
      </c>
      <c r="EH393" s="886" t="str">
        <f>VLOOKUP(WWWW[[#This Row],[Site Name]],SiteDB6[[Site Name]:[Type of Accommodation]],10,FALSE)</f>
        <v>Camp like setting</v>
      </c>
      <c r="EI393" s="886" t="str">
        <f>VLOOKUP(WWWW[[#This Row],[Site Name]],SiteDB6[[Site Name]:[Ethnic or GCA/NGCA]],11,FALSE)</f>
        <v>GCA</v>
      </c>
      <c r="EJ393" s="886">
        <f>VLOOKUP(WWWW[[#This Row],[Site Name]],SiteDB6[[Site Name]:[Lat]],12,FALSE)</f>
        <v>0</v>
      </c>
      <c r="EK393" s="886">
        <f>VLOOKUP(WWWW[[#This Row],[Site Name]],SiteDB6[[Site Name]:[Long]],13,FALSE)</f>
        <v>0</v>
      </c>
      <c r="EL393" s="886" t="str">
        <f>VLOOKUP(WWWW[[#This Row],[Site Name]],SiteDB6[[Site Name]:[Pcode]],3,FALSE)</f>
        <v>MMR015CMP081</v>
      </c>
      <c r="EM393" s="891" t="str">
        <f t="shared" si="6"/>
        <v>Covered</v>
      </c>
      <c r="EN393" s="891"/>
      <c r="EO393" s="886">
        <f>VLOOKUP(WWWW[[#This Row],[Site Name]],SiteDB6[[Site Name]:[Pop
(Kachin/Shan-CCCM as of July 2021)]],16,FALSE)</f>
        <v>12</v>
      </c>
      <c r="EP393" s="886">
        <f>VLOOKUP(WWWW[[#This Row],[Site Name]],SiteDB6[[Site Name]:[Pop
(Kachin/Shan-CCCM as of July 2021)]],17,FALSE)</f>
        <v>47</v>
      </c>
    </row>
    <row r="394" spans="1:146" hidden="1">
      <c r="A394" s="884" t="s">
        <v>2764</v>
      </c>
      <c r="B394" s="884" t="s">
        <v>192</v>
      </c>
      <c r="C394" s="885" t="s">
        <v>192</v>
      </c>
      <c r="D394" s="369" t="s">
        <v>241</v>
      </c>
      <c r="E394" s="885" t="s">
        <v>515</v>
      </c>
      <c r="F394" s="885" t="s">
        <v>525</v>
      </c>
      <c r="G394" s="886" t="str">
        <f>VLOOKUP(WWWW[[#This Row],[Site Name]],SiteDB6[[Site Name]:[Location Type]],8,FALSE)</f>
        <v>Camp</v>
      </c>
      <c r="H394" s="885" t="s">
        <v>2987</v>
      </c>
      <c r="I394" s="904">
        <v>31</v>
      </c>
      <c r="J394" s="904">
        <v>155</v>
      </c>
      <c r="K394" s="888">
        <v>44511</v>
      </c>
      <c r="L394" s="889">
        <v>44875</v>
      </c>
      <c r="M394" s="887"/>
      <c r="N394" s="887"/>
      <c r="O394" s="887"/>
      <c r="P394" s="887"/>
      <c r="Q394" s="890"/>
      <c r="R394" s="887"/>
      <c r="S394" s="887"/>
      <c r="T394" s="448"/>
      <c r="U394" s="887"/>
      <c r="V394" s="887"/>
      <c r="W394" s="887"/>
      <c r="X394" s="887"/>
      <c r="Y394" s="887"/>
      <c r="Z394" s="887"/>
      <c r="AA394" s="887"/>
      <c r="AB394" s="887"/>
      <c r="AC394" s="887"/>
      <c r="AD394" s="887"/>
      <c r="AE394" s="887"/>
      <c r="AF394" s="887"/>
      <c r="AG394" s="887"/>
      <c r="AH394" s="887"/>
      <c r="AI394" s="887"/>
      <c r="AJ394" s="887"/>
      <c r="AK394" s="887"/>
      <c r="AL394" s="887"/>
      <c r="AM394" s="887"/>
      <c r="AN394" s="887"/>
      <c r="AO394" s="448"/>
      <c r="AP394" s="891"/>
      <c r="AQ394" s="887"/>
      <c r="AR394" s="887"/>
      <c r="AS394" s="892"/>
      <c r="AT394" s="887"/>
      <c r="AU394" s="887"/>
      <c r="AV394" s="887"/>
      <c r="AW394" s="887"/>
      <c r="AX394" s="887"/>
      <c r="AY394" s="425" t="s">
        <v>140</v>
      </c>
      <c r="AZ394" s="425" t="s">
        <v>140</v>
      </c>
      <c r="BA394" s="887"/>
      <c r="BB394" s="887"/>
      <c r="BC394" s="887"/>
      <c r="BD394" s="448"/>
      <c r="BE394" s="448"/>
      <c r="BF394" s="886"/>
      <c r="BG394" s="887"/>
      <c r="BH394" s="887"/>
      <c r="BI394" s="887"/>
      <c r="BJ394" s="887"/>
      <c r="BK394" s="887"/>
      <c r="BL394" s="887"/>
      <c r="BM394" s="887"/>
      <c r="BN394" s="887"/>
      <c r="BO394" s="887"/>
      <c r="BP394" s="425" t="s">
        <v>41</v>
      </c>
      <c r="BQ394" s="893"/>
      <c r="BR394" s="892"/>
      <c r="BS394" s="886"/>
      <c r="BT394" s="423"/>
      <c r="BU394" s="423"/>
      <c r="BV394" s="425"/>
      <c r="BW394" s="423"/>
      <c r="BX394" s="448"/>
      <c r="BY394" s="448"/>
      <c r="BZ394" s="448"/>
      <c r="CA394" s="448"/>
      <c r="CB394" s="448"/>
      <c r="CC394" s="777"/>
      <c r="CD394" s="448"/>
      <c r="CE394" s="894" t="str">
        <f>IFERROR(WWWW[[#This Row],['#_Water sources passed]]/WWWW[[#This Row],['#_Water sources tested for fecal coliform ]],"no test")</f>
        <v>no test</v>
      </c>
      <c r="CF394" s="892" t="str">
        <f>IFERROR(WWWW[[#This Row],['#_Household passed]]/WWWW[[#This Row],['#_Household water samples tested for fecal coliform]],"no test")</f>
        <v>no test</v>
      </c>
      <c r="CG394" s="893" t="str">
        <f>IF(AND(WWWW[[#This Row],[% of water sources passed]]="no test",WWWW[[#This Row],[% Household passed]]="no test"),"No Test","Tested")</f>
        <v>No Test</v>
      </c>
      <c r="CH394" s="893">
        <f>WWWW[[#This Row],['#_Constructed/existing protected hand dug well]]-WWWW[[#This Row],['#_Non-functional protected hand dug well]]</f>
        <v>0</v>
      </c>
      <c r="CI394" s="893">
        <f>(WWWW[[#This Row],['#_Constructed/Existing tube wells/boreholes/handpumps_WASH_agency]]+WWWW[[#This Row],['#_Non-Cluster partner water tube-wells/boreholes/handpumps]])-WWWW[[#This Row],['#_Non-functional tube wells/boreholes/handpumps]]</f>
        <v>0</v>
      </c>
      <c r="CJ394" s="893">
        <f>WWWW[[#This Row],['#_Constructed/Existingwater storage tank with gravity fed reticulation system]]-WWWW[[#This Row],['#_Non-functional storage tank gravity fed reticulation system]]</f>
        <v>0</v>
      </c>
      <c r="CK394" s="893">
        <f>(WWWW[[#This Row],['#_Water_Liters_supplied_by_Water boating or water trucking]]/90)/15</f>
        <v>0</v>
      </c>
      <c r="CL394" s="893">
        <f>WWWW[[#This Row],['#_Water_Liters_from_Constructed/Existing water distribution system from river or natural spring]]/90/15</f>
        <v>0</v>
      </c>
      <c r="CM394" s="424">
        <f>IF(WWWW[[#This Row],['#_of water points in TLS/CFS]]*500&gt;WWWW[[#This Row],[Total PoP ]],WWWW[[#This Row],[Total PoP ]],WWWW[[#This Row],['#_of water points in TLS/CFS]]*500)</f>
        <v>0</v>
      </c>
      <c r="CN394" s="424">
        <f>IF(WWWW[[#This Row],['#_of water points in THF]]*500&gt;WWWW[[#This Row],[Total PoP ]],WWWW[[#This Row],[Total PoP ]],WWWW[[#This Row],['#_of water points in THF]]*500)</f>
        <v>0</v>
      </c>
      <c r="CO394"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94"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94" s="892">
        <f>IF(WWWW[[#This Row],[Location Type 1]]="Village",WWWW[[#This Row],[Access to safe drinking water for Village]],WWWW[[#This Row],[Access to safe drinking water for Camp]])</f>
        <v>0</v>
      </c>
      <c r="CR394" s="890">
        <f>WWWW[[#This Row],[%Equitable and continuous access to sufficient quantity of safe drinking water]]*WWWW[[#This Row],[Total PoP ]]</f>
        <v>0</v>
      </c>
      <c r="CS394" s="892">
        <f>IF((WWWW[[#This Row],['#_Constructed/Existing protected/fenced ponds]]*250)/WWWW[[#This Row],[Total PoP ]]&gt;1,1,(WWWW[[#This Row],['#_Constructed/Existing protected/fenced ponds]]*250)/WWWW[[#This Row],[Total PoP ]])</f>
        <v>0</v>
      </c>
      <c r="CT394" s="890">
        <f>WWWW[[#This Row],[% Access to unimproved water points]]*WWWW[[#This Row],[Total PoP ]]</f>
        <v>0</v>
      </c>
      <c r="CU394"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94"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94" s="890">
        <f>WWWW[[#This Row],[HRP1]]/500</f>
        <v>0</v>
      </c>
      <c r="CX394" s="895">
        <f>1-WWWW[[#This Row],[% Equitable and continuous access to sufficient quantity of domestic water]]</f>
        <v>1</v>
      </c>
      <c r="CY394" s="890">
        <f>WWWW[[#This Row],[%equitable and continuous access to sufficient quantity of safe drinking and domestic water''s GAP]]*WWWW[[#This Row],[Total PoP ]]</f>
        <v>155</v>
      </c>
      <c r="CZ394" s="893">
        <f>IF(WWWW[[#This Row],[Total required water points]]-WWWW[[#This Row],['#Water points coverage]]&lt;0,0,WWWW[[#This Row],[Total required water points]]-WWWW[[#This Row],['#Water points coverage]])</f>
        <v>1</v>
      </c>
      <c r="DA394" s="893">
        <f>ROUND(IF(WWWW[[#This Row],[Total PoP ]]&lt;500,1,WWWW[[#This Row],[Total PoP ]]/500),0)</f>
        <v>1</v>
      </c>
      <c r="DB394" s="893">
        <f>(WWWW[[#This Row],['#_Constructed latrines_by_WASHAgencies]]+WWWW[[#This Row],['#_Non Cluster partner latrines]])-WWWW[[#This Row],['#_Non-functional latrines]]</f>
        <v>0</v>
      </c>
      <c r="DC394" s="631">
        <f>WWWW[[#This Row],[HRP2]]/WWWW[[#This Row],[Total PoP ]]</f>
        <v>0</v>
      </c>
      <c r="DD394"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94"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4"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4" s="424">
        <f>IF(WWWW[[#This Row],['# of functional latrines in THF supported by WASH partners during the reporting period2]]="",0,WWWW[[#This Row],['# of functional latrines in THF supported by WASH partners during the reporting period2]]*50)</f>
        <v>0</v>
      </c>
      <c r="DH394" s="893">
        <f>ROUND(IF(WWWW[[#This Row],[Location Type 1]]="camp",WWWW[[#This Row],[Total PoP ]]/20,IF(WWWW[[#This Row],[Location Type 1]]="Temporary Location",WWWW[[#This Row],[Total PoP ]]/50,(WWWW[[#This Row],[Total PoP ]]/6))),0)</f>
        <v>8</v>
      </c>
      <c r="DI394" s="893">
        <f>IF(WWWW[[#This Row],[Total required Latrines]]-(WWWW[[#This Row],['#_Constructed latrines_by_WASHAgencies]]+WWWW[[#This Row],['#_Non Cluster partner latrines]])&lt;0,0,WWWW[[#This Row],[Total required Latrines]]-(WWWW[[#This Row],['#_Constructed latrines_by_WASHAgencies]]+WWWW[[#This Row],['#_Non Cluster partner latrines]]))</f>
        <v>8</v>
      </c>
      <c r="DJ394" s="895">
        <f>1-WWWW[[#This Row],[% people access to functioning Latrine]]</f>
        <v>1</v>
      </c>
      <c r="DK394" s="894">
        <f>IF(OR(WWWW[[#This Row],['#_Non-functional latrines]]="",WWWW[[#This Row],['#_Non-functional latrines]]=0),0,WWWW[[#This Row],['#_Non-functional latrines]]/(WWWW[[#This Row],['#_Constructed latrines_by_WASHAgencies]]+WWWW[[#This Row],['#_Non Cluster partner latrines]]))</f>
        <v>0</v>
      </c>
      <c r="DL394" s="890">
        <f>IF(500*(WWWW[[#This Row],['#_male hygiene promoters]]+WWWW[[#This Row],['#_female hygiene promoters]])&gt;WWWW[[#This Row],[Total PoP ]],WWWW[[#This Row],[Total PoP ]],500*(WWWW[[#This Row],['#_male hygiene promoters]]+WWWW[[#This Row],['#_female hygiene promoters]]))</f>
        <v>0</v>
      </c>
      <c r="DM394"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4"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4" s="893">
        <f>IF(WWWW[[#This Row],['# People with access to soap]]&gt;WWWW[[#This Row],['# People with access to Sanity Pads]],WWWW[[#This Row],['# People with access to soap]],WWWW[[#This Row],['# People with access to Sanity Pads]])</f>
        <v>0</v>
      </c>
      <c r="DP394"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94" s="895">
        <f>IF(WWWW[[#This Row],[HRP3]]/WWWW[[#This Row],[Total PoP ]]&gt;1,1,WWWW[[#This Row],[HRP3]]/WWWW[[#This Row],[Total PoP ]])</f>
        <v>0</v>
      </c>
      <c r="DR394" s="894">
        <f>1-WWWW[[#This Row],[Hygiene Coverage%]]</f>
        <v>1</v>
      </c>
      <c r="DS394" s="892">
        <f>WWWW[[#This Row],['# people reached by regular dedicated hygiene promotion_5]]/WWWW[[#This Row],[Total PoP ]]</f>
        <v>0</v>
      </c>
      <c r="DT394"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4"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4" s="893">
        <f>WWWW[[#This Row],['#_Constructed/Existing hand washing stations]]-WWWW[[#This Row],['#_Non-Functional_hand_washing_stations]]</f>
        <v>0</v>
      </c>
      <c r="DW394" s="890">
        <f>IF(WWWW[[#This Row],['# Functional hand washing stations during reporting period]]*20&gt;WWWW[[#This Row],[Total HH]],WWWW[[#This Row],[Total HH]],WWWW[[#This Row],['# Functional hand washing stations during reporting period]]*20)</f>
        <v>0</v>
      </c>
      <c r="DX394" s="890">
        <f>IF(WWWW[[#This Row],[Is sufficient soap available for TLS? (Yes/No)]]="yes",WWWW[[#This Row],['#_Constructed/Existing hand washing stations at TLS/CFS/THF]],0)</f>
        <v>0</v>
      </c>
      <c r="DY394" s="428">
        <f>IF(WWWW[[#This Row],['# Functional hand washing stations during reporting period]]*100&gt;WWWW[[#This Row],[Total PoP ]],WWWW[[#This Row],[Total PoP ]],WWWW[[#This Row],['# Functional hand washing stations during reporting period]]*100)</f>
        <v>0</v>
      </c>
      <c r="DZ394" s="428" t="str">
        <f>IF(OR(WWWW[[#This Row],['#_students at TLS_CFS]]="",WWWW[[#This Row],['#_students at TLS_CFS]]=0),"No","Yes")</f>
        <v>No</v>
      </c>
      <c r="EA39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4" s="886">
        <f>VLOOKUP(WWWW[[#This Row],[Site Name]],SiteDB6[[Site Name]:[CCCM Management]],6,FALSE)</f>
        <v>0</v>
      </c>
      <c r="EF394" s="886">
        <f>VLOOKUP(WWWW[[#This Row],[Site Name]],SiteDB6[[Site Name]:[CCCM Focal Agency]],7,FALSE)</f>
        <v>0</v>
      </c>
      <c r="EG394" s="886" t="str">
        <f>VLOOKUP(WWWW[[#This Row],[Site Name]],SiteDB6[[Site Name]:[Location Type 1]],9,FALSE)</f>
        <v>Camp</v>
      </c>
      <c r="EH394" s="886" t="str">
        <f>VLOOKUP(WWWW[[#This Row],[Site Name]],SiteDB6[[Site Name]:[Type of Accommodation]],10,FALSE)</f>
        <v>Camp like setting</v>
      </c>
      <c r="EI394" s="886" t="str">
        <f>VLOOKUP(WWWW[[#This Row],[Site Name]],SiteDB6[[Site Name]:[Ethnic or GCA/NGCA]],11,FALSE)</f>
        <v>GCA</v>
      </c>
      <c r="EJ394" s="886">
        <f>VLOOKUP(WWWW[[#This Row],[Site Name]],SiteDB6[[Site Name]:[Lat]],12,FALSE)</f>
        <v>0</v>
      </c>
      <c r="EK394" s="886">
        <f>VLOOKUP(WWWW[[#This Row],[Site Name]],SiteDB6[[Site Name]:[Long]],13,FALSE)</f>
        <v>0</v>
      </c>
      <c r="EL394" s="886" t="str">
        <f>VLOOKUP(WWWW[[#This Row],[Site Name]],SiteDB6[[Site Name]:[Pcode]],3,FALSE)</f>
        <v>MMR015CMP083</v>
      </c>
      <c r="EM394" s="891" t="str">
        <f t="shared" si="6"/>
        <v>Covered</v>
      </c>
      <c r="EN394" s="891"/>
      <c r="EO394" s="886">
        <f>VLOOKUP(WWWW[[#This Row],[Site Name]],SiteDB6[[Site Name]:[Pop
(Kachin/Shan-CCCM as of July 2021)]],16,FALSE)</f>
        <v>31</v>
      </c>
      <c r="EP394" s="886">
        <f>VLOOKUP(WWWW[[#This Row],[Site Name]],SiteDB6[[Site Name]:[Pop
(Kachin/Shan-CCCM as of July 2021)]],17,FALSE)</f>
        <v>155</v>
      </c>
    </row>
    <row r="395" spans="1:146" hidden="1">
      <c r="A395" s="884" t="s">
        <v>2764</v>
      </c>
      <c r="B395" s="884" t="s">
        <v>192</v>
      </c>
      <c r="C395" s="885" t="s">
        <v>192</v>
      </c>
      <c r="D395" s="885" t="s">
        <v>2673</v>
      </c>
      <c r="E395" s="885" t="s">
        <v>515</v>
      </c>
      <c r="F395" s="885" t="s">
        <v>534</v>
      </c>
      <c r="G395" s="591" t="str">
        <f>VLOOKUP(WWWW[[#This Row],[Site Name]],SiteDB6[[Site Name]:[Location Type]],8,FALSE)</f>
        <v>Camp</v>
      </c>
      <c r="H395" s="885" t="s">
        <v>563</v>
      </c>
      <c r="I395" s="887">
        <v>42</v>
      </c>
      <c r="J395" s="887">
        <v>195</v>
      </c>
      <c r="K395" s="888">
        <v>44511</v>
      </c>
      <c r="L395" s="889">
        <v>44845</v>
      </c>
      <c r="M395" s="887"/>
      <c r="N395" s="887"/>
      <c r="O395" s="887"/>
      <c r="P395" s="887"/>
      <c r="Q395" s="890"/>
      <c r="R395" s="887">
        <v>4</v>
      </c>
      <c r="S395" s="887">
        <v>4</v>
      </c>
      <c r="T395" s="448"/>
      <c r="U395" s="887"/>
      <c r="V395" s="887"/>
      <c r="W395" s="887">
        <v>1</v>
      </c>
      <c r="X395" s="887"/>
      <c r="Y395" s="887"/>
      <c r="Z395" s="887"/>
      <c r="AA395" s="887">
        <v>1</v>
      </c>
      <c r="AB395" s="887"/>
      <c r="AC395" s="887"/>
      <c r="AD395" s="887"/>
      <c r="AE395" s="887"/>
      <c r="AF395" s="887"/>
      <c r="AG395" s="887"/>
      <c r="AH395" s="887">
        <v>1</v>
      </c>
      <c r="AI395" s="887"/>
      <c r="AJ395" s="887"/>
      <c r="AK395" s="887"/>
      <c r="AL395" s="887"/>
      <c r="AM395" s="887">
        <v>1</v>
      </c>
      <c r="AN395" s="887"/>
      <c r="AO395" s="448"/>
      <c r="AP395" s="891"/>
      <c r="AQ395" s="887">
        <v>38</v>
      </c>
      <c r="AR395" s="887"/>
      <c r="AS395" s="892"/>
      <c r="AT395" s="887"/>
      <c r="AU395" s="887"/>
      <c r="AV395" s="887"/>
      <c r="AW395" s="887"/>
      <c r="AX395" s="887"/>
      <c r="AY395" s="886" t="s">
        <v>136</v>
      </c>
      <c r="AZ395" s="891" t="s">
        <v>136</v>
      </c>
      <c r="BA395" s="887"/>
      <c r="BB395" s="887"/>
      <c r="BC395" s="887"/>
      <c r="BD395" s="448"/>
      <c r="BE395" s="448"/>
      <c r="BF395" s="886"/>
      <c r="BG395" s="887"/>
      <c r="BH395" s="887"/>
      <c r="BI395" s="887"/>
      <c r="BJ395" s="887"/>
      <c r="BK395" s="887"/>
      <c r="BL395" s="887"/>
      <c r="BM395" s="887">
        <v>1</v>
      </c>
      <c r="BN395" s="887"/>
      <c r="BO395" s="887"/>
      <c r="BP395" s="425" t="s">
        <v>41</v>
      </c>
      <c r="BQ395" s="893"/>
      <c r="BR395" s="892">
        <v>1</v>
      </c>
      <c r="BS395" s="886"/>
      <c r="BT395" s="423"/>
      <c r="BU395" s="423"/>
      <c r="BV395" s="425"/>
      <c r="BW395" s="423"/>
      <c r="BX395" s="448"/>
      <c r="BY395" s="448"/>
      <c r="BZ395" s="448"/>
      <c r="CA395" s="448"/>
      <c r="CB395" s="448"/>
      <c r="CC395" s="777"/>
      <c r="CD395" s="448"/>
      <c r="CE395" s="894" t="str">
        <f>IFERROR(WWWW[[#This Row],['#_Water sources passed]]/WWWW[[#This Row],['#_Water sources tested for fecal coliform ]],"no test")</f>
        <v>no test</v>
      </c>
      <c r="CF395" s="892" t="str">
        <f>IFERROR(WWWW[[#This Row],['#_Household passed]]/WWWW[[#This Row],['#_Household water samples tested for fecal coliform]],"no test")</f>
        <v>no test</v>
      </c>
      <c r="CG395" s="893" t="str">
        <f>IF(AND(WWWW[[#This Row],[% of water sources passed]]="no test",WWWW[[#This Row],[% Household passed]]="no test"),"No Test","Tested")</f>
        <v>No Test</v>
      </c>
      <c r="CH395" s="893">
        <f>WWWW[[#This Row],['#_Constructed/existing protected hand dug well]]-WWWW[[#This Row],['#_Non-functional protected hand dug well]]</f>
        <v>0</v>
      </c>
      <c r="CI395" s="893">
        <f>(WWWW[[#This Row],['#_Constructed/Existing tube wells/boreholes/handpumps_WASH_agency]]+WWWW[[#This Row],['#_Non-Cluster partner water tube-wells/boreholes/handpumps]])-WWWW[[#This Row],['#_Non-functional tube wells/boreholes/handpumps]]</f>
        <v>1</v>
      </c>
      <c r="CJ395" s="893">
        <f>WWWW[[#This Row],['#_Constructed/Existingwater storage tank with gravity fed reticulation system]]-WWWW[[#This Row],['#_Non-functional storage tank gravity fed reticulation system]]</f>
        <v>1</v>
      </c>
      <c r="CK395" s="893">
        <f>(WWWW[[#This Row],['#_Water_Liters_supplied_by_Water boating or water trucking]]/90)/15</f>
        <v>0</v>
      </c>
      <c r="CL395" s="893">
        <f>WWWW[[#This Row],['#_Water_Liters_from_Constructed/Existing water distribution system from river or natural spring]]/90/15</f>
        <v>0</v>
      </c>
      <c r="CM395" s="424">
        <f>IF(WWWW[[#This Row],['#_of water points in TLS/CFS]]*500&gt;WWWW[[#This Row],[Total PoP ]],WWWW[[#This Row],[Total PoP ]],WWWW[[#This Row],['#_of water points in TLS/CFS]]*500)</f>
        <v>0</v>
      </c>
      <c r="CN395" s="424">
        <f>IF(WWWW[[#This Row],['#_of water points in THF]]*500&gt;WWWW[[#This Row],[Total PoP ]],WWWW[[#This Row],[Total PoP ]],WWWW[[#This Row],['#_of water points in THF]]*500)</f>
        <v>0</v>
      </c>
      <c r="CO395"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5"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95" s="892">
        <f>IF(WWWW[[#This Row],[Location Type 1]]="Village",WWWW[[#This Row],[Access to safe drinking water for Village]],WWWW[[#This Row],[Access to safe drinking water for Camp]])</f>
        <v>1</v>
      </c>
      <c r="CR395" s="890">
        <f>WWWW[[#This Row],[%Equitable and continuous access to sufficient quantity of safe drinking water]]*WWWW[[#This Row],[Total PoP ]]</f>
        <v>195</v>
      </c>
      <c r="CS395" s="892">
        <f>IF((WWWW[[#This Row],['#_Constructed/Existing protected/fenced ponds]]*250)/WWWW[[#This Row],[Total PoP ]]&gt;1,1,(WWWW[[#This Row],['#_Constructed/Existing protected/fenced ponds]]*250)/WWWW[[#This Row],[Total PoP ]])</f>
        <v>0</v>
      </c>
      <c r="CT395" s="890">
        <f>WWWW[[#This Row],[% Access to unimproved water points]]*WWWW[[#This Row],[Total PoP ]]</f>
        <v>0</v>
      </c>
      <c r="CU395"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5"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195</v>
      </c>
      <c r="CW395" s="890">
        <f>WWWW[[#This Row],[HRP1]]/500</f>
        <v>0.39</v>
      </c>
      <c r="CX395" s="895">
        <f>1-WWWW[[#This Row],[% Equitable and continuous access to sufficient quantity of domestic water]]</f>
        <v>0</v>
      </c>
      <c r="CY395" s="890">
        <f>WWWW[[#This Row],[%equitable and continuous access to sufficient quantity of safe drinking and domestic water''s GAP]]*WWWW[[#This Row],[Total PoP ]]</f>
        <v>0</v>
      </c>
      <c r="CZ395" s="893">
        <f>IF(WWWW[[#This Row],[Total required water points]]-WWWW[[#This Row],['#Water points coverage]]&lt;0,0,WWWW[[#This Row],[Total required water points]]-WWWW[[#This Row],['#Water points coverage]])</f>
        <v>0.61</v>
      </c>
      <c r="DA395" s="893">
        <f>ROUND(IF(WWWW[[#This Row],[Total PoP ]]&lt;500,1,WWWW[[#This Row],[Total PoP ]]/500),0)</f>
        <v>1</v>
      </c>
      <c r="DB395" s="893">
        <f>(WWWW[[#This Row],['#_Constructed latrines_by_WASHAgencies]]+WWWW[[#This Row],['#_Non Cluster partner latrines]])-WWWW[[#This Row],['#_Non-functional latrines]]</f>
        <v>38</v>
      </c>
      <c r="DC395" s="631">
        <f>WWWW[[#This Row],[HRP2]]/WWWW[[#This Row],[Total PoP ]]</f>
        <v>1</v>
      </c>
      <c r="DD395"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195</v>
      </c>
      <c r="DE395"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5"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5" s="424">
        <f>IF(WWWW[[#This Row],['# of functional latrines in THF supported by WASH partners during the reporting period2]]="",0,WWWW[[#This Row],['# of functional latrines in THF supported by WASH partners during the reporting period2]]*50)</f>
        <v>0</v>
      </c>
      <c r="DH395" s="893">
        <f>ROUND(IF(WWWW[[#This Row],[Location Type 1]]="camp",WWWW[[#This Row],[Total PoP ]]/20,IF(WWWW[[#This Row],[Location Type 1]]="Temporary Location",WWWW[[#This Row],[Total PoP ]]/50,(WWWW[[#This Row],[Total PoP ]]/6))),0)</f>
        <v>10</v>
      </c>
      <c r="DI395" s="893">
        <f>IF(WWWW[[#This Row],[Total required Latrines]]-(WWWW[[#This Row],['#_Constructed latrines_by_WASHAgencies]]+WWWW[[#This Row],['#_Non Cluster partner latrines]])&lt;0,0,WWWW[[#This Row],[Total required Latrines]]-(WWWW[[#This Row],['#_Constructed latrines_by_WASHAgencies]]+WWWW[[#This Row],['#_Non Cluster partner latrines]]))</f>
        <v>0</v>
      </c>
      <c r="DJ395" s="895">
        <f>1-WWWW[[#This Row],[% people access to functioning Latrine]]</f>
        <v>0</v>
      </c>
      <c r="DK395" s="894">
        <f>IF(OR(WWWW[[#This Row],['#_Non-functional latrines]]="",WWWW[[#This Row],['#_Non-functional latrines]]=0),0,WWWW[[#This Row],['#_Non-functional latrines]]/(WWWW[[#This Row],['#_Constructed latrines_by_WASHAgencies]]+WWWW[[#This Row],['#_Non Cluster partner latrines]]))</f>
        <v>0</v>
      </c>
      <c r="DL395" s="890">
        <f>IF(500*(WWWW[[#This Row],['#_male hygiene promoters]]+WWWW[[#This Row],['#_female hygiene promoters]])&gt;WWWW[[#This Row],[Total PoP ]],WWWW[[#This Row],[Total PoP ]],500*(WWWW[[#This Row],['#_male hygiene promoters]]+WWWW[[#This Row],['#_female hygiene promoters]]))</f>
        <v>195</v>
      </c>
      <c r="DM395"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5"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5" s="893">
        <f>IF(WWWW[[#This Row],['# People with access to soap]]&gt;WWWW[[#This Row],['# People with access to Sanity Pads]],WWWW[[#This Row],['# People with access to soap]],WWWW[[#This Row],['# People with access to Sanity Pads]])</f>
        <v>0</v>
      </c>
      <c r="DP395" s="893">
        <f>IF(WWWW[[#This Row],['# people reached by regular dedicated hygiene promotion_5]]&gt;WWWW[[#This Row],['# People received regular supply of hygiene items_6]],WWWW[[#This Row],['# people reached by regular dedicated hygiene promotion_5]],WWWW[[#This Row],['# People received regular supply of hygiene items_6]])</f>
        <v>195</v>
      </c>
      <c r="DQ395" s="895">
        <f>IF(WWWW[[#This Row],[HRP3]]/WWWW[[#This Row],[Total PoP ]]&gt;1,1,WWWW[[#This Row],[HRP3]]/WWWW[[#This Row],[Total PoP ]])</f>
        <v>1</v>
      </c>
      <c r="DR395" s="894">
        <f>1-WWWW[[#This Row],[Hygiene Coverage%]]</f>
        <v>0</v>
      </c>
      <c r="DS395" s="892">
        <f>WWWW[[#This Row],['# people reached by regular dedicated hygiene promotion_5]]/WWWW[[#This Row],[Total PoP ]]</f>
        <v>1</v>
      </c>
      <c r="DT395"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5"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5" s="893">
        <f>WWWW[[#This Row],['#_Constructed/Existing hand washing stations]]-WWWW[[#This Row],['#_Non-Functional_hand_washing_stations]]</f>
        <v>0</v>
      </c>
      <c r="DW395" s="890">
        <f>IF(WWWW[[#This Row],['# Functional hand washing stations during reporting period]]*20&gt;WWWW[[#This Row],[Total HH]],WWWW[[#This Row],[Total HH]],WWWW[[#This Row],['# Functional hand washing stations during reporting period]]*20)</f>
        <v>0</v>
      </c>
      <c r="DX395" s="890">
        <f>IF(WWWW[[#This Row],[Is sufficient soap available for TLS? (Yes/No)]]="yes",WWWW[[#This Row],['#_Constructed/Existing hand washing stations at TLS/CFS/THF]],0)</f>
        <v>1</v>
      </c>
      <c r="DY395" s="428">
        <f>IF(WWWW[[#This Row],['# Functional hand washing stations during reporting period]]*100&gt;WWWW[[#This Row],[Total PoP ]],WWWW[[#This Row],[Total PoP ]],WWWW[[#This Row],['# Functional hand washing stations during reporting period]]*100)</f>
        <v>0</v>
      </c>
      <c r="DZ395" s="428" t="str">
        <f>IF(OR(WWWW[[#This Row],['#_students at TLS_CFS]]="",WWWW[[#This Row],['#_students at TLS_CFS]]=0),"No","Yes")</f>
        <v>No</v>
      </c>
      <c r="EA39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5" s="886">
        <f>VLOOKUP(WWWW[[#This Row],[Site Name]],SiteDB6[[Site Name]:[CCCM Management]],6,FALSE)</f>
        <v>0</v>
      </c>
      <c r="EF395" s="886">
        <f>VLOOKUP(WWWW[[#This Row],[Site Name]],SiteDB6[[Site Name]:[CCCM Focal Agency]],7,FALSE)</f>
        <v>0</v>
      </c>
      <c r="EG395" s="886" t="str">
        <f>VLOOKUP(WWWW[[#This Row],[Site Name]],SiteDB6[[Site Name]:[Location Type 1]],9,FALSE)</f>
        <v>Camp</v>
      </c>
      <c r="EH395" s="886" t="str">
        <f>VLOOKUP(WWWW[[#This Row],[Site Name]],SiteDB6[[Site Name]:[Type of Accommodation]],10,FALSE)</f>
        <v>Closed Camp</v>
      </c>
      <c r="EI395" s="886" t="str">
        <f>VLOOKUP(WWWW[[#This Row],[Site Name]],SiteDB6[[Site Name]:[Ethnic or GCA/NGCA]],11,FALSE)</f>
        <v>GCA</v>
      </c>
      <c r="EJ395" s="886">
        <f>VLOOKUP(WWWW[[#This Row],[Site Name]],SiteDB6[[Site Name]:[Lat]],12,FALSE)</f>
        <v>23.353999999999999</v>
      </c>
      <c r="EK395" s="886">
        <f>VLOOKUP(WWWW[[#This Row],[Site Name]],SiteDB6[[Site Name]:[Long]],13,FALSE)</f>
        <v>98.221000000000004</v>
      </c>
      <c r="EL395" s="886" t="str">
        <f>VLOOKUP(WWWW[[#This Row],[Site Name]],SiteDB6[[Site Name]:[Pcode]],3,FALSE)</f>
        <v>MMR015CMP226</v>
      </c>
      <c r="EM395" s="891" t="str">
        <f t="shared" si="6"/>
        <v>Covered</v>
      </c>
      <c r="EN395" s="891"/>
      <c r="EO395" s="886">
        <f>VLOOKUP(WWWW[[#This Row],[Site Name]],SiteDB6[[Site Name]:[Pop
(Kachin/Shan-CCCM as of July 2021)]],16,FALSE)</f>
        <v>0</v>
      </c>
      <c r="EP395" s="886">
        <f>VLOOKUP(WWWW[[#This Row],[Site Name]],SiteDB6[[Site Name]:[Pop
(Kachin/Shan-CCCM as of July 2021)]],17,FALSE)</f>
        <v>0</v>
      </c>
    </row>
    <row r="396" spans="1:146" hidden="1">
      <c r="A396" s="884" t="s">
        <v>2764</v>
      </c>
      <c r="B396" s="884" t="s">
        <v>192</v>
      </c>
      <c r="C396" s="885" t="s">
        <v>192</v>
      </c>
      <c r="D396" s="885" t="s">
        <v>2673</v>
      </c>
      <c r="E396" s="885" t="s">
        <v>515</v>
      </c>
      <c r="F396" s="885" t="s">
        <v>519</v>
      </c>
      <c r="G396" s="591" t="str">
        <f>VLOOKUP(WWWW[[#This Row],[Site Name]],SiteDB6[[Site Name]:[Location Type]],8,FALSE)</f>
        <v>Camp</v>
      </c>
      <c r="H396" s="979" t="s">
        <v>538</v>
      </c>
      <c r="I396" s="887">
        <v>209</v>
      </c>
      <c r="J396" s="887">
        <v>1101</v>
      </c>
      <c r="K396" s="888" t="s">
        <v>2767</v>
      </c>
      <c r="L396" s="889" t="s">
        <v>2768</v>
      </c>
      <c r="M396" s="887"/>
      <c r="N396" s="887">
        <v>2</v>
      </c>
      <c r="O396" s="887"/>
      <c r="P396" s="887"/>
      <c r="Q396" s="890" t="s">
        <v>41</v>
      </c>
      <c r="R396" s="887">
        <v>5</v>
      </c>
      <c r="S396" s="887">
        <v>4</v>
      </c>
      <c r="T396" s="448">
        <v>2</v>
      </c>
      <c r="U396" s="887"/>
      <c r="V396" s="887"/>
      <c r="W396" s="887">
        <v>1</v>
      </c>
      <c r="X396" s="887"/>
      <c r="Y396" s="887"/>
      <c r="Z396" s="887"/>
      <c r="AA396" s="887">
        <v>48</v>
      </c>
      <c r="AB396" s="887"/>
      <c r="AC396" s="887"/>
      <c r="AD396" s="887"/>
      <c r="AE396" s="887"/>
      <c r="AF396" s="887"/>
      <c r="AG396" s="887"/>
      <c r="AH396" s="887">
        <v>1</v>
      </c>
      <c r="AI396" s="887"/>
      <c r="AJ396" s="887"/>
      <c r="AK396" s="887"/>
      <c r="AL396" s="887"/>
      <c r="AM396" s="887"/>
      <c r="AN396" s="887">
        <v>2</v>
      </c>
      <c r="AO396" s="448"/>
      <c r="AP396" s="891"/>
      <c r="AQ396" s="887">
        <v>200</v>
      </c>
      <c r="AR396" s="887">
        <v>5</v>
      </c>
      <c r="AS396" s="892"/>
      <c r="AT396" s="887"/>
      <c r="AU396" s="887"/>
      <c r="AV396" s="887"/>
      <c r="AW396" s="887"/>
      <c r="AX396" s="887">
        <v>18</v>
      </c>
      <c r="AY396" s="886" t="s">
        <v>136</v>
      </c>
      <c r="AZ396" s="891" t="s">
        <v>136</v>
      </c>
      <c r="BA396" s="887"/>
      <c r="BB396" s="887"/>
      <c r="BC396" s="887">
        <v>2</v>
      </c>
      <c r="BD396" s="448"/>
      <c r="BE396" s="448"/>
      <c r="BF396" s="886"/>
      <c r="BG396" s="448">
        <v>2</v>
      </c>
      <c r="BH396" s="887"/>
      <c r="BI396" s="887"/>
      <c r="BJ396" s="887">
        <v>5</v>
      </c>
      <c r="BK396" s="887"/>
      <c r="BL396" s="887"/>
      <c r="BM396" s="887">
        <v>1</v>
      </c>
      <c r="BN396" s="887"/>
      <c r="BO396" s="887"/>
      <c r="BP396" s="425" t="s">
        <v>41</v>
      </c>
      <c r="BQ396" s="893"/>
      <c r="BR396" s="423">
        <v>1</v>
      </c>
      <c r="BS396" s="886"/>
      <c r="BT396" s="423"/>
      <c r="BU396" s="423"/>
      <c r="BV396" s="425"/>
      <c r="BW396" s="423"/>
      <c r="BX396" s="448"/>
      <c r="BY396" s="448"/>
      <c r="BZ396" s="448"/>
      <c r="CA396" s="448"/>
      <c r="CB396" s="448"/>
      <c r="CC396" s="777"/>
      <c r="CD396" s="448"/>
      <c r="CE396" s="894" t="str">
        <f>IFERROR(WWWW[[#This Row],['#_Water sources passed]]/WWWW[[#This Row],['#_Water sources tested for fecal coliform ]],"no test")</f>
        <v>no test</v>
      </c>
      <c r="CF396" s="892" t="str">
        <f>IFERROR(WWWW[[#This Row],['#_Household passed]]/WWWW[[#This Row],['#_Household water samples tested for fecal coliform]],"no test")</f>
        <v>no test</v>
      </c>
      <c r="CG396" s="893" t="str">
        <f>IF(AND(WWWW[[#This Row],[% of water sources passed]]="no test",WWWW[[#This Row],[% Household passed]]="no test"),"No Test","Tested")</f>
        <v>No Test</v>
      </c>
      <c r="CH396" s="893">
        <f>WWWW[[#This Row],['#_Constructed/existing protected hand dug well]]-WWWW[[#This Row],['#_Non-functional protected hand dug well]]</f>
        <v>2</v>
      </c>
      <c r="CI396" s="893">
        <f>(WWWW[[#This Row],['#_Constructed/Existing tube wells/boreholes/handpumps_WASH_agency]]+WWWW[[#This Row],['#_Non-Cluster partner water tube-wells/boreholes/handpumps]])-WWWW[[#This Row],['#_Non-functional tube wells/boreholes/handpumps]]</f>
        <v>1</v>
      </c>
      <c r="CJ396" s="893">
        <f>WWWW[[#This Row],['#_Constructed/Existingwater storage tank with gravity fed reticulation system]]-WWWW[[#This Row],['#_Non-functional storage tank gravity fed reticulation system]]</f>
        <v>48</v>
      </c>
      <c r="CK396" s="893">
        <f>(WWWW[[#This Row],['#_Water_Liters_supplied_by_Water boating or water trucking]]/90)/15</f>
        <v>0</v>
      </c>
      <c r="CL396" s="893">
        <f>WWWW[[#This Row],['#_Water_Liters_from_Constructed/Existing water distribution system from river or natural spring]]/90/15</f>
        <v>0</v>
      </c>
      <c r="CM396" s="424">
        <f>IF(WWWW[[#This Row],['#_of water points in TLS/CFS]]*500&gt;WWWW[[#This Row],[Total PoP ]],WWWW[[#This Row],[Total PoP ]],WWWW[[#This Row],['#_of water points in TLS/CFS]]*500)</f>
        <v>1000</v>
      </c>
      <c r="CN396" s="424">
        <f>IF(WWWW[[#This Row],['#_of water points in THF]]*500&gt;WWWW[[#This Row],[Total PoP ]],WWWW[[#This Row],[Total PoP ]],WWWW[[#This Row],['#_of water points in THF]]*500)</f>
        <v>0</v>
      </c>
      <c r="CO396" s="89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6" s="89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96" s="892">
        <f>IF(WWWW[[#This Row],[Location Type 1]]="Village",WWWW[[#This Row],[Access to safe drinking water for Village]],WWWW[[#This Row],[Access to safe drinking water for Camp]])</f>
        <v>1</v>
      </c>
      <c r="CR396" s="890">
        <f>WWWW[[#This Row],[%Equitable and continuous access to sufficient quantity of safe drinking water]]*WWWW[[#This Row],[Total PoP ]]</f>
        <v>1101</v>
      </c>
      <c r="CS396" s="892">
        <f>IF((WWWW[[#This Row],['#_Constructed/Existing protected/fenced ponds]]*250)/WWWW[[#This Row],[Total PoP ]]&gt;1,1,(WWWW[[#This Row],['#_Constructed/Existing protected/fenced ponds]]*250)/WWWW[[#This Row],[Total PoP ]])</f>
        <v>0</v>
      </c>
      <c r="CT396" s="890">
        <f>WWWW[[#This Row],[% Access to unimproved water points]]*WWWW[[#This Row],[Total PoP ]]</f>
        <v>0</v>
      </c>
      <c r="CU396" s="89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6" s="89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W396" s="890">
        <f>WWWW[[#This Row],[HRP1]]/500</f>
        <v>2.202</v>
      </c>
      <c r="CX396" s="895">
        <f>1-WWWW[[#This Row],[% Equitable and continuous access to sufficient quantity of domestic water]]</f>
        <v>0</v>
      </c>
      <c r="CY396" s="890">
        <f>WWWW[[#This Row],[%equitable and continuous access to sufficient quantity of safe drinking and domestic water''s GAP]]*WWWW[[#This Row],[Total PoP ]]</f>
        <v>0</v>
      </c>
      <c r="CZ396" s="893">
        <f>IF(WWWW[[#This Row],[Total required water points]]-WWWW[[#This Row],['#Water points coverage]]&lt;0,0,WWWW[[#This Row],[Total required water points]]-WWWW[[#This Row],['#Water points coverage]])</f>
        <v>0</v>
      </c>
      <c r="DA396" s="893">
        <f>ROUND(IF(WWWW[[#This Row],[Total PoP ]]&lt;500,1,WWWW[[#This Row],[Total PoP ]]/500),0)</f>
        <v>2</v>
      </c>
      <c r="DB396" s="893">
        <f>(WWWW[[#This Row],['#_Constructed latrines_by_WASHAgencies]]+WWWW[[#This Row],['#_Non Cluster partner latrines]])-WWWW[[#This Row],['#_Non-functional latrines]]</f>
        <v>205</v>
      </c>
      <c r="DC396" s="631">
        <f>WWWW[[#This Row],[HRP2]]/WWWW[[#This Row],[Total PoP ]]</f>
        <v>0.93097184377838327</v>
      </c>
      <c r="DD396" s="89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1025</v>
      </c>
      <c r="DE396" s="89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6" s="89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6" s="424">
        <f>IF(WWWW[[#This Row],['# of functional latrines in THF supported by WASH partners during the reporting period2]]="",0,WWWW[[#This Row],['# of functional latrines in THF supported by WASH partners during the reporting period2]]*50)</f>
        <v>0</v>
      </c>
      <c r="DH396" s="893">
        <f>ROUND(IF(WWWW[[#This Row],[Location Type 1]]="camp",WWWW[[#This Row],[Total PoP ]]/20,IF(WWWW[[#This Row],[Location Type 1]]="Temporary Location",WWWW[[#This Row],[Total PoP ]]/50,(WWWW[[#This Row],[Total PoP ]]/6))),0)</f>
        <v>184</v>
      </c>
      <c r="DI396" s="893">
        <f>IF(WWWW[[#This Row],[Total required Latrines]]-(WWWW[[#This Row],['#_Constructed latrines_by_WASHAgencies]]+WWWW[[#This Row],['#_Non Cluster partner latrines]])&lt;0,0,WWWW[[#This Row],[Total required Latrines]]-(WWWW[[#This Row],['#_Constructed latrines_by_WASHAgencies]]+WWWW[[#This Row],['#_Non Cluster partner latrines]]))</f>
        <v>0</v>
      </c>
      <c r="DJ396" s="895">
        <f>1-WWWW[[#This Row],[% people access to functioning Latrine]]</f>
        <v>6.9028156221616732E-2</v>
      </c>
      <c r="DK396" s="894">
        <f>IF(OR(WWWW[[#This Row],['#_Non-functional latrines]]="",WWWW[[#This Row],['#_Non-functional latrines]]=0),0,WWWW[[#This Row],['#_Non-functional latrines]]/(WWWW[[#This Row],['#_Constructed latrines_by_WASHAgencies]]+WWWW[[#This Row],['#_Non Cluster partner latrines]]))</f>
        <v>0</v>
      </c>
      <c r="DL396" s="890">
        <f>IF(500*(WWWW[[#This Row],['#_male hygiene promoters]]+WWWW[[#This Row],['#_female hygiene promoters]])&gt;WWWW[[#This Row],[Total PoP ]],WWWW[[#This Row],[Total PoP ]],500*(WWWW[[#This Row],['#_male hygiene promoters]]+WWWW[[#This Row],['#_female hygiene promoters]]))</f>
        <v>500</v>
      </c>
      <c r="DM396" s="89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6" s="89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6" s="893">
        <f>IF(WWWW[[#This Row],['# People with access to soap]]&gt;WWWW[[#This Row],['# People with access to Sanity Pads]],WWWW[[#This Row],['# People with access to soap]],WWWW[[#This Row],['# People with access to Sanity Pads]])</f>
        <v>0</v>
      </c>
      <c r="DP396" s="89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396" s="895">
        <f>IF(WWWW[[#This Row],[HRP3]]/WWWW[[#This Row],[Total PoP ]]&gt;1,1,WWWW[[#This Row],[HRP3]]/WWWW[[#This Row],[Total PoP ]])</f>
        <v>0.45413260672116257</v>
      </c>
      <c r="DR396" s="894">
        <f>1-WWWW[[#This Row],[Hygiene Coverage%]]</f>
        <v>0.54586739327883738</v>
      </c>
      <c r="DS396" s="892">
        <f>WWWW[[#This Row],['# people reached by regular dedicated hygiene promotion_5]]/WWWW[[#This Row],[Total PoP ]]</f>
        <v>0.45413260672116257</v>
      </c>
      <c r="DT396" s="89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6" s="89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6" s="893">
        <f>WWWW[[#This Row],['#_Constructed/Existing hand washing stations]]-WWWW[[#This Row],['#_Non-Functional_hand_washing_stations]]</f>
        <v>2</v>
      </c>
      <c r="DW396" s="890">
        <f>IF(WWWW[[#This Row],['# Functional hand washing stations during reporting period]]*20&gt;WWWW[[#This Row],[Total HH]],WWWW[[#This Row],[Total HH]],WWWW[[#This Row],['# Functional hand washing stations during reporting period]]*20)</f>
        <v>40</v>
      </c>
      <c r="DX396" s="890">
        <f>IF(WWWW[[#This Row],[Is sufficient soap available for TLS? (Yes/No)]]="yes",WWWW[[#This Row],['#_Constructed/Existing hand washing stations at TLS/CFS/THF]],0)</f>
        <v>0</v>
      </c>
      <c r="DY396" s="428">
        <f>IF(WWWW[[#This Row],['# Functional hand washing stations during reporting period]]*100&gt;WWWW[[#This Row],[Total PoP ]],WWWW[[#This Row],[Total PoP ]],WWWW[[#This Row],['# Functional hand washing stations during reporting period]]*100)</f>
        <v>200</v>
      </c>
      <c r="DZ396" s="428" t="str">
        <f>IF(OR(WWWW[[#This Row],['#_students at TLS_CFS]]="",WWWW[[#This Row],['#_students at TLS_CFS]]=0),"No","Yes")</f>
        <v>No</v>
      </c>
      <c r="EA39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39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6" s="886" t="str">
        <f>VLOOKUP(WWWW[[#This Row],[Site Name]],SiteDB6[[Site Name]:[CCCM Management]],6,FALSE)</f>
        <v>Yes</v>
      </c>
      <c r="EF396" s="886" t="str">
        <f>VLOOKUP(WWWW[[#This Row],[Site Name]],SiteDB6[[Site Name]:[CCCM Focal Agency]],7,FALSE)</f>
        <v>KBC-NSS</v>
      </c>
      <c r="EG396" s="886" t="str">
        <f>VLOOKUP(WWWW[[#This Row],[Site Name]],SiteDB6[[Site Name]:[Location Type 1]],9,FALSE)</f>
        <v>Village Type Camp</v>
      </c>
      <c r="EH396" s="886" t="str">
        <f>VLOOKUP(WWWW[[#This Row],[Site Name]],SiteDB6[[Site Name]:[Type of Accommodation]],10,FALSE)</f>
        <v>Camp</v>
      </c>
      <c r="EI396" s="886" t="str">
        <f>VLOOKUP(WWWW[[#This Row],[Site Name]],SiteDB6[[Site Name]:[Ethnic or GCA/NGCA]],11,FALSE)</f>
        <v>GCA</v>
      </c>
      <c r="EJ396" s="886">
        <f>VLOOKUP(WWWW[[#This Row],[Site Name]],SiteDB6[[Site Name]:[Lat]],12,FALSE)</f>
        <v>23.38503</v>
      </c>
      <c r="EK396" s="886">
        <f>VLOOKUP(WWWW[[#This Row],[Site Name]],SiteDB6[[Site Name]:[Long]],13,FALSE)</f>
        <v>97.837040000000002</v>
      </c>
      <c r="EL396" s="886" t="str">
        <f>VLOOKUP(WWWW[[#This Row],[Site Name]],SiteDB6[[Site Name]:[Pcode]],3,FALSE)</f>
        <v>MMR015CMP020</v>
      </c>
      <c r="EM396" s="891" t="str">
        <f t="shared" si="6"/>
        <v>Covered</v>
      </c>
      <c r="EN396" s="891"/>
      <c r="EO396" s="886">
        <f>VLOOKUP(WWWW[[#This Row],[Site Name]],SiteDB6[[Site Name]:[Pop
(Kachin/Shan-CCCM as of July 2021)]],16,FALSE)</f>
        <v>209</v>
      </c>
      <c r="EP396" s="886">
        <f>VLOOKUP(WWWW[[#This Row],[Site Name]],SiteDB6[[Site Name]:[Pop
(Kachin/Shan-CCCM as of July 2021)]],17,FALSE)</f>
        <v>1084</v>
      </c>
    </row>
    <row r="397" spans="1:146">
      <c r="A397" s="988" t="s">
        <v>2765</v>
      </c>
      <c r="B397" s="988" t="s">
        <v>3073</v>
      </c>
      <c r="C397" s="989" t="s">
        <v>141</v>
      </c>
      <c r="D397" s="989" t="s">
        <v>3166</v>
      </c>
      <c r="E397" s="989" t="s">
        <v>37</v>
      </c>
      <c r="F397" s="989" t="s">
        <v>159</v>
      </c>
      <c r="G397" s="591" t="str">
        <f>VLOOKUP(WWWW[[#This Row],[Site Name]],SiteDB6[[Site Name]:[Location Type]],8,FALSE)</f>
        <v>Camp</v>
      </c>
      <c r="H397" s="989" t="s">
        <v>160</v>
      </c>
      <c r="I397" s="991">
        <v>43</v>
      </c>
      <c r="J397" s="991">
        <v>193</v>
      </c>
      <c r="K397" s="992">
        <v>44682</v>
      </c>
      <c r="L397" s="993">
        <v>45169</v>
      </c>
      <c r="M397" s="991"/>
      <c r="N397" s="991">
        <v>1</v>
      </c>
      <c r="O397" s="991"/>
      <c r="P397" s="991"/>
      <c r="Q397" s="994" t="s">
        <v>41</v>
      </c>
      <c r="R397" s="991">
        <v>2</v>
      </c>
      <c r="S397" s="991">
        <v>2</v>
      </c>
      <c r="T397" s="448">
        <v>3</v>
      </c>
      <c r="U397" s="991"/>
      <c r="V397" s="991"/>
      <c r="W397" s="991">
        <v>3</v>
      </c>
      <c r="X397" s="991"/>
      <c r="Y397" s="991"/>
      <c r="Z397" s="991"/>
      <c r="AA397" s="991"/>
      <c r="AB397" s="991"/>
      <c r="AC397" s="991"/>
      <c r="AD397" s="991"/>
      <c r="AE397" s="991">
        <v>3</v>
      </c>
      <c r="AF397" s="991"/>
      <c r="AG397" s="991"/>
      <c r="AH397" s="991">
        <v>3</v>
      </c>
      <c r="AI397" s="991"/>
      <c r="AJ397" s="991"/>
      <c r="AK397" s="991"/>
      <c r="AL397" s="991"/>
      <c r="AM397" s="991"/>
      <c r="AN397" s="991"/>
      <c r="AO397" s="448"/>
      <c r="AP397" s="995"/>
      <c r="AQ397" s="991">
        <v>6</v>
      </c>
      <c r="AR397" s="991"/>
      <c r="AS397" s="996"/>
      <c r="AT397" s="991"/>
      <c r="AU397" s="991"/>
      <c r="AV397" s="991"/>
      <c r="AW397" s="991"/>
      <c r="AX397" s="991">
        <v>6</v>
      </c>
      <c r="AY397" s="990" t="s">
        <v>41</v>
      </c>
      <c r="AZ397" s="995" t="s">
        <v>137</v>
      </c>
      <c r="BA397" s="991"/>
      <c r="BB397" s="991"/>
      <c r="BC397" s="991"/>
      <c r="BD397" s="448"/>
      <c r="BE397" s="448"/>
      <c r="BF397" s="990"/>
      <c r="BG397" s="991">
        <v>5</v>
      </c>
      <c r="BH397" s="991"/>
      <c r="BI397" s="991"/>
      <c r="BJ397" s="991">
        <v>3</v>
      </c>
      <c r="BK397" s="991"/>
      <c r="BL397" s="991">
        <v>1</v>
      </c>
      <c r="BM397" s="991"/>
      <c r="BN397" s="991"/>
      <c r="BO397" s="991"/>
      <c r="BP397" s="990"/>
      <c r="BQ397" s="997"/>
      <c r="BR397" s="996"/>
      <c r="BS397" s="990"/>
      <c r="BT397" s="423"/>
      <c r="BU397" s="423"/>
      <c r="BV397" s="425"/>
      <c r="BW397" s="423"/>
      <c r="BX397" s="448"/>
      <c r="BY397" s="448"/>
      <c r="BZ397" s="448"/>
      <c r="CA397" s="448"/>
      <c r="CB397" s="448"/>
      <c r="CC397" s="777"/>
      <c r="CD397" s="448"/>
      <c r="CE397" s="998" t="str">
        <f>IFERROR(WWWW[[#This Row],['#_Water sources passed]]/WWWW[[#This Row],['#_Water sources tested for fecal coliform ]],"no test")</f>
        <v>no test</v>
      </c>
      <c r="CF397" s="996" t="str">
        <f>IFERROR(WWWW[[#This Row],['#_Household passed]]/WWWW[[#This Row],['#_Household water samples tested for fecal coliform]],"no test")</f>
        <v>no test</v>
      </c>
      <c r="CG397" s="997" t="str">
        <f>IF(AND(WWWW[[#This Row],[% of water sources passed]]="no test",WWWW[[#This Row],[% Household passed]]="no test"),"No Test","Tested")</f>
        <v>No Test</v>
      </c>
      <c r="CH397" s="997">
        <f>WWWW[[#This Row],['#_Constructed/existing protected hand dug well]]-WWWW[[#This Row],['#_Non-functional protected hand dug well]]</f>
        <v>3</v>
      </c>
      <c r="CI397" s="997">
        <f>(WWWW[[#This Row],['#_Constructed/Existing tube wells/boreholes/handpumps_WASH_agency]]+WWWW[[#This Row],['#_Non-Cluster partner water tube-wells/boreholes/handpumps]])-WWWW[[#This Row],['#_Non-functional tube wells/boreholes/handpumps]]</f>
        <v>3</v>
      </c>
      <c r="CJ397" s="997">
        <f>WWWW[[#This Row],['#_Constructed/Existingwater storage tank with gravity fed reticulation system]]-WWWW[[#This Row],['#_Non-functional storage tank gravity fed reticulation system]]</f>
        <v>0</v>
      </c>
      <c r="CK397" s="997">
        <f>(WWWW[[#This Row],['#_Water_Liters_supplied_by_Water boating or water trucking]]/90)/15</f>
        <v>0</v>
      </c>
      <c r="CL397" s="997">
        <f>WWWW[[#This Row],['#_Water_Liters_from_Constructed/Existing water distribution system from river or natural spring]]/90/15</f>
        <v>0</v>
      </c>
      <c r="CM397" s="424">
        <f>IF(WWWW[[#This Row],['#_of water points in TLS/CFS]]*500&gt;WWWW[[#This Row],[Total PoP ]],WWWW[[#This Row],[Total PoP ]],WWWW[[#This Row],['#_of water points in TLS/CFS]]*500)</f>
        <v>0</v>
      </c>
      <c r="CN397" s="424">
        <f>IF(WWWW[[#This Row],['#_of water points in THF]]*500&gt;WWWW[[#This Row],[Total PoP ]],WWWW[[#This Row],[Total PoP ]],WWWW[[#This Row],['#_of water points in THF]]*500)</f>
        <v>0</v>
      </c>
      <c r="CO39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97" s="996">
        <f>IF(WWWW[[#This Row],[Location Type 1]]="Village",WWWW[[#This Row],[Access to safe drinking water for Village]],WWWW[[#This Row],[Access to safe drinking water for Camp]])</f>
        <v>1</v>
      </c>
      <c r="CR397" s="994">
        <f>WWWW[[#This Row],[%Equitable and continuous access to sufficient quantity of safe drinking water]]*WWWW[[#This Row],[Total PoP ]]</f>
        <v>193</v>
      </c>
      <c r="CS397" s="996">
        <f>IF((WWWW[[#This Row],['#_Constructed/Existing protected/fenced ponds]]*250)/WWWW[[#This Row],[Total PoP ]]&gt;1,1,(WWWW[[#This Row],['#_Constructed/Existing protected/fenced ponds]]*250)/WWWW[[#This Row],[Total PoP ]])</f>
        <v>1</v>
      </c>
      <c r="CT397" s="994">
        <f>WWWW[[#This Row],[% Access to unimproved water points]]*WWWW[[#This Row],[Total PoP ]]</f>
        <v>193</v>
      </c>
      <c r="CU39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v>
      </c>
      <c r="CW397" s="994">
        <f>WWWW[[#This Row],[HRP1]]/500</f>
        <v>0.38600000000000001</v>
      </c>
      <c r="CX397" s="999">
        <f>1-WWWW[[#This Row],[% Equitable and continuous access to sufficient quantity of domestic water]]</f>
        <v>0</v>
      </c>
      <c r="CY397" s="994">
        <f>WWWW[[#This Row],[%equitable and continuous access to sufficient quantity of safe drinking and domestic water''s GAP]]*WWWW[[#This Row],[Total PoP ]]</f>
        <v>0</v>
      </c>
      <c r="CZ397" s="997">
        <f>IF(WWWW[[#This Row],[Total required water points]]-WWWW[[#This Row],['#Water points coverage]]&lt;0,0,WWWW[[#This Row],[Total required water points]]-WWWW[[#This Row],['#Water points coverage]])</f>
        <v>0.61399999999999999</v>
      </c>
      <c r="DA397" s="997">
        <f>ROUND(IF(WWWW[[#This Row],[Total PoP ]]&lt;500,1,WWWW[[#This Row],[Total PoP ]]/500),0)</f>
        <v>1</v>
      </c>
      <c r="DB397" s="997">
        <f>(WWWW[[#This Row],['#_Constructed latrines_by_WASHAgencies]]+WWWW[[#This Row],['#_Non Cluster partner latrines]])-WWWW[[#This Row],['#_Non-functional latrines]]</f>
        <v>6</v>
      </c>
      <c r="DC397" s="631">
        <f>WWWW[[#This Row],[HRP2]]/WWWW[[#This Row],[Total PoP ]]</f>
        <v>0.62176165803108807</v>
      </c>
      <c r="DD39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39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7" s="424">
        <f>IF(WWWW[[#This Row],['# of functional latrines in THF supported by WASH partners during the reporting period2]]="",0,WWWW[[#This Row],['# of functional latrines in THF supported by WASH partners during the reporting period2]]*50)</f>
        <v>0</v>
      </c>
      <c r="DH397" s="997">
        <f>ROUND(IF(WWWW[[#This Row],[Location Type 1]]="camp",WWWW[[#This Row],[Total PoP ]]/20,IF(WWWW[[#This Row],[Location Type 1]]="Temporary Location",WWWW[[#This Row],[Total PoP ]]/50,(WWWW[[#This Row],[Total PoP ]]/6))),0)</f>
        <v>10</v>
      </c>
      <c r="DI397" s="997">
        <f>IF(WWWW[[#This Row],[Total required Latrines]]-(WWWW[[#This Row],['#_Constructed latrines_by_WASHAgencies]]+WWWW[[#This Row],['#_Non Cluster partner latrines]])&lt;0,0,WWWW[[#This Row],[Total required Latrines]]-(WWWW[[#This Row],['#_Constructed latrines_by_WASHAgencies]]+WWWW[[#This Row],['#_Non Cluster partner latrines]]))</f>
        <v>4</v>
      </c>
      <c r="DJ397" s="999">
        <f>1-WWWW[[#This Row],[% people access to functioning Latrine]]</f>
        <v>0.37823834196891193</v>
      </c>
      <c r="DK397" s="998">
        <f>IF(OR(WWWW[[#This Row],['#_Non-functional latrines]]="",WWWW[[#This Row],['#_Non-functional latrines]]=0),0,WWWW[[#This Row],['#_Non-functional latrines]]/(WWWW[[#This Row],['#_Constructed latrines_by_WASHAgencies]]+WWWW[[#This Row],['#_Non Cluster partner latrines]]))</f>
        <v>0</v>
      </c>
      <c r="DL397" s="994">
        <f>IF(500*(WWWW[[#This Row],['#_male hygiene promoters]]+WWWW[[#This Row],['#_female hygiene promoters]])&gt;WWWW[[#This Row],[Total PoP ]],WWWW[[#This Row],[Total PoP ]],500*(WWWW[[#This Row],['#_male hygiene promoters]]+WWWW[[#This Row],['#_female hygiene promoters]]))</f>
        <v>193</v>
      </c>
      <c r="DM39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7" s="997">
        <f>IF(WWWW[[#This Row],['# People with access to soap]]&gt;WWWW[[#This Row],['# People with access to Sanity Pads]],WWWW[[#This Row],['# People with access to soap]],WWWW[[#This Row],['# People with access to Sanity Pads]])</f>
        <v>0</v>
      </c>
      <c r="DP397" s="997">
        <f>IF(WWWW[[#This Row],['# people reached by regular dedicated hygiene promotion_5]]&gt;WWWW[[#This Row],['# People received regular supply of hygiene items_6]],WWWW[[#This Row],['# people reached by regular dedicated hygiene promotion_5]],WWWW[[#This Row],['# People received regular supply of hygiene items_6]])</f>
        <v>193</v>
      </c>
      <c r="DQ397" s="999">
        <f>IF(WWWW[[#This Row],[HRP3]]/WWWW[[#This Row],[Total PoP ]]&gt;1,1,WWWW[[#This Row],[HRP3]]/WWWW[[#This Row],[Total PoP ]])</f>
        <v>1</v>
      </c>
      <c r="DR397" s="998">
        <f>1-WWWW[[#This Row],[Hygiene Coverage%]]</f>
        <v>0</v>
      </c>
      <c r="DS397" s="996">
        <f>WWWW[[#This Row],['# people reached by regular dedicated hygiene promotion_5]]/WWWW[[#This Row],[Total PoP ]]</f>
        <v>1</v>
      </c>
      <c r="DT39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7" s="997">
        <f>WWWW[[#This Row],['#_Constructed/Existing hand washing stations]]-WWWW[[#This Row],['#_Non-Functional_hand_washing_stations]]</f>
        <v>5</v>
      </c>
      <c r="DW397" s="994">
        <f>IF(WWWW[[#This Row],['# Functional hand washing stations during reporting period]]*20&gt;WWWW[[#This Row],[Total HH]],WWWW[[#This Row],[Total HH]],WWWW[[#This Row],['# Functional hand washing stations during reporting period]]*20)</f>
        <v>43</v>
      </c>
      <c r="DX397" s="994">
        <f>IF(WWWW[[#This Row],[Is sufficient soap available for TLS? (Yes/No)]]="yes",WWWW[[#This Row],['#_Constructed/Existing hand washing stations at TLS/CFS/THF]],0)</f>
        <v>0</v>
      </c>
      <c r="DY397" s="428">
        <f>IF(WWWW[[#This Row],['# Functional hand washing stations during reporting period]]*100&gt;WWWW[[#This Row],[Total PoP ]],WWWW[[#This Row],[Total PoP ]],WWWW[[#This Row],['# Functional hand washing stations during reporting period]]*100)</f>
        <v>193</v>
      </c>
      <c r="DZ397" s="428" t="str">
        <f>IF(OR(WWWW[[#This Row],['#_students at TLS_CFS]]="",WWWW[[#This Row],['#_students at TLS_CFS]]=0),"No","Yes")</f>
        <v>No</v>
      </c>
      <c r="EA39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7" s="990" t="str">
        <f>VLOOKUP(WWWW[[#This Row],[Site Name]],SiteDB6[[Site Name]:[CCCM Management]],6,FALSE)</f>
        <v>Yes</v>
      </c>
      <c r="EF397" s="990" t="str">
        <f>VLOOKUP(WWWW[[#This Row],[Site Name]],SiteDB6[[Site Name]:[CCCM Focal Agency]],7,FALSE)</f>
        <v>KBC-MYT</v>
      </c>
      <c r="EG397" s="990" t="str">
        <f>VLOOKUP(WWWW[[#This Row],[Site Name]],SiteDB6[[Site Name]:[Location Type 1]],9,FALSE)</f>
        <v>Camp</v>
      </c>
      <c r="EH397" s="990" t="str">
        <f>VLOOKUP(WWWW[[#This Row],[Site Name]],SiteDB6[[Site Name]:[Type of Accommodation]],10,FALSE)</f>
        <v>Camp</v>
      </c>
      <c r="EI397" s="990" t="str">
        <f>VLOOKUP(WWWW[[#This Row],[Site Name]],SiteDB6[[Site Name]:[Ethnic or GCA/NGCA]],11,FALSE)</f>
        <v>GCA</v>
      </c>
      <c r="EJ397" s="990">
        <f>VLOOKUP(WWWW[[#This Row],[Site Name]],SiteDB6[[Site Name]:[Lat]],12,FALSE)</f>
        <v>25.3959740909091</v>
      </c>
      <c r="EK397" s="990">
        <f>VLOOKUP(WWWW[[#This Row],[Site Name]],SiteDB6[[Site Name]:[Long]],13,FALSE)</f>
        <v>97.382997575757599</v>
      </c>
      <c r="EL397" s="990" t="str">
        <f>VLOOKUP(WWWW[[#This Row],[Site Name]],SiteDB6[[Site Name]:[Pcode]],3,FALSE)</f>
        <v>MMR001CMP010</v>
      </c>
      <c r="EM397" s="995" t="str">
        <f t="shared" ref="EM397:EM428" si="7">IF(C397="none","Notcovered","Covered")</f>
        <v>Covered</v>
      </c>
      <c r="EN397" s="995"/>
      <c r="EO397" s="990">
        <f>VLOOKUP(WWWW[[#This Row],[Site Name]],SiteDB6[[Site Name]:[Pop
(Kachin/Shan-CCCM as of July 2021)]],16,FALSE)</f>
        <v>44</v>
      </c>
      <c r="EP397" s="990">
        <f>VLOOKUP(WWWW[[#This Row],[Site Name]],SiteDB6[[Site Name]:[Pop
(Kachin/Shan-CCCM as of July 2021)]],17,FALSE)</f>
        <v>196</v>
      </c>
    </row>
    <row r="398" spans="1:146">
      <c r="A398" s="988" t="s">
        <v>2765</v>
      </c>
      <c r="B398" s="988" t="s">
        <v>3073</v>
      </c>
      <c r="C398" s="989" t="s">
        <v>141</v>
      </c>
      <c r="D398" s="989" t="s">
        <v>3166</v>
      </c>
      <c r="E398" s="989" t="s">
        <v>37</v>
      </c>
      <c r="F398" s="989" t="s">
        <v>159</v>
      </c>
      <c r="G398" s="591" t="str">
        <f>VLOOKUP(WWWW[[#This Row],[Site Name]],SiteDB6[[Site Name]:[Location Type]],8,FALSE)</f>
        <v>Camp</v>
      </c>
      <c r="H398" s="989" t="s">
        <v>161</v>
      </c>
      <c r="I398" s="991">
        <v>201</v>
      </c>
      <c r="J398" s="991">
        <v>1184</v>
      </c>
      <c r="K398" s="992">
        <v>44682</v>
      </c>
      <c r="L398" s="993">
        <v>45169</v>
      </c>
      <c r="M398" s="991"/>
      <c r="N398" s="991">
        <v>3</v>
      </c>
      <c r="O398" s="991"/>
      <c r="P398" s="991"/>
      <c r="Q398" s="994" t="s">
        <v>41</v>
      </c>
      <c r="R398" s="991">
        <v>1</v>
      </c>
      <c r="S398" s="991">
        <v>4</v>
      </c>
      <c r="T398" s="448">
        <v>7</v>
      </c>
      <c r="U398" s="991"/>
      <c r="V398" s="991"/>
      <c r="W398" s="991">
        <v>4</v>
      </c>
      <c r="X398" s="991"/>
      <c r="Y398" s="991"/>
      <c r="Z398" s="991"/>
      <c r="AA398" s="991"/>
      <c r="AB398" s="991"/>
      <c r="AC398" s="991"/>
      <c r="AD398" s="991"/>
      <c r="AE398" s="991"/>
      <c r="AF398" s="991"/>
      <c r="AG398" s="991"/>
      <c r="AH398" s="991">
        <v>5</v>
      </c>
      <c r="AI398" s="991"/>
      <c r="AJ398" s="991"/>
      <c r="AK398" s="991"/>
      <c r="AL398" s="991"/>
      <c r="AM398" s="991"/>
      <c r="AN398" s="991"/>
      <c r="AO398" s="448"/>
      <c r="AP398" s="995"/>
      <c r="AQ398" s="991">
        <v>45</v>
      </c>
      <c r="AR398" s="991"/>
      <c r="AS398" s="996"/>
      <c r="AT398" s="991"/>
      <c r="AU398" s="991"/>
      <c r="AV398" s="991"/>
      <c r="AW398" s="991"/>
      <c r="AX398" s="991">
        <v>45</v>
      </c>
      <c r="AY398" s="990" t="s">
        <v>41</v>
      </c>
      <c r="AZ398" s="995" t="s">
        <v>137</v>
      </c>
      <c r="BA398" s="991"/>
      <c r="BB398" s="991"/>
      <c r="BC398" s="991"/>
      <c r="BD398" s="448"/>
      <c r="BE398" s="448"/>
      <c r="BF398" s="990"/>
      <c r="BG398" s="991">
        <v>7</v>
      </c>
      <c r="BH398" s="991"/>
      <c r="BI398" s="991"/>
      <c r="BJ398" s="991">
        <v>7</v>
      </c>
      <c r="BK398" s="991"/>
      <c r="BL398" s="991">
        <v>1</v>
      </c>
      <c r="BM398" s="991"/>
      <c r="BN398" s="991"/>
      <c r="BO398" s="991"/>
      <c r="BP398" s="990"/>
      <c r="BQ398" s="997"/>
      <c r="BR398" s="996"/>
      <c r="BS398" s="990"/>
      <c r="BT398" s="423"/>
      <c r="BU398" s="423"/>
      <c r="BV398" s="425"/>
      <c r="BW398" s="423"/>
      <c r="BX398" s="448"/>
      <c r="BY398" s="448"/>
      <c r="BZ398" s="448"/>
      <c r="CA398" s="448"/>
      <c r="CB398" s="448"/>
      <c r="CC398" s="777"/>
      <c r="CD398" s="448"/>
      <c r="CE398" s="998" t="str">
        <f>IFERROR(WWWW[[#This Row],['#_Water sources passed]]/WWWW[[#This Row],['#_Water sources tested for fecal coliform ]],"no test")</f>
        <v>no test</v>
      </c>
      <c r="CF398" s="996" t="str">
        <f>IFERROR(WWWW[[#This Row],['#_Household passed]]/WWWW[[#This Row],['#_Household water samples tested for fecal coliform]],"no test")</f>
        <v>no test</v>
      </c>
      <c r="CG398" s="997" t="str">
        <f>IF(AND(WWWW[[#This Row],[% of water sources passed]]="no test",WWWW[[#This Row],[% Household passed]]="no test"),"No Test","Tested")</f>
        <v>No Test</v>
      </c>
      <c r="CH398" s="997">
        <f>WWWW[[#This Row],['#_Constructed/existing protected hand dug well]]-WWWW[[#This Row],['#_Non-functional protected hand dug well]]</f>
        <v>7</v>
      </c>
      <c r="CI398" s="997">
        <f>(WWWW[[#This Row],['#_Constructed/Existing tube wells/boreholes/handpumps_WASH_agency]]+WWWW[[#This Row],['#_Non-Cluster partner water tube-wells/boreholes/handpumps]])-WWWW[[#This Row],['#_Non-functional tube wells/boreholes/handpumps]]</f>
        <v>4</v>
      </c>
      <c r="CJ398" s="997">
        <f>WWWW[[#This Row],['#_Constructed/Existingwater storage tank with gravity fed reticulation system]]-WWWW[[#This Row],['#_Non-functional storage tank gravity fed reticulation system]]</f>
        <v>0</v>
      </c>
      <c r="CK398" s="997">
        <f>(WWWW[[#This Row],['#_Water_Liters_supplied_by_Water boating or water trucking]]/90)/15</f>
        <v>0</v>
      </c>
      <c r="CL398" s="997">
        <f>WWWW[[#This Row],['#_Water_Liters_from_Constructed/Existing water distribution system from river or natural spring]]/90/15</f>
        <v>0</v>
      </c>
      <c r="CM398" s="424">
        <f>IF(WWWW[[#This Row],['#_of water points in TLS/CFS]]*500&gt;WWWW[[#This Row],[Total PoP ]],WWWW[[#This Row],[Total PoP ]],WWWW[[#This Row],['#_of water points in TLS/CFS]]*500)</f>
        <v>0</v>
      </c>
      <c r="CN398" s="424">
        <f>IF(WWWW[[#This Row],['#_of water points in THF]]*500&gt;WWWW[[#This Row],[Total PoP ]],WWWW[[#This Row],[Total PoP ]],WWWW[[#This Row],['#_of water points in THF]]*500)</f>
        <v>0</v>
      </c>
      <c r="CO39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98" s="996">
        <f>IF(WWWW[[#This Row],[Location Type 1]]="Village",WWWW[[#This Row],[Access to safe drinking water for Village]],WWWW[[#This Row],[Access to safe drinking water for Camp]])</f>
        <v>1</v>
      </c>
      <c r="CR398" s="994">
        <f>WWWW[[#This Row],[%Equitable and continuous access to sufficient quantity of safe drinking water]]*WWWW[[#This Row],[Total PoP ]]</f>
        <v>1184</v>
      </c>
      <c r="CS398" s="996">
        <f>IF((WWWW[[#This Row],['#_Constructed/Existing protected/fenced ponds]]*250)/WWWW[[#This Row],[Total PoP ]]&gt;1,1,(WWWW[[#This Row],['#_Constructed/Existing protected/fenced ponds]]*250)/WWWW[[#This Row],[Total PoP ]])</f>
        <v>0</v>
      </c>
      <c r="CT398" s="994">
        <f>WWWW[[#This Row],[% Access to unimproved water points]]*WWWW[[#This Row],[Total PoP ]]</f>
        <v>0</v>
      </c>
      <c r="CU39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1184</v>
      </c>
      <c r="CW398" s="994">
        <f>WWWW[[#This Row],[HRP1]]/500</f>
        <v>2.3679999999999999</v>
      </c>
      <c r="CX398" s="999">
        <f>1-WWWW[[#This Row],[% Equitable and continuous access to sufficient quantity of domestic water]]</f>
        <v>0</v>
      </c>
      <c r="CY398" s="994">
        <f>WWWW[[#This Row],[%equitable and continuous access to sufficient quantity of safe drinking and domestic water''s GAP]]*WWWW[[#This Row],[Total PoP ]]</f>
        <v>0</v>
      </c>
      <c r="CZ398" s="997">
        <f>IF(WWWW[[#This Row],[Total required water points]]-WWWW[[#This Row],['#Water points coverage]]&lt;0,0,WWWW[[#This Row],[Total required water points]]-WWWW[[#This Row],['#Water points coverage]])</f>
        <v>0</v>
      </c>
      <c r="DA398" s="997">
        <f>ROUND(IF(WWWW[[#This Row],[Total PoP ]]&lt;500,1,WWWW[[#This Row],[Total PoP ]]/500),0)</f>
        <v>2</v>
      </c>
      <c r="DB398" s="997">
        <f>(WWWW[[#This Row],['#_Constructed latrines_by_WASHAgencies]]+WWWW[[#This Row],['#_Non Cluster partner latrines]])-WWWW[[#This Row],['#_Non-functional latrines]]</f>
        <v>45</v>
      </c>
      <c r="DC398" s="631">
        <f>WWWW[[#This Row],[HRP2]]/WWWW[[#This Row],[Total PoP ]]</f>
        <v>0.76013513513513509</v>
      </c>
      <c r="DD39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900</v>
      </c>
      <c r="DE39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8" s="424">
        <f>IF(WWWW[[#This Row],['# of functional latrines in THF supported by WASH partners during the reporting period2]]="",0,WWWW[[#This Row],['# of functional latrines in THF supported by WASH partners during the reporting period2]]*50)</f>
        <v>0</v>
      </c>
      <c r="DH398" s="997">
        <f>ROUND(IF(WWWW[[#This Row],[Location Type 1]]="camp",WWWW[[#This Row],[Total PoP ]]/20,IF(WWWW[[#This Row],[Location Type 1]]="Temporary Location",WWWW[[#This Row],[Total PoP ]]/50,(WWWW[[#This Row],[Total PoP ]]/6))),0)</f>
        <v>59</v>
      </c>
      <c r="DI398" s="997">
        <f>IF(WWWW[[#This Row],[Total required Latrines]]-(WWWW[[#This Row],['#_Constructed latrines_by_WASHAgencies]]+WWWW[[#This Row],['#_Non Cluster partner latrines]])&lt;0,0,WWWW[[#This Row],[Total required Latrines]]-(WWWW[[#This Row],['#_Constructed latrines_by_WASHAgencies]]+WWWW[[#This Row],['#_Non Cluster partner latrines]]))</f>
        <v>14</v>
      </c>
      <c r="DJ398" s="999">
        <f>1-WWWW[[#This Row],[% people access to functioning Latrine]]</f>
        <v>0.23986486486486491</v>
      </c>
      <c r="DK398" s="998">
        <f>IF(OR(WWWW[[#This Row],['#_Non-functional latrines]]="",WWWW[[#This Row],['#_Non-functional latrines]]=0),0,WWWW[[#This Row],['#_Non-functional latrines]]/(WWWW[[#This Row],['#_Constructed latrines_by_WASHAgencies]]+WWWW[[#This Row],['#_Non Cluster partner latrines]]))</f>
        <v>0</v>
      </c>
      <c r="DL398" s="994">
        <f>IF(500*(WWWW[[#This Row],['#_male hygiene promoters]]+WWWW[[#This Row],['#_female hygiene promoters]])&gt;WWWW[[#This Row],[Total PoP ]],WWWW[[#This Row],[Total PoP ]],500*(WWWW[[#This Row],['#_male hygiene promoters]]+WWWW[[#This Row],['#_female hygiene promoters]]))</f>
        <v>500</v>
      </c>
      <c r="DM39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8" s="997">
        <f>IF(WWWW[[#This Row],['# People with access to soap]]&gt;WWWW[[#This Row],['# People with access to Sanity Pads]],WWWW[[#This Row],['# People with access to soap]],WWWW[[#This Row],['# People with access to Sanity Pads]])</f>
        <v>0</v>
      </c>
      <c r="DP398" s="99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398" s="999">
        <f>IF(WWWW[[#This Row],[HRP3]]/WWWW[[#This Row],[Total PoP ]]&gt;1,1,WWWW[[#This Row],[HRP3]]/WWWW[[#This Row],[Total PoP ]])</f>
        <v>0.42229729729729731</v>
      </c>
      <c r="DR398" s="998">
        <f>1-WWWW[[#This Row],[Hygiene Coverage%]]</f>
        <v>0.57770270270270263</v>
      </c>
      <c r="DS398" s="996">
        <f>WWWW[[#This Row],['# people reached by regular dedicated hygiene promotion_5]]/WWWW[[#This Row],[Total PoP ]]</f>
        <v>0.42229729729729731</v>
      </c>
      <c r="DT39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8" s="997">
        <f>WWWW[[#This Row],['#_Constructed/Existing hand washing stations]]-WWWW[[#This Row],['#_Non-Functional_hand_washing_stations]]</f>
        <v>7</v>
      </c>
      <c r="DW398" s="994">
        <f>IF(WWWW[[#This Row],['# Functional hand washing stations during reporting period]]*20&gt;WWWW[[#This Row],[Total HH]],WWWW[[#This Row],[Total HH]],WWWW[[#This Row],['# Functional hand washing stations during reporting period]]*20)</f>
        <v>140</v>
      </c>
      <c r="DX398" s="994">
        <f>IF(WWWW[[#This Row],[Is sufficient soap available for TLS? (Yes/No)]]="yes",WWWW[[#This Row],['#_Constructed/Existing hand washing stations at TLS/CFS/THF]],0)</f>
        <v>0</v>
      </c>
      <c r="DY398" s="428">
        <f>IF(WWWW[[#This Row],['# Functional hand washing stations during reporting period]]*100&gt;WWWW[[#This Row],[Total PoP ]],WWWW[[#This Row],[Total PoP ]],WWWW[[#This Row],['# Functional hand washing stations during reporting period]]*100)</f>
        <v>700</v>
      </c>
      <c r="DZ398" s="428" t="str">
        <f>IF(OR(WWWW[[#This Row],['#_students at TLS_CFS]]="",WWWW[[#This Row],['#_students at TLS_CFS]]=0),"No","Yes")</f>
        <v>No</v>
      </c>
      <c r="EA39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8" s="990" t="str">
        <f>VLOOKUP(WWWW[[#This Row],[Site Name]],SiteDB6[[Site Name]:[CCCM Management]],6,FALSE)</f>
        <v>Yes</v>
      </c>
      <c r="EF398" s="990" t="str">
        <f>VLOOKUP(WWWW[[#This Row],[Site Name]],SiteDB6[[Site Name]:[CCCM Focal Agency]],7,FALSE)</f>
        <v>KBC-MYT</v>
      </c>
      <c r="EG398" s="990" t="str">
        <f>VLOOKUP(WWWW[[#This Row],[Site Name]],SiteDB6[[Site Name]:[Location Type 1]],9,FALSE)</f>
        <v>Camp</v>
      </c>
      <c r="EH398" s="990" t="str">
        <f>VLOOKUP(WWWW[[#This Row],[Site Name]],SiteDB6[[Site Name]:[Type of Accommodation]],10,FALSE)</f>
        <v>Camp</v>
      </c>
      <c r="EI398" s="990" t="str">
        <f>VLOOKUP(WWWW[[#This Row],[Site Name]],SiteDB6[[Site Name]:[Ethnic or GCA/NGCA]],11,FALSE)</f>
        <v>GCA</v>
      </c>
      <c r="EJ398" s="990">
        <f>VLOOKUP(WWWW[[#This Row],[Site Name]],SiteDB6[[Site Name]:[Lat]],12,FALSE)</f>
        <v>25.397850999999999</v>
      </c>
      <c r="EK398" s="990">
        <f>VLOOKUP(WWWW[[#This Row],[Site Name]],SiteDB6[[Site Name]:[Long]],13,FALSE)</f>
        <v>97.370900000000006</v>
      </c>
      <c r="EL398" s="990" t="str">
        <f>VLOOKUP(WWWW[[#This Row],[Site Name]],SiteDB6[[Site Name]:[Pcode]],3,FALSE)</f>
        <v>MMR001CMP018</v>
      </c>
      <c r="EM398" s="995" t="str">
        <f t="shared" si="7"/>
        <v>Covered</v>
      </c>
      <c r="EN398" s="995"/>
      <c r="EO398" s="990">
        <f>VLOOKUP(WWWW[[#This Row],[Site Name]],SiteDB6[[Site Name]:[Pop
(Kachin/Shan-CCCM as of July 2021)]],16,FALSE)</f>
        <v>201</v>
      </c>
      <c r="EP398" s="990">
        <f>VLOOKUP(WWWW[[#This Row],[Site Name]],SiteDB6[[Site Name]:[Pop
(Kachin/Shan-CCCM as of July 2021)]],17,FALSE)</f>
        <v>1187</v>
      </c>
    </row>
    <row r="399" spans="1:146">
      <c r="A399" s="988" t="s">
        <v>2765</v>
      </c>
      <c r="B399" s="988" t="s">
        <v>36</v>
      </c>
      <c r="C399" s="989" t="s">
        <v>36</v>
      </c>
      <c r="D399" s="989" t="s">
        <v>241</v>
      </c>
      <c r="E399" s="989" t="s">
        <v>37</v>
      </c>
      <c r="F399" s="989" t="s">
        <v>159</v>
      </c>
      <c r="G399" s="591" t="str">
        <f>VLOOKUP(WWWW[[#This Row],[Site Name]],SiteDB6[[Site Name]:[Location Type]],8,FALSE)</f>
        <v>Camp</v>
      </c>
      <c r="H399" s="989" t="s">
        <v>233</v>
      </c>
      <c r="I399" s="991">
        <v>62</v>
      </c>
      <c r="J399" s="991">
        <v>335</v>
      </c>
      <c r="K399" s="992">
        <v>44414</v>
      </c>
      <c r="L399" s="993">
        <v>44778</v>
      </c>
      <c r="M399" s="991"/>
      <c r="N399" s="991">
        <v>3</v>
      </c>
      <c r="O399" s="991"/>
      <c r="P399" s="991"/>
      <c r="Q399" s="994" t="s">
        <v>41</v>
      </c>
      <c r="R399" s="991">
        <v>2</v>
      </c>
      <c r="S399" s="991">
        <v>8</v>
      </c>
      <c r="T399" s="448">
        <v>1</v>
      </c>
      <c r="U399" s="991"/>
      <c r="V399" s="991"/>
      <c r="W399" s="991"/>
      <c r="X399" s="991"/>
      <c r="Y399" s="991"/>
      <c r="Z399" s="991"/>
      <c r="AA399" s="991"/>
      <c r="AB399" s="991"/>
      <c r="AC399" s="991"/>
      <c r="AD399" s="991"/>
      <c r="AE399" s="991"/>
      <c r="AF399" s="991"/>
      <c r="AG399" s="991"/>
      <c r="AH399" s="991"/>
      <c r="AI399" s="991"/>
      <c r="AJ399" s="991"/>
      <c r="AK399" s="991"/>
      <c r="AL399" s="991"/>
      <c r="AM399" s="991">
        <v>5</v>
      </c>
      <c r="AN399" s="991"/>
      <c r="AO399" s="448"/>
      <c r="AP399" s="995"/>
      <c r="AQ399" s="991">
        <v>22</v>
      </c>
      <c r="AR399" s="991"/>
      <c r="AS399" s="996"/>
      <c r="AT399" s="991"/>
      <c r="AU399" s="991"/>
      <c r="AV399" s="991"/>
      <c r="AW399" s="991"/>
      <c r="AX399" s="991"/>
      <c r="AY399" s="990" t="s">
        <v>41</v>
      </c>
      <c r="AZ399" s="995" t="s">
        <v>137</v>
      </c>
      <c r="BA399" s="991">
        <v>1</v>
      </c>
      <c r="BB399" s="991"/>
      <c r="BC399" s="991"/>
      <c r="BD399" s="448"/>
      <c r="BE399" s="448"/>
      <c r="BF399" s="990"/>
      <c r="BG399" s="991">
        <v>7</v>
      </c>
      <c r="BH399" s="991"/>
      <c r="BI399" s="991"/>
      <c r="BJ399" s="991">
        <v>3</v>
      </c>
      <c r="BK399" s="991"/>
      <c r="BL399" s="991"/>
      <c r="BM399" s="991">
        <v>2</v>
      </c>
      <c r="BN399" s="991"/>
      <c r="BO399" s="991"/>
      <c r="BP399" s="990" t="s">
        <v>41</v>
      </c>
      <c r="BQ399" s="997"/>
      <c r="BR399" s="996"/>
      <c r="BS399" s="990"/>
      <c r="BT399" s="423"/>
      <c r="BU399" s="423"/>
      <c r="BV399" s="425"/>
      <c r="BW399" s="423"/>
      <c r="BX399" s="448"/>
      <c r="BY399" s="448"/>
      <c r="BZ399" s="448"/>
      <c r="CA399" s="448"/>
      <c r="CB399" s="448"/>
      <c r="CC399" s="777"/>
      <c r="CD399" s="448"/>
      <c r="CE399" s="998" t="str">
        <f>IFERROR(WWWW[[#This Row],['#_Water sources passed]]/WWWW[[#This Row],['#_Water sources tested for fecal coliform ]],"no test")</f>
        <v>no test</v>
      </c>
      <c r="CF399" s="996" t="str">
        <f>IFERROR(WWWW[[#This Row],['#_Household passed]]/WWWW[[#This Row],['#_Household water samples tested for fecal coliform]],"no test")</f>
        <v>no test</v>
      </c>
      <c r="CG399" s="997" t="str">
        <f>IF(AND(WWWW[[#This Row],[% of water sources passed]]="no test",WWWW[[#This Row],[% Household passed]]="no test"),"No Test","Tested")</f>
        <v>No Test</v>
      </c>
      <c r="CH399" s="997">
        <f>WWWW[[#This Row],['#_Constructed/existing protected hand dug well]]-WWWW[[#This Row],['#_Non-functional protected hand dug well]]</f>
        <v>1</v>
      </c>
      <c r="CI399" s="997">
        <f>(WWWW[[#This Row],['#_Constructed/Existing tube wells/boreholes/handpumps_WASH_agency]]+WWWW[[#This Row],['#_Non-Cluster partner water tube-wells/boreholes/handpumps]])-WWWW[[#This Row],['#_Non-functional tube wells/boreholes/handpumps]]</f>
        <v>0</v>
      </c>
      <c r="CJ399" s="997">
        <f>WWWW[[#This Row],['#_Constructed/Existingwater storage tank with gravity fed reticulation system]]-WWWW[[#This Row],['#_Non-functional storage tank gravity fed reticulation system]]</f>
        <v>0</v>
      </c>
      <c r="CK399" s="997">
        <f>(WWWW[[#This Row],['#_Water_Liters_supplied_by_Water boating or water trucking]]/90)/15</f>
        <v>0</v>
      </c>
      <c r="CL399" s="997">
        <f>WWWW[[#This Row],['#_Water_Liters_from_Constructed/Existing water distribution system from river or natural spring]]/90/15</f>
        <v>0</v>
      </c>
      <c r="CM399" s="424">
        <f>IF(WWWW[[#This Row],['#_of water points in TLS/CFS]]*500&gt;WWWW[[#This Row],[Total PoP ]],WWWW[[#This Row],[Total PoP ]],WWWW[[#This Row],['#_of water points in TLS/CFS]]*500)</f>
        <v>0</v>
      </c>
      <c r="CN399" s="424">
        <f>IF(WWWW[[#This Row],['#_of water points in THF]]*500&gt;WWWW[[#This Row],[Total PoP ]],WWWW[[#This Row],[Total PoP ]],WWWW[[#This Row],['#_of water points in THF]]*500)</f>
        <v>0</v>
      </c>
      <c r="CO39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0.74626865671641796</v>
      </c>
      <c r="CQ399" s="996">
        <f>IF(WWWW[[#This Row],[Location Type 1]]="Village",WWWW[[#This Row],[Access to safe drinking water for Village]],WWWW[[#This Row],[Access to safe drinking water for Camp]])</f>
        <v>1</v>
      </c>
      <c r="CR399" s="994">
        <f>WWWW[[#This Row],[%Equitable and continuous access to sufficient quantity of safe drinking water]]*WWWW[[#This Row],[Total PoP ]]</f>
        <v>335</v>
      </c>
      <c r="CS399" s="996">
        <f>IF((WWWW[[#This Row],['#_Constructed/Existing protected/fenced ponds]]*250)/WWWW[[#This Row],[Total PoP ]]&gt;1,1,(WWWW[[#This Row],['#_Constructed/Existing protected/fenced ponds]]*250)/WWWW[[#This Row],[Total PoP ]])</f>
        <v>0</v>
      </c>
      <c r="CT399" s="994">
        <f>WWWW[[#This Row],[% Access to unimproved water points]]*WWWW[[#This Row],[Total PoP ]]</f>
        <v>0</v>
      </c>
      <c r="CU39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335</v>
      </c>
      <c r="CW399" s="994">
        <f>WWWW[[#This Row],[HRP1]]/500</f>
        <v>0.67</v>
      </c>
      <c r="CX399" s="999">
        <f>1-WWWW[[#This Row],[% Equitable and continuous access to sufficient quantity of domestic water]]</f>
        <v>0</v>
      </c>
      <c r="CY399" s="994">
        <f>WWWW[[#This Row],[%equitable and continuous access to sufficient quantity of safe drinking and domestic water''s GAP]]*WWWW[[#This Row],[Total PoP ]]</f>
        <v>0</v>
      </c>
      <c r="CZ399" s="997">
        <f>IF(WWWW[[#This Row],[Total required water points]]-WWWW[[#This Row],['#Water points coverage]]&lt;0,0,WWWW[[#This Row],[Total required water points]]-WWWW[[#This Row],['#Water points coverage]])</f>
        <v>0.32999999999999996</v>
      </c>
      <c r="DA399" s="997">
        <f>ROUND(IF(WWWW[[#This Row],[Total PoP ]]&lt;500,1,WWWW[[#This Row],[Total PoP ]]/500),0)</f>
        <v>1</v>
      </c>
      <c r="DB399" s="997">
        <f>(WWWW[[#This Row],['#_Constructed latrines_by_WASHAgencies]]+WWWW[[#This Row],['#_Non Cluster partner latrines]])-WWWW[[#This Row],['#_Non-functional latrines]]</f>
        <v>22</v>
      </c>
      <c r="DC399" s="631">
        <f>WWWW[[#This Row],[HRP2]]/WWWW[[#This Row],[Total PoP ]]</f>
        <v>1</v>
      </c>
      <c r="DD39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335</v>
      </c>
      <c r="DE39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9" s="424">
        <f>IF(WWWW[[#This Row],['# of functional latrines in THF supported by WASH partners during the reporting period2]]="",0,WWWW[[#This Row],['# of functional latrines in THF supported by WASH partners during the reporting period2]]*50)</f>
        <v>0</v>
      </c>
      <c r="DH399" s="997">
        <f>ROUND(IF(WWWW[[#This Row],[Location Type 1]]="camp",WWWW[[#This Row],[Total PoP ]]/20,IF(WWWW[[#This Row],[Location Type 1]]="Temporary Location",WWWW[[#This Row],[Total PoP ]]/50,(WWWW[[#This Row],[Total PoP ]]/6))),0)</f>
        <v>17</v>
      </c>
      <c r="DI399" s="997">
        <f>IF(WWWW[[#This Row],[Total required Latrines]]-(WWWW[[#This Row],['#_Constructed latrines_by_WASHAgencies]]+WWWW[[#This Row],['#_Non Cluster partner latrines]])&lt;0,0,WWWW[[#This Row],[Total required Latrines]]-(WWWW[[#This Row],['#_Constructed latrines_by_WASHAgencies]]+WWWW[[#This Row],['#_Non Cluster partner latrines]]))</f>
        <v>0</v>
      </c>
      <c r="DJ399" s="999">
        <f>1-WWWW[[#This Row],[% people access to functioning Latrine]]</f>
        <v>0</v>
      </c>
      <c r="DK399" s="998">
        <f>IF(OR(WWWW[[#This Row],['#_Non-functional latrines]]="",WWWW[[#This Row],['#_Non-functional latrines]]=0),0,WWWW[[#This Row],['#_Non-functional latrines]]/(WWWW[[#This Row],['#_Constructed latrines_by_WASHAgencies]]+WWWW[[#This Row],['#_Non Cluster partner latrines]]))</f>
        <v>0</v>
      </c>
      <c r="DL399" s="994">
        <f>IF(500*(WWWW[[#This Row],['#_male hygiene promoters]]+WWWW[[#This Row],['#_female hygiene promoters]])&gt;WWWW[[#This Row],[Total PoP ]],WWWW[[#This Row],[Total PoP ]],500*(WWWW[[#This Row],['#_male hygiene promoters]]+WWWW[[#This Row],['#_female hygiene promoters]]))</f>
        <v>335</v>
      </c>
      <c r="DM39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9" s="997">
        <f>IF(WWWW[[#This Row],['# People with access to soap]]&gt;WWWW[[#This Row],['# People with access to Sanity Pads]],WWWW[[#This Row],['# People with access to soap]],WWWW[[#This Row],['# People with access to Sanity Pads]])</f>
        <v>0</v>
      </c>
      <c r="DP399" s="997">
        <f>IF(WWWW[[#This Row],['# people reached by regular dedicated hygiene promotion_5]]&gt;WWWW[[#This Row],['# People received regular supply of hygiene items_6]],WWWW[[#This Row],['# people reached by regular dedicated hygiene promotion_5]],WWWW[[#This Row],['# People received regular supply of hygiene items_6]])</f>
        <v>335</v>
      </c>
      <c r="DQ399" s="999">
        <f>IF(WWWW[[#This Row],[HRP3]]/WWWW[[#This Row],[Total PoP ]]&gt;1,1,WWWW[[#This Row],[HRP3]]/WWWW[[#This Row],[Total PoP ]])</f>
        <v>1</v>
      </c>
      <c r="DR399" s="998">
        <f>1-WWWW[[#This Row],[Hygiene Coverage%]]</f>
        <v>0</v>
      </c>
      <c r="DS399" s="996">
        <f>WWWW[[#This Row],['# people reached by regular dedicated hygiene promotion_5]]/WWWW[[#This Row],[Total PoP ]]</f>
        <v>1</v>
      </c>
      <c r="DT39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9" s="997">
        <f>WWWW[[#This Row],['#_Constructed/Existing hand washing stations]]-WWWW[[#This Row],['#_Non-Functional_hand_washing_stations]]</f>
        <v>7</v>
      </c>
      <c r="DW399" s="994">
        <f>IF(WWWW[[#This Row],['# Functional hand washing stations during reporting period]]*20&gt;WWWW[[#This Row],[Total HH]],WWWW[[#This Row],[Total HH]],WWWW[[#This Row],['# Functional hand washing stations during reporting period]]*20)</f>
        <v>62</v>
      </c>
      <c r="DX399" s="994">
        <f>IF(WWWW[[#This Row],[Is sufficient soap available for TLS? (Yes/No)]]="yes",WWWW[[#This Row],['#_Constructed/Existing hand washing stations at TLS/CFS/THF]],0)</f>
        <v>5</v>
      </c>
      <c r="DY399" s="428">
        <f>IF(WWWW[[#This Row],['# Functional hand washing stations during reporting period]]*100&gt;WWWW[[#This Row],[Total PoP ]],WWWW[[#This Row],[Total PoP ]],WWWW[[#This Row],['# Functional hand washing stations during reporting period]]*100)</f>
        <v>335</v>
      </c>
      <c r="DZ399" s="428" t="str">
        <f>IF(OR(WWWW[[#This Row],['#_students at TLS_CFS]]="",WWWW[[#This Row],['#_students at TLS_CFS]]=0),"No","Yes")</f>
        <v>No</v>
      </c>
      <c r="EA39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9" s="990" t="str">
        <f>VLOOKUP(WWWW[[#This Row],[Site Name]],SiteDB6[[Site Name]:[CCCM Management]],6,FALSE)</f>
        <v>Yes</v>
      </c>
      <c r="EF399" s="990" t="str">
        <f>VLOOKUP(WWWW[[#This Row],[Site Name]],SiteDB6[[Site Name]:[CCCM Focal Agency]],7,FALSE)</f>
        <v>KMSS-MYT</v>
      </c>
      <c r="EG399" s="990" t="str">
        <f>VLOOKUP(WWWW[[#This Row],[Site Name]],SiteDB6[[Site Name]:[Location Type 1]],9,FALSE)</f>
        <v>Camp</v>
      </c>
      <c r="EH399" s="990" t="str">
        <f>VLOOKUP(WWWW[[#This Row],[Site Name]],SiteDB6[[Site Name]:[Type of Accommodation]],10,FALSE)</f>
        <v>Camp</v>
      </c>
      <c r="EI399" s="990" t="str">
        <f>VLOOKUP(WWWW[[#This Row],[Site Name]],SiteDB6[[Site Name]:[Ethnic or GCA/NGCA]],11,FALSE)</f>
        <v>GCA</v>
      </c>
      <c r="EJ399" s="990">
        <f>VLOOKUP(WWWW[[#This Row],[Site Name]],SiteDB6[[Site Name]:[Lat]],12,FALSE)</f>
        <v>25.403476999999999</v>
      </c>
      <c r="EK399" s="990">
        <f>VLOOKUP(WWWW[[#This Row],[Site Name]],SiteDB6[[Site Name]:[Long]],13,FALSE)</f>
        <v>97.373361000000003</v>
      </c>
      <c r="EL399" s="990" t="str">
        <f>VLOOKUP(WWWW[[#This Row],[Site Name]],SiteDB6[[Site Name]:[Pcode]],3,FALSE)</f>
        <v>MMR001CMP019</v>
      </c>
      <c r="EM399" s="995" t="str">
        <f t="shared" si="7"/>
        <v>Covered</v>
      </c>
      <c r="EN399" s="995"/>
      <c r="EO399" s="990">
        <f>VLOOKUP(WWWW[[#This Row],[Site Name]],SiteDB6[[Site Name]:[Pop
(Kachin/Shan-CCCM as of July 2021)]],16,FALSE)</f>
        <v>73</v>
      </c>
      <c r="EP399" s="990">
        <f>VLOOKUP(WWWW[[#This Row],[Site Name]],SiteDB6[[Site Name]:[Pop
(Kachin/Shan-CCCM as of July 2021)]],17,FALSE)</f>
        <v>387</v>
      </c>
    </row>
    <row r="400" spans="1:146">
      <c r="A400" s="988" t="s">
        <v>2765</v>
      </c>
      <c r="B400" s="988" t="s">
        <v>3082</v>
      </c>
      <c r="C400" s="989" t="s">
        <v>141</v>
      </c>
      <c r="D400" s="989" t="s">
        <v>3166</v>
      </c>
      <c r="E400" s="989" t="s">
        <v>37</v>
      </c>
      <c r="F400" s="989" t="s">
        <v>159</v>
      </c>
      <c r="G400" s="591" t="str">
        <f>VLOOKUP(WWWW[[#This Row],[Site Name]],SiteDB6[[Site Name]:[Location Type]],8,FALSE)</f>
        <v>Camp</v>
      </c>
      <c r="H400" s="989" t="s">
        <v>1604</v>
      </c>
      <c r="I400" s="991">
        <v>136</v>
      </c>
      <c r="J400" s="991">
        <v>658</v>
      </c>
      <c r="K400" s="992">
        <v>44682</v>
      </c>
      <c r="L400" s="993">
        <v>45169</v>
      </c>
      <c r="M400" s="991"/>
      <c r="N400" s="991">
        <v>2</v>
      </c>
      <c r="O400" s="991"/>
      <c r="P400" s="991"/>
      <c r="Q400" s="994" t="s">
        <v>41</v>
      </c>
      <c r="R400" s="991">
        <v>2</v>
      </c>
      <c r="S400" s="991">
        <v>4</v>
      </c>
      <c r="T400" s="448">
        <v>9</v>
      </c>
      <c r="U400" s="991"/>
      <c r="V400" s="991"/>
      <c r="W400" s="991">
        <v>4</v>
      </c>
      <c r="X400" s="991"/>
      <c r="Y400" s="991"/>
      <c r="Z400" s="991"/>
      <c r="AA400" s="991"/>
      <c r="AB400" s="991"/>
      <c r="AC400" s="991"/>
      <c r="AD400" s="991"/>
      <c r="AE400" s="991"/>
      <c r="AF400" s="991"/>
      <c r="AG400" s="991"/>
      <c r="AH400" s="991">
        <v>6</v>
      </c>
      <c r="AI400" s="991"/>
      <c r="AJ400" s="991"/>
      <c r="AK400" s="991"/>
      <c r="AL400" s="991"/>
      <c r="AM400" s="991"/>
      <c r="AN400" s="991"/>
      <c r="AO400" s="448"/>
      <c r="AP400" s="995"/>
      <c r="AQ400" s="991">
        <v>16</v>
      </c>
      <c r="AR400" s="991"/>
      <c r="AS400" s="996"/>
      <c r="AT400" s="991"/>
      <c r="AU400" s="991"/>
      <c r="AV400" s="991"/>
      <c r="AW400" s="991"/>
      <c r="AX400" s="991">
        <v>8</v>
      </c>
      <c r="AY400" s="990" t="s">
        <v>41</v>
      </c>
      <c r="AZ400" s="995" t="s">
        <v>137</v>
      </c>
      <c r="BA400" s="991"/>
      <c r="BB400" s="991"/>
      <c r="BC400" s="991"/>
      <c r="BD400" s="448"/>
      <c r="BE400" s="448"/>
      <c r="BF400" s="990"/>
      <c r="BG400" s="991">
        <v>12</v>
      </c>
      <c r="BH400" s="991"/>
      <c r="BI400" s="991"/>
      <c r="BJ400" s="991">
        <v>8</v>
      </c>
      <c r="BK400" s="991"/>
      <c r="BL400" s="991">
        <v>1</v>
      </c>
      <c r="BM400" s="991"/>
      <c r="BN400" s="991"/>
      <c r="BO400" s="991"/>
      <c r="BP400" s="990"/>
      <c r="BQ400" s="997"/>
      <c r="BR400" s="996"/>
      <c r="BS400" s="990"/>
      <c r="BT400" s="423"/>
      <c r="BU400" s="423"/>
      <c r="BV400" s="425"/>
      <c r="BW400" s="423"/>
      <c r="BX400" s="448"/>
      <c r="BY400" s="448"/>
      <c r="BZ400" s="448"/>
      <c r="CA400" s="448"/>
      <c r="CB400" s="448"/>
      <c r="CC400" s="777"/>
      <c r="CD400" s="448"/>
      <c r="CE400" s="998" t="str">
        <f>IFERROR(WWWW[[#This Row],['#_Water sources passed]]/WWWW[[#This Row],['#_Water sources tested for fecal coliform ]],"no test")</f>
        <v>no test</v>
      </c>
      <c r="CF400" s="996" t="str">
        <f>IFERROR(WWWW[[#This Row],['#_Household passed]]/WWWW[[#This Row],['#_Household water samples tested for fecal coliform]],"no test")</f>
        <v>no test</v>
      </c>
      <c r="CG400" s="997" t="str">
        <f>IF(AND(WWWW[[#This Row],[% of water sources passed]]="no test",WWWW[[#This Row],[% Household passed]]="no test"),"No Test","Tested")</f>
        <v>No Test</v>
      </c>
      <c r="CH400" s="997">
        <f>WWWW[[#This Row],['#_Constructed/existing protected hand dug well]]-WWWW[[#This Row],['#_Non-functional protected hand dug well]]</f>
        <v>9</v>
      </c>
      <c r="CI400" s="997">
        <f>(WWWW[[#This Row],['#_Constructed/Existing tube wells/boreholes/handpumps_WASH_agency]]+WWWW[[#This Row],['#_Non-Cluster partner water tube-wells/boreholes/handpumps]])-WWWW[[#This Row],['#_Non-functional tube wells/boreholes/handpumps]]</f>
        <v>4</v>
      </c>
      <c r="CJ400" s="997">
        <f>WWWW[[#This Row],['#_Constructed/Existingwater storage tank with gravity fed reticulation system]]-WWWW[[#This Row],['#_Non-functional storage tank gravity fed reticulation system]]</f>
        <v>0</v>
      </c>
      <c r="CK400" s="997">
        <f>(WWWW[[#This Row],['#_Water_Liters_supplied_by_Water boating or water trucking]]/90)/15</f>
        <v>0</v>
      </c>
      <c r="CL400" s="997">
        <f>WWWW[[#This Row],['#_Water_Liters_from_Constructed/Existing water distribution system from river or natural spring]]/90/15</f>
        <v>0</v>
      </c>
      <c r="CM400" s="424">
        <f>IF(WWWW[[#This Row],['#_of water points in TLS/CFS]]*500&gt;WWWW[[#This Row],[Total PoP ]],WWWW[[#This Row],[Total PoP ]],WWWW[[#This Row],['#_of water points in TLS/CFS]]*500)</f>
        <v>0</v>
      </c>
      <c r="CN400" s="424">
        <f>IF(WWWW[[#This Row],['#_of water points in THF]]*500&gt;WWWW[[#This Row],[Total PoP ]],WWWW[[#This Row],[Total PoP ]],WWWW[[#This Row],['#_of water points in THF]]*500)</f>
        <v>0</v>
      </c>
      <c r="CO40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0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00" s="996">
        <f>IF(WWWW[[#This Row],[Location Type 1]]="Village",WWWW[[#This Row],[Access to safe drinking water for Village]],WWWW[[#This Row],[Access to safe drinking water for Camp]])</f>
        <v>1</v>
      </c>
      <c r="CR400" s="994">
        <f>WWWW[[#This Row],[%Equitable and continuous access to sufficient quantity of safe drinking water]]*WWWW[[#This Row],[Total PoP ]]</f>
        <v>658</v>
      </c>
      <c r="CS400" s="996">
        <f>IF((WWWW[[#This Row],['#_Constructed/Existing protected/fenced ponds]]*250)/WWWW[[#This Row],[Total PoP ]]&gt;1,1,(WWWW[[#This Row],['#_Constructed/Existing protected/fenced ponds]]*250)/WWWW[[#This Row],[Total PoP ]])</f>
        <v>0</v>
      </c>
      <c r="CT400" s="994">
        <f>WWWW[[#This Row],[% Access to unimproved water points]]*WWWW[[#This Row],[Total PoP ]]</f>
        <v>0</v>
      </c>
      <c r="CU40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0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658</v>
      </c>
      <c r="CW400" s="994">
        <f>WWWW[[#This Row],[HRP1]]/500</f>
        <v>1.3160000000000001</v>
      </c>
      <c r="CX400" s="999">
        <f>1-WWWW[[#This Row],[% Equitable and continuous access to sufficient quantity of domestic water]]</f>
        <v>0</v>
      </c>
      <c r="CY400" s="994">
        <f>WWWW[[#This Row],[%equitable and continuous access to sufficient quantity of safe drinking and domestic water''s GAP]]*WWWW[[#This Row],[Total PoP ]]</f>
        <v>0</v>
      </c>
      <c r="CZ400" s="997">
        <f>IF(WWWW[[#This Row],[Total required water points]]-WWWW[[#This Row],['#Water points coverage]]&lt;0,0,WWWW[[#This Row],[Total required water points]]-WWWW[[#This Row],['#Water points coverage]])</f>
        <v>0</v>
      </c>
      <c r="DA400" s="997">
        <f>ROUND(IF(WWWW[[#This Row],[Total PoP ]]&lt;500,1,WWWW[[#This Row],[Total PoP ]]/500),0)</f>
        <v>1</v>
      </c>
      <c r="DB400" s="997">
        <f>(WWWW[[#This Row],['#_Constructed latrines_by_WASHAgencies]]+WWWW[[#This Row],['#_Non Cluster partner latrines]])-WWWW[[#This Row],['#_Non-functional latrines]]</f>
        <v>16</v>
      </c>
      <c r="DC400" s="631">
        <f>WWWW[[#This Row],[HRP2]]/WWWW[[#This Row],[Total PoP ]]</f>
        <v>0.48632218844984804</v>
      </c>
      <c r="DD40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DE40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0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0" s="424">
        <f>IF(WWWW[[#This Row],['# of functional latrines in THF supported by WASH partners during the reporting period2]]="",0,WWWW[[#This Row],['# of functional latrines in THF supported by WASH partners during the reporting period2]]*50)</f>
        <v>0</v>
      </c>
      <c r="DH400" s="997">
        <f>ROUND(IF(WWWW[[#This Row],[Location Type 1]]="camp",WWWW[[#This Row],[Total PoP ]]/20,IF(WWWW[[#This Row],[Location Type 1]]="Temporary Location",WWWW[[#This Row],[Total PoP ]]/50,(WWWW[[#This Row],[Total PoP ]]/6))),0)</f>
        <v>33</v>
      </c>
      <c r="DI400" s="997">
        <f>IF(WWWW[[#This Row],[Total required Latrines]]-(WWWW[[#This Row],['#_Constructed latrines_by_WASHAgencies]]+WWWW[[#This Row],['#_Non Cluster partner latrines]])&lt;0,0,WWWW[[#This Row],[Total required Latrines]]-(WWWW[[#This Row],['#_Constructed latrines_by_WASHAgencies]]+WWWW[[#This Row],['#_Non Cluster partner latrines]]))</f>
        <v>17</v>
      </c>
      <c r="DJ400" s="999">
        <f>1-WWWW[[#This Row],[% people access to functioning Latrine]]</f>
        <v>0.51367781155015191</v>
      </c>
      <c r="DK400" s="998">
        <f>IF(OR(WWWW[[#This Row],['#_Non-functional latrines]]="",WWWW[[#This Row],['#_Non-functional latrines]]=0),0,WWWW[[#This Row],['#_Non-functional latrines]]/(WWWW[[#This Row],['#_Constructed latrines_by_WASHAgencies]]+WWWW[[#This Row],['#_Non Cluster partner latrines]]))</f>
        <v>0</v>
      </c>
      <c r="DL400" s="994">
        <f>IF(500*(WWWW[[#This Row],['#_male hygiene promoters]]+WWWW[[#This Row],['#_female hygiene promoters]])&gt;WWWW[[#This Row],[Total PoP ]],WWWW[[#This Row],[Total PoP ]],500*(WWWW[[#This Row],['#_male hygiene promoters]]+WWWW[[#This Row],['#_female hygiene promoters]]))</f>
        <v>500</v>
      </c>
      <c r="DM40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0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00" s="997">
        <f>IF(WWWW[[#This Row],['# People with access to soap]]&gt;WWWW[[#This Row],['# People with access to Sanity Pads]],WWWW[[#This Row],['# People with access to soap]],WWWW[[#This Row],['# People with access to Sanity Pads]])</f>
        <v>0</v>
      </c>
      <c r="DP400" s="99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400" s="999">
        <f>IF(WWWW[[#This Row],[HRP3]]/WWWW[[#This Row],[Total PoP ]]&gt;1,1,WWWW[[#This Row],[HRP3]]/WWWW[[#This Row],[Total PoP ]])</f>
        <v>0.75987841945288759</v>
      </c>
      <c r="DR400" s="998">
        <f>1-WWWW[[#This Row],[Hygiene Coverage%]]</f>
        <v>0.24012158054711241</v>
      </c>
      <c r="DS400" s="996">
        <f>WWWW[[#This Row],['# people reached by regular dedicated hygiene promotion_5]]/WWWW[[#This Row],[Total PoP ]]</f>
        <v>0.75987841945288759</v>
      </c>
      <c r="DT40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0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00" s="997">
        <f>WWWW[[#This Row],['#_Constructed/Existing hand washing stations]]-WWWW[[#This Row],['#_Non-Functional_hand_washing_stations]]</f>
        <v>12</v>
      </c>
      <c r="DW400" s="994">
        <f>IF(WWWW[[#This Row],['# Functional hand washing stations during reporting period]]*20&gt;WWWW[[#This Row],[Total HH]],WWWW[[#This Row],[Total HH]],WWWW[[#This Row],['# Functional hand washing stations during reporting period]]*20)</f>
        <v>136</v>
      </c>
      <c r="DX400" s="994">
        <f>IF(WWWW[[#This Row],[Is sufficient soap available for TLS? (Yes/No)]]="yes",WWWW[[#This Row],['#_Constructed/Existing hand washing stations at TLS/CFS/THF]],0)</f>
        <v>0</v>
      </c>
      <c r="DY400" s="428">
        <f>IF(WWWW[[#This Row],['# Functional hand washing stations during reporting period]]*100&gt;WWWW[[#This Row],[Total PoP ]],WWWW[[#This Row],[Total PoP ]],WWWW[[#This Row],['# Functional hand washing stations during reporting period]]*100)</f>
        <v>658</v>
      </c>
      <c r="DZ400" s="428" t="str">
        <f>IF(OR(WWWW[[#This Row],['#_students at TLS_CFS]]="",WWWW[[#This Row],['#_students at TLS_CFS]]=0),"No","Yes")</f>
        <v>No</v>
      </c>
      <c r="EA40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0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0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0" s="990">
        <f>VLOOKUP(WWWW[[#This Row],[Site Name]],SiteDB6[[Site Name]:[CCCM Management]],6,FALSE)</f>
        <v>0</v>
      </c>
      <c r="EF400" s="990" t="str">
        <f>VLOOKUP(WWWW[[#This Row],[Site Name]],SiteDB6[[Site Name]:[CCCM Focal Agency]],7,FALSE)</f>
        <v>KBC-MYT</v>
      </c>
      <c r="EG400" s="990" t="str">
        <f>VLOOKUP(WWWW[[#This Row],[Site Name]],SiteDB6[[Site Name]:[Location Type 1]],9,FALSE)</f>
        <v>Camp</v>
      </c>
      <c r="EH400" s="990" t="str">
        <f>VLOOKUP(WWWW[[#This Row],[Site Name]],SiteDB6[[Site Name]:[Type of Accommodation]],10,FALSE)</f>
        <v>Camp</v>
      </c>
      <c r="EI400" s="990" t="str">
        <f>VLOOKUP(WWWW[[#This Row],[Site Name]],SiteDB6[[Site Name]:[Ethnic or GCA/NGCA]],11,FALSE)</f>
        <v>GCA</v>
      </c>
      <c r="EJ400" s="990">
        <f>VLOOKUP(WWWW[[#This Row],[Site Name]],SiteDB6[[Site Name]:[Lat]],12,FALSE)</f>
        <v>25.489669799804702</v>
      </c>
      <c r="EK400" s="990">
        <f>VLOOKUP(WWWW[[#This Row],[Site Name]],SiteDB6[[Site Name]:[Long]],13,FALSE)</f>
        <v>97.458778381347699</v>
      </c>
      <c r="EL400" s="990" t="str">
        <f>VLOOKUP(WWWW[[#This Row],[Site Name]],SiteDB6[[Site Name]:[Pcode]],3,FALSE)</f>
        <v>MMR001CMP265</v>
      </c>
      <c r="EM400" s="995" t="str">
        <f t="shared" si="7"/>
        <v>Covered</v>
      </c>
      <c r="EN400" s="995"/>
      <c r="EO400" s="990">
        <f>VLOOKUP(WWWW[[#This Row],[Site Name]],SiteDB6[[Site Name]:[Pop
(Kachin/Shan-CCCM as of July 2021)]],16,FALSE)</f>
        <v>136</v>
      </c>
      <c r="EP400" s="990">
        <f>VLOOKUP(WWWW[[#This Row],[Site Name]],SiteDB6[[Site Name]:[Pop
(Kachin/Shan-CCCM as of July 2021)]],17,FALSE)</f>
        <v>658</v>
      </c>
    </row>
    <row r="401" spans="1:146">
      <c r="A401" s="988" t="s">
        <v>2765</v>
      </c>
      <c r="B401" s="988" t="s">
        <v>276</v>
      </c>
      <c r="C401" s="989" t="s">
        <v>959</v>
      </c>
      <c r="D401" s="989" t="s">
        <v>3037</v>
      </c>
      <c r="E401" s="989" t="s">
        <v>37</v>
      </c>
      <c r="F401" s="989" t="s">
        <v>205</v>
      </c>
      <c r="G401" s="591" t="str">
        <f>VLOOKUP(WWWW[[#This Row],[Site Name]],SiteDB6[[Site Name]:[Location Type]],8,FALSE)</f>
        <v>Camp_not registered</v>
      </c>
      <c r="H401" s="989" t="s">
        <v>206</v>
      </c>
      <c r="I401" s="991">
        <v>110</v>
      </c>
      <c r="J401" s="991">
        <v>502</v>
      </c>
      <c r="K401" s="992">
        <v>44713</v>
      </c>
      <c r="L401" s="993">
        <v>44895</v>
      </c>
      <c r="M401" s="991"/>
      <c r="N401" s="991"/>
      <c r="O401" s="991"/>
      <c r="P401" s="991"/>
      <c r="Q401" s="994" t="s">
        <v>41</v>
      </c>
      <c r="R401" s="991">
        <v>2</v>
      </c>
      <c r="S401" s="991">
        <v>3</v>
      </c>
      <c r="T401" s="448">
        <v>3</v>
      </c>
      <c r="U401" s="991"/>
      <c r="V401" s="991"/>
      <c r="W401" s="991">
        <v>2</v>
      </c>
      <c r="X401" s="991"/>
      <c r="Y401" s="991"/>
      <c r="Z401" s="991"/>
      <c r="AA401" s="991"/>
      <c r="AB401" s="991"/>
      <c r="AC401" s="991"/>
      <c r="AD401" s="991"/>
      <c r="AE401" s="991"/>
      <c r="AF401" s="991"/>
      <c r="AG401" s="991">
        <v>1</v>
      </c>
      <c r="AH401" s="991"/>
      <c r="AI401" s="991">
        <v>1</v>
      </c>
      <c r="AJ401" s="991">
        <v>1</v>
      </c>
      <c r="AK401" s="991">
        <v>9</v>
      </c>
      <c r="AL401" s="991">
        <v>8</v>
      </c>
      <c r="AM401" s="991"/>
      <c r="AN401" s="991"/>
      <c r="AO401" s="448"/>
      <c r="AP401" s="995"/>
      <c r="AQ401" s="991">
        <v>31</v>
      </c>
      <c r="AR401" s="991"/>
      <c r="AS401" s="996"/>
      <c r="AT401" s="991"/>
      <c r="AU401" s="991"/>
      <c r="AV401" s="991">
        <v>16</v>
      </c>
      <c r="AW401" s="991">
        <v>19</v>
      </c>
      <c r="AX401" s="991"/>
      <c r="AY401" s="990" t="s">
        <v>41</v>
      </c>
      <c r="AZ401" s="995" t="s">
        <v>137</v>
      </c>
      <c r="BA401" s="991"/>
      <c r="BB401" s="991"/>
      <c r="BC401" s="991">
        <v>3</v>
      </c>
      <c r="BD401" s="448"/>
      <c r="BE401" s="448"/>
      <c r="BF401" s="990"/>
      <c r="BG401" s="991">
        <v>11</v>
      </c>
      <c r="BH401" s="991"/>
      <c r="BI401" s="991"/>
      <c r="BJ401" s="991">
        <v>3</v>
      </c>
      <c r="BK401" s="991"/>
      <c r="BL401" s="991"/>
      <c r="BM401" s="991"/>
      <c r="BN401" s="991"/>
      <c r="BO401" s="991"/>
      <c r="BP401" s="990"/>
      <c r="BQ401" s="997"/>
      <c r="BR401" s="996"/>
      <c r="BS401" s="990"/>
      <c r="BT401" s="423"/>
      <c r="BU401" s="423"/>
      <c r="BV401" s="425"/>
      <c r="BW401" s="423"/>
      <c r="BX401" s="448"/>
      <c r="BY401" s="448"/>
      <c r="BZ401" s="448"/>
      <c r="CA401" s="448"/>
      <c r="CB401" s="448"/>
      <c r="CC401" s="777"/>
      <c r="CD401" s="448"/>
      <c r="CE401" s="998">
        <f>IFERROR(WWWW[[#This Row],['#_Water sources passed]]/WWWW[[#This Row],['#_Water sources tested for fecal coliform ]],"no test")</f>
        <v>1</v>
      </c>
      <c r="CF401" s="996">
        <f>IFERROR(WWWW[[#This Row],['#_Household passed]]/WWWW[[#This Row],['#_Household water samples tested for fecal coliform]],"no test")</f>
        <v>0.88888888888888884</v>
      </c>
      <c r="CG401" s="997" t="str">
        <f>IF(AND(WWWW[[#This Row],[% of water sources passed]]="no test",WWWW[[#This Row],[% Household passed]]="no test"),"No Test","Tested")</f>
        <v>Tested</v>
      </c>
      <c r="CH401" s="997">
        <f>WWWW[[#This Row],['#_Constructed/existing protected hand dug well]]-WWWW[[#This Row],['#_Non-functional protected hand dug well]]</f>
        <v>3</v>
      </c>
      <c r="CI401" s="997">
        <f>(WWWW[[#This Row],['#_Constructed/Existing tube wells/boreholes/handpumps_WASH_agency]]+WWWW[[#This Row],['#_Non-Cluster partner water tube-wells/boreholes/handpumps]])-WWWW[[#This Row],['#_Non-functional tube wells/boreholes/handpumps]]</f>
        <v>2</v>
      </c>
      <c r="CJ401" s="997">
        <f>WWWW[[#This Row],['#_Constructed/Existingwater storage tank with gravity fed reticulation system]]-WWWW[[#This Row],['#_Non-functional storage tank gravity fed reticulation system]]</f>
        <v>0</v>
      </c>
      <c r="CK401" s="997">
        <f>(WWWW[[#This Row],['#_Water_Liters_supplied_by_Water boating or water trucking]]/90)/15</f>
        <v>0</v>
      </c>
      <c r="CL401" s="997">
        <f>WWWW[[#This Row],['#_Water_Liters_from_Constructed/Existing water distribution system from river or natural spring]]/90/15</f>
        <v>0</v>
      </c>
      <c r="CM401" s="424">
        <f>IF(WWWW[[#This Row],['#_of water points in TLS/CFS]]*500&gt;WWWW[[#This Row],[Total PoP ]],WWWW[[#This Row],[Total PoP ]],WWWW[[#This Row],['#_of water points in TLS/CFS]]*500)</f>
        <v>0</v>
      </c>
      <c r="CN401" s="424">
        <f>IF(WWWW[[#This Row],['#_of water points in THF]]*500&gt;WWWW[[#This Row],[Total PoP ]],WWWW[[#This Row],[Total PoP ]],WWWW[[#This Row],['#_of water points in THF]]*500)</f>
        <v>0</v>
      </c>
      <c r="CO40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0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01" s="996">
        <f>IF(WWWW[[#This Row],[Location Type 1]]="Village",WWWW[[#This Row],[Access to safe drinking water for Village]],WWWW[[#This Row],[Access to safe drinking water for Camp]])</f>
        <v>1</v>
      </c>
      <c r="CR401" s="994">
        <f>WWWW[[#This Row],[%Equitable and continuous access to sufficient quantity of safe drinking water]]*WWWW[[#This Row],[Total PoP ]]</f>
        <v>502</v>
      </c>
      <c r="CS401" s="996">
        <f>IF((WWWW[[#This Row],['#_Constructed/Existing protected/fenced ponds]]*250)/WWWW[[#This Row],[Total PoP ]]&gt;1,1,(WWWW[[#This Row],['#_Constructed/Existing protected/fenced ponds]]*250)/WWWW[[#This Row],[Total PoP ]])</f>
        <v>0</v>
      </c>
      <c r="CT401" s="994">
        <f>WWWW[[#This Row],[% Access to unimproved water points]]*WWWW[[#This Row],[Total PoP ]]</f>
        <v>0</v>
      </c>
      <c r="CU40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0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W401" s="994">
        <f>WWWW[[#This Row],[HRP1]]/500</f>
        <v>1.004</v>
      </c>
      <c r="CX401" s="999">
        <f>1-WWWW[[#This Row],[% Equitable and continuous access to sufficient quantity of domestic water]]</f>
        <v>0</v>
      </c>
      <c r="CY401" s="994">
        <f>WWWW[[#This Row],[%equitable and continuous access to sufficient quantity of safe drinking and domestic water''s GAP]]*WWWW[[#This Row],[Total PoP ]]</f>
        <v>0</v>
      </c>
      <c r="CZ401" s="997">
        <f>IF(WWWW[[#This Row],[Total required water points]]-WWWW[[#This Row],['#Water points coverage]]&lt;0,0,WWWW[[#This Row],[Total required water points]]-WWWW[[#This Row],['#Water points coverage]])</f>
        <v>0</v>
      </c>
      <c r="DA401" s="997">
        <f>ROUND(IF(WWWW[[#This Row],[Total PoP ]]&lt;500,1,WWWW[[#This Row],[Total PoP ]]/500),0)</f>
        <v>1</v>
      </c>
      <c r="DB401" s="997">
        <f>(WWWW[[#This Row],['#_Constructed latrines_by_WASHAgencies]]+WWWW[[#This Row],['#_Non Cluster partner latrines]])-WWWW[[#This Row],['#_Non-functional latrines]]</f>
        <v>31</v>
      </c>
      <c r="DC401" s="631">
        <f>WWWW[[#This Row],[HRP2]]/WWWW[[#This Row],[Total PoP ]]</f>
        <v>1</v>
      </c>
      <c r="DD40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502</v>
      </c>
      <c r="DE40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320</v>
      </c>
      <c r="DF40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1" s="424">
        <f>IF(WWWW[[#This Row],['# of functional latrines in THF supported by WASH partners during the reporting period2]]="",0,WWWW[[#This Row],['# of functional latrines in THF supported by WASH partners during the reporting period2]]*50)</f>
        <v>0</v>
      </c>
      <c r="DH401" s="997">
        <f>ROUND(IF(WWWW[[#This Row],[Location Type 1]]="camp",WWWW[[#This Row],[Total PoP ]]/20,IF(WWWW[[#This Row],[Location Type 1]]="Temporary Location",WWWW[[#This Row],[Total PoP ]]/50,(WWWW[[#This Row],[Total PoP ]]/6))),0)</f>
        <v>25</v>
      </c>
      <c r="DI401" s="997">
        <f>IF(WWWW[[#This Row],[Total required Latrines]]-(WWWW[[#This Row],['#_Constructed latrines_by_WASHAgencies]]+WWWW[[#This Row],['#_Non Cluster partner latrines]])&lt;0,0,WWWW[[#This Row],[Total required Latrines]]-(WWWW[[#This Row],['#_Constructed latrines_by_WASHAgencies]]+WWWW[[#This Row],['#_Non Cluster partner latrines]]))</f>
        <v>0</v>
      </c>
      <c r="DJ401" s="999">
        <f>1-WWWW[[#This Row],[% people access to functioning Latrine]]</f>
        <v>0</v>
      </c>
      <c r="DK401" s="998">
        <f>IF(OR(WWWW[[#This Row],['#_Non-functional latrines]]="",WWWW[[#This Row],['#_Non-functional latrines]]=0),0,WWWW[[#This Row],['#_Non-functional latrines]]/(WWWW[[#This Row],['#_Constructed latrines_by_WASHAgencies]]+WWWW[[#This Row],['#_Non Cluster partner latrines]]))</f>
        <v>0</v>
      </c>
      <c r="DL401" s="994">
        <f>IF(500*(WWWW[[#This Row],['#_male hygiene promoters]]+WWWW[[#This Row],['#_female hygiene promoters]])&gt;WWWW[[#This Row],[Total PoP ]],WWWW[[#This Row],[Total PoP ]],500*(WWWW[[#This Row],['#_male hygiene promoters]]+WWWW[[#This Row],['#_female hygiene promoters]]))</f>
        <v>0</v>
      </c>
      <c r="DM40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0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01" s="997">
        <f>IF(WWWW[[#This Row],['# People with access to soap]]&gt;WWWW[[#This Row],['# People with access to Sanity Pads]],WWWW[[#This Row],['# People with access to soap]],WWWW[[#This Row],['# People with access to Sanity Pads]])</f>
        <v>0</v>
      </c>
      <c r="DP401"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01" s="999">
        <f>IF(WWWW[[#This Row],[HRP3]]/WWWW[[#This Row],[Total PoP ]]&gt;1,1,WWWW[[#This Row],[HRP3]]/WWWW[[#This Row],[Total PoP ]])</f>
        <v>0</v>
      </c>
      <c r="DR401" s="998">
        <f>1-WWWW[[#This Row],[Hygiene Coverage%]]</f>
        <v>1</v>
      </c>
      <c r="DS401" s="996">
        <f>WWWW[[#This Row],['# people reached by regular dedicated hygiene promotion_5]]/WWWW[[#This Row],[Total PoP ]]</f>
        <v>0</v>
      </c>
      <c r="DT40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0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01" s="997">
        <f>WWWW[[#This Row],['#_Constructed/Existing hand washing stations]]-WWWW[[#This Row],['#_Non-Functional_hand_washing_stations]]</f>
        <v>11</v>
      </c>
      <c r="DW401" s="994">
        <f>IF(WWWW[[#This Row],['# Functional hand washing stations during reporting period]]*20&gt;WWWW[[#This Row],[Total HH]],WWWW[[#This Row],[Total HH]],WWWW[[#This Row],['# Functional hand washing stations during reporting period]]*20)</f>
        <v>110</v>
      </c>
      <c r="DX401" s="994">
        <f>IF(WWWW[[#This Row],[Is sufficient soap available for TLS? (Yes/No)]]="yes",WWWW[[#This Row],['#_Constructed/Existing hand washing stations at TLS/CFS/THF]],0)</f>
        <v>0</v>
      </c>
      <c r="DY401" s="428">
        <f>IF(WWWW[[#This Row],['# Functional hand washing stations during reporting period]]*100&gt;WWWW[[#This Row],[Total PoP ]],WWWW[[#This Row],[Total PoP ]],WWWW[[#This Row],['# Functional hand washing stations during reporting period]]*100)</f>
        <v>502</v>
      </c>
      <c r="DZ401" s="428" t="str">
        <f>IF(OR(WWWW[[#This Row],['#_students at TLS_CFS]]="",WWWW[[#This Row],['#_students at TLS_CFS]]=0),"No","Yes")</f>
        <v>No</v>
      </c>
      <c r="EA40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0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0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1" s="990">
        <f>VLOOKUP(WWWW[[#This Row],[Site Name]],SiteDB6[[Site Name]:[CCCM Management]],6,FALSE)</f>
        <v>0</v>
      </c>
      <c r="EF401" s="990">
        <f>VLOOKUP(WWWW[[#This Row],[Site Name]],SiteDB6[[Site Name]:[CCCM Focal Agency]],7,FALSE)</f>
        <v>0</v>
      </c>
      <c r="EG401" s="990" t="str">
        <f>VLOOKUP(WWWW[[#This Row],[Site Name]],SiteDB6[[Site Name]:[Location Type 1]],9,FALSE)</f>
        <v>Camp</v>
      </c>
      <c r="EH401" s="990" t="str">
        <f>VLOOKUP(WWWW[[#This Row],[Site Name]],SiteDB6[[Site Name]:[Type of Accommodation]],10,FALSE)</f>
        <v>Camp</v>
      </c>
      <c r="EI401" s="990" t="str">
        <f>VLOOKUP(WWWW[[#This Row],[Site Name]],SiteDB6[[Site Name]:[Ethnic or GCA/NGCA]],11,FALSE)</f>
        <v>GCA</v>
      </c>
      <c r="EJ401" s="990">
        <f>VLOOKUP(WWWW[[#This Row],[Site Name]],SiteDB6[[Site Name]:[Lat]],12,FALSE)</f>
        <v>0</v>
      </c>
      <c r="EK401" s="990">
        <f>VLOOKUP(WWWW[[#This Row],[Site Name]],SiteDB6[[Site Name]:[Long]],13,FALSE)</f>
        <v>0</v>
      </c>
      <c r="EL401" s="990">
        <f>VLOOKUP(WWWW[[#This Row],[Site Name]],SiteDB6[[Site Name]:[Pcode]],3,FALSE)</f>
        <v>0</v>
      </c>
      <c r="EM401" s="995" t="str">
        <f t="shared" si="7"/>
        <v>Covered</v>
      </c>
      <c r="EN401" s="995"/>
      <c r="EO401" s="990">
        <f>VLOOKUP(WWWW[[#This Row],[Site Name]],SiteDB6[[Site Name]:[Pop
(Kachin/Shan-CCCM as of July 2021)]],16,FALSE)</f>
        <v>0</v>
      </c>
      <c r="EP401" s="990">
        <f>VLOOKUP(WWWW[[#This Row],[Site Name]],SiteDB6[[Site Name]:[Pop
(Kachin/Shan-CCCM as of July 2021)]],17,FALSE)</f>
        <v>0</v>
      </c>
    </row>
    <row r="402" spans="1:146">
      <c r="A402" s="988" t="s">
        <v>2765</v>
      </c>
      <c r="B402" s="988" t="s">
        <v>36</v>
      </c>
      <c r="C402" s="989" t="s">
        <v>36</v>
      </c>
      <c r="D402" s="989" t="s">
        <v>241</v>
      </c>
      <c r="E402" s="989" t="s">
        <v>37</v>
      </c>
      <c r="F402" s="989" t="s">
        <v>159</v>
      </c>
      <c r="G402" s="591" t="str">
        <f>VLOOKUP(WWWW[[#This Row],[Site Name]],SiteDB6[[Site Name]:[Location Type]],8,FALSE)</f>
        <v>Camp</v>
      </c>
      <c r="H402" s="989" t="s">
        <v>828</v>
      </c>
      <c r="I402" s="991">
        <v>18</v>
      </c>
      <c r="J402" s="991">
        <v>61</v>
      </c>
      <c r="K402" s="992">
        <v>44414</v>
      </c>
      <c r="L402" s="993">
        <v>44778</v>
      </c>
      <c r="M402" s="991">
        <v>489</v>
      </c>
      <c r="N402" s="991">
        <v>2</v>
      </c>
      <c r="O402" s="991"/>
      <c r="P402" s="991"/>
      <c r="Q402" s="994" t="s">
        <v>41</v>
      </c>
      <c r="R402" s="991">
        <v>1</v>
      </c>
      <c r="S402" s="991">
        <v>2</v>
      </c>
      <c r="T402" s="448">
        <v>1</v>
      </c>
      <c r="U402" s="991"/>
      <c r="V402" s="991"/>
      <c r="W402" s="991">
        <v>1</v>
      </c>
      <c r="X402" s="991"/>
      <c r="Y402" s="991"/>
      <c r="Z402" s="991"/>
      <c r="AA402" s="991"/>
      <c r="AB402" s="991"/>
      <c r="AC402" s="991"/>
      <c r="AD402" s="991"/>
      <c r="AE402" s="991"/>
      <c r="AF402" s="991"/>
      <c r="AG402" s="991"/>
      <c r="AH402" s="991"/>
      <c r="AI402" s="991"/>
      <c r="AJ402" s="991"/>
      <c r="AK402" s="991"/>
      <c r="AL402" s="991"/>
      <c r="AM402" s="991">
        <v>4</v>
      </c>
      <c r="AN402" s="991"/>
      <c r="AO402" s="448"/>
      <c r="AP402" s="995"/>
      <c r="AQ402" s="991">
        <v>4</v>
      </c>
      <c r="AR402" s="991"/>
      <c r="AS402" s="996"/>
      <c r="AT402" s="991"/>
      <c r="AU402" s="991"/>
      <c r="AV402" s="991"/>
      <c r="AW402" s="991"/>
      <c r="AX402" s="991"/>
      <c r="AY402" s="990" t="s">
        <v>41</v>
      </c>
      <c r="AZ402" s="995" t="s">
        <v>137</v>
      </c>
      <c r="BA402" s="991"/>
      <c r="BB402" s="991"/>
      <c r="BC402" s="991"/>
      <c r="BD402" s="448"/>
      <c r="BE402" s="448"/>
      <c r="BF402" s="990"/>
      <c r="BG402" s="991">
        <v>2</v>
      </c>
      <c r="BH402" s="991"/>
      <c r="BI402" s="991"/>
      <c r="BJ402" s="991">
        <v>1</v>
      </c>
      <c r="BK402" s="991"/>
      <c r="BL402" s="991"/>
      <c r="BM402" s="991">
        <v>1</v>
      </c>
      <c r="BN402" s="991"/>
      <c r="BO402" s="991"/>
      <c r="BP402" s="990" t="s">
        <v>41</v>
      </c>
      <c r="BQ402" s="997"/>
      <c r="BR402" s="996"/>
      <c r="BS402" s="990"/>
      <c r="BT402" s="423"/>
      <c r="BU402" s="423"/>
      <c r="BV402" s="425"/>
      <c r="BW402" s="423"/>
      <c r="BX402" s="448"/>
      <c r="BY402" s="448"/>
      <c r="BZ402" s="448"/>
      <c r="CA402" s="448"/>
      <c r="CB402" s="448"/>
      <c r="CC402" s="777"/>
      <c r="CD402" s="448"/>
      <c r="CE402" s="998" t="str">
        <f>IFERROR(WWWW[[#This Row],['#_Water sources passed]]/WWWW[[#This Row],['#_Water sources tested for fecal coliform ]],"no test")</f>
        <v>no test</v>
      </c>
      <c r="CF402" s="996" t="str">
        <f>IFERROR(WWWW[[#This Row],['#_Household passed]]/WWWW[[#This Row],['#_Household water samples tested for fecal coliform]],"no test")</f>
        <v>no test</v>
      </c>
      <c r="CG402" s="997" t="str">
        <f>IF(AND(WWWW[[#This Row],[% of water sources passed]]="no test",WWWW[[#This Row],[% Household passed]]="no test"),"No Test","Tested")</f>
        <v>No Test</v>
      </c>
      <c r="CH402" s="997">
        <f>WWWW[[#This Row],['#_Constructed/existing protected hand dug well]]-WWWW[[#This Row],['#_Non-functional protected hand dug well]]</f>
        <v>1</v>
      </c>
      <c r="CI402" s="997">
        <f>(WWWW[[#This Row],['#_Constructed/Existing tube wells/boreholes/handpumps_WASH_agency]]+WWWW[[#This Row],['#_Non-Cluster partner water tube-wells/boreholes/handpumps]])-WWWW[[#This Row],['#_Non-functional tube wells/boreholes/handpumps]]</f>
        <v>1</v>
      </c>
      <c r="CJ402" s="997">
        <f>WWWW[[#This Row],['#_Constructed/Existingwater storage tank with gravity fed reticulation system]]-WWWW[[#This Row],['#_Non-functional storage tank gravity fed reticulation system]]</f>
        <v>0</v>
      </c>
      <c r="CK402" s="997">
        <f>(WWWW[[#This Row],['#_Water_Liters_supplied_by_Water boating or water trucking]]/90)/15</f>
        <v>0</v>
      </c>
      <c r="CL402" s="997">
        <f>WWWW[[#This Row],['#_Water_Liters_from_Constructed/Existing water distribution system from river or natural spring]]/90/15</f>
        <v>0</v>
      </c>
      <c r="CM402" s="424">
        <f>IF(WWWW[[#This Row],['#_of water points in TLS/CFS]]*500&gt;WWWW[[#This Row],[Total PoP ]],WWWW[[#This Row],[Total PoP ]],WWWW[[#This Row],['#_of water points in TLS/CFS]]*500)</f>
        <v>0</v>
      </c>
      <c r="CN402" s="424">
        <f>IF(WWWW[[#This Row],['#_of water points in THF]]*500&gt;WWWW[[#This Row],[Total PoP ]],WWWW[[#This Row],[Total PoP ]],WWWW[[#This Row],['#_of water points in THF]]*500)</f>
        <v>0</v>
      </c>
      <c r="CO40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0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02" s="996">
        <f>IF(WWWW[[#This Row],[Location Type 1]]="Village",WWWW[[#This Row],[Access to safe drinking water for Village]],WWWW[[#This Row],[Access to safe drinking water for Camp]])</f>
        <v>1</v>
      </c>
      <c r="CR402" s="994">
        <f>WWWW[[#This Row],[%Equitable and continuous access to sufficient quantity of safe drinking water]]*WWWW[[#This Row],[Total PoP ]]</f>
        <v>61</v>
      </c>
      <c r="CS402" s="996">
        <f>IF((WWWW[[#This Row],['#_Constructed/Existing protected/fenced ponds]]*250)/WWWW[[#This Row],[Total PoP ]]&gt;1,1,(WWWW[[#This Row],['#_Constructed/Existing protected/fenced ponds]]*250)/WWWW[[#This Row],[Total PoP ]])</f>
        <v>0</v>
      </c>
      <c r="CT402" s="994">
        <f>WWWW[[#This Row],[% Access to unimproved water points]]*WWWW[[#This Row],[Total PoP ]]</f>
        <v>0</v>
      </c>
      <c r="CU40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0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v>
      </c>
      <c r="CW402" s="994">
        <f>WWWW[[#This Row],[HRP1]]/500</f>
        <v>0.122</v>
      </c>
      <c r="CX402" s="999">
        <f>1-WWWW[[#This Row],[% Equitable and continuous access to sufficient quantity of domestic water]]</f>
        <v>0</v>
      </c>
      <c r="CY402" s="994">
        <f>WWWW[[#This Row],[%equitable and continuous access to sufficient quantity of safe drinking and domestic water''s GAP]]*WWWW[[#This Row],[Total PoP ]]</f>
        <v>0</v>
      </c>
      <c r="CZ402" s="997">
        <f>IF(WWWW[[#This Row],[Total required water points]]-WWWW[[#This Row],['#Water points coverage]]&lt;0,0,WWWW[[#This Row],[Total required water points]]-WWWW[[#This Row],['#Water points coverage]])</f>
        <v>0.878</v>
      </c>
      <c r="DA402" s="997">
        <f>ROUND(IF(WWWW[[#This Row],[Total PoP ]]&lt;500,1,WWWW[[#This Row],[Total PoP ]]/500),0)</f>
        <v>1</v>
      </c>
      <c r="DB402" s="997">
        <f>(WWWW[[#This Row],['#_Constructed latrines_by_WASHAgencies]]+WWWW[[#This Row],['#_Non Cluster partner latrines]])-WWWW[[#This Row],['#_Non-functional latrines]]</f>
        <v>4</v>
      </c>
      <c r="DC402" s="631">
        <f>WWWW[[#This Row],[HRP2]]/WWWW[[#This Row],[Total PoP ]]</f>
        <v>1</v>
      </c>
      <c r="DD40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61</v>
      </c>
      <c r="DE40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0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2" s="424">
        <f>IF(WWWW[[#This Row],['# of functional latrines in THF supported by WASH partners during the reporting period2]]="",0,WWWW[[#This Row],['# of functional latrines in THF supported by WASH partners during the reporting period2]]*50)</f>
        <v>0</v>
      </c>
      <c r="DH402" s="997">
        <f>ROUND(IF(WWWW[[#This Row],[Location Type 1]]="camp",WWWW[[#This Row],[Total PoP ]]/20,IF(WWWW[[#This Row],[Location Type 1]]="Temporary Location",WWWW[[#This Row],[Total PoP ]]/50,(WWWW[[#This Row],[Total PoP ]]/6))),0)</f>
        <v>3</v>
      </c>
      <c r="DI402" s="997">
        <f>IF(WWWW[[#This Row],[Total required Latrines]]-(WWWW[[#This Row],['#_Constructed latrines_by_WASHAgencies]]+WWWW[[#This Row],['#_Non Cluster partner latrines]])&lt;0,0,WWWW[[#This Row],[Total required Latrines]]-(WWWW[[#This Row],['#_Constructed latrines_by_WASHAgencies]]+WWWW[[#This Row],['#_Non Cluster partner latrines]]))</f>
        <v>0</v>
      </c>
      <c r="DJ402" s="999">
        <f>1-WWWW[[#This Row],[% people access to functioning Latrine]]</f>
        <v>0</v>
      </c>
      <c r="DK402" s="998">
        <f>IF(OR(WWWW[[#This Row],['#_Non-functional latrines]]="",WWWW[[#This Row],['#_Non-functional latrines]]=0),0,WWWW[[#This Row],['#_Non-functional latrines]]/(WWWW[[#This Row],['#_Constructed latrines_by_WASHAgencies]]+WWWW[[#This Row],['#_Non Cluster partner latrines]]))</f>
        <v>0</v>
      </c>
      <c r="DL402" s="994">
        <f>IF(500*(WWWW[[#This Row],['#_male hygiene promoters]]+WWWW[[#This Row],['#_female hygiene promoters]])&gt;WWWW[[#This Row],[Total PoP ]],WWWW[[#This Row],[Total PoP ]],500*(WWWW[[#This Row],['#_male hygiene promoters]]+WWWW[[#This Row],['#_female hygiene promoters]]))</f>
        <v>61</v>
      </c>
      <c r="DM40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0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02" s="997">
        <f>IF(WWWW[[#This Row],['# People with access to soap]]&gt;WWWW[[#This Row],['# People with access to Sanity Pads]],WWWW[[#This Row],['# People with access to soap]],WWWW[[#This Row],['# People with access to Sanity Pads]])</f>
        <v>0</v>
      </c>
      <c r="DP402" s="997">
        <f>IF(WWWW[[#This Row],['# people reached by regular dedicated hygiene promotion_5]]&gt;WWWW[[#This Row],['# People received regular supply of hygiene items_6]],WWWW[[#This Row],['# people reached by regular dedicated hygiene promotion_5]],WWWW[[#This Row],['# People received regular supply of hygiene items_6]])</f>
        <v>61</v>
      </c>
      <c r="DQ402" s="999">
        <f>IF(WWWW[[#This Row],[HRP3]]/WWWW[[#This Row],[Total PoP ]]&gt;1,1,WWWW[[#This Row],[HRP3]]/WWWW[[#This Row],[Total PoP ]])</f>
        <v>1</v>
      </c>
      <c r="DR402" s="998">
        <f>1-WWWW[[#This Row],[Hygiene Coverage%]]</f>
        <v>0</v>
      </c>
      <c r="DS402" s="996">
        <f>WWWW[[#This Row],['# people reached by regular dedicated hygiene promotion_5]]/WWWW[[#This Row],[Total PoP ]]</f>
        <v>1</v>
      </c>
      <c r="DT40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0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02" s="997">
        <f>WWWW[[#This Row],['#_Constructed/Existing hand washing stations]]-WWWW[[#This Row],['#_Non-Functional_hand_washing_stations]]</f>
        <v>2</v>
      </c>
      <c r="DW402" s="994">
        <f>IF(WWWW[[#This Row],['# Functional hand washing stations during reporting period]]*20&gt;WWWW[[#This Row],[Total HH]],WWWW[[#This Row],[Total HH]],WWWW[[#This Row],['# Functional hand washing stations during reporting period]]*20)</f>
        <v>18</v>
      </c>
      <c r="DX402" s="994">
        <f>IF(WWWW[[#This Row],[Is sufficient soap available for TLS? (Yes/No)]]="yes",WWWW[[#This Row],['#_Constructed/Existing hand washing stations at TLS/CFS/THF]],0)</f>
        <v>4</v>
      </c>
      <c r="DY402" s="428">
        <f>IF(WWWW[[#This Row],['# Functional hand washing stations during reporting period]]*100&gt;WWWW[[#This Row],[Total PoP ]],WWWW[[#This Row],[Total PoP ]],WWWW[[#This Row],['# Functional hand washing stations during reporting period]]*100)</f>
        <v>61</v>
      </c>
      <c r="DZ402" s="428" t="str">
        <f>IF(OR(WWWW[[#This Row],['#_students at TLS_CFS]]="",WWWW[[#This Row],['#_students at TLS_CFS]]=0),"No","Yes")</f>
        <v>Yes</v>
      </c>
      <c r="EA40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0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0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2" s="990">
        <f>VLOOKUP(WWWW[[#This Row],[Site Name]],SiteDB6[[Site Name]:[CCCM Management]],6,FALSE)</f>
        <v>0</v>
      </c>
      <c r="EF402" s="990" t="str">
        <f>VLOOKUP(WWWW[[#This Row],[Site Name]],SiteDB6[[Site Name]:[CCCM Focal Agency]],7,FALSE)</f>
        <v>KMSS-MYT</v>
      </c>
      <c r="EG402" s="990" t="str">
        <f>VLOOKUP(WWWW[[#This Row],[Site Name]],SiteDB6[[Site Name]:[Location Type 1]],9,FALSE)</f>
        <v>Camp</v>
      </c>
      <c r="EH402" s="990" t="str">
        <f>VLOOKUP(WWWW[[#This Row],[Site Name]],SiteDB6[[Site Name]:[Type of Accommodation]],10,FALSE)</f>
        <v>Camp</v>
      </c>
      <c r="EI402" s="990" t="str">
        <f>VLOOKUP(WWWW[[#This Row],[Site Name]],SiteDB6[[Site Name]:[Ethnic or GCA/NGCA]],11,FALSE)</f>
        <v>GCA</v>
      </c>
      <c r="EJ402" s="990">
        <f>VLOOKUP(WWWW[[#This Row],[Site Name]],SiteDB6[[Site Name]:[Lat]],12,FALSE)</f>
        <v>25.244700000000002</v>
      </c>
      <c r="EK402" s="990">
        <f>VLOOKUP(WWWW[[#This Row],[Site Name]],SiteDB6[[Site Name]:[Long]],13,FALSE)</f>
        <v>97.2209</v>
      </c>
      <c r="EL402" s="990" t="str">
        <f>VLOOKUP(WWWW[[#This Row],[Site Name]],SiteDB6[[Site Name]:[Pcode]],3,FALSE)</f>
        <v>MMR001CMP256</v>
      </c>
      <c r="EM402" s="995" t="str">
        <f t="shared" si="7"/>
        <v>Covered</v>
      </c>
      <c r="EN402" s="995"/>
      <c r="EO402" s="990">
        <f>VLOOKUP(WWWW[[#This Row],[Site Name]],SiteDB6[[Site Name]:[Pop
(Kachin/Shan-CCCM as of July 2021)]],16,FALSE)</f>
        <v>18</v>
      </c>
      <c r="EP402" s="990">
        <f>VLOOKUP(WWWW[[#This Row],[Site Name]],SiteDB6[[Site Name]:[Pop
(Kachin/Shan-CCCM as of July 2021)]],17,FALSE)</f>
        <v>60</v>
      </c>
    </row>
    <row r="403" spans="1:146">
      <c r="A403" s="988" t="s">
        <v>2765</v>
      </c>
      <c r="B403" s="988" t="s">
        <v>3073</v>
      </c>
      <c r="C403" s="989" t="s">
        <v>141</v>
      </c>
      <c r="D403" s="989" t="s">
        <v>3166</v>
      </c>
      <c r="E403" s="989" t="s">
        <v>37</v>
      </c>
      <c r="F403" s="989" t="s">
        <v>159</v>
      </c>
      <c r="G403" s="591" t="str">
        <f>VLOOKUP(WWWW[[#This Row],[Site Name]],SiteDB6[[Site Name]:[Location Type]],8,FALSE)</f>
        <v>Camp</v>
      </c>
      <c r="H403" s="989" t="s">
        <v>163</v>
      </c>
      <c r="I403" s="991">
        <v>142</v>
      </c>
      <c r="J403" s="991">
        <v>718</v>
      </c>
      <c r="K403" s="992">
        <v>44682</v>
      </c>
      <c r="L403" s="993">
        <v>45169</v>
      </c>
      <c r="M403" s="991"/>
      <c r="N403" s="991">
        <v>2</v>
      </c>
      <c r="O403" s="991"/>
      <c r="P403" s="991"/>
      <c r="Q403" s="994" t="s">
        <v>41</v>
      </c>
      <c r="R403" s="991">
        <v>2</v>
      </c>
      <c r="S403" s="991">
        <v>3</v>
      </c>
      <c r="T403" s="448">
        <v>1</v>
      </c>
      <c r="U403" s="991"/>
      <c r="V403" s="991"/>
      <c r="W403" s="991">
        <v>3</v>
      </c>
      <c r="X403" s="991"/>
      <c r="Y403" s="991"/>
      <c r="Z403" s="991"/>
      <c r="AA403" s="991"/>
      <c r="AB403" s="991"/>
      <c r="AC403" s="991"/>
      <c r="AD403" s="991"/>
      <c r="AE403" s="991"/>
      <c r="AF403" s="991"/>
      <c r="AG403" s="991"/>
      <c r="AH403" s="991">
        <v>2</v>
      </c>
      <c r="AI403" s="991"/>
      <c r="AJ403" s="991"/>
      <c r="AK403" s="991"/>
      <c r="AL403" s="991"/>
      <c r="AM403" s="991"/>
      <c r="AN403" s="991"/>
      <c r="AO403" s="448"/>
      <c r="AP403" s="995"/>
      <c r="AQ403" s="991">
        <v>8</v>
      </c>
      <c r="AR403" s="991"/>
      <c r="AS403" s="996"/>
      <c r="AT403" s="991"/>
      <c r="AU403" s="991"/>
      <c r="AV403" s="991"/>
      <c r="AW403" s="991"/>
      <c r="AX403" s="991">
        <v>8</v>
      </c>
      <c r="AY403" s="990" t="s">
        <v>41</v>
      </c>
      <c r="AZ403" s="995" t="s">
        <v>904</v>
      </c>
      <c r="BA403" s="991"/>
      <c r="BB403" s="991"/>
      <c r="BC403" s="991"/>
      <c r="BD403" s="448"/>
      <c r="BE403" s="448"/>
      <c r="BF403" s="990"/>
      <c r="BG403" s="991">
        <v>3</v>
      </c>
      <c r="BH403" s="991"/>
      <c r="BI403" s="991"/>
      <c r="BJ403" s="991">
        <v>2</v>
      </c>
      <c r="BK403" s="991"/>
      <c r="BL403" s="991"/>
      <c r="BM403" s="991"/>
      <c r="BN403" s="991"/>
      <c r="BO403" s="991"/>
      <c r="BP403" s="990"/>
      <c r="BQ403" s="997"/>
      <c r="BR403" s="996"/>
      <c r="BS403" s="990"/>
      <c r="BT403" s="423"/>
      <c r="BU403" s="423"/>
      <c r="BV403" s="425"/>
      <c r="BW403" s="423"/>
      <c r="BX403" s="448"/>
      <c r="BY403" s="448"/>
      <c r="BZ403" s="448"/>
      <c r="CA403" s="448"/>
      <c r="CB403" s="448"/>
      <c r="CC403" s="777"/>
      <c r="CD403" s="448"/>
      <c r="CE403" s="998" t="str">
        <f>IFERROR(WWWW[[#This Row],['#_Water sources passed]]/WWWW[[#This Row],['#_Water sources tested for fecal coliform ]],"no test")</f>
        <v>no test</v>
      </c>
      <c r="CF403" s="996" t="str">
        <f>IFERROR(WWWW[[#This Row],['#_Household passed]]/WWWW[[#This Row],['#_Household water samples tested for fecal coliform]],"no test")</f>
        <v>no test</v>
      </c>
      <c r="CG403" s="997" t="str">
        <f>IF(AND(WWWW[[#This Row],[% of water sources passed]]="no test",WWWW[[#This Row],[% Household passed]]="no test"),"No Test","Tested")</f>
        <v>No Test</v>
      </c>
      <c r="CH403" s="997">
        <f>WWWW[[#This Row],['#_Constructed/existing protected hand dug well]]-WWWW[[#This Row],['#_Non-functional protected hand dug well]]</f>
        <v>1</v>
      </c>
      <c r="CI403" s="997">
        <f>(WWWW[[#This Row],['#_Constructed/Existing tube wells/boreholes/handpumps_WASH_agency]]+WWWW[[#This Row],['#_Non-Cluster partner water tube-wells/boreholes/handpumps]])-WWWW[[#This Row],['#_Non-functional tube wells/boreholes/handpumps]]</f>
        <v>3</v>
      </c>
      <c r="CJ403" s="997">
        <f>WWWW[[#This Row],['#_Constructed/Existingwater storage tank with gravity fed reticulation system]]-WWWW[[#This Row],['#_Non-functional storage tank gravity fed reticulation system]]</f>
        <v>0</v>
      </c>
      <c r="CK403" s="997">
        <f>(WWWW[[#This Row],['#_Water_Liters_supplied_by_Water boating or water trucking]]/90)/15</f>
        <v>0</v>
      </c>
      <c r="CL403" s="997">
        <f>WWWW[[#This Row],['#_Water_Liters_from_Constructed/Existing water distribution system from river or natural spring]]/90/15</f>
        <v>0</v>
      </c>
      <c r="CM403" s="424">
        <f>IF(WWWW[[#This Row],['#_of water points in TLS/CFS]]*500&gt;WWWW[[#This Row],[Total PoP ]],WWWW[[#This Row],[Total PoP ]],WWWW[[#This Row],['#_of water points in TLS/CFS]]*500)</f>
        <v>0</v>
      </c>
      <c r="CN403" s="424">
        <f>IF(WWWW[[#This Row],['#_of water points in THF]]*500&gt;WWWW[[#This Row],[Total PoP ]],WWWW[[#This Row],[Total PoP ]],WWWW[[#This Row],['#_of water points in THF]]*500)</f>
        <v>0</v>
      </c>
      <c r="CO40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0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03" s="996">
        <f>IF(WWWW[[#This Row],[Location Type 1]]="Village",WWWW[[#This Row],[Access to safe drinking water for Village]],WWWW[[#This Row],[Access to safe drinking water for Camp]])</f>
        <v>1</v>
      </c>
      <c r="CR403" s="994">
        <f>WWWW[[#This Row],[%Equitable and continuous access to sufficient quantity of safe drinking water]]*WWWW[[#This Row],[Total PoP ]]</f>
        <v>718</v>
      </c>
      <c r="CS403" s="996">
        <f>IF((WWWW[[#This Row],['#_Constructed/Existing protected/fenced ponds]]*250)/WWWW[[#This Row],[Total PoP ]]&gt;1,1,(WWWW[[#This Row],['#_Constructed/Existing protected/fenced ponds]]*250)/WWWW[[#This Row],[Total PoP ]])</f>
        <v>0</v>
      </c>
      <c r="CT403" s="994">
        <f>WWWW[[#This Row],[% Access to unimproved water points]]*WWWW[[#This Row],[Total PoP ]]</f>
        <v>0</v>
      </c>
      <c r="CU40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0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718</v>
      </c>
      <c r="CW403" s="994">
        <f>WWWW[[#This Row],[HRP1]]/500</f>
        <v>1.4359999999999999</v>
      </c>
      <c r="CX403" s="999">
        <f>1-WWWW[[#This Row],[% Equitable and continuous access to sufficient quantity of domestic water]]</f>
        <v>0</v>
      </c>
      <c r="CY403" s="994">
        <f>WWWW[[#This Row],[%equitable and continuous access to sufficient quantity of safe drinking and domestic water''s GAP]]*WWWW[[#This Row],[Total PoP ]]</f>
        <v>0</v>
      </c>
      <c r="CZ403" s="997">
        <f>IF(WWWW[[#This Row],[Total required water points]]-WWWW[[#This Row],['#Water points coverage]]&lt;0,0,WWWW[[#This Row],[Total required water points]]-WWWW[[#This Row],['#Water points coverage]])</f>
        <v>0</v>
      </c>
      <c r="DA403" s="997">
        <f>ROUND(IF(WWWW[[#This Row],[Total PoP ]]&lt;500,1,WWWW[[#This Row],[Total PoP ]]/500),0)</f>
        <v>1</v>
      </c>
      <c r="DB403" s="997">
        <f>(WWWW[[#This Row],['#_Constructed latrines_by_WASHAgencies]]+WWWW[[#This Row],['#_Non Cluster partner latrines]])-WWWW[[#This Row],['#_Non-functional latrines]]</f>
        <v>8</v>
      </c>
      <c r="DC403" s="631">
        <f>WWWW[[#This Row],[HRP2]]/WWWW[[#This Row],[Total PoP ]]</f>
        <v>0.22284122562674094</v>
      </c>
      <c r="DD40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40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0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3" s="424">
        <f>IF(WWWW[[#This Row],['# of functional latrines in THF supported by WASH partners during the reporting period2]]="",0,WWWW[[#This Row],['# of functional latrines in THF supported by WASH partners during the reporting period2]]*50)</f>
        <v>0</v>
      </c>
      <c r="DH403" s="997">
        <f>ROUND(IF(WWWW[[#This Row],[Location Type 1]]="camp",WWWW[[#This Row],[Total PoP ]]/20,IF(WWWW[[#This Row],[Location Type 1]]="Temporary Location",WWWW[[#This Row],[Total PoP ]]/50,(WWWW[[#This Row],[Total PoP ]]/6))),0)</f>
        <v>36</v>
      </c>
      <c r="DI403" s="997">
        <f>IF(WWWW[[#This Row],[Total required Latrines]]-(WWWW[[#This Row],['#_Constructed latrines_by_WASHAgencies]]+WWWW[[#This Row],['#_Non Cluster partner latrines]])&lt;0,0,WWWW[[#This Row],[Total required Latrines]]-(WWWW[[#This Row],['#_Constructed latrines_by_WASHAgencies]]+WWWW[[#This Row],['#_Non Cluster partner latrines]]))</f>
        <v>28</v>
      </c>
      <c r="DJ403" s="999">
        <f>1-WWWW[[#This Row],[% people access to functioning Latrine]]</f>
        <v>0.77715877437325909</v>
      </c>
      <c r="DK403" s="998">
        <f>IF(OR(WWWW[[#This Row],['#_Non-functional latrines]]="",WWWW[[#This Row],['#_Non-functional latrines]]=0),0,WWWW[[#This Row],['#_Non-functional latrines]]/(WWWW[[#This Row],['#_Constructed latrines_by_WASHAgencies]]+WWWW[[#This Row],['#_Non Cluster partner latrines]]))</f>
        <v>0</v>
      </c>
      <c r="DL403" s="994">
        <f>IF(500*(WWWW[[#This Row],['#_male hygiene promoters]]+WWWW[[#This Row],['#_female hygiene promoters]])&gt;WWWW[[#This Row],[Total PoP ]],WWWW[[#This Row],[Total PoP ]],500*(WWWW[[#This Row],['#_male hygiene promoters]]+WWWW[[#This Row],['#_female hygiene promoters]]))</f>
        <v>0</v>
      </c>
      <c r="DM40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0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03" s="997">
        <f>IF(WWWW[[#This Row],['# People with access to soap]]&gt;WWWW[[#This Row],['# People with access to Sanity Pads]],WWWW[[#This Row],['# People with access to soap]],WWWW[[#This Row],['# People with access to Sanity Pads]])</f>
        <v>0</v>
      </c>
      <c r="DP403"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03" s="999">
        <f>IF(WWWW[[#This Row],[HRP3]]/WWWW[[#This Row],[Total PoP ]]&gt;1,1,WWWW[[#This Row],[HRP3]]/WWWW[[#This Row],[Total PoP ]])</f>
        <v>0</v>
      </c>
      <c r="DR403" s="998">
        <f>1-WWWW[[#This Row],[Hygiene Coverage%]]</f>
        <v>1</v>
      </c>
      <c r="DS403" s="996">
        <f>WWWW[[#This Row],['# people reached by regular dedicated hygiene promotion_5]]/WWWW[[#This Row],[Total PoP ]]</f>
        <v>0</v>
      </c>
      <c r="DT40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0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03" s="997">
        <f>WWWW[[#This Row],['#_Constructed/Existing hand washing stations]]-WWWW[[#This Row],['#_Non-Functional_hand_washing_stations]]</f>
        <v>3</v>
      </c>
      <c r="DW403" s="994">
        <f>IF(WWWW[[#This Row],['# Functional hand washing stations during reporting period]]*20&gt;WWWW[[#This Row],[Total HH]],WWWW[[#This Row],[Total HH]],WWWW[[#This Row],['# Functional hand washing stations during reporting period]]*20)</f>
        <v>60</v>
      </c>
      <c r="DX403" s="994">
        <f>IF(WWWW[[#This Row],[Is sufficient soap available for TLS? (Yes/No)]]="yes",WWWW[[#This Row],['#_Constructed/Existing hand washing stations at TLS/CFS/THF]],0)</f>
        <v>0</v>
      </c>
      <c r="DY403" s="428">
        <f>IF(WWWW[[#This Row],['# Functional hand washing stations during reporting period]]*100&gt;WWWW[[#This Row],[Total PoP ]],WWWW[[#This Row],[Total PoP ]],WWWW[[#This Row],['# Functional hand washing stations during reporting period]]*100)</f>
        <v>300</v>
      </c>
      <c r="DZ403" s="428" t="str">
        <f>IF(OR(WWWW[[#This Row],['#_students at TLS_CFS]]="",WWWW[[#This Row],['#_students at TLS_CFS]]=0),"No","Yes")</f>
        <v>No</v>
      </c>
      <c r="EA40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0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0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3" s="990" t="str">
        <f>VLOOKUP(WWWW[[#This Row],[Site Name]],SiteDB6[[Site Name]:[CCCM Management]],6,FALSE)</f>
        <v>Yes</v>
      </c>
      <c r="EF403" s="990" t="str">
        <f>VLOOKUP(WWWW[[#This Row],[Site Name]],SiteDB6[[Site Name]:[CCCM Focal Agency]],7,FALSE)</f>
        <v>KBC-MYT</v>
      </c>
      <c r="EG403" s="990" t="str">
        <f>VLOOKUP(WWWW[[#This Row],[Site Name]],SiteDB6[[Site Name]:[Location Type 1]],9,FALSE)</f>
        <v>Camp</v>
      </c>
      <c r="EH403" s="990" t="str">
        <f>VLOOKUP(WWWW[[#This Row],[Site Name]],SiteDB6[[Site Name]:[Type of Accommodation]],10,FALSE)</f>
        <v>Camp</v>
      </c>
      <c r="EI403" s="990" t="str">
        <f>VLOOKUP(WWWW[[#This Row],[Site Name]],SiteDB6[[Site Name]:[Ethnic or GCA/NGCA]],11,FALSE)</f>
        <v>GCA</v>
      </c>
      <c r="EJ403" s="990">
        <f>VLOOKUP(WWWW[[#This Row],[Site Name]],SiteDB6[[Site Name]:[Lat]],12,FALSE)</f>
        <v>25.362420757575801</v>
      </c>
      <c r="EK403" s="990">
        <f>VLOOKUP(WWWW[[#This Row],[Site Name]],SiteDB6[[Site Name]:[Long]],13,FALSE)</f>
        <v>97.409035000000003</v>
      </c>
      <c r="EL403" s="990" t="str">
        <f>VLOOKUP(WWWW[[#This Row],[Site Name]],SiteDB6[[Site Name]:[Pcode]],3,FALSE)</f>
        <v>MMR001CMP015</v>
      </c>
      <c r="EM403" s="995" t="str">
        <f t="shared" si="7"/>
        <v>Covered</v>
      </c>
      <c r="EN403" s="995"/>
      <c r="EO403" s="990">
        <f>VLOOKUP(WWWW[[#This Row],[Site Name]],SiteDB6[[Site Name]:[Pop
(Kachin/Shan-CCCM as of July 2021)]],16,FALSE)</f>
        <v>144</v>
      </c>
      <c r="EP403" s="990">
        <f>VLOOKUP(WWWW[[#This Row],[Site Name]],SiteDB6[[Site Name]:[Pop
(Kachin/Shan-CCCM as of July 2021)]],17,FALSE)</f>
        <v>723</v>
      </c>
    </row>
    <row r="404" spans="1:146">
      <c r="A404" s="988" t="s">
        <v>2765</v>
      </c>
      <c r="B404" s="988" t="s">
        <v>3073</v>
      </c>
      <c r="C404" s="989" t="s">
        <v>141</v>
      </c>
      <c r="D404" s="989" t="s">
        <v>3166</v>
      </c>
      <c r="E404" s="989" t="s">
        <v>37</v>
      </c>
      <c r="F404" s="989" t="s">
        <v>159</v>
      </c>
      <c r="G404" s="591" t="str">
        <f>VLOOKUP(WWWW[[#This Row],[Site Name]],SiteDB6[[Site Name]:[Location Type]],8,FALSE)</f>
        <v>Camp</v>
      </c>
      <c r="H404" s="989" t="s">
        <v>164</v>
      </c>
      <c r="I404" s="991">
        <v>136</v>
      </c>
      <c r="J404" s="991">
        <v>697</v>
      </c>
      <c r="K404" s="992">
        <v>44682</v>
      </c>
      <c r="L404" s="993">
        <v>45169</v>
      </c>
      <c r="M404" s="991"/>
      <c r="N404" s="991">
        <v>3</v>
      </c>
      <c r="O404" s="991"/>
      <c r="P404" s="991"/>
      <c r="Q404" s="994" t="s">
        <v>41</v>
      </c>
      <c r="R404" s="991">
        <v>2</v>
      </c>
      <c r="S404" s="991">
        <v>3</v>
      </c>
      <c r="T404" s="448">
        <v>3</v>
      </c>
      <c r="U404" s="991"/>
      <c r="V404" s="991"/>
      <c r="W404" s="991">
        <v>3</v>
      </c>
      <c r="X404" s="991"/>
      <c r="Y404" s="991"/>
      <c r="Z404" s="991"/>
      <c r="AA404" s="991"/>
      <c r="AB404" s="991"/>
      <c r="AC404" s="991"/>
      <c r="AD404" s="991"/>
      <c r="AE404" s="991"/>
      <c r="AF404" s="991"/>
      <c r="AG404" s="991"/>
      <c r="AH404" s="991">
        <v>2</v>
      </c>
      <c r="AI404" s="991"/>
      <c r="AJ404" s="991"/>
      <c r="AK404" s="991"/>
      <c r="AL404" s="991"/>
      <c r="AM404" s="991"/>
      <c r="AN404" s="991"/>
      <c r="AO404" s="448"/>
      <c r="AP404" s="995"/>
      <c r="AQ404" s="991">
        <v>32</v>
      </c>
      <c r="AR404" s="991"/>
      <c r="AS404" s="996"/>
      <c r="AT404" s="991"/>
      <c r="AU404" s="991"/>
      <c r="AV404" s="991"/>
      <c r="AW404" s="991"/>
      <c r="AX404" s="991">
        <v>32</v>
      </c>
      <c r="AY404" s="990" t="s">
        <v>41</v>
      </c>
      <c r="AZ404" s="995" t="s">
        <v>137</v>
      </c>
      <c r="BA404" s="991"/>
      <c r="BB404" s="991"/>
      <c r="BC404" s="991"/>
      <c r="BD404" s="448"/>
      <c r="BE404" s="448"/>
      <c r="BF404" s="990"/>
      <c r="BG404" s="991">
        <v>3</v>
      </c>
      <c r="BH404" s="991"/>
      <c r="BI404" s="991"/>
      <c r="BJ404" s="991">
        <v>2</v>
      </c>
      <c r="BK404" s="991"/>
      <c r="BL404" s="991"/>
      <c r="BM404" s="991"/>
      <c r="BN404" s="991"/>
      <c r="BO404" s="991"/>
      <c r="BP404" s="990"/>
      <c r="BQ404" s="997"/>
      <c r="BR404" s="996"/>
      <c r="BS404" s="990"/>
      <c r="BT404" s="423"/>
      <c r="BU404" s="423"/>
      <c r="BV404" s="425"/>
      <c r="BW404" s="423"/>
      <c r="BX404" s="448"/>
      <c r="BY404" s="448"/>
      <c r="BZ404" s="448"/>
      <c r="CA404" s="448"/>
      <c r="CB404" s="448"/>
      <c r="CC404" s="777"/>
      <c r="CD404" s="448"/>
      <c r="CE404" s="998" t="str">
        <f>IFERROR(WWWW[[#This Row],['#_Water sources passed]]/WWWW[[#This Row],['#_Water sources tested for fecal coliform ]],"no test")</f>
        <v>no test</v>
      </c>
      <c r="CF404" s="996" t="str">
        <f>IFERROR(WWWW[[#This Row],['#_Household passed]]/WWWW[[#This Row],['#_Household water samples tested for fecal coliform]],"no test")</f>
        <v>no test</v>
      </c>
      <c r="CG404" s="997" t="str">
        <f>IF(AND(WWWW[[#This Row],[% of water sources passed]]="no test",WWWW[[#This Row],[% Household passed]]="no test"),"No Test","Tested")</f>
        <v>No Test</v>
      </c>
      <c r="CH404" s="997">
        <f>WWWW[[#This Row],['#_Constructed/existing protected hand dug well]]-WWWW[[#This Row],['#_Non-functional protected hand dug well]]</f>
        <v>3</v>
      </c>
      <c r="CI404" s="997">
        <f>(WWWW[[#This Row],['#_Constructed/Existing tube wells/boreholes/handpumps_WASH_agency]]+WWWW[[#This Row],['#_Non-Cluster partner water tube-wells/boreholes/handpumps]])-WWWW[[#This Row],['#_Non-functional tube wells/boreholes/handpumps]]</f>
        <v>3</v>
      </c>
      <c r="CJ404" s="997">
        <f>WWWW[[#This Row],['#_Constructed/Existingwater storage tank with gravity fed reticulation system]]-WWWW[[#This Row],['#_Non-functional storage tank gravity fed reticulation system]]</f>
        <v>0</v>
      </c>
      <c r="CK404" s="997">
        <f>(WWWW[[#This Row],['#_Water_Liters_supplied_by_Water boating or water trucking]]/90)/15</f>
        <v>0</v>
      </c>
      <c r="CL404" s="997">
        <f>WWWW[[#This Row],['#_Water_Liters_from_Constructed/Existing water distribution system from river or natural spring]]/90/15</f>
        <v>0</v>
      </c>
      <c r="CM404" s="424">
        <f>IF(WWWW[[#This Row],['#_of water points in TLS/CFS]]*500&gt;WWWW[[#This Row],[Total PoP ]],WWWW[[#This Row],[Total PoP ]],WWWW[[#This Row],['#_of water points in TLS/CFS]]*500)</f>
        <v>0</v>
      </c>
      <c r="CN404" s="424">
        <f>IF(WWWW[[#This Row],['#_of water points in THF]]*500&gt;WWWW[[#This Row],[Total PoP ]],WWWW[[#This Row],[Total PoP ]],WWWW[[#This Row],['#_of water points in THF]]*500)</f>
        <v>0</v>
      </c>
      <c r="CO40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0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04" s="996">
        <f>IF(WWWW[[#This Row],[Location Type 1]]="Village",WWWW[[#This Row],[Access to safe drinking water for Village]],WWWW[[#This Row],[Access to safe drinking water for Camp]])</f>
        <v>1</v>
      </c>
      <c r="CR404" s="994">
        <f>WWWW[[#This Row],[%Equitable and continuous access to sufficient quantity of safe drinking water]]*WWWW[[#This Row],[Total PoP ]]</f>
        <v>697</v>
      </c>
      <c r="CS404" s="996">
        <f>IF((WWWW[[#This Row],['#_Constructed/Existing protected/fenced ponds]]*250)/WWWW[[#This Row],[Total PoP ]]&gt;1,1,(WWWW[[#This Row],['#_Constructed/Existing protected/fenced ponds]]*250)/WWWW[[#This Row],[Total PoP ]])</f>
        <v>0</v>
      </c>
      <c r="CT404" s="994">
        <f>WWWW[[#This Row],[% Access to unimproved water points]]*WWWW[[#This Row],[Total PoP ]]</f>
        <v>0</v>
      </c>
      <c r="CU40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0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697</v>
      </c>
      <c r="CW404" s="994">
        <f>WWWW[[#This Row],[HRP1]]/500</f>
        <v>1.3939999999999999</v>
      </c>
      <c r="CX404" s="999">
        <f>1-WWWW[[#This Row],[% Equitable and continuous access to sufficient quantity of domestic water]]</f>
        <v>0</v>
      </c>
      <c r="CY404" s="994">
        <f>WWWW[[#This Row],[%equitable and continuous access to sufficient quantity of safe drinking and domestic water''s GAP]]*WWWW[[#This Row],[Total PoP ]]</f>
        <v>0</v>
      </c>
      <c r="CZ404" s="997">
        <f>IF(WWWW[[#This Row],[Total required water points]]-WWWW[[#This Row],['#Water points coverage]]&lt;0,0,WWWW[[#This Row],[Total required water points]]-WWWW[[#This Row],['#Water points coverage]])</f>
        <v>0</v>
      </c>
      <c r="DA404" s="997">
        <f>ROUND(IF(WWWW[[#This Row],[Total PoP ]]&lt;500,1,WWWW[[#This Row],[Total PoP ]]/500),0)</f>
        <v>1</v>
      </c>
      <c r="DB404" s="997">
        <f>(WWWW[[#This Row],['#_Constructed latrines_by_WASHAgencies]]+WWWW[[#This Row],['#_Non Cluster partner latrines]])-WWWW[[#This Row],['#_Non-functional latrines]]</f>
        <v>32</v>
      </c>
      <c r="DC404" s="631">
        <f>WWWW[[#This Row],[HRP2]]/WWWW[[#This Row],[Total PoP ]]</f>
        <v>0.9182209469153515</v>
      </c>
      <c r="DD40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40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0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4" s="424">
        <f>IF(WWWW[[#This Row],['# of functional latrines in THF supported by WASH partners during the reporting period2]]="",0,WWWW[[#This Row],['# of functional latrines in THF supported by WASH partners during the reporting period2]]*50)</f>
        <v>0</v>
      </c>
      <c r="DH404" s="997">
        <f>ROUND(IF(WWWW[[#This Row],[Location Type 1]]="camp",WWWW[[#This Row],[Total PoP ]]/20,IF(WWWW[[#This Row],[Location Type 1]]="Temporary Location",WWWW[[#This Row],[Total PoP ]]/50,(WWWW[[#This Row],[Total PoP ]]/6))),0)</f>
        <v>35</v>
      </c>
      <c r="DI404" s="997">
        <f>IF(WWWW[[#This Row],[Total required Latrines]]-(WWWW[[#This Row],['#_Constructed latrines_by_WASHAgencies]]+WWWW[[#This Row],['#_Non Cluster partner latrines]])&lt;0,0,WWWW[[#This Row],[Total required Latrines]]-(WWWW[[#This Row],['#_Constructed latrines_by_WASHAgencies]]+WWWW[[#This Row],['#_Non Cluster partner latrines]]))</f>
        <v>3</v>
      </c>
      <c r="DJ404" s="999">
        <f>1-WWWW[[#This Row],[% people access to functioning Latrine]]</f>
        <v>8.1779053084648501E-2</v>
      </c>
      <c r="DK404" s="998">
        <f>IF(OR(WWWW[[#This Row],['#_Non-functional latrines]]="",WWWW[[#This Row],['#_Non-functional latrines]]=0),0,WWWW[[#This Row],['#_Non-functional latrines]]/(WWWW[[#This Row],['#_Constructed latrines_by_WASHAgencies]]+WWWW[[#This Row],['#_Non Cluster partner latrines]]))</f>
        <v>0</v>
      </c>
      <c r="DL404" s="994">
        <f>IF(500*(WWWW[[#This Row],['#_male hygiene promoters]]+WWWW[[#This Row],['#_female hygiene promoters]])&gt;WWWW[[#This Row],[Total PoP ]],WWWW[[#This Row],[Total PoP ]],500*(WWWW[[#This Row],['#_male hygiene promoters]]+WWWW[[#This Row],['#_female hygiene promoters]]))</f>
        <v>0</v>
      </c>
      <c r="DM40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0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04" s="997">
        <f>IF(WWWW[[#This Row],['# People with access to soap]]&gt;WWWW[[#This Row],['# People with access to Sanity Pads]],WWWW[[#This Row],['# People with access to soap]],WWWW[[#This Row],['# People with access to Sanity Pads]])</f>
        <v>0</v>
      </c>
      <c r="DP404"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04" s="999">
        <f>IF(WWWW[[#This Row],[HRP3]]/WWWW[[#This Row],[Total PoP ]]&gt;1,1,WWWW[[#This Row],[HRP3]]/WWWW[[#This Row],[Total PoP ]])</f>
        <v>0</v>
      </c>
      <c r="DR404" s="998">
        <f>1-WWWW[[#This Row],[Hygiene Coverage%]]</f>
        <v>1</v>
      </c>
      <c r="DS404" s="996">
        <f>WWWW[[#This Row],['# people reached by regular dedicated hygiene promotion_5]]/WWWW[[#This Row],[Total PoP ]]</f>
        <v>0</v>
      </c>
      <c r="DT40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0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04" s="997">
        <f>WWWW[[#This Row],['#_Constructed/Existing hand washing stations]]-WWWW[[#This Row],['#_Non-Functional_hand_washing_stations]]</f>
        <v>3</v>
      </c>
      <c r="DW404" s="994">
        <f>IF(WWWW[[#This Row],['# Functional hand washing stations during reporting period]]*20&gt;WWWW[[#This Row],[Total HH]],WWWW[[#This Row],[Total HH]],WWWW[[#This Row],['# Functional hand washing stations during reporting period]]*20)</f>
        <v>60</v>
      </c>
      <c r="DX404" s="994">
        <f>IF(WWWW[[#This Row],[Is sufficient soap available for TLS? (Yes/No)]]="yes",WWWW[[#This Row],['#_Constructed/Existing hand washing stations at TLS/CFS/THF]],0)</f>
        <v>0</v>
      </c>
      <c r="DY404" s="428">
        <f>IF(WWWW[[#This Row],['# Functional hand washing stations during reporting period]]*100&gt;WWWW[[#This Row],[Total PoP ]],WWWW[[#This Row],[Total PoP ]],WWWW[[#This Row],['# Functional hand washing stations during reporting period]]*100)</f>
        <v>300</v>
      </c>
      <c r="DZ404" s="428" t="str">
        <f>IF(OR(WWWW[[#This Row],['#_students at TLS_CFS]]="",WWWW[[#This Row],['#_students at TLS_CFS]]=0),"No","Yes")</f>
        <v>No</v>
      </c>
      <c r="EA40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0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0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4" s="990" t="str">
        <f>VLOOKUP(WWWW[[#This Row],[Site Name]],SiteDB6[[Site Name]:[CCCM Management]],6,FALSE)</f>
        <v>Yes</v>
      </c>
      <c r="EF404" s="990" t="str">
        <f>VLOOKUP(WWWW[[#This Row],[Site Name]],SiteDB6[[Site Name]:[CCCM Focal Agency]],7,FALSE)</f>
        <v>KBC-MYT</v>
      </c>
      <c r="EG404" s="990" t="str">
        <f>VLOOKUP(WWWW[[#This Row],[Site Name]],SiteDB6[[Site Name]:[Location Type 1]],9,FALSE)</f>
        <v>Camp</v>
      </c>
      <c r="EH404" s="990" t="str">
        <f>VLOOKUP(WWWW[[#This Row],[Site Name]],SiteDB6[[Site Name]:[Type of Accommodation]],10,FALSE)</f>
        <v>Camp</v>
      </c>
      <c r="EI404" s="990" t="str">
        <f>VLOOKUP(WWWW[[#This Row],[Site Name]],SiteDB6[[Site Name]:[Ethnic or GCA/NGCA]],11,FALSE)</f>
        <v>GCA</v>
      </c>
      <c r="EJ404" s="990">
        <f>VLOOKUP(WWWW[[#This Row],[Site Name]],SiteDB6[[Site Name]:[Lat]],12,FALSE)</f>
        <v>25.3510167948718</v>
      </c>
      <c r="EK404" s="990">
        <f>VLOOKUP(WWWW[[#This Row],[Site Name]],SiteDB6[[Site Name]:[Long]],13,FALSE)</f>
        <v>97.403402307692303</v>
      </c>
      <c r="EL404" s="990" t="str">
        <f>VLOOKUP(WWWW[[#This Row],[Site Name]],SiteDB6[[Site Name]:[Pcode]],3,FALSE)</f>
        <v>MMR001CMP014</v>
      </c>
      <c r="EM404" s="995" t="str">
        <f t="shared" si="7"/>
        <v>Covered</v>
      </c>
      <c r="EN404" s="995"/>
      <c r="EO404" s="990">
        <f>VLOOKUP(WWWW[[#This Row],[Site Name]],SiteDB6[[Site Name]:[Pop
(Kachin/Shan-CCCM as of July 2021)]],16,FALSE)</f>
        <v>136</v>
      </c>
      <c r="EP404" s="990">
        <f>VLOOKUP(WWWW[[#This Row],[Site Name]],SiteDB6[[Site Name]:[Pop
(Kachin/Shan-CCCM as of July 2021)]],17,FALSE)</f>
        <v>697</v>
      </c>
    </row>
    <row r="405" spans="1:146">
      <c r="A405" s="988" t="s">
        <v>2765</v>
      </c>
      <c r="B405" s="988" t="s">
        <v>3073</v>
      </c>
      <c r="C405" s="989" t="s">
        <v>141</v>
      </c>
      <c r="D405" s="989" t="s">
        <v>3166</v>
      </c>
      <c r="E405" s="989" t="s">
        <v>37</v>
      </c>
      <c r="F405" s="989" t="s">
        <v>159</v>
      </c>
      <c r="G405" s="591" t="str">
        <f>VLOOKUP(WWWW[[#This Row],[Site Name]],SiteDB6[[Site Name]:[Location Type]],8,FALSE)</f>
        <v>Camp</v>
      </c>
      <c r="H405" s="989" t="s">
        <v>165</v>
      </c>
      <c r="I405" s="991">
        <v>59</v>
      </c>
      <c r="J405" s="991">
        <v>327</v>
      </c>
      <c r="K405" s="992">
        <v>44682</v>
      </c>
      <c r="L405" s="993">
        <v>45169</v>
      </c>
      <c r="M405" s="991"/>
      <c r="N405" s="991">
        <v>1</v>
      </c>
      <c r="O405" s="991"/>
      <c r="P405" s="991"/>
      <c r="Q405" s="994" t="s">
        <v>41</v>
      </c>
      <c r="R405" s="991">
        <v>1</v>
      </c>
      <c r="S405" s="991">
        <v>2</v>
      </c>
      <c r="T405" s="448">
        <v>3</v>
      </c>
      <c r="U405" s="991"/>
      <c r="V405" s="991"/>
      <c r="W405" s="991"/>
      <c r="X405" s="991"/>
      <c r="Y405" s="991"/>
      <c r="Z405" s="991"/>
      <c r="AA405" s="991"/>
      <c r="AB405" s="991"/>
      <c r="AC405" s="991"/>
      <c r="AD405" s="991"/>
      <c r="AE405" s="991"/>
      <c r="AF405" s="991"/>
      <c r="AG405" s="991"/>
      <c r="AH405" s="991">
        <v>2</v>
      </c>
      <c r="AI405" s="991"/>
      <c r="AJ405" s="991"/>
      <c r="AK405" s="991"/>
      <c r="AL405" s="991"/>
      <c r="AM405" s="991"/>
      <c r="AN405" s="991"/>
      <c r="AO405" s="448"/>
      <c r="AP405" s="995"/>
      <c r="AQ405" s="991">
        <v>7</v>
      </c>
      <c r="AR405" s="991"/>
      <c r="AS405" s="996"/>
      <c r="AT405" s="991"/>
      <c r="AU405" s="991"/>
      <c r="AV405" s="991"/>
      <c r="AW405" s="991"/>
      <c r="AX405" s="991">
        <v>7</v>
      </c>
      <c r="AY405" s="990" t="s">
        <v>41</v>
      </c>
      <c r="AZ405" s="995" t="s">
        <v>904</v>
      </c>
      <c r="BA405" s="991"/>
      <c r="BB405" s="991"/>
      <c r="BC405" s="991"/>
      <c r="BD405" s="448"/>
      <c r="BE405" s="448"/>
      <c r="BF405" s="990"/>
      <c r="BG405" s="991">
        <v>3</v>
      </c>
      <c r="BH405" s="991"/>
      <c r="BI405" s="991"/>
      <c r="BJ405" s="991">
        <v>2</v>
      </c>
      <c r="BK405" s="991"/>
      <c r="BL405" s="991"/>
      <c r="BM405" s="991"/>
      <c r="BN405" s="991"/>
      <c r="BO405" s="991"/>
      <c r="BP405" s="990"/>
      <c r="BQ405" s="997"/>
      <c r="BR405" s="996"/>
      <c r="BS405" s="990"/>
      <c r="BT405" s="423"/>
      <c r="BU405" s="423"/>
      <c r="BV405" s="425"/>
      <c r="BW405" s="423"/>
      <c r="BX405" s="448"/>
      <c r="BY405" s="448"/>
      <c r="BZ405" s="448"/>
      <c r="CA405" s="448"/>
      <c r="CB405" s="448"/>
      <c r="CC405" s="777"/>
      <c r="CD405" s="448"/>
      <c r="CE405" s="998" t="str">
        <f>IFERROR(WWWW[[#This Row],['#_Water sources passed]]/WWWW[[#This Row],['#_Water sources tested for fecal coliform ]],"no test")</f>
        <v>no test</v>
      </c>
      <c r="CF405" s="996" t="str">
        <f>IFERROR(WWWW[[#This Row],['#_Household passed]]/WWWW[[#This Row],['#_Household water samples tested for fecal coliform]],"no test")</f>
        <v>no test</v>
      </c>
      <c r="CG405" s="997" t="str">
        <f>IF(AND(WWWW[[#This Row],[% of water sources passed]]="no test",WWWW[[#This Row],[% Household passed]]="no test"),"No Test","Tested")</f>
        <v>No Test</v>
      </c>
      <c r="CH405" s="997">
        <f>WWWW[[#This Row],['#_Constructed/existing protected hand dug well]]-WWWW[[#This Row],['#_Non-functional protected hand dug well]]</f>
        <v>3</v>
      </c>
      <c r="CI405" s="997">
        <f>(WWWW[[#This Row],['#_Constructed/Existing tube wells/boreholes/handpumps_WASH_agency]]+WWWW[[#This Row],['#_Non-Cluster partner water tube-wells/boreholes/handpumps]])-WWWW[[#This Row],['#_Non-functional tube wells/boreholes/handpumps]]</f>
        <v>0</v>
      </c>
      <c r="CJ405" s="997">
        <f>WWWW[[#This Row],['#_Constructed/Existingwater storage tank with gravity fed reticulation system]]-WWWW[[#This Row],['#_Non-functional storage tank gravity fed reticulation system]]</f>
        <v>0</v>
      </c>
      <c r="CK405" s="997">
        <f>(WWWW[[#This Row],['#_Water_Liters_supplied_by_Water boating or water trucking]]/90)/15</f>
        <v>0</v>
      </c>
      <c r="CL405" s="997">
        <f>WWWW[[#This Row],['#_Water_Liters_from_Constructed/Existing water distribution system from river or natural spring]]/90/15</f>
        <v>0</v>
      </c>
      <c r="CM405" s="424">
        <f>IF(WWWW[[#This Row],['#_of water points in TLS/CFS]]*500&gt;WWWW[[#This Row],[Total PoP ]],WWWW[[#This Row],[Total PoP ]],WWWW[[#This Row],['#_of water points in TLS/CFS]]*500)</f>
        <v>0</v>
      </c>
      <c r="CN405" s="424">
        <f>IF(WWWW[[#This Row],['#_of water points in THF]]*500&gt;WWWW[[#This Row],[Total PoP ]],WWWW[[#This Row],[Total PoP ]],WWWW[[#This Row],['#_of water points in THF]]*500)</f>
        <v>0</v>
      </c>
      <c r="CO40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0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05" s="996">
        <f>IF(WWWW[[#This Row],[Location Type 1]]="Village",WWWW[[#This Row],[Access to safe drinking water for Village]],WWWW[[#This Row],[Access to safe drinking water for Camp]])</f>
        <v>1</v>
      </c>
      <c r="CR405" s="994">
        <f>WWWW[[#This Row],[%Equitable and continuous access to sufficient quantity of safe drinking water]]*WWWW[[#This Row],[Total PoP ]]</f>
        <v>327</v>
      </c>
      <c r="CS405" s="996">
        <f>IF((WWWW[[#This Row],['#_Constructed/Existing protected/fenced ponds]]*250)/WWWW[[#This Row],[Total PoP ]]&gt;1,1,(WWWW[[#This Row],['#_Constructed/Existing protected/fenced ponds]]*250)/WWWW[[#This Row],[Total PoP ]])</f>
        <v>0</v>
      </c>
      <c r="CT405" s="994">
        <f>WWWW[[#This Row],[% Access to unimproved water points]]*WWWW[[#This Row],[Total PoP ]]</f>
        <v>0</v>
      </c>
      <c r="CU40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0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327</v>
      </c>
      <c r="CW405" s="994">
        <f>WWWW[[#This Row],[HRP1]]/500</f>
        <v>0.65400000000000003</v>
      </c>
      <c r="CX405" s="999">
        <f>1-WWWW[[#This Row],[% Equitable and continuous access to sufficient quantity of domestic water]]</f>
        <v>0</v>
      </c>
      <c r="CY405" s="994">
        <f>WWWW[[#This Row],[%equitable and continuous access to sufficient quantity of safe drinking and domestic water''s GAP]]*WWWW[[#This Row],[Total PoP ]]</f>
        <v>0</v>
      </c>
      <c r="CZ405" s="997">
        <f>IF(WWWW[[#This Row],[Total required water points]]-WWWW[[#This Row],['#Water points coverage]]&lt;0,0,WWWW[[#This Row],[Total required water points]]-WWWW[[#This Row],['#Water points coverage]])</f>
        <v>0.34599999999999997</v>
      </c>
      <c r="DA405" s="997">
        <f>ROUND(IF(WWWW[[#This Row],[Total PoP ]]&lt;500,1,WWWW[[#This Row],[Total PoP ]]/500),0)</f>
        <v>1</v>
      </c>
      <c r="DB405" s="997">
        <f>(WWWW[[#This Row],['#_Constructed latrines_by_WASHAgencies]]+WWWW[[#This Row],['#_Non Cluster partner latrines]])-WWWW[[#This Row],['#_Non-functional latrines]]</f>
        <v>7</v>
      </c>
      <c r="DC405" s="631">
        <f>WWWW[[#This Row],[HRP2]]/WWWW[[#This Row],[Total PoP ]]</f>
        <v>0.42813455657492355</v>
      </c>
      <c r="DD40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40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0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5" s="424">
        <f>IF(WWWW[[#This Row],['# of functional latrines in THF supported by WASH partners during the reporting period2]]="",0,WWWW[[#This Row],['# of functional latrines in THF supported by WASH partners during the reporting period2]]*50)</f>
        <v>0</v>
      </c>
      <c r="DH405" s="997">
        <f>ROUND(IF(WWWW[[#This Row],[Location Type 1]]="camp",WWWW[[#This Row],[Total PoP ]]/20,IF(WWWW[[#This Row],[Location Type 1]]="Temporary Location",WWWW[[#This Row],[Total PoP ]]/50,(WWWW[[#This Row],[Total PoP ]]/6))),0)</f>
        <v>16</v>
      </c>
      <c r="DI405" s="997">
        <f>IF(WWWW[[#This Row],[Total required Latrines]]-(WWWW[[#This Row],['#_Constructed latrines_by_WASHAgencies]]+WWWW[[#This Row],['#_Non Cluster partner latrines]])&lt;0,0,WWWW[[#This Row],[Total required Latrines]]-(WWWW[[#This Row],['#_Constructed latrines_by_WASHAgencies]]+WWWW[[#This Row],['#_Non Cluster partner latrines]]))</f>
        <v>9</v>
      </c>
      <c r="DJ405" s="999">
        <f>1-WWWW[[#This Row],[% people access to functioning Latrine]]</f>
        <v>0.5718654434250765</v>
      </c>
      <c r="DK405" s="998">
        <f>IF(OR(WWWW[[#This Row],['#_Non-functional latrines]]="",WWWW[[#This Row],['#_Non-functional latrines]]=0),0,WWWW[[#This Row],['#_Non-functional latrines]]/(WWWW[[#This Row],['#_Constructed latrines_by_WASHAgencies]]+WWWW[[#This Row],['#_Non Cluster partner latrines]]))</f>
        <v>0</v>
      </c>
      <c r="DL405" s="994">
        <f>IF(500*(WWWW[[#This Row],['#_male hygiene promoters]]+WWWW[[#This Row],['#_female hygiene promoters]])&gt;WWWW[[#This Row],[Total PoP ]],WWWW[[#This Row],[Total PoP ]],500*(WWWW[[#This Row],['#_male hygiene promoters]]+WWWW[[#This Row],['#_female hygiene promoters]]))</f>
        <v>0</v>
      </c>
      <c r="DM40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0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05" s="997">
        <f>IF(WWWW[[#This Row],['# People with access to soap]]&gt;WWWW[[#This Row],['# People with access to Sanity Pads]],WWWW[[#This Row],['# People with access to soap]],WWWW[[#This Row],['# People with access to Sanity Pads]])</f>
        <v>0</v>
      </c>
      <c r="DP405"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05" s="999">
        <f>IF(WWWW[[#This Row],[HRP3]]/WWWW[[#This Row],[Total PoP ]]&gt;1,1,WWWW[[#This Row],[HRP3]]/WWWW[[#This Row],[Total PoP ]])</f>
        <v>0</v>
      </c>
      <c r="DR405" s="998">
        <f>1-WWWW[[#This Row],[Hygiene Coverage%]]</f>
        <v>1</v>
      </c>
      <c r="DS405" s="996">
        <f>WWWW[[#This Row],['# people reached by regular dedicated hygiene promotion_5]]/WWWW[[#This Row],[Total PoP ]]</f>
        <v>0</v>
      </c>
      <c r="DT40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0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05" s="997">
        <f>WWWW[[#This Row],['#_Constructed/Existing hand washing stations]]-WWWW[[#This Row],['#_Non-Functional_hand_washing_stations]]</f>
        <v>3</v>
      </c>
      <c r="DW405" s="994">
        <f>IF(WWWW[[#This Row],['# Functional hand washing stations during reporting period]]*20&gt;WWWW[[#This Row],[Total HH]],WWWW[[#This Row],[Total HH]],WWWW[[#This Row],['# Functional hand washing stations during reporting period]]*20)</f>
        <v>59</v>
      </c>
      <c r="DX405" s="994">
        <f>IF(WWWW[[#This Row],[Is sufficient soap available for TLS? (Yes/No)]]="yes",WWWW[[#This Row],['#_Constructed/Existing hand washing stations at TLS/CFS/THF]],0)</f>
        <v>0</v>
      </c>
      <c r="DY405" s="428">
        <f>IF(WWWW[[#This Row],['# Functional hand washing stations during reporting period]]*100&gt;WWWW[[#This Row],[Total PoP ]],WWWW[[#This Row],[Total PoP ]],WWWW[[#This Row],['# Functional hand washing stations during reporting period]]*100)</f>
        <v>300</v>
      </c>
      <c r="DZ405" s="428" t="str">
        <f>IF(OR(WWWW[[#This Row],['#_students at TLS_CFS]]="",WWWW[[#This Row],['#_students at TLS_CFS]]=0),"No","Yes")</f>
        <v>No</v>
      </c>
      <c r="EA40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0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0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5" s="990" t="str">
        <f>VLOOKUP(WWWW[[#This Row],[Site Name]],SiteDB6[[Site Name]:[CCCM Management]],6,FALSE)</f>
        <v>Yes</v>
      </c>
      <c r="EF405" s="990" t="str">
        <f>VLOOKUP(WWWW[[#This Row],[Site Name]],SiteDB6[[Site Name]:[CCCM Focal Agency]],7,FALSE)</f>
        <v>KBC-MYT</v>
      </c>
      <c r="EG405" s="990" t="str">
        <f>VLOOKUP(WWWW[[#This Row],[Site Name]],SiteDB6[[Site Name]:[Location Type 1]],9,FALSE)</f>
        <v>Camp</v>
      </c>
      <c r="EH405" s="990" t="str">
        <f>VLOOKUP(WWWW[[#This Row],[Site Name]],SiteDB6[[Site Name]:[Type of Accommodation]],10,FALSE)</f>
        <v>Camp</v>
      </c>
      <c r="EI405" s="990" t="str">
        <f>VLOOKUP(WWWW[[#This Row],[Site Name]],SiteDB6[[Site Name]:[Ethnic or GCA/NGCA]],11,FALSE)</f>
        <v>GCA</v>
      </c>
      <c r="EJ405" s="990">
        <f>VLOOKUP(WWWW[[#This Row],[Site Name]],SiteDB6[[Site Name]:[Lat]],12,FALSE)</f>
        <v>25.360463124999999</v>
      </c>
      <c r="EK405" s="990">
        <f>VLOOKUP(WWWW[[#This Row],[Site Name]],SiteDB6[[Site Name]:[Long]],13,FALSE)</f>
        <v>97.4113064583333</v>
      </c>
      <c r="EL405" s="990" t="str">
        <f>VLOOKUP(WWWW[[#This Row],[Site Name]],SiteDB6[[Site Name]:[Pcode]],3,FALSE)</f>
        <v>MMR001CMP016</v>
      </c>
      <c r="EM405" s="995" t="str">
        <f t="shared" si="7"/>
        <v>Covered</v>
      </c>
      <c r="EN405" s="995"/>
      <c r="EO405" s="990">
        <f>VLOOKUP(WWWW[[#This Row],[Site Name]],SiteDB6[[Site Name]:[Pop
(Kachin/Shan-CCCM as of July 2021)]],16,FALSE)</f>
        <v>59</v>
      </c>
      <c r="EP405" s="990">
        <f>VLOOKUP(WWWW[[#This Row],[Site Name]],SiteDB6[[Site Name]:[Pop
(Kachin/Shan-CCCM as of July 2021)]],17,FALSE)</f>
        <v>327</v>
      </c>
    </row>
    <row r="406" spans="1:146">
      <c r="A406" s="988" t="s">
        <v>2765</v>
      </c>
      <c r="B406" s="988" t="s">
        <v>3073</v>
      </c>
      <c r="C406" s="989" t="s">
        <v>141</v>
      </c>
      <c r="D406" s="989" t="s">
        <v>3166</v>
      </c>
      <c r="E406" s="989" t="s">
        <v>37</v>
      </c>
      <c r="F406" s="989" t="s">
        <v>159</v>
      </c>
      <c r="G406" s="591" t="str">
        <f>VLOOKUP(WWWW[[#This Row],[Site Name]],SiteDB6[[Site Name]:[Location Type]],8,FALSE)</f>
        <v>Camp</v>
      </c>
      <c r="H406" s="989" t="s">
        <v>166</v>
      </c>
      <c r="I406" s="991">
        <v>108</v>
      </c>
      <c r="J406" s="991">
        <v>622</v>
      </c>
      <c r="K406" s="992">
        <v>44682</v>
      </c>
      <c r="L406" s="993">
        <v>45169</v>
      </c>
      <c r="M406" s="991"/>
      <c r="N406" s="991">
        <v>2</v>
      </c>
      <c r="O406" s="991"/>
      <c r="P406" s="991"/>
      <c r="Q406" s="994" t="s">
        <v>41</v>
      </c>
      <c r="R406" s="991">
        <v>2</v>
      </c>
      <c r="S406" s="991">
        <v>3</v>
      </c>
      <c r="T406" s="448">
        <v>2</v>
      </c>
      <c r="U406" s="991"/>
      <c r="V406" s="991"/>
      <c r="W406" s="991">
        <v>3</v>
      </c>
      <c r="X406" s="991"/>
      <c r="Y406" s="991"/>
      <c r="Z406" s="991"/>
      <c r="AA406" s="991"/>
      <c r="AB406" s="991"/>
      <c r="AC406" s="991"/>
      <c r="AD406" s="991"/>
      <c r="AE406" s="991"/>
      <c r="AF406" s="991"/>
      <c r="AG406" s="991"/>
      <c r="AH406" s="991">
        <v>3</v>
      </c>
      <c r="AI406" s="991"/>
      <c r="AJ406" s="991"/>
      <c r="AK406" s="991"/>
      <c r="AL406" s="991"/>
      <c r="AM406" s="991"/>
      <c r="AN406" s="991"/>
      <c r="AO406" s="448"/>
      <c r="AP406" s="995"/>
      <c r="AQ406" s="991">
        <v>34</v>
      </c>
      <c r="AR406" s="991"/>
      <c r="AS406" s="996"/>
      <c r="AT406" s="991"/>
      <c r="AU406" s="991"/>
      <c r="AV406" s="991"/>
      <c r="AW406" s="991"/>
      <c r="AX406" s="991">
        <v>34</v>
      </c>
      <c r="AY406" s="990" t="s">
        <v>41</v>
      </c>
      <c r="AZ406" s="995" t="s">
        <v>904</v>
      </c>
      <c r="BA406" s="991"/>
      <c r="BB406" s="991"/>
      <c r="BC406" s="991"/>
      <c r="BD406" s="448"/>
      <c r="BE406" s="448"/>
      <c r="BF406" s="990"/>
      <c r="BG406" s="991">
        <v>3</v>
      </c>
      <c r="BH406" s="991"/>
      <c r="BI406" s="991"/>
      <c r="BJ406" s="991">
        <v>2</v>
      </c>
      <c r="BK406" s="991"/>
      <c r="BL406" s="991"/>
      <c r="BM406" s="991"/>
      <c r="BN406" s="991"/>
      <c r="BO406" s="991"/>
      <c r="BP406" s="990"/>
      <c r="BQ406" s="997"/>
      <c r="BR406" s="996"/>
      <c r="BS406" s="990"/>
      <c r="BT406" s="423"/>
      <c r="BU406" s="423"/>
      <c r="BV406" s="425"/>
      <c r="BW406" s="423"/>
      <c r="BX406" s="448"/>
      <c r="BY406" s="448"/>
      <c r="BZ406" s="448"/>
      <c r="CA406" s="448"/>
      <c r="CB406" s="448"/>
      <c r="CC406" s="777"/>
      <c r="CD406" s="448"/>
      <c r="CE406" s="998" t="str">
        <f>IFERROR(WWWW[[#This Row],['#_Water sources passed]]/WWWW[[#This Row],['#_Water sources tested for fecal coliform ]],"no test")</f>
        <v>no test</v>
      </c>
      <c r="CF406" s="996" t="str">
        <f>IFERROR(WWWW[[#This Row],['#_Household passed]]/WWWW[[#This Row],['#_Household water samples tested for fecal coliform]],"no test")</f>
        <v>no test</v>
      </c>
      <c r="CG406" s="997" t="str">
        <f>IF(AND(WWWW[[#This Row],[% of water sources passed]]="no test",WWWW[[#This Row],[% Household passed]]="no test"),"No Test","Tested")</f>
        <v>No Test</v>
      </c>
      <c r="CH406" s="997">
        <f>WWWW[[#This Row],['#_Constructed/existing protected hand dug well]]-WWWW[[#This Row],['#_Non-functional protected hand dug well]]</f>
        <v>2</v>
      </c>
      <c r="CI406" s="997">
        <f>(WWWW[[#This Row],['#_Constructed/Existing tube wells/boreholes/handpumps_WASH_agency]]+WWWW[[#This Row],['#_Non-Cluster partner water tube-wells/boreholes/handpumps]])-WWWW[[#This Row],['#_Non-functional tube wells/boreholes/handpumps]]</f>
        <v>3</v>
      </c>
      <c r="CJ406" s="997">
        <f>WWWW[[#This Row],['#_Constructed/Existingwater storage tank with gravity fed reticulation system]]-WWWW[[#This Row],['#_Non-functional storage tank gravity fed reticulation system]]</f>
        <v>0</v>
      </c>
      <c r="CK406" s="997">
        <f>(WWWW[[#This Row],['#_Water_Liters_supplied_by_Water boating or water trucking]]/90)/15</f>
        <v>0</v>
      </c>
      <c r="CL406" s="997">
        <f>WWWW[[#This Row],['#_Water_Liters_from_Constructed/Existing water distribution system from river or natural spring]]/90/15</f>
        <v>0</v>
      </c>
      <c r="CM406" s="424">
        <f>IF(WWWW[[#This Row],['#_of water points in TLS/CFS]]*500&gt;WWWW[[#This Row],[Total PoP ]],WWWW[[#This Row],[Total PoP ]],WWWW[[#This Row],['#_of water points in TLS/CFS]]*500)</f>
        <v>0</v>
      </c>
      <c r="CN406" s="424">
        <f>IF(WWWW[[#This Row],['#_of water points in THF]]*500&gt;WWWW[[#This Row],[Total PoP ]],WWWW[[#This Row],[Total PoP ]],WWWW[[#This Row],['#_of water points in THF]]*500)</f>
        <v>0</v>
      </c>
      <c r="CO40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0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06" s="996">
        <f>IF(WWWW[[#This Row],[Location Type 1]]="Village",WWWW[[#This Row],[Access to safe drinking water for Village]],WWWW[[#This Row],[Access to safe drinking water for Camp]])</f>
        <v>1</v>
      </c>
      <c r="CR406" s="994">
        <f>WWWW[[#This Row],[%Equitable and continuous access to sufficient quantity of safe drinking water]]*WWWW[[#This Row],[Total PoP ]]</f>
        <v>622</v>
      </c>
      <c r="CS406" s="996">
        <f>IF((WWWW[[#This Row],['#_Constructed/Existing protected/fenced ponds]]*250)/WWWW[[#This Row],[Total PoP ]]&gt;1,1,(WWWW[[#This Row],['#_Constructed/Existing protected/fenced ponds]]*250)/WWWW[[#This Row],[Total PoP ]])</f>
        <v>0</v>
      </c>
      <c r="CT406" s="994">
        <f>WWWW[[#This Row],[% Access to unimproved water points]]*WWWW[[#This Row],[Total PoP ]]</f>
        <v>0</v>
      </c>
      <c r="CU40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0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622</v>
      </c>
      <c r="CW406" s="994">
        <f>WWWW[[#This Row],[HRP1]]/500</f>
        <v>1.244</v>
      </c>
      <c r="CX406" s="999">
        <f>1-WWWW[[#This Row],[% Equitable and continuous access to sufficient quantity of domestic water]]</f>
        <v>0</v>
      </c>
      <c r="CY406" s="994">
        <f>WWWW[[#This Row],[%equitable and continuous access to sufficient quantity of safe drinking and domestic water''s GAP]]*WWWW[[#This Row],[Total PoP ]]</f>
        <v>0</v>
      </c>
      <c r="CZ406" s="997">
        <f>IF(WWWW[[#This Row],[Total required water points]]-WWWW[[#This Row],['#Water points coverage]]&lt;0,0,WWWW[[#This Row],[Total required water points]]-WWWW[[#This Row],['#Water points coverage]])</f>
        <v>0</v>
      </c>
      <c r="DA406" s="997">
        <f>ROUND(IF(WWWW[[#This Row],[Total PoP ]]&lt;500,1,WWWW[[#This Row],[Total PoP ]]/500),0)</f>
        <v>1</v>
      </c>
      <c r="DB406" s="997">
        <f>(WWWW[[#This Row],['#_Constructed latrines_by_WASHAgencies]]+WWWW[[#This Row],['#_Non Cluster partner latrines]])-WWWW[[#This Row],['#_Non-functional latrines]]</f>
        <v>34</v>
      </c>
      <c r="DC406" s="631">
        <f>WWWW[[#This Row],[HRP2]]/WWWW[[#This Row],[Total PoP ]]</f>
        <v>1</v>
      </c>
      <c r="DD40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622</v>
      </c>
      <c r="DE40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0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6" s="424">
        <f>IF(WWWW[[#This Row],['# of functional latrines in THF supported by WASH partners during the reporting period2]]="",0,WWWW[[#This Row],['# of functional latrines in THF supported by WASH partners during the reporting period2]]*50)</f>
        <v>0</v>
      </c>
      <c r="DH406" s="997">
        <f>ROUND(IF(WWWW[[#This Row],[Location Type 1]]="camp",WWWW[[#This Row],[Total PoP ]]/20,IF(WWWW[[#This Row],[Location Type 1]]="Temporary Location",WWWW[[#This Row],[Total PoP ]]/50,(WWWW[[#This Row],[Total PoP ]]/6))),0)</f>
        <v>31</v>
      </c>
      <c r="DI406" s="997">
        <f>IF(WWWW[[#This Row],[Total required Latrines]]-(WWWW[[#This Row],['#_Constructed latrines_by_WASHAgencies]]+WWWW[[#This Row],['#_Non Cluster partner latrines]])&lt;0,0,WWWW[[#This Row],[Total required Latrines]]-(WWWW[[#This Row],['#_Constructed latrines_by_WASHAgencies]]+WWWW[[#This Row],['#_Non Cluster partner latrines]]))</f>
        <v>0</v>
      </c>
      <c r="DJ406" s="999">
        <f>1-WWWW[[#This Row],[% people access to functioning Latrine]]</f>
        <v>0</v>
      </c>
      <c r="DK406" s="998">
        <f>IF(OR(WWWW[[#This Row],['#_Non-functional latrines]]="",WWWW[[#This Row],['#_Non-functional latrines]]=0),0,WWWW[[#This Row],['#_Non-functional latrines]]/(WWWW[[#This Row],['#_Constructed latrines_by_WASHAgencies]]+WWWW[[#This Row],['#_Non Cluster partner latrines]]))</f>
        <v>0</v>
      </c>
      <c r="DL406" s="994">
        <f>IF(500*(WWWW[[#This Row],['#_male hygiene promoters]]+WWWW[[#This Row],['#_female hygiene promoters]])&gt;WWWW[[#This Row],[Total PoP ]],WWWW[[#This Row],[Total PoP ]],500*(WWWW[[#This Row],['#_male hygiene promoters]]+WWWW[[#This Row],['#_female hygiene promoters]]))</f>
        <v>0</v>
      </c>
      <c r="DM40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0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06" s="997">
        <f>IF(WWWW[[#This Row],['# People with access to soap]]&gt;WWWW[[#This Row],['# People with access to Sanity Pads]],WWWW[[#This Row],['# People with access to soap]],WWWW[[#This Row],['# People with access to Sanity Pads]])</f>
        <v>0</v>
      </c>
      <c r="DP406"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06" s="999">
        <f>IF(WWWW[[#This Row],[HRP3]]/WWWW[[#This Row],[Total PoP ]]&gt;1,1,WWWW[[#This Row],[HRP3]]/WWWW[[#This Row],[Total PoP ]])</f>
        <v>0</v>
      </c>
      <c r="DR406" s="998">
        <f>1-WWWW[[#This Row],[Hygiene Coverage%]]</f>
        <v>1</v>
      </c>
      <c r="DS406" s="996">
        <f>WWWW[[#This Row],['# people reached by regular dedicated hygiene promotion_5]]/WWWW[[#This Row],[Total PoP ]]</f>
        <v>0</v>
      </c>
      <c r="DT40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0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06" s="997">
        <f>WWWW[[#This Row],['#_Constructed/Existing hand washing stations]]-WWWW[[#This Row],['#_Non-Functional_hand_washing_stations]]</f>
        <v>3</v>
      </c>
      <c r="DW406" s="994">
        <f>IF(WWWW[[#This Row],['# Functional hand washing stations during reporting period]]*20&gt;WWWW[[#This Row],[Total HH]],WWWW[[#This Row],[Total HH]],WWWW[[#This Row],['# Functional hand washing stations during reporting period]]*20)</f>
        <v>60</v>
      </c>
      <c r="DX406" s="994">
        <f>IF(WWWW[[#This Row],[Is sufficient soap available for TLS? (Yes/No)]]="yes",WWWW[[#This Row],['#_Constructed/Existing hand washing stations at TLS/CFS/THF]],0)</f>
        <v>0</v>
      </c>
      <c r="DY406" s="428">
        <f>IF(WWWW[[#This Row],['# Functional hand washing stations during reporting period]]*100&gt;WWWW[[#This Row],[Total PoP ]],WWWW[[#This Row],[Total PoP ]],WWWW[[#This Row],['# Functional hand washing stations during reporting period]]*100)</f>
        <v>300</v>
      </c>
      <c r="DZ406" s="428" t="str">
        <f>IF(OR(WWWW[[#This Row],['#_students at TLS_CFS]]="",WWWW[[#This Row],['#_students at TLS_CFS]]=0),"No","Yes")</f>
        <v>No</v>
      </c>
      <c r="EA40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0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0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6" s="990" t="str">
        <f>VLOOKUP(WWWW[[#This Row],[Site Name]],SiteDB6[[Site Name]:[CCCM Management]],6,FALSE)</f>
        <v>Yes</v>
      </c>
      <c r="EF406" s="990" t="str">
        <f>VLOOKUP(WWWW[[#This Row],[Site Name]],SiteDB6[[Site Name]:[CCCM Focal Agency]],7,FALSE)</f>
        <v>KBC-MYT</v>
      </c>
      <c r="EG406" s="990" t="str">
        <f>VLOOKUP(WWWW[[#This Row],[Site Name]],SiteDB6[[Site Name]:[Location Type 1]],9,FALSE)</f>
        <v>Camp</v>
      </c>
      <c r="EH406" s="990" t="str">
        <f>VLOOKUP(WWWW[[#This Row],[Site Name]],SiteDB6[[Site Name]:[Type of Accommodation]],10,FALSE)</f>
        <v>Camp</v>
      </c>
      <c r="EI406" s="990" t="str">
        <f>VLOOKUP(WWWW[[#This Row],[Site Name]],SiteDB6[[Site Name]:[Ethnic or GCA/NGCA]],11,FALSE)</f>
        <v>GCA</v>
      </c>
      <c r="EJ406" s="990">
        <f>VLOOKUP(WWWW[[#This Row],[Site Name]],SiteDB6[[Site Name]:[Lat]],12,FALSE)</f>
        <v>25.428910999999999</v>
      </c>
      <c r="EK406" s="990">
        <f>VLOOKUP(WWWW[[#This Row],[Site Name]],SiteDB6[[Site Name]:[Long]],13,FALSE)</f>
        <v>97.418694000000002</v>
      </c>
      <c r="EL406" s="990" t="str">
        <f>VLOOKUP(WWWW[[#This Row],[Site Name]],SiteDB6[[Site Name]:[Pcode]],3,FALSE)</f>
        <v>MMR001CMP008</v>
      </c>
      <c r="EM406" s="995" t="str">
        <f t="shared" si="7"/>
        <v>Covered</v>
      </c>
      <c r="EN406" s="995"/>
      <c r="EO406" s="990">
        <f>VLOOKUP(WWWW[[#This Row],[Site Name]],SiteDB6[[Site Name]:[Pop
(Kachin/Shan-CCCM as of July 2021)]],16,FALSE)</f>
        <v>108</v>
      </c>
      <c r="EP406" s="990">
        <f>VLOOKUP(WWWW[[#This Row],[Site Name]],SiteDB6[[Site Name]:[Pop
(Kachin/Shan-CCCM as of July 2021)]],17,FALSE)</f>
        <v>622</v>
      </c>
    </row>
    <row r="407" spans="1:146">
      <c r="A407" s="988" t="s">
        <v>2765</v>
      </c>
      <c r="B407" s="988" t="s">
        <v>242</v>
      </c>
      <c r="C407" s="989" t="s">
        <v>242</v>
      </c>
      <c r="D407" s="989" t="s">
        <v>299</v>
      </c>
      <c r="E407" s="989" t="s">
        <v>37</v>
      </c>
      <c r="F407" s="989" t="s">
        <v>159</v>
      </c>
      <c r="G407" s="591" t="str">
        <f>VLOOKUP(WWWW[[#This Row],[Site Name]],SiteDB6[[Site Name]:[Location Type]],8,FALSE)</f>
        <v>Camp</v>
      </c>
      <c r="H407" s="989" t="s">
        <v>263</v>
      </c>
      <c r="I407" s="448">
        <v>19</v>
      </c>
      <c r="J407" s="448">
        <v>82</v>
      </c>
      <c r="K407" s="588">
        <v>44562</v>
      </c>
      <c r="L407" s="589">
        <v>44926</v>
      </c>
      <c r="M407" s="448"/>
      <c r="N407" s="448">
        <v>1</v>
      </c>
      <c r="O407" s="448">
        <v>5</v>
      </c>
      <c r="P407" s="448"/>
      <c r="Q407" s="717" t="s">
        <v>41</v>
      </c>
      <c r="R407" s="448">
        <v>1</v>
      </c>
      <c r="S407" s="448">
        <v>4</v>
      </c>
      <c r="T407" s="448">
        <v>1</v>
      </c>
      <c r="U407" s="991">
        <v>1</v>
      </c>
      <c r="V407" s="991"/>
      <c r="W407" s="991">
        <v>1</v>
      </c>
      <c r="X407" s="991">
        <v>1</v>
      </c>
      <c r="Y407" s="448">
        <v>2</v>
      </c>
      <c r="Z407" s="448">
        <v>2</v>
      </c>
      <c r="AA407" s="991"/>
      <c r="AB407" s="991"/>
      <c r="AC407" s="991"/>
      <c r="AD407" s="991"/>
      <c r="AE407" s="991"/>
      <c r="AF407" s="991"/>
      <c r="AG407" s="991"/>
      <c r="AH407" s="991"/>
      <c r="AI407" s="991"/>
      <c r="AJ407" s="991"/>
      <c r="AK407" s="991"/>
      <c r="AL407" s="991"/>
      <c r="AM407" s="991">
        <v>4</v>
      </c>
      <c r="AN407" s="991"/>
      <c r="AO407" s="448"/>
      <c r="AP407" s="590" t="s">
        <v>3169</v>
      </c>
      <c r="AQ407" s="991">
        <v>5</v>
      </c>
      <c r="AR407" s="991"/>
      <c r="AS407" s="996"/>
      <c r="AT407" s="991">
        <v>3</v>
      </c>
      <c r="AU407" s="991"/>
      <c r="AV407" s="991"/>
      <c r="AW407" s="991"/>
      <c r="AX407" s="991"/>
      <c r="AY407" s="990" t="s">
        <v>41</v>
      </c>
      <c r="AZ407" s="995" t="s">
        <v>137</v>
      </c>
      <c r="BA407" s="991"/>
      <c r="BB407" s="991"/>
      <c r="BC407" s="991">
        <v>3</v>
      </c>
      <c r="BD407" s="448"/>
      <c r="BE407" s="448"/>
      <c r="BF407" s="990"/>
      <c r="BG407" s="991">
        <v>4</v>
      </c>
      <c r="BH407" s="991"/>
      <c r="BI407" s="991">
        <v>2</v>
      </c>
      <c r="BJ407" s="991">
        <v>3</v>
      </c>
      <c r="BK407" s="991"/>
      <c r="BL407" s="991"/>
      <c r="BM407" s="991">
        <v>1</v>
      </c>
      <c r="BN407" s="991"/>
      <c r="BO407" s="991"/>
      <c r="BP407" s="990" t="s">
        <v>136</v>
      </c>
      <c r="BQ407" s="997"/>
      <c r="BR407" s="423">
        <v>0.9</v>
      </c>
      <c r="BS407" s="990"/>
      <c r="BT407" s="423">
        <v>0.9</v>
      </c>
      <c r="BU407" s="423">
        <v>0.9</v>
      </c>
      <c r="BV407" s="425"/>
      <c r="BW407" s="423">
        <v>0.99</v>
      </c>
      <c r="BX407" s="448"/>
      <c r="BY407" s="448"/>
      <c r="BZ407" s="448"/>
      <c r="CA407" s="448"/>
      <c r="CB407" s="448"/>
      <c r="CC407" s="777"/>
      <c r="CD407" s="448"/>
      <c r="CE407" s="998" t="str">
        <f>IFERROR(WWWW[[#This Row],['#_Water sources passed]]/WWWW[[#This Row],['#_Water sources tested for fecal coliform ]],"no test")</f>
        <v>no test</v>
      </c>
      <c r="CF407" s="996" t="str">
        <f>IFERROR(WWWW[[#This Row],['#_Household passed]]/WWWW[[#This Row],['#_Household water samples tested for fecal coliform]],"no test")</f>
        <v>no test</v>
      </c>
      <c r="CG407" s="997" t="str">
        <f>IF(AND(WWWW[[#This Row],[% of water sources passed]]="no test",WWWW[[#This Row],[% Household passed]]="no test"),"No Test","Tested")</f>
        <v>No Test</v>
      </c>
      <c r="CH407" s="997">
        <f>WWWW[[#This Row],['#_Constructed/existing protected hand dug well]]-WWWW[[#This Row],['#_Non-functional protected hand dug well]]</f>
        <v>0</v>
      </c>
      <c r="CI407" s="997">
        <f>(WWWW[[#This Row],['#_Constructed/Existing tube wells/boreholes/handpumps_WASH_agency]]+WWWW[[#This Row],['#_Non-Cluster partner water tube-wells/boreholes/handpumps]])-WWWW[[#This Row],['#_Non-functional tube wells/boreholes/handpumps]]</f>
        <v>0</v>
      </c>
      <c r="CJ407" s="997">
        <f>WWWW[[#This Row],['#_Constructed/Existingwater storage tank with gravity fed reticulation system]]-WWWW[[#This Row],['#_Non-functional storage tank gravity fed reticulation system]]</f>
        <v>0</v>
      </c>
      <c r="CK407" s="997">
        <f>(WWWW[[#This Row],['#_Water_Liters_supplied_by_Water boating or water trucking]]/90)/15</f>
        <v>0</v>
      </c>
      <c r="CL407" s="997">
        <f>WWWW[[#This Row],['#_Water_Liters_from_Constructed/Existing water distribution system from river or natural spring]]/90/15</f>
        <v>0</v>
      </c>
      <c r="CM407" s="424">
        <f>IF(WWWW[[#This Row],['#_of water points in TLS/CFS]]*500&gt;WWWW[[#This Row],[Total PoP ]],WWWW[[#This Row],[Total PoP ]],WWWW[[#This Row],['#_of water points in TLS/CFS]]*500)</f>
        <v>0</v>
      </c>
      <c r="CN407" s="424">
        <f>IF(WWWW[[#This Row],['#_of water points in THF]]*500&gt;WWWW[[#This Row],[Total PoP ]],WWWW[[#This Row],[Total PoP ]],WWWW[[#This Row],['#_of water points in THF]]*500)</f>
        <v>0</v>
      </c>
      <c r="CO40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0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07" s="996">
        <f>IF(WWWW[[#This Row],[Location Type 1]]="Village",WWWW[[#This Row],[Access to safe drinking water for Village]],WWWW[[#This Row],[Access to safe drinking water for Camp]])</f>
        <v>0</v>
      </c>
      <c r="CR407" s="994">
        <f>WWWW[[#This Row],[%Equitable and continuous access to sufficient quantity of safe drinking water]]*WWWW[[#This Row],[Total PoP ]]</f>
        <v>0</v>
      </c>
      <c r="CS407" s="996">
        <f>IF((WWWW[[#This Row],['#_Constructed/Existing protected/fenced ponds]]*250)/WWWW[[#This Row],[Total PoP ]]&gt;1,1,(WWWW[[#This Row],['#_Constructed/Existing protected/fenced ponds]]*250)/WWWW[[#This Row],[Total PoP ]])</f>
        <v>0</v>
      </c>
      <c r="CT407" s="994">
        <f>WWWW[[#This Row],[% Access to unimproved water points]]*WWWW[[#This Row],[Total PoP ]]</f>
        <v>0</v>
      </c>
      <c r="CU40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0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07" s="994">
        <f>WWWW[[#This Row],[HRP1]]/500</f>
        <v>0</v>
      </c>
      <c r="CX407" s="999">
        <f>1-WWWW[[#This Row],[% Equitable and continuous access to sufficient quantity of domestic water]]</f>
        <v>1</v>
      </c>
      <c r="CY407" s="994">
        <f>WWWW[[#This Row],[%equitable and continuous access to sufficient quantity of safe drinking and domestic water''s GAP]]*WWWW[[#This Row],[Total PoP ]]</f>
        <v>82</v>
      </c>
      <c r="CZ407" s="997">
        <f>IF(WWWW[[#This Row],[Total required water points]]-WWWW[[#This Row],['#Water points coverage]]&lt;0,0,WWWW[[#This Row],[Total required water points]]-WWWW[[#This Row],['#Water points coverage]])</f>
        <v>1</v>
      </c>
      <c r="DA407" s="997">
        <f>ROUND(IF(WWWW[[#This Row],[Total PoP ]]&lt;500,1,WWWW[[#This Row],[Total PoP ]]/500),0)</f>
        <v>1</v>
      </c>
      <c r="DB407" s="997">
        <f>(WWWW[[#This Row],['#_Constructed latrines_by_WASHAgencies]]+WWWW[[#This Row],['#_Non Cluster partner latrines]])-WWWW[[#This Row],['#_Non-functional latrines]]</f>
        <v>2</v>
      </c>
      <c r="DC407" s="631">
        <f>WWWW[[#This Row],[HRP2]]/WWWW[[#This Row],[Total PoP ]]</f>
        <v>0.48780487804878048</v>
      </c>
      <c r="DD40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40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0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7" s="424">
        <f>IF(WWWW[[#This Row],['# of functional latrines in THF supported by WASH partners during the reporting period2]]="",0,WWWW[[#This Row],['# of functional latrines in THF supported by WASH partners during the reporting period2]]*50)</f>
        <v>0</v>
      </c>
      <c r="DH407" s="997">
        <f>ROUND(IF(WWWW[[#This Row],[Location Type 1]]="camp",WWWW[[#This Row],[Total PoP ]]/20,IF(WWWW[[#This Row],[Location Type 1]]="Temporary Location",WWWW[[#This Row],[Total PoP ]]/50,(WWWW[[#This Row],[Total PoP ]]/6))),0)</f>
        <v>4</v>
      </c>
      <c r="DI407" s="997">
        <f>IF(WWWW[[#This Row],[Total required Latrines]]-(WWWW[[#This Row],['#_Constructed latrines_by_WASHAgencies]]+WWWW[[#This Row],['#_Non Cluster partner latrines]])&lt;0,0,WWWW[[#This Row],[Total required Latrines]]-(WWWW[[#This Row],['#_Constructed latrines_by_WASHAgencies]]+WWWW[[#This Row],['#_Non Cluster partner latrines]]))</f>
        <v>0</v>
      </c>
      <c r="DJ407" s="999">
        <f>1-WWWW[[#This Row],[% people access to functioning Latrine]]</f>
        <v>0.51219512195121952</v>
      </c>
      <c r="DK407" s="998">
        <f>IF(OR(WWWW[[#This Row],['#_Non-functional latrines]]="",WWWW[[#This Row],['#_Non-functional latrines]]=0),0,WWWW[[#This Row],['#_Non-functional latrines]]/(WWWW[[#This Row],['#_Constructed latrines_by_WASHAgencies]]+WWWW[[#This Row],['#_Non Cluster partner latrines]]))</f>
        <v>0.6</v>
      </c>
      <c r="DL407" s="994">
        <f>IF(500*(WWWW[[#This Row],['#_male hygiene promoters]]+WWWW[[#This Row],['#_female hygiene promoters]])&gt;WWWW[[#This Row],[Total PoP ]],WWWW[[#This Row],[Total PoP ]],500*(WWWW[[#This Row],['#_male hygiene promoters]]+WWWW[[#This Row],['#_female hygiene promoters]]))</f>
        <v>82</v>
      </c>
      <c r="DM40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0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07" s="997">
        <f>IF(WWWW[[#This Row],['# People with access to soap]]&gt;WWWW[[#This Row],['# People with access to Sanity Pads]],WWWW[[#This Row],['# People with access to soap]],WWWW[[#This Row],['# People with access to Sanity Pads]])</f>
        <v>0</v>
      </c>
      <c r="DP407" s="997">
        <f>IF(WWWW[[#This Row],['# people reached by regular dedicated hygiene promotion_5]]&gt;WWWW[[#This Row],['# People received regular supply of hygiene items_6]],WWWW[[#This Row],['# people reached by regular dedicated hygiene promotion_5]],WWWW[[#This Row],['# People received regular supply of hygiene items_6]])</f>
        <v>82</v>
      </c>
      <c r="DQ407" s="999">
        <f>IF(WWWW[[#This Row],[HRP3]]/WWWW[[#This Row],[Total PoP ]]&gt;1,1,WWWW[[#This Row],[HRP3]]/WWWW[[#This Row],[Total PoP ]])</f>
        <v>1</v>
      </c>
      <c r="DR407" s="998">
        <f>1-WWWW[[#This Row],[Hygiene Coverage%]]</f>
        <v>0</v>
      </c>
      <c r="DS407" s="996">
        <f>WWWW[[#This Row],['# people reached by regular dedicated hygiene promotion_5]]/WWWW[[#This Row],[Total PoP ]]</f>
        <v>1</v>
      </c>
      <c r="DT40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0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07" s="997">
        <f>WWWW[[#This Row],['#_Constructed/Existing hand washing stations]]-WWWW[[#This Row],['#_Non-Functional_hand_washing_stations]]</f>
        <v>4</v>
      </c>
      <c r="DW407" s="994">
        <f>IF(WWWW[[#This Row],['# Functional hand washing stations during reporting period]]*20&gt;WWWW[[#This Row],[Total HH]],WWWW[[#This Row],[Total HH]],WWWW[[#This Row],['# Functional hand washing stations during reporting period]]*20)</f>
        <v>19</v>
      </c>
      <c r="DX407" s="994">
        <f>IF(WWWW[[#This Row],[Is sufficient soap available for TLS? (Yes/No)]]="yes",WWWW[[#This Row],['#_Constructed/Existing hand washing stations at TLS/CFS/THF]],0)</f>
        <v>0</v>
      </c>
      <c r="DY407" s="428">
        <f>IF(WWWW[[#This Row],['# Functional hand washing stations during reporting period]]*100&gt;WWWW[[#This Row],[Total PoP ]],WWWW[[#This Row],[Total PoP ]],WWWW[[#This Row],['# Functional hand washing stations during reporting period]]*100)</f>
        <v>82</v>
      </c>
      <c r="DZ407" s="428" t="str">
        <f>IF(OR(WWWW[[#This Row],['#_students at TLS_CFS]]="",WWWW[[#This Row],['#_students at TLS_CFS]]=0),"No","Yes")</f>
        <v>No</v>
      </c>
      <c r="EA40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0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0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7" s="990" t="str">
        <f>VLOOKUP(WWWW[[#This Row],[Site Name]],SiteDB6[[Site Name]:[CCCM Management]],6,FALSE)</f>
        <v>Yes</v>
      </c>
      <c r="EF407" s="990" t="str">
        <f>VLOOKUP(WWWW[[#This Row],[Site Name]],SiteDB6[[Site Name]:[CCCM Focal Agency]],7,FALSE)</f>
        <v>Shalom</v>
      </c>
      <c r="EG407" s="990" t="str">
        <f>VLOOKUP(WWWW[[#This Row],[Site Name]],SiteDB6[[Site Name]:[Location Type 1]],9,FALSE)</f>
        <v>Camp</v>
      </c>
      <c r="EH407" s="990" t="str">
        <f>VLOOKUP(WWWW[[#This Row],[Site Name]],SiteDB6[[Site Name]:[Type of Accommodation]],10,FALSE)</f>
        <v>Camp</v>
      </c>
      <c r="EI407" s="990" t="str">
        <f>VLOOKUP(WWWW[[#This Row],[Site Name]],SiteDB6[[Site Name]:[Ethnic or GCA/NGCA]],11,FALSE)</f>
        <v>GCA</v>
      </c>
      <c r="EJ407" s="990">
        <f>VLOOKUP(WWWW[[#This Row],[Site Name]],SiteDB6[[Site Name]:[Lat]],12,FALSE)</f>
        <v>25.374343974359</v>
      </c>
      <c r="EK407" s="990">
        <f>VLOOKUP(WWWW[[#This Row],[Site Name]],SiteDB6[[Site Name]:[Long]],13,FALSE)</f>
        <v>97.2843958974359</v>
      </c>
      <c r="EL407" s="990" t="str">
        <f>VLOOKUP(WWWW[[#This Row],[Site Name]],SiteDB6[[Site Name]:[Pcode]],3,FALSE)</f>
        <v>MMR001CMP020</v>
      </c>
      <c r="EM407" s="995" t="str">
        <f t="shared" si="7"/>
        <v>Covered</v>
      </c>
      <c r="EN407" s="995"/>
      <c r="EO407" s="990">
        <f>VLOOKUP(WWWW[[#This Row],[Site Name]],SiteDB6[[Site Name]:[Pop
(Kachin/Shan-CCCM as of July 2021)]],16,FALSE)</f>
        <v>22</v>
      </c>
      <c r="EP407" s="990">
        <f>VLOOKUP(WWWW[[#This Row],[Site Name]],SiteDB6[[Site Name]:[Pop
(Kachin/Shan-CCCM as of July 2021)]],17,FALSE)</f>
        <v>90</v>
      </c>
    </row>
    <row r="408" spans="1:146">
      <c r="A408" s="988" t="s">
        <v>2765</v>
      </c>
      <c r="B408" s="988" t="s">
        <v>242</v>
      </c>
      <c r="C408" s="989" t="s">
        <v>242</v>
      </c>
      <c r="D408" s="989" t="s">
        <v>299</v>
      </c>
      <c r="E408" s="989" t="s">
        <v>37</v>
      </c>
      <c r="F408" s="989" t="s">
        <v>159</v>
      </c>
      <c r="G408" s="591" t="str">
        <f>VLOOKUP(WWWW[[#This Row],[Site Name]],SiteDB6[[Site Name]:[Location Type]],8,FALSE)</f>
        <v>Camp</v>
      </c>
      <c r="H408" s="989" t="s">
        <v>264</v>
      </c>
      <c r="I408" s="448">
        <v>29</v>
      </c>
      <c r="J408" s="448">
        <v>173</v>
      </c>
      <c r="K408" s="588">
        <v>44562</v>
      </c>
      <c r="L408" s="589">
        <v>44926</v>
      </c>
      <c r="M408" s="448">
        <v>53</v>
      </c>
      <c r="N408" s="448">
        <v>1</v>
      </c>
      <c r="O408" s="448"/>
      <c r="P408" s="448"/>
      <c r="Q408" s="717" t="s">
        <v>41</v>
      </c>
      <c r="R408" s="448">
        <v>3</v>
      </c>
      <c r="S408" s="448">
        <v>5</v>
      </c>
      <c r="T408" s="448">
        <v>2</v>
      </c>
      <c r="U408" s="991"/>
      <c r="V408" s="991"/>
      <c r="W408" s="991">
        <v>1</v>
      </c>
      <c r="X408" s="991">
        <v>1</v>
      </c>
      <c r="Y408" s="991"/>
      <c r="Z408" s="991"/>
      <c r="AA408" s="991"/>
      <c r="AB408" s="991"/>
      <c r="AC408" s="991"/>
      <c r="AD408" s="991"/>
      <c r="AE408" s="991"/>
      <c r="AF408" s="991"/>
      <c r="AG408" s="991"/>
      <c r="AH408" s="991"/>
      <c r="AI408" s="991"/>
      <c r="AJ408" s="991"/>
      <c r="AK408" s="991"/>
      <c r="AL408" s="991"/>
      <c r="AM408" s="991">
        <v>4</v>
      </c>
      <c r="AN408" s="991"/>
      <c r="AO408" s="448"/>
      <c r="AP408" s="995"/>
      <c r="AQ408" s="991">
        <v>6</v>
      </c>
      <c r="AR408" s="991"/>
      <c r="AS408" s="996"/>
      <c r="AT408" s="991"/>
      <c r="AU408" s="991"/>
      <c r="AV408" s="991"/>
      <c r="AW408" s="991"/>
      <c r="AX408" s="991"/>
      <c r="AY408" s="990" t="s">
        <v>136</v>
      </c>
      <c r="AZ408" s="995" t="s">
        <v>137</v>
      </c>
      <c r="BA408" s="991"/>
      <c r="BB408" s="991"/>
      <c r="BC408" s="991">
        <v>6</v>
      </c>
      <c r="BD408" s="448">
        <v>6</v>
      </c>
      <c r="BE408" s="448"/>
      <c r="BF408" s="990"/>
      <c r="BG408" s="991">
        <v>4</v>
      </c>
      <c r="BH408" s="991">
        <v>1</v>
      </c>
      <c r="BI408" s="991">
        <v>1</v>
      </c>
      <c r="BJ408" s="991">
        <v>2</v>
      </c>
      <c r="BK408" s="991">
        <v>1</v>
      </c>
      <c r="BL408" s="991">
        <v>1</v>
      </c>
      <c r="BM408" s="991">
        <v>1</v>
      </c>
      <c r="BN408" s="991">
        <v>29</v>
      </c>
      <c r="BO408" s="991"/>
      <c r="BP408" s="990" t="s">
        <v>41</v>
      </c>
      <c r="BQ408" s="997"/>
      <c r="BR408" s="423">
        <v>0.6</v>
      </c>
      <c r="BS408" s="990"/>
      <c r="BT408" s="423">
        <v>0.5</v>
      </c>
      <c r="BU408" s="423">
        <v>0.5</v>
      </c>
      <c r="BV408" s="425">
        <v>54</v>
      </c>
      <c r="BW408" s="423">
        <v>0.7</v>
      </c>
      <c r="BX408" s="448"/>
      <c r="BY408" s="448"/>
      <c r="BZ408" s="448"/>
      <c r="CA408" s="448"/>
      <c r="CB408" s="448"/>
      <c r="CC408" s="777"/>
      <c r="CD408" s="448"/>
      <c r="CE408" s="998" t="str">
        <f>IFERROR(WWWW[[#This Row],['#_Water sources passed]]/WWWW[[#This Row],['#_Water sources tested for fecal coliform ]],"no test")</f>
        <v>no test</v>
      </c>
      <c r="CF408" s="996" t="str">
        <f>IFERROR(WWWW[[#This Row],['#_Household passed]]/WWWW[[#This Row],['#_Household water samples tested for fecal coliform]],"no test")</f>
        <v>no test</v>
      </c>
      <c r="CG408" s="997" t="str">
        <f>IF(AND(WWWW[[#This Row],[% of water sources passed]]="no test",WWWW[[#This Row],[% Household passed]]="no test"),"No Test","Tested")</f>
        <v>No Test</v>
      </c>
      <c r="CH408" s="997">
        <f>WWWW[[#This Row],['#_Constructed/existing protected hand dug well]]-WWWW[[#This Row],['#_Non-functional protected hand dug well]]</f>
        <v>2</v>
      </c>
      <c r="CI408" s="997">
        <f>(WWWW[[#This Row],['#_Constructed/Existing tube wells/boreholes/handpumps_WASH_agency]]+WWWW[[#This Row],['#_Non-Cluster partner water tube-wells/boreholes/handpumps]])-WWWW[[#This Row],['#_Non-functional tube wells/boreholes/handpumps]]</f>
        <v>2</v>
      </c>
      <c r="CJ408" s="997">
        <f>WWWW[[#This Row],['#_Constructed/Existingwater storage tank with gravity fed reticulation system]]-WWWW[[#This Row],['#_Non-functional storage tank gravity fed reticulation system]]</f>
        <v>0</v>
      </c>
      <c r="CK408" s="997">
        <f>(WWWW[[#This Row],['#_Water_Liters_supplied_by_Water boating or water trucking]]/90)/15</f>
        <v>0</v>
      </c>
      <c r="CL408" s="997">
        <f>WWWW[[#This Row],['#_Water_Liters_from_Constructed/Existing water distribution system from river or natural spring]]/90/15</f>
        <v>0</v>
      </c>
      <c r="CM408" s="424">
        <f>IF(WWWW[[#This Row],['#_of water points in TLS/CFS]]*500&gt;WWWW[[#This Row],[Total PoP ]],WWWW[[#This Row],[Total PoP ]],WWWW[[#This Row],['#_of water points in TLS/CFS]]*500)</f>
        <v>0</v>
      </c>
      <c r="CN408" s="424">
        <f>IF(WWWW[[#This Row],['#_of water points in THF]]*500&gt;WWWW[[#This Row],[Total PoP ]],WWWW[[#This Row],[Total PoP ]],WWWW[[#This Row],['#_of water points in THF]]*500)</f>
        <v>0</v>
      </c>
      <c r="CO40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0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08" s="996">
        <f>IF(WWWW[[#This Row],[Location Type 1]]="Village",WWWW[[#This Row],[Access to safe drinking water for Village]],WWWW[[#This Row],[Access to safe drinking water for Camp]])</f>
        <v>1</v>
      </c>
      <c r="CR408" s="994">
        <f>WWWW[[#This Row],[%Equitable and continuous access to sufficient quantity of safe drinking water]]*WWWW[[#This Row],[Total PoP ]]</f>
        <v>173</v>
      </c>
      <c r="CS408" s="996">
        <f>IF((WWWW[[#This Row],['#_Constructed/Existing protected/fenced ponds]]*250)/WWWW[[#This Row],[Total PoP ]]&gt;1,1,(WWWW[[#This Row],['#_Constructed/Existing protected/fenced ponds]]*250)/WWWW[[#This Row],[Total PoP ]])</f>
        <v>0</v>
      </c>
      <c r="CT408" s="994">
        <f>WWWW[[#This Row],[% Access to unimproved water points]]*WWWW[[#This Row],[Total PoP ]]</f>
        <v>0</v>
      </c>
      <c r="CU40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0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173</v>
      </c>
      <c r="CW408" s="994">
        <f>WWWW[[#This Row],[HRP1]]/500</f>
        <v>0.34599999999999997</v>
      </c>
      <c r="CX408" s="999">
        <f>1-WWWW[[#This Row],[% Equitable and continuous access to sufficient quantity of domestic water]]</f>
        <v>0</v>
      </c>
      <c r="CY408" s="994">
        <f>WWWW[[#This Row],[%equitable and continuous access to sufficient quantity of safe drinking and domestic water''s GAP]]*WWWW[[#This Row],[Total PoP ]]</f>
        <v>0</v>
      </c>
      <c r="CZ408" s="997">
        <f>IF(WWWW[[#This Row],[Total required water points]]-WWWW[[#This Row],['#Water points coverage]]&lt;0,0,WWWW[[#This Row],[Total required water points]]-WWWW[[#This Row],['#Water points coverage]])</f>
        <v>0.65400000000000003</v>
      </c>
      <c r="DA408" s="997">
        <f>ROUND(IF(WWWW[[#This Row],[Total PoP ]]&lt;500,1,WWWW[[#This Row],[Total PoP ]]/500),0)</f>
        <v>1</v>
      </c>
      <c r="DB408" s="997">
        <f>(WWWW[[#This Row],['#_Constructed latrines_by_WASHAgencies]]+WWWW[[#This Row],['#_Non Cluster partner latrines]])-WWWW[[#This Row],['#_Non-functional latrines]]</f>
        <v>6</v>
      </c>
      <c r="DC408" s="631">
        <f>WWWW[[#This Row],[HRP2]]/WWWW[[#This Row],[Total PoP ]]</f>
        <v>0.69364161849710981</v>
      </c>
      <c r="DD40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40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0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53</v>
      </c>
      <c r="DG408" s="424">
        <f>IF(WWWW[[#This Row],['# of functional latrines in THF supported by WASH partners during the reporting period2]]="",0,WWWW[[#This Row],['# of functional latrines in THF supported by WASH partners during the reporting period2]]*50)</f>
        <v>300</v>
      </c>
      <c r="DH408" s="997">
        <f>ROUND(IF(WWWW[[#This Row],[Location Type 1]]="camp",WWWW[[#This Row],[Total PoP ]]/20,IF(WWWW[[#This Row],[Location Type 1]]="Temporary Location",WWWW[[#This Row],[Total PoP ]]/50,(WWWW[[#This Row],[Total PoP ]]/6))),0)</f>
        <v>9</v>
      </c>
      <c r="DI408" s="997">
        <f>IF(WWWW[[#This Row],[Total required Latrines]]-(WWWW[[#This Row],['#_Constructed latrines_by_WASHAgencies]]+WWWW[[#This Row],['#_Non Cluster partner latrines]])&lt;0,0,WWWW[[#This Row],[Total required Latrines]]-(WWWW[[#This Row],['#_Constructed latrines_by_WASHAgencies]]+WWWW[[#This Row],['#_Non Cluster partner latrines]]))</f>
        <v>3</v>
      </c>
      <c r="DJ408" s="999">
        <f>1-WWWW[[#This Row],[% people access to functioning Latrine]]</f>
        <v>0.30635838150289019</v>
      </c>
      <c r="DK408" s="998">
        <f>IF(OR(WWWW[[#This Row],['#_Non-functional latrines]]="",WWWW[[#This Row],['#_Non-functional latrines]]=0),0,WWWW[[#This Row],['#_Non-functional latrines]]/(WWWW[[#This Row],['#_Constructed latrines_by_WASHAgencies]]+WWWW[[#This Row],['#_Non Cluster partner latrines]]))</f>
        <v>0</v>
      </c>
      <c r="DL408" s="994">
        <f>IF(500*(WWWW[[#This Row],['#_male hygiene promoters]]+WWWW[[#This Row],['#_female hygiene promoters]])&gt;WWWW[[#This Row],[Total PoP ]],WWWW[[#This Row],[Total PoP ]],500*(WWWW[[#This Row],['#_male hygiene promoters]]+WWWW[[#This Row],['#_female hygiene promoters]]))</f>
        <v>173</v>
      </c>
      <c r="DM40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173</v>
      </c>
      <c r="DN40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08" s="997">
        <f>IF(WWWW[[#This Row],['# People with access to soap]]&gt;WWWW[[#This Row],['# People with access to Sanity Pads]],WWWW[[#This Row],['# People with access to soap]],WWWW[[#This Row],['# People with access to Sanity Pads]])</f>
        <v>173</v>
      </c>
      <c r="DP408" s="997">
        <f>IF(WWWW[[#This Row],['# people reached by regular dedicated hygiene promotion_5]]&gt;WWWW[[#This Row],['# People received regular supply of hygiene items_6]],WWWW[[#This Row],['# people reached by regular dedicated hygiene promotion_5]],WWWW[[#This Row],['# People received regular supply of hygiene items_6]])</f>
        <v>173</v>
      </c>
      <c r="DQ408" s="999">
        <f>IF(WWWW[[#This Row],[HRP3]]/WWWW[[#This Row],[Total PoP ]]&gt;1,1,WWWW[[#This Row],[HRP3]]/WWWW[[#This Row],[Total PoP ]])</f>
        <v>1</v>
      </c>
      <c r="DR408" s="998">
        <f>1-WWWW[[#This Row],[Hygiene Coverage%]]</f>
        <v>0</v>
      </c>
      <c r="DS408" s="996">
        <f>WWWW[[#This Row],['# people reached by regular dedicated hygiene promotion_5]]/WWWW[[#This Row],[Total PoP ]]</f>
        <v>1</v>
      </c>
      <c r="DT40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0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08" s="997">
        <f>WWWW[[#This Row],['#_Constructed/Existing hand washing stations]]-WWWW[[#This Row],['#_Non-Functional_hand_washing_stations]]</f>
        <v>3</v>
      </c>
      <c r="DW408" s="994">
        <f>IF(WWWW[[#This Row],['# Functional hand washing stations during reporting period]]*20&gt;WWWW[[#This Row],[Total HH]],WWWW[[#This Row],[Total HH]],WWWW[[#This Row],['# Functional hand washing stations during reporting period]]*20)</f>
        <v>29</v>
      </c>
      <c r="DX408" s="994">
        <f>IF(WWWW[[#This Row],[Is sufficient soap available for TLS? (Yes/No)]]="yes",WWWW[[#This Row],['#_Constructed/Existing hand washing stations at TLS/CFS/THF]],0)</f>
        <v>4</v>
      </c>
      <c r="DY408" s="428">
        <f>IF(WWWW[[#This Row],['# Functional hand washing stations during reporting period]]*100&gt;WWWW[[#This Row],[Total PoP ]],WWWW[[#This Row],[Total PoP ]],WWWW[[#This Row],['# Functional hand washing stations during reporting period]]*100)</f>
        <v>173</v>
      </c>
      <c r="DZ408" s="428" t="str">
        <f>IF(OR(WWWW[[#This Row],['#_students at TLS_CFS]]="",WWWW[[#This Row],['#_students at TLS_CFS]]=0),"No","Yes")</f>
        <v>Yes</v>
      </c>
      <c r="EA408" s="631">
        <f>IF(WWWW[[#This Row],['#_of_affected_people_surveyed_who_report_feeling_informed_about_the_different_WASH_services_available_to_them]]="","",WWWW[[#This Row],['#_of_affected_people_surveyed_who_report_feeling_informed_about_the_different_WASH_services_available_to_them]]/WWWW[[#This Row],[Total PoP ]])</f>
        <v>0.31213872832369943</v>
      </c>
      <c r="EB40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53</v>
      </c>
      <c r="ED40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300</v>
      </c>
      <c r="EE408" s="990" t="str">
        <f>VLOOKUP(WWWW[[#This Row],[Site Name]],SiteDB6[[Site Name]:[CCCM Management]],6,FALSE)</f>
        <v>Yes</v>
      </c>
      <c r="EF408" s="990" t="str">
        <f>VLOOKUP(WWWW[[#This Row],[Site Name]],SiteDB6[[Site Name]:[CCCM Focal Agency]],7,FALSE)</f>
        <v>Shalom</v>
      </c>
      <c r="EG408" s="990" t="str">
        <f>VLOOKUP(WWWW[[#This Row],[Site Name]],SiteDB6[[Site Name]:[Location Type 1]],9,FALSE)</f>
        <v>Camp</v>
      </c>
      <c r="EH408" s="990" t="str">
        <f>VLOOKUP(WWWW[[#This Row],[Site Name]],SiteDB6[[Site Name]:[Type of Accommodation]],10,FALSE)</f>
        <v>Camp</v>
      </c>
      <c r="EI408" s="990" t="str">
        <f>VLOOKUP(WWWW[[#This Row],[Site Name]],SiteDB6[[Site Name]:[Ethnic or GCA/NGCA]],11,FALSE)</f>
        <v>GCA</v>
      </c>
      <c r="EJ408" s="990">
        <f>VLOOKUP(WWWW[[#This Row],[Site Name]],SiteDB6[[Site Name]:[Lat]],12,FALSE)</f>
        <v>25.371049444444399</v>
      </c>
      <c r="EK408" s="990">
        <f>VLOOKUP(WWWW[[#This Row],[Site Name]],SiteDB6[[Site Name]:[Long]],13,FALSE)</f>
        <v>97.290952037037002</v>
      </c>
      <c r="EL408" s="990" t="str">
        <f>VLOOKUP(WWWW[[#This Row],[Site Name]],SiteDB6[[Site Name]:[Pcode]],3,FALSE)</f>
        <v>MMR001CMP021</v>
      </c>
      <c r="EM408" s="995" t="str">
        <f t="shared" si="7"/>
        <v>Covered</v>
      </c>
      <c r="EN408" s="995"/>
      <c r="EO408" s="990">
        <f>VLOOKUP(WWWW[[#This Row],[Site Name]],SiteDB6[[Site Name]:[Pop
(Kachin/Shan-CCCM as of July 2021)]],16,FALSE)</f>
        <v>30</v>
      </c>
      <c r="EP408" s="990">
        <f>VLOOKUP(WWWW[[#This Row],[Site Name]],SiteDB6[[Site Name]:[Pop
(Kachin/Shan-CCCM as of July 2021)]],17,FALSE)</f>
        <v>177</v>
      </c>
    </row>
    <row r="409" spans="1:146">
      <c r="A409" s="988" t="s">
        <v>2765</v>
      </c>
      <c r="B409" s="988" t="s">
        <v>36</v>
      </c>
      <c r="C409" s="989" t="s">
        <v>36</v>
      </c>
      <c r="D409" s="989" t="s">
        <v>241</v>
      </c>
      <c r="E409" s="989" t="s">
        <v>37</v>
      </c>
      <c r="F409" s="989" t="s">
        <v>159</v>
      </c>
      <c r="G409" s="591" t="str">
        <f>VLOOKUP(WWWW[[#This Row],[Site Name]],SiteDB6[[Site Name]:[Location Type]],8,FALSE)</f>
        <v>Camp</v>
      </c>
      <c r="H409" s="989" t="s">
        <v>234</v>
      </c>
      <c r="I409" s="991">
        <v>61</v>
      </c>
      <c r="J409" s="991">
        <v>291</v>
      </c>
      <c r="K409" s="992">
        <v>44414</v>
      </c>
      <c r="L409" s="993">
        <v>44778</v>
      </c>
      <c r="M409" s="991"/>
      <c r="N409" s="991">
        <v>2</v>
      </c>
      <c r="O409" s="991"/>
      <c r="P409" s="991"/>
      <c r="Q409" s="994" t="s">
        <v>41</v>
      </c>
      <c r="R409" s="991">
        <v>2</v>
      </c>
      <c r="S409" s="991">
        <v>9</v>
      </c>
      <c r="T409" s="448"/>
      <c r="U409" s="991"/>
      <c r="V409" s="991"/>
      <c r="W409" s="991">
        <v>4</v>
      </c>
      <c r="X409" s="991"/>
      <c r="Y409" s="991"/>
      <c r="Z409" s="991"/>
      <c r="AA409" s="991"/>
      <c r="AB409" s="991"/>
      <c r="AC409" s="991"/>
      <c r="AD409" s="991"/>
      <c r="AE409" s="991"/>
      <c r="AF409" s="991"/>
      <c r="AG409" s="991"/>
      <c r="AH409" s="991"/>
      <c r="AI409" s="991"/>
      <c r="AJ409" s="991"/>
      <c r="AK409" s="991"/>
      <c r="AL409" s="991"/>
      <c r="AM409" s="991">
        <v>4</v>
      </c>
      <c r="AN409" s="991"/>
      <c r="AO409" s="448"/>
      <c r="AP409" s="995"/>
      <c r="AQ409" s="991">
        <v>20</v>
      </c>
      <c r="AR409" s="991"/>
      <c r="AS409" s="996"/>
      <c r="AT409" s="991"/>
      <c r="AU409" s="991"/>
      <c r="AV409" s="991"/>
      <c r="AW409" s="991"/>
      <c r="AX409" s="991"/>
      <c r="AY409" s="990" t="s">
        <v>41</v>
      </c>
      <c r="AZ409" s="995" t="s">
        <v>137</v>
      </c>
      <c r="BA409" s="991">
        <v>1</v>
      </c>
      <c r="BB409" s="991"/>
      <c r="BC409" s="991"/>
      <c r="BD409" s="448"/>
      <c r="BE409" s="448"/>
      <c r="BF409" s="990"/>
      <c r="BG409" s="991">
        <v>7</v>
      </c>
      <c r="BH409" s="991"/>
      <c r="BI409" s="991"/>
      <c r="BJ409" s="991">
        <v>2</v>
      </c>
      <c r="BK409" s="991"/>
      <c r="BL409" s="991"/>
      <c r="BM409" s="991">
        <v>1</v>
      </c>
      <c r="BN409" s="991"/>
      <c r="BO409" s="991"/>
      <c r="BP409" s="990" t="s">
        <v>41</v>
      </c>
      <c r="BQ409" s="997"/>
      <c r="BR409" s="996"/>
      <c r="BS409" s="990"/>
      <c r="BT409" s="423"/>
      <c r="BU409" s="423"/>
      <c r="BV409" s="425"/>
      <c r="BW409" s="423"/>
      <c r="BX409" s="448"/>
      <c r="BY409" s="448"/>
      <c r="BZ409" s="448"/>
      <c r="CA409" s="448"/>
      <c r="CB409" s="448"/>
      <c r="CC409" s="777"/>
      <c r="CD409" s="448"/>
      <c r="CE409" s="998" t="str">
        <f>IFERROR(WWWW[[#This Row],['#_Water sources passed]]/WWWW[[#This Row],['#_Water sources tested for fecal coliform ]],"no test")</f>
        <v>no test</v>
      </c>
      <c r="CF409" s="996" t="str">
        <f>IFERROR(WWWW[[#This Row],['#_Household passed]]/WWWW[[#This Row],['#_Household water samples tested for fecal coliform]],"no test")</f>
        <v>no test</v>
      </c>
      <c r="CG409" s="997" t="str">
        <f>IF(AND(WWWW[[#This Row],[% of water sources passed]]="no test",WWWW[[#This Row],[% Household passed]]="no test"),"No Test","Tested")</f>
        <v>No Test</v>
      </c>
      <c r="CH409" s="997">
        <f>WWWW[[#This Row],['#_Constructed/existing protected hand dug well]]-WWWW[[#This Row],['#_Non-functional protected hand dug well]]</f>
        <v>0</v>
      </c>
      <c r="CI409" s="997">
        <f>(WWWW[[#This Row],['#_Constructed/Existing tube wells/boreholes/handpumps_WASH_agency]]+WWWW[[#This Row],['#_Non-Cluster partner water tube-wells/boreholes/handpumps]])-WWWW[[#This Row],['#_Non-functional tube wells/boreholes/handpumps]]</f>
        <v>4</v>
      </c>
      <c r="CJ409" s="997">
        <f>WWWW[[#This Row],['#_Constructed/Existingwater storage tank with gravity fed reticulation system]]-WWWW[[#This Row],['#_Non-functional storage tank gravity fed reticulation system]]</f>
        <v>0</v>
      </c>
      <c r="CK409" s="997">
        <f>(WWWW[[#This Row],['#_Water_Liters_supplied_by_Water boating or water trucking]]/90)/15</f>
        <v>0</v>
      </c>
      <c r="CL409" s="997">
        <f>WWWW[[#This Row],['#_Water_Liters_from_Constructed/Existing water distribution system from river or natural spring]]/90/15</f>
        <v>0</v>
      </c>
      <c r="CM409" s="424">
        <f>IF(WWWW[[#This Row],['#_of water points in TLS/CFS]]*500&gt;WWWW[[#This Row],[Total PoP ]],WWWW[[#This Row],[Total PoP ]],WWWW[[#This Row],['#_of water points in TLS/CFS]]*500)</f>
        <v>0</v>
      </c>
      <c r="CN409" s="424">
        <f>IF(WWWW[[#This Row],['#_of water points in THF]]*500&gt;WWWW[[#This Row],[Total PoP ]],WWWW[[#This Row],[Total PoP ]],WWWW[[#This Row],['#_of water points in THF]]*500)</f>
        <v>0</v>
      </c>
      <c r="CO40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0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09" s="996">
        <f>IF(WWWW[[#This Row],[Location Type 1]]="Village",WWWW[[#This Row],[Access to safe drinking water for Village]],WWWW[[#This Row],[Access to safe drinking water for Camp]])</f>
        <v>1</v>
      </c>
      <c r="CR409" s="994">
        <f>WWWW[[#This Row],[%Equitable and continuous access to sufficient quantity of safe drinking water]]*WWWW[[#This Row],[Total PoP ]]</f>
        <v>291</v>
      </c>
      <c r="CS409" s="996">
        <f>IF((WWWW[[#This Row],['#_Constructed/Existing protected/fenced ponds]]*250)/WWWW[[#This Row],[Total PoP ]]&gt;1,1,(WWWW[[#This Row],['#_Constructed/Existing protected/fenced ponds]]*250)/WWWW[[#This Row],[Total PoP ]])</f>
        <v>0</v>
      </c>
      <c r="CT409" s="994">
        <f>WWWW[[#This Row],[% Access to unimproved water points]]*WWWW[[#This Row],[Total PoP ]]</f>
        <v>0</v>
      </c>
      <c r="CU40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0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291</v>
      </c>
      <c r="CW409" s="994">
        <f>WWWW[[#This Row],[HRP1]]/500</f>
        <v>0.58199999999999996</v>
      </c>
      <c r="CX409" s="999">
        <f>1-WWWW[[#This Row],[% Equitable and continuous access to sufficient quantity of domestic water]]</f>
        <v>0</v>
      </c>
      <c r="CY409" s="994">
        <f>WWWW[[#This Row],[%equitable and continuous access to sufficient quantity of safe drinking and domestic water''s GAP]]*WWWW[[#This Row],[Total PoP ]]</f>
        <v>0</v>
      </c>
      <c r="CZ409" s="997">
        <f>IF(WWWW[[#This Row],[Total required water points]]-WWWW[[#This Row],['#Water points coverage]]&lt;0,0,WWWW[[#This Row],[Total required water points]]-WWWW[[#This Row],['#Water points coverage]])</f>
        <v>0.41800000000000004</v>
      </c>
      <c r="DA409" s="997">
        <f>ROUND(IF(WWWW[[#This Row],[Total PoP ]]&lt;500,1,WWWW[[#This Row],[Total PoP ]]/500),0)</f>
        <v>1</v>
      </c>
      <c r="DB409" s="997">
        <f>(WWWW[[#This Row],['#_Constructed latrines_by_WASHAgencies]]+WWWW[[#This Row],['#_Non Cluster partner latrines]])-WWWW[[#This Row],['#_Non-functional latrines]]</f>
        <v>20</v>
      </c>
      <c r="DC409" s="631">
        <f>WWWW[[#This Row],[HRP2]]/WWWW[[#This Row],[Total PoP ]]</f>
        <v>1</v>
      </c>
      <c r="DD40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291</v>
      </c>
      <c r="DE40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0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9" s="424">
        <f>IF(WWWW[[#This Row],['# of functional latrines in THF supported by WASH partners during the reporting period2]]="",0,WWWW[[#This Row],['# of functional latrines in THF supported by WASH partners during the reporting period2]]*50)</f>
        <v>0</v>
      </c>
      <c r="DH409" s="997">
        <f>ROUND(IF(WWWW[[#This Row],[Location Type 1]]="camp",WWWW[[#This Row],[Total PoP ]]/20,IF(WWWW[[#This Row],[Location Type 1]]="Temporary Location",WWWW[[#This Row],[Total PoP ]]/50,(WWWW[[#This Row],[Total PoP ]]/6))),0)</f>
        <v>15</v>
      </c>
      <c r="DI409" s="997">
        <f>IF(WWWW[[#This Row],[Total required Latrines]]-(WWWW[[#This Row],['#_Constructed latrines_by_WASHAgencies]]+WWWW[[#This Row],['#_Non Cluster partner latrines]])&lt;0,0,WWWW[[#This Row],[Total required Latrines]]-(WWWW[[#This Row],['#_Constructed latrines_by_WASHAgencies]]+WWWW[[#This Row],['#_Non Cluster partner latrines]]))</f>
        <v>0</v>
      </c>
      <c r="DJ409" s="999">
        <f>1-WWWW[[#This Row],[% people access to functioning Latrine]]</f>
        <v>0</v>
      </c>
      <c r="DK409" s="998">
        <f>IF(OR(WWWW[[#This Row],['#_Non-functional latrines]]="",WWWW[[#This Row],['#_Non-functional latrines]]=0),0,WWWW[[#This Row],['#_Non-functional latrines]]/(WWWW[[#This Row],['#_Constructed latrines_by_WASHAgencies]]+WWWW[[#This Row],['#_Non Cluster partner latrines]]))</f>
        <v>0</v>
      </c>
      <c r="DL409" s="994">
        <f>IF(500*(WWWW[[#This Row],['#_male hygiene promoters]]+WWWW[[#This Row],['#_female hygiene promoters]])&gt;WWWW[[#This Row],[Total PoP ]],WWWW[[#This Row],[Total PoP ]],500*(WWWW[[#This Row],['#_male hygiene promoters]]+WWWW[[#This Row],['#_female hygiene promoters]]))</f>
        <v>291</v>
      </c>
      <c r="DM40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0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09" s="997">
        <f>IF(WWWW[[#This Row],['# People with access to soap]]&gt;WWWW[[#This Row],['# People with access to Sanity Pads]],WWWW[[#This Row],['# People with access to soap]],WWWW[[#This Row],['# People with access to Sanity Pads]])</f>
        <v>0</v>
      </c>
      <c r="DP409" s="997">
        <f>IF(WWWW[[#This Row],['# people reached by regular dedicated hygiene promotion_5]]&gt;WWWW[[#This Row],['# People received regular supply of hygiene items_6]],WWWW[[#This Row],['# people reached by regular dedicated hygiene promotion_5]],WWWW[[#This Row],['# People received regular supply of hygiene items_6]])</f>
        <v>291</v>
      </c>
      <c r="DQ409" s="999">
        <f>IF(WWWW[[#This Row],[HRP3]]/WWWW[[#This Row],[Total PoP ]]&gt;1,1,WWWW[[#This Row],[HRP3]]/WWWW[[#This Row],[Total PoP ]])</f>
        <v>1</v>
      </c>
      <c r="DR409" s="998">
        <f>1-WWWW[[#This Row],[Hygiene Coverage%]]</f>
        <v>0</v>
      </c>
      <c r="DS409" s="996">
        <f>WWWW[[#This Row],['# people reached by regular dedicated hygiene promotion_5]]/WWWW[[#This Row],[Total PoP ]]</f>
        <v>1</v>
      </c>
      <c r="DT40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0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09" s="997">
        <f>WWWW[[#This Row],['#_Constructed/Existing hand washing stations]]-WWWW[[#This Row],['#_Non-Functional_hand_washing_stations]]</f>
        <v>7</v>
      </c>
      <c r="DW409" s="994">
        <f>IF(WWWW[[#This Row],['# Functional hand washing stations during reporting period]]*20&gt;WWWW[[#This Row],[Total HH]],WWWW[[#This Row],[Total HH]],WWWW[[#This Row],['# Functional hand washing stations during reporting period]]*20)</f>
        <v>61</v>
      </c>
      <c r="DX409" s="994">
        <f>IF(WWWW[[#This Row],[Is sufficient soap available for TLS? (Yes/No)]]="yes",WWWW[[#This Row],['#_Constructed/Existing hand washing stations at TLS/CFS/THF]],0)</f>
        <v>4</v>
      </c>
      <c r="DY409" s="428">
        <f>IF(WWWW[[#This Row],['# Functional hand washing stations during reporting period]]*100&gt;WWWW[[#This Row],[Total PoP ]],WWWW[[#This Row],[Total PoP ]],WWWW[[#This Row],['# Functional hand washing stations during reporting period]]*100)</f>
        <v>291</v>
      </c>
      <c r="DZ409" s="428" t="str">
        <f>IF(OR(WWWW[[#This Row],['#_students at TLS_CFS]]="",WWWW[[#This Row],['#_students at TLS_CFS]]=0),"No","Yes")</f>
        <v>No</v>
      </c>
      <c r="EA40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0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0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9" s="990" t="str">
        <f>VLOOKUP(WWWW[[#This Row],[Site Name]],SiteDB6[[Site Name]:[CCCM Management]],6,FALSE)</f>
        <v>Yes</v>
      </c>
      <c r="EF409" s="990" t="str">
        <f>VLOOKUP(WWWW[[#This Row],[Site Name]],SiteDB6[[Site Name]:[CCCM Focal Agency]],7,FALSE)</f>
        <v>KMSS-MYT</v>
      </c>
      <c r="EG409" s="990" t="str">
        <f>VLOOKUP(WWWW[[#This Row],[Site Name]],SiteDB6[[Site Name]:[Location Type 1]],9,FALSE)</f>
        <v>Camp</v>
      </c>
      <c r="EH409" s="990" t="str">
        <f>VLOOKUP(WWWW[[#This Row],[Site Name]],SiteDB6[[Site Name]:[Type of Accommodation]],10,FALSE)</f>
        <v>Camp</v>
      </c>
      <c r="EI409" s="990" t="str">
        <f>VLOOKUP(WWWW[[#This Row],[Site Name]],SiteDB6[[Site Name]:[Ethnic or GCA/NGCA]],11,FALSE)</f>
        <v>GCA</v>
      </c>
      <c r="EJ409" s="990">
        <f>VLOOKUP(WWWW[[#This Row],[Site Name]],SiteDB6[[Site Name]:[Lat]],12,FALSE)</f>
        <v>25.410569299999999</v>
      </c>
      <c r="EK409" s="990">
        <f>VLOOKUP(WWWW[[#This Row],[Site Name]],SiteDB6[[Site Name]:[Long]],13,FALSE)</f>
        <v>97.359320179999997</v>
      </c>
      <c r="EL409" s="990" t="str">
        <f>VLOOKUP(WWWW[[#This Row],[Site Name]],SiteDB6[[Site Name]:[Pcode]],3,FALSE)</f>
        <v>MMR001CMP024</v>
      </c>
      <c r="EM409" s="995" t="str">
        <f t="shared" si="7"/>
        <v>Covered</v>
      </c>
      <c r="EN409" s="995"/>
      <c r="EO409" s="990">
        <f>VLOOKUP(WWWW[[#This Row],[Site Name]],SiteDB6[[Site Name]:[Pop
(Kachin/Shan-CCCM as of July 2021)]],16,FALSE)</f>
        <v>61</v>
      </c>
      <c r="EP409" s="990">
        <f>VLOOKUP(WWWW[[#This Row],[Site Name]],SiteDB6[[Site Name]:[Pop
(Kachin/Shan-CCCM as of July 2021)]],17,FALSE)</f>
        <v>290</v>
      </c>
    </row>
    <row r="410" spans="1:146">
      <c r="A410" s="988" t="s">
        <v>2765</v>
      </c>
      <c r="B410" s="988" t="s">
        <v>3073</v>
      </c>
      <c r="C410" s="989" t="s">
        <v>141</v>
      </c>
      <c r="D410" s="989" t="s">
        <v>3166</v>
      </c>
      <c r="E410" s="989" t="s">
        <v>37</v>
      </c>
      <c r="F410" s="989" t="s">
        <v>159</v>
      </c>
      <c r="G410" s="591" t="str">
        <f>VLOOKUP(WWWW[[#This Row],[Site Name]],SiteDB6[[Site Name]:[Location Type]],8,FALSE)</f>
        <v>Camp</v>
      </c>
      <c r="H410" s="989" t="s">
        <v>167</v>
      </c>
      <c r="I410" s="991">
        <v>72</v>
      </c>
      <c r="J410" s="991">
        <v>323</v>
      </c>
      <c r="K410" s="992">
        <v>44682</v>
      </c>
      <c r="L410" s="993">
        <v>45169</v>
      </c>
      <c r="M410" s="991"/>
      <c r="N410" s="991">
        <v>1</v>
      </c>
      <c r="O410" s="991"/>
      <c r="P410" s="991"/>
      <c r="Q410" s="994" t="s">
        <v>41</v>
      </c>
      <c r="R410" s="991">
        <v>2</v>
      </c>
      <c r="S410" s="991">
        <v>2</v>
      </c>
      <c r="T410" s="448">
        <v>2</v>
      </c>
      <c r="U410" s="991"/>
      <c r="V410" s="991"/>
      <c r="W410" s="991">
        <v>2</v>
      </c>
      <c r="X410" s="991"/>
      <c r="Y410" s="991"/>
      <c r="Z410" s="991"/>
      <c r="AA410" s="991"/>
      <c r="AB410" s="991"/>
      <c r="AC410" s="991"/>
      <c r="AD410" s="991"/>
      <c r="AE410" s="991"/>
      <c r="AF410" s="991"/>
      <c r="AG410" s="991"/>
      <c r="AH410" s="991">
        <v>3</v>
      </c>
      <c r="AI410" s="991"/>
      <c r="AJ410" s="991"/>
      <c r="AK410" s="991"/>
      <c r="AL410" s="991"/>
      <c r="AM410" s="991"/>
      <c r="AN410" s="991"/>
      <c r="AO410" s="448"/>
      <c r="AP410" s="995"/>
      <c r="AQ410" s="991">
        <v>15</v>
      </c>
      <c r="AR410" s="991"/>
      <c r="AS410" s="996"/>
      <c r="AT410" s="991"/>
      <c r="AU410" s="991"/>
      <c r="AV410" s="991"/>
      <c r="AW410" s="991"/>
      <c r="AX410" s="991">
        <v>15</v>
      </c>
      <c r="AY410" s="990" t="s">
        <v>41</v>
      </c>
      <c r="AZ410" s="995" t="s">
        <v>137</v>
      </c>
      <c r="BA410" s="991"/>
      <c r="BB410" s="991"/>
      <c r="BC410" s="991"/>
      <c r="BD410" s="448"/>
      <c r="BE410" s="448"/>
      <c r="BF410" s="990"/>
      <c r="BG410" s="991">
        <v>1</v>
      </c>
      <c r="BH410" s="991"/>
      <c r="BI410" s="991"/>
      <c r="BJ410" s="991">
        <v>1</v>
      </c>
      <c r="BK410" s="991"/>
      <c r="BL410" s="991"/>
      <c r="BM410" s="991"/>
      <c r="BN410" s="991"/>
      <c r="BO410" s="991"/>
      <c r="BP410" s="990"/>
      <c r="BQ410" s="997"/>
      <c r="BR410" s="996"/>
      <c r="BS410" s="990"/>
      <c r="BT410" s="423"/>
      <c r="BU410" s="423"/>
      <c r="BV410" s="425"/>
      <c r="BW410" s="423"/>
      <c r="BX410" s="448"/>
      <c r="BY410" s="448"/>
      <c r="BZ410" s="448"/>
      <c r="CA410" s="448"/>
      <c r="CB410" s="448"/>
      <c r="CC410" s="777"/>
      <c r="CD410" s="448"/>
      <c r="CE410" s="998" t="str">
        <f>IFERROR(WWWW[[#This Row],['#_Water sources passed]]/WWWW[[#This Row],['#_Water sources tested for fecal coliform ]],"no test")</f>
        <v>no test</v>
      </c>
      <c r="CF410" s="996" t="str">
        <f>IFERROR(WWWW[[#This Row],['#_Household passed]]/WWWW[[#This Row],['#_Household water samples tested for fecal coliform]],"no test")</f>
        <v>no test</v>
      </c>
      <c r="CG410" s="997" t="str">
        <f>IF(AND(WWWW[[#This Row],[% of water sources passed]]="no test",WWWW[[#This Row],[% Household passed]]="no test"),"No Test","Tested")</f>
        <v>No Test</v>
      </c>
      <c r="CH410" s="997">
        <f>WWWW[[#This Row],['#_Constructed/existing protected hand dug well]]-WWWW[[#This Row],['#_Non-functional protected hand dug well]]</f>
        <v>2</v>
      </c>
      <c r="CI410" s="997">
        <f>(WWWW[[#This Row],['#_Constructed/Existing tube wells/boreholes/handpumps_WASH_agency]]+WWWW[[#This Row],['#_Non-Cluster partner water tube-wells/boreholes/handpumps]])-WWWW[[#This Row],['#_Non-functional tube wells/boreholes/handpumps]]</f>
        <v>2</v>
      </c>
      <c r="CJ410" s="997">
        <f>WWWW[[#This Row],['#_Constructed/Existingwater storage tank with gravity fed reticulation system]]-WWWW[[#This Row],['#_Non-functional storage tank gravity fed reticulation system]]</f>
        <v>0</v>
      </c>
      <c r="CK410" s="997">
        <f>(WWWW[[#This Row],['#_Water_Liters_supplied_by_Water boating or water trucking]]/90)/15</f>
        <v>0</v>
      </c>
      <c r="CL410" s="997">
        <f>WWWW[[#This Row],['#_Water_Liters_from_Constructed/Existing water distribution system from river or natural spring]]/90/15</f>
        <v>0</v>
      </c>
      <c r="CM410" s="424">
        <f>IF(WWWW[[#This Row],['#_of water points in TLS/CFS]]*500&gt;WWWW[[#This Row],[Total PoP ]],WWWW[[#This Row],[Total PoP ]],WWWW[[#This Row],['#_of water points in TLS/CFS]]*500)</f>
        <v>0</v>
      </c>
      <c r="CN410" s="424">
        <f>IF(WWWW[[#This Row],['#_of water points in THF]]*500&gt;WWWW[[#This Row],[Total PoP ]],WWWW[[#This Row],[Total PoP ]],WWWW[[#This Row],['#_of water points in THF]]*500)</f>
        <v>0</v>
      </c>
      <c r="CO41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1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10" s="996">
        <f>IF(WWWW[[#This Row],[Location Type 1]]="Village",WWWW[[#This Row],[Access to safe drinking water for Village]],WWWW[[#This Row],[Access to safe drinking water for Camp]])</f>
        <v>1</v>
      </c>
      <c r="CR410" s="994">
        <f>WWWW[[#This Row],[%Equitable and continuous access to sufficient quantity of safe drinking water]]*WWWW[[#This Row],[Total PoP ]]</f>
        <v>323</v>
      </c>
      <c r="CS410" s="996">
        <f>IF((WWWW[[#This Row],['#_Constructed/Existing protected/fenced ponds]]*250)/WWWW[[#This Row],[Total PoP ]]&gt;1,1,(WWWW[[#This Row],['#_Constructed/Existing protected/fenced ponds]]*250)/WWWW[[#This Row],[Total PoP ]])</f>
        <v>0</v>
      </c>
      <c r="CT410" s="994">
        <f>WWWW[[#This Row],[% Access to unimproved water points]]*WWWW[[#This Row],[Total PoP ]]</f>
        <v>0</v>
      </c>
      <c r="CU41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1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410" s="994">
        <f>WWWW[[#This Row],[HRP1]]/500</f>
        <v>0.64600000000000002</v>
      </c>
      <c r="CX410" s="999">
        <f>1-WWWW[[#This Row],[% Equitable and continuous access to sufficient quantity of domestic water]]</f>
        <v>0</v>
      </c>
      <c r="CY410" s="994">
        <f>WWWW[[#This Row],[%equitable and continuous access to sufficient quantity of safe drinking and domestic water''s GAP]]*WWWW[[#This Row],[Total PoP ]]</f>
        <v>0</v>
      </c>
      <c r="CZ410" s="997">
        <f>IF(WWWW[[#This Row],[Total required water points]]-WWWW[[#This Row],['#Water points coverage]]&lt;0,0,WWWW[[#This Row],[Total required water points]]-WWWW[[#This Row],['#Water points coverage]])</f>
        <v>0.35399999999999998</v>
      </c>
      <c r="DA410" s="997">
        <f>ROUND(IF(WWWW[[#This Row],[Total PoP ]]&lt;500,1,WWWW[[#This Row],[Total PoP ]]/500),0)</f>
        <v>1</v>
      </c>
      <c r="DB410" s="997">
        <f>(WWWW[[#This Row],['#_Constructed latrines_by_WASHAgencies]]+WWWW[[#This Row],['#_Non Cluster partner latrines]])-WWWW[[#This Row],['#_Non-functional latrines]]</f>
        <v>15</v>
      </c>
      <c r="DC410" s="631">
        <f>WWWW[[#This Row],[HRP2]]/WWWW[[#This Row],[Total PoP ]]</f>
        <v>0.92879256965944268</v>
      </c>
      <c r="DD41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41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1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0" s="424">
        <f>IF(WWWW[[#This Row],['# of functional latrines in THF supported by WASH partners during the reporting period2]]="",0,WWWW[[#This Row],['# of functional latrines in THF supported by WASH partners during the reporting period2]]*50)</f>
        <v>0</v>
      </c>
      <c r="DH410" s="997">
        <f>ROUND(IF(WWWW[[#This Row],[Location Type 1]]="camp",WWWW[[#This Row],[Total PoP ]]/20,IF(WWWW[[#This Row],[Location Type 1]]="Temporary Location",WWWW[[#This Row],[Total PoP ]]/50,(WWWW[[#This Row],[Total PoP ]]/6))),0)</f>
        <v>16</v>
      </c>
      <c r="DI410" s="997">
        <f>IF(WWWW[[#This Row],[Total required Latrines]]-(WWWW[[#This Row],['#_Constructed latrines_by_WASHAgencies]]+WWWW[[#This Row],['#_Non Cluster partner latrines]])&lt;0,0,WWWW[[#This Row],[Total required Latrines]]-(WWWW[[#This Row],['#_Constructed latrines_by_WASHAgencies]]+WWWW[[#This Row],['#_Non Cluster partner latrines]]))</f>
        <v>1</v>
      </c>
      <c r="DJ410" s="999">
        <f>1-WWWW[[#This Row],[% people access to functioning Latrine]]</f>
        <v>7.1207430340557321E-2</v>
      </c>
      <c r="DK410" s="998">
        <f>IF(OR(WWWW[[#This Row],['#_Non-functional latrines]]="",WWWW[[#This Row],['#_Non-functional latrines]]=0),0,WWWW[[#This Row],['#_Non-functional latrines]]/(WWWW[[#This Row],['#_Constructed latrines_by_WASHAgencies]]+WWWW[[#This Row],['#_Non Cluster partner latrines]]))</f>
        <v>0</v>
      </c>
      <c r="DL410" s="994">
        <f>IF(500*(WWWW[[#This Row],['#_male hygiene promoters]]+WWWW[[#This Row],['#_female hygiene promoters]])&gt;WWWW[[#This Row],[Total PoP ]],WWWW[[#This Row],[Total PoP ]],500*(WWWW[[#This Row],['#_male hygiene promoters]]+WWWW[[#This Row],['#_female hygiene promoters]]))</f>
        <v>0</v>
      </c>
      <c r="DM41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1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10" s="997">
        <f>IF(WWWW[[#This Row],['# People with access to soap]]&gt;WWWW[[#This Row],['# People with access to Sanity Pads]],WWWW[[#This Row],['# People with access to soap]],WWWW[[#This Row],['# People with access to Sanity Pads]])</f>
        <v>0</v>
      </c>
      <c r="DP410"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10" s="999">
        <f>IF(WWWW[[#This Row],[HRP3]]/WWWW[[#This Row],[Total PoP ]]&gt;1,1,WWWW[[#This Row],[HRP3]]/WWWW[[#This Row],[Total PoP ]])</f>
        <v>0</v>
      </c>
      <c r="DR410" s="998">
        <f>1-WWWW[[#This Row],[Hygiene Coverage%]]</f>
        <v>1</v>
      </c>
      <c r="DS410" s="996">
        <f>WWWW[[#This Row],['# people reached by regular dedicated hygiene promotion_5]]/WWWW[[#This Row],[Total PoP ]]</f>
        <v>0</v>
      </c>
      <c r="DT41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1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10" s="997">
        <f>WWWW[[#This Row],['#_Constructed/Existing hand washing stations]]-WWWW[[#This Row],['#_Non-Functional_hand_washing_stations]]</f>
        <v>1</v>
      </c>
      <c r="DW410" s="994">
        <f>IF(WWWW[[#This Row],['# Functional hand washing stations during reporting period]]*20&gt;WWWW[[#This Row],[Total HH]],WWWW[[#This Row],[Total HH]],WWWW[[#This Row],['# Functional hand washing stations during reporting period]]*20)</f>
        <v>20</v>
      </c>
      <c r="DX410" s="994">
        <f>IF(WWWW[[#This Row],[Is sufficient soap available for TLS? (Yes/No)]]="yes",WWWW[[#This Row],['#_Constructed/Existing hand washing stations at TLS/CFS/THF]],0)</f>
        <v>0</v>
      </c>
      <c r="DY410" s="428">
        <f>IF(WWWW[[#This Row],['# Functional hand washing stations during reporting period]]*100&gt;WWWW[[#This Row],[Total PoP ]],WWWW[[#This Row],[Total PoP ]],WWWW[[#This Row],['# Functional hand washing stations during reporting period]]*100)</f>
        <v>100</v>
      </c>
      <c r="DZ410" s="428" t="str">
        <f>IF(OR(WWWW[[#This Row],['#_students at TLS_CFS]]="",WWWW[[#This Row],['#_students at TLS_CFS]]=0),"No","Yes")</f>
        <v>No</v>
      </c>
      <c r="EA41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0" s="990" t="str">
        <f>VLOOKUP(WWWW[[#This Row],[Site Name]],SiteDB6[[Site Name]:[CCCM Management]],6,FALSE)</f>
        <v>Yes</v>
      </c>
      <c r="EF410" s="990" t="str">
        <f>VLOOKUP(WWWW[[#This Row],[Site Name]],SiteDB6[[Site Name]:[CCCM Focal Agency]],7,FALSE)</f>
        <v>KBC-MYT</v>
      </c>
      <c r="EG410" s="990" t="str">
        <f>VLOOKUP(WWWW[[#This Row],[Site Name]],SiteDB6[[Site Name]:[Location Type 1]],9,FALSE)</f>
        <v>Camp</v>
      </c>
      <c r="EH410" s="990" t="str">
        <f>VLOOKUP(WWWW[[#This Row],[Site Name]],SiteDB6[[Site Name]:[Type of Accommodation]],10,FALSE)</f>
        <v>Camp</v>
      </c>
      <c r="EI410" s="990" t="str">
        <f>VLOOKUP(WWWW[[#This Row],[Site Name]],SiteDB6[[Site Name]:[Ethnic or GCA/NGCA]],11,FALSE)</f>
        <v>GCA</v>
      </c>
      <c r="EJ410" s="990">
        <f>VLOOKUP(WWWW[[#This Row],[Site Name]],SiteDB6[[Site Name]:[Lat]],12,FALSE)</f>
        <v>25.422194000000001</v>
      </c>
      <c r="EK410" s="990">
        <f>VLOOKUP(WWWW[[#This Row],[Site Name]],SiteDB6[[Site Name]:[Long]],13,FALSE)</f>
        <v>97.394547000000003</v>
      </c>
      <c r="EL410" s="990" t="str">
        <f>VLOOKUP(WWWW[[#This Row],[Site Name]],SiteDB6[[Site Name]:[Pcode]],3,FALSE)</f>
        <v>MMR001CMP002</v>
      </c>
      <c r="EM410" s="995" t="str">
        <f t="shared" si="7"/>
        <v>Covered</v>
      </c>
      <c r="EN410" s="995"/>
      <c r="EO410" s="990">
        <f>VLOOKUP(WWWW[[#This Row],[Site Name]],SiteDB6[[Site Name]:[Pop
(Kachin/Shan-CCCM as of July 2021)]],16,FALSE)</f>
        <v>72</v>
      </c>
      <c r="EP410" s="990">
        <f>VLOOKUP(WWWW[[#This Row],[Site Name]],SiteDB6[[Site Name]:[Pop
(Kachin/Shan-CCCM as of July 2021)]],17,FALSE)</f>
        <v>323</v>
      </c>
    </row>
    <row r="411" spans="1:146">
      <c r="A411" s="988" t="s">
        <v>2765</v>
      </c>
      <c r="B411" s="988" t="s">
        <v>36</v>
      </c>
      <c r="C411" s="989" t="s">
        <v>36</v>
      </c>
      <c r="D411" s="989" t="s">
        <v>241</v>
      </c>
      <c r="E411" s="989" t="s">
        <v>37</v>
      </c>
      <c r="F411" s="989" t="s">
        <v>159</v>
      </c>
      <c r="G411" s="591" t="str">
        <f>VLOOKUP(WWWW[[#This Row],[Site Name]],SiteDB6[[Site Name]:[Location Type]],8,FALSE)</f>
        <v>Camp</v>
      </c>
      <c r="H411" s="989" t="s">
        <v>235</v>
      </c>
      <c r="I411" s="991">
        <v>148</v>
      </c>
      <c r="J411" s="991">
        <v>925</v>
      </c>
      <c r="K411" s="992">
        <v>44414</v>
      </c>
      <c r="L411" s="993">
        <v>44778</v>
      </c>
      <c r="M411" s="991"/>
      <c r="N411" s="991">
        <v>4</v>
      </c>
      <c r="O411" s="991"/>
      <c r="P411" s="991"/>
      <c r="Q411" s="994" t="s">
        <v>41</v>
      </c>
      <c r="R411" s="991">
        <v>1</v>
      </c>
      <c r="S411" s="991">
        <v>4</v>
      </c>
      <c r="T411" s="448">
        <v>4</v>
      </c>
      <c r="U411" s="991"/>
      <c r="V411" s="991"/>
      <c r="W411" s="991">
        <v>2</v>
      </c>
      <c r="X411" s="991"/>
      <c r="Y411" s="991"/>
      <c r="Z411" s="991"/>
      <c r="AA411" s="991">
        <v>1</v>
      </c>
      <c r="AB411" s="991"/>
      <c r="AC411" s="991"/>
      <c r="AD411" s="991"/>
      <c r="AE411" s="991"/>
      <c r="AF411" s="991"/>
      <c r="AG411" s="991"/>
      <c r="AH411" s="991"/>
      <c r="AI411" s="991"/>
      <c r="AJ411" s="991"/>
      <c r="AK411" s="991"/>
      <c r="AL411" s="991"/>
      <c r="AM411" s="991">
        <v>12</v>
      </c>
      <c r="AN411" s="991"/>
      <c r="AO411" s="448"/>
      <c r="AP411" s="995"/>
      <c r="AQ411" s="991">
        <v>33</v>
      </c>
      <c r="AR411" s="991"/>
      <c r="AS411" s="996"/>
      <c r="AT411" s="991"/>
      <c r="AU411" s="991"/>
      <c r="AV411" s="991"/>
      <c r="AW411" s="991"/>
      <c r="AX411" s="991"/>
      <c r="AY411" s="990" t="s">
        <v>41</v>
      </c>
      <c r="AZ411" s="995" t="s">
        <v>137</v>
      </c>
      <c r="BA411" s="991">
        <v>1</v>
      </c>
      <c r="BB411" s="991"/>
      <c r="BC411" s="991"/>
      <c r="BD411" s="448"/>
      <c r="BE411" s="448"/>
      <c r="BF411" s="990"/>
      <c r="BG411" s="991">
        <v>8</v>
      </c>
      <c r="BH411" s="991"/>
      <c r="BI411" s="991"/>
      <c r="BJ411" s="991">
        <v>5</v>
      </c>
      <c r="BK411" s="991"/>
      <c r="BL411" s="991"/>
      <c r="BM411" s="991">
        <v>2</v>
      </c>
      <c r="BN411" s="991"/>
      <c r="BO411" s="991"/>
      <c r="BP411" s="990" t="s">
        <v>41</v>
      </c>
      <c r="BQ411" s="997"/>
      <c r="BR411" s="996"/>
      <c r="BS411" s="990"/>
      <c r="BT411" s="423"/>
      <c r="BU411" s="423"/>
      <c r="BV411" s="425"/>
      <c r="BW411" s="423"/>
      <c r="BX411" s="448"/>
      <c r="BY411" s="448"/>
      <c r="BZ411" s="448"/>
      <c r="CA411" s="448"/>
      <c r="CB411" s="448"/>
      <c r="CC411" s="777"/>
      <c r="CD411" s="448"/>
      <c r="CE411" s="998" t="str">
        <f>IFERROR(WWWW[[#This Row],['#_Water sources passed]]/WWWW[[#This Row],['#_Water sources tested for fecal coliform ]],"no test")</f>
        <v>no test</v>
      </c>
      <c r="CF411" s="996" t="str">
        <f>IFERROR(WWWW[[#This Row],['#_Household passed]]/WWWW[[#This Row],['#_Household water samples tested for fecal coliform]],"no test")</f>
        <v>no test</v>
      </c>
      <c r="CG411" s="997" t="str">
        <f>IF(AND(WWWW[[#This Row],[% of water sources passed]]="no test",WWWW[[#This Row],[% Household passed]]="no test"),"No Test","Tested")</f>
        <v>No Test</v>
      </c>
      <c r="CH411" s="997">
        <f>WWWW[[#This Row],['#_Constructed/existing protected hand dug well]]-WWWW[[#This Row],['#_Non-functional protected hand dug well]]</f>
        <v>4</v>
      </c>
      <c r="CI411" s="997">
        <f>(WWWW[[#This Row],['#_Constructed/Existing tube wells/boreholes/handpumps_WASH_agency]]+WWWW[[#This Row],['#_Non-Cluster partner water tube-wells/boreholes/handpumps]])-WWWW[[#This Row],['#_Non-functional tube wells/boreholes/handpumps]]</f>
        <v>2</v>
      </c>
      <c r="CJ411" s="997">
        <f>WWWW[[#This Row],['#_Constructed/Existingwater storage tank with gravity fed reticulation system]]-WWWW[[#This Row],['#_Non-functional storage tank gravity fed reticulation system]]</f>
        <v>1</v>
      </c>
      <c r="CK411" s="997">
        <f>(WWWW[[#This Row],['#_Water_Liters_supplied_by_Water boating or water trucking]]/90)/15</f>
        <v>0</v>
      </c>
      <c r="CL411" s="997">
        <f>WWWW[[#This Row],['#_Water_Liters_from_Constructed/Existing water distribution system from river or natural spring]]/90/15</f>
        <v>0</v>
      </c>
      <c r="CM411" s="424">
        <f>IF(WWWW[[#This Row],['#_of water points in TLS/CFS]]*500&gt;WWWW[[#This Row],[Total PoP ]],WWWW[[#This Row],[Total PoP ]],WWWW[[#This Row],['#_of water points in TLS/CFS]]*500)</f>
        <v>0</v>
      </c>
      <c r="CN411" s="424">
        <f>IF(WWWW[[#This Row],['#_of water points in THF]]*500&gt;WWWW[[#This Row],[Total PoP ]],WWWW[[#This Row],[Total PoP ]],WWWW[[#This Row],['#_of water points in THF]]*500)</f>
        <v>0</v>
      </c>
      <c r="CO41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1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11" s="996">
        <f>IF(WWWW[[#This Row],[Location Type 1]]="Village",WWWW[[#This Row],[Access to safe drinking water for Village]],WWWW[[#This Row],[Access to safe drinking water for Camp]])</f>
        <v>1</v>
      </c>
      <c r="CR411" s="994">
        <f>WWWW[[#This Row],[%Equitable and continuous access to sufficient quantity of safe drinking water]]*WWWW[[#This Row],[Total PoP ]]</f>
        <v>925</v>
      </c>
      <c r="CS411" s="996">
        <f>IF((WWWW[[#This Row],['#_Constructed/Existing protected/fenced ponds]]*250)/WWWW[[#This Row],[Total PoP ]]&gt;1,1,(WWWW[[#This Row],['#_Constructed/Existing protected/fenced ponds]]*250)/WWWW[[#This Row],[Total PoP ]])</f>
        <v>0</v>
      </c>
      <c r="CT411" s="994">
        <f>WWWW[[#This Row],[% Access to unimproved water points]]*WWWW[[#This Row],[Total PoP ]]</f>
        <v>0</v>
      </c>
      <c r="CU41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1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925</v>
      </c>
      <c r="CW411" s="994">
        <f>WWWW[[#This Row],[HRP1]]/500</f>
        <v>1.85</v>
      </c>
      <c r="CX411" s="999">
        <f>1-WWWW[[#This Row],[% Equitable and continuous access to sufficient quantity of domestic water]]</f>
        <v>0</v>
      </c>
      <c r="CY411" s="994">
        <f>WWWW[[#This Row],[%equitable and continuous access to sufficient quantity of safe drinking and domestic water''s GAP]]*WWWW[[#This Row],[Total PoP ]]</f>
        <v>0</v>
      </c>
      <c r="CZ411" s="997">
        <f>IF(WWWW[[#This Row],[Total required water points]]-WWWW[[#This Row],['#Water points coverage]]&lt;0,0,WWWW[[#This Row],[Total required water points]]-WWWW[[#This Row],['#Water points coverage]])</f>
        <v>0.14999999999999991</v>
      </c>
      <c r="DA411" s="997">
        <f>ROUND(IF(WWWW[[#This Row],[Total PoP ]]&lt;500,1,WWWW[[#This Row],[Total PoP ]]/500),0)</f>
        <v>2</v>
      </c>
      <c r="DB411" s="997">
        <f>(WWWW[[#This Row],['#_Constructed latrines_by_WASHAgencies]]+WWWW[[#This Row],['#_Non Cluster partner latrines]])-WWWW[[#This Row],['#_Non-functional latrines]]</f>
        <v>33</v>
      </c>
      <c r="DC411" s="631">
        <f>WWWW[[#This Row],[HRP2]]/WWWW[[#This Row],[Total PoP ]]</f>
        <v>0.73513513513513518</v>
      </c>
      <c r="DD41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680</v>
      </c>
      <c r="DE41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1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1" s="424">
        <f>IF(WWWW[[#This Row],['# of functional latrines in THF supported by WASH partners during the reporting period2]]="",0,WWWW[[#This Row],['# of functional latrines in THF supported by WASH partners during the reporting period2]]*50)</f>
        <v>0</v>
      </c>
      <c r="DH411" s="997">
        <f>ROUND(IF(WWWW[[#This Row],[Location Type 1]]="camp",WWWW[[#This Row],[Total PoP ]]/20,IF(WWWW[[#This Row],[Location Type 1]]="Temporary Location",WWWW[[#This Row],[Total PoP ]]/50,(WWWW[[#This Row],[Total PoP ]]/6))),0)</f>
        <v>46</v>
      </c>
      <c r="DI411" s="997">
        <f>IF(WWWW[[#This Row],[Total required Latrines]]-(WWWW[[#This Row],['#_Constructed latrines_by_WASHAgencies]]+WWWW[[#This Row],['#_Non Cluster partner latrines]])&lt;0,0,WWWW[[#This Row],[Total required Latrines]]-(WWWW[[#This Row],['#_Constructed latrines_by_WASHAgencies]]+WWWW[[#This Row],['#_Non Cluster partner latrines]]))</f>
        <v>13</v>
      </c>
      <c r="DJ411" s="999">
        <f>1-WWWW[[#This Row],[% people access to functioning Latrine]]</f>
        <v>0.26486486486486482</v>
      </c>
      <c r="DK411" s="998">
        <f>IF(OR(WWWW[[#This Row],['#_Non-functional latrines]]="",WWWW[[#This Row],['#_Non-functional latrines]]=0),0,WWWW[[#This Row],['#_Non-functional latrines]]/(WWWW[[#This Row],['#_Constructed latrines_by_WASHAgencies]]+WWWW[[#This Row],['#_Non Cluster partner latrines]]))</f>
        <v>0</v>
      </c>
      <c r="DL411" s="994">
        <f>IF(500*(WWWW[[#This Row],['#_male hygiene promoters]]+WWWW[[#This Row],['#_female hygiene promoters]])&gt;WWWW[[#This Row],[Total PoP ]],WWWW[[#This Row],[Total PoP ]],500*(WWWW[[#This Row],['#_male hygiene promoters]]+WWWW[[#This Row],['#_female hygiene promoters]]))</f>
        <v>925</v>
      </c>
      <c r="DM41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1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11" s="997">
        <f>IF(WWWW[[#This Row],['# People with access to soap]]&gt;WWWW[[#This Row],['# People with access to Sanity Pads]],WWWW[[#This Row],['# People with access to soap]],WWWW[[#This Row],['# People with access to Sanity Pads]])</f>
        <v>0</v>
      </c>
      <c r="DP411" s="997">
        <f>IF(WWWW[[#This Row],['# people reached by regular dedicated hygiene promotion_5]]&gt;WWWW[[#This Row],['# People received regular supply of hygiene items_6]],WWWW[[#This Row],['# people reached by regular dedicated hygiene promotion_5]],WWWW[[#This Row],['# People received regular supply of hygiene items_6]])</f>
        <v>925</v>
      </c>
      <c r="DQ411" s="999">
        <f>IF(WWWW[[#This Row],[HRP3]]/WWWW[[#This Row],[Total PoP ]]&gt;1,1,WWWW[[#This Row],[HRP3]]/WWWW[[#This Row],[Total PoP ]])</f>
        <v>1</v>
      </c>
      <c r="DR411" s="998">
        <f>1-WWWW[[#This Row],[Hygiene Coverage%]]</f>
        <v>0</v>
      </c>
      <c r="DS411" s="996">
        <f>WWWW[[#This Row],['# people reached by regular dedicated hygiene promotion_5]]/WWWW[[#This Row],[Total PoP ]]</f>
        <v>1</v>
      </c>
      <c r="DT41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1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11" s="997">
        <f>WWWW[[#This Row],['#_Constructed/Existing hand washing stations]]-WWWW[[#This Row],['#_Non-Functional_hand_washing_stations]]</f>
        <v>8</v>
      </c>
      <c r="DW411" s="994">
        <f>IF(WWWW[[#This Row],['# Functional hand washing stations during reporting period]]*20&gt;WWWW[[#This Row],[Total HH]],WWWW[[#This Row],[Total HH]],WWWW[[#This Row],['# Functional hand washing stations during reporting period]]*20)</f>
        <v>148</v>
      </c>
      <c r="DX411" s="994">
        <f>IF(WWWW[[#This Row],[Is sufficient soap available for TLS? (Yes/No)]]="yes",WWWW[[#This Row],['#_Constructed/Existing hand washing stations at TLS/CFS/THF]],0)</f>
        <v>12</v>
      </c>
      <c r="DY411" s="428">
        <f>IF(WWWW[[#This Row],['# Functional hand washing stations during reporting period]]*100&gt;WWWW[[#This Row],[Total PoP ]],WWWW[[#This Row],[Total PoP ]],WWWW[[#This Row],['# Functional hand washing stations during reporting period]]*100)</f>
        <v>800</v>
      </c>
      <c r="DZ411" s="428" t="str">
        <f>IF(OR(WWWW[[#This Row],['#_students at TLS_CFS]]="",WWWW[[#This Row],['#_students at TLS_CFS]]=0),"No","Yes")</f>
        <v>No</v>
      </c>
      <c r="EA41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1" s="990" t="str">
        <f>VLOOKUP(WWWW[[#This Row],[Site Name]],SiteDB6[[Site Name]:[CCCM Management]],6,FALSE)</f>
        <v>Yes</v>
      </c>
      <c r="EF411" s="990" t="str">
        <f>VLOOKUP(WWWW[[#This Row],[Site Name]],SiteDB6[[Site Name]:[CCCM Focal Agency]],7,FALSE)</f>
        <v>KMSS-MYT</v>
      </c>
      <c r="EG411" s="990" t="str">
        <f>VLOOKUP(WWWW[[#This Row],[Site Name]],SiteDB6[[Site Name]:[Location Type 1]],9,FALSE)</f>
        <v>Camp</v>
      </c>
      <c r="EH411" s="990" t="str">
        <f>VLOOKUP(WWWW[[#This Row],[Site Name]],SiteDB6[[Site Name]:[Type of Accommodation]],10,FALSE)</f>
        <v>Camp</v>
      </c>
      <c r="EI411" s="990" t="str">
        <f>VLOOKUP(WWWW[[#This Row],[Site Name]],SiteDB6[[Site Name]:[Ethnic or GCA/NGCA]],11,FALSE)</f>
        <v>GCA</v>
      </c>
      <c r="EJ411" s="990">
        <f>VLOOKUP(WWWW[[#This Row],[Site Name]],SiteDB6[[Site Name]:[Lat]],12,FALSE)</f>
        <v>25.493819999999999</v>
      </c>
      <c r="EK411" s="990">
        <f>VLOOKUP(WWWW[[#This Row],[Site Name]],SiteDB6[[Site Name]:[Long]],13,FALSE)</f>
        <v>97.4345</v>
      </c>
      <c r="EL411" s="990" t="str">
        <f>VLOOKUP(WWWW[[#This Row],[Site Name]],SiteDB6[[Site Name]:[Pcode]],3,FALSE)</f>
        <v>MMR001CMP162</v>
      </c>
      <c r="EM411" s="995" t="str">
        <f t="shared" si="7"/>
        <v>Covered</v>
      </c>
      <c r="EN411" s="995"/>
      <c r="EO411" s="990">
        <f>VLOOKUP(WWWW[[#This Row],[Site Name]],SiteDB6[[Site Name]:[Pop
(Kachin/Shan-CCCM as of July 2021)]],16,FALSE)</f>
        <v>152</v>
      </c>
      <c r="EP411" s="990">
        <f>VLOOKUP(WWWW[[#This Row],[Site Name]],SiteDB6[[Site Name]:[Pop
(Kachin/Shan-CCCM as of July 2021)]],17,FALSE)</f>
        <v>941</v>
      </c>
    </row>
    <row r="412" spans="1:146">
      <c r="A412" s="988" t="s">
        <v>2765</v>
      </c>
      <c r="B412" s="988" t="s">
        <v>309</v>
      </c>
      <c r="C412" s="989" t="s">
        <v>309</v>
      </c>
      <c r="D412" s="989"/>
      <c r="E412" s="989" t="s">
        <v>37</v>
      </c>
      <c r="F412" s="989" t="s">
        <v>142</v>
      </c>
      <c r="G412" s="591" t="str">
        <f>VLOOKUP(WWWW[[#This Row],[Site Name]],SiteDB6[[Site Name]:[Location Type]],8,FALSE)</f>
        <v>Camp</v>
      </c>
      <c r="H412" s="989" t="s">
        <v>2781</v>
      </c>
      <c r="I412" s="991">
        <v>48</v>
      </c>
      <c r="J412" s="991">
        <v>240</v>
      </c>
      <c r="K412" s="992"/>
      <c r="L412" s="993"/>
      <c r="M412" s="991"/>
      <c r="N412" s="991"/>
      <c r="O412" s="991"/>
      <c r="P412" s="991"/>
      <c r="Q412" s="994"/>
      <c r="R412" s="991"/>
      <c r="S412" s="991"/>
      <c r="T412" s="448"/>
      <c r="U412" s="991"/>
      <c r="V412" s="991"/>
      <c r="W412" s="991"/>
      <c r="X412" s="991"/>
      <c r="Y412" s="991"/>
      <c r="Z412" s="991"/>
      <c r="AA412" s="991"/>
      <c r="AB412" s="991"/>
      <c r="AC412" s="991"/>
      <c r="AD412" s="991"/>
      <c r="AE412" s="991"/>
      <c r="AF412" s="991"/>
      <c r="AG412" s="991"/>
      <c r="AH412" s="991"/>
      <c r="AI412" s="991"/>
      <c r="AJ412" s="991"/>
      <c r="AK412" s="991"/>
      <c r="AL412" s="991"/>
      <c r="AM412" s="991"/>
      <c r="AN412" s="991"/>
      <c r="AO412" s="448"/>
      <c r="AP412" s="995"/>
      <c r="AQ412" s="991"/>
      <c r="AR412" s="991"/>
      <c r="AS412" s="996"/>
      <c r="AT412" s="991"/>
      <c r="AU412" s="991"/>
      <c r="AV412" s="991"/>
      <c r="AW412" s="991"/>
      <c r="AX412" s="991"/>
      <c r="AY412" s="990" t="s">
        <v>140</v>
      </c>
      <c r="AZ412" s="995" t="s">
        <v>140</v>
      </c>
      <c r="BA412" s="991"/>
      <c r="BB412" s="991"/>
      <c r="BC412" s="991"/>
      <c r="BD412" s="448"/>
      <c r="BE412" s="448"/>
      <c r="BF412" s="990"/>
      <c r="BG412" s="991">
        <v>7</v>
      </c>
      <c r="BH412" s="991"/>
      <c r="BI412" s="991"/>
      <c r="BJ412" s="991">
        <v>4</v>
      </c>
      <c r="BK412" s="991"/>
      <c r="BL412" s="991"/>
      <c r="BM412" s="991"/>
      <c r="BN412" s="991"/>
      <c r="BO412" s="991"/>
      <c r="BP412" s="990"/>
      <c r="BQ412" s="997"/>
      <c r="BR412" s="996"/>
      <c r="BS412" s="990"/>
      <c r="BT412" s="423"/>
      <c r="BU412" s="423"/>
      <c r="BV412" s="425"/>
      <c r="BW412" s="423"/>
      <c r="BX412" s="448"/>
      <c r="BY412" s="448"/>
      <c r="BZ412" s="448"/>
      <c r="CA412" s="448"/>
      <c r="CB412" s="448"/>
      <c r="CC412" s="777"/>
      <c r="CD412" s="448"/>
      <c r="CE412" s="998" t="str">
        <f>IFERROR(WWWW[[#This Row],['#_Water sources passed]]/WWWW[[#This Row],['#_Water sources tested for fecal coliform ]],"no test")</f>
        <v>no test</v>
      </c>
      <c r="CF412" s="996" t="str">
        <f>IFERROR(WWWW[[#This Row],['#_Household passed]]/WWWW[[#This Row],['#_Household water samples tested for fecal coliform]],"no test")</f>
        <v>no test</v>
      </c>
      <c r="CG412" s="997" t="str">
        <f>IF(AND(WWWW[[#This Row],[% of water sources passed]]="no test",WWWW[[#This Row],[% Household passed]]="no test"),"No Test","Tested")</f>
        <v>No Test</v>
      </c>
      <c r="CH412" s="997">
        <f>WWWW[[#This Row],['#_Constructed/existing protected hand dug well]]-WWWW[[#This Row],['#_Non-functional protected hand dug well]]</f>
        <v>0</v>
      </c>
      <c r="CI412" s="997">
        <f>(WWWW[[#This Row],['#_Constructed/Existing tube wells/boreholes/handpumps_WASH_agency]]+WWWW[[#This Row],['#_Non-Cluster partner water tube-wells/boreholes/handpumps]])-WWWW[[#This Row],['#_Non-functional tube wells/boreholes/handpumps]]</f>
        <v>0</v>
      </c>
      <c r="CJ412" s="997">
        <f>WWWW[[#This Row],['#_Constructed/Existingwater storage tank with gravity fed reticulation system]]-WWWW[[#This Row],['#_Non-functional storage tank gravity fed reticulation system]]</f>
        <v>0</v>
      </c>
      <c r="CK412" s="997">
        <f>(WWWW[[#This Row],['#_Water_Liters_supplied_by_Water boating or water trucking]]/90)/15</f>
        <v>0</v>
      </c>
      <c r="CL412" s="997">
        <f>WWWW[[#This Row],['#_Water_Liters_from_Constructed/Existing water distribution system from river or natural spring]]/90/15</f>
        <v>0</v>
      </c>
      <c r="CM412" s="424">
        <f>IF(WWWW[[#This Row],['#_of water points in TLS/CFS]]*500&gt;WWWW[[#This Row],[Total PoP ]],WWWW[[#This Row],[Total PoP ]],WWWW[[#This Row],['#_of water points in TLS/CFS]]*500)</f>
        <v>0</v>
      </c>
      <c r="CN412" s="424">
        <f>IF(WWWW[[#This Row],['#_of water points in THF]]*500&gt;WWWW[[#This Row],[Total PoP ]],WWWW[[#This Row],[Total PoP ]],WWWW[[#This Row],['#_of water points in THF]]*500)</f>
        <v>0</v>
      </c>
      <c r="CO41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1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12" s="996">
        <f>IF(WWWW[[#This Row],[Location Type 1]]="Village",WWWW[[#This Row],[Access to safe drinking water for Village]],WWWW[[#This Row],[Access to safe drinking water for Camp]])</f>
        <v>0</v>
      </c>
      <c r="CR412" s="994">
        <f>WWWW[[#This Row],[%Equitable and continuous access to sufficient quantity of safe drinking water]]*WWWW[[#This Row],[Total PoP ]]</f>
        <v>0</v>
      </c>
      <c r="CS412" s="996">
        <f>IF((WWWW[[#This Row],['#_Constructed/Existing protected/fenced ponds]]*250)/WWWW[[#This Row],[Total PoP ]]&gt;1,1,(WWWW[[#This Row],['#_Constructed/Existing protected/fenced ponds]]*250)/WWWW[[#This Row],[Total PoP ]])</f>
        <v>0</v>
      </c>
      <c r="CT412" s="994">
        <f>WWWW[[#This Row],[% Access to unimproved water points]]*WWWW[[#This Row],[Total PoP ]]</f>
        <v>0</v>
      </c>
      <c r="CU41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1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12" s="994">
        <f>WWWW[[#This Row],[HRP1]]/500</f>
        <v>0</v>
      </c>
      <c r="CX412" s="999">
        <f>1-WWWW[[#This Row],[% Equitable and continuous access to sufficient quantity of domestic water]]</f>
        <v>1</v>
      </c>
      <c r="CY412" s="994">
        <f>WWWW[[#This Row],[%equitable and continuous access to sufficient quantity of safe drinking and domestic water''s GAP]]*WWWW[[#This Row],[Total PoP ]]</f>
        <v>240</v>
      </c>
      <c r="CZ412" s="997">
        <f>IF(WWWW[[#This Row],[Total required water points]]-WWWW[[#This Row],['#Water points coverage]]&lt;0,0,WWWW[[#This Row],[Total required water points]]-WWWW[[#This Row],['#Water points coverage]])</f>
        <v>1</v>
      </c>
      <c r="DA412" s="997">
        <f>ROUND(IF(WWWW[[#This Row],[Total PoP ]]&lt;500,1,WWWW[[#This Row],[Total PoP ]]/500),0)</f>
        <v>1</v>
      </c>
      <c r="DB412" s="997">
        <f>(WWWW[[#This Row],['#_Constructed latrines_by_WASHAgencies]]+WWWW[[#This Row],['#_Non Cluster partner latrines]])-WWWW[[#This Row],['#_Non-functional latrines]]</f>
        <v>0</v>
      </c>
      <c r="DC412" s="631">
        <f>WWWW[[#This Row],[HRP2]]/WWWW[[#This Row],[Total PoP ]]</f>
        <v>0</v>
      </c>
      <c r="DD41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1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1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2" s="424">
        <f>IF(WWWW[[#This Row],['# of functional latrines in THF supported by WASH partners during the reporting period2]]="",0,WWWW[[#This Row],['# of functional latrines in THF supported by WASH partners during the reporting period2]]*50)</f>
        <v>0</v>
      </c>
      <c r="DH412" s="997">
        <f>ROUND(IF(WWWW[[#This Row],[Location Type 1]]="camp",WWWW[[#This Row],[Total PoP ]]/20,IF(WWWW[[#This Row],[Location Type 1]]="Temporary Location",WWWW[[#This Row],[Total PoP ]]/50,(WWWW[[#This Row],[Total PoP ]]/6))),0)</f>
        <v>12</v>
      </c>
      <c r="DI412" s="997">
        <f>IF(WWWW[[#This Row],[Total required Latrines]]-(WWWW[[#This Row],['#_Constructed latrines_by_WASHAgencies]]+WWWW[[#This Row],['#_Non Cluster partner latrines]])&lt;0,0,WWWW[[#This Row],[Total required Latrines]]-(WWWW[[#This Row],['#_Constructed latrines_by_WASHAgencies]]+WWWW[[#This Row],['#_Non Cluster partner latrines]]))</f>
        <v>12</v>
      </c>
      <c r="DJ412" s="999">
        <f>1-WWWW[[#This Row],[% people access to functioning Latrine]]</f>
        <v>1</v>
      </c>
      <c r="DK412" s="998">
        <f>IF(OR(WWWW[[#This Row],['#_Non-functional latrines]]="",WWWW[[#This Row],['#_Non-functional latrines]]=0),0,WWWW[[#This Row],['#_Non-functional latrines]]/(WWWW[[#This Row],['#_Constructed latrines_by_WASHAgencies]]+WWWW[[#This Row],['#_Non Cluster partner latrines]]))</f>
        <v>0</v>
      </c>
      <c r="DL412" s="994">
        <f>IF(500*(WWWW[[#This Row],['#_male hygiene promoters]]+WWWW[[#This Row],['#_female hygiene promoters]])&gt;WWWW[[#This Row],[Total PoP ]],WWWW[[#This Row],[Total PoP ]],500*(WWWW[[#This Row],['#_male hygiene promoters]]+WWWW[[#This Row],['#_female hygiene promoters]]))</f>
        <v>0</v>
      </c>
      <c r="DM41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1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12" s="997">
        <f>IF(WWWW[[#This Row],['# People with access to soap]]&gt;WWWW[[#This Row],['# People with access to Sanity Pads]],WWWW[[#This Row],['# People with access to soap]],WWWW[[#This Row],['# People with access to Sanity Pads]])</f>
        <v>0</v>
      </c>
      <c r="DP412"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12" s="999">
        <f>IF(WWWW[[#This Row],[HRP3]]/WWWW[[#This Row],[Total PoP ]]&gt;1,1,WWWW[[#This Row],[HRP3]]/WWWW[[#This Row],[Total PoP ]])</f>
        <v>0</v>
      </c>
      <c r="DR412" s="998">
        <f>1-WWWW[[#This Row],[Hygiene Coverage%]]</f>
        <v>1</v>
      </c>
      <c r="DS412" s="996">
        <f>WWWW[[#This Row],['# people reached by regular dedicated hygiene promotion_5]]/WWWW[[#This Row],[Total PoP ]]</f>
        <v>0</v>
      </c>
      <c r="DT41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1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12" s="997">
        <f>WWWW[[#This Row],['#_Constructed/Existing hand washing stations]]-WWWW[[#This Row],['#_Non-Functional_hand_washing_stations]]</f>
        <v>7</v>
      </c>
      <c r="DW412" s="994">
        <f>IF(WWWW[[#This Row],['# Functional hand washing stations during reporting period]]*20&gt;WWWW[[#This Row],[Total HH]],WWWW[[#This Row],[Total HH]],WWWW[[#This Row],['# Functional hand washing stations during reporting period]]*20)</f>
        <v>48</v>
      </c>
      <c r="DX412" s="994">
        <f>IF(WWWW[[#This Row],[Is sufficient soap available for TLS? (Yes/No)]]="yes",WWWW[[#This Row],['#_Constructed/Existing hand washing stations at TLS/CFS/THF]],0)</f>
        <v>0</v>
      </c>
      <c r="DY412" s="428">
        <f>IF(WWWW[[#This Row],['# Functional hand washing stations during reporting period]]*100&gt;WWWW[[#This Row],[Total PoP ]],WWWW[[#This Row],[Total PoP ]],WWWW[[#This Row],['# Functional hand washing stations during reporting period]]*100)</f>
        <v>240</v>
      </c>
      <c r="DZ412" s="428" t="str">
        <f>IF(OR(WWWW[[#This Row],['#_students at TLS_CFS]]="",WWWW[[#This Row],['#_students at TLS_CFS]]=0),"No","Yes")</f>
        <v>No</v>
      </c>
      <c r="EA41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2" s="990">
        <f>VLOOKUP(WWWW[[#This Row],[Site Name]],SiteDB6[[Site Name]:[CCCM Management]],6,FALSE)</f>
        <v>0</v>
      </c>
      <c r="EF412" s="990" t="str">
        <f>VLOOKUP(WWWW[[#This Row],[Site Name]],SiteDB6[[Site Name]:[CCCM Focal Agency]],7,FALSE)</f>
        <v xml:space="preserve">Uncovered  </v>
      </c>
      <c r="EG412" s="990" t="str">
        <f>VLOOKUP(WWWW[[#This Row],[Site Name]],SiteDB6[[Site Name]:[Location Type 1]],9,FALSE)</f>
        <v>Camp</v>
      </c>
      <c r="EH412" s="990" t="str">
        <f>VLOOKUP(WWWW[[#This Row],[Site Name]],SiteDB6[[Site Name]:[Type of Accommodation]],10,FALSE)</f>
        <v>Camp like setting</v>
      </c>
      <c r="EI412" s="990" t="str">
        <f>VLOOKUP(WWWW[[#This Row],[Site Name]],SiteDB6[[Site Name]:[Ethnic or GCA/NGCA]],11,FALSE)</f>
        <v>GCA</v>
      </c>
      <c r="EJ412" s="990">
        <f>VLOOKUP(WWWW[[#This Row],[Site Name]],SiteDB6[[Site Name]:[Lat]],12,FALSE)</f>
        <v>0</v>
      </c>
      <c r="EK412" s="990">
        <f>VLOOKUP(WWWW[[#This Row],[Site Name]],SiteDB6[[Site Name]:[Long]],13,FALSE)</f>
        <v>0</v>
      </c>
      <c r="EL412" s="990" t="str">
        <f>VLOOKUP(WWWW[[#This Row],[Site Name]],SiteDB6[[Site Name]:[Pcode]],3,FALSE)</f>
        <v>MMR001CMP293</v>
      </c>
      <c r="EM412" s="995" t="str">
        <f t="shared" si="7"/>
        <v>Notcovered</v>
      </c>
      <c r="EN412" s="995"/>
      <c r="EO412" s="990">
        <f>VLOOKUP(WWWW[[#This Row],[Site Name]],SiteDB6[[Site Name]:[Pop
(Kachin/Shan-CCCM as of July 2021)]],16,FALSE)</f>
        <v>48</v>
      </c>
      <c r="EP412" s="990">
        <f>VLOOKUP(WWWW[[#This Row],[Site Name]],SiteDB6[[Site Name]:[Pop
(Kachin/Shan-CCCM as of July 2021)]],17,FALSE)</f>
        <v>240</v>
      </c>
    </row>
    <row r="413" spans="1:146">
      <c r="A413" s="988" t="s">
        <v>2765</v>
      </c>
      <c r="B413" s="988" t="s">
        <v>309</v>
      </c>
      <c r="C413" s="989" t="s">
        <v>309</v>
      </c>
      <c r="D413" s="989"/>
      <c r="E413" s="989" t="s">
        <v>37</v>
      </c>
      <c r="F413" s="989" t="s">
        <v>142</v>
      </c>
      <c r="G413" s="591" t="str">
        <f>VLOOKUP(WWWW[[#This Row],[Site Name]],SiteDB6[[Site Name]:[Location Type]],8,FALSE)</f>
        <v>Camp</v>
      </c>
      <c r="H413" s="989" t="s">
        <v>2782</v>
      </c>
      <c r="I413" s="991">
        <v>34</v>
      </c>
      <c r="J413" s="991">
        <v>189</v>
      </c>
      <c r="K413" s="992"/>
      <c r="L413" s="993"/>
      <c r="M413" s="991"/>
      <c r="N413" s="991"/>
      <c r="O413" s="991"/>
      <c r="P413" s="991"/>
      <c r="Q413" s="994"/>
      <c r="R413" s="991"/>
      <c r="S413" s="991"/>
      <c r="T413" s="448"/>
      <c r="U413" s="991"/>
      <c r="V413" s="991"/>
      <c r="W413" s="991"/>
      <c r="X413" s="991"/>
      <c r="Y413" s="991"/>
      <c r="Z413" s="991"/>
      <c r="AA413" s="991"/>
      <c r="AB413" s="991"/>
      <c r="AC413" s="991"/>
      <c r="AD413" s="991"/>
      <c r="AE413" s="991"/>
      <c r="AF413" s="991"/>
      <c r="AG413" s="991"/>
      <c r="AH413" s="991"/>
      <c r="AI413" s="991"/>
      <c r="AJ413" s="991"/>
      <c r="AK413" s="991"/>
      <c r="AL413" s="991"/>
      <c r="AM413" s="991"/>
      <c r="AN413" s="991"/>
      <c r="AO413" s="448"/>
      <c r="AP413" s="995"/>
      <c r="AQ413" s="991"/>
      <c r="AR413" s="991"/>
      <c r="AS413" s="996"/>
      <c r="AT413" s="991"/>
      <c r="AU413" s="991"/>
      <c r="AV413" s="991"/>
      <c r="AW413" s="991"/>
      <c r="AX413" s="991"/>
      <c r="AY413" s="990" t="s">
        <v>140</v>
      </c>
      <c r="AZ413" s="995" t="s">
        <v>140</v>
      </c>
      <c r="BA413" s="991"/>
      <c r="BB413" s="991"/>
      <c r="BC413" s="991"/>
      <c r="BD413" s="448"/>
      <c r="BE413" s="448"/>
      <c r="BF413" s="990"/>
      <c r="BG413" s="991">
        <v>3</v>
      </c>
      <c r="BH413" s="991"/>
      <c r="BI413" s="991"/>
      <c r="BJ413" s="991">
        <v>2</v>
      </c>
      <c r="BK413" s="991"/>
      <c r="BL413" s="991"/>
      <c r="BM413" s="991"/>
      <c r="BN413" s="991"/>
      <c r="BO413" s="991"/>
      <c r="BP413" s="990"/>
      <c r="BQ413" s="997"/>
      <c r="BR413" s="996"/>
      <c r="BS413" s="990"/>
      <c r="BT413" s="423"/>
      <c r="BU413" s="423"/>
      <c r="BV413" s="425"/>
      <c r="BW413" s="423"/>
      <c r="BX413" s="448"/>
      <c r="BY413" s="448"/>
      <c r="BZ413" s="448"/>
      <c r="CA413" s="448"/>
      <c r="CB413" s="448"/>
      <c r="CC413" s="777"/>
      <c r="CD413" s="448"/>
      <c r="CE413" s="998" t="str">
        <f>IFERROR(WWWW[[#This Row],['#_Water sources passed]]/WWWW[[#This Row],['#_Water sources tested for fecal coliform ]],"no test")</f>
        <v>no test</v>
      </c>
      <c r="CF413" s="996" t="str">
        <f>IFERROR(WWWW[[#This Row],['#_Household passed]]/WWWW[[#This Row],['#_Household water samples tested for fecal coliform]],"no test")</f>
        <v>no test</v>
      </c>
      <c r="CG413" s="997" t="str">
        <f>IF(AND(WWWW[[#This Row],[% of water sources passed]]="no test",WWWW[[#This Row],[% Household passed]]="no test"),"No Test","Tested")</f>
        <v>No Test</v>
      </c>
      <c r="CH413" s="997">
        <f>WWWW[[#This Row],['#_Constructed/existing protected hand dug well]]-WWWW[[#This Row],['#_Non-functional protected hand dug well]]</f>
        <v>0</v>
      </c>
      <c r="CI413" s="997">
        <f>(WWWW[[#This Row],['#_Constructed/Existing tube wells/boreholes/handpumps_WASH_agency]]+WWWW[[#This Row],['#_Non-Cluster partner water tube-wells/boreholes/handpumps]])-WWWW[[#This Row],['#_Non-functional tube wells/boreholes/handpumps]]</f>
        <v>0</v>
      </c>
      <c r="CJ413" s="997">
        <f>WWWW[[#This Row],['#_Constructed/Existingwater storage tank with gravity fed reticulation system]]-WWWW[[#This Row],['#_Non-functional storage tank gravity fed reticulation system]]</f>
        <v>0</v>
      </c>
      <c r="CK413" s="997">
        <f>(WWWW[[#This Row],['#_Water_Liters_supplied_by_Water boating or water trucking]]/90)/15</f>
        <v>0</v>
      </c>
      <c r="CL413" s="997">
        <f>WWWW[[#This Row],['#_Water_Liters_from_Constructed/Existing water distribution system from river or natural spring]]/90/15</f>
        <v>0</v>
      </c>
      <c r="CM413" s="424">
        <f>IF(WWWW[[#This Row],['#_of water points in TLS/CFS]]*500&gt;WWWW[[#This Row],[Total PoP ]],WWWW[[#This Row],[Total PoP ]],WWWW[[#This Row],['#_of water points in TLS/CFS]]*500)</f>
        <v>0</v>
      </c>
      <c r="CN413" s="424">
        <f>IF(WWWW[[#This Row],['#_of water points in THF]]*500&gt;WWWW[[#This Row],[Total PoP ]],WWWW[[#This Row],[Total PoP ]],WWWW[[#This Row],['#_of water points in THF]]*500)</f>
        <v>0</v>
      </c>
      <c r="CO41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1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13" s="996">
        <f>IF(WWWW[[#This Row],[Location Type 1]]="Village",WWWW[[#This Row],[Access to safe drinking water for Village]],WWWW[[#This Row],[Access to safe drinking water for Camp]])</f>
        <v>0</v>
      </c>
      <c r="CR413" s="994">
        <f>WWWW[[#This Row],[%Equitable and continuous access to sufficient quantity of safe drinking water]]*WWWW[[#This Row],[Total PoP ]]</f>
        <v>0</v>
      </c>
      <c r="CS413" s="996">
        <f>IF((WWWW[[#This Row],['#_Constructed/Existing protected/fenced ponds]]*250)/WWWW[[#This Row],[Total PoP ]]&gt;1,1,(WWWW[[#This Row],['#_Constructed/Existing protected/fenced ponds]]*250)/WWWW[[#This Row],[Total PoP ]])</f>
        <v>0</v>
      </c>
      <c r="CT413" s="994">
        <f>WWWW[[#This Row],[% Access to unimproved water points]]*WWWW[[#This Row],[Total PoP ]]</f>
        <v>0</v>
      </c>
      <c r="CU41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1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13" s="994">
        <f>WWWW[[#This Row],[HRP1]]/500</f>
        <v>0</v>
      </c>
      <c r="CX413" s="999">
        <f>1-WWWW[[#This Row],[% Equitable and continuous access to sufficient quantity of domestic water]]</f>
        <v>1</v>
      </c>
      <c r="CY413" s="994">
        <f>WWWW[[#This Row],[%equitable and continuous access to sufficient quantity of safe drinking and domestic water''s GAP]]*WWWW[[#This Row],[Total PoP ]]</f>
        <v>189</v>
      </c>
      <c r="CZ413" s="997">
        <f>IF(WWWW[[#This Row],[Total required water points]]-WWWW[[#This Row],['#Water points coverage]]&lt;0,0,WWWW[[#This Row],[Total required water points]]-WWWW[[#This Row],['#Water points coverage]])</f>
        <v>1</v>
      </c>
      <c r="DA413" s="997">
        <f>ROUND(IF(WWWW[[#This Row],[Total PoP ]]&lt;500,1,WWWW[[#This Row],[Total PoP ]]/500),0)</f>
        <v>1</v>
      </c>
      <c r="DB413" s="997">
        <f>(WWWW[[#This Row],['#_Constructed latrines_by_WASHAgencies]]+WWWW[[#This Row],['#_Non Cluster partner latrines]])-WWWW[[#This Row],['#_Non-functional latrines]]</f>
        <v>0</v>
      </c>
      <c r="DC413" s="631">
        <f>WWWW[[#This Row],[HRP2]]/WWWW[[#This Row],[Total PoP ]]</f>
        <v>0</v>
      </c>
      <c r="DD41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1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1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3" s="424">
        <f>IF(WWWW[[#This Row],['# of functional latrines in THF supported by WASH partners during the reporting period2]]="",0,WWWW[[#This Row],['# of functional latrines in THF supported by WASH partners during the reporting period2]]*50)</f>
        <v>0</v>
      </c>
      <c r="DH413" s="997">
        <f>ROUND(IF(WWWW[[#This Row],[Location Type 1]]="camp",WWWW[[#This Row],[Total PoP ]]/20,IF(WWWW[[#This Row],[Location Type 1]]="Temporary Location",WWWW[[#This Row],[Total PoP ]]/50,(WWWW[[#This Row],[Total PoP ]]/6))),0)</f>
        <v>9</v>
      </c>
      <c r="DI413" s="997">
        <f>IF(WWWW[[#This Row],[Total required Latrines]]-(WWWW[[#This Row],['#_Constructed latrines_by_WASHAgencies]]+WWWW[[#This Row],['#_Non Cluster partner latrines]])&lt;0,0,WWWW[[#This Row],[Total required Latrines]]-(WWWW[[#This Row],['#_Constructed latrines_by_WASHAgencies]]+WWWW[[#This Row],['#_Non Cluster partner latrines]]))</f>
        <v>9</v>
      </c>
      <c r="DJ413" s="999">
        <f>1-WWWW[[#This Row],[% people access to functioning Latrine]]</f>
        <v>1</v>
      </c>
      <c r="DK413" s="998">
        <f>IF(OR(WWWW[[#This Row],['#_Non-functional latrines]]="",WWWW[[#This Row],['#_Non-functional latrines]]=0),0,WWWW[[#This Row],['#_Non-functional latrines]]/(WWWW[[#This Row],['#_Constructed latrines_by_WASHAgencies]]+WWWW[[#This Row],['#_Non Cluster partner latrines]]))</f>
        <v>0</v>
      </c>
      <c r="DL413" s="994">
        <f>IF(500*(WWWW[[#This Row],['#_male hygiene promoters]]+WWWW[[#This Row],['#_female hygiene promoters]])&gt;WWWW[[#This Row],[Total PoP ]],WWWW[[#This Row],[Total PoP ]],500*(WWWW[[#This Row],['#_male hygiene promoters]]+WWWW[[#This Row],['#_female hygiene promoters]]))</f>
        <v>0</v>
      </c>
      <c r="DM41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1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13" s="997">
        <f>IF(WWWW[[#This Row],['# People with access to soap]]&gt;WWWW[[#This Row],['# People with access to Sanity Pads]],WWWW[[#This Row],['# People with access to soap]],WWWW[[#This Row],['# People with access to Sanity Pads]])</f>
        <v>0</v>
      </c>
      <c r="DP413"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13" s="999">
        <f>IF(WWWW[[#This Row],[HRP3]]/WWWW[[#This Row],[Total PoP ]]&gt;1,1,WWWW[[#This Row],[HRP3]]/WWWW[[#This Row],[Total PoP ]])</f>
        <v>0</v>
      </c>
      <c r="DR413" s="998">
        <f>1-WWWW[[#This Row],[Hygiene Coverage%]]</f>
        <v>1</v>
      </c>
      <c r="DS413" s="996">
        <f>WWWW[[#This Row],['# people reached by regular dedicated hygiene promotion_5]]/WWWW[[#This Row],[Total PoP ]]</f>
        <v>0</v>
      </c>
      <c r="DT41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1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13" s="997">
        <f>WWWW[[#This Row],['#_Constructed/Existing hand washing stations]]-WWWW[[#This Row],['#_Non-Functional_hand_washing_stations]]</f>
        <v>3</v>
      </c>
      <c r="DW413" s="994">
        <f>IF(WWWW[[#This Row],['# Functional hand washing stations during reporting period]]*20&gt;WWWW[[#This Row],[Total HH]],WWWW[[#This Row],[Total HH]],WWWW[[#This Row],['# Functional hand washing stations during reporting period]]*20)</f>
        <v>34</v>
      </c>
      <c r="DX413" s="994">
        <f>IF(WWWW[[#This Row],[Is sufficient soap available for TLS? (Yes/No)]]="yes",WWWW[[#This Row],['#_Constructed/Existing hand washing stations at TLS/CFS/THF]],0)</f>
        <v>0</v>
      </c>
      <c r="DY413" s="428">
        <f>IF(WWWW[[#This Row],['# Functional hand washing stations during reporting period]]*100&gt;WWWW[[#This Row],[Total PoP ]],WWWW[[#This Row],[Total PoP ]],WWWW[[#This Row],['# Functional hand washing stations during reporting period]]*100)</f>
        <v>189</v>
      </c>
      <c r="DZ413" s="428" t="str">
        <f>IF(OR(WWWW[[#This Row],['#_students at TLS_CFS]]="",WWWW[[#This Row],['#_students at TLS_CFS]]=0),"No","Yes")</f>
        <v>No</v>
      </c>
      <c r="EA41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3" s="990">
        <f>VLOOKUP(WWWW[[#This Row],[Site Name]],SiteDB6[[Site Name]:[CCCM Management]],6,FALSE)</f>
        <v>0</v>
      </c>
      <c r="EF413" s="990" t="str">
        <f>VLOOKUP(WWWW[[#This Row],[Site Name]],SiteDB6[[Site Name]:[CCCM Focal Agency]],7,FALSE)</f>
        <v xml:space="preserve">Uncovered  </v>
      </c>
      <c r="EG413" s="990" t="str">
        <f>VLOOKUP(WWWW[[#This Row],[Site Name]],SiteDB6[[Site Name]:[Location Type 1]],9,FALSE)</f>
        <v>Camp</v>
      </c>
      <c r="EH413" s="990" t="str">
        <f>VLOOKUP(WWWW[[#This Row],[Site Name]],SiteDB6[[Site Name]:[Type of Accommodation]],10,FALSE)</f>
        <v>Camp like setting</v>
      </c>
      <c r="EI413" s="990" t="str">
        <f>VLOOKUP(WWWW[[#This Row],[Site Name]],SiteDB6[[Site Name]:[Ethnic or GCA/NGCA]],11,FALSE)</f>
        <v>GCA</v>
      </c>
      <c r="EJ413" s="990">
        <f>VLOOKUP(WWWW[[#This Row],[Site Name]],SiteDB6[[Site Name]:[Lat]],12,FALSE)</f>
        <v>0</v>
      </c>
      <c r="EK413" s="990">
        <f>VLOOKUP(WWWW[[#This Row],[Site Name]],SiteDB6[[Site Name]:[Long]],13,FALSE)</f>
        <v>0</v>
      </c>
      <c r="EL413" s="990" t="str">
        <f>VLOOKUP(WWWW[[#This Row],[Site Name]],SiteDB6[[Site Name]:[Pcode]],3,FALSE)</f>
        <v>MMR001CMP294</v>
      </c>
      <c r="EM413" s="995" t="str">
        <f t="shared" si="7"/>
        <v>Notcovered</v>
      </c>
      <c r="EN413" s="995"/>
      <c r="EO413" s="990">
        <f>VLOOKUP(WWWW[[#This Row],[Site Name]],SiteDB6[[Site Name]:[Pop
(Kachin/Shan-CCCM as of July 2021)]],16,FALSE)</f>
        <v>34</v>
      </c>
      <c r="EP413" s="990">
        <f>VLOOKUP(WWWW[[#This Row],[Site Name]],SiteDB6[[Site Name]:[Pop
(Kachin/Shan-CCCM as of July 2021)]],17,FALSE)</f>
        <v>189</v>
      </c>
    </row>
    <row r="414" spans="1:146">
      <c r="A414" s="988" t="s">
        <v>2765</v>
      </c>
      <c r="B414" s="988" t="s">
        <v>36</v>
      </c>
      <c r="C414" s="989" t="s">
        <v>36</v>
      </c>
      <c r="D414" s="989" t="s">
        <v>241</v>
      </c>
      <c r="E414" s="989" t="s">
        <v>37</v>
      </c>
      <c r="F414" s="989" t="s">
        <v>159</v>
      </c>
      <c r="G414" s="591" t="str">
        <f>VLOOKUP(WWWW[[#This Row],[Site Name]],SiteDB6[[Site Name]:[Location Type]],8,FALSE)</f>
        <v>Camp</v>
      </c>
      <c r="H414" s="989" t="s">
        <v>1605</v>
      </c>
      <c r="I414" s="991">
        <v>215</v>
      </c>
      <c r="J414" s="991">
        <v>1198</v>
      </c>
      <c r="K414" s="992">
        <v>44414</v>
      </c>
      <c r="L414" s="993">
        <v>44778</v>
      </c>
      <c r="M414" s="991"/>
      <c r="N414" s="991">
        <v>2</v>
      </c>
      <c r="O414" s="991"/>
      <c r="P414" s="991"/>
      <c r="Q414" s="994" t="s">
        <v>41</v>
      </c>
      <c r="R414" s="991">
        <v>2</v>
      </c>
      <c r="S414" s="991">
        <v>4</v>
      </c>
      <c r="T414" s="448">
        <v>4</v>
      </c>
      <c r="U414" s="991"/>
      <c r="V414" s="991"/>
      <c r="W414" s="991"/>
      <c r="X414" s="991"/>
      <c r="Y414" s="991"/>
      <c r="Z414" s="991"/>
      <c r="AA414" s="991"/>
      <c r="AB414" s="991"/>
      <c r="AC414" s="991"/>
      <c r="AD414" s="991"/>
      <c r="AE414" s="991"/>
      <c r="AF414" s="991"/>
      <c r="AG414" s="991"/>
      <c r="AH414" s="991"/>
      <c r="AI414" s="991"/>
      <c r="AJ414" s="991"/>
      <c r="AK414" s="991"/>
      <c r="AL414" s="991"/>
      <c r="AM414" s="991"/>
      <c r="AN414" s="991"/>
      <c r="AO414" s="448"/>
      <c r="AP414" s="995"/>
      <c r="AQ414" s="991">
        <v>66</v>
      </c>
      <c r="AR414" s="991"/>
      <c r="AS414" s="996"/>
      <c r="AT414" s="991"/>
      <c r="AU414" s="991"/>
      <c r="AV414" s="991"/>
      <c r="AW414" s="991"/>
      <c r="AX414" s="991"/>
      <c r="AY414" s="990" t="s">
        <v>41</v>
      </c>
      <c r="AZ414" s="995" t="s">
        <v>137</v>
      </c>
      <c r="BA414" s="991">
        <v>1</v>
      </c>
      <c r="BB414" s="991"/>
      <c r="BC414" s="991"/>
      <c r="BD414" s="448"/>
      <c r="BE414" s="448"/>
      <c r="BF414" s="990"/>
      <c r="BG414" s="991">
        <v>4</v>
      </c>
      <c r="BH414" s="991"/>
      <c r="BI414" s="991">
        <v>7</v>
      </c>
      <c r="BJ414" s="991">
        <v>11</v>
      </c>
      <c r="BK414" s="991"/>
      <c r="BL414" s="991"/>
      <c r="BM414" s="991">
        <v>1</v>
      </c>
      <c r="BN414" s="991"/>
      <c r="BO414" s="991"/>
      <c r="BP414" s="990" t="s">
        <v>41</v>
      </c>
      <c r="BQ414" s="997"/>
      <c r="BR414" s="996"/>
      <c r="BS414" s="990"/>
      <c r="BT414" s="423"/>
      <c r="BU414" s="423"/>
      <c r="BV414" s="425"/>
      <c r="BW414" s="423"/>
      <c r="BX414" s="448"/>
      <c r="BY414" s="448"/>
      <c r="BZ414" s="448"/>
      <c r="CA414" s="448"/>
      <c r="CB414" s="448"/>
      <c r="CC414" s="777"/>
      <c r="CD414" s="448"/>
      <c r="CE414" s="998" t="str">
        <f>IFERROR(WWWW[[#This Row],['#_Water sources passed]]/WWWW[[#This Row],['#_Water sources tested for fecal coliform ]],"no test")</f>
        <v>no test</v>
      </c>
      <c r="CF414" s="996" t="str">
        <f>IFERROR(WWWW[[#This Row],['#_Household passed]]/WWWW[[#This Row],['#_Household water samples tested for fecal coliform]],"no test")</f>
        <v>no test</v>
      </c>
      <c r="CG414" s="997" t="str">
        <f>IF(AND(WWWW[[#This Row],[% of water sources passed]]="no test",WWWW[[#This Row],[% Household passed]]="no test"),"No Test","Tested")</f>
        <v>No Test</v>
      </c>
      <c r="CH414" s="997">
        <f>WWWW[[#This Row],['#_Constructed/existing protected hand dug well]]-WWWW[[#This Row],['#_Non-functional protected hand dug well]]</f>
        <v>4</v>
      </c>
      <c r="CI414" s="997">
        <f>(WWWW[[#This Row],['#_Constructed/Existing tube wells/boreholes/handpumps_WASH_agency]]+WWWW[[#This Row],['#_Non-Cluster partner water tube-wells/boreholes/handpumps]])-WWWW[[#This Row],['#_Non-functional tube wells/boreholes/handpumps]]</f>
        <v>0</v>
      </c>
      <c r="CJ414" s="997">
        <f>WWWW[[#This Row],['#_Constructed/Existingwater storage tank with gravity fed reticulation system]]-WWWW[[#This Row],['#_Non-functional storage tank gravity fed reticulation system]]</f>
        <v>0</v>
      </c>
      <c r="CK414" s="997">
        <f>(WWWW[[#This Row],['#_Water_Liters_supplied_by_Water boating or water trucking]]/90)/15</f>
        <v>0</v>
      </c>
      <c r="CL414" s="997">
        <f>WWWW[[#This Row],['#_Water_Liters_from_Constructed/Existing water distribution system from river or natural spring]]/90/15</f>
        <v>0</v>
      </c>
      <c r="CM414" s="424">
        <f>IF(WWWW[[#This Row],['#_of water points in TLS/CFS]]*500&gt;WWWW[[#This Row],[Total PoP ]],WWWW[[#This Row],[Total PoP ]],WWWW[[#This Row],['#_of water points in TLS/CFS]]*500)</f>
        <v>0</v>
      </c>
      <c r="CN414" s="424">
        <f>IF(WWWW[[#This Row],['#_of water points in THF]]*500&gt;WWWW[[#This Row],[Total PoP ]],WWWW[[#This Row],[Total PoP ]],WWWW[[#This Row],['#_of water points in THF]]*500)</f>
        <v>0</v>
      </c>
      <c r="CO41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1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0.8347245409015025</v>
      </c>
      <c r="CQ414" s="996">
        <f>IF(WWWW[[#This Row],[Location Type 1]]="Village",WWWW[[#This Row],[Access to safe drinking water for Village]],WWWW[[#This Row],[Access to safe drinking water for Camp]])</f>
        <v>1</v>
      </c>
      <c r="CR414" s="994">
        <f>WWWW[[#This Row],[%Equitable and continuous access to sufficient quantity of safe drinking water]]*WWWW[[#This Row],[Total PoP ]]</f>
        <v>1198</v>
      </c>
      <c r="CS414" s="996">
        <f>IF((WWWW[[#This Row],['#_Constructed/Existing protected/fenced ponds]]*250)/WWWW[[#This Row],[Total PoP ]]&gt;1,1,(WWWW[[#This Row],['#_Constructed/Existing protected/fenced ponds]]*250)/WWWW[[#This Row],[Total PoP ]])</f>
        <v>0</v>
      </c>
      <c r="CT414" s="994">
        <f>WWWW[[#This Row],[% Access to unimproved water points]]*WWWW[[#This Row],[Total PoP ]]</f>
        <v>0</v>
      </c>
      <c r="CU41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1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1198</v>
      </c>
      <c r="CW414" s="994">
        <f>WWWW[[#This Row],[HRP1]]/500</f>
        <v>2.3959999999999999</v>
      </c>
      <c r="CX414" s="999">
        <f>1-WWWW[[#This Row],[% Equitable and continuous access to sufficient quantity of domestic water]]</f>
        <v>0</v>
      </c>
      <c r="CY414" s="994">
        <f>WWWW[[#This Row],[%equitable and continuous access to sufficient quantity of safe drinking and domestic water''s GAP]]*WWWW[[#This Row],[Total PoP ]]</f>
        <v>0</v>
      </c>
      <c r="CZ414" s="997">
        <f>IF(WWWW[[#This Row],[Total required water points]]-WWWW[[#This Row],['#Water points coverage]]&lt;0,0,WWWW[[#This Row],[Total required water points]]-WWWW[[#This Row],['#Water points coverage]])</f>
        <v>0</v>
      </c>
      <c r="DA414" s="997">
        <f>ROUND(IF(WWWW[[#This Row],[Total PoP ]]&lt;500,1,WWWW[[#This Row],[Total PoP ]]/500),0)</f>
        <v>2</v>
      </c>
      <c r="DB414" s="997">
        <f>(WWWW[[#This Row],['#_Constructed latrines_by_WASHAgencies]]+WWWW[[#This Row],['#_Non Cluster partner latrines]])-WWWW[[#This Row],['#_Non-functional latrines]]</f>
        <v>66</v>
      </c>
      <c r="DC414" s="631">
        <f>WWWW[[#This Row],[HRP2]]/WWWW[[#This Row],[Total PoP ]]</f>
        <v>1</v>
      </c>
      <c r="DD41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1198</v>
      </c>
      <c r="DE41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1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4" s="424">
        <f>IF(WWWW[[#This Row],['# of functional latrines in THF supported by WASH partners during the reporting period2]]="",0,WWWW[[#This Row],['# of functional latrines in THF supported by WASH partners during the reporting period2]]*50)</f>
        <v>0</v>
      </c>
      <c r="DH414" s="997">
        <f>ROUND(IF(WWWW[[#This Row],[Location Type 1]]="camp",WWWW[[#This Row],[Total PoP ]]/20,IF(WWWW[[#This Row],[Location Type 1]]="Temporary Location",WWWW[[#This Row],[Total PoP ]]/50,(WWWW[[#This Row],[Total PoP ]]/6))),0)</f>
        <v>60</v>
      </c>
      <c r="DI414" s="997">
        <f>IF(WWWW[[#This Row],[Total required Latrines]]-(WWWW[[#This Row],['#_Constructed latrines_by_WASHAgencies]]+WWWW[[#This Row],['#_Non Cluster partner latrines]])&lt;0,0,WWWW[[#This Row],[Total required Latrines]]-(WWWW[[#This Row],['#_Constructed latrines_by_WASHAgencies]]+WWWW[[#This Row],['#_Non Cluster partner latrines]]))</f>
        <v>0</v>
      </c>
      <c r="DJ414" s="999">
        <f>1-WWWW[[#This Row],[% people access to functioning Latrine]]</f>
        <v>0</v>
      </c>
      <c r="DK414" s="998">
        <f>IF(OR(WWWW[[#This Row],['#_Non-functional latrines]]="",WWWW[[#This Row],['#_Non-functional latrines]]=0),0,WWWW[[#This Row],['#_Non-functional latrines]]/(WWWW[[#This Row],['#_Constructed latrines_by_WASHAgencies]]+WWWW[[#This Row],['#_Non Cluster partner latrines]]))</f>
        <v>0</v>
      </c>
      <c r="DL414" s="994">
        <f>IF(500*(WWWW[[#This Row],['#_male hygiene promoters]]+WWWW[[#This Row],['#_female hygiene promoters]])&gt;WWWW[[#This Row],[Total PoP ]],WWWW[[#This Row],[Total PoP ]],500*(WWWW[[#This Row],['#_male hygiene promoters]]+WWWW[[#This Row],['#_female hygiene promoters]]))</f>
        <v>500</v>
      </c>
      <c r="DM41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1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14" s="997">
        <f>IF(WWWW[[#This Row],['# People with access to soap]]&gt;WWWW[[#This Row],['# People with access to Sanity Pads]],WWWW[[#This Row],['# People with access to soap]],WWWW[[#This Row],['# People with access to Sanity Pads]])</f>
        <v>0</v>
      </c>
      <c r="DP414" s="99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414" s="999">
        <f>IF(WWWW[[#This Row],[HRP3]]/WWWW[[#This Row],[Total PoP ]]&gt;1,1,WWWW[[#This Row],[HRP3]]/WWWW[[#This Row],[Total PoP ]])</f>
        <v>0.41736227045075125</v>
      </c>
      <c r="DR414" s="998">
        <f>1-WWWW[[#This Row],[Hygiene Coverage%]]</f>
        <v>0.58263772954924875</v>
      </c>
      <c r="DS414" s="996">
        <f>WWWW[[#This Row],['# people reached by regular dedicated hygiene promotion_5]]/WWWW[[#This Row],[Total PoP ]]</f>
        <v>0.41736227045075125</v>
      </c>
      <c r="DT41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1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14" s="997">
        <f>WWWW[[#This Row],['#_Constructed/Existing hand washing stations]]-WWWW[[#This Row],['#_Non-Functional_hand_washing_stations]]</f>
        <v>4</v>
      </c>
      <c r="DW414" s="994">
        <f>IF(WWWW[[#This Row],['# Functional hand washing stations during reporting period]]*20&gt;WWWW[[#This Row],[Total HH]],WWWW[[#This Row],[Total HH]],WWWW[[#This Row],['# Functional hand washing stations during reporting period]]*20)</f>
        <v>80</v>
      </c>
      <c r="DX414" s="994">
        <f>IF(WWWW[[#This Row],[Is sufficient soap available for TLS? (Yes/No)]]="yes",WWWW[[#This Row],['#_Constructed/Existing hand washing stations at TLS/CFS/THF]],0)</f>
        <v>0</v>
      </c>
      <c r="DY414" s="428">
        <f>IF(WWWW[[#This Row],['# Functional hand washing stations during reporting period]]*100&gt;WWWW[[#This Row],[Total PoP ]],WWWW[[#This Row],[Total PoP ]],WWWW[[#This Row],['# Functional hand washing stations during reporting period]]*100)</f>
        <v>400</v>
      </c>
      <c r="DZ414" s="428" t="str">
        <f>IF(OR(WWWW[[#This Row],['#_students at TLS_CFS]]="",WWWW[[#This Row],['#_students at TLS_CFS]]=0),"No","Yes")</f>
        <v>No</v>
      </c>
      <c r="EA41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4" s="990" t="str">
        <f>VLOOKUP(WWWW[[#This Row],[Site Name]],SiteDB6[[Site Name]:[CCCM Management]],6,FALSE)</f>
        <v>Yes</v>
      </c>
      <c r="EF414" s="990" t="str">
        <f>VLOOKUP(WWWW[[#This Row],[Site Name]],SiteDB6[[Site Name]:[CCCM Focal Agency]],7,FALSE)</f>
        <v>KMSS-MYT</v>
      </c>
      <c r="EG414" s="990" t="str">
        <f>VLOOKUP(WWWW[[#This Row],[Site Name]],SiteDB6[[Site Name]:[Location Type 1]],9,FALSE)</f>
        <v>Camp</v>
      </c>
      <c r="EH414" s="990" t="str">
        <f>VLOOKUP(WWWW[[#This Row],[Site Name]],SiteDB6[[Site Name]:[Type of Accommodation]],10,FALSE)</f>
        <v>Camp</v>
      </c>
      <c r="EI414" s="990" t="str">
        <f>VLOOKUP(WWWW[[#This Row],[Site Name]],SiteDB6[[Site Name]:[Ethnic or GCA/NGCA]],11,FALSE)</f>
        <v>GCA</v>
      </c>
      <c r="EJ414" s="990">
        <f>VLOOKUP(WWWW[[#This Row],[Site Name]],SiteDB6[[Site Name]:[Lat]],12,FALSE)</f>
        <v>25.493819999999999</v>
      </c>
      <c r="EK414" s="990">
        <f>VLOOKUP(WWWW[[#This Row],[Site Name]],SiteDB6[[Site Name]:[Long]],13,FALSE)</f>
        <v>97.4345</v>
      </c>
      <c r="EL414" s="990" t="str">
        <f>VLOOKUP(WWWW[[#This Row],[Site Name]],SiteDB6[[Site Name]:[Pcode]],3,FALSE)</f>
        <v>MMR001CMP271</v>
      </c>
      <c r="EM414" s="995" t="str">
        <f t="shared" si="7"/>
        <v>Covered</v>
      </c>
      <c r="EN414" s="995"/>
      <c r="EO414" s="990">
        <f>VLOOKUP(WWWW[[#This Row],[Site Name]],SiteDB6[[Site Name]:[Pop
(Kachin/Shan-CCCM as of July 2021)]],16,FALSE)</f>
        <v>215</v>
      </c>
      <c r="EP414" s="990">
        <f>VLOOKUP(WWWW[[#This Row],[Site Name]],SiteDB6[[Site Name]:[Pop
(Kachin/Shan-CCCM as of July 2021)]],17,FALSE)</f>
        <v>1188</v>
      </c>
    </row>
    <row r="415" spans="1:146">
      <c r="A415" s="988" t="s">
        <v>2765</v>
      </c>
      <c r="B415" s="988" t="s">
        <v>242</v>
      </c>
      <c r="C415" s="989" t="s">
        <v>242</v>
      </c>
      <c r="D415" s="989" t="s">
        <v>299</v>
      </c>
      <c r="E415" s="989" t="s">
        <v>37</v>
      </c>
      <c r="F415" s="989" t="s">
        <v>159</v>
      </c>
      <c r="G415" s="591" t="str">
        <f>VLOOKUP(WWWW[[#This Row],[Site Name]],SiteDB6[[Site Name]:[Location Type]],8,FALSE)</f>
        <v>Camp</v>
      </c>
      <c r="H415" s="989" t="s">
        <v>3018</v>
      </c>
      <c r="I415" s="448">
        <v>16</v>
      </c>
      <c r="J415" s="448">
        <v>89</v>
      </c>
      <c r="K415" s="588">
        <v>44197</v>
      </c>
      <c r="L415" s="589">
        <v>44651</v>
      </c>
      <c r="M415" s="448">
        <v>15</v>
      </c>
      <c r="N415" s="448">
        <v>1</v>
      </c>
      <c r="O415" s="448"/>
      <c r="P415" s="448"/>
      <c r="Q415" s="717" t="s">
        <v>41</v>
      </c>
      <c r="R415" s="448">
        <v>4</v>
      </c>
      <c r="S415" s="448">
        <v>2</v>
      </c>
      <c r="T415" s="448">
        <v>3</v>
      </c>
      <c r="U415" s="991">
        <v>1</v>
      </c>
      <c r="V415" s="991"/>
      <c r="W415" s="991">
        <v>3</v>
      </c>
      <c r="X415" s="991">
        <v>3</v>
      </c>
      <c r="Y415" s="448">
        <v>3</v>
      </c>
      <c r="Z415" s="448">
        <v>3</v>
      </c>
      <c r="AA415" s="991"/>
      <c r="AB415" s="991"/>
      <c r="AC415" s="991"/>
      <c r="AD415" s="991"/>
      <c r="AE415" s="991">
        <v>2</v>
      </c>
      <c r="AF415" s="991"/>
      <c r="AG415" s="991"/>
      <c r="AH415" s="991"/>
      <c r="AI415" s="991"/>
      <c r="AJ415" s="991"/>
      <c r="AK415" s="991"/>
      <c r="AL415" s="991"/>
      <c r="AM415" s="991">
        <v>3</v>
      </c>
      <c r="AN415" s="991">
        <v>1</v>
      </c>
      <c r="AO415" s="448"/>
      <c r="AP415" s="995"/>
      <c r="AQ415" s="991">
        <v>7</v>
      </c>
      <c r="AR415" s="991">
        <v>6</v>
      </c>
      <c r="AS415" s="996" t="s">
        <v>2135</v>
      </c>
      <c r="AT415" s="991"/>
      <c r="AU415" s="991"/>
      <c r="AV415" s="991"/>
      <c r="AW415" s="991"/>
      <c r="AX415" s="991">
        <v>7</v>
      </c>
      <c r="AY415" s="990" t="s">
        <v>41</v>
      </c>
      <c r="AZ415" s="995" t="s">
        <v>137</v>
      </c>
      <c r="BA415" s="991"/>
      <c r="BB415" s="991"/>
      <c r="BC415" s="991">
        <v>2</v>
      </c>
      <c r="BD415" s="448"/>
      <c r="BE415" s="448"/>
      <c r="BF415" s="990"/>
      <c r="BG415" s="991">
        <v>3</v>
      </c>
      <c r="BH415" s="991"/>
      <c r="BI415" s="991"/>
      <c r="BJ415" s="991">
        <v>2</v>
      </c>
      <c r="BK415" s="991"/>
      <c r="BL415" s="991"/>
      <c r="BM415" s="991">
        <v>1</v>
      </c>
      <c r="BN415" s="991"/>
      <c r="BO415" s="991"/>
      <c r="BP415" s="990" t="s">
        <v>41</v>
      </c>
      <c r="BQ415" s="997"/>
      <c r="BR415" s="423">
        <v>0.8</v>
      </c>
      <c r="BS415" s="990"/>
      <c r="BT415" s="423">
        <v>1</v>
      </c>
      <c r="BU415" s="423">
        <v>1</v>
      </c>
      <c r="BV415" s="425"/>
      <c r="BW415" s="423">
        <v>0.7</v>
      </c>
      <c r="BX415" s="448"/>
      <c r="BY415" s="448"/>
      <c r="BZ415" s="448"/>
      <c r="CA415" s="448"/>
      <c r="CB415" s="448"/>
      <c r="CC415" s="777"/>
      <c r="CD415" s="448"/>
      <c r="CE415" s="998" t="str">
        <f>IFERROR(WWWW[[#This Row],['#_Water sources passed]]/WWWW[[#This Row],['#_Water sources tested for fecal coliform ]],"no test")</f>
        <v>no test</v>
      </c>
      <c r="CF415" s="996" t="str">
        <f>IFERROR(WWWW[[#This Row],['#_Household passed]]/WWWW[[#This Row],['#_Household water samples tested for fecal coliform]],"no test")</f>
        <v>no test</v>
      </c>
      <c r="CG415" s="997" t="str">
        <f>IF(AND(WWWW[[#This Row],[% of water sources passed]]="no test",WWWW[[#This Row],[% Household passed]]="no test"),"No Test","Tested")</f>
        <v>No Test</v>
      </c>
      <c r="CH415" s="997">
        <f>WWWW[[#This Row],['#_Constructed/existing protected hand dug well]]-WWWW[[#This Row],['#_Non-functional protected hand dug well]]</f>
        <v>2</v>
      </c>
      <c r="CI415" s="997">
        <f>(WWWW[[#This Row],['#_Constructed/Existing tube wells/boreholes/handpumps_WASH_agency]]+WWWW[[#This Row],['#_Non-Cluster partner water tube-wells/boreholes/handpumps]])-WWWW[[#This Row],['#_Non-functional tube wells/boreholes/handpumps]]</f>
        <v>3</v>
      </c>
      <c r="CJ415" s="997">
        <f>WWWW[[#This Row],['#_Constructed/Existingwater storage tank with gravity fed reticulation system]]-WWWW[[#This Row],['#_Non-functional storage tank gravity fed reticulation system]]</f>
        <v>0</v>
      </c>
      <c r="CK415" s="997">
        <f>(WWWW[[#This Row],['#_Water_Liters_supplied_by_Water boating or water trucking]]/90)/15</f>
        <v>0</v>
      </c>
      <c r="CL415" s="997">
        <f>WWWW[[#This Row],['#_Water_Liters_from_Constructed/Existing water distribution system from river or natural spring]]/90/15</f>
        <v>0</v>
      </c>
      <c r="CM415" s="424">
        <f>IF(WWWW[[#This Row],['#_of water points in TLS/CFS]]*500&gt;WWWW[[#This Row],[Total PoP ]],WWWW[[#This Row],[Total PoP ]],WWWW[[#This Row],['#_of water points in TLS/CFS]]*500)</f>
        <v>89</v>
      </c>
      <c r="CN415" s="424">
        <f>IF(WWWW[[#This Row],['#_of water points in THF]]*500&gt;WWWW[[#This Row],[Total PoP ]],WWWW[[#This Row],[Total PoP ]],WWWW[[#This Row],['#_of water points in THF]]*500)</f>
        <v>0</v>
      </c>
      <c r="CO41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1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15" s="996">
        <f>IF(WWWW[[#This Row],[Location Type 1]]="Village",WWWW[[#This Row],[Access to safe drinking water for Village]],WWWW[[#This Row],[Access to safe drinking water for Camp]])</f>
        <v>1</v>
      </c>
      <c r="CR415" s="994">
        <f>WWWW[[#This Row],[%Equitable and continuous access to sufficient quantity of safe drinking water]]*WWWW[[#This Row],[Total PoP ]]</f>
        <v>89</v>
      </c>
      <c r="CS415" s="996">
        <f>IF((WWWW[[#This Row],['#_Constructed/Existing protected/fenced ponds]]*250)/WWWW[[#This Row],[Total PoP ]]&gt;1,1,(WWWW[[#This Row],['#_Constructed/Existing protected/fenced ponds]]*250)/WWWW[[#This Row],[Total PoP ]])</f>
        <v>1</v>
      </c>
      <c r="CT415" s="994">
        <f>WWWW[[#This Row],[% Access to unimproved water points]]*WWWW[[#This Row],[Total PoP ]]</f>
        <v>89</v>
      </c>
      <c r="CU41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1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89</v>
      </c>
      <c r="CW415" s="994">
        <f>WWWW[[#This Row],[HRP1]]/500</f>
        <v>0.17799999999999999</v>
      </c>
      <c r="CX415" s="999">
        <f>1-WWWW[[#This Row],[% Equitable and continuous access to sufficient quantity of domestic water]]</f>
        <v>0</v>
      </c>
      <c r="CY415" s="994">
        <f>WWWW[[#This Row],[%equitable and continuous access to sufficient quantity of safe drinking and domestic water''s GAP]]*WWWW[[#This Row],[Total PoP ]]</f>
        <v>0</v>
      </c>
      <c r="CZ415" s="997">
        <f>IF(WWWW[[#This Row],[Total required water points]]-WWWW[[#This Row],['#Water points coverage]]&lt;0,0,WWWW[[#This Row],[Total required water points]]-WWWW[[#This Row],['#Water points coverage]])</f>
        <v>0.82200000000000006</v>
      </c>
      <c r="DA415" s="997">
        <f>ROUND(IF(WWWW[[#This Row],[Total PoP ]]&lt;500,1,WWWW[[#This Row],[Total PoP ]]/500),0)</f>
        <v>1</v>
      </c>
      <c r="DB415" s="997">
        <f>(WWWW[[#This Row],['#_Constructed latrines_by_WASHAgencies]]+WWWW[[#This Row],['#_Non Cluster partner latrines]])-WWWW[[#This Row],['#_Non-functional latrines]]</f>
        <v>13</v>
      </c>
      <c r="DC415" s="631">
        <f>WWWW[[#This Row],[HRP2]]/WWWW[[#This Row],[Total PoP ]]</f>
        <v>1</v>
      </c>
      <c r="DD41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89</v>
      </c>
      <c r="DE41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1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15</v>
      </c>
      <c r="DG415" s="424">
        <f>IF(WWWW[[#This Row],['# of functional latrines in THF supported by WASH partners during the reporting period2]]="",0,WWWW[[#This Row],['# of functional latrines in THF supported by WASH partners during the reporting period2]]*50)</f>
        <v>0</v>
      </c>
      <c r="DH415" s="997">
        <f>ROUND(IF(WWWW[[#This Row],[Location Type 1]]="camp",WWWW[[#This Row],[Total PoP ]]/20,IF(WWWW[[#This Row],[Location Type 1]]="Temporary Location",WWWW[[#This Row],[Total PoP ]]/50,(WWWW[[#This Row],[Total PoP ]]/6))),0)</f>
        <v>4</v>
      </c>
      <c r="DI415" s="997">
        <f>IF(WWWW[[#This Row],[Total required Latrines]]-(WWWW[[#This Row],['#_Constructed latrines_by_WASHAgencies]]+WWWW[[#This Row],['#_Non Cluster partner latrines]])&lt;0,0,WWWW[[#This Row],[Total required Latrines]]-(WWWW[[#This Row],['#_Constructed latrines_by_WASHAgencies]]+WWWW[[#This Row],['#_Non Cluster partner latrines]]))</f>
        <v>0</v>
      </c>
      <c r="DJ415" s="999">
        <f>1-WWWW[[#This Row],[% people access to functioning Latrine]]</f>
        <v>0</v>
      </c>
      <c r="DK415" s="998">
        <f>IF(OR(WWWW[[#This Row],['#_Non-functional latrines]]="",WWWW[[#This Row],['#_Non-functional latrines]]=0),0,WWWW[[#This Row],['#_Non-functional latrines]]/(WWWW[[#This Row],['#_Constructed latrines_by_WASHAgencies]]+WWWW[[#This Row],['#_Non Cluster partner latrines]]))</f>
        <v>0</v>
      </c>
      <c r="DL415" s="994">
        <f>IF(500*(WWWW[[#This Row],['#_male hygiene promoters]]+WWWW[[#This Row],['#_female hygiene promoters]])&gt;WWWW[[#This Row],[Total PoP ]],WWWW[[#This Row],[Total PoP ]],500*(WWWW[[#This Row],['#_male hygiene promoters]]+WWWW[[#This Row],['#_female hygiene promoters]]))</f>
        <v>89</v>
      </c>
      <c r="DM41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1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15" s="997">
        <f>IF(WWWW[[#This Row],['# People with access to soap]]&gt;WWWW[[#This Row],['# People with access to Sanity Pads]],WWWW[[#This Row],['# People with access to soap]],WWWW[[#This Row],['# People with access to Sanity Pads]])</f>
        <v>0</v>
      </c>
      <c r="DP415" s="997">
        <f>IF(WWWW[[#This Row],['# people reached by regular dedicated hygiene promotion_5]]&gt;WWWW[[#This Row],['# People received regular supply of hygiene items_6]],WWWW[[#This Row],['# people reached by regular dedicated hygiene promotion_5]],WWWW[[#This Row],['# People received regular supply of hygiene items_6]])</f>
        <v>89</v>
      </c>
      <c r="DQ415" s="999">
        <f>IF(WWWW[[#This Row],[HRP3]]/WWWW[[#This Row],[Total PoP ]]&gt;1,1,WWWW[[#This Row],[HRP3]]/WWWW[[#This Row],[Total PoP ]])</f>
        <v>1</v>
      </c>
      <c r="DR415" s="998">
        <f>1-WWWW[[#This Row],[Hygiene Coverage%]]</f>
        <v>0</v>
      </c>
      <c r="DS415" s="996">
        <f>WWWW[[#This Row],['# people reached by regular dedicated hygiene promotion_5]]/WWWW[[#This Row],[Total PoP ]]</f>
        <v>1</v>
      </c>
      <c r="DT41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1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15" s="997">
        <f>WWWW[[#This Row],['#_Constructed/Existing hand washing stations]]-WWWW[[#This Row],['#_Non-Functional_hand_washing_stations]]</f>
        <v>3</v>
      </c>
      <c r="DW415" s="994">
        <f>IF(WWWW[[#This Row],['# Functional hand washing stations during reporting period]]*20&gt;WWWW[[#This Row],[Total HH]],WWWW[[#This Row],[Total HH]],WWWW[[#This Row],['# Functional hand washing stations during reporting period]]*20)</f>
        <v>16</v>
      </c>
      <c r="DX415" s="994">
        <f>IF(WWWW[[#This Row],[Is sufficient soap available for TLS? (Yes/No)]]="yes",WWWW[[#This Row],['#_Constructed/Existing hand washing stations at TLS/CFS/THF]],0)</f>
        <v>3</v>
      </c>
      <c r="DY415" s="428">
        <f>IF(WWWW[[#This Row],['# Functional hand washing stations during reporting period]]*100&gt;WWWW[[#This Row],[Total PoP ]],WWWW[[#This Row],[Total PoP ]],WWWW[[#This Row],['# Functional hand washing stations during reporting period]]*100)</f>
        <v>89</v>
      </c>
      <c r="DZ415" s="428" t="str">
        <f>IF(OR(WWWW[[#This Row],['#_students at TLS_CFS]]="",WWWW[[#This Row],['#_students at TLS_CFS]]=0),"No","Yes")</f>
        <v>Yes</v>
      </c>
      <c r="EA41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89</v>
      </c>
      <c r="ED41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5" s="990" t="str">
        <f>VLOOKUP(WWWW[[#This Row],[Site Name]],SiteDB6[[Site Name]:[CCCM Management]],6,FALSE)</f>
        <v>Yes</v>
      </c>
      <c r="EF415" s="990" t="str">
        <f>VLOOKUP(WWWW[[#This Row],[Site Name]],SiteDB6[[Site Name]:[CCCM Focal Agency]],7,FALSE)</f>
        <v>Shalom</v>
      </c>
      <c r="EG415" s="990" t="str">
        <f>VLOOKUP(WWWW[[#This Row],[Site Name]],SiteDB6[[Site Name]:[Location Type 1]],9,FALSE)</f>
        <v>Camp</v>
      </c>
      <c r="EH415" s="990" t="str">
        <f>VLOOKUP(WWWW[[#This Row],[Site Name]],SiteDB6[[Site Name]:[Type of Accommodation]],10,FALSE)</f>
        <v>Camp</v>
      </c>
      <c r="EI415" s="990" t="str">
        <f>VLOOKUP(WWWW[[#This Row],[Site Name]],SiteDB6[[Site Name]:[Ethnic or GCA/NGCA]],11,FALSE)</f>
        <v>GCA</v>
      </c>
      <c r="EJ415" s="990">
        <f>VLOOKUP(WWWW[[#This Row],[Site Name]],SiteDB6[[Site Name]:[Lat]],12,FALSE)</f>
        <v>25.417733999999999</v>
      </c>
      <c r="EK415" s="990">
        <f>VLOOKUP(WWWW[[#This Row],[Site Name]],SiteDB6[[Site Name]:[Long]],13,FALSE)</f>
        <v>97.389778000000007</v>
      </c>
      <c r="EL415" s="990" t="str">
        <f>VLOOKUP(WWWW[[#This Row],[Site Name]],SiteDB6[[Site Name]:[Pcode]],3,FALSE)</f>
        <v>MMR001CMP004</v>
      </c>
      <c r="EM415" s="995" t="str">
        <f t="shared" si="7"/>
        <v>Covered</v>
      </c>
      <c r="EN415" s="995"/>
      <c r="EO415" s="990">
        <f>VLOOKUP(WWWW[[#This Row],[Site Name]],SiteDB6[[Site Name]:[Pop
(Kachin/Shan-CCCM as of July 2021)]],16,FALSE)</f>
        <v>16</v>
      </c>
      <c r="EP415" s="990">
        <f>VLOOKUP(WWWW[[#This Row],[Site Name]],SiteDB6[[Site Name]:[Pop
(Kachin/Shan-CCCM as of July 2021)]],17,FALSE)</f>
        <v>83</v>
      </c>
    </row>
    <row r="416" spans="1:146">
      <c r="A416" s="988" t="s">
        <v>2765</v>
      </c>
      <c r="B416" s="988" t="s">
        <v>309</v>
      </c>
      <c r="C416" s="989" t="s">
        <v>309</v>
      </c>
      <c r="D416" s="989"/>
      <c r="E416" s="989" t="s">
        <v>37</v>
      </c>
      <c r="F416" s="989" t="s">
        <v>159</v>
      </c>
      <c r="G416" s="591" t="str">
        <f>VLOOKUP(WWWW[[#This Row],[Site Name]],SiteDB6[[Site Name]:[Location Type]],8,FALSE)</f>
        <v>Camp</v>
      </c>
      <c r="H416" s="989" t="s">
        <v>2235</v>
      </c>
      <c r="I416" s="991">
        <v>26</v>
      </c>
      <c r="J416" s="991">
        <v>147</v>
      </c>
      <c r="K416" s="992"/>
      <c r="L416" s="993"/>
      <c r="M416" s="991"/>
      <c r="N416" s="991"/>
      <c r="O416" s="991"/>
      <c r="P416" s="991"/>
      <c r="Q416" s="994"/>
      <c r="R416" s="991"/>
      <c r="S416" s="991">
        <v>4</v>
      </c>
      <c r="T416" s="448"/>
      <c r="U416" s="991"/>
      <c r="V416" s="991"/>
      <c r="W416" s="991"/>
      <c r="X416" s="991"/>
      <c r="Y416" s="991"/>
      <c r="Z416" s="991"/>
      <c r="AA416" s="991"/>
      <c r="AB416" s="991"/>
      <c r="AC416" s="991"/>
      <c r="AD416" s="991"/>
      <c r="AE416" s="991"/>
      <c r="AF416" s="991"/>
      <c r="AG416" s="991"/>
      <c r="AH416" s="991"/>
      <c r="AI416" s="991"/>
      <c r="AJ416" s="991"/>
      <c r="AK416" s="991"/>
      <c r="AL416" s="991"/>
      <c r="AM416" s="991"/>
      <c r="AN416" s="991"/>
      <c r="AO416" s="448"/>
      <c r="AP416" s="995"/>
      <c r="AQ416" s="991"/>
      <c r="AR416" s="991"/>
      <c r="AS416" s="996"/>
      <c r="AT416" s="991"/>
      <c r="AU416" s="991"/>
      <c r="AV416" s="991"/>
      <c r="AW416" s="991"/>
      <c r="AX416" s="991"/>
      <c r="AY416" s="990" t="s">
        <v>140</v>
      </c>
      <c r="AZ416" s="995" t="s">
        <v>140</v>
      </c>
      <c r="BA416" s="991"/>
      <c r="BB416" s="991"/>
      <c r="BC416" s="991"/>
      <c r="BD416" s="448"/>
      <c r="BE416" s="448"/>
      <c r="BF416" s="990"/>
      <c r="BG416" s="991">
        <v>1</v>
      </c>
      <c r="BH416" s="991"/>
      <c r="BI416" s="991"/>
      <c r="BJ416" s="991">
        <v>1</v>
      </c>
      <c r="BK416" s="991"/>
      <c r="BL416" s="991"/>
      <c r="BM416" s="991"/>
      <c r="BN416" s="991"/>
      <c r="BO416" s="991"/>
      <c r="BP416" s="990"/>
      <c r="BQ416" s="997"/>
      <c r="BR416" s="996"/>
      <c r="BS416" s="990"/>
      <c r="BT416" s="423"/>
      <c r="BU416" s="423"/>
      <c r="BV416" s="425"/>
      <c r="BW416" s="423"/>
      <c r="BX416" s="448"/>
      <c r="BY416" s="448"/>
      <c r="BZ416" s="448"/>
      <c r="CA416" s="448"/>
      <c r="CB416" s="448"/>
      <c r="CC416" s="777"/>
      <c r="CD416" s="448"/>
      <c r="CE416" s="998" t="str">
        <f>IFERROR(WWWW[[#This Row],['#_Water sources passed]]/WWWW[[#This Row],['#_Water sources tested for fecal coliform ]],"no test")</f>
        <v>no test</v>
      </c>
      <c r="CF416" s="996" t="str">
        <f>IFERROR(WWWW[[#This Row],['#_Household passed]]/WWWW[[#This Row],['#_Household water samples tested for fecal coliform]],"no test")</f>
        <v>no test</v>
      </c>
      <c r="CG416" s="997" t="str">
        <f>IF(AND(WWWW[[#This Row],[% of water sources passed]]="no test",WWWW[[#This Row],[% Household passed]]="no test"),"No Test","Tested")</f>
        <v>No Test</v>
      </c>
      <c r="CH416" s="997">
        <f>WWWW[[#This Row],['#_Constructed/existing protected hand dug well]]-WWWW[[#This Row],['#_Non-functional protected hand dug well]]</f>
        <v>0</v>
      </c>
      <c r="CI416" s="997">
        <f>(WWWW[[#This Row],['#_Constructed/Existing tube wells/boreholes/handpumps_WASH_agency]]+WWWW[[#This Row],['#_Non-Cluster partner water tube-wells/boreholes/handpumps]])-WWWW[[#This Row],['#_Non-functional tube wells/boreholes/handpumps]]</f>
        <v>0</v>
      </c>
      <c r="CJ416" s="997">
        <f>WWWW[[#This Row],['#_Constructed/Existingwater storage tank with gravity fed reticulation system]]-WWWW[[#This Row],['#_Non-functional storage tank gravity fed reticulation system]]</f>
        <v>0</v>
      </c>
      <c r="CK416" s="997">
        <f>(WWWW[[#This Row],['#_Water_Liters_supplied_by_Water boating or water trucking]]/90)/15</f>
        <v>0</v>
      </c>
      <c r="CL416" s="997">
        <f>WWWW[[#This Row],['#_Water_Liters_from_Constructed/Existing water distribution system from river or natural spring]]/90/15</f>
        <v>0</v>
      </c>
      <c r="CM416" s="424">
        <f>IF(WWWW[[#This Row],['#_of water points in TLS/CFS]]*500&gt;WWWW[[#This Row],[Total PoP ]],WWWW[[#This Row],[Total PoP ]],WWWW[[#This Row],['#_of water points in TLS/CFS]]*500)</f>
        <v>0</v>
      </c>
      <c r="CN416" s="424">
        <f>IF(WWWW[[#This Row],['#_of water points in THF]]*500&gt;WWWW[[#This Row],[Total PoP ]],WWWW[[#This Row],[Total PoP ]],WWWW[[#This Row],['#_of water points in THF]]*500)</f>
        <v>0</v>
      </c>
      <c r="CO41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1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16" s="996">
        <f>IF(WWWW[[#This Row],[Location Type 1]]="Village",WWWW[[#This Row],[Access to safe drinking water for Village]],WWWW[[#This Row],[Access to safe drinking water for Camp]])</f>
        <v>0</v>
      </c>
      <c r="CR416" s="994">
        <f>WWWW[[#This Row],[%Equitable and continuous access to sufficient quantity of safe drinking water]]*WWWW[[#This Row],[Total PoP ]]</f>
        <v>0</v>
      </c>
      <c r="CS416" s="996">
        <f>IF((WWWW[[#This Row],['#_Constructed/Existing protected/fenced ponds]]*250)/WWWW[[#This Row],[Total PoP ]]&gt;1,1,(WWWW[[#This Row],['#_Constructed/Existing protected/fenced ponds]]*250)/WWWW[[#This Row],[Total PoP ]])</f>
        <v>0</v>
      </c>
      <c r="CT416" s="994">
        <f>WWWW[[#This Row],[% Access to unimproved water points]]*WWWW[[#This Row],[Total PoP ]]</f>
        <v>0</v>
      </c>
      <c r="CU41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1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16" s="994">
        <f>WWWW[[#This Row],[HRP1]]/500</f>
        <v>0</v>
      </c>
      <c r="CX416" s="999">
        <f>1-WWWW[[#This Row],[% Equitable and continuous access to sufficient quantity of domestic water]]</f>
        <v>1</v>
      </c>
      <c r="CY416" s="994">
        <f>WWWW[[#This Row],[%equitable and continuous access to sufficient quantity of safe drinking and domestic water''s GAP]]*WWWW[[#This Row],[Total PoP ]]</f>
        <v>147</v>
      </c>
      <c r="CZ416" s="997">
        <f>IF(WWWW[[#This Row],[Total required water points]]-WWWW[[#This Row],['#Water points coverage]]&lt;0,0,WWWW[[#This Row],[Total required water points]]-WWWW[[#This Row],['#Water points coverage]])</f>
        <v>1</v>
      </c>
      <c r="DA416" s="997">
        <f>ROUND(IF(WWWW[[#This Row],[Total PoP ]]&lt;500,1,WWWW[[#This Row],[Total PoP ]]/500),0)</f>
        <v>1</v>
      </c>
      <c r="DB416" s="997">
        <f>(WWWW[[#This Row],['#_Constructed latrines_by_WASHAgencies]]+WWWW[[#This Row],['#_Non Cluster partner latrines]])-WWWW[[#This Row],['#_Non-functional latrines]]</f>
        <v>0</v>
      </c>
      <c r="DC416" s="631">
        <f>WWWW[[#This Row],[HRP2]]/WWWW[[#This Row],[Total PoP ]]</f>
        <v>0</v>
      </c>
      <c r="DD41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1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1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6" s="424">
        <f>IF(WWWW[[#This Row],['# of functional latrines in THF supported by WASH partners during the reporting period2]]="",0,WWWW[[#This Row],['# of functional latrines in THF supported by WASH partners during the reporting period2]]*50)</f>
        <v>0</v>
      </c>
      <c r="DH416" s="997">
        <f>ROUND(IF(WWWW[[#This Row],[Location Type 1]]="camp",WWWW[[#This Row],[Total PoP ]]/20,IF(WWWW[[#This Row],[Location Type 1]]="Temporary Location",WWWW[[#This Row],[Total PoP ]]/50,(WWWW[[#This Row],[Total PoP ]]/6))),0)</f>
        <v>7</v>
      </c>
      <c r="DI416" s="997">
        <f>IF(WWWW[[#This Row],[Total required Latrines]]-(WWWW[[#This Row],['#_Constructed latrines_by_WASHAgencies]]+WWWW[[#This Row],['#_Non Cluster partner latrines]])&lt;0,0,WWWW[[#This Row],[Total required Latrines]]-(WWWW[[#This Row],['#_Constructed latrines_by_WASHAgencies]]+WWWW[[#This Row],['#_Non Cluster partner latrines]]))</f>
        <v>7</v>
      </c>
      <c r="DJ416" s="999">
        <f>1-WWWW[[#This Row],[% people access to functioning Latrine]]</f>
        <v>1</v>
      </c>
      <c r="DK416" s="998">
        <f>IF(OR(WWWW[[#This Row],['#_Non-functional latrines]]="",WWWW[[#This Row],['#_Non-functional latrines]]=0),0,WWWW[[#This Row],['#_Non-functional latrines]]/(WWWW[[#This Row],['#_Constructed latrines_by_WASHAgencies]]+WWWW[[#This Row],['#_Non Cluster partner latrines]]))</f>
        <v>0</v>
      </c>
      <c r="DL416" s="994">
        <f>IF(500*(WWWW[[#This Row],['#_male hygiene promoters]]+WWWW[[#This Row],['#_female hygiene promoters]])&gt;WWWW[[#This Row],[Total PoP ]],WWWW[[#This Row],[Total PoP ]],500*(WWWW[[#This Row],['#_male hygiene promoters]]+WWWW[[#This Row],['#_female hygiene promoters]]))</f>
        <v>0</v>
      </c>
      <c r="DM41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1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16" s="997">
        <f>IF(WWWW[[#This Row],['# People with access to soap]]&gt;WWWW[[#This Row],['# People with access to Sanity Pads]],WWWW[[#This Row],['# People with access to soap]],WWWW[[#This Row],['# People with access to Sanity Pads]])</f>
        <v>0</v>
      </c>
      <c r="DP416"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16" s="999">
        <f>IF(WWWW[[#This Row],[HRP3]]/WWWW[[#This Row],[Total PoP ]]&gt;1,1,WWWW[[#This Row],[HRP3]]/WWWW[[#This Row],[Total PoP ]])</f>
        <v>0</v>
      </c>
      <c r="DR416" s="998">
        <f>1-WWWW[[#This Row],[Hygiene Coverage%]]</f>
        <v>1</v>
      </c>
      <c r="DS416" s="996">
        <f>WWWW[[#This Row],['# people reached by regular dedicated hygiene promotion_5]]/WWWW[[#This Row],[Total PoP ]]</f>
        <v>0</v>
      </c>
      <c r="DT41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1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16" s="997">
        <f>WWWW[[#This Row],['#_Constructed/Existing hand washing stations]]-WWWW[[#This Row],['#_Non-Functional_hand_washing_stations]]</f>
        <v>1</v>
      </c>
      <c r="DW416" s="994">
        <f>IF(WWWW[[#This Row],['# Functional hand washing stations during reporting period]]*20&gt;WWWW[[#This Row],[Total HH]],WWWW[[#This Row],[Total HH]],WWWW[[#This Row],['# Functional hand washing stations during reporting period]]*20)</f>
        <v>20</v>
      </c>
      <c r="DX416" s="994">
        <f>IF(WWWW[[#This Row],[Is sufficient soap available for TLS? (Yes/No)]]="yes",WWWW[[#This Row],['#_Constructed/Existing hand washing stations at TLS/CFS/THF]],0)</f>
        <v>0</v>
      </c>
      <c r="DY416" s="428">
        <f>IF(WWWW[[#This Row],['# Functional hand washing stations during reporting period]]*100&gt;WWWW[[#This Row],[Total PoP ]],WWWW[[#This Row],[Total PoP ]],WWWW[[#This Row],['# Functional hand washing stations during reporting period]]*100)</f>
        <v>100</v>
      </c>
      <c r="DZ416" s="428" t="str">
        <f>IF(OR(WWWW[[#This Row],['#_students at TLS_CFS]]="",WWWW[[#This Row],['#_students at TLS_CFS]]=0),"No","Yes")</f>
        <v>No</v>
      </c>
      <c r="EA41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6" s="990">
        <f>VLOOKUP(WWWW[[#This Row],[Site Name]],SiteDB6[[Site Name]:[CCCM Management]],6,FALSE)</f>
        <v>0</v>
      </c>
      <c r="EF416" s="990" t="str">
        <f>VLOOKUP(WWWW[[#This Row],[Site Name]],SiteDB6[[Site Name]:[CCCM Focal Agency]],7,FALSE)</f>
        <v>uncovered</v>
      </c>
      <c r="EG416" s="990" t="str">
        <f>VLOOKUP(WWWW[[#This Row],[Site Name]],SiteDB6[[Site Name]:[Location Type 1]],9,FALSE)</f>
        <v>Camp</v>
      </c>
      <c r="EH416" s="990" t="str">
        <f>VLOOKUP(WWWW[[#This Row],[Site Name]],SiteDB6[[Site Name]:[Type of Accommodation]],10,FALSE)</f>
        <v>Camp</v>
      </c>
      <c r="EI416" s="990" t="str">
        <f>VLOOKUP(WWWW[[#This Row],[Site Name]],SiteDB6[[Site Name]:[Ethnic or GCA/NGCA]],11,FALSE)</f>
        <v>GCA</v>
      </c>
      <c r="EJ416" s="990">
        <f>VLOOKUP(WWWW[[#This Row],[Site Name]],SiteDB6[[Site Name]:[Lat]],12,FALSE)</f>
        <v>25.387892000000001</v>
      </c>
      <c r="EK416" s="990">
        <f>VLOOKUP(WWWW[[#This Row],[Site Name]],SiteDB6[[Site Name]:[Long]],13,FALSE)</f>
        <v>97.325181999999998</v>
      </c>
      <c r="EL416" s="990" t="str">
        <f>VLOOKUP(WWWW[[#This Row],[Site Name]],SiteDB6[[Site Name]:[Pcode]],3,FALSE)</f>
        <v>MMR001CMP276</v>
      </c>
      <c r="EM416" s="995" t="str">
        <f t="shared" si="7"/>
        <v>Notcovered</v>
      </c>
      <c r="EN416" s="995"/>
      <c r="EO416" s="990">
        <f>VLOOKUP(WWWW[[#This Row],[Site Name]],SiteDB6[[Site Name]:[Pop
(Kachin/Shan-CCCM as of July 2021)]],16,FALSE)</f>
        <v>26</v>
      </c>
      <c r="EP416" s="990">
        <f>VLOOKUP(WWWW[[#This Row],[Site Name]],SiteDB6[[Site Name]:[Pop
(Kachin/Shan-CCCM as of July 2021)]],17,FALSE)</f>
        <v>138</v>
      </c>
    </row>
    <row r="417" spans="1:146">
      <c r="A417" s="988" t="s">
        <v>2765</v>
      </c>
      <c r="B417" s="988" t="s">
        <v>3073</v>
      </c>
      <c r="C417" s="989" t="s">
        <v>141</v>
      </c>
      <c r="D417" s="989" t="s">
        <v>3166</v>
      </c>
      <c r="E417" s="989" t="s">
        <v>37</v>
      </c>
      <c r="F417" s="989" t="s">
        <v>159</v>
      </c>
      <c r="G417" s="591" t="str">
        <f>VLOOKUP(WWWW[[#This Row],[Site Name]],SiteDB6[[Site Name]:[Location Type]],8,FALSE)</f>
        <v>Camp</v>
      </c>
      <c r="H417" s="989" t="s">
        <v>168</v>
      </c>
      <c r="I417" s="991">
        <v>110</v>
      </c>
      <c r="J417" s="991">
        <v>563</v>
      </c>
      <c r="K417" s="992">
        <v>44682</v>
      </c>
      <c r="L417" s="993">
        <v>45169</v>
      </c>
      <c r="M417" s="991"/>
      <c r="N417" s="991">
        <v>2</v>
      </c>
      <c r="O417" s="991"/>
      <c r="P417" s="991"/>
      <c r="Q417" s="994" t="s">
        <v>41</v>
      </c>
      <c r="R417" s="991">
        <v>2</v>
      </c>
      <c r="S417" s="991">
        <v>2</v>
      </c>
      <c r="T417" s="448">
        <v>2</v>
      </c>
      <c r="U417" s="991"/>
      <c r="V417" s="991"/>
      <c r="W417" s="991">
        <v>3</v>
      </c>
      <c r="X417" s="991"/>
      <c r="Y417" s="991"/>
      <c r="Z417" s="991"/>
      <c r="AA417" s="991"/>
      <c r="AB417" s="991"/>
      <c r="AC417" s="991"/>
      <c r="AD417" s="991"/>
      <c r="AE417" s="991"/>
      <c r="AF417" s="991"/>
      <c r="AG417" s="991"/>
      <c r="AH417" s="991">
        <v>2</v>
      </c>
      <c r="AI417" s="991"/>
      <c r="AJ417" s="991"/>
      <c r="AK417" s="991"/>
      <c r="AL417" s="991"/>
      <c r="AM417" s="991"/>
      <c r="AN417" s="991"/>
      <c r="AO417" s="448"/>
      <c r="AP417" s="995"/>
      <c r="AQ417" s="991">
        <v>13</v>
      </c>
      <c r="AR417" s="991"/>
      <c r="AS417" s="996"/>
      <c r="AT417" s="991"/>
      <c r="AU417" s="991"/>
      <c r="AV417" s="991"/>
      <c r="AW417" s="991"/>
      <c r="AX417" s="991">
        <v>13</v>
      </c>
      <c r="AY417" s="990" t="s">
        <v>41</v>
      </c>
      <c r="AZ417" s="995" t="s">
        <v>137</v>
      </c>
      <c r="BA417" s="991"/>
      <c r="BB417" s="991"/>
      <c r="BC417" s="991"/>
      <c r="BD417" s="448"/>
      <c r="BE417" s="448"/>
      <c r="BF417" s="990"/>
      <c r="BG417" s="991">
        <v>7</v>
      </c>
      <c r="BH417" s="991"/>
      <c r="BI417" s="991"/>
      <c r="BJ417" s="991">
        <v>4</v>
      </c>
      <c r="BK417" s="991"/>
      <c r="BL417" s="991">
        <v>1</v>
      </c>
      <c r="BM417" s="991"/>
      <c r="BN417" s="991"/>
      <c r="BO417" s="991"/>
      <c r="BP417" s="990"/>
      <c r="BQ417" s="997"/>
      <c r="BR417" s="996"/>
      <c r="BS417" s="990"/>
      <c r="BT417" s="423"/>
      <c r="BU417" s="423"/>
      <c r="BV417" s="425"/>
      <c r="BW417" s="423"/>
      <c r="BX417" s="448"/>
      <c r="BY417" s="448"/>
      <c r="BZ417" s="448"/>
      <c r="CA417" s="448"/>
      <c r="CB417" s="448"/>
      <c r="CC417" s="777"/>
      <c r="CD417" s="448"/>
      <c r="CE417" s="998" t="str">
        <f>IFERROR(WWWW[[#This Row],['#_Water sources passed]]/WWWW[[#This Row],['#_Water sources tested for fecal coliform ]],"no test")</f>
        <v>no test</v>
      </c>
      <c r="CF417" s="996" t="str">
        <f>IFERROR(WWWW[[#This Row],['#_Household passed]]/WWWW[[#This Row],['#_Household water samples tested for fecal coliform]],"no test")</f>
        <v>no test</v>
      </c>
      <c r="CG417" s="997" t="str">
        <f>IF(AND(WWWW[[#This Row],[% of water sources passed]]="no test",WWWW[[#This Row],[% Household passed]]="no test"),"No Test","Tested")</f>
        <v>No Test</v>
      </c>
      <c r="CH417" s="997">
        <f>WWWW[[#This Row],['#_Constructed/existing protected hand dug well]]-WWWW[[#This Row],['#_Non-functional protected hand dug well]]</f>
        <v>2</v>
      </c>
      <c r="CI417" s="997">
        <f>(WWWW[[#This Row],['#_Constructed/Existing tube wells/boreholes/handpumps_WASH_agency]]+WWWW[[#This Row],['#_Non-Cluster partner water tube-wells/boreholes/handpumps]])-WWWW[[#This Row],['#_Non-functional tube wells/boreholes/handpumps]]</f>
        <v>3</v>
      </c>
      <c r="CJ417" s="997">
        <f>WWWW[[#This Row],['#_Constructed/Existingwater storage tank with gravity fed reticulation system]]-WWWW[[#This Row],['#_Non-functional storage tank gravity fed reticulation system]]</f>
        <v>0</v>
      </c>
      <c r="CK417" s="997">
        <f>(WWWW[[#This Row],['#_Water_Liters_supplied_by_Water boating or water trucking]]/90)/15</f>
        <v>0</v>
      </c>
      <c r="CL417" s="997">
        <f>WWWW[[#This Row],['#_Water_Liters_from_Constructed/Existing water distribution system from river or natural spring]]/90/15</f>
        <v>0</v>
      </c>
      <c r="CM417" s="424">
        <f>IF(WWWW[[#This Row],['#_of water points in TLS/CFS]]*500&gt;WWWW[[#This Row],[Total PoP ]],WWWW[[#This Row],[Total PoP ]],WWWW[[#This Row],['#_of water points in TLS/CFS]]*500)</f>
        <v>0</v>
      </c>
      <c r="CN417" s="424">
        <f>IF(WWWW[[#This Row],['#_of water points in THF]]*500&gt;WWWW[[#This Row],[Total PoP ]],WWWW[[#This Row],[Total PoP ]],WWWW[[#This Row],['#_of water points in THF]]*500)</f>
        <v>0</v>
      </c>
      <c r="CO41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1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17" s="996">
        <f>IF(WWWW[[#This Row],[Location Type 1]]="Village",WWWW[[#This Row],[Access to safe drinking water for Village]],WWWW[[#This Row],[Access to safe drinking water for Camp]])</f>
        <v>1</v>
      </c>
      <c r="CR417" s="994">
        <f>WWWW[[#This Row],[%Equitable and continuous access to sufficient quantity of safe drinking water]]*WWWW[[#This Row],[Total PoP ]]</f>
        <v>563</v>
      </c>
      <c r="CS417" s="996">
        <f>IF((WWWW[[#This Row],['#_Constructed/Existing protected/fenced ponds]]*250)/WWWW[[#This Row],[Total PoP ]]&gt;1,1,(WWWW[[#This Row],['#_Constructed/Existing protected/fenced ponds]]*250)/WWWW[[#This Row],[Total PoP ]])</f>
        <v>0</v>
      </c>
      <c r="CT417" s="994">
        <f>WWWW[[#This Row],[% Access to unimproved water points]]*WWWW[[#This Row],[Total PoP ]]</f>
        <v>0</v>
      </c>
      <c r="CU41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1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563</v>
      </c>
      <c r="CW417" s="994">
        <f>WWWW[[#This Row],[HRP1]]/500</f>
        <v>1.1259999999999999</v>
      </c>
      <c r="CX417" s="999">
        <f>1-WWWW[[#This Row],[% Equitable and continuous access to sufficient quantity of domestic water]]</f>
        <v>0</v>
      </c>
      <c r="CY417" s="994">
        <f>WWWW[[#This Row],[%equitable and continuous access to sufficient quantity of safe drinking and domestic water''s GAP]]*WWWW[[#This Row],[Total PoP ]]</f>
        <v>0</v>
      </c>
      <c r="CZ417" s="997">
        <f>IF(WWWW[[#This Row],[Total required water points]]-WWWW[[#This Row],['#Water points coverage]]&lt;0,0,WWWW[[#This Row],[Total required water points]]-WWWW[[#This Row],['#Water points coverage]])</f>
        <v>0</v>
      </c>
      <c r="DA417" s="997">
        <f>ROUND(IF(WWWW[[#This Row],[Total PoP ]]&lt;500,1,WWWW[[#This Row],[Total PoP ]]/500),0)</f>
        <v>1</v>
      </c>
      <c r="DB417" s="997">
        <f>(WWWW[[#This Row],['#_Constructed latrines_by_WASHAgencies]]+WWWW[[#This Row],['#_Non Cluster partner latrines]])-WWWW[[#This Row],['#_Non-functional latrines]]</f>
        <v>13</v>
      </c>
      <c r="DC417" s="631">
        <f>WWWW[[#This Row],[HRP2]]/WWWW[[#This Row],[Total PoP ]]</f>
        <v>0.46181172291296624</v>
      </c>
      <c r="DD41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DE41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1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7" s="424">
        <f>IF(WWWW[[#This Row],['# of functional latrines in THF supported by WASH partners during the reporting period2]]="",0,WWWW[[#This Row],['# of functional latrines in THF supported by WASH partners during the reporting period2]]*50)</f>
        <v>0</v>
      </c>
      <c r="DH417" s="997">
        <f>ROUND(IF(WWWW[[#This Row],[Location Type 1]]="camp",WWWW[[#This Row],[Total PoP ]]/20,IF(WWWW[[#This Row],[Location Type 1]]="Temporary Location",WWWW[[#This Row],[Total PoP ]]/50,(WWWW[[#This Row],[Total PoP ]]/6))),0)</f>
        <v>28</v>
      </c>
      <c r="DI417" s="997">
        <f>IF(WWWW[[#This Row],[Total required Latrines]]-(WWWW[[#This Row],['#_Constructed latrines_by_WASHAgencies]]+WWWW[[#This Row],['#_Non Cluster partner latrines]])&lt;0,0,WWWW[[#This Row],[Total required Latrines]]-(WWWW[[#This Row],['#_Constructed latrines_by_WASHAgencies]]+WWWW[[#This Row],['#_Non Cluster partner latrines]]))</f>
        <v>15</v>
      </c>
      <c r="DJ417" s="999">
        <f>1-WWWW[[#This Row],[% people access to functioning Latrine]]</f>
        <v>0.53818827708703376</v>
      </c>
      <c r="DK417" s="998">
        <f>IF(OR(WWWW[[#This Row],['#_Non-functional latrines]]="",WWWW[[#This Row],['#_Non-functional latrines]]=0),0,WWWW[[#This Row],['#_Non-functional latrines]]/(WWWW[[#This Row],['#_Constructed latrines_by_WASHAgencies]]+WWWW[[#This Row],['#_Non Cluster partner latrines]]))</f>
        <v>0</v>
      </c>
      <c r="DL417" s="994">
        <f>IF(500*(WWWW[[#This Row],['#_male hygiene promoters]]+WWWW[[#This Row],['#_female hygiene promoters]])&gt;WWWW[[#This Row],[Total PoP ]],WWWW[[#This Row],[Total PoP ]],500*(WWWW[[#This Row],['#_male hygiene promoters]]+WWWW[[#This Row],['#_female hygiene promoters]]))</f>
        <v>500</v>
      </c>
      <c r="DM41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1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17" s="997">
        <f>IF(WWWW[[#This Row],['# People with access to soap]]&gt;WWWW[[#This Row],['# People with access to Sanity Pads]],WWWW[[#This Row],['# People with access to soap]],WWWW[[#This Row],['# People with access to Sanity Pads]])</f>
        <v>0</v>
      </c>
      <c r="DP417" s="99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417" s="999">
        <f>IF(WWWW[[#This Row],[HRP3]]/WWWW[[#This Row],[Total PoP ]]&gt;1,1,WWWW[[#This Row],[HRP3]]/WWWW[[#This Row],[Total PoP ]])</f>
        <v>0.88809946714031973</v>
      </c>
      <c r="DR417" s="998">
        <f>1-WWWW[[#This Row],[Hygiene Coverage%]]</f>
        <v>0.11190053285968027</v>
      </c>
      <c r="DS417" s="996">
        <f>WWWW[[#This Row],['# people reached by regular dedicated hygiene promotion_5]]/WWWW[[#This Row],[Total PoP ]]</f>
        <v>0.88809946714031973</v>
      </c>
      <c r="DT41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1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17" s="997">
        <f>WWWW[[#This Row],['#_Constructed/Existing hand washing stations]]-WWWW[[#This Row],['#_Non-Functional_hand_washing_stations]]</f>
        <v>7</v>
      </c>
      <c r="DW417" s="994">
        <f>IF(WWWW[[#This Row],['# Functional hand washing stations during reporting period]]*20&gt;WWWW[[#This Row],[Total HH]],WWWW[[#This Row],[Total HH]],WWWW[[#This Row],['# Functional hand washing stations during reporting period]]*20)</f>
        <v>110</v>
      </c>
      <c r="DX417" s="994">
        <f>IF(WWWW[[#This Row],[Is sufficient soap available for TLS? (Yes/No)]]="yes",WWWW[[#This Row],['#_Constructed/Existing hand washing stations at TLS/CFS/THF]],0)</f>
        <v>0</v>
      </c>
      <c r="DY417" s="428">
        <f>IF(WWWW[[#This Row],['# Functional hand washing stations during reporting period]]*100&gt;WWWW[[#This Row],[Total PoP ]],WWWW[[#This Row],[Total PoP ]],WWWW[[#This Row],['# Functional hand washing stations during reporting period]]*100)</f>
        <v>563</v>
      </c>
      <c r="DZ417" s="428" t="str">
        <f>IF(OR(WWWW[[#This Row],['#_students at TLS_CFS]]="",WWWW[[#This Row],['#_students at TLS_CFS]]=0),"No","Yes")</f>
        <v>No</v>
      </c>
      <c r="EA41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7" s="990" t="str">
        <f>VLOOKUP(WWWW[[#This Row],[Site Name]],SiteDB6[[Site Name]:[CCCM Management]],6,FALSE)</f>
        <v>Yes</v>
      </c>
      <c r="EF417" s="990" t="str">
        <f>VLOOKUP(WWWW[[#This Row],[Site Name]],SiteDB6[[Site Name]:[CCCM Focal Agency]],7,FALSE)</f>
        <v>KBC-MYT</v>
      </c>
      <c r="EG417" s="990" t="str">
        <f>VLOOKUP(WWWW[[#This Row],[Site Name]],SiteDB6[[Site Name]:[Location Type 1]],9,FALSE)</f>
        <v>Camp</v>
      </c>
      <c r="EH417" s="990" t="str">
        <f>VLOOKUP(WWWW[[#This Row],[Site Name]],SiteDB6[[Site Name]:[Type of Accommodation]],10,FALSE)</f>
        <v>Camp</v>
      </c>
      <c r="EI417" s="990" t="str">
        <f>VLOOKUP(WWWW[[#This Row],[Site Name]],SiteDB6[[Site Name]:[Ethnic or GCA/NGCA]],11,FALSE)</f>
        <v>GCA</v>
      </c>
      <c r="EJ417" s="990">
        <f>VLOOKUP(WWWW[[#This Row],[Site Name]],SiteDB6[[Site Name]:[Lat]],12,FALSE)</f>
        <v>25.412313000000001</v>
      </c>
      <c r="EK417" s="990">
        <f>VLOOKUP(WWWW[[#This Row],[Site Name]],SiteDB6[[Site Name]:[Long]],13,FALSE)</f>
        <v>97.399628000000007</v>
      </c>
      <c r="EL417" s="990" t="str">
        <f>VLOOKUP(WWWW[[#This Row],[Site Name]],SiteDB6[[Site Name]:[Pcode]],3,FALSE)</f>
        <v>MMR001CMP006</v>
      </c>
      <c r="EM417" s="995" t="str">
        <f t="shared" si="7"/>
        <v>Covered</v>
      </c>
      <c r="EN417" s="995"/>
      <c r="EO417" s="990">
        <f>VLOOKUP(WWWW[[#This Row],[Site Name]],SiteDB6[[Site Name]:[Pop
(Kachin/Shan-CCCM as of July 2021)]],16,FALSE)</f>
        <v>110</v>
      </c>
      <c r="EP417" s="990">
        <f>VLOOKUP(WWWW[[#This Row],[Site Name]],SiteDB6[[Site Name]:[Pop
(Kachin/Shan-CCCM as of July 2021)]],17,FALSE)</f>
        <v>562</v>
      </c>
    </row>
    <row r="418" spans="1:146">
      <c r="A418" s="988" t="s">
        <v>2765</v>
      </c>
      <c r="B418" s="988" t="s">
        <v>242</v>
      </c>
      <c r="C418" s="989" t="s">
        <v>242</v>
      </c>
      <c r="D418" s="989" t="s">
        <v>299</v>
      </c>
      <c r="E418" s="989" t="s">
        <v>37</v>
      </c>
      <c r="F418" s="989" t="s">
        <v>159</v>
      </c>
      <c r="G418" s="591" t="str">
        <f>VLOOKUP(WWWW[[#This Row],[Site Name]],SiteDB6[[Site Name]:[Location Type]],8,FALSE)</f>
        <v>Camp</v>
      </c>
      <c r="H418" s="989" t="s">
        <v>265</v>
      </c>
      <c r="I418" s="448">
        <v>21</v>
      </c>
      <c r="J418" s="448">
        <v>99</v>
      </c>
      <c r="K418" s="588">
        <v>44197</v>
      </c>
      <c r="L418" s="589">
        <v>44651</v>
      </c>
      <c r="M418" s="448"/>
      <c r="N418" s="448">
        <v>1</v>
      </c>
      <c r="O418" s="448"/>
      <c r="P418" s="448"/>
      <c r="Q418" s="717" t="s">
        <v>41</v>
      </c>
      <c r="R418" s="448">
        <v>1</v>
      </c>
      <c r="S418" s="448">
        <v>4</v>
      </c>
      <c r="T418" s="448">
        <v>1</v>
      </c>
      <c r="U418" s="991"/>
      <c r="V418" s="991"/>
      <c r="W418" s="991"/>
      <c r="X418" s="991">
        <v>1</v>
      </c>
      <c r="Y418" s="991"/>
      <c r="Z418" s="991"/>
      <c r="AA418" s="991"/>
      <c r="AB418" s="991"/>
      <c r="AC418" s="991"/>
      <c r="AD418" s="991"/>
      <c r="AE418" s="991"/>
      <c r="AF418" s="991"/>
      <c r="AG418" s="991"/>
      <c r="AH418" s="991"/>
      <c r="AI418" s="991"/>
      <c r="AJ418" s="991"/>
      <c r="AK418" s="991"/>
      <c r="AL418" s="991"/>
      <c r="AM418" s="991">
        <v>2</v>
      </c>
      <c r="AN418" s="991"/>
      <c r="AO418" s="448"/>
      <c r="AP418" s="995"/>
      <c r="AQ418" s="991">
        <v>2</v>
      </c>
      <c r="AR418" s="991">
        <v>5</v>
      </c>
      <c r="AS418" s="996" t="s">
        <v>2135</v>
      </c>
      <c r="AT418" s="991"/>
      <c r="AU418" s="991"/>
      <c r="AV418" s="991"/>
      <c r="AW418" s="991"/>
      <c r="AX418" s="991"/>
      <c r="AY418" s="990" t="s">
        <v>41</v>
      </c>
      <c r="AZ418" s="995" t="s">
        <v>137</v>
      </c>
      <c r="BA418" s="991"/>
      <c r="BB418" s="991"/>
      <c r="BC418" s="991">
        <v>2</v>
      </c>
      <c r="BD418" s="448"/>
      <c r="BE418" s="448"/>
      <c r="BF418" s="990"/>
      <c r="BG418" s="991">
        <v>7</v>
      </c>
      <c r="BH418" s="991">
        <v>1</v>
      </c>
      <c r="BI418" s="991"/>
      <c r="BJ418" s="991">
        <v>5</v>
      </c>
      <c r="BK418" s="991"/>
      <c r="BL418" s="991">
        <v>5</v>
      </c>
      <c r="BM418" s="991">
        <v>1</v>
      </c>
      <c r="BN418" s="991"/>
      <c r="BO418" s="991"/>
      <c r="BP418" s="990"/>
      <c r="BQ418" s="997"/>
      <c r="BR418" s="423">
        <v>1</v>
      </c>
      <c r="BS418" s="990"/>
      <c r="BT418" s="423">
        <v>1</v>
      </c>
      <c r="BU418" s="423">
        <v>1</v>
      </c>
      <c r="BV418" s="425"/>
      <c r="BW418" s="423">
        <v>0.8</v>
      </c>
      <c r="BX418" s="448"/>
      <c r="BY418" s="448"/>
      <c r="BZ418" s="448"/>
      <c r="CA418" s="448"/>
      <c r="CB418" s="448"/>
      <c r="CC418" s="777"/>
      <c r="CD418" s="448"/>
      <c r="CE418" s="998" t="str">
        <f>IFERROR(WWWW[[#This Row],['#_Water sources passed]]/WWWW[[#This Row],['#_Water sources tested for fecal coliform ]],"no test")</f>
        <v>no test</v>
      </c>
      <c r="CF418" s="996" t="str">
        <f>IFERROR(WWWW[[#This Row],['#_Household passed]]/WWWW[[#This Row],['#_Household water samples tested for fecal coliform]],"no test")</f>
        <v>no test</v>
      </c>
      <c r="CG418" s="997" t="str">
        <f>IF(AND(WWWW[[#This Row],[% of water sources passed]]="no test",WWWW[[#This Row],[% Household passed]]="no test"),"No Test","Tested")</f>
        <v>No Test</v>
      </c>
      <c r="CH418" s="997">
        <f>WWWW[[#This Row],['#_Constructed/existing protected hand dug well]]-WWWW[[#This Row],['#_Non-functional protected hand dug well]]</f>
        <v>1</v>
      </c>
      <c r="CI418" s="997">
        <f>(WWWW[[#This Row],['#_Constructed/Existing tube wells/boreholes/handpumps_WASH_agency]]+WWWW[[#This Row],['#_Non-Cluster partner water tube-wells/boreholes/handpumps]])-WWWW[[#This Row],['#_Non-functional tube wells/boreholes/handpumps]]</f>
        <v>1</v>
      </c>
      <c r="CJ418" s="997">
        <f>WWWW[[#This Row],['#_Constructed/Existingwater storage tank with gravity fed reticulation system]]-WWWW[[#This Row],['#_Non-functional storage tank gravity fed reticulation system]]</f>
        <v>0</v>
      </c>
      <c r="CK418" s="997">
        <f>(WWWW[[#This Row],['#_Water_Liters_supplied_by_Water boating or water trucking]]/90)/15</f>
        <v>0</v>
      </c>
      <c r="CL418" s="997">
        <f>WWWW[[#This Row],['#_Water_Liters_from_Constructed/Existing water distribution system from river or natural spring]]/90/15</f>
        <v>0</v>
      </c>
      <c r="CM418" s="424">
        <f>IF(WWWW[[#This Row],['#_of water points in TLS/CFS]]*500&gt;WWWW[[#This Row],[Total PoP ]],WWWW[[#This Row],[Total PoP ]],WWWW[[#This Row],['#_of water points in TLS/CFS]]*500)</f>
        <v>0</v>
      </c>
      <c r="CN418" s="424">
        <f>IF(WWWW[[#This Row],['#_of water points in THF]]*500&gt;WWWW[[#This Row],[Total PoP ]],WWWW[[#This Row],[Total PoP ]],WWWW[[#This Row],['#_of water points in THF]]*500)</f>
        <v>0</v>
      </c>
      <c r="CO41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1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18" s="996">
        <f>IF(WWWW[[#This Row],[Location Type 1]]="Village",WWWW[[#This Row],[Access to safe drinking water for Village]],WWWW[[#This Row],[Access to safe drinking water for Camp]])</f>
        <v>1</v>
      </c>
      <c r="CR418" s="994">
        <f>WWWW[[#This Row],[%Equitable and continuous access to sufficient quantity of safe drinking water]]*WWWW[[#This Row],[Total PoP ]]</f>
        <v>99</v>
      </c>
      <c r="CS418" s="996">
        <f>IF((WWWW[[#This Row],['#_Constructed/Existing protected/fenced ponds]]*250)/WWWW[[#This Row],[Total PoP ]]&gt;1,1,(WWWW[[#This Row],['#_Constructed/Existing protected/fenced ponds]]*250)/WWWW[[#This Row],[Total PoP ]])</f>
        <v>0</v>
      </c>
      <c r="CT418" s="994">
        <f>WWWW[[#This Row],[% Access to unimproved water points]]*WWWW[[#This Row],[Total PoP ]]</f>
        <v>0</v>
      </c>
      <c r="CU41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1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99</v>
      </c>
      <c r="CW418" s="994">
        <f>WWWW[[#This Row],[HRP1]]/500</f>
        <v>0.19800000000000001</v>
      </c>
      <c r="CX418" s="999">
        <f>1-WWWW[[#This Row],[% Equitable and continuous access to sufficient quantity of domestic water]]</f>
        <v>0</v>
      </c>
      <c r="CY418" s="994">
        <f>WWWW[[#This Row],[%equitable and continuous access to sufficient quantity of safe drinking and domestic water''s GAP]]*WWWW[[#This Row],[Total PoP ]]</f>
        <v>0</v>
      </c>
      <c r="CZ418" s="997">
        <f>IF(WWWW[[#This Row],[Total required water points]]-WWWW[[#This Row],['#Water points coverage]]&lt;0,0,WWWW[[#This Row],[Total required water points]]-WWWW[[#This Row],['#Water points coverage]])</f>
        <v>0.80200000000000005</v>
      </c>
      <c r="DA418" s="997">
        <f>ROUND(IF(WWWW[[#This Row],[Total PoP ]]&lt;500,1,WWWW[[#This Row],[Total PoP ]]/500),0)</f>
        <v>1</v>
      </c>
      <c r="DB418" s="997">
        <f>(WWWW[[#This Row],['#_Constructed latrines_by_WASHAgencies]]+WWWW[[#This Row],['#_Non Cluster partner latrines]])-WWWW[[#This Row],['#_Non-functional latrines]]</f>
        <v>7</v>
      </c>
      <c r="DC418" s="631">
        <f>WWWW[[#This Row],[HRP2]]/WWWW[[#This Row],[Total PoP ]]</f>
        <v>1</v>
      </c>
      <c r="DD41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99</v>
      </c>
      <c r="DE41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1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8" s="424">
        <f>IF(WWWW[[#This Row],['# of functional latrines in THF supported by WASH partners during the reporting period2]]="",0,WWWW[[#This Row],['# of functional latrines in THF supported by WASH partners during the reporting period2]]*50)</f>
        <v>0</v>
      </c>
      <c r="DH418" s="997">
        <f>ROUND(IF(WWWW[[#This Row],[Location Type 1]]="camp",WWWW[[#This Row],[Total PoP ]]/20,IF(WWWW[[#This Row],[Location Type 1]]="Temporary Location",WWWW[[#This Row],[Total PoP ]]/50,(WWWW[[#This Row],[Total PoP ]]/6))),0)</f>
        <v>5</v>
      </c>
      <c r="DI418" s="997">
        <f>IF(WWWW[[#This Row],[Total required Latrines]]-(WWWW[[#This Row],['#_Constructed latrines_by_WASHAgencies]]+WWWW[[#This Row],['#_Non Cluster partner latrines]])&lt;0,0,WWWW[[#This Row],[Total required Latrines]]-(WWWW[[#This Row],['#_Constructed latrines_by_WASHAgencies]]+WWWW[[#This Row],['#_Non Cluster partner latrines]]))</f>
        <v>0</v>
      </c>
      <c r="DJ418" s="999">
        <f>1-WWWW[[#This Row],[% people access to functioning Latrine]]</f>
        <v>0</v>
      </c>
      <c r="DK418" s="998">
        <f>IF(OR(WWWW[[#This Row],['#_Non-functional latrines]]="",WWWW[[#This Row],['#_Non-functional latrines]]=0),0,WWWW[[#This Row],['#_Non-functional latrines]]/(WWWW[[#This Row],['#_Constructed latrines_by_WASHAgencies]]+WWWW[[#This Row],['#_Non Cluster partner latrines]]))</f>
        <v>0</v>
      </c>
      <c r="DL418" s="994">
        <f>IF(500*(WWWW[[#This Row],['#_male hygiene promoters]]+WWWW[[#This Row],['#_female hygiene promoters]])&gt;WWWW[[#This Row],[Total PoP ]],WWWW[[#This Row],[Total PoP ]],500*(WWWW[[#This Row],['#_male hygiene promoters]]+WWWW[[#This Row],['#_female hygiene promoters]]))</f>
        <v>99</v>
      </c>
      <c r="DM41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1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18" s="997">
        <f>IF(WWWW[[#This Row],['# People with access to soap]]&gt;WWWW[[#This Row],['# People with access to Sanity Pads]],WWWW[[#This Row],['# People with access to soap]],WWWW[[#This Row],['# People with access to Sanity Pads]])</f>
        <v>0</v>
      </c>
      <c r="DP418" s="997">
        <f>IF(WWWW[[#This Row],['# people reached by regular dedicated hygiene promotion_5]]&gt;WWWW[[#This Row],['# People received regular supply of hygiene items_6]],WWWW[[#This Row],['# people reached by regular dedicated hygiene promotion_5]],WWWW[[#This Row],['# People received regular supply of hygiene items_6]])</f>
        <v>99</v>
      </c>
      <c r="DQ418" s="999">
        <f>IF(WWWW[[#This Row],[HRP3]]/WWWW[[#This Row],[Total PoP ]]&gt;1,1,WWWW[[#This Row],[HRP3]]/WWWW[[#This Row],[Total PoP ]])</f>
        <v>1</v>
      </c>
      <c r="DR418" s="998">
        <f>1-WWWW[[#This Row],[Hygiene Coverage%]]</f>
        <v>0</v>
      </c>
      <c r="DS418" s="996">
        <f>WWWW[[#This Row],['# people reached by regular dedicated hygiene promotion_5]]/WWWW[[#This Row],[Total PoP ]]</f>
        <v>1</v>
      </c>
      <c r="DT41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1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18" s="997">
        <f>WWWW[[#This Row],['#_Constructed/Existing hand washing stations]]-WWWW[[#This Row],['#_Non-Functional_hand_washing_stations]]</f>
        <v>6</v>
      </c>
      <c r="DW418" s="994">
        <f>IF(WWWW[[#This Row],['# Functional hand washing stations during reporting period]]*20&gt;WWWW[[#This Row],[Total HH]],WWWW[[#This Row],[Total HH]],WWWW[[#This Row],['# Functional hand washing stations during reporting period]]*20)</f>
        <v>21</v>
      </c>
      <c r="DX418" s="994">
        <f>IF(WWWW[[#This Row],[Is sufficient soap available for TLS? (Yes/No)]]="yes",WWWW[[#This Row],['#_Constructed/Existing hand washing stations at TLS/CFS/THF]],0)</f>
        <v>0</v>
      </c>
      <c r="DY418" s="428">
        <f>IF(WWWW[[#This Row],['# Functional hand washing stations during reporting period]]*100&gt;WWWW[[#This Row],[Total PoP ]],WWWW[[#This Row],[Total PoP ]],WWWW[[#This Row],['# Functional hand washing stations during reporting period]]*100)</f>
        <v>99</v>
      </c>
      <c r="DZ418" s="428" t="str">
        <f>IF(OR(WWWW[[#This Row],['#_students at TLS_CFS]]="",WWWW[[#This Row],['#_students at TLS_CFS]]=0),"No","Yes")</f>
        <v>No</v>
      </c>
      <c r="EA41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8" s="990" t="str">
        <f>VLOOKUP(WWWW[[#This Row],[Site Name]],SiteDB6[[Site Name]:[CCCM Management]],6,FALSE)</f>
        <v>Yes</v>
      </c>
      <c r="EF418" s="990" t="str">
        <f>VLOOKUP(WWWW[[#This Row],[Site Name]],SiteDB6[[Site Name]:[CCCM Focal Agency]],7,FALSE)</f>
        <v>Shalom</v>
      </c>
      <c r="EG418" s="990" t="str">
        <f>VLOOKUP(WWWW[[#This Row],[Site Name]],SiteDB6[[Site Name]:[Location Type 1]],9,FALSE)</f>
        <v>Camp</v>
      </c>
      <c r="EH418" s="990" t="str">
        <f>VLOOKUP(WWWW[[#This Row],[Site Name]],SiteDB6[[Site Name]:[Type of Accommodation]],10,FALSE)</f>
        <v>Camp</v>
      </c>
      <c r="EI418" s="990" t="str">
        <f>VLOOKUP(WWWW[[#This Row],[Site Name]],SiteDB6[[Site Name]:[Ethnic or GCA/NGCA]],11,FALSE)</f>
        <v>GCA</v>
      </c>
      <c r="EJ418" s="990">
        <f>VLOOKUP(WWWW[[#This Row],[Site Name]],SiteDB6[[Site Name]:[Lat]],12,FALSE)</f>
        <v>25.423817</v>
      </c>
      <c r="EK418" s="990">
        <f>VLOOKUP(WWWW[[#This Row],[Site Name]],SiteDB6[[Site Name]:[Long]],13,FALSE)</f>
        <v>97.418004999999994</v>
      </c>
      <c r="EL418" s="990" t="str">
        <f>VLOOKUP(WWWW[[#This Row],[Site Name]],SiteDB6[[Site Name]:[Pcode]],3,FALSE)</f>
        <v>MMR001CMP007</v>
      </c>
      <c r="EM418" s="995" t="str">
        <f t="shared" si="7"/>
        <v>Covered</v>
      </c>
      <c r="EN418" s="995"/>
      <c r="EO418" s="990">
        <f>VLOOKUP(WWWW[[#This Row],[Site Name]],SiteDB6[[Site Name]:[Pop
(Kachin/Shan-CCCM as of July 2021)]],16,FALSE)</f>
        <v>26</v>
      </c>
      <c r="EP418" s="990">
        <f>VLOOKUP(WWWW[[#This Row],[Site Name]],SiteDB6[[Site Name]:[Pop
(Kachin/Shan-CCCM as of July 2021)]],17,FALSE)</f>
        <v>119</v>
      </c>
    </row>
    <row r="419" spans="1:146">
      <c r="A419" s="988" t="s">
        <v>2765</v>
      </c>
      <c r="B419" s="988" t="s">
        <v>36</v>
      </c>
      <c r="C419" s="989" t="s">
        <v>36</v>
      </c>
      <c r="D419" s="989" t="s">
        <v>241</v>
      </c>
      <c r="E419" s="989" t="s">
        <v>37</v>
      </c>
      <c r="F419" s="989" t="s">
        <v>142</v>
      </c>
      <c r="G419" s="591" t="str">
        <f>VLOOKUP(WWWW[[#This Row],[Site Name]],SiteDB6[[Site Name]:[Location Type]],8,FALSE)</f>
        <v>Camp</v>
      </c>
      <c r="H419" s="989" t="s">
        <v>236</v>
      </c>
      <c r="I419" s="991">
        <v>115</v>
      </c>
      <c r="J419" s="991">
        <v>405</v>
      </c>
      <c r="K419" s="992">
        <v>44414</v>
      </c>
      <c r="L419" s="993">
        <v>44778</v>
      </c>
      <c r="M419" s="991"/>
      <c r="N419" s="991">
        <v>3</v>
      </c>
      <c r="O419" s="991"/>
      <c r="P419" s="991"/>
      <c r="Q419" s="994" t="s">
        <v>41</v>
      </c>
      <c r="R419" s="991">
        <v>4</v>
      </c>
      <c r="S419" s="991">
        <v>3</v>
      </c>
      <c r="T419" s="448">
        <v>3</v>
      </c>
      <c r="U419" s="991"/>
      <c r="V419" s="991"/>
      <c r="W419" s="991">
        <v>2</v>
      </c>
      <c r="X419" s="991"/>
      <c r="Y419" s="991"/>
      <c r="Z419" s="991"/>
      <c r="AA419" s="991">
        <v>1</v>
      </c>
      <c r="AB419" s="991"/>
      <c r="AC419" s="991"/>
      <c r="AD419" s="991"/>
      <c r="AE419" s="991"/>
      <c r="AF419" s="991"/>
      <c r="AG419" s="991"/>
      <c r="AH419" s="991"/>
      <c r="AI419" s="991"/>
      <c r="AJ419" s="991"/>
      <c r="AK419" s="991"/>
      <c r="AL419" s="991"/>
      <c r="AM419" s="991">
        <v>4</v>
      </c>
      <c r="AN419" s="991"/>
      <c r="AO419" s="448"/>
      <c r="AP419" s="995"/>
      <c r="AQ419" s="991">
        <v>90</v>
      </c>
      <c r="AR419" s="991"/>
      <c r="AS419" s="996"/>
      <c r="AT419" s="991"/>
      <c r="AU419" s="991"/>
      <c r="AV419" s="991"/>
      <c r="AW419" s="991"/>
      <c r="AX419" s="991"/>
      <c r="AY419" s="990" t="s">
        <v>41</v>
      </c>
      <c r="AZ419" s="995" t="s">
        <v>137</v>
      </c>
      <c r="BA419" s="991"/>
      <c r="BB419" s="991"/>
      <c r="BC419" s="991"/>
      <c r="BD419" s="448"/>
      <c r="BE419" s="448"/>
      <c r="BF419" s="990"/>
      <c r="BG419" s="991">
        <v>2</v>
      </c>
      <c r="BH419" s="991"/>
      <c r="BI419" s="991"/>
      <c r="BJ419" s="991">
        <v>3</v>
      </c>
      <c r="BK419" s="991"/>
      <c r="BL419" s="991"/>
      <c r="BM419" s="991">
        <v>2</v>
      </c>
      <c r="BN419" s="991"/>
      <c r="BO419" s="991"/>
      <c r="BP419" s="990" t="s">
        <v>41</v>
      </c>
      <c r="BQ419" s="997"/>
      <c r="BR419" s="996"/>
      <c r="BS419" s="990"/>
      <c r="BT419" s="423"/>
      <c r="BU419" s="423"/>
      <c r="BV419" s="425"/>
      <c r="BW419" s="423"/>
      <c r="BX419" s="448"/>
      <c r="BY419" s="448"/>
      <c r="BZ419" s="448"/>
      <c r="CA419" s="448"/>
      <c r="CB419" s="448"/>
      <c r="CC419" s="777"/>
      <c r="CD419" s="448"/>
      <c r="CE419" s="998" t="str">
        <f>IFERROR(WWWW[[#This Row],['#_Water sources passed]]/WWWW[[#This Row],['#_Water sources tested for fecal coliform ]],"no test")</f>
        <v>no test</v>
      </c>
      <c r="CF419" s="996" t="str">
        <f>IFERROR(WWWW[[#This Row],['#_Household passed]]/WWWW[[#This Row],['#_Household water samples tested for fecal coliform]],"no test")</f>
        <v>no test</v>
      </c>
      <c r="CG419" s="997" t="str">
        <f>IF(AND(WWWW[[#This Row],[% of water sources passed]]="no test",WWWW[[#This Row],[% Household passed]]="no test"),"No Test","Tested")</f>
        <v>No Test</v>
      </c>
      <c r="CH419" s="997">
        <f>WWWW[[#This Row],['#_Constructed/existing protected hand dug well]]-WWWW[[#This Row],['#_Non-functional protected hand dug well]]</f>
        <v>3</v>
      </c>
      <c r="CI419" s="997">
        <f>(WWWW[[#This Row],['#_Constructed/Existing tube wells/boreholes/handpumps_WASH_agency]]+WWWW[[#This Row],['#_Non-Cluster partner water tube-wells/boreholes/handpumps]])-WWWW[[#This Row],['#_Non-functional tube wells/boreholes/handpumps]]</f>
        <v>2</v>
      </c>
      <c r="CJ419" s="997">
        <f>WWWW[[#This Row],['#_Constructed/Existingwater storage tank with gravity fed reticulation system]]-WWWW[[#This Row],['#_Non-functional storage tank gravity fed reticulation system]]</f>
        <v>1</v>
      </c>
      <c r="CK419" s="997">
        <f>(WWWW[[#This Row],['#_Water_Liters_supplied_by_Water boating or water trucking]]/90)/15</f>
        <v>0</v>
      </c>
      <c r="CL419" s="997">
        <f>WWWW[[#This Row],['#_Water_Liters_from_Constructed/Existing water distribution system from river or natural spring]]/90/15</f>
        <v>0</v>
      </c>
      <c r="CM419" s="424">
        <f>IF(WWWW[[#This Row],['#_of water points in TLS/CFS]]*500&gt;WWWW[[#This Row],[Total PoP ]],WWWW[[#This Row],[Total PoP ]],WWWW[[#This Row],['#_of water points in TLS/CFS]]*500)</f>
        <v>0</v>
      </c>
      <c r="CN419" s="424">
        <f>IF(WWWW[[#This Row],['#_of water points in THF]]*500&gt;WWWW[[#This Row],[Total PoP ]],WWWW[[#This Row],[Total PoP ]],WWWW[[#This Row],['#_of water points in THF]]*500)</f>
        <v>0</v>
      </c>
      <c r="CO41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1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19" s="996">
        <f>IF(WWWW[[#This Row],[Location Type 1]]="Village",WWWW[[#This Row],[Access to safe drinking water for Village]],WWWW[[#This Row],[Access to safe drinking water for Camp]])</f>
        <v>1</v>
      </c>
      <c r="CR419" s="994">
        <f>WWWW[[#This Row],[%Equitable and continuous access to sufficient quantity of safe drinking water]]*WWWW[[#This Row],[Total PoP ]]</f>
        <v>405</v>
      </c>
      <c r="CS419" s="996">
        <f>IF((WWWW[[#This Row],['#_Constructed/Existing protected/fenced ponds]]*250)/WWWW[[#This Row],[Total PoP ]]&gt;1,1,(WWWW[[#This Row],['#_Constructed/Existing protected/fenced ponds]]*250)/WWWW[[#This Row],[Total PoP ]])</f>
        <v>0</v>
      </c>
      <c r="CT419" s="994">
        <f>WWWW[[#This Row],[% Access to unimproved water points]]*WWWW[[#This Row],[Total PoP ]]</f>
        <v>0</v>
      </c>
      <c r="CU41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1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405</v>
      </c>
      <c r="CW419" s="994">
        <f>WWWW[[#This Row],[HRP1]]/500</f>
        <v>0.81</v>
      </c>
      <c r="CX419" s="999">
        <f>1-WWWW[[#This Row],[% Equitable and continuous access to sufficient quantity of domestic water]]</f>
        <v>0</v>
      </c>
      <c r="CY419" s="994">
        <f>WWWW[[#This Row],[%equitable and continuous access to sufficient quantity of safe drinking and domestic water''s GAP]]*WWWW[[#This Row],[Total PoP ]]</f>
        <v>0</v>
      </c>
      <c r="CZ419" s="997">
        <f>IF(WWWW[[#This Row],[Total required water points]]-WWWW[[#This Row],['#Water points coverage]]&lt;0,0,WWWW[[#This Row],[Total required water points]]-WWWW[[#This Row],['#Water points coverage]])</f>
        <v>0.18999999999999995</v>
      </c>
      <c r="DA419" s="997">
        <f>ROUND(IF(WWWW[[#This Row],[Total PoP ]]&lt;500,1,WWWW[[#This Row],[Total PoP ]]/500),0)</f>
        <v>1</v>
      </c>
      <c r="DB419" s="997">
        <f>(WWWW[[#This Row],['#_Constructed latrines_by_WASHAgencies]]+WWWW[[#This Row],['#_Non Cluster partner latrines]])-WWWW[[#This Row],['#_Non-functional latrines]]</f>
        <v>90</v>
      </c>
      <c r="DC419" s="631">
        <f>WWWW[[#This Row],[HRP2]]/WWWW[[#This Row],[Total PoP ]]</f>
        <v>1</v>
      </c>
      <c r="DD41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405</v>
      </c>
      <c r="DE41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1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9" s="424">
        <f>IF(WWWW[[#This Row],['# of functional latrines in THF supported by WASH partners during the reporting period2]]="",0,WWWW[[#This Row],['# of functional latrines in THF supported by WASH partners during the reporting period2]]*50)</f>
        <v>0</v>
      </c>
      <c r="DH419" s="997">
        <f>ROUND(IF(WWWW[[#This Row],[Location Type 1]]="camp",WWWW[[#This Row],[Total PoP ]]/20,IF(WWWW[[#This Row],[Location Type 1]]="Temporary Location",WWWW[[#This Row],[Total PoP ]]/50,(WWWW[[#This Row],[Total PoP ]]/6))),0)</f>
        <v>20</v>
      </c>
      <c r="DI419" s="997">
        <f>IF(WWWW[[#This Row],[Total required Latrines]]-(WWWW[[#This Row],['#_Constructed latrines_by_WASHAgencies]]+WWWW[[#This Row],['#_Non Cluster partner latrines]])&lt;0,0,WWWW[[#This Row],[Total required Latrines]]-(WWWW[[#This Row],['#_Constructed latrines_by_WASHAgencies]]+WWWW[[#This Row],['#_Non Cluster partner latrines]]))</f>
        <v>0</v>
      </c>
      <c r="DJ419" s="999">
        <f>1-WWWW[[#This Row],[% people access to functioning Latrine]]</f>
        <v>0</v>
      </c>
      <c r="DK419" s="998">
        <f>IF(OR(WWWW[[#This Row],['#_Non-functional latrines]]="",WWWW[[#This Row],['#_Non-functional latrines]]=0),0,WWWW[[#This Row],['#_Non-functional latrines]]/(WWWW[[#This Row],['#_Constructed latrines_by_WASHAgencies]]+WWWW[[#This Row],['#_Non Cluster partner latrines]]))</f>
        <v>0</v>
      </c>
      <c r="DL419" s="994">
        <f>IF(500*(WWWW[[#This Row],['#_male hygiene promoters]]+WWWW[[#This Row],['#_female hygiene promoters]])&gt;WWWW[[#This Row],[Total PoP ]],WWWW[[#This Row],[Total PoP ]],500*(WWWW[[#This Row],['#_male hygiene promoters]]+WWWW[[#This Row],['#_female hygiene promoters]]))</f>
        <v>405</v>
      </c>
      <c r="DM41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1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19" s="997">
        <f>IF(WWWW[[#This Row],['# People with access to soap]]&gt;WWWW[[#This Row],['# People with access to Sanity Pads]],WWWW[[#This Row],['# People with access to soap]],WWWW[[#This Row],['# People with access to Sanity Pads]])</f>
        <v>0</v>
      </c>
      <c r="DP419" s="997">
        <f>IF(WWWW[[#This Row],['# people reached by regular dedicated hygiene promotion_5]]&gt;WWWW[[#This Row],['# People received regular supply of hygiene items_6]],WWWW[[#This Row],['# people reached by regular dedicated hygiene promotion_5]],WWWW[[#This Row],['# People received regular supply of hygiene items_6]])</f>
        <v>405</v>
      </c>
      <c r="DQ419" s="999">
        <f>IF(WWWW[[#This Row],[HRP3]]/WWWW[[#This Row],[Total PoP ]]&gt;1,1,WWWW[[#This Row],[HRP3]]/WWWW[[#This Row],[Total PoP ]])</f>
        <v>1</v>
      </c>
      <c r="DR419" s="998">
        <f>1-WWWW[[#This Row],[Hygiene Coverage%]]</f>
        <v>0</v>
      </c>
      <c r="DS419" s="996">
        <f>WWWW[[#This Row],['# people reached by regular dedicated hygiene promotion_5]]/WWWW[[#This Row],[Total PoP ]]</f>
        <v>1</v>
      </c>
      <c r="DT41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1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19" s="997">
        <f>WWWW[[#This Row],['#_Constructed/Existing hand washing stations]]-WWWW[[#This Row],['#_Non-Functional_hand_washing_stations]]</f>
        <v>2</v>
      </c>
      <c r="DW419" s="994">
        <f>IF(WWWW[[#This Row],['# Functional hand washing stations during reporting period]]*20&gt;WWWW[[#This Row],[Total HH]],WWWW[[#This Row],[Total HH]],WWWW[[#This Row],['# Functional hand washing stations during reporting period]]*20)</f>
        <v>40</v>
      </c>
      <c r="DX419" s="994">
        <f>IF(WWWW[[#This Row],[Is sufficient soap available for TLS? (Yes/No)]]="yes",WWWW[[#This Row],['#_Constructed/Existing hand washing stations at TLS/CFS/THF]],0)</f>
        <v>4</v>
      </c>
      <c r="DY419" s="428">
        <f>IF(WWWW[[#This Row],['# Functional hand washing stations during reporting period]]*100&gt;WWWW[[#This Row],[Total PoP ]],WWWW[[#This Row],[Total PoP ]],WWWW[[#This Row],['# Functional hand washing stations during reporting period]]*100)</f>
        <v>200</v>
      </c>
      <c r="DZ419" s="428" t="str">
        <f>IF(OR(WWWW[[#This Row],['#_students at TLS_CFS]]="",WWWW[[#This Row],['#_students at TLS_CFS]]=0),"No","Yes")</f>
        <v>No</v>
      </c>
      <c r="EA41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9" s="990" t="str">
        <f>VLOOKUP(WWWW[[#This Row],[Site Name]],SiteDB6[[Site Name]:[CCCM Management]],6,FALSE)</f>
        <v>Yes</v>
      </c>
      <c r="EF419" s="990" t="str">
        <f>VLOOKUP(WWWW[[#This Row],[Site Name]],SiteDB6[[Site Name]:[CCCM Focal Agency]],7,FALSE)</f>
        <v>KMSS-MYT</v>
      </c>
      <c r="EG419" s="990" t="str">
        <f>VLOOKUP(WWWW[[#This Row],[Site Name]],SiteDB6[[Site Name]:[Location Type 1]],9,FALSE)</f>
        <v>Camp</v>
      </c>
      <c r="EH419" s="990" t="str">
        <f>VLOOKUP(WWWW[[#This Row],[Site Name]],SiteDB6[[Site Name]:[Type of Accommodation]],10,FALSE)</f>
        <v>Camp</v>
      </c>
      <c r="EI419" s="990" t="str">
        <f>VLOOKUP(WWWW[[#This Row],[Site Name]],SiteDB6[[Site Name]:[Ethnic or GCA/NGCA]],11,FALSE)</f>
        <v>NGCA</v>
      </c>
      <c r="EJ419" s="990">
        <f>VLOOKUP(WWWW[[#This Row],[Site Name]],SiteDB6[[Site Name]:[Lat]],12,FALSE)</f>
        <v>25.220278</v>
      </c>
      <c r="EK419" s="990">
        <f>VLOOKUP(WWWW[[#This Row],[Site Name]],SiteDB6[[Site Name]:[Long]],13,FALSE)</f>
        <v>97.915833000000006</v>
      </c>
      <c r="EL419" s="990" t="str">
        <f>VLOOKUP(WWWW[[#This Row],[Site Name]],SiteDB6[[Site Name]:[Pcode]],3,FALSE)</f>
        <v>MMR001CMP113</v>
      </c>
      <c r="EM419" s="995" t="str">
        <f t="shared" si="7"/>
        <v>Covered</v>
      </c>
      <c r="EN419" s="995"/>
      <c r="EO419" s="990">
        <f>VLOOKUP(WWWW[[#This Row],[Site Name]],SiteDB6[[Site Name]:[Pop
(Kachin/Shan-CCCM as of July 2021)]],16,FALSE)</f>
        <v>118</v>
      </c>
      <c r="EP419" s="990">
        <f>VLOOKUP(WWWW[[#This Row],[Site Name]],SiteDB6[[Site Name]:[Pop
(Kachin/Shan-CCCM as of July 2021)]],17,FALSE)</f>
        <v>419</v>
      </c>
    </row>
    <row r="420" spans="1:146">
      <c r="A420" s="988" t="s">
        <v>2765</v>
      </c>
      <c r="B420" s="988" t="s">
        <v>2675</v>
      </c>
      <c r="C420" s="989" t="s">
        <v>2675</v>
      </c>
      <c r="D420" s="989" t="s">
        <v>2686</v>
      </c>
      <c r="E420" s="989" t="s">
        <v>37</v>
      </c>
      <c r="F420" s="989" t="s">
        <v>142</v>
      </c>
      <c r="G420" s="591" t="str">
        <f>VLOOKUP(WWWW[[#This Row],[Site Name]],SiteDB6[[Site Name]:[Location Type]],8,FALSE)</f>
        <v>Camp</v>
      </c>
      <c r="H420" s="989" t="s">
        <v>771</v>
      </c>
      <c r="I420" s="991">
        <v>64</v>
      </c>
      <c r="J420" s="991">
        <v>381</v>
      </c>
      <c r="K420" s="992">
        <v>44562</v>
      </c>
      <c r="L420" s="993">
        <v>44926</v>
      </c>
      <c r="M420" s="991"/>
      <c r="N420" s="991"/>
      <c r="O420" s="991"/>
      <c r="P420" s="991"/>
      <c r="Q420" s="994" t="s">
        <v>41</v>
      </c>
      <c r="R420" s="991">
        <v>3</v>
      </c>
      <c r="S420" s="991">
        <v>8</v>
      </c>
      <c r="T420" s="448">
        <v>2</v>
      </c>
      <c r="U420" s="991"/>
      <c r="V420" s="991"/>
      <c r="W420" s="991">
        <v>1</v>
      </c>
      <c r="X420" s="991"/>
      <c r="Y420" s="991"/>
      <c r="Z420" s="991"/>
      <c r="AA420" s="991">
        <v>1</v>
      </c>
      <c r="AB420" s="991"/>
      <c r="AC420" s="991"/>
      <c r="AD420" s="991"/>
      <c r="AE420" s="991"/>
      <c r="AF420" s="991"/>
      <c r="AG420" s="991"/>
      <c r="AH420" s="991">
        <v>10</v>
      </c>
      <c r="AI420" s="991"/>
      <c r="AJ420" s="991"/>
      <c r="AK420" s="991"/>
      <c r="AL420" s="991"/>
      <c r="AM420" s="991"/>
      <c r="AN420" s="991"/>
      <c r="AO420" s="448"/>
      <c r="AP420" s="995"/>
      <c r="AQ420" s="991">
        <v>8</v>
      </c>
      <c r="AR420" s="991"/>
      <c r="AS420" s="996"/>
      <c r="AT420" s="991"/>
      <c r="AU420" s="991">
        <v>2</v>
      </c>
      <c r="AV420" s="991">
        <v>5</v>
      </c>
      <c r="AW420" s="991"/>
      <c r="AX420" s="991"/>
      <c r="AY420" s="990" t="s">
        <v>41</v>
      </c>
      <c r="AZ420" s="995" t="s">
        <v>137</v>
      </c>
      <c r="BA420" s="991"/>
      <c r="BB420" s="991">
        <v>2</v>
      </c>
      <c r="BC420" s="991"/>
      <c r="BD420" s="448"/>
      <c r="BE420" s="448"/>
      <c r="BF420" s="990"/>
      <c r="BG420" s="991">
        <v>3</v>
      </c>
      <c r="BH420" s="991"/>
      <c r="BI420" s="991"/>
      <c r="BJ420" s="991">
        <v>2</v>
      </c>
      <c r="BK420" s="991"/>
      <c r="BL420" s="991"/>
      <c r="BM420" s="991">
        <v>1</v>
      </c>
      <c r="BN420" s="991"/>
      <c r="BO420" s="991"/>
      <c r="BP420" s="990" t="s">
        <v>136</v>
      </c>
      <c r="BQ420" s="997"/>
      <c r="BR420" s="996"/>
      <c r="BS420" s="990"/>
      <c r="BT420" s="423"/>
      <c r="BU420" s="423"/>
      <c r="BV420" s="425"/>
      <c r="BW420" s="423"/>
      <c r="BX420" s="448"/>
      <c r="BY420" s="448"/>
      <c r="BZ420" s="448"/>
      <c r="CA420" s="448"/>
      <c r="CB420" s="448"/>
      <c r="CC420" s="777"/>
      <c r="CD420" s="448"/>
      <c r="CE420" s="998" t="str">
        <f>IFERROR(WWWW[[#This Row],['#_Water sources passed]]/WWWW[[#This Row],['#_Water sources tested for fecal coliform ]],"no test")</f>
        <v>no test</v>
      </c>
      <c r="CF420" s="996" t="str">
        <f>IFERROR(WWWW[[#This Row],['#_Household passed]]/WWWW[[#This Row],['#_Household water samples tested for fecal coliform]],"no test")</f>
        <v>no test</v>
      </c>
      <c r="CG420" s="997" t="str">
        <f>IF(AND(WWWW[[#This Row],[% of water sources passed]]="no test",WWWW[[#This Row],[% Household passed]]="no test"),"No Test","Tested")</f>
        <v>No Test</v>
      </c>
      <c r="CH420" s="997">
        <f>WWWW[[#This Row],['#_Constructed/existing protected hand dug well]]-WWWW[[#This Row],['#_Non-functional protected hand dug well]]</f>
        <v>2</v>
      </c>
      <c r="CI420" s="997">
        <f>(WWWW[[#This Row],['#_Constructed/Existing tube wells/boreholes/handpumps_WASH_agency]]+WWWW[[#This Row],['#_Non-Cluster partner water tube-wells/boreholes/handpumps]])-WWWW[[#This Row],['#_Non-functional tube wells/boreholes/handpumps]]</f>
        <v>1</v>
      </c>
      <c r="CJ420" s="997">
        <f>WWWW[[#This Row],['#_Constructed/Existingwater storage tank with gravity fed reticulation system]]-WWWW[[#This Row],['#_Non-functional storage tank gravity fed reticulation system]]</f>
        <v>1</v>
      </c>
      <c r="CK420" s="997">
        <f>(WWWW[[#This Row],['#_Water_Liters_supplied_by_Water boating or water trucking]]/90)/15</f>
        <v>0</v>
      </c>
      <c r="CL420" s="997">
        <f>WWWW[[#This Row],['#_Water_Liters_from_Constructed/Existing water distribution system from river or natural spring]]/90/15</f>
        <v>0</v>
      </c>
      <c r="CM420" s="424">
        <f>IF(WWWW[[#This Row],['#_of water points in TLS/CFS]]*500&gt;WWWW[[#This Row],[Total PoP ]],WWWW[[#This Row],[Total PoP ]],WWWW[[#This Row],['#_of water points in TLS/CFS]]*500)</f>
        <v>0</v>
      </c>
      <c r="CN420" s="424">
        <f>IF(WWWW[[#This Row],['#_of water points in THF]]*500&gt;WWWW[[#This Row],[Total PoP ]],WWWW[[#This Row],[Total PoP ]],WWWW[[#This Row],['#_of water points in THF]]*500)</f>
        <v>0</v>
      </c>
      <c r="CO42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2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20" s="996">
        <f>IF(WWWW[[#This Row],[Location Type 1]]="Village",WWWW[[#This Row],[Access to safe drinking water for Village]],WWWW[[#This Row],[Access to safe drinking water for Camp]])</f>
        <v>1</v>
      </c>
      <c r="CR420" s="994">
        <f>WWWW[[#This Row],[%Equitable and continuous access to sufficient quantity of safe drinking water]]*WWWW[[#This Row],[Total PoP ]]</f>
        <v>381</v>
      </c>
      <c r="CS420" s="996">
        <f>IF((WWWW[[#This Row],['#_Constructed/Existing protected/fenced ponds]]*250)/WWWW[[#This Row],[Total PoP ]]&gt;1,1,(WWWW[[#This Row],['#_Constructed/Existing protected/fenced ponds]]*250)/WWWW[[#This Row],[Total PoP ]])</f>
        <v>0</v>
      </c>
      <c r="CT420" s="994">
        <f>WWWW[[#This Row],[% Access to unimproved water points]]*WWWW[[#This Row],[Total PoP ]]</f>
        <v>0</v>
      </c>
      <c r="CU42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2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381</v>
      </c>
      <c r="CW420" s="994">
        <f>WWWW[[#This Row],[HRP1]]/500</f>
        <v>0.76200000000000001</v>
      </c>
      <c r="CX420" s="999">
        <f>1-WWWW[[#This Row],[% Equitable and continuous access to sufficient quantity of domestic water]]</f>
        <v>0</v>
      </c>
      <c r="CY420" s="994">
        <f>WWWW[[#This Row],[%equitable and continuous access to sufficient quantity of safe drinking and domestic water''s GAP]]*WWWW[[#This Row],[Total PoP ]]</f>
        <v>0</v>
      </c>
      <c r="CZ420" s="997">
        <f>IF(WWWW[[#This Row],[Total required water points]]-WWWW[[#This Row],['#Water points coverage]]&lt;0,0,WWWW[[#This Row],[Total required water points]]-WWWW[[#This Row],['#Water points coverage]])</f>
        <v>0.23799999999999999</v>
      </c>
      <c r="DA420" s="997">
        <f>ROUND(IF(WWWW[[#This Row],[Total PoP ]]&lt;500,1,WWWW[[#This Row],[Total PoP ]]/500),0)</f>
        <v>1</v>
      </c>
      <c r="DB420" s="997">
        <f>(WWWW[[#This Row],['#_Constructed latrines_by_WASHAgencies]]+WWWW[[#This Row],['#_Non Cluster partner latrines]])-WWWW[[#This Row],['#_Non-functional latrines]]</f>
        <v>8</v>
      </c>
      <c r="DC420" s="631">
        <f>WWWW[[#This Row],[HRP2]]/WWWW[[#This Row],[Total PoP ]]</f>
        <v>0.41994750656167978</v>
      </c>
      <c r="DD42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42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42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0" s="424">
        <f>IF(WWWW[[#This Row],['# of functional latrines in THF supported by WASH partners during the reporting period2]]="",0,WWWW[[#This Row],['# of functional latrines in THF supported by WASH partners during the reporting period2]]*50)</f>
        <v>0</v>
      </c>
      <c r="DH420" s="997">
        <f>ROUND(IF(WWWW[[#This Row],[Location Type 1]]="camp",WWWW[[#This Row],[Total PoP ]]/20,IF(WWWW[[#This Row],[Location Type 1]]="Temporary Location",WWWW[[#This Row],[Total PoP ]]/50,(WWWW[[#This Row],[Total PoP ]]/6))),0)</f>
        <v>19</v>
      </c>
      <c r="DI420" s="997">
        <f>IF(WWWW[[#This Row],[Total required Latrines]]-(WWWW[[#This Row],['#_Constructed latrines_by_WASHAgencies]]+WWWW[[#This Row],['#_Non Cluster partner latrines]])&lt;0,0,WWWW[[#This Row],[Total required Latrines]]-(WWWW[[#This Row],['#_Constructed latrines_by_WASHAgencies]]+WWWW[[#This Row],['#_Non Cluster partner latrines]]))</f>
        <v>11</v>
      </c>
      <c r="DJ420" s="999">
        <f>1-WWWW[[#This Row],[% people access to functioning Latrine]]</f>
        <v>0.58005249343832022</v>
      </c>
      <c r="DK420" s="998">
        <f>IF(OR(WWWW[[#This Row],['#_Non-functional latrines]]="",WWWW[[#This Row],['#_Non-functional latrines]]=0),0,WWWW[[#This Row],['#_Non-functional latrines]]/(WWWW[[#This Row],['#_Constructed latrines_by_WASHAgencies]]+WWWW[[#This Row],['#_Non Cluster partner latrines]]))</f>
        <v>0</v>
      </c>
      <c r="DL420" s="994">
        <f>IF(500*(WWWW[[#This Row],['#_male hygiene promoters]]+WWWW[[#This Row],['#_female hygiene promoters]])&gt;WWWW[[#This Row],[Total PoP ]],WWWW[[#This Row],[Total PoP ]],500*(WWWW[[#This Row],['#_male hygiene promoters]]+WWWW[[#This Row],['#_female hygiene promoters]]))</f>
        <v>381</v>
      </c>
      <c r="DM42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2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20" s="997">
        <f>IF(WWWW[[#This Row],['# People with access to soap]]&gt;WWWW[[#This Row],['# People with access to Sanity Pads]],WWWW[[#This Row],['# People with access to soap]],WWWW[[#This Row],['# People with access to Sanity Pads]])</f>
        <v>0</v>
      </c>
      <c r="DP420" s="997">
        <f>IF(WWWW[[#This Row],['# people reached by regular dedicated hygiene promotion_5]]&gt;WWWW[[#This Row],['# People received regular supply of hygiene items_6]],WWWW[[#This Row],['# people reached by regular dedicated hygiene promotion_5]],WWWW[[#This Row],['# People received regular supply of hygiene items_6]])</f>
        <v>381</v>
      </c>
      <c r="DQ420" s="999">
        <f>IF(WWWW[[#This Row],[HRP3]]/WWWW[[#This Row],[Total PoP ]]&gt;1,1,WWWW[[#This Row],[HRP3]]/WWWW[[#This Row],[Total PoP ]])</f>
        <v>1</v>
      </c>
      <c r="DR420" s="998">
        <f>1-WWWW[[#This Row],[Hygiene Coverage%]]</f>
        <v>0</v>
      </c>
      <c r="DS420" s="996">
        <f>WWWW[[#This Row],['# people reached by regular dedicated hygiene promotion_5]]/WWWW[[#This Row],[Total PoP ]]</f>
        <v>1</v>
      </c>
      <c r="DT42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2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20" s="997">
        <f>WWWW[[#This Row],['#_Constructed/Existing hand washing stations]]-WWWW[[#This Row],['#_Non-Functional_hand_washing_stations]]</f>
        <v>3</v>
      </c>
      <c r="DW420" s="994">
        <f>IF(WWWW[[#This Row],['# Functional hand washing stations during reporting period]]*20&gt;WWWW[[#This Row],[Total HH]],WWWW[[#This Row],[Total HH]],WWWW[[#This Row],['# Functional hand washing stations during reporting period]]*20)</f>
        <v>60</v>
      </c>
      <c r="DX420" s="994">
        <f>IF(WWWW[[#This Row],[Is sufficient soap available for TLS? (Yes/No)]]="yes",WWWW[[#This Row],['#_Constructed/Existing hand washing stations at TLS/CFS/THF]],0)</f>
        <v>0</v>
      </c>
      <c r="DY420" s="428">
        <f>IF(WWWW[[#This Row],['# Functional hand washing stations during reporting period]]*100&gt;WWWW[[#This Row],[Total PoP ]],WWWW[[#This Row],[Total PoP ]],WWWW[[#This Row],['# Functional hand washing stations during reporting period]]*100)</f>
        <v>300</v>
      </c>
      <c r="DZ420" s="428" t="str">
        <f>IF(OR(WWWW[[#This Row],['#_students at TLS_CFS]]="",WWWW[[#This Row],['#_students at TLS_CFS]]=0),"No","Yes")</f>
        <v>No</v>
      </c>
      <c r="EA42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2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20" s="990">
        <f>VLOOKUP(WWWW[[#This Row],[Site Name]],SiteDB6[[Site Name]:[CCCM Management]],6,FALSE)</f>
        <v>0</v>
      </c>
      <c r="EF420" s="990" t="str">
        <f>VLOOKUP(WWWW[[#This Row],[Site Name]],SiteDB6[[Site Name]:[CCCM Focal Agency]],7,FALSE)</f>
        <v>uncovered</v>
      </c>
      <c r="EG420" s="990" t="str">
        <f>VLOOKUP(WWWW[[#This Row],[Site Name]],SiteDB6[[Site Name]:[Location Type 1]],9,FALSE)</f>
        <v>Camp</v>
      </c>
      <c r="EH420" s="990" t="str">
        <f>VLOOKUP(WWWW[[#This Row],[Site Name]],SiteDB6[[Site Name]:[Type of Accommodation]],10,FALSE)</f>
        <v>Camp like setting</v>
      </c>
      <c r="EI420" s="990" t="str">
        <f>VLOOKUP(WWWW[[#This Row],[Site Name]],SiteDB6[[Site Name]:[Ethnic or GCA/NGCA]],11,FALSE)</f>
        <v>GCA</v>
      </c>
      <c r="EJ420" s="990">
        <f>VLOOKUP(WWWW[[#This Row],[Site Name]],SiteDB6[[Site Name]:[Lat]],12,FALSE)</f>
        <v>25.305008999999998</v>
      </c>
      <c r="EK420" s="990">
        <f>VLOOKUP(WWWW[[#This Row],[Site Name]],SiteDB6[[Site Name]:[Long]],13,FALSE)</f>
        <v>97.430321000000006</v>
      </c>
      <c r="EL420" s="990" t="str">
        <f>VLOOKUP(WWWW[[#This Row],[Site Name]],SiteDB6[[Site Name]:[Pcode]],3,FALSE)</f>
        <v>MMR001CMP248</v>
      </c>
      <c r="EM420" s="995" t="str">
        <f t="shared" si="7"/>
        <v>Covered</v>
      </c>
      <c r="EN420" s="995"/>
      <c r="EO420" s="990">
        <f>VLOOKUP(WWWW[[#This Row],[Site Name]],SiteDB6[[Site Name]:[Pop
(Kachin/Shan-CCCM as of July 2021)]],16,FALSE)</f>
        <v>60</v>
      </c>
      <c r="EP420" s="990">
        <f>VLOOKUP(WWWW[[#This Row],[Site Name]],SiteDB6[[Site Name]:[Pop
(Kachin/Shan-CCCM as of July 2021)]],17,FALSE)</f>
        <v>371</v>
      </c>
    </row>
    <row r="421" spans="1:146">
      <c r="A421" s="988" t="s">
        <v>2765</v>
      </c>
      <c r="B421" s="988" t="s">
        <v>242</v>
      </c>
      <c r="C421" s="989" t="s">
        <v>242</v>
      </c>
      <c r="D421" s="989" t="s">
        <v>299</v>
      </c>
      <c r="E421" s="989" t="s">
        <v>37</v>
      </c>
      <c r="F421" s="989" t="s">
        <v>142</v>
      </c>
      <c r="G421" s="591" t="str">
        <f>VLOOKUP(WWWW[[#This Row],[Site Name]],SiteDB6[[Site Name]:[Location Type]],8,FALSE)</f>
        <v>Camp</v>
      </c>
      <c r="H421" s="989" t="s">
        <v>268</v>
      </c>
      <c r="I421" s="448">
        <v>59</v>
      </c>
      <c r="J421" s="448">
        <v>295</v>
      </c>
      <c r="K421" s="588">
        <v>44562</v>
      </c>
      <c r="L421" s="589">
        <v>44926</v>
      </c>
      <c r="M421" s="448"/>
      <c r="N421" s="448">
        <v>1</v>
      </c>
      <c r="O421" s="448">
        <v>9</v>
      </c>
      <c r="P421" s="448"/>
      <c r="Q421" s="717" t="s">
        <v>41</v>
      </c>
      <c r="R421" s="448">
        <v>3</v>
      </c>
      <c r="S421" s="448">
        <v>6</v>
      </c>
      <c r="T421" s="448">
        <v>1</v>
      </c>
      <c r="U421" s="991">
        <v>1</v>
      </c>
      <c r="V421" s="991"/>
      <c r="W421" s="448">
        <v>1</v>
      </c>
      <c r="X421" s="448">
        <v>1</v>
      </c>
      <c r="Y421" s="448"/>
      <c r="Z421" s="448"/>
      <c r="AA421" s="991"/>
      <c r="AB421" s="991"/>
      <c r="AC421" s="991"/>
      <c r="AD421" s="991"/>
      <c r="AE421" s="991">
        <v>1</v>
      </c>
      <c r="AF421" s="991"/>
      <c r="AG421" s="448">
        <v>2</v>
      </c>
      <c r="AH421" s="448" t="s">
        <v>41</v>
      </c>
      <c r="AI421" s="991"/>
      <c r="AJ421" s="991"/>
      <c r="AK421" s="991"/>
      <c r="AL421" s="991"/>
      <c r="AM421" s="991">
        <v>2</v>
      </c>
      <c r="AN421" s="991"/>
      <c r="AO421" s="448">
        <v>2</v>
      </c>
      <c r="AP421" s="995"/>
      <c r="AQ421" s="991">
        <v>6</v>
      </c>
      <c r="AR421" s="991">
        <v>2</v>
      </c>
      <c r="AS421" s="996" t="s">
        <v>3069</v>
      </c>
      <c r="AT421" s="991">
        <v>26</v>
      </c>
      <c r="AU421" s="991"/>
      <c r="AV421" s="991"/>
      <c r="AW421" s="991"/>
      <c r="AX421" s="991"/>
      <c r="AY421" s="990" t="s">
        <v>41</v>
      </c>
      <c r="AZ421" s="995" t="s">
        <v>137</v>
      </c>
      <c r="BA421" s="991"/>
      <c r="BB421" s="991"/>
      <c r="BC421" s="991"/>
      <c r="BD421" s="448"/>
      <c r="BE421" s="448"/>
      <c r="BF421" s="990"/>
      <c r="BG421" s="991">
        <v>4</v>
      </c>
      <c r="BH421" s="991"/>
      <c r="BI421" s="991"/>
      <c r="BJ421" s="991"/>
      <c r="BK421" s="991"/>
      <c r="BL421" s="991"/>
      <c r="BM421" s="991"/>
      <c r="BN421" s="991">
        <v>59</v>
      </c>
      <c r="BO421" s="991"/>
      <c r="BP421" s="990" t="s">
        <v>41</v>
      </c>
      <c r="BQ421" s="997"/>
      <c r="BR421" s="423">
        <v>0.9</v>
      </c>
      <c r="BS421" s="425"/>
      <c r="BT421" s="423">
        <v>1</v>
      </c>
      <c r="BU421" s="423">
        <v>0.9</v>
      </c>
      <c r="BV421" s="425"/>
      <c r="BW421" s="423">
        <v>1</v>
      </c>
      <c r="BX421" s="448"/>
      <c r="BY421" s="448"/>
      <c r="BZ421" s="448"/>
      <c r="CA421" s="448"/>
      <c r="CB421" s="448"/>
      <c r="CC421" s="777"/>
      <c r="CD421" s="448"/>
      <c r="CE421" s="998" t="str">
        <f>IFERROR(WWWW[[#This Row],['#_Water sources passed]]/WWWW[[#This Row],['#_Water sources tested for fecal coliform ]],"no test")</f>
        <v>no test</v>
      </c>
      <c r="CF421" s="996" t="str">
        <f>IFERROR(WWWW[[#This Row],['#_Household passed]]/WWWW[[#This Row],['#_Household water samples tested for fecal coliform]],"no test")</f>
        <v>no test</v>
      </c>
      <c r="CG421" s="997" t="str">
        <f>IF(AND(WWWW[[#This Row],[% of water sources passed]]="no test",WWWW[[#This Row],[% Household passed]]="no test"),"No Test","Tested")</f>
        <v>No Test</v>
      </c>
      <c r="CH421" s="997">
        <f>WWWW[[#This Row],['#_Constructed/existing protected hand dug well]]-WWWW[[#This Row],['#_Non-functional protected hand dug well]]</f>
        <v>0</v>
      </c>
      <c r="CI421" s="997">
        <f>(WWWW[[#This Row],['#_Constructed/Existing tube wells/boreholes/handpumps_WASH_agency]]+WWWW[[#This Row],['#_Non-Cluster partner water tube-wells/boreholes/handpumps]])-WWWW[[#This Row],['#_Non-functional tube wells/boreholes/handpumps]]</f>
        <v>2</v>
      </c>
      <c r="CJ421" s="997">
        <f>WWWW[[#This Row],['#_Constructed/Existingwater storage tank with gravity fed reticulation system]]-WWWW[[#This Row],['#_Non-functional storage tank gravity fed reticulation system]]</f>
        <v>0</v>
      </c>
      <c r="CK421" s="997">
        <f>(WWWW[[#This Row],['#_Water_Liters_supplied_by_Water boating or water trucking]]/90)/15</f>
        <v>0</v>
      </c>
      <c r="CL421" s="997">
        <f>WWWW[[#This Row],['#_Water_Liters_from_Constructed/Existing water distribution system from river or natural spring]]/90/15</f>
        <v>0</v>
      </c>
      <c r="CM421" s="424">
        <f>IF(WWWW[[#This Row],['#_of water points in TLS/CFS]]*500&gt;WWWW[[#This Row],[Total PoP ]],WWWW[[#This Row],[Total PoP ]],WWWW[[#This Row],['#_of water points in TLS/CFS]]*500)</f>
        <v>0</v>
      </c>
      <c r="CN421" s="424">
        <f>IF(WWWW[[#This Row],['#_of water points in THF]]*500&gt;WWWW[[#This Row],[Total PoP ]],WWWW[[#This Row],[Total PoP ]],WWWW[[#This Row],['#_of water points in THF]]*500)</f>
        <v>295</v>
      </c>
      <c r="CO42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2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21" s="996">
        <f>IF(WWWW[[#This Row],[Location Type 1]]="Village",WWWW[[#This Row],[Access to safe drinking water for Village]],WWWW[[#This Row],[Access to safe drinking water for Camp]])</f>
        <v>1</v>
      </c>
      <c r="CR421" s="994">
        <f>WWWW[[#This Row],[%Equitable and continuous access to sufficient quantity of safe drinking water]]*WWWW[[#This Row],[Total PoP ]]</f>
        <v>295</v>
      </c>
      <c r="CS421" s="996">
        <f>IF((WWWW[[#This Row],['#_Constructed/Existing protected/fenced ponds]]*250)/WWWW[[#This Row],[Total PoP ]]&gt;1,1,(WWWW[[#This Row],['#_Constructed/Existing protected/fenced ponds]]*250)/WWWW[[#This Row],[Total PoP ]])</f>
        <v>0.84745762711864403</v>
      </c>
      <c r="CT421" s="994">
        <f>WWWW[[#This Row],[% Access to unimproved water points]]*WWWW[[#This Row],[Total PoP ]]</f>
        <v>250</v>
      </c>
      <c r="CU42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2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295</v>
      </c>
      <c r="CW421" s="994">
        <f>WWWW[[#This Row],[HRP1]]/500</f>
        <v>0.59</v>
      </c>
      <c r="CX421" s="999">
        <f>1-WWWW[[#This Row],[% Equitable and continuous access to sufficient quantity of domestic water]]</f>
        <v>0</v>
      </c>
      <c r="CY421" s="994">
        <f>WWWW[[#This Row],[%equitable and continuous access to sufficient quantity of safe drinking and domestic water''s GAP]]*WWWW[[#This Row],[Total PoP ]]</f>
        <v>0</v>
      </c>
      <c r="CZ421" s="997">
        <f>IF(WWWW[[#This Row],[Total required water points]]-WWWW[[#This Row],['#Water points coverage]]&lt;0,0,WWWW[[#This Row],[Total required water points]]-WWWW[[#This Row],['#Water points coverage]])</f>
        <v>0.41000000000000003</v>
      </c>
      <c r="DA421" s="997">
        <f>ROUND(IF(WWWW[[#This Row],[Total PoP ]]&lt;500,1,WWWW[[#This Row],[Total PoP ]]/500),0)</f>
        <v>1</v>
      </c>
      <c r="DB421" s="997">
        <f>(WWWW[[#This Row],['#_Constructed latrines_by_WASHAgencies]]+WWWW[[#This Row],['#_Non Cluster partner latrines]])-WWWW[[#This Row],['#_Non-functional latrines]]</f>
        <v>-18</v>
      </c>
      <c r="DC421" s="631">
        <f>WWWW[[#This Row],[HRP2]]/WWWW[[#This Row],[Total PoP ]]</f>
        <v>-1.2203389830508475</v>
      </c>
      <c r="DD42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42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2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1" s="424">
        <f>IF(WWWW[[#This Row],['# of functional latrines in THF supported by WASH partners during the reporting period2]]="",0,WWWW[[#This Row],['# of functional latrines in THF supported by WASH partners during the reporting period2]]*50)</f>
        <v>0</v>
      </c>
      <c r="DH421" s="997">
        <f>ROUND(IF(WWWW[[#This Row],[Location Type 1]]="camp",WWWW[[#This Row],[Total PoP ]]/20,IF(WWWW[[#This Row],[Location Type 1]]="Temporary Location",WWWW[[#This Row],[Total PoP ]]/50,(WWWW[[#This Row],[Total PoP ]]/6))),0)</f>
        <v>15</v>
      </c>
      <c r="DI421" s="997">
        <f>IF(WWWW[[#This Row],[Total required Latrines]]-(WWWW[[#This Row],['#_Constructed latrines_by_WASHAgencies]]+WWWW[[#This Row],['#_Non Cluster partner latrines]])&lt;0,0,WWWW[[#This Row],[Total required Latrines]]-(WWWW[[#This Row],['#_Constructed latrines_by_WASHAgencies]]+WWWW[[#This Row],['#_Non Cluster partner latrines]]))</f>
        <v>7</v>
      </c>
      <c r="DJ421" s="999">
        <f>1-WWWW[[#This Row],[% people access to functioning Latrine]]</f>
        <v>2.2203389830508478</v>
      </c>
      <c r="DK421" s="998">
        <f>IF(OR(WWWW[[#This Row],['#_Non-functional latrines]]="",WWWW[[#This Row],['#_Non-functional latrines]]=0),0,WWWW[[#This Row],['#_Non-functional latrines]]/(WWWW[[#This Row],['#_Constructed latrines_by_WASHAgencies]]+WWWW[[#This Row],['#_Non Cluster partner latrines]]))</f>
        <v>3.25</v>
      </c>
      <c r="DL421" s="994">
        <f>IF(500*(WWWW[[#This Row],['#_male hygiene promoters]]+WWWW[[#This Row],['#_female hygiene promoters]])&gt;WWWW[[#This Row],[Total PoP ]],WWWW[[#This Row],[Total PoP ]],500*(WWWW[[#This Row],['#_male hygiene promoters]]+WWWW[[#This Row],['#_female hygiene promoters]]))</f>
        <v>0</v>
      </c>
      <c r="DM42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295</v>
      </c>
      <c r="DN42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21" s="997">
        <f>IF(WWWW[[#This Row],['# People with access to soap]]&gt;WWWW[[#This Row],['# People with access to Sanity Pads]],WWWW[[#This Row],['# People with access to soap]],WWWW[[#This Row],['# People with access to Sanity Pads]])</f>
        <v>295</v>
      </c>
      <c r="DP421" s="997">
        <f>IF(WWWW[[#This Row],['# people reached by regular dedicated hygiene promotion_5]]&gt;WWWW[[#This Row],['# People received regular supply of hygiene items_6]],WWWW[[#This Row],['# people reached by regular dedicated hygiene promotion_5]],WWWW[[#This Row],['# People received regular supply of hygiene items_6]])</f>
        <v>295</v>
      </c>
      <c r="DQ421" s="999">
        <f>IF(WWWW[[#This Row],[HRP3]]/WWWW[[#This Row],[Total PoP ]]&gt;1,1,WWWW[[#This Row],[HRP3]]/WWWW[[#This Row],[Total PoP ]])</f>
        <v>1</v>
      </c>
      <c r="DR421" s="998">
        <f>1-WWWW[[#This Row],[Hygiene Coverage%]]</f>
        <v>0</v>
      </c>
      <c r="DS421" s="996">
        <f>WWWW[[#This Row],['# people reached by regular dedicated hygiene promotion_5]]/WWWW[[#This Row],[Total PoP ]]</f>
        <v>0</v>
      </c>
      <c r="DT42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2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21" s="997">
        <f>WWWW[[#This Row],['#_Constructed/Existing hand washing stations]]-WWWW[[#This Row],['#_Non-Functional_hand_washing_stations]]</f>
        <v>4</v>
      </c>
      <c r="DW421" s="994">
        <f>IF(WWWW[[#This Row],['# Functional hand washing stations during reporting period]]*20&gt;WWWW[[#This Row],[Total HH]],WWWW[[#This Row],[Total HH]],WWWW[[#This Row],['# Functional hand washing stations during reporting period]]*20)</f>
        <v>59</v>
      </c>
      <c r="DX421" s="994">
        <f>IF(WWWW[[#This Row],[Is sufficient soap available for TLS? (Yes/No)]]="yes",WWWW[[#This Row],['#_Constructed/Existing hand washing stations at TLS/CFS/THF]],0)</f>
        <v>2</v>
      </c>
      <c r="DY421" s="428">
        <f>IF(WWWW[[#This Row],['# Functional hand washing stations during reporting period]]*100&gt;WWWW[[#This Row],[Total PoP ]],WWWW[[#This Row],[Total PoP ]],WWWW[[#This Row],['# Functional hand washing stations during reporting period]]*100)</f>
        <v>295</v>
      </c>
      <c r="DZ421" s="428" t="str">
        <f>IF(OR(WWWW[[#This Row],['#_students at TLS_CFS]]="",WWWW[[#This Row],['#_students at TLS_CFS]]=0),"No","Yes")</f>
        <v>No</v>
      </c>
      <c r="EA42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2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295</v>
      </c>
      <c r="EE421" s="990" t="str">
        <f>VLOOKUP(WWWW[[#This Row],[Site Name]],SiteDB6[[Site Name]:[CCCM Management]],6,FALSE)</f>
        <v>Yes</v>
      </c>
      <c r="EF421" s="990" t="str">
        <f>VLOOKUP(WWWW[[#This Row],[Site Name]],SiteDB6[[Site Name]:[CCCM Focal Agency]],7,FALSE)</f>
        <v>Shalom</v>
      </c>
      <c r="EG421" s="990" t="str">
        <f>VLOOKUP(WWWW[[#This Row],[Site Name]],SiteDB6[[Site Name]:[Location Type 1]],9,FALSE)</f>
        <v>Camp</v>
      </c>
      <c r="EH421" s="990" t="str">
        <f>VLOOKUP(WWWW[[#This Row],[Site Name]],SiteDB6[[Site Name]:[Type of Accommodation]],10,FALSE)</f>
        <v>Camp</v>
      </c>
      <c r="EI421" s="990" t="str">
        <f>VLOOKUP(WWWW[[#This Row],[Site Name]],SiteDB6[[Site Name]:[Ethnic or GCA/NGCA]],11,FALSE)</f>
        <v>GCA</v>
      </c>
      <c r="EJ421" s="990">
        <f>VLOOKUP(WWWW[[#This Row],[Site Name]],SiteDB6[[Site Name]:[Lat]],12,FALSE)</f>
        <v>25.321710740740698</v>
      </c>
      <c r="EK421" s="990">
        <f>VLOOKUP(WWWW[[#This Row],[Site Name]],SiteDB6[[Site Name]:[Long]],13,FALSE)</f>
        <v>97.404195925926004</v>
      </c>
      <c r="EL421" s="990" t="str">
        <f>VLOOKUP(WWWW[[#This Row],[Site Name]],SiteDB6[[Site Name]:[Pcode]],3,FALSE)</f>
        <v>MMR001CMP028</v>
      </c>
      <c r="EM421" s="995" t="str">
        <f t="shared" si="7"/>
        <v>Covered</v>
      </c>
      <c r="EN421" s="995"/>
      <c r="EO421" s="990">
        <f>VLOOKUP(WWWW[[#This Row],[Site Name]],SiteDB6[[Site Name]:[Pop
(Kachin/Shan-CCCM as of July 2021)]],16,FALSE)</f>
        <v>59</v>
      </c>
      <c r="EP421" s="990">
        <f>VLOOKUP(WWWW[[#This Row],[Site Name]],SiteDB6[[Site Name]:[Pop
(Kachin/Shan-CCCM as of July 2021)]],17,FALSE)</f>
        <v>291</v>
      </c>
    </row>
    <row r="422" spans="1:146">
      <c r="A422" s="988" t="s">
        <v>2765</v>
      </c>
      <c r="B422" s="988" t="s">
        <v>2081</v>
      </c>
      <c r="C422" s="989" t="s">
        <v>141</v>
      </c>
      <c r="D422" s="989" t="s">
        <v>3160</v>
      </c>
      <c r="E422" s="989" t="s">
        <v>37</v>
      </c>
      <c r="F422" s="989" t="s">
        <v>142</v>
      </c>
      <c r="G422" s="591" t="str">
        <f>VLOOKUP(WWWW[[#This Row],[Site Name]],SiteDB6[[Site Name]:[Location Type]],8,FALSE)</f>
        <v>Camp</v>
      </c>
      <c r="H422" s="989" t="s">
        <v>175</v>
      </c>
      <c r="I422" s="991">
        <v>138</v>
      </c>
      <c r="J422" s="991">
        <v>966</v>
      </c>
      <c r="K422" s="992">
        <v>44682</v>
      </c>
      <c r="L422" s="993">
        <v>45169</v>
      </c>
      <c r="M422" s="991">
        <v>90</v>
      </c>
      <c r="N422" s="991">
        <v>2</v>
      </c>
      <c r="O422" s="991"/>
      <c r="P422" s="991"/>
      <c r="Q422" s="994" t="s">
        <v>41</v>
      </c>
      <c r="R422" s="991">
        <v>2</v>
      </c>
      <c r="S422" s="991">
        <v>3</v>
      </c>
      <c r="T422" s="448">
        <v>2</v>
      </c>
      <c r="U422" s="991"/>
      <c r="V422" s="991"/>
      <c r="W422" s="991"/>
      <c r="X422" s="991"/>
      <c r="Y422" s="991"/>
      <c r="Z422" s="991"/>
      <c r="AA422" s="991">
        <v>2</v>
      </c>
      <c r="AB422" s="991"/>
      <c r="AC422" s="991"/>
      <c r="AD422" s="991"/>
      <c r="AE422" s="991"/>
      <c r="AF422" s="991"/>
      <c r="AG422" s="991"/>
      <c r="AH422" s="991"/>
      <c r="AI422" s="991"/>
      <c r="AJ422" s="991"/>
      <c r="AK422" s="991"/>
      <c r="AL422" s="991"/>
      <c r="AM422" s="991"/>
      <c r="AN422" s="991"/>
      <c r="AO422" s="448"/>
      <c r="AP422" s="995"/>
      <c r="AQ422" s="991">
        <v>50</v>
      </c>
      <c r="AR422" s="991">
        <v>62</v>
      </c>
      <c r="AS422" s="996"/>
      <c r="AT422" s="991"/>
      <c r="AU422" s="991"/>
      <c r="AV422" s="991"/>
      <c r="AW422" s="991"/>
      <c r="AX422" s="991">
        <v>50</v>
      </c>
      <c r="AY422" s="990" t="s">
        <v>41</v>
      </c>
      <c r="AZ422" s="995" t="s">
        <v>137</v>
      </c>
      <c r="BA422" s="991"/>
      <c r="BB422" s="991"/>
      <c r="BC422" s="991"/>
      <c r="BD422" s="448"/>
      <c r="BE422" s="448"/>
      <c r="BF422" s="990"/>
      <c r="BG422" s="991">
        <v>8</v>
      </c>
      <c r="BH422" s="991"/>
      <c r="BI422" s="991"/>
      <c r="BJ422" s="991">
        <v>2</v>
      </c>
      <c r="BK422" s="991"/>
      <c r="BL422" s="991"/>
      <c r="BM422" s="991">
        <v>2</v>
      </c>
      <c r="BN422" s="991"/>
      <c r="BO422" s="991"/>
      <c r="BP422" s="990"/>
      <c r="BQ422" s="997"/>
      <c r="BR422" s="996"/>
      <c r="BS422" s="990"/>
      <c r="BT422" s="423"/>
      <c r="BU422" s="423"/>
      <c r="BV422" s="425"/>
      <c r="BW422" s="423"/>
      <c r="BX422" s="448"/>
      <c r="BY422" s="448"/>
      <c r="BZ422" s="448"/>
      <c r="CA422" s="448"/>
      <c r="CB422" s="448"/>
      <c r="CC422" s="777"/>
      <c r="CD422" s="448"/>
      <c r="CE422" s="998" t="str">
        <f>IFERROR(WWWW[[#This Row],['#_Water sources passed]]/WWWW[[#This Row],['#_Water sources tested for fecal coliform ]],"no test")</f>
        <v>no test</v>
      </c>
      <c r="CF422" s="996" t="str">
        <f>IFERROR(WWWW[[#This Row],['#_Household passed]]/WWWW[[#This Row],['#_Household water samples tested for fecal coliform]],"no test")</f>
        <v>no test</v>
      </c>
      <c r="CG422" s="997" t="str">
        <f>IF(AND(WWWW[[#This Row],[% of water sources passed]]="no test",WWWW[[#This Row],[% Household passed]]="no test"),"No Test","Tested")</f>
        <v>No Test</v>
      </c>
      <c r="CH422" s="997">
        <f>WWWW[[#This Row],['#_Constructed/existing protected hand dug well]]-WWWW[[#This Row],['#_Non-functional protected hand dug well]]</f>
        <v>2</v>
      </c>
      <c r="CI422" s="997">
        <f>(WWWW[[#This Row],['#_Constructed/Existing tube wells/boreholes/handpumps_WASH_agency]]+WWWW[[#This Row],['#_Non-Cluster partner water tube-wells/boreholes/handpumps]])-WWWW[[#This Row],['#_Non-functional tube wells/boreholes/handpumps]]</f>
        <v>0</v>
      </c>
      <c r="CJ422" s="997">
        <f>WWWW[[#This Row],['#_Constructed/Existingwater storage tank with gravity fed reticulation system]]-WWWW[[#This Row],['#_Non-functional storage tank gravity fed reticulation system]]</f>
        <v>2</v>
      </c>
      <c r="CK422" s="997">
        <f>(WWWW[[#This Row],['#_Water_Liters_supplied_by_Water boating or water trucking]]/90)/15</f>
        <v>0</v>
      </c>
      <c r="CL422" s="997">
        <f>WWWW[[#This Row],['#_Water_Liters_from_Constructed/Existing water distribution system from river or natural spring]]/90/15</f>
        <v>0</v>
      </c>
      <c r="CM422" s="424">
        <f>IF(WWWW[[#This Row],['#_of water points in TLS/CFS]]*500&gt;WWWW[[#This Row],[Total PoP ]],WWWW[[#This Row],[Total PoP ]],WWWW[[#This Row],['#_of water points in TLS/CFS]]*500)</f>
        <v>0</v>
      </c>
      <c r="CN422" s="424">
        <f>IF(WWWW[[#This Row],['#_of water points in THF]]*500&gt;WWWW[[#This Row],[Total PoP ]],WWWW[[#This Row],[Total PoP ]],WWWW[[#This Row],['#_of water points in THF]]*500)</f>
        <v>0</v>
      </c>
      <c r="CO42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0.96618357487922713</v>
      </c>
      <c r="CP42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0.65562456866804697</v>
      </c>
      <c r="CQ422" s="996">
        <f>IF(WWWW[[#This Row],[Location Type 1]]="Village",WWWW[[#This Row],[Access to safe drinking water for Village]],WWWW[[#This Row],[Access to safe drinking water for Camp]])</f>
        <v>0.96618357487922713</v>
      </c>
      <c r="CR422" s="994">
        <f>WWWW[[#This Row],[%Equitable and continuous access to sufficient quantity of safe drinking water]]*WWWW[[#This Row],[Total PoP ]]</f>
        <v>933.33333333333337</v>
      </c>
      <c r="CS422" s="996">
        <f>IF((WWWW[[#This Row],['#_Constructed/Existing protected/fenced ponds]]*250)/WWWW[[#This Row],[Total PoP ]]&gt;1,1,(WWWW[[#This Row],['#_Constructed/Existing protected/fenced ponds]]*250)/WWWW[[#This Row],[Total PoP ]])</f>
        <v>0</v>
      </c>
      <c r="CT422" s="994">
        <f>WWWW[[#This Row],[% Access to unimproved water points]]*WWWW[[#This Row],[Total PoP ]]</f>
        <v>0</v>
      </c>
      <c r="CU42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0.96618357487922713</v>
      </c>
      <c r="CV42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933.33333333333337</v>
      </c>
      <c r="CW422" s="994">
        <f>WWWW[[#This Row],[HRP1]]/500</f>
        <v>1.8666666666666667</v>
      </c>
      <c r="CX422" s="999">
        <f>1-WWWW[[#This Row],[% Equitable and continuous access to sufficient quantity of domestic water]]</f>
        <v>3.3816425120772875E-2</v>
      </c>
      <c r="CY422" s="994">
        <f>WWWW[[#This Row],[%equitable and continuous access to sufficient quantity of safe drinking and domestic water''s GAP]]*WWWW[[#This Row],[Total PoP ]]</f>
        <v>32.6666666666666</v>
      </c>
      <c r="CZ422" s="997">
        <f>IF(WWWW[[#This Row],[Total required water points]]-WWWW[[#This Row],['#Water points coverage]]&lt;0,0,WWWW[[#This Row],[Total required water points]]-WWWW[[#This Row],['#Water points coverage]])</f>
        <v>0.1333333333333333</v>
      </c>
      <c r="DA422" s="997">
        <f>ROUND(IF(WWWW[[#This Row],[Total PoP ]]&lt;500,1,WWWW[[#This Row],[Total PoP ]]/500),0)</f>
        <v>2</v>
      </c>
      <c r="DB422" s="997">
        <f>(WWWW[[#This Row],['#_Constructed latrines_by_WASHAgencies]]+WWWW[[#This Row],['#_Non Cluster partner latrines]])-WWWW[[#This Row],['#_Non-functional latrines]]</f>
        <v>112</v>
      </c>
      <c r="DC422" s="631">
        <f>WWWW[[#This Row],[HRP2]]/WWWW[[#This Row],[Total PoP ]]</f>
        <v>1</v>
      </c>
      <c r="DD42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966</v>
      </c>
      <c r="DE42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2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2" s="424">
        <f>IF(WWWW[[#This Row],['# of functional latrines in THF supported by WASH partners during the reporting period2]]="",0,WWWW[[#This Row],['# of functional latrines in THF supported by WASH partners during the reporting period2]]*50)</f>
        <v>0</v>
      </c>
      <c r="DH422" s="997">
        <f>ROUND(IF(WWWW[[#This Row],[Location Type 1]]="camp",WWWW[[#This Row],[Total PoP ]]/20,IF(WWWW[[#This Row],[Location Type 1]]="Temporary Location",WWWW[[#This Row],[Total PoP ]]/50,(WWWW[[#This Row],[Total PoP ]]/6))),0)</f>
        <v>48</v>
      </c>
      <c r="DI422" s="997">
        <f>IF(WWWW[[#This Row],[Total required Latrines]]-(WWWW[[#This Row],['#_Constructed latrines_by_WASHAgencies]]+WWWW[[#This Row],['#_Non Cluster partner latrines]])&lt;0,0,WWWW[[#This Row],[Total required Latrines]]-(WWWW[[#This Row],['#_Constructed latrines_by_WASHAgencies]]+WWWW[[#This Row],['#_Non Cluster partner latrines]]))</f>
        <v>0</v>
      </c>
      <c r="DJ422" s="999">
        <f>1-WWWW[[#This Row],[% people access to functioning Latrine]]</f>
        <v>0</v>
      </c>
      <c r="DK422" s="998">
        <f>IF(OR(WWWW[[#This Row],['#_Non-functional latrines]]="",WWWW[[#This Row],['#_Non-functional latrines]]=0),0,WWWW[[#This Row],['#_Non-functional latrines]]/(WWWW[[#This Row],['#_Constructed latrines_by_WASHAgencies]]+WWWW[[#This Row],['#_Non Cluster partner latrines]]))</f>
        <v>0</v>
      </c>
      <c r="DL422" s="994">
        <f>IF(500*(WWWW[[#This Row],['#_male hygiene promoters]]+WWWW[[#This Row],['#_female hygiene promoters]])&gt;WWWW[[#This Row],[Total PoP ]],WWWW[[#This Row],[Total PoP ]],500*(WWWW[[#This Row],['#_male hygiene promoters]]+WWWW[[#This Row],['#_female hygiene promoters]]))</f>
        <v>966</v>
      </c>
      <c r="DM42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2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22" s="997">
        <f>IF(WWWW[[#This Row],['# People with access to soap]]&gt;WWWW[[#This Row],['# People with access to Sanity Pads]],WWWW[[#This Row],['# People with access to soap]],WWWW[[#This Row],['# People with access to Sanity Pads]])</f>
        <v>0</v>
      </c>
      <c r="DP422" s="997">
        <f>IF(WWWW[[#This Row],['# people reached by regular dedicated hygiene promotion_5]]&gt;WWWW[[#This Row],['# People received regular supply of hygiene items_6]],WWWW[[#This Row],['# people reached by regular dedicated hygiene promotion_5]],WWWW[[#This Row],['# People received regular supply of hygiene items_6]])</f>
        <v>966</v>
      </c>
      <c r="DQ422" s="999">
        <f>IF(WWWW[[#This Row],[HRP3]]/WWWW[[#This Row],[Total PoP ]]&gt;1,1,WWWW[[#This Row],[HRP3]]/WWWW[[#This Row],[Total PoP ]])</f>
        <v>1</v>
      </c>
      <c r="DR422" s="998">
        <f>1-WWWW[[#This Row],[Hygiene Coverage%]]</f>
        <v>0</v>
      </c>
      <c r="DS422" s="996">
        <f>WWWW[[#This Row],['# people reached by regular dedicated hygiene promotion_5]]/WWWW[[#This Row],[Total PoP ]]</f>
        <v>1</v>
      </c>
      <c r="DT42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2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22" s="997">
        <f>WWWW[[#This Row],['#_Constructed/Existing hand washing stations]]-WWWW[[#This Row],['#_Non-Functional_hand_washing_stations]]</f>
        <v>8</v>
      </c>
      <c r="DW422" s="994">
        <f>IF(WWWW[[#This Row],['# Functional hand washing stations during reporting period]]*20&gt;WWWW[[#This Row],[Total HH]],WWWW[[#This Row],[Total HH]],WWWW[[#This Row],['# Functional hand washing stations during reporting period]]*20)</f>
        <v>138</v>
      </c>
      <c r="DX422" s="994">
        <f>IF(WWWW[[#This Row],[Is sufficient soap available for TLS? (Yes/No)]]="yes",WWWW[[#This Row],['#_Constructed/Existing hand washing stations at TLS/CFS/THF]],0)</f>
        <v>0</v>
      </c>
      <c r="DY422" s="428">
        <f>IF(WWWW[[#This Row],['# Functional hand washing stations during reporting period]]*100&gt;WWWW[[#This Row],[Total PoP ]],WWWW[[#This Row],[Total PoP ]],WWWW[[#This Row],['# Functional hand washing stations during reporting period]]*100)</f>
        <v>800</v>
      </c>
      <c r="DZ422" s="428" t="str">
        <f>IF(OR(WWWW[[#This Row],['#_students at TLS_CFS]]="",WWWW[[#This Row],['#_students at TLS_CFS]]=0),"No","Yes")</f>
        <v>Yes</v>
      </c>
      <c r="EA42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2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22" s="990" t="str">
        <f>VLOOKUP(WWWW[[#This Row],[Site Name]],SiteDB6[[Site Name]:[CCCM Management]],6,FALSE)</f>
        <v>Yes</v>
      </c>
      <c r="EF422" s="990" t="str">
        <f>VLOOKUP(WWWW[[#This Row],[Site Name]],SiteDB6[[Site Name]:[CCCM Focal Agency]],7,FALSE)</f>
        <v>KBC-MYT</v>
      </c>
      <c r="EG422" s="990" t="str">
        <f>VLOOKUP(WWWW[[#This Row],[Site Name]],SiteDB6[[Site Name]:[Location Type 1]],9,FALSE)</f>
        <v>Camp</v>
      </c>
      <c r="EH422" s="990" t="str">
        <f>VLOOKUP(WWWW[[#This Row],[Site Name]],SiteDB6[[Site Name]:[Type of Accommodation]],10,FALSE)</f>
        <v>Camp</v>
      </c>
      <c r="EI422" s="990" t="str">
        <f>VLOOKUP(WWWW[[#This Row],[Site Name]],SiteDB6[[Site Name]:[Ethnic or GCA/NGCA]],11,FALSE)</f>
        <v>NGCA</v>
      </c>
      <c r="EJ422" s="990">
        <f>VLOOKUP(WWWW[[#This Row],[Site Name]],SiteDB6[[Site Name]:[Lat]],12,FALSE)</f>
        <v>25.200333000000001</v>
      </c>
      <c r="EK422" s="990">
        <f>VLOOKUP(WWWW[[#This Row],[Site Name]],SiteDB6[[Site Name]:[Long]],13,FALSE)</f>
        <v>97.807182999999995</v>
      </c>
      <c r="EL422" s="990" t="str">
        <f>VLOOKUP(WWWW[[#This Row],[Site Name]],SiteDB6[[Site Name]:[Pcode]],3,FALSE)</f>
        <v>MMR001CMP115</v>
      </c>
      <c r="EM422" s="995" t="str">
        <f t="shared" si="7"/>
        <v>Covered</v>
      </c>
      <c r="EN422" s="995"/>
      <c r="EO422" s="990">
        <f>VLOOKUP(WWWW[[#This Row],[Site Name]],SiteDB6[[Site Name]:[Pop
(Kachin/Shan-CCCM as of July 2021)]],16,FALSE)</f>
        <v>138</v>
      </c>
      <c r="EP422" s="990">
        <f>VLOOKUP(WWWW[[#This Row],[Site Name]],SiteDB6[[Site Name]:[Pop
(Kachin/Shan-CCCM as of July 2021)]],17,FALSE)</f>
        <v>966</v>
      </c>
    </row>
    <row r="423" spans="1:146">
      <c r="A423" s="988" t="s">
        <v>2765</v>
      </c>
      <c r="B423" s="988" t="s">
        <v>192</v>
      </c>
      <c r="C423" s="989" t="s">
        <v>192</v>
      </c>
      <c r="D423" s="989" t="s">
        <v>3050</v>
      </c>
      <c r="E423" s="989" t="s">
        <v>37</v>
      </c>
      <c r="F423" s="989" t="s">
        <v>142</v>
      </c>
      <c r="G423" s="591" t="str">
        <f>VLOOKUP(WWWW[[#This Row],[Site Name]],SiteDB6[[Site Name]:[Location Type]],8,FALSE)</f>
        <v>Camp</v>
      </c>
      <c r="H423" s="989" t="s">
        <v>224</v>
      </c>
      <c r="I423" s="991">
        <v>426.2</v>
      </c>
      <c r="J423" s="991">
        <v>2131</v>
      </c>
      <c r="K423" s="992" t="s">
        <v>2670</v>
      </c>
      <c r="L423" s="993" t="s">
        <v>2680</v>
      </c>
      <c r="M423" s="991"/>
      <c r="N423" s="991"/>
      <c r="O423" s="991"/>
      <c r="P423" s="991"/>
      <c r="Q423" s="994" t="s">
        <v>41</v>
      </c>
      <c r="R423" s="991">
        <v>3</v>
      </c>
      <c r="S423" s="991">
        <v>6</v>
      </c>
      <c r="T423" s="448"/>
      <c r="U423" s="991"/>
      <c r="V423" s="991"/>
      <c r="W423" s="991"/>
      <c r="X423" s="991"/>
      <c r="Y423" s="991"/>
      <c r="Z423" s="991"/>
      <c r="AA423" s="991">
        <v>1</v>
      </c>
      <c r="AB423" s="991"/>
      <c r="AC423" s="991"/>
      <c r="AD423" s="991"/>
      <c r="AE423" s="991"/>
      <c r="AF423" s="991"/>
      <c r="AG423" s="991"/>
      <c r="AH423" s="991"/>
      <c r="AI423" s="991"/>
      <c r="AJ423" s="991"/>
      <c r="AK423" s="991"/>
      <c r="AL423" s="991"/>
      <c r="AM423" s="991">
        <v>14</v>
      </c>
      <c r="AN423" s="991">
        <v>2</v>
      </c>
      <c r="AO423" s="448"/>
      <c r="AP423" s="995"/>
      <c r="AQ423" s="991">
        <v>89</v>
      </c>
      <c r="AR423" s="991"/>
      <c r="AS423" s="996"/>
      <c r="AT423" s="991"/>
      <c r="AU423" s="991"/>
      <c r="AV423" s="991"/>
      <c r="AW423" s="991"/>
      <c r="AX423" s="991"/>
      <c r="AY423" s="990" t="s">
        <v>41</v>
      </c>
      <c r="AZ423" s="995" t="s">
        <v>137</v>
      </c>
      <c r="BA423" s="991"/>
      <c r="BB423" s="991"/>
      <c r="BC423" s="991"/>
      <c r="BD423" s="448"/>
      <c r="BE423" s="448"/>
      <c r="BF423" s="990"/>
      <c r="BG423" s="991">
        <v>3</v>
      </c>
      <c r="BH423" s="991"/>
      <c r="BI423" s="991"/>
      <c r="BJ423" s="991">
        <v>2</v>
      </c>
      <c r="BK423" s="991"/>
      <c r="BL423" s="991"/>
      <c r="BM423" s="991"/>
      <c r="BN423" s="991"/>
      <c r="BO423" s="991"/>
      <c r="BP423" s="990"/>
      <c r="BQ423" s="997"/>
      <c r="BR423" s="996"/>
      <c r="BS423" s="990"/>
      <c r="BT423" s="423"/>
      <c r="BU423" s="423"/>
      <c r="BV423" s="425"/>
      <c r="BW423" s="423"/>
      <c r="BX423" s="448"/>
      <c r="BY423" s="448"/>
      <c r="BZ423" s="448"/>
      <c r="CA423" s="448"/>
      <c r="CB423" s="448"/>
      <c r="CC423" s="777"/>
      <c r="CD423" s="448"/>
      <c r="CE423" s="998" t="str">
        <f>IFERROR(WWWW[[#This Row],['#_Water sources passed]]/WWWW[[#This Row],['#_Water sources tested for fecal coliform ]],"no test")</f>
        <v>no test</v>
      </c>
      <c r="CF423" s="996" t="str">
        <f>IFERROR(WWWW[[#This Row],['#_Household passed]]/WWWW[[#This Row],['#_Household water samples tested for fecal coliform]],"no test")</f>
        <v>no test</v>
      </c>
      <c r="CG423" s="997" t="str">
        <f>IF(AND(WWWW[[#This Row],[% of water sources passed]]="no test",WWWW[[#This Row],[% Household passed]]="no test"),"No Test","Tested")</f>
        <v>No Test</v>
      </c>
      <c r="CH423" s="997">
        <f>WWWW[[#This Row],['#_Constructed/existing protected hand dug well]]-WWWW[[#This Row],['#_Non-functional protected hand dug well]]</f>
        <v>0</v>
      </c>
      <c r="CI423" s="997">
        <f>(WWWW[[#This Row],['#_Constructed/Existing tube wells/boreholes/handpumps_WASH_agency]]+WWWW[[#This Row],['#_Non-Cluster partner water tube-wells/boreholes/handpumps]])-WWWW[[#This Row],['#_Non-functional tube wells/boreholes/handpumps]]</f>
        <v>0</v>
      </c>
      <c r="CJ423" s="997">
        <f>WWWW[[#This Row],['#_Constructed/Existingwater storage tank with gravity fed reticulation system]]-WWWW[[#This Row],['#_Non-functional storage tank gravity fed reticulation system]]</f>
        <v>1</v>
      </c>
      <c r="CK423" s="997">
        <f>(WWWW[[#This Row],['#_Water_Liters_supplied_by_Water boating or water trucking]]/90)/15</f>
        <v>0</v>
      </c>
      <c r="CL423" s="997">
        <f>WWWW[[#This Row],['#_Water_Liters_from_Constructed/Existing water distribution system from river or natural spring]]/90/15</f>
        <v>0</v>
      </c>
      <c r="CM423" s="424">
        <f>IF(WWWW[[#This Row],['#_of water points in TLS/CFS]]*500&gt;WWWW[[#This Row],[Total PoP ]],WWWW[[#This Row],[Total PoP ]],WWWW[[#This Row],['#_of water points in TLS/CFS]]*500)</f>
        <v>1000</v>
      </c>
      <c r="CN423" s="424">
        <f>IF(WWWW[[#This Row],['#_of water points in THF]]*500&gt;WWWW[[#This Row],[Total PoP ]],WWWW[[#This Row],[Total PoP ]],WWWW[[#This Row],['#_of water points in THF]]*500)</f>
        <v>0</v>
      </c>
      <c r="CO42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3.1284217112466761E-2</v>
      </c>
      <c r="CP42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3.1284217112466761E-2</v>
      </c>
      <c r="CQ423" s="996">
        <f>IF(WWWW[[#This Row],[Location Type 1]]="Village",WWWW[[#This Row],[Access to safe drinking water for Village]],WWWW[[#This Row],[Access to safe drinking water for Camp]])</f>
        <v>3.1284217112466761E-2</v>
      </c>
      <c r="CR423" s="994">
        <f>WWWW[[#This Row],[%Equitable and continuous access to sufficient quantity of safe drinking water]]*WWWW[[#This Row],[Total PoP ]]</f>
        <v>66.666666666666671</v>
      </c>
      <c r="CS423" s="996">
        <f>IF((WWWW[[#This Row],['#_Constructed/Existing protected/fenced ponds]]*250)/WWWW[[#This Row],[Total PoP ]]&gt;1,1,(WWWW[[#This Row],['#_Constructed/Existing protected/fenced ponds]]*250)/WWWW[[#This Row],[Total PoP ]])</f>
        <v>0</v>
      </c>
      <c r="CT423" s="994">
        <f>WWWW[[#This Row],[% Access to unimproved water points]]*WWWW[[#This Row],[Total PoP ]]</f>
        <v>0</v>
      </c>
      <c r="CU42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3.1284217112466761E-2</v>
      </c>
      <c r="CV42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W423" s="994">
        <f>WWWW[[#This Row],[HRP1]]/500</f>
        <v>0.13333333333333333</v>
      </c>
      <c r="CX423" s="999">
        <f>1-WWWW[[#This Row],[% Equitable and continuous access to sufficient quantity of domestic water]]</f>
        <v>0.96871578288753324</v>
      </c>
      <c r="CY423" s="994">
        <f>WWWW[[#This Row],[%equitable and continuous access to sufficient quantity of safe drinking and domestic water''s GAP]]*WWWW[[#This Row],[Total PoP ]]</f>
        <v>2064.3333333333335</v>
      </c>
      <c r="CZ423" s="997">
        <f>IF(WWWW[[#This Row],[Total required water points]]-WWWW[[#This Row],['#Water points coverage]]&lt;0,0,WWWW[[#This Row],[Total required water points]]-WWWW[[#This Row],['#Water points coverage]])</f>
        <v>3.8666666666666667</v>
      </c>
      <c r="DA423" s="997">
        <f>ROUND(IF(WWWW[[#This Row],[Total PoP ]]&lt;500,1,WWWW[[#This Row],[Total PoP ]]/500),0)</f>
        <v>4</v>
      </c>
      <c r="DB423" s="997">
        <f>(WWWW[[#This Row],['#_Constructed latrines_by_WASHAgencies]]+WWWW[[#This Row],['#_Non Cluster partner latrines]])-WWWW[[#This Row],['#_Non-functional latrines]]</f>
        <v>89</v>
      </c>
      <c r="DC423" s="631">
        <f>WWWW[[#This Row],[HRP2]]/WWWW[[#This Row],[Total PoP ]]</f>
        <v>0.8352885969028625</v>
      </c>
      <c r="DD42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1780</v>
      </c>
      <c r="DE42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2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3" s="424">
        <f>IF(WWWW[[#This Row],['# of functional latrines in THF supported by WASH partners during the reporting period2]]="",0,WWWW[[#This Row],['# of functional latrines in THF supported by WASH partners during the reporting period2]]*50)</f>
        <v>0</v>
      </c>
      <c r="DH423" s="997">
        <f>ROUND(IF(WWWW[[#This Row],[Location Type 1]]="camp",WWWW[[#This Row],[Total PoP ]]/20,IF(WWWW[[#This Row],[Location Type 1]]="Temporary Location",WWWW[[#This Row],[Total PoP ]]/50,(WWWW[[#This Row],[Total PoP ]]/6))),0)</f>
        <v>107</v>
      </c>
      <c r="DI423" s="997">
        <f>IF(WWWW[[#This Row],[Total required Latrines]]-(WWWW[[#This Row],['#_Constructed latrines_by_WASHAgencies]]+WWWW[[#This Row],['#_Non Cluster partner latrines]])&lt;0,0,WWWW[[#This Row],[Total required Latrines]]-(WWWW[[#This Row],['#_Constructed latrines_by_WASHAgencies]]+WWWW[[#This Row],['#_Non Cluster partner latrines]]))</f>
        <v>18</v>
      </c>
      <c r="DJ423" s="999">
        <f>1-WWWW[[#This Row],[% people access to functioning Latrine]]</f>
        <v>0.1647114030971375</v>
      </c>
      <c r="DK423" s="998">
        <f>IF(OR(WWWW[[#This Row],['#_Non-functional latrines]]="",WWWW[[#This Row],['#_Non-functional latrines]]=0),0,WWWW[[#This Row],['#_Non-functional latrines]]/(WWWW[[#This Row],['#_Constructed latrines_by_WASHAgencies]]+WWWW[[#This Row],['#_Non Cluster partner latrines]]))</f>
        <v>0</v>
      </c>
      <c r="DL423" s="994">
        <f>IF(500*(WWWW[[#This Row],['#_male hygiene promoters]]+WWWW[[#This Row],['#_female hygiene promoters]])&gt;WWWW[[#This Row],[Total PoP ]],WWWW[[#This Row],[Total PoP ]],500*(WWWW[[#This Row],['#_male hygiene promoters]]+WWWW[[#This Row],['#_female hygiene promoters]]))</f>
        <v>0</v>
      </c>
      <c r="DM42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2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23" s="997">
        <f>IF(WWWW[[#This Row],['# People with access to soap]]&gt;WWWW[[#This Row],['# People with access to Sanity Pads]],WWWW[[#This Row],['# People with access to soap]],WWWW[[#This Row],['# People with access to Sanity Pads]])</f>
        <v>0</v>
      </c>
      <c r="DP423"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23" s="999">
        <f>IF(WWWW[[#This Row],[HRP3]]/WWWW[[#This Row],[Total PoP ]]&gt;1,1,WWWW[[#This Row],[HRP3]]/WWWW[[#This Row],[Total PoP ]])</f>
        <v>0</v>
      </c>
      <c r="DR423" s="998">
        <f>1-WWWW[[#This Row],[Hygiene Coverage%]]</f>
        <v>1</v>
      </c>
      <c r="DS423" s="996">
        <f>WWWW[[#This Row],['# people reached by regular dedicated hygiene promotion_5]]/WWWW[[#This Row],[Total PoP ]]</f>
        <v>0</v>
      </c>
      <c r="DT42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2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23" s="997">
        <f>WWWW[[#This Row],['#_Constructed/Existing hand washing stations]]-WWWW[[#This Row],['#_Non-Functional_hand_washing_stations]]</f>
        <v>3</v>
      </c>
      <c r="DW423" s="994">
        <f>IF(WWWW[[#This Row],['# Functional hand washing stations during reporting period]]*20&gt;WWWW[[#This Row],[Total HH]],WWWW[[#This Row],[Total HH]],WWWW[[#This Row],['# Functional hand washing stations during reporting period]]*20)</f>
        <v>60</v>
      </c>
      <c r="DX423" s="994">
        <f>IF(WWWW[[#This Row],[Is sufficient soap available for TLS? (Yes/No)]]="yes",WWWW[[#This Row],['#_Constructed/Existing hand washing stations at TLS/CFS/THF]],0)</f>
        <v>0</v>
      </c>
      <c r="DY423" s="428">
        <f>IF(WWWW[[#This Row],['# Functional hand washing stations during reporting period]]*100&gt;WWWW[[#This Row],[Total PoP ]],WWWW[[#This Row],[Total PoP ]],WWWW[[#This Row],['# Functional hand washing stations during reporting period]]*100)</f>
        <v>300</v>
      </c>
      <c r="DZ423" s="428" t="str">
        <f>IF(OR(WWWW[[#This Row],['#_students at TLS_CFS]]="",WWWW[[#This Row],['#_students at TLS_CFS]]=0),"No","Yes")</f>
        <v>No</v>
      </c>
      <c r="EA42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42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23" s="990">
        <f>VLOOKUP(WWWW[[#This Row],[Site Name]],SiteDB6[[Site Name]:[CCCM Management]],6,FALSE)</f>
        <v>0</v>
      </c>
      <c r="EF423" s="990" t="str">
        <f>VLOOKUP(WWWW[[#This Row],[Site Name]],SiteDB6[[Site Name]:[CCCM Focal Agency]],7,FALSE)</f>
        <v>uncovered</v>
      </c>
      <c r="EG423" s="990" t="str">
        <f>VLOOKUP(WWWW[[#This Row],[Site Name]],SiteDB6[[Site Name]:[Location Type 1]],9,FALSE)</f>
        <v>Camp</v>
      </c>
      <c r="EH423" s="990" t="str">
        <f>VLOOKUP(WWWW[[#This Row],[Site Name]],SiteDB6[[Site Name]:[Type of Accommodation]],10,FALSE)</f>
        <v>Boarding School</v>
      </c>
      <c r="EI423" s="990" t="str">
        <f>VLOOKUP(WWWW[[#This Row],[Site Name]],SiteDB6[[Site Name]:[Ethnic or GCA/NGCA]],11,FALSE)</f>
        <v>NGCA</v>
      </c>
      <c r="EJ423" s="990">
        <f>VLOOKUP(WWWW[[#This Row],[Site Name]],SiteDB6[[Site Name]:[Lat]],12,FALSE)</f>
        <v>24.752471</v>
      </c>
      <c r="EK423" s="990">
        <f>VLOOKUP(WWWW[[#This Row],[Site Name]],SiteDB6[[Site Name]:[Long]],13,FALSE)</f>
        <v>97.541793999999996</v>
      </c>
      <c r="EL423" s="990" t="str">
        <f>VLOOKUP(WWWW[[#This Row],[Site Name]],SiteDB6[[Site Name]:[Pcode]],3,FALSE)</f>
        <v>MMR001CMP208</v>
      </c>
      <c r="EM423" s="995" t="str">
        <f t="shared" si="7"/>
        <v>Covered</v>
      </c>
      <c r="EN423" s="995"/>
      <c r="EO423" s="990">
        <f>VLOOKUP(WWWW[[#This Row],[Site Name]],SiteDB6[[Site Name]:[Pop
(Kachin/Shan-CCCM as of July 2021)]],16,FALSE)</f>
        <v>0</v>
      </c>
      <c r="EP423" s="990">
        <f>VLOOKUP(WWWW[[#This Row],[Site Name]],SiteDB6[[Site Name]:[Pop
(Kachin/Shan-CCCM as of July 2021)]],17,FALSE)</f>
        <v>366</v>
      </c>
    </row>
    <row r="424" spans="1:146">
      <c r="A424" s="988" t="s">
        <v>2765</v>
      </c>
      <c r="B424" s="988" t="s">
        <v>309</v>
      </c>
      <c r="C424" s="989" t="s">
        <v>309</v>
      </c>
      <c r="D424" s="989"/>
      <c r="E424" s="989" t="s">
        <v>37</v>
      </c>
      <c r="F424" s="989" t="s">
        <v>142</v>
      </c>
      <c r="G424" s="591" t="str">
        <f>VLOOKUP(WWWW[[#This Row],[Site Name]],SiteDB6[[Site Name]:[Location Type]],8,FALSE)</f>
        <v>Camp</v>
      </c>
      <c r="H424" s="989" t="s">
        <v>2777</v>
      </c>
      <c r="I424" s="991">
        <v>40</v>
      </c>
      <c r="J424" s="991">
        <v>220</v>
      </c>
      <c r="K424" s="992"/>
      <c r="L424" s="993"/>
      <c r="M424" s="991"/>
      <c r="N424" s="991"/>
      <c r="O424" s="991"/>
      <c r="P424" s="991"/>
      <c r="Q424" s="994"/>
      <c r="R424" s="991"/>
      <c r="S424" s="991"/>
      <c r="T424" s="448"/>
      <c r="U424" s="991"/>
      <c r="V424" s="991"/>
      <c r="W424" s="991"/>
      <c r="X424" s="991"/>
      <c r="Y424" s="991"/>
      <c r="Z424" s="991"/>
      <c r="AA424" s="991"/>
      <c r="AB424" s="991"/>
      <c r="AC424" s="991"/>
      <c r="AD424" s="991"/>
      <c r="AE424" s="991"/>
      <c r="AF424" s="991"/>
      <c r="AG424" s="991"/>
      <c r="AH424" s="991"/>
      <c r="AI424" s="991"/>
      <c r="AJ424" s="991"/>
      <c r="AK424" s="991"/>
      <c r="AL424" s="991"/>
      <c r="AM424" s="991"/>
      <c r="AN424" s="991"/>
      <c r="AO424" s="448"/>
      <c r="AP424" s="995"/>
      <c r="AQ424" s="991"/>
      <c r="AR424" s="991"/>
      <c r="AS424" s="996"/>
      <c r="AT424" s="991"/>
      <c r="AU424" s="991"/>
      <c r="AV424" s="991"/>
      <c r="AW424" s="991"/>
      <c r="AX424" s="991"/>
      <c r="AY424" s="990" t="s">
        <v>140</v>
      </c>
      <c r="AZ424" s="995" t="s">
        <v>140</v>
      </c>
      <c r="BA424" s="991"/>
      <c r="BB424" s="991"/>
      <c r="BC424" s="991"/>
      <c r="BD424" s="448"/>
      <c r="BE424" s="448"/>
      <c r="BF424" s="990"/>
      <c r="BG424" s="991">
        <v>3</v>
      </c>
      <c r="BH424" s="991"/>
      <c r="BI424" s="991"/>
      <c r="BJ424" s="991">
        <v>2</v>
      </c>
      <c r="BK424" s="991"/>
      <c r="BL424" s="991"/>
      <c r="BM424" s="991"/>
      <c r="BN424" s="991"/>
      <c r="BO424" s="991"/>
      <c r="BP424" s="990"/>
      <c r="BQ424" s="997"/>
      <c r="BR424" s="996"/>
      <c r="BS424" s="990"/>
      <c r="BT424" s="423"/>
      <c r="BU424" s="423"/>
      <c r="BV424" s="425"/>
      <c r="BW424" s="423"/>
      <c r="BX424" s="448"/>
      <c r="BY424" s="448"/>
      <c r="BZ424" s="448"/>
      <c r="CA424" s="448"/>
      <c r="CB424" s="448"/>
      <c r="CC424" s="777"/>
      <c r="CD424" s="448"/>
      <c r="CE424" s="998" t="str">
        <f>IFERROR(WWWW[[#This Row],['#_Water sources passed]]/WWWW[[#This Row],['#_Water sources tested for fecal coliform ]],"no test")</f>
        <v>no test</v>
      </c>
      <c r="CF424" s="996" t="str">
        <f>IFERROR(WWWW[[#This Row],['#_Household passed]]/WWWW[[#This Row],['#_Household water samples tested for fecal coliform]],"no test")</f>
        <v>no test</v>
      </c>
      <c r="CG424" s="997" t="str">
        <f>IF(AND(WWWW[[#This Row],[% of water sources passed]]="no test",WWWW[[#This Row],[% Household passed]]="no test"),"No Test","Tested")</f>
        <v>No Test</v>
      </c>
      <c r="CH424" s="997">
        <f>WWWW[[#This Row],['#_Constructed/existing protected hand dug well]]-WWWW[[#This Row],['#_Non-functional protected hand dug well]]</f>
        <v>0</v>
      </c>
      <c r="CI424" s="997">
        <f>(WWWW[[#This Row],['#_Constructed/Existing tube wells/boreholes/handpumps_WASH_agency]]+WWWW[[#This Row],['#_Non-Cluster partner water tube-wells/boreholes/handpumps]])-WWWW[[#This Row],['#_Non-functional tube wells/boreholes/handpumps]]</f>
        <v>0</v>
      </c>
      <c r="CJ424" s="997">
        <f>WWWW[[#This Row],['#_Constructed/Existingwater storage tank with gravity fed reticulation system]]-WWWW[[#This Row],['#_Non-functional storage tank gravity fed reticulation system]]</f>
        <v>0</v>
      </c>
      <c r="CK424" s="997">
        <f>(WWWW[[#This Row],['#_Water_Liters_supplied_by_Water boating or water trucking]]/90)/15</f>
        <v>0</v>
      </c>
      <c r="CL424" s="997">
        <f>WWWW[[#This Row],['#_Water_Liters_from_Constructed/Existing water distribution system from river or natural spring]]/90/15</f>
        <v>0</v>
      </c>
      <c r="CM424" s="424">
        <f>IF(WWWW[[#This Row],['#_of water points in TLS/CFS]]*500&gt;WWWW[[#This Row],[Total PoP ]],WWWW[[#This Row],[Total PoP ]],WWWW[[#This Row],['#_of water points in TLS/CFS]]*500)</f>
        <v>0</v>
      </c>
      <c r="CN424" s="424">
        <f>IF(WWWW[[#This Row],['#_of water points in THF]]*500&gt;WWWW[[#This Row],[Total PoP ]],WWWW[[#This Row],[Total PoP ]],WWWW[[#This Row],['#_of water points in THF]]*500)</f>
        <v>0</v>
      </c>
      <c r="CO42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2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24" s="996">
        <f>IF(WWWW[[#This Row],[Location Type 1]]="Village",WWWW[[#This Row],[Access to safe drinking water for Village]],WWWW[[#This Row],[Access to safe drinking water for Camp]])</f>
        <v>0</v>
      </c>
      <c r="CR424" s="994">
        <f>WWWW[[#This Row],[%Equitable and continuous access to sufficient quantity of safe drinking water]]*WWWW[[#This Row],[Total PoP ]]</f>
        <v>0</v>
      </c>
      <c r="CS424" s="996">
        <f>IF((WWWW[[#This Row],['#_Constructed/Existing protected/fenced ponds]]*250)/WWWW[[#This Row],[Total PoP ]]&gt;1,1,(WWWW[[#This Row],['#_Constructed/Existing protected/fenced ponds]]*250)/WWWW[[#This Row],[Total PoP ]])</f>
        <v>0</v>
      </c>
      <c r="CT424" s="994">
        <f>WWWW[[#This Row],[% Access to unimproved water points]]*WWWW[[#This Row],[Total PoP ]]</f>
        <v>0</v>
      </c>
      <c r="CU42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2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24" s="994">
        <f>WWWW[[#This Row],[HRP1]]/500</f>
        <v>0</v>
      </c>
      <c r="CX424" s="999">
        <f>1-WWWW[[#This Row],[% Equitable and continuous access to sufficient quantity of domestic water]]</f>
        <v>1</v>
      </c>
      <c r="CY424" s="994">
        <f>WWWW[[#This Row],[%equitable and continuous access to sufficient quantity of safe drinking and domestic water''s GAP]]*WWWW[[#This Row],[Total PoP ]]</f>
        <v>220</v>
      </c>
      <c r="CZ424" s="997">
        <f>IF(WWWW[[#This Row],[Total required water points]]-WWWW[[#This Row],['#Water points coverage]]&lt;0,0,WWWW[[#This Row],[Total required water points]]-WWWW[[#This Row],['#Water points coverage]])</f>
        <v>1</v>
      </c>
      <c r="DA424" s="997">
        <f>ROUND(IF(WWWW[[#This Row],[Total PoP ]]&lt;500,1,WWWW[[#This Row],[Total PoP ]]/500),0)</f>
        <v>1</v>
      </c>
      <c r="DB424" s="997">
        <f>(WWWW[[#This Row],['#_Constructed latrines_by_WASHAgencies]]+WWWW[[#This Row],['#_Non Cluster partner latrines]])-WWWW[[#This Row],['#_Non-functional latrines]]</f>
        <v>0</v>
      </c>
      <c r="DC424" s="631">
        <f>WWWW[[#This Row],[HRP2]]/WWWW[[#This Row],[Total PoP ]]</f>
        <v>0</v>
      </c>
      <c r="DD42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2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2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4" s="424">
        <f>IF(WWWW[[#This Row],['# of functional latrines in THF supported by WASH partners during the reporting period2]]="",0,WWWW[[#This Row],['# of functional latrines in THF supported by WASH partners during the reporting period2]]*50)</f>
        <v>0</v>
      </c>
      <c r="DH424" s="997">
        <f>ROUND(IF(WWWW[[#This Row],[Location Type 1]]="camp",WWWW[[#This Row],[Total PoP ]]/20,IF(WWWW[[#This Row],[Location Type 1]]="Temporary Location",WWWW[[#This Row],[Total PoP ]]/50,(WWWW[[#This Row],[Total PoP ]]/6))),0)</f>
        <v>11</v>
      </c>
      <c r="DI424" s="997">
        <f>IF(WWWW[[#This Row],[Total required Latrines]]-(WWWW[[#This Row],['#_Constructed latrines_by_WASHAgencies]]+WWWW[[#This Row],['#_Non Cluster partner latrines]])&lt;0,0,WWWW[[#This Row],[Total required Latrines]]-(WWWW[[#This Row],['#_Constructed latrines_by_WASHAgencies]]+WWWW[[#This Row],['#_Non Cluster partner latrines]]))</f>
        <v>11</v>
      </c>
      <c r="DJ424" s="999">
        <f>1-WWWW[[#This Row],[% people access to functioning Latrine]]</f>
        <v>1</v>
      </c>
      <c r="DK424" s="998">
        <f>IF(OR(WWWW[[#This Row],['#_Non-functional latrines]]="",WWWW[[#This Row],['#_Non-functional latrines]]=0),0,WWWW[[#This Row],['#_Non-functional latrines]]/(WWWW[[#This Row],['#_Constructed latrines_by_WASHAgencies]]+WWWW[[#This Row],['#_Non Cluster partner latrines]]))</f>
        <v>0</v>
      </c>
      <c r="DL424" s="994">
        <f>IF(500*(WWWW[[#This Row],['#_male hygiene promoters]]+WWWW[[#This Row],['#_female hygiene promoters]])&gt;WWWW[[#This Row],[Total PoP ]],WWWW[[#This Row],[Total PoP ]],500*(WWWW[[#This Row],['#_male hygiene promoters]]+WWWW[[#This Row],['#_female hygiene promoters]]))</f>
        <v>0</v>
      </c>
      <c r="DM42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2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24" s="997">
        <f>IF(WWWW[[#This Row],['# People with access to soap]]&gt;WWWW[[#This Row],['# People with access to Sanity Pads]],WWWW[[#This Row],['# People with access to soap]],WWWW[[#This Row],['# People with access to Sanity Pads]])</f>
        <v>0</v>
      </c>
      <c r="DP424"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24" s="999">
        <f>IF(WWWW[[#This Row],[HRP3]]/WWWW[[#This Row],[Total PoP ]]&gt;1,1,WWWW[[#This Row],[HRP3]]/WWWW[[#This Row],[Total PoP ]])</f>
        <v>0</v>
      </c>
      <c r="DR424" s="998">
        <f>1-WWWW[[#This Row],[Hygiene Coverage%]]</f>
        <v>1</v>
      </c>
      <c r="DS424" s="996">
        <f>WWWW[[#This Row],['# people reached by regular dedicated hygiene promotion_5]]/WWWW[[#This Row],[Total PoP ]]</f>
        <v>0</v>
      </c>
      <c r="DT42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2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24" s="997">
        <f>WWWW[[#This Row],['#_Constructed/Existing hand washing stations]]-WWWW[[#This Row],['#_Non-Functional_hand_washing_stations]]</f>
        <v>3</v>
      </c>
      <c r="DW424" s="994">
        <f>IF(WWWW[[#This Row],['# Functional hand washing stations during reporting period]]*20&gt;WWWW[[#This Row],[Total HH]],WWWW[[#This Row],[Total HH]],WWWW[[#This Row],['# Functional hand washing stations during reporting period]]*20)</f>
        <v>40</v>
      </c>
      <c r="DX424" s="994">
        <f>IF(WWWW[[#This Row],[Is sufficient soap available for TLS? (Yes/No)]]="yes",WWWW[[#This Row],['#_Constructed/Existing hand washing stations at TLS/CFS/THF]],0)</f>
        <v>0</v>
      </c>
      <c r="DY424" s="428">
        <f>IF(WWWW[[#This Row],['# Functional hand washing stations during reporting period]]*100&gt;WWWW[[#This Row],[Total PoP ]],WWWW[[#This Row],[Total PoP ]],WWWW[[#This Row],['# Functional hand washing stations during reporting period]]*100)</f>
        <v>220</v>
      </c>
      <c r="DZ424" s="428" t="str">
        <f>IF(OR(WWWW[[#This Row],['#_students at TLS_CFS]]="",WWWW[[#This Row],['#_students at TLS_CFS]]=0),"No","Yes")</f>
        <v>No</v>
      </c>
      <c r="EA42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2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24" s="990">
        <f>VLOOKUP(WWWW[[#This Row],[Site Name]],SiteDB6[[Site Name]:[CCCM Management]],6,FALSE)</f>
        <v>0</v>
      </c>
      <c r="EF424" s="990" t="str">
        <f>VLOOKUP(WWWW[[#This Row],[Site Name]],SiteDB6[[Site Name]:[CCCM Focal Agency]],7,FALSE)</f>
        <v xml:space="preserve">Uncovered  </v>
      </c>
      <c r="EG424" s="990" t="str">
        <f>VLOOKUP(WWWW[[#This Row],[Site Name]],SiteDB6[[Site Name]:[Location Type 1]],9,FALSE)</f>
        <v>Camp</v>
      </c>
      <c r="EH424" s="990" t="str">
        <f>VLOOKUP(WWWW[[#This Row],[Site Name]],SiteDB6[[Site Name]:[Type of Accommodation]],10,FALSE)</f>
        <v>Camp like setting</v>
      </c>
      <c r="EI424" s="990" t="str">
        <f>VLOOKUP(WWWW[[#This Row],[Site Name]],SiteDB6[[Site Name]:[Ethnic or GCA/NGCA]],11,FALSE)</f>
        <v>GCA</v>
      </c>
      <c r="EJ424" s="990">
        <f>VLOOKUP(WWWW[[#This Row],[Site Name]],SiteDB6[[Site Name]:[Lat]],12,FALSE)</f>
        <v>25.210599999999999</v>
      </c>
      <c r="EK424" s="990">
        <f>VLOOKUP(WWWW[[#This Row],[Site Name]],SiteDB6[[Site Name]:[Long]],13,FALSE)</f>
        <v>97.264700000000005</v>
      </c>
      <c r="EL424" s="990" t="str">
        <f>VLOOKUP(WWWW[[#This Row],[Site Name]],SiteDB6[[Site Name]:[Pcode]],3,FALSE)</f>
        <v>MMR001CMP289</v>
      </c>
      <c r="EM424" s="995" t="str">
        <f t="shared" si="7"/>
        <v>Notcovered</v>
      </c>
      <c r="EN424" s="995"/>
      <c r="EO424" s="990">
        <f>VLOOKUP(WWWW[[#This Row],[Site Name]],SiteDB6[[Site Name]:[Pop
(Kachin/Shan-CCCM as of July 2021)]],16,FALSE)</f>
        <v>40</v>
      </c>
      <c r="EP424" s="990">
        <f>VLOOKUP(WWWW[[#This Row],[Site Name]],SiteDB6[[Site Name]:[Pop
(Kachin/Shan-CCCM as of July 2021)]],17,FALSE)</f>
        <v>220</v>
      </c>
    </row>
    <row r="425" spans="1:146">
      <c r="A425" s="988" t="s">
        <v>2765</v>
      </c>
      <c r="B425" s="988" t="s">
        <v>3073</v>
      </c>
      <c r="C425" s="989" t="s">
        <v>141</v>
      </c>
      <c r="D425" s="989" t="s">
        <v>3166</v>
      </c>
      <c r="E425" s="989" t="s">
        <v>37</v>
      </c>
      <c r="F425" s="989" t="s">
        <v>142</v>
      </c>
      <c r="G425" s="591" t="str">
        <f>VLOOKUP(WWWW[[#This Row],[Site Name]],SiteDB6[[Site Name]:[Location Type]],8,FALSE)</f>
        <v>Camp</v>
      </c>
      <c r="H425" s="989" t="s">
        <v>176</v>
      </c>
      <c r="I425" s="991">
        <v>39</v>
      </c>
      <c r="J425" s="991">
        <v>238</v>
      </c>
      <c r="K425" s="992">
        <v>44682</v>
      </c>
      <c r="L425" s="993">
        <v>45169</v>
      </c>
      <c r="M425" s="991"/>
      <c r="N425" s="991">
        <v>1</v>
      </c>
      <c r="O425" s="991"/>
      <c r="P425" s="991"/>
      <c r="Q425" s="994" t="s">
        <v>41</v>
      </c>
      <c r="R425" s="991">
        <v>3</v>
      </c>
      <c r="S425" s="991">
        <v>4</v>
      </c>
      <c r="T425" s="448">
        <v>2</v>
      </c>
      <c r="U425" s="991"/>
      <c r="V425" s="991"/>
      <c r="W425" s="991">
        <v>1</v>
      </c>
      <c r="X425" s="991"/>
      <c r="Y425" s="991"/>
      <c r="Z425" s="991"/>
      <c r="AA425" s="991"/>
      <c r="AB425" s="991"/>
      <c r="AC425" s="991"/>
      <c r="AD425" s="991"/>
      <c r="AE425" s="991"/>
      <c r="AF425" s="991"/>
      <c r="AG425" s="991"/>
      <c r="AH425" s="991">
        <v>3</v>
      </c>
      <c r="AI425" s="991"/>
      <c r="AJ425" s="991"/>
      <c r="AK425" s="991"/>
      <c r="AL425" s="991"/>
      <c r="AM425" s="991"/>
      <c r="AN425" s="991"/>
      <c r="AO425" s="448"/>
      <c r="AP425" s="995"/>
      <c r="AQ425" s="991">
        <v>6</v>
      </c>
      <c r="AR425" s="991"/>
      <c r="AS425" s="996"/>
      <c r="AT425" s="991"/>
      <c r="AU425" s="991"/>
      <c r="AV425" s="991"/>
      <c r="AW425" s="991"/>
      <c r="AX425" s="991">
        <v>6</v>
      </c>
      <c r="AY425" s="990" t="s">
        <v>41</v>
      </c>
      <c r="AZ425" s="995" t="s">
        <v>137</v>
      </c>
      <c r="BA425" s="991"/>
      <c r="BB425" s="991"/>
      <c r="BC425" s="991"/>
      <c r="BD425" s="448"/>
      <c r="BE425" s="448"/>
      <c r="BF425" s="990"/>
      <c r="BG425" s="991">
        <v>8</v>
      </c>
      <c r="BH425" s="991"/>
      <c r="BI425" s="991"/>
      <c r="BJ425" s="991">
        <v>3</v>
      </c>
      <c r="BK425" s="991"/>
      <c r="BL425" s="991"/>
      <c r="BM425" s="991">
        <v>1</v>
      </c>
      <c r="BN425" s="991"/>
      <c r="BO425" s="991"/>
      <c r="BP425" s="990"/>
      <c r="BQ425" s="997"/>
      <c r="BR425" s="996"/>
      <c r="BS425" s="990"/>
      <c r="BT425" s="423"/>
      <c r="BU425" s="423"/>
      <c r="BV425" s="425"/>
      <c r="BW425" s="423"/>
      <c r="BX425" s="448"/>
      <c r="BY425" s="448"/>
      <c r="BZ425" s="448"/>
      <c r="CA425" s="448"/>
      <c r="CB425" s="448"/>
      <c r="CC425" s="777"/>
      <c r="CD425" s="448"/>
      <c r="CE425" s="998" t="str">
        <f>IFERROR(WWWW[[#This Row],['#_Water sources passed]]/WWWW[[#This Row],['#_Water sources tested for fecal coliform ]],"no test")</f>
        <v>no test</v>
      </c>
      <c r="CF425" s="996" t="str">
        <f>IFERROR(WWWW[[#This Row],['#_Household passed]]/WWWW[[#This Row],['#_Household water samples tested for fecal coliform]],"no test")</f>
        <v>no test</v>
      </c>
      <c r="CG425" s="997" t="str">
        <f>IF(AND(WWWW[[#This Row],[% of water sources passed]]="no test",WWWW[[#This Row],[% Household passed]]="no test"),"No Test","Tested")</f>
        <v>No Test</v>
      </c>
      <c r="CH425" s="997">
        <f>WWWW[[#This Row],['#_Constructed/existing protected hand dug well]]-WWWW[[#This Row],['#_Non-functional protected hand dug well]]</f>
        <v>2</v>
      </c>
      <c r="CI425" s="997">
        <f>(WWWW[[#This Row],['#_Constructed/Existing tube wells/boreholes/handpumps_WASH_agency]]+WWWW[[#This Row],['#_Non-Cluster partner water tube-wells/boreholes/handpumps]])-WWWW[[#This Row],['#_Non-functional tube wells/boreholes/handpumps]]</f>
        <v>1</v>
      </c>
      <c r="CJ425" s="997">
        <f>WWWW[[#This Row],['#_Constructed/Existingwater storage tank with gravity fed reticulation system]]-WWWW[[#This Row],['#_Non-functional storage tank gravity fed reticulation system]]</f>
        <v>0</v>
      </c>
      <c r="CK425" s="997">
        <f>(WWWW[[#This Row],['#_Water_Liters_supplied_by_Water boating or water trucking]]/90)/15</f>
        <v>0</v>
      </c>
      <c r="CL425" s="997">
        <f>WWWW[[#This Row],['#_Water_Liters_from_Constructed/Existing water distribution system from river or natural spring]]/90/15</f>
        <v>0</v>
      </c>
      <c r="CM425" s="424">
        <f>IF(WWWW[[#This Row],['#_of water points in TLS/CFS]]*500&gt;WWWW[[#This Row],[Total PoP ]],WWWW[[#This Row],[Total PoP ]],WWWW[[#This Row],['#_of water points in TLS/CFS]]*500)</f>
        <v>0</v>
      </c>
      <c r="CN425" s="424">
        <f>IF(WWWW[[#This Row],['#_of water points in THF]]*500&gt;WWWW[[#This Row],[Total PoP ]],WWWW[[#This Row],[Total PoP ]],WWWW[[#This Row],['#_of water points in THF]]*500)</f>
        <v>0</v>
      </c>
      <c r="CO42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2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25" s="996">
        <f>IF(WWWW[[#This Row],[Location Type 1]]="Village",WWWW[[#This Row],[Access to safe drinking water for Village]],WWWW[[#This Row],[Access to safe drinking water for Camp]])</f>
        <v>1</v>
      </c>
      <c r="CR425" s="994">
        <f>WWWW[[#This Row],[%Equitable and continuous access to sufficient quantity of safe drinking water]]*WWWW[[#This Row],[Total PoP ]]</f>
        <v>238</v>
      </c>
      <c r="CS425" s="996">
        <f>IF((WWWW[[#This Row],['#_Constructed/Existing protected/fenced ponds]]*250)/WWWW[[#This Row],[Total PoP ]]&gt;1,1,(WWWW[[#This Row],['#_Constructed/Existing protected/fenced ponds]]*250)/WWWW[[#This Row],[Total PoP ]])</f>
        <v>0</v>
      </c>
      <c r="CT425" s="994">
        <f>WWWW[[#This Row],[% Access to unimproved water points]]*WWWW[[#This Row],[Total PoP ]]</f>
        <v>0</v>
      </c>
      <c r="CU42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2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238</v>
      </c>
      <c r="CW425" s="994">
        <f>WWWW[[#This Row],[HRP1]]/500</f>
        <v>0.47599999999999998</v>
      </c>
      <c r="CX425" s="999">
        <f>1-WWWW[[#This Row],[% Equitable and continuous access to sufficient quantity of domestic water]]</f>
        <v>0</v>
      </c>
      <c r="CY425" s="994">
        <f>WWWW[[#This Row],[%equitable and continuous access to sufficient quantity of safe drinking and domestic water''s GAP]]*WWWW[[#This Row],[Total PoP ]]</f>
        <v>0</v>
      </c>
      <c r="CZ425" s="997">
        <f>IF(WWWW[[#This Row],[Total required water points]]-WWWW[[#This Row],['#Water points coverage]]&lt;0,0,WWWW[[#This Row],[Total required water points]]-WWWW[[#This Row],['#Water points coverage]])</f>
        <v>0.52400000000000002</v>
      </c>
      <c r="DA425" s="997">
        <f>ROUND(IF(WWWW[[#This Row],[Total PoP ]]&lt;500,1,WWWW[[#This Row],[Total PoP ]]/500),0)</f>
        <v>1</v>
      </c>
      <c r="DB425" s="997">
        <f>(WWWW[[#This Row],['#_Constructed latrines_by_WASHAgencies]]+WWWW[[#This Row],['#_Non Cluster partner latrines]])-WWWW[[#This Row],['#_Non-functional latrines]]</f>
        <v>6</v>
      </c>
      <c r="DC425" s="631">
        <f>WWWW[[#This Row],[HRP2]]/WWWW[[#This Row],[Total PoP ]]</f>
        <v>0.50420168067226889</v>
      </c>
      <c r="DD42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42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2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5" s="424">
        <f>IF(WWWW[[#This Row],['# of functional latrines in THF supported by WASH partners during the reporting period2]]="",0,WWWW[[#This Row],['# of functional latrines in THF supported by WASH partners during the reporting period2]]*50)</f>
        <v>0</v>
      </c>
      <c r="DH425" s="997">
        <f>ROUND(IF(WWWW[[#This Row],[Location Type 1]]="camp",WWWW[[#This Row],[Total PoP ]]/20,IF(WWWW[[#This Row],[Location Type 1]]="Temporary Location",WWWW[[#This Row],[Total PoP ]]/50,(WWWW[[#This Row],[Total PoP ]]/6))),0)</f>
        <v>12</v>
      </c>
      <c r="DI425" s="997">
        <f>IF(WWWW[[#This Row],[Total required Latrines]]-(WWWW[[#This Row],['#_Constructed latrines_by_WASHAgencies]]+WWWW[[#This Row],['#_Non Cluster partner latrines]])&lt;0,0,WWWW[[#This Row],[Total required Latrines]]-(WWWW[[#This Row],['#_Constructed latrines_by_WASHAgencies]]+WWWW[[#This Row],['#_Non Cluster partner latrines]]))</f>
        <v>6</v>
      </c>
      <c r="DJ425" s="999">
        <f>1-WWWW[[#This Row],[% people access to functioning Latrine]]</f>
        <v>0.49579831932773111</v>
      </c>
      <c r="DK425" s="998">
        <f>IF(OR(WWWW[[#This Row],['#_Non-functional latrines]]="",WWWW[[#This Row],['#_Non-functional latrines]]=0),0,WWWW[[#This Row],['#_Non-functional latrines]]/(WWWW[[#This Row],['#_Constructed latrines_by_WASHAgencies]]+WWWW[[#This Row],['#_Non Cluster partner latrines]]))</f>
        <v>0</v>
      </c>
      <c r="DL425" s="994">
        <f>IF(500*(WWWW[[#This Row],['#_male hygiene promoters]]+WWWW[[#This Row],['#_female hygiene promoters]])&gt;WWWW[[#This Row],[Total PoP ]],WWWW[[#This Row],[Total PoP ]],500*(WWWW[[#This Row],['#_male hygiene promoters]]+WWWW[[#This Row],['#_female hygiene promoters]]))</f>
        <v>238</v>
      </c>
      <c r="DM42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2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25" s="997">
        <f>IF(WWWW[[#This Row],['# People with access to soap]]&gt;WWWW[[#This Row],['# People with access to Sanity Pads]],WWWW[[#This Row],['# People with access to soap]],WWWW[[#This Row],['# People with access to Sanity Pads]])</f>
        <v>0</v>
      </c>
      <c r="DP425" s="997">
        <f>IF(WWWW[[#This Row],['# people reached by regular dedicated hygiene promotion_5]]&gt;WWWW[[#This Row],['# People received regular supply of hygiene items_6]],WWWW[[#This Row],['# people reached by regular dedicated hygiene promotion_5]],WWWW[[#This Row],['# People received regular supply of hygiene items_6]])</f>
        <v>238</v>
      </c>
      <c r="DQ425" s="999">
        <f>IF(WWWW[[#This Row],[HRP3]]/WWWW[[#This Row],[Total PoP ]]&gt;1,1,WWWW[[#This Row],[HRP3]]/WWWW[[#This Row],[Total PoP ]])</f>
        <v>1</v>
      </c>
      <c r="DR425" s="998">
        <f>1-WWWW[[#This Row],[Hygiene Coverage%]]</f>
        <v>0</v>
      </c>
      <c r="DS425" s="996">
        <f>WWWW[[#This Row],['# people reached by regular dedicated hygiene promotion_5]]/WWWW[[#This Row],[Total PoP ]]</f>
        <v>1</v>
      </c>
      <c r="DT42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2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25" s="997">
        <f>WWWW[[#This Row],['#_Constructed/Existing hand washing stations]]-WWWW[[#This Row],['#_Non-Functional_hand_washing_stations]]</f>
        <v>8</v>
      </c>
      <c r="DW425" s="994">
        <f>IF(WWWW[[#This Row],['# Functional hand washing stations during reporting period]]*20&gt;WWWW[[#This Row],[Total HH]],WWWW[[#This Row],[Total HH]],WWWW[[#This Row],['# Functional hand washing stations during reporting period]]*20)</f>
        <v>39</v>
      </c>
      <c r="DX425" s="994">
        <f>IF(WWWW[[#This Row],[Is sufficient soap available for TLS? (Yes/No)]]="yes",WWWW[[#This Row],['#_Constructed/Existing hand washing stations at TLS/CFS/THF]],0)</f>
        <v>0</v>
      </c>
      <c r="DY425" s="428">
        <f>IF(WWWW[[#This Row],['# Functional hand washing stations during reporting period]]*100&gt;WWWW[[#This Row],[Total PoP ]],WWWW[[#This Row],[Total PoP ]],WWWW[[#This Row],['# Functional hand washing stations during reporting period]]*100)</f>
        <v>238</v>
      </c>
      <c r="DZ425" s="428" t="str">
        <f>IF(OR(WWWW[[#This Row],['#_students at TLS_CFS]]="",WWWW[[#This Row],['#_students at TLS_CFS]]=0),"No","Yes")</f>
        <v>No</v>
      </c>
      <c r="EA42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2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25" s="990" t="str">
        <f>VLOOKUP(WWWW[[#This Row],[Site Name]],SiteDB6[[Site Name]:[CCCM Management]],6,FALSE)</f>
        <v>Yes</v>
      </c>
      <c r="EF425" s="990" t="str">
        <f>VLOOKUP(WWWW[[#This Row],[Site Name]],SiteDB6[[Site Name]:[CCCM Focal Agency]],7,FALSE)</f>
        <v>KBC-MYT</v>
      </c>
      <c r="EG425" s="990" t="str">
        <f>VLOOKUP(WWWW[[#This Row],[Site Name]],SiteDB6[[Site Name]:[Location Type 1]],9,FALSE)</f>
        <v>Camp</v>
      </c>
      <c r="EH425" s="990" t="str">
        <f>VLOOKUP(WWWW[[#This Row],[Site Name]],SiteDB6[[Site Name]:[Type of Accommodation]],10,FALSE)</f>
        <v>Camp</v>
      </c>
      <c r="EI425" s="990" t="str">
        <f>VLOOKUP(WWWW[[#This Row],[Site Name]],SiteDB6[[Site Name]:[Ethnic or GCA/NGCA]],11,FALSE)</f>
        <v>GCA</v>
      </c>
      <c r="EJ425" s="990">
        <f>VLOOKUP(WWWW[[#This Row],[Site Name]],SiteDB6[[Site Name]:[Lat]],12,FALSE)</f>
        <v>25.356632000000001</v>
      </c>
      <c r="EK425" s="990">
        <f>VLOOKUP(WWWW[[#This Row],[Site Name]],SiteDB6[[Site Name]:[Long]],13,FALSE)</f>
        <v>97.451965000000001</v>
      </c>
      <c r="EL425" s="990" t="str">
        <f>VLOOKUP(WWWW[[#This Row],[Site Name]],SiteDB6[[Site Name]:[Pcode]],3,FALSE)</f>
        <v>MMR001CMP027</v>
      </c>
      <c r="EM425" s="995" t="str">
        <f t="shared" si="7"/>
        <v>Covered</v>
      </c>
      <c r="EN425" s="995"/>
      <c r="EO425" s="990">
        <f>VLOOKUP(WWWW[[#This Row],[Site Name]],SiteDB6[[Site Name]:[Pop
(Kachin/Shan-CCCM as of July 2021)]],16,FALSE)</f>
        <v>39</v>
      </c>
      <c r="EP425" s="990">
        <f>VLOOKUP(WWWW[[#This Row],[Site Name]],SiteDB6[[Site Name]:[Pop
(Kachin/Shan-CCCM as of July 2021)]],17,FALSE)</f>
        <v>238</v>
      </c>
    </row>
    <row r="426" spans="1:146">
      <c r="A426" s="988" t="s">
        <v>2765</v>
      </c>
      <c r="B426" s="988" t="s">
        <v>276</v>
      </c>
      <c r="C426" s="989" t="s">
        <v>276</v>
      </c>
      <c r="D426" s="989" t="s">
        <v>3037</v>
      </c>
      <c r="E426" s="989" t="s">
        <v>37</v>
      </c>
      <c r="F426" s="989" t="s">
        <v>205</v>
      </c>
      <c r="G426" s="591" t="str">
        <f>VLOOKUP(WWWW[[#This Row],[Site Name]],SiteDB6[[Site Name]:[Location Type]],8,FALSE)</f>
        <v>Camp_not registered</v>
      </c>
      <c r="H426" s="989" t="s">
        <v>2160</v>
      </c>
      <c r="I426" s="991">
        <v>11</v>
      </c>
      <c r="J426" s="991">
        <v>32</v>
      </c>
      <c r="K426" s="992">
        <v>44652</v>
      </c>
      <c r="L426" s="993">
        <v>44895</v>
      </c>
      <c r="M426" s="991"/>
      <c r="N426" s="991"/>
      <c r="O426" s="991">
        <v>1</v>
      </c>
      <c r="P426" s="991"/>
      <c r="Q426" s="994" t="s">
        <v>41</v>
      </c>
      <c r="R426" s="991">
        <v>3</v>
      </c>
      <c r="S426" s="991">
        <v>8</v>
      </c>
      <c r="T426" s="448"/>
      <c r="U426" s="991"/>
      <c r="V426" s="991"/>
      <c r="W426" s="991">
        <v>1</v>
      </c>
      <c r="X426" s="991"/>
      <c r="Y426" s="991"/>
      <c r="Z426" s="991"/>
      <c r="AA426" s="991">
        <v>1</v>
      </c>
      <c r="AB426" s="991"/>
      <c r="AC426" s="991"/>
      <c r="AD426" s="991"/>
      <c r="AE426" s="991"/>
      <c r="AF426" s="991"/>
      <c r="AG426" s="991">
        <v>1</v>
      </c>
      <c r="AH426" s="991"/>
      <c r="AI426" s="991"/>
      <c r="AJ426" s="991"/>
      <c r="AK426" s="991">
        <v>2</v>
      </c>
      <c r="AL426" s="991">
        <v>2</v>
      </c>
      <c r="AM426" s="991"/>
      <c r="AN426" s="991"/>
      <c r="AO426" s="448"/>
      <c r="AP426" s="995"/>
      <c r="AQ426" s="991">
        <v>12</v>
      </c>
      <c r="AR426" s="991"/>
      <c r="AS426" s="996"/>
      <c r="AT426" s="991"/>
      <c r="AU426" s="991"/>
      <c r="AV426" s="991">
        <v>3</v>
      </c>
      <c r="AW426" s="991">
        <v>4</v>
      </c>
      <c r="AX426" s="991"/>
      <c r="AY426" s="990" t="s">
        <v>41</v>
      </c>
      <c r="AZ426" s="995" t="s">
        <v>137</v>
      </c>
      <c r="BA426" s="991"/>
      <c r="BB426" s="991"/>
      <c r="BC426" s="991"/>
      <c r="BD426" s="448"/>
      <c r="BE426" s="448"/>
      <c r="BF426" s="990"/>
      <c r="BG426" s="991">
        <v>7</v>
      </c>
      <c r="BH426" s="991"/>
      <c r="BI426" s="991"/>
      <c r="BJ426" s="991">
        <v>7</v>
      </c>
      <c r="BK426" s="991"/>
      <c r="BL426" s="991"/>
      <c r="BM426" s="991">
        <v>1</v>
      </c>
      <c r="BN426" s="991">
        <v>11</v>
      </c>
      <c r="BO426" s="991"/>
      <c r="BP426" s="990"/>
      <c r="BQ426" s="997"/>
      <c r="BR426" s="996"/>
      <c r="BS426" s="990"/>
      <c r="BT426" s="423"/>
      <c r="BU426" s="423"/>
      <c r="BV426" s="425"/>
      <c r="BW426" s="423"/>
      <c r="BX426" s="448"/>
      <c r="BY426" s="448"/>
      <c r="BZ426" s="448"/>
      <c r="CA426" s="448"/>
      <c r="CB426" s="448"/>
      <c r="CC426" s="777"/>
      <c r="CD426" s="448"/>
      <c r="CE426" s="998" t="str">
        <f>IFERROR(WWWW[[#This Row],['#_Water sources passed]]/WWWW[[#This Row],['#_Water sources tested for fecal coliform ]],"no test")</f>
        <v>no test</v>
      </c>
      <c r="CF426" s="996">
        <f>IFERROR(WWWW[[#This Row],['#_Household passed]]/WWWW[[#This Row],['#_Household water samples tested for fecal coliform]],"no test")</f>
        <v>1</v>
      </c>
      <c r="CG426" s="997" t="str">
        <f>IF(AND(WWWW[[#This Row],[% of water sources passed]]="no test",WWWW[[#This Row],[% Household passed]]="no test"),"No Test","Tested")</f>
        <v>Tested</v>
      </c>
      <c r="CH426" s="997">
        <f>WWWW[[#This Row],['#_Constructed/existing protected hand dug well]]-WWWW[[#This Row],['#_Non-functional protected hand dug well]]</f>
        <v>0</v>
      </c>
      <c r="CI426" s="997">
        <f>(WWWW[[#This Row],['#_Constructed/Existing tube wells/boreholes/handpumps_WASH_agency]]+WWWW[[#This Row],['#_Non-Cluster partner water tube-wells/boreholes/handpumps]])-WWWW[[#This Row],['#_Non-functional tube wells/boreholes/handpumps]]</f>
        <v>1</v>
      </c>
      <c r="CJ426" s="997">
        <f>WWWW[[#This Row],['#_Constructed/Existingwater storage tank with gravity fed reticulation system]]-WWWW[[#This Row],['#_Non-functional storage tank gravity fed reticulation system]]</f>
        <v>1</v>
      </c>
      <c r="CK426" s="997">
        <f>(WWWW[[#This Row],['#_Water_Liters_supplied_by_Water boating or water trucking]]/90)/15</f>
        <v>0</v>
      </c>
      <c r="CL426" s="997">
        <f>WWWW[[#This Row],['#_Water_Liters_from_Constructed/Existing water distribution system from river or natural spring]]/90/15</f>
        <v>0</v>
      </c>
      <c r="CM426" s="424">
        <f>IF(WWWW[[#This Row],['#_of water points in TLS/CFS]]*500&gt;WWWW[[#This Row],[Total PoP ]],WWWW[[#This Row],[Total PoP ]],WWWW[[#This Row],['#_of water points in TLS/CFS]]*500)</f>
        <v>0</v>
      </c>
      <c r="CN426" s="424">
        <f>IF(WWWW[[#This Row],['#_of water points in THF]]*500&gt;WWWW[[#This Row],[Total PoP ]],WWWW[[#This Row],[Total PoP ]],WWWW[[#This Row],['#_of water points in THF]]*500)</f>
        <v>0</v>
      </c>
      <c r="CO42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2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26" s="996">
        <f>IF(WWWW[[#This Row],[Location Type 1]]="Village",WWWW[[#This Row],[Access to safe drinking water for Village]],WWWW[[#This Row],[Access to safe drinking water for Camp]])</f>
        <v>1</v>
      </c>
      <c r="CR426" s="994">
        <f>WWWW[[#This Row],[%Equitable and continuous access to sufficient quantity of safe drinking water]]*WWWW[[#This Row],[Total PoP ]]</f>
        <v>32</v>
      </c>
      <c r="CS426" s="996">
        <f>IF((WWWW[[#This Row],['#_Constructed/Existing protected/fenced ponds]]*250)/WWWW[[#This Row],[Total PoP ]]&gt;1,1,(WWWW[[#This Row],['#_Constructed/Existing protected/fenced ponds]]*250)/WWWW[[#This Row],[Total PoP ]])</f>
        <v>0</v>
      </c>
      <c r="CT426" s="994">
        <f>WWWW[[#This Row],[% Access to unimproved water points]]*WWWW[[#This Row],[Total PoP ]]</f>
        <v>0</v>
      </c>
      <c r="CU42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2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W426" s="994">
        <f>WWWW[[#This Row],[HRP1]]/500</f>
        <v>6.4000000000000001E-2</v>
      </c>
      <c r="CX426" s="999">
        <f>1-WWWW[[#This Row],[% Equitable and continuous access to sufficient quantity of domestic water]]</f>
        <v>0</v>
      </c>
      <c r="CY426" s="994">
        <f>WWWW[[#This Row],[%equitable and continuous access to sufficient quantity of safe drinking and domestic water''s GAP]]*WWWW[[#This Row],[Total PoP ]]</f>
        <v>0</v>
      </c>
      <c r="CZ426" s="997">
        <f>IF(WWWW[[#This Row],[Total required water points]]-WWWW[[#This Row],['#Water points coverage]]&lt;0,0,WWWW[[#This Row],[Total required water points]]-WWWW[[#This Row],['#Water points coverage]])</f>
        <v>0.93599999999999994</v>
      </c>
      <c r="DA426" s="997">
        <f>ROUND(IF(WWWW[[#This Row],[Total PoP ]]&lt;500,1,WWWW[[#This Row],[Total PoP ]]/500),0)</f>
        <v>1</v>
      </c>
      <c r="DB426" s="997">
        <f>(WWWW[[#This Row],['#_Constructed latrines_by_WASHAgencies]]+WWWW[[#This Row],['#_Non Cluster partner latrines]])-WWWW[[#This Row],['#_Non-functional latrines]]</f>
        <v>12</v>
      </c>
      <c r="DC426" s="631">
        <f>WWWW[[#This Row],[HRP2]]/WWWW[[#This Row],[Total PoP ]]</f>
        <v>1</v>
      </c>
      <c r="DD42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v>
      </c>
      <c r="DE42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32</v>
      </c>
      <c r="DF42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6" s="424">
        <f>IF(WWWW[[#This Row],['# of functional latrines in THF supported by WASH partners during the reporting period2]]="",0,WWWW[[#This Row],['# of functional latrines in THF supported by WASH partners during the reporting period2]]*50)</f>
        <v>0</v>
      </c>
      <c r="DH426" s="997">
        <f>ROUND(IF(WWWW[[#This Row],[Location Type 1]]="camp",WWWW[[#This Row],[Total PoP ]]/20,IF(WWWW[[#This Row],[Location Type 1]]="Temporary Location",WWWW[[#This Row],[Total PoP ]]/50,(WWWW[[#This Row],[Total PoP ]]/6))),0)</f>
        <v>2</v>
      </c>
      <c r="DI426" s="997">
        <f>IF(WWWW[[#This Row],[Total required Latrines]]-(WWWW[[#This Row],['#_Constructed latrines_by_WASHAgencies]]+WWWW[[#This Row],['#_Non Cluster partner latrines]])&lt;0,0,WWWW[[#This Row],[Total required Latrines]]-(WWWW[[#This Row],['#_Constructed latrines_by_WASHAgencies]]+WWWW[[#This Row],['#_Non Cluster partner latrines]]))</f>
        <v>0</v>
      </c>
      <c r="DJ426" s="999">
        <f>1-WWWW[[#This Row],[% people access to functioning Latrine]]</f>
        <v>0</v>
      </c>
      <c r="DK426" s="998">
        <f>IF(OR(WWWW[[#This Row],['#_Non-functional latrines]]="",WWWW[[#This Row],['#_Non-functional latrines]]=0),0,WWWW[[#This Row],['#_Non-functional latrines]]/(WWWW[[#This Row],['#_Constructed latrines_by_WASHAgencies]]+WWWW[[#This Row],['#_Non Cluster partner latrines]]))</f>
        <v>0</v>
      </c>
      <c r="DL426" s="994">
        <f>IF(500*(WWWW[[#This Row],['#_male hygiene promoters]]+WWWW[[#This Row],['#_female hygiene promoters]])&gt;WWWW[[#This Row],[Total PoP ]],WWWW[[#This Row],[Total PoP ]],500*(WWWW[[#This Row],['#_male hygiene promoters]]+WWWW[[#This Row],['#_female hygiene promoters]]))</f>
        <v>32</v>
      </c>
      <c r="DM42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32</v>
      </c>
      <c r="DN42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26" s="997">
        <f>IF(WWWW[[#This Row],['# People with access to soap]]&gt;WWWW[[#This Row],['# People with access to Sanity Pads]],WWWW[[#This Row],['# People with access to soap]],WWWW[[#This Row],['# People with access to Sanity Pads]])</f>
        <v>32</v>
      </c>
      <c r="DP426" s="997">
        <f>IF(WWWW[[#This Row],['# people reached by regular dedicated hygiene promotion_5]]&gt;WWWW[[#This Row],['# People received regular supply of hygiene items_6]],WWWW[[#This Row],['# people reached by regular dedicated hygiene promotion_5]],WWWW[[#This Row],['# People received regular supply of hygiene items_6]])</f>
        <v>32</v>
      </c>
      <c r="DQ426" s="999">
        <f>IF(WWWW[[#This Row],[HRP3]]/WWWW[[#This Row],[Total PoP ]]&gt;1,1,WWWW[[#This Row],[HRP3]]/WWWW[[#This Row],[Total PoP ]])</f>
        <v>1</v>
      </c>
      <c r="DR426" s="998">
        <f>1-WWWW[[#This Row],[Hygiene Coverage%]]</f>
        <v>0</v>
      </c>
      <c r="DS426" s="996">
        <f>WWWW[[#This Row],['# people reached by regular dedicated hygiene promotion_5]]/WWWW[[#This Row],[Total PoP ]]</f>
        <v>1</v>
      </c>
      <c r="DT42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2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26" s="997">
        <f>WWWW[[#This Row],['#_Constructed/Existing hand washing stations]]-WWWW[[#This Row],['#_Non-Functional_hand_washing_stations]]</f>
        <v>7</v>
      </c>
      <c r="DW426" s="994">
        <f>IF(WWWW[[#This Row],['# Functional hand washing stations during reporting period]]*20&gt;WWWW[[#This Row],[Total HH]],WWWW[[#This Row],[Total HH]],WWWW[[#This Row],['# Functional hand washing stations during reporting period]]*20)</f>
        <v>11</v>
      </c>
      <c r="DX426" s="994">
        <f>IF(WWWW[[#This Row],[Is sufficient soap available for TLS? (Yes/No)]]="yes",WWWW[[#This Row],['#_Constructed/Existing hand washing stations at TLS/CFS/THF]],0)</f>
        <v>0</v>
      </c>
      <c r="DY426" s="428">
        <f>IF(WWWW[[#This Row],['# Functional hand washing stations during reporting period]]*100&gt;WWWW[[#This Row],[Total PoP ]],WWWW[[#This Row],[Total PoP ]],WWWW[[#This Row],['# Functional hand washing stations during reporting period]]*100)</f>
        <v>32</v>
      </c>
      <c r="DZ426" s="428" t="str">
        <f>IF(OR(WWWW[[#This Row],['#_students at TLS_CFS]]="",WWWW[[#This Row],['#_students at TLS_CFS]]=0),"No","Yes")</f>
        <v>No</v>
      </c>
      <c r="EA42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2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26" s="990">
        <f>VLOOKUP(WWWW[[#This Row],[Site Name]],SiteDB6[[Site Name]:[CCCM Management]],6,FALSE)</f>
        <v>0</v>
      </c>
      <c r="EF426" s="990">
        <f>VLOOKUP(WWWW[[#This Row],[Site Name]],SiteDB6[[Site Name]:[CCCM Focal Agency]],7,FALSE)</f>
        <v>0</v>
      </c>
      <c r="EG426" s="990" t="str">
        <f>VLOOKUP(WWWW[[#This Row],[Site Name]],SiteDB6[[Site Name]:[Location Type 1]],9,FALSE)</f>
        <v>Camp</v>
      </c>
      <c r="EH426" s="990" t="str">
        <f>VLOOKUP(WWWW[[#This Row],[Site Name]],SiteDB6[[Site Name]:[Type of Accommodation]],10,FALSE)</f>
        <v>Camp</v>
      </c>
      <c r="EI426" s="990" t="str">
        <f>VLOOKUP(WWWW[[#This Row],[Site Name]],SiteDB6[[Site Name]:[Ethnic or GCA/NGCA]],11,FALSE)</f>
        <v>GCA</v>
      </c>
      <c r="EJ426" s="990">
        <f>VLOOKUP(WWWW[[#This Row],[Site Name]],SiteDB6[[Site Name]:[Lat]],12,FALSE)</f>
        <v>0</v>
      </c>
      <c r="EK426" s="990">
        <f>VLOOKUP(WWWW[[#This Row],[Site Name]],SiteDB6[[Site Name]:[Long]],13,FALSE)</f>
        <v>0</v>
      </c>
      <c r="EL426" s="990">
        <f>VLOOKUP(WWWW[[#This Row],[Site Name]],SiteDB6[[Site Name]:[Pcode]],3,FALSE)</f>
        <v>0</v>
      </c>
      <c r="EM426" s="995" t="str">
        <f t="shared" si="7"/>
        <v>Covered</v>
      </c>
      <c r="EN426" s="995"/>
      <c r="EO426" s="990">
        <f>VLOOKUP(WWWW[[#This Row],[Site Name]],SiteDB6[[Site Name]:[Pop
(Kachin/Shan-CCCM as of July 2021)]],16,FALSE)</f>
        <v>0</v>
      </c>
      <c r="EP426" s="990">
        <f>VLOOKUP(WWWW[[#This Row],[Site Name]],SiteDB6[[Site Name]:[Pop
(Kachin/Shan-CCCM as of July 2021)]],17,FALSE)</f>
        <v>0</v>
      </c>
    </row>
    <row r="427" spans="1:146">
      <c r="A427" s="988" t="s">
        <v>2765</v>
      </c>
      <c r="B427" s="988" t="s">
        <v>2081</v>
      </c>
      <c r="C427" s="989" t="s">
        <v>141</v>
      </c>
      <c r="D427" s="989" t="s">
        <v>3160</v>
      </c>
      <c r="E427" s="989" t="s">
        <v>37</v>
      </c>
      <c r="F427" s="989" t="s">
        <v>142</v>
      </c>
      <c r="G427" s="591" t="str">
        <f>VLOOKUP(WWWW[[#This Row],[Site Name]],SiteDB6[[Site Name]:[Location Type]],8,FALSE)</f>
        <v>Camp</v>
      </c>
      <c r="H427" s="989" t="s">
        <v>177</v>
      </c>
      <c r="I427" s="991">
        <v>417</v>
      </c>
      <c r="J427" s="991">
        <v>1469</v>
      </c>
      <c r="K427" s="992">
        <v>44682</v>
      </c>
      <c r="L427" s="993">
        <v>45169</v>
      </c>
      <c r="M427" s="991">
        <v>78</v>
      </c>
      <c r="N427" s="991">
        <v>6</v>
      </c>
      <c r="O427" s="991"/>
      <c r="P427" s="991"/>
      <c r="Q427" s="994" t="s">
        <v>41</v>
      </c>
      <c r="R427" s="991">
        <v>3</v>
      </c>
      <c r="S427" s="991">
        <v>2</v>
      </c>
      <c r="T427" s="448">
        <v>1</v>
      </c>
      <c r="U427" s="991"/>
      <c r="V427" s="991"/>
      <c r="W427" s="991"/>
      <c r="X427" s="991"/>
      <c r="Y427" s="991"/>
      <c r="Z427" s="991"/>
      <c r="AA427" s="991"/>
      <c r="AB427" s="991"/>
      <c r="AC427" s="991"/>
      <c r="AD427" s="991"/>
      <c r="AE427" s="991"/>
      <c r="AF427" s="991"/>
      <c r="AG427" s="991"/>
      <c r="AH427" s="991"/>
      <c r="AI427" s="991"/>
      <c r="AJ427" s="991"/>
      <c r="AK427" s="991"/>
      <c r="AL427" s="991"/>
      <c r="AM427" s="991"/>
      <c r="AN427" s="991"/>
      <c r="AO427" s="448"/>
      <c r="AP427" s="995"/>
      <c r="AQ427" s="991">
        <v>407</v>
      </c>
      <c r="AR427" s="991"/>
      <c r="AS427" s="996"/>
      <c r="AT427" s="991"/>
      <c r="AU427" s="991"/>
      <c r="AV427" s="991"/>
      <c r="AW427" s="991"/>
      <c r="AX427" s="991"/>
      <c r="AY427" s="990" t="s">
        <v>41</v>
      </c>
      <c r="AZ427" s="995" t="s">
        <v>137</v>
      </c>
      <c r="BA427" s="991">
        <v>3</v>
      </c>
      <c r="BB427" s="991"/>
      <c r="BC427" s="991"/>
      <c r="BD427" s="448"/>
      <c r="BE427" s="448"/>
      <c r="BF427" s="990"/>
      <c r="BG427" s="991">
        <v>177</v>
      </c>
      <c r="BH427" s="991"/>
      <c r="BI427" s="991">
        <v>12</v>
      </c>
      <c r="BJ427" s="991">
        <v>6</v>
      </c>
      <c r="BK427" s="991"/>
      <c r="BL427" s="991">
        <v>1</v>
      </c>
      <c r="BM427" s="991">
        <v>5</v>
      </c>
      <c r="BN427" s="991"/>
      <c r="BO427" s="991"/>
      <c r="BP427" s="990"/>
      <c r="BQ427" s="997"/>
      <c r="BR427" s="996"/>
      <c r="BS427" s="990"/>
      <c r="BT427" s="423"/>
      <c r="BU427" s="423"/>
      <c r="BV427" s="425"/>
      <c r="BW427" s="423"/>
      <c r="BX427" s="448"/>
      <c r="BY427" s="448"/>
      <c r="BZ427" s="448"/>
      <c r="CA427" s="448"/>
      <c r="CB427" s="448"/>
      <c r="CC427" s="777"/>
      <c r="CD427" s="448"/>
      <c r="CE427" s="998" t="str">
        <f>IFERROR(WWWW[[#This Row],['#_Water sources passed]]/WWWW[[#This Row],['#_Water sources tested for fecal coliform ]],"no test")</f>
        <v>no test</v>
      </c>
      <c r="CF427" s="996" t="str">
        <f>IFERROR(WWWW[[#This Row],['#_Household passed]]/WWWW[[#This Row],['#_Household water samples tested for fecal coliform]],"no test")</f>
        <v>no test</v>
      </c>
      <c r="CG427" s="997" t="str">
        <f>IF(AND(WWWW[[#This Row],[% of water sources passed]]="no test",WWWW[[#This Row],[% Household passed]]="no test"),"No Test","Tested")</f>
        <v>No Test</v>
      </c>
      <c r="CH427" s="997">
        <f>WWWW[[#This Row],['#_Constructed/existing protected hand dug well]]-WWWW[[#This Row],['#_Non-functional protected hand dug well]]</f>
        <v>1</v>
      </c>
      <c r="CI427" s="997">
        <f>(WWWW[[#This Row],['#_Constructed/Existing tube wells/boreholes/handpumps_WASH_agency]]+WWWW[[#This Row],['#_Non-Cluster partner water tube-wells/boreholes/handpumps]])-WWWW[[#This Row],['#_Non-functional tube wells/boreholes/handpumps]]</f>
        <v>0</v>
      </c>
      <c r="CJ427" s="997">
        <f>WWWW[[#This Row],['#_Constructed/Existingwater storage tank with gravity fed reticulation system]]-WWWW[[#This Row],['#_Non-functional storage tank gravity fed reticulation system]]</f>
        <v>0</v>
      </c>
      <c r="CK427" s="997">
        <f>(WWWW[[#This Row],['#_Water_Liters_supplied_by_Water boating or water trucking]]/90)/15</f>
        <v>0</v>
      </c>
      <c r="CL427" s="997">
        <f>WWWW[[#This Row],['#_Water_Liters_from_Constructed/Existing water distribution system from river or natural spring]]/90/15</f>
        <v>0</v>
      </c>
      <c r="CM427" s="424">
        <f>IF(WWWW[[#This Row],['#_of water points in TLS/CFS]]*500&gt;WWWW[[#This Row],[Total PoP ]],WWWW[[#This Row],[Total PoP ]],WWWW[[#This Row],['#_of water points in TLS/CFS]]*500)</f>
        <v>0</v>
      </c>
      <c r="CN427" s="424">
        <f>IF(WWWW[[#This Row],['#_of water points in THF]]*500&gt;WWWW[[#This Row],[Total PoP ]],WWWW[[#This Row],[Total PoP ]],WWWW[[#This Row],['#_of water points in THF]]*500)</f>
        <v>0</v>
      </c>
      <c r="CO42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0.27229407760381213</v>
      </c>
      <c r="CP42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0.17018379850238258</v>
      </c>
      <c r="CQ427" s="996">
        <f>IF(WWWW[[#This Row],[Location Type 1]]="Village",WWWW[[#This Row],[Access to safe drinking water for Village]],WWWW[[#This Row],[Access to safe drinking water for Camp]])</f>
        <v>0.27229407760381213</v>
      </c>
      <c r="CR427" s="994">
        <f>WWWW[[#This Row],[%Equitable and continuous access to sufficient quantity of safe drinking water]]*WWWW[[#This Row],[Total PoP ]]</f>
        <v>400</v>
      </c>
      <c r="CS427" s="996">
        <f>IF((WWWW[[#This Row],['#_Constructed/Existing protected/fenced ponds]]*250)/WWWW[[#This Row],[Total PoP ]]&gt;1,1,(WWWW[[#This Row],['#_Constructed/Existing protected/fenced ponds]]*250)/WWWW[[#This Row],[Total PoP ]])</f>
        <v>0</v>
      </c>
      <c r="CT427" s="994">
        <f>WWWW[[#This Row],[% Access to unimproved water points]]*WWWW[[#This Row],[Total PoP ]]</f>
        <v>0</v>
      </c>
      <c r="CU42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0.27229407760381213</v>
      </c>
      <c r="CV42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427" s="994">
        <f>WWWW[[#This Row],[HRP1]]/500</f>
        <v>0.8</v>
      </c>
      <c r="CX427" s="999">
        <f>1-WWWW[[#This Row],[% Equitable and continuous access to sufficient quantity of domestic water]]</f>
        <v>0.72770592239618792</v>
      </c>
      <c r="CY427" s="994">
        <f>WWWW[[#This Row],[%equitable and continuous access to sufficient quantity of safe drinking and domestic water''s GAP]]*WWWW[[#This Row],[Total PoP ]]</f>
        <v>1069</v>
      </c>
      <c r="CZ427" s="997">
        <f>IF(WWWW[[#This Row],[Total required water points]]-WWWW[[#This Row],['#Water points coverage]]&lt;0,0,WWWW[[#This Row],[Total required water points]]-WWWW[[#This Row],['#Water points coverage]])</f>
        <v>2.2000000000000002</v>
      </c>
      <c r="DA427" s="997">
        <f>ROUND(IF(WWWW[[#This Row],[Total PoP ]]&lt;500,1,WWWW[[#This Row],[Total PoP ]]/500),0)</f>
        <v>3</v>
      </c>
      <c r="DB427" s="997">
        <f>(WWWW[[#This Row],['#_Constructed latrines_by_WASHAgencies]]+WWWW[[#This Row],['#_Non Cluster partner latrines]])-WWWW[[#This Row],['#_Non-functional latrines]]</f>
        <v>407</v>
      </c>
      <c r="DC427" s="631">
        <f>WWWW[[#This Row],[HRP2]]/WWWW[[#This Row],[Total PoP ]]</f>
        <v>1</v>
      </c>
      <c r="DD42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1469</v>
      </c>
      <c r="DE42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2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7" s="424">
        <f>IF(WWWW[[#This Row],['# of functional latrines in THF supported by WASH partners during the reporting period2]]="",0,WWWW[[#This Row],['# of functional latrines in THF supported by WASH partners during the reporting period2]]*50)</f>
        <v>0</v>
      </c>
      <c r="DH427" s="997">
        <f>ROUND(IF(WWWW[[#This Row],[Location Type 1]]="camp",WWWW[[#This Row],[Total PoP ]]/20,IF(WWWW[[#This Row],[Location Type 1]]="Temporary Location",WWWW[[#This Row],[Total PoP ]]/50,(WWWW[[#This Row],[Total PoP ]]/6))),0)</f>
        <v>245</v>
      </c>
      <c r="DI427" s="997">
        <f>IF(WWWW[[#This Row],[Total required Latrines]]-(WWWW[[#This Row],['#_Constructed latrines_by_WASHAgencies]]+WWWW[[#This Row],['#_Non Cluster partner latrines]])&lt;0,0,WWWW[[#This Row],[Total required Latrines]]-(WWWW[[#This Row],['#_Constructed latrines_by_WASHAgencies]]+WWWW[[#This Row],['#_Non Cluster partner latrines]]))</f>
        <v>0</v>
      </c>
      <c r="DJ427" s="999">
        <f>1-WWWW[[#This Row],[% people access to functioning Latrine]]</f>
        <v>0</v>
      </c>
      <c r="DK427" s="998">
        <f>IF(OR(WWWW[[#This Row],['#_Non-functional latrines]]="",WWWW[[#This Row],['#_Non-functional latrines]]=0),0,WWWW[[#This Row],['#_Non-functional latrines]]/(WWWW[[#This Row],['#_Constructed latrines_by_WASHAgencies]]+WWWW[[#This Row],['#_Non Cluster partner latrines]]))</f>
        <v>0</v>
      </c>
      <c r="DL427" s="994">
        <f>IF(500*(WWWW[[#This Row],['#_male hygiene promoters]]+WWWW[[#This Row],['#_female hygiene promoters]])&gt;WWWW[[#This Row],[Total PoP ]],WWWW[[#This Row],[Total PoP ]],500*(WWWW[[#This Row],['#_male hygiene promoters]]+WWWW[[#This Row],['#_female hygiene promoters]]))</f>
        <v>1469</v>
      </c>
      <c r="DM42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2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27" s="997">
        <f>IF(WWWW[[#This Row],['# People with access to soap]]&gt;WWWW[[#This Row],['# People with access to Sanity Pads]],WWWW[[#This Row],['# People with access to soap]],WWWW[[#This Row],['# People with access to Sanity Pads]])</f>
        <v>0</v>
      </c>
      <c r="DP427" s="997">
        <f>IF(WWWW[[#This Row],['# people reached by regular dedicated hygiene promotion_5]]&gt;WWWW[[#This Row],['# People received regular supply of hygiene items_6]],WWWW[[#This Row],['# people reached by regular dedicated hygiene promotion_5]],WWWW[[#This Row],['# People received regular supply of hygiene items_6]])</f>
        <v>1469</v>
      </c>
      <c r="DQ427" s="999">
        <f>IF(WWWW[[#This Row],[HRP3]]/WWWW[[#This Row],[Total PoP ]]&gt;1,1,WWWW[[#This Row],[HRP3]]/WWWW[[#This Row],[Total PoP ]])</f>
        <v>1</v>
      </c>
      <c r="DR427" s="998">
        <f>1-WWWW[[#This Row],[Hygiene Coverage%]]</f>
        <v>0</v>
      </c>
      <c r="DS427" s="996">
        <f>WWWW[[#This Row],['# people reached by regular dedicated hygiene promotion_5]]/WWWW[[#This Row],[Total PoP ]]</f>
        <v>1</v>
      </c>
      <c r="DT42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2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27" s="997">
        <f>WWWW[[#This Row],['#_Constructed/Existing hand washing stations]]-WWWW[[#This Row],['#_Non-Functional_hand_washing_stations]]</f>
        <v>177</v>
      </c>
      <c r="DW427" s="994">
        <f>IF(WWWW[[#This Row],['# Functional hand washing stations during reporting period]]*20&gt;WWWW[[#This Row],[Total HH]],WWWW[[#This Row],[Total HH]],WWWW[[#This Row],['# Functional hand washing stations during reporting period]]*20)</f>
        <v>417</v>
      </c>
      <c r="DX427" s="994">
        <f>IF(WWWW[[#This Row],[Is sufficient soap available for TLS? (Yes/No)]]="yes",WWWW[[#This Row],['#_Constructed/Existing hand washing stations at TLS/CFS/THF]],0)</f>
        <v>0</v>
      </c>
      <c r="DY427" s="428">
        <f>IF(WWWW[[#This Row],['# Functional hand washing stations during reporting period]]*100&gt;WWWW[[#This Row],[Total PoP ]],WWWW[[#This Row],[Total PoP ]],WWWW[[#This Row],['# Functional hand washing stations during reporting period]]*100)</f>
        <v>1469</v>
      </c>
      <c r="DZ427" s="428" t="str">
        <f>IF(OR(WWWW[[#This Row],['#_students at TLS_CFS]]="",WWWW[[#This Row],['#_students at TLS_CFS]]=0),"No","Yes")</f>
        <v>Yes</v>
      </c>
      <c r="EA42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2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27" s="990" t="str">
        <f>VLOOKUP(WWWW[[#This Row],[Site Name]],SiteDB6[[Site Name]:[CCCM Management]],6,FALSE)</f>
        <v>Yes</v>
      </c>
      <c r="EF427" s="990" t="str">
        <f>VLOOKUP(WWWW[[#This Row],[Site Name]],SiteDB6[[Site Name]:[CCCM Focal Agency]],7,FALSE)</f>
        <v>KMSS-MYT</v>
      </c>
      <c r="EG427" s="990" t="str">
        <f>VLOOKUP(WWWW[[#This Row],[Site Name]],SiteDB6[[Site Name]:[Location Type 1]],9,FALSE)</f>
        <v>Village Type Camp</v>
      </c>
      <c r="EH427" s="990" t="str">
        <f>VLOOKUP(WWWW[[#This Row],[Site Name]],SiteDB6[[Site Name]:[Type of Accommodation]],10,FALSE)</f>
        <v>Camp</v>
      </c>
      <c r="EI427" s="990" t="str">
        <f>VLOOKUP(WWWW[[#This Row],[Site Name]],SiteDB6[[Site Name]:[Ethnic or GCA/NGCA]],11,FALSE)</f>
        <v>NGCA</v>
      </c>
      <c r="EJ427" s="990">
        <f>VLOOKUP(WWWW[[#This Row],[Site Name]],SiteDB6[[Site Name]:[Lat]],12,FALSE)</f>
        <v>24.980250000000002</v>
      </c>
      <c r="EK427" s="990">
        <f>VLOOKUP(WWWW[[#This Row],[Site Name]],SiteDB6[[Site Name]:[Long]],13,FALSE)</f>
        <v>97.715230000000005</v>
      </c>
      <c r="EL427" s="990" t="str">
        <f>VLOOKUP(WWWW[[#This Row],[Site Name]],SiteDB6[[Site Name]:[Pcode]],3,FALSE)</f>
        <v>MMR001CMP119</v>
      </c>
      <c r="EM427" s="995" t="str">
        <f t="shared" si="7"/>
        <v>Covered</v>
      </c>
      <c r="EN427" s="995"/>
      <c r="EO427" s="990">
        <f>VLOOKUP(WWWW[[#This Row],[Site Name]],SiteDB6[[Site Name]:[Pop
(Kachin/Shan-CCCM as of July 2021)]],16,FALSE)</f>
        <v>417</v>
      </c>
      <c r="EP427" s="990">
        <f>VLOOKUP(WWWW[[#This Row],[Site Name]],SiteDB6[[Site Name]:[Pop
(Kachin/Shan-CCCM as of July 2021)]],17,FALSE)</f>
        <v>1608</v>
      </c>
    </row>
    <row r="428" spans="1:146">
      <c r="A428" s="988" t="s">
        <v>2765</v>
      </c>
      <c r="B428" s="988" t="s">
        <v>242</v>
      </c>
      <c r="C428" s="989" t="s">
        <v>242</v>
      </c>
      <c r="D428" s="989" t="s">
        <v>299</v>
      </c>
      <c r="E428" s="989" t="s">
        <v>37</v>
      </c>
      <c r="F428" s="989" t="s">
        <v>142</v>
      </c>
      <c r="G428" s="591" t="str">
        <f>VLOOKUP(WWWW[[#This Row],[Site Name]],SiteDB6[[Site Name]:[Location Type]],8,FALSE)</f>
        <v>Camp</v>
      </c>
      <c r="H428" s="989" t="s">
        <v>269</v>
      </c>
      <c r="I428" s="448">
        <f>64+127</f>
        <v>191</v>
      </c>
      <c r="J428" s="448">
        <v>906</v>
      </c>
      <c r="K428" s="588">
        <v>44562</v>
      </c>
      <c r="L428" s="589">
        <v>44926</v>
      </c>
      <c r="M428" s="448">
        <v>275</v>
      </c>
      <c r="N428" s="448">
        <v>1</v>
      </c>
      <c r="O428" s="448"/>
      <c r="P428" s="448"/>
      <c r="Q428" s="717" t="s">
        <v>41</v>
      </c>
      <c r="R428" s="448">
        <v>1</v>
      </c>
      <c r="S428" s="448">
        <v>4</v>
      </c>
      <c r="T428" s="448">
        <v>3</v>
      </c>
      <c r="U428" s="991"/>
      <c r="V428" s="991"/>
      <c r="W428" s="448">
        <v>3</v>
      </c>
      <c r="X428" s="448"/>
      <c r="Y428" s="448">
        <v>1</v>
      </c>
      <c r="Z428" s="448">
        <v>1</v>
      </c>
      <c r="AA428" s="991"/>
      <c r="AB428" s="991"/>
      <c r="AC428" s="991"/>
      <c r="AD428" s="991"/>
      <c r="AE428" s="991"/>
      <c r="AF428" s="991"/>
      <c r="AG428" s="991"/>
      <c r="AH428" s="991"/>
      <c r="AI428" s="991"/>
      <c r="AJ428" s="991"/>
      <c r="AK428" s="991"/>
      <c r="AL428" s="991"/>
      <c r="AM428" s="991">
        <v>4</v>
      </c>
      <c r="AN428" s="991">
        <v>2</v>
      </c>
      <c r="AO428" s="448"/>
      <c r="AP428" s="995"/>
      <c r="AQ428" s="991">
        <v>28</v>
      </c>
      <c r="AR428" s="991"/>
      <c r="AS428" s="996" t="s">
        <v>2685</v>
      </c>
      <c r="AT428" s="991"/>
      <c r="AU428" s="991"/>
      <c r="AV428" s="991"/>
      <c r="AW428" s="991"/>
      <c r="AX428" s="991"/>
      <c r="AY428" s="990" t="s">
        <v>41</v>
      </c>
      <c r="AZ428" s="995" t="s">
        <v>137</v>
      </c>
      <c r="BA428" s="991">
        <v>10</v>
      </c>
      <c r="BB428" s="991">
        <v>10</v>
      </c>
      <c r="BC428" s="991">
        <v>10</v>
      </c>
      <c r="BD428" s="448">
        <v>1</v>
      </c>
      <c r="BE428" s="448"/>
      <c r="BF428" s="990"/>
      <c r="BG428" s="991">
        <v>13</v>
      </c>
      <c r="BH428" s="991"/>
      <c r="BI428" s="991"/>
      <c r="BJ428" s="991">
        <v>4</v>
      </c>
      <c r="BK428" s="991"/>
      <c r="BL428" s="991">
        <v>1</v>
      </c>
      <c r="BM428" s="991">
        <v>7</v>
      </c>
      <c r="BN428" s="991"/>
      <c r="BO428" s="991"/>
      <c r="BP428" s="990" t="s">
        <v>41</v>
      </c>
      <c r="BQ428" s="997"/>
      <c r="BR428" s="423">
        <v>1</v>
      </c>
      <c r="BS428" s="425"/>
      <c r="BT428" s="423">
        <v>1</v>
      </c>
      <c r="BU428" s="423">
        <v>1</v>
      </c>
      <c r="BV428" s="425"/>
      <c r="BW428" s="423">
        <v>1</v>
      </c>
      <c r="BX428" s="448"/>
      <c r="BY428" s="448"/>
      <c r="BZ428" s="448"/>
      <c r="CA428" s="448"/>
      <c r="CB428" s="448"/>
      <c r="CC428" s="777"/>
      <c r="CD428" s="448"/>
      <c r="CE428" s="998" t="str">
        <f>IFERROR(WWWW[[#This Row],['#_Water sources passed]]/WWWW[[#This Row],['#_Water sources tested for fecal coliform ]],"no test")</f>
        <v>no test</v>
      </c>
      <c r="CF428" s="996" t="str">
        <f>IFERROR(WWWW[[#This Row],['#_Household passed]]/WWWW[[#This Row],['#_Household water samples tested for fecal coliform]],"no test")</f>
        <v>no test</v>
      </c>
      <c r="CG428" s="997" t="str">
        <f>IF(AND(WWWW[[#This Row],[% of water sources passed]]="no test",WWWW[[#This Row],[% Household passed]]="no test"),"No Test","Tested")</f>
        <v>No Test</v>
      </c>
      <c r="CH428" s="997">
        <f>WWWW[[#This Row],['#_Constructed/existing protected hand dug well]]-WWWW[[#This Row],['#_Non-functional protected hand dug well]]</f>
        <v>3</v>
      </c>
      <c r="CI428" s="997">
        <f>(WWWW[[#This Row],['#_Constructed/Existing tube wells/boreholes/handpumps_WASH_agency]]+WWWW[[#This Row],['#_Non-Cluster partner water tube-wells/boreholes/handpumps]])-WWWW[[#This Row],['#_Non-functional tube wells/boreholes/handpumps]]</f>
        <v>2</v>
      </c>
      <c r="CJ428" s="997">
        <f>WWWW[[#This Row],['#_Constructed/Existingwater storage tank with gravity fed reticulation system]]-WWWW[[#This Row],['#_Non-functional storage tank gravity fed reticulation system]]</f>
        <v>0</v>
      </c>
      <c r="CK428" s="997">
        <f>(WWWW[[#This Row],['#_Water_Liters_supplied_by_Water boating or water trucking]]/90)/15</f>
        <v>0</v>
      </c>
      <c r="CL428" s="997">
        <f>WWWW[[#This Row],['#_Water_Liters_from_Constructed/Existing water distribution system from river or natural spring]]/90/15</f>
        <v>0</v>
      </c>
      <c r="CM428" s="424">
        <f>IF(WWWW[[#This Row],['#_of water points in TLS/CFS]]*500&gt;WWWW[[#This Row],[Total PoP ]],WWWW[[#This Row],[Total PoP ]],WWWW[[#This Row],['#_of water points in TLS/CFS]]*500)</f>
        <v>906</v>
      </c>
      <c r="CN428" s="424">
        <f>IF(WWWW[[#This Row],['#_of water points in THF]]*500&gt;WWWW[[#This Row],[Total PoP ]],WWWW[[#This Row],[Total PoP ]],WWWW[[#This Row],['#_of water points in THF]]*500)</f>
        <v>0</v>
      </c>
      <c r="CO42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2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28" s="996">
        <f>IF(WWWW[[#This Row],[Location Type 1]]="Village",WWWW[[#This Row],[Access to safe drinking water for Village]],WWWW[[#This Row],[Access to safe drinking water for Camp]])</f>
        <v>1</v>
      </c>
      <c r="CR428" s="994">
        <f>WWWW[[#This Row],[%Equitable and continuous access to sufficient quantity of safe drinking water]]*WWWW[[#This Row],[Total PoP ]]</f>
        <v>906</v>
      </c>
      <c r="CS428" s="996">
        <f>IF((WWWW[[#This Row],['#_Constructed/Existing protected/fenced ponds]]*250)/WWWW[[#This Row],[Total PoP ]]&gt;1,1,(WWWW[[#This Row],['#_Constructed/Existing protected/fenced ponds]]*250)/WWWW[[#This Row],[Total PoP ]])</f>
        <v>0</v>
      </c>
      <c r="CT428" s="994">
        <f>WWWW[[#This Row],[% Access to unimproved water points]]*WWWW[[#This Row],[Total PoP ]]</f>
        <v>0</v>
      </c>
      <c r="CU42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2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906</v>
      </c>
      <c r="CW428" s="994">
        <f>WWWW[[#This Row],[HRP1]]/500</f>
        <v>1.8120000000000001</v>
      </c>
      <c r="CX428" s="999">
        <f>1-WWWW[[#This Row],[% Equitable and continuous access to sufficient quantity of domestic water]]</f>
        <v>0</v>
      </c>
      <c r="CY428" s="994">
        <f>WWWW[[#This Row],[%equitable and continuous access to sufficient quantity of safe drinking and domestic water''s GAP]]*WWWW[[#This Row],[Total PoP ]]</f>
        <v>0</v>
      </c>
      <c r="CZ428" s="997">
        <f>IF(WWWW[[#This Row],[Total required water points]]-WWWW[[#This Row],['#Water points coverage]]&lt;0,0,WWWW[[#This Row],[Total required water points]]-WWWW[[#This Row],['#Water points coverage]])</f>
        <v>0.18799999999999994</v>
      </c>
      <c r="DA428" s="997">
        <f>ROUND(IF(WWWW[[#This Row],[Total PoP ]]&lt;500,1,WWWW[[#This Row],[Total PoP ]]/500),0)</f>
        <v>2</v>
      </c>
      <c r="DB428" s="997">
        <f>(WWWW[[#This Row],['#_Constructed latrines_by_WASHAgencies]]+WWWW[[#This Row],['#_Non Cluster partner latrines]])-WWWW[[#This Row],['#_Non-functional latrines]]</f>
        <v>28</v>
      </c>
      <c r="DC428" s="631">
        <f>WWWW[[#This Row],[HRP2]]/WWWW[[#This Row],[Total PoP ]]</f>
        <v>0.83885209713024278</v>
      </c>
      <c r="DD42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760</v>
      </c>
      <c r="DE42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2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275</v>
      </c>
      <c r="DG428" s="424">
        <f>IF(WWWW[[#This Row],['# of functional latrines in THF supported by WASH partners during the reporting period2]]="",0,WWWW[[#This Row],['# of functional latrines in THF supported by WASH partners during the reporting period2]]*50)</f>
        <v>50</v>
      </c>
      <c r="DH428" s="997">
        <f>ROUND(IF(WWWW[[#This Row],[Location Type 1]]="camp",WWWW[[#This Row],[Total PoP ]]/20,IF(WWWW[[#This Row],[Location Type 1]]="Temporary Location",WWWW[[#This Row],[Total PoP ]]/50,(WWWW[[#This Row],[Total PoP ]]/6))),0)</f>
        <v>45</v>
      </c>
      <c r="DI428" s="997">
        <f>IF(WWWW[[#This Row],[Total required Latrines]]-(WWWW[[#This Row],['#_Constructed latrines_by_WASHAgencies]]+WWWW[[#This Row],['#_Non Cluster partner latrines]])&lt;0,0,WWWW[[#This Row],[Total required Latrines]]-(WWWW[[#This Row],['#_Constructed latrines_by_WASHAgencies]]+WWWW[[#This Row],['#_Non Cluster partner latrines]]))</f>
        <v>17</v>
      </c>
      <c r="DJ428" s="999">
        <f>1-WWWW[[#This Row],[% people access to functioning Latrine]]</f>
        <v>0.16114790286975722</v>
      </c>
      <c r="DK428" s="998">
        <f>IF(OR(WWWW[[#This Row],['#_Non-functional latrines]]="",WWWW[[#This Row],['#_Non-functional latrines]]=0),0,WWWW[[#This Row],['#_Non-functional latrines]]/(WWWW[[#This Row],['#_Constructed latrines_by_WASHAgencies]]+WWWW[[#This Row],['#_Non Cluster partner latrines]]))</f>
        <v>0</v>
      </c>
      <c r="DL428" s="994">
        <f>IF(500*(WWWW[[#This Row],['#_male hygiene promoters]]+WWWW[[#This Row],['#_female hygiene promoters]])&gt;WWWW[[#This Row],[Total PoP ]],WWWW[[#This Row],[Total PoP ]],500*(WWWW[[#This Row],['#_male hygiene promoters]]+WWWW[[#This Row],['#_female hygiene promoters]]))</f>
        <v>906</v>
      </c>
      <c r="DM42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2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28" s="997">
        <f>IF(WWWW[[#This Row],['# People with access to soap]]&gt;WWWW[[#This Row],['# People with access to Sanity Pads]],WWWW[[#This Row],['# People with access to soap]],WWWW[[#This Row],['# People with access to Sanity Pads]])</f>
        <v>0</v>
      </c>
      <c r="DP428" s="997">
        <f>IF(WWWW[[#This Row],['# people reached by regular dedicated hygiene promotion_5]]&gt;WWWW[[#This Row],['# People received regular supply of hygiene items_6]],WWWW[[#This Row],['# people reached by regular dedicated hygiene promotion_5]],WWWW[[#This Row],['# People received regular supply of hygiene items_6]])</f>
        <v>906</v>
      </c>
      <c r="DQ428" s="999">
        <f>IF(WWWW[[#This Row],[HRP3]]/WWWW[[#This Row],[Total PoP ]]&gt;1,1,WWWW[[#This Row],[HRP3]]/WWWW[[#This Row],[Total PoP ]])</f>
        <v>1</v>
      </c>
      <c r="DR428" s="998">
        <f>1-WWWW[[#This Row],[Hygiene Coverage%]]</f>
        <v>0</v>
      </c>
      <c r="DS428" s="996">
        <f>WWWW[[#This Row],['# people reached by regular dedicated hygiene promotion_5]]/WWWW[[#This Row],[Total PoP ]]</f>
        <v>1</v>
      </c>
      <c r="DT42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2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28" s="997">
        <f>WWWW[[#This Row],['#_Constructed/Existing hand washing stations]]-WWWW[[#This Row],['#_Non-Functional_hand_washing_stations]]</f>
        <v>13</v>
      </c>
      <c r="DW428" s="994">
        <f>IF(WWWW[[#This Row],['# Functional hand washing stations during reporting period]]*20&gt;WWWW[[#This Row],[Total HH]],WWWW[[#This Row],[Total HH]],WWWW[[#This Row],['# Functional hand washing stations during reporting period]]*20)</f>
        <v>191</v>
      </c>
      <c r="DX428" s="994">
        <f>IF(WWWW[[#This Row],[Is sufficient soap available for TLS? (Yes/No)]]="yes",WWWW[[#This Row],['#_Constructed/Existing hand washing stations at TLS/CFS/THF]],0)</f>
        <v>4</v>
      </c>
      <c r="DY428" s="428">
        <f>IF(WWWW[[#This Row],['# Functional hand washing stations during reporting period]]*100&gt;WWWW[[#This Row],[Total PoP ]],WWWW[[#This Row],[Total PoP ]],WWWW[[#This Row],['# Functional hand washing stations during reporting period]]*100)</f>
        <v>906</v>
      </c>
      <c r="DZ428" s="428" t="str">
        <f>IF(OR(WWWW[[#This Row],['#_students at TLS_CFS]]="",WWWW[[#This Row],['#_students at TLS_CFS]]=0),"No","Yes")</f>
        <v>Yes</v>
      </c>
      <c r="EA42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906</v>
      </c>
      <c r="ED42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50</v>
      </c>
      <c r="EE428" s="990" t="str">
        <f>VLOOKUP(WWWW[[#This Row],[Site Name]],SiteDB6[[Site Name]:[CCCM Management]],6,FALSE)</f>
        <v>Yes</v>
      </c>
      <c r="EF428" s="990" t="str">
        <f>VLOOKUP(WWWW[[#This Row],[Site Name]],SiteDB6[[Site Name]:[CCCM Focal Agency]],7,FALSE)</f>
        <v>Shalom</v>
      </c>
      <c r="EG428" s="990" t="str">
        <f>VLOOKUP(WWWW[[#This Row],[Site Name]],SiteDB6[[Site Name]:[Location Type 1]],9,FALSE)</f>
        <v>Camp</v>
      </c>
      <c r="EH428" s="990" t="str">
        <f>VLOOKUP(WWWW[[#This Row],[Site Name]],SiteDB6[[Site Name]:[Type of Accommodation]],10,FALSE)</f>
        <v>Camp</v>
      </c>
      <c r="EI428" s="990" t="str">
        <f>VLOOKUP(WWWW[[#This Row],[Site Name]],SiteDB6[[Site Name]:[Ethnic or GCA/NGCA]],11,FALSE)</f>
        <v>GCA</v>
      </c>
      <c r="EJ428" s="990">
        <f>VLOOKUP(WWWW[[#This Row],[Site Name]],SiteDB6[[Site Name]:[Lat]],12,FALSE)</f>
        <v>25.424529444444399</v>
      </c>
      <c r="EK428" s="990">
        <f>VLOOKUP(WWWW[[#This Row],[Site Name]],SiteDB6[[Site Name]:[Long]],13,FALSE)</f>
        <v>97.433419259259296</v>
      </c>
      <c r="EL428" s="990" t="str">
        <f>VLOOKUP(WWWW[[#This Row],[Site Name]],SiteDB6[[Site Name]:[Pcode]],3,FALSE)</f>
        <v>MMR001CMP031</v>
      </c>
      <c r="EM428" s="995" t="str">
        <f t="shared" si="7"/>
        <v>Covered</v>
      </c>
      <c r="EN428" s="995"/>
      <c r="EO428" s="990">
        <f>VLOOKUP(WWWW[[#This Row],[Site Name]],SiteDB6[[Site Name]:[Pop
(Kachin/Shan-CCCM as of July 2021)]],16,FALSE)</f>
        <v>353</v>
      </c>
      <c r="EP428" s="990">
        <f>VLOOKUP(WWWW[[#This Row],[Site Name]],SiteDB6[[Site Name]:[Pop
(Kachin/Shan-CCCM as of July 2021)]],17,FALSE)</f>
        <v>2166</v>
      </c>
    </row>
    <row r="429" spans="1:146">
      <c r="A429" s="988" t="s">
        <v>2765</v>
      </c>
      <c r="B429" s="988" t="s">
        <v>36</v>
      </c>
      <c r="C429" s="989" t="s">
        <v>36</v>
      </c>
      <c r="D429" s="989" t="s">
        <v>241</v>
      </c>
      <c r="E429" s="989" t="s">
        <v>37</v>
      </c>
      <c r="F429" s="989" t="s">
        <v>142</v>
      </c>
      <c r="G429" s="591" t="str">
        <f>VLOOKUP(WWWW[[#This Row],[Site Name]],SiteDB6[[Site Name]:[Location Type]],8,FALSE)</f>
        <v>Camp</v>
      </c>
      <c r="H429" s="989" t="s">
        <v>237</v>
      </c>
      <c r="I429" s="991">
        <v>275</v>
      </c>
      <c r="J429" s="991">
        <v>1492</v>
      </c>
      <c r="K429" s="992">
        <v>44414</v>
      </c>
      <c r="L429" s="993">
        <v>44778</v>
      </c>
      <c r="M429" s="991"/>
      <c r="N429" s="991">
        <v>5</v>
      </c>
      <c r="O429" s="991"/>
      <c r="P429" s="991"/>
      <c r="Q429" s="994" t="s">
        <v>41</v>
      </c>
      <c r="R429" s="991">
        <v>4</v>
      </c>
      <c r="S429" s="991">
        <v>3</v>
      </c>
      <c r="T429" s="448">
        <v>11</v>
      </c>
      <c r="U429" s="991"/>
      <c r="V429" s="991"/>
      <c r="W429" s="991"/>
      <c r="X429" s="991"/>
      <c r="Y429" s="991"/>
      <c r="Z429" s="991"/>
      <c r="AA429" s="991"/>
      <c r="AB429" s="991"/>
      <c r="AC429" s="991"/>
      <c r="AD429" s="991"/>
      <c r="AE429" s="991"/>
      <c r="AF429" s="991"/>
      <c r="AG429" s="991"/>
      <c r="AH429" s="991"/>
      <c r="AI429" s="991"/>
      <c r="AJ429" s="991"/>
      <c r="AK429" s="991"/>
      <c r="AL429" s="991"/>
      <c r="AM429" s="991">
        <v>5</v>
      </c>
      <c r="AN429" s="991"/>
      <c r="AO429" s="448"/>
      <c r="AP429" s="995"/>
      <c r="AQ429" s="991">
        <v>97</v>
      </c>
      <c r="AR429" s="991"/>
      <c r="AS429" s="996"/>
      <c r="AT429" s="991"/>
      <c r="AU429" s="991"/>
      <c r="AV429" s="991"/>
      <c r="AW429" s="991"/>
      <c r="AX429" s="991"/>
      <c r="AY429" s="990" t="s">
        <v>41</v>
      </c>
      <c r="AZ429" s="995" t="s">
        <v>137</v>
      </c>
      <c r="BA429" s="991"/>
      <c r="BB429" s="991"/>
      <c r="BC429" s="991"/>
      <c r="BD429" s="448"/>
      <c r="BE429" s="448"/>
      <c r="BF429" s="990"/>
      <c r="BG429" s="991">
        <v>1</v>
      </c>
      <c r="BH429" s="991"/>
      <c r="BI429" s="991"/>
      <c r="BJ429" s="991">
        <v>4</v>
      </c>
      <c r="BK429" s="991"/>
      <c r="BL429" s="991"/>
      <c r="BM429" s="991">
        <v>2</v>
      </c>
      <c r="BN429" s="991"/>
      <c r="BO429" s="991"/>
      <c r="BP429" s="990" t="s">
        <v>41</v>
      </c>
      <c r="BQ429" s="997"/>
      <c r="BR429" s="996"/>
      <c r="BS429" s="990"/>
      <c r="BT429" s="423"/>
      <c r="BU429" s="423"/>
      <c r="BV429" s="425"/>
      <c r="BW429" s="423"/>
      <c r="BX429" s="448"/>
      <c r="BY429" s="448"/>
      <c r="BZ429" s="448"/>
      <c r="CA429" s="448"/>
      <c r="CB429" s="448"/>
      <c r="CC429" s="777"/>
      <c r="CD429" s="448"/>
      <c r="CE429" s="998" t="str">
        <f>IFERROR(WWWW[[#This Row],['#_Water sources passed]]/WWWW[[#This Row],['#_Water sources tested for fecal coliform ]],"no test")</f>
        <v>no test</v>
      </c>
      <c r="CF429" s="996" t="str">
        <f>IFERROR(WWWW[[#This Row],['#_Household passed]]/WWWW[[#This Row],['#_Household water samples tested for fecal coliform]],"no test")</f>
        <v>no test</v>
      </c>
      <c r="CG429" s="997" t="str">
        <f>IF(AND(WWWW[[#This Row],[% of water sources passed]]="no test",WWWW[[#This Row],[% Household passed]]="no test"),"No Test","Tested")</f>
        <v>No Test</v>
      </c>
      <c r="CH429" s="997">
        <f>WWWW[[#This Row],['#_Constructed/existing protected hand dug well]]-WWWW[[#This Row],['#_Non-functional protected hand dug well]]</f>
        <v>11</v>
      </c>
      <c r="CI429" s="997">
        <f>(WWWW[[#This Row],['#_Constructed/Existing tube wells/boreholes/handpumps_WASH_agency]]+WWWW[[#This Row],['#_Non-Cluster partner water tube-wells/boreholes/handpumps]])-WWWW[[#This Row],['#_Non-functional tube wells/boreholes/handpumps]]</f>
        <v>0</v>
      </c>
      <c r="CJ429" s="997">
        <f>WWWW[[#This Row],['#_Constructed/Existingwater storage tank with gravity fed reticulation system]]-WWWW[[#This Row],['#_Non-functional storage tank gravity fed reticulation system]]</f>
        <v>0</v>
      </c>
      <c r="CK429" s="997">
        <f>(WWWW[[#This Row],['#_Water_Liters_supplied_by_Water boating or water trucking]]/90)/15</f>
        <v>0</v>
      </c>
      <c r="CL429" s="997">
        <f>WWWW[[#This Row],['#_Water_Liters_from_Constructed/Existing water distribution system from river or natural spring]]/90/15</f>
        <v>0</v>
      </c>
      <c r="CM429" s="424">
        <f>IF(WWWW[[#This Row],['#_of water points in TLS/CFS]]*500&gt;WWWW[[#This Row],[Total PoP ]],WWWW[[#This Row],[Total PoP ]],WWWW[[#This Row],['#_of water points in TLS/CFS]]*500)</f>
        <v>0</v>
      </c>
      <c r="CN429" s="424">
        <f>IF(WWWW[[#This Row],['#_of water points in THF]]*500&gt;WWWW[[#This Row],[Total PoP ]],WWWW[[#This Row],[Total PoP ]],WWWW[[#This Row],['#_of water points in THF]]*500)</f>
        <v>0</v>
      </c>
      <c r="CO42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2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29" s="996">
        <f>IF(WWWW[[#This Row],[Location Type 1]]="Village",WWWW[[#This Row],[Access to safe drinking water for Village]],WWWW[[#This Row],[Access to safe drinking water for Camp]])</f>
        <v>1</v>
      </c>
      <c r="CR429" s="994">
        <f>WWWW[[#This Row],[%Equitable and continuous access to sufficient quantity of safe drinking water]]*WWWW[[#This Row],[Total PoP ]]</f>
        <v>1492</v>
      </c>
      <c r="CS429" s="996">
        <f>IF((WWWW[[#This Row],['#_Constructed/Existing protected/fenced ponds]]*250)/WWWW[[#This Row],[Total PoP ]]&gt;1,1,(WWWW[[#This Row],['#_Constructed/Existing protected/fenced ponds]]*250)/WWWW[[#This Row],[Total PoP ]])</f>
        <v>0</v>
      </c>
      <c r="CT429" s="994">
        <f>WWWW[[#This Row],[% Access to unimproved water points]]*WWWW[[#This Row],[Total PoP ]]</f>
        <v>0</v>
      </c>
      <c r="CU42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2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1492</v>
      </c>
      <c r="CW429" s="994">
        <f>WWWW[[#This Row],[HRP1]]/500</f>
        <v>2.984</v>
      </c>
      <c r="CX429" s="999">
        <f>1-WWWW[[#This Row],[% Equitable and continuous access to sufficient quantity of domestic water]]</f>
        <v>0</v>
      </c>
      <c r="CY429" s="994">
        <f>WWWW[[#This Row],[%equitable and continuous access to sufficient quantity of safe drinking and domestic water''s GAP]]*WWWW[[#This Row],[Total PoP ]]</f>
        <v>0</v>
      </c>
      <c r="CZ429" s="997">
        <f>IF(WWWW[[#This Row],[Total required water points]]-WWWW[[#This Row],['#Water points coverage]]&lt;0,0,WWWW[[#This Row],[Total required water points]]-WWWW[[#This Row],['#Water points coverage]])</f>
        <v>1.6000000000000014E-2</v>
      </c>
      <c r="DA429" s="997">
        <f>ROUND(IF(WWWW[[#This Row],[Total PoP ]]&lt;500,1,WWWW[[#This Row],[Total PoP ]]/500),0)</f>
        <v>3</v>
      </c>
      <c r="DB429" s="997">
        <f>(WWWW[[#This Row],['#_Constructed latrines_by_WASHAgencies]]+WWWW[[#This Row],['#_Non Cluster partner latrines]])-WWWW[[#This Row],['#_Non-functional latrines]]</f>
        <v>97</v>
      </c>
      <c r="DC429" s="631">
        <f>WWWW[[#This Row],[HRP2]]/WWWW[[#This Row],[Total PoP ]]</f>
        <v>1</v>
      </c>
      <c r="DD42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1492</v>
      </c>
      <c r="DE42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2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9" s="424">
        <f>IF(WWWW[[#This Row],['# of functional latrines in THF supported by WASH partners during the reporting period2]]="",0,WWWW[[#This Row],['# of functional latrines in THF supported by WASH partners during the reporting period2]]*50)</f>
        <v>0</v>
      </c>
      <c r="DH429" s="997">
        <f>ROUND(IF(WWWW[[#This Row],[Location Type 1]]="camp",WWWW[[#This Row],[Total PoP ]]/20,IF(WWWW[[#This Row],[Location Type 1]]="Temporary Location",WWWW[[#This Row],[Total PoP ]]/50,(WWWW[[#This Row],[Total PoP ]]/6))),0)</f>
        <v>75</v>
      </c>
      <c r="DI429" s="997">
        <f>IF(WWWW[[#This Row],[Total required Latrines]]-(WWWW[[#This Row],['#_Constructed latrines_by_WASHAgencies]]+WWWW[[#This Row],['#_Non Cluster partner latrines]])&lt;0,0,WWWW[[#This Row],[Total required Latrines]]-(WWWW[[#This Row],['#_Constructed latrines_by_WASHAgencies]]+WWWW[[#This Row],['#_Non Cluster partner latrines]]))</f>
        <v>0</v>
      </c>
      <c r="DJ429" s="999">
        <f>1-WWWW[[#This Row],[% people access to functioning Latrine]]</f>
        <v>0</v>
      </c>
      <c r="DK429" s="998">
        <f>IF(OR(WWWW[[#This Row],['#_Non-functional latrines]]="",WWWW[[#This Row],['#_Non-functional latrines]]=0),0,WWWW[[#This Row],['#_Non-functional latrines]]/(WWWW[[#This Row],['#_Constructed latrines_by_WASHAgencies]]+WWWW[[#This Row],['#_Non Cluster partner latrines]]))</f>
        <v>0</v>
      </c>
      <c r="DL429" s="994">
        <f>IF(500*(WWWW[[#This Row],['#_male hygiene promoters]]+WWWW[[#This Row],['#_female hygiene promoters]])&gt;WWWW[[#This Row],[Total PoP ]],WWWW[[#This Row],[Total PoP ]],500*(WWWW[[#This Row],['#_male hygiene promoters]]+WWWW[[#This Row],['#_female hygiene promoters]]))</f>
        <v>1000</v>
      </c>
      <c r="DM42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2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29" s="997">
        <f>IF(WWWW[[#This Row],['# People with access to soap]]&gt;WWWW[[#This Row],['# People with access to Sanity Pads]],WWWW[[#This Row],['# People with access to soap]],WWWW[[#This Row],['# People with access to Sanity Pads]])</f>
        <v>0</v>
      </c>
      <c r="DP429" s="997">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Q429" s="999">
        <f>IF(WWWW[[#This Row],[HRP3]]/WWWW[[#This Row],[Total PoP ]]&gt;1,1,WWWW[[#This Row],[HRP3]]/WWWW[[#This Row],[Total PoP ]])</f>
        <v>0.67024128686327078</v>
      </c>
      <c r="DR429" s="998">
        <f>1-WWWW[[#This Row],[Hygiene Coverage%]]</f>
        <v>0.32975871313672922</v>
      </c>
      <c r="DS429" s="996">
        <f>WWWW[[#This Row],['# people reached by regular dedicated hygiene promotion_5]]/WWWW[[#This Row],[Total PoP ]]</f>
        <v>0.67024128686327078</v>
      </c>
      <c r="DT42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2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29" s="997">
        <f>WWWW[[#This Row],['#_Constructed/Existing hand washing stations]]-WWWW[[#This Row],['#_Non-Functional_hand_washing_stations]]</f>
        <v>1</v>
      </c>
      <c r="DW429" s="994">
        <f>IF(WWWW[[#This Row],['# Functional hand washing stations during reporting period]]*20&gt;WWWW[[#This Row],[Total HH]],WWWW[[#This Row],[Total HH]],WWWW[[#This Row],['# Functional hand washing stations during reporting period]]*20)</f>
        <v>20</v>
      </c>
      <c r="DX429" s="994">
        <f>IF(WWWW[[#This Row],[Is sufficient soap available for TLS? (Yes/No)]]="yes",WWWW[[#This Row],['#_Constructed/Existing hand washing stations at TLS/CFS/THF]],0)</f>
        <v>5</v>
      </c>
      <c r="DY429" s="428">
        <f>IF(WWWW[[#This Row],['# Functional hand washing stations during reporting period]]*100&gt;WWWW[[#This Row],[Total PoP ]],WWWW[[#This Row],[Total PoP ]],WWWW[[#This Row],['# Functional hand washing stations during reporting period]]*100)</f>
        <v>100</v>
      </c>
      <c r="DZ429" s="428" t="str">
        <f>IF(OR(WWWW[[#This Row],['#_students at TLS_CFS]]="",WWWW[[#This Row],['#_students at TLS_CFS]]=0),"No","Yes")</f>
        <v>No</v>
      </c>
      <c r="EA42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2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29" s="990" t="str">
        <f>VLOOKUP(WWWW[[#This Row],[Site Name]],SiteDB6[[Site Name]:[CCCM Management]],6,FALSE)</f>
        <v>Yes</v>
      </c>
      <c r="EF429" s="990" t="str">
        <f>VLOOKUP(WWWW[[#This Row],[Site Name]],SiteDB6[[Site Name]:[CCCM Focal Agency]],7,FALSE)</f>
        <v>KMSS-MYT</v>
      </c>
      <c r="EG429" s="990" t="str">
        <f>VLOOKUP(WWWW[[#This Row],[Site Name]],SiteDB6[[Site Name]:[Location Type 1]],9,FALSE)</f>
        <v>Camp</v>
      </c>
      <c r="EH429" s="990" t="str">
        <f>VLOOKUP(WWWW[[#This Row],[Site Name]],SiteDB6[[Site Name]:[Type of Accommodation]],10,FALSE)</f>
        <v>Camp</v>
      </c>
      <c r="EI429" s="990" t="str">
        <f>VLOOKUP(WWWW[[#This Row],[Site Name]],SiteDB6[[Site Name]:[Ethnic or GCA/NGCA]],11,FALSE)</f>
        <v>GCA</v>
      </c>
      <c r="EJ429" s="990">
        <f>VLOOKUP(WWWW[[#This Row],[Site Name]],SiteDB6[[Site Name]:[Lat]],12,FALSE)</f>
        <v>25.415667500000001</v>
      </c>
      <c r="EK429" s="990">
        <f>VLOOKUP(WWWW[[#This Row],[Site Name]],SiteDB6[[Site Name]:[Long]],13,FALSE)</f>
        <v>97.437782499999997</v>
      </c>
      <c r="EL429" s="990" t="str">
        <f>VLOOKUP(WWWW[[#This Row],[Site Name]],SiteDB6[[Site Name]:[Pcode]],3,FALSE)</f>
        <v>MMR001CMP029</v>
      </c>
      <c r="EM429" s="995" t="str">
        <f t="shared" ref="EM429:EM460" si="8">IF(C429="none","Notcovered","Covered")</f>
        <v>Covered</v>
      </c>
      <c r="EN429" s="995"/>
      <c r="EO429" s="990">
        <f>VLOOKUP(WWWW[[#This Row],[Site Name]],SiteDB6[[Site Name]:[Pop
(Kachin/Shan-CCCM as of July 2021)]],16,FALSE)</f>
        <v>276</v>
      </c>
      <c r="EP429" s="990">
        <f>VLOOKUP(WWWW[[#This Row],[Site Name]],SiteDB6[[Site Name]:[Pop
(Kachin/Shan-CCCM as of July 2021)]],17,FALSE)</f>
        <v>1492</v>
      </c>
    </row>
    <row r="430" spans="1:146">
      <c r="A430" s="988" t="s">
        <v>2765</v>
      </c>
      <c r="B430" s="988" t="s">
        <v>3073</v>
      </c>
      <c r="C430" s="989" t="s">
        <v>141</v>
      </c>
      <c r="D430" s="989" t="s">
        <v>3166</v>
      </c>
      <c r="E430" s="989" t="s">
        <v>37</v>
      </c>
      <c r="F430" s="989" t="s">
        <v>142</v>
      </c>
      <c r="G430" s="591" t="str">
        <f>VLOOKUP(WWWW[[#This Row],[Site Name]],SiteDB6[[Site Name]:[Location Type]],8,FALSE)</f>
        <v>Camp</v>
      </c>
      <c r="H430" s="989" t="s">
        <v>178</v>
      </c>
      <c r="I430" s="991">
        <v>531</v>
      </c>
      <c r="J430" s="991">
        <v>2920</v>
      </c>
      <c r="K430" s="992">
        <v>44682</v>
      </c>
      <c r="L430" s="993">
        <v>45169</v>
      </c>
      <c r="M430" s="991"/>
      <c r="N430" s="991">
        <v>5</v>
      </c>
      <c r="O430" s="991"/>
      <c r="P430" s="991"/>
      <c r="Q430" s="994" t="s">
        <v>41</v>
      </c>
      <c r="R430" s="991">
        <v>3</v>
      </c>
      <c r="S430" s="991">
        <v>4</v>
      </c>
      <c r="T430" s="448">
        <v>13</v>
      </c>
      <c r="U430" s="991"/>
      <c r="V430" s="991"/>
      <c r="W430" s="991">
        <v>2</v>
      </c>
      <c r="X430" s="991"/>
      <c r="Y430" s="991"/>
      <c r="Z430" s="991"/>
      <c r="AA430" s="991"/>
      <c r="AB430" s="991"/>
      <c r="AC430" s="991"/>
      <c r="AD430" s="991"/>
      <c r="AE430" s="991"/>
      <c r="AF430" s="991"/>
      <c r="AG430" s="991"/>
      <c r="AH430" s="991">
        <v>9</v>
      </c>
      <c r="AI430" s="991"/>
      <c r="AJ430" s="991"/>
      <c r="AK430" s="991"/>
      <c r="AL430" s="991"/>
      <c r="AM430" s="991"/>
      <c r="AN430" s="991"/>
      <c r="AO430" s="448"/>
      <c r="AP430" s="995"/>
      <c r="AQ430" s="991">
        <v>130</v>
      </c>
      <c r="AR430" s="991"/>
      <c r="AS430" s="996"/>
      <c r="AT430" s="991"/>
      <c r="AU430" s="991"/>
      <c r="AV430" s="991"/>
      <c r="AW430" s="991"/>
      <c r="AX430" s="991">
        <v>130</v>
      </c>
      <c r="AY430" s="990" t="s">
        <v>41</v>
      </c>
      <c r="AZ430" s="995" t="s">
        <v>137</v>
      </c>
      <c r="BA430" s="991"/>
      <c r="BB430" s="991"/>
      <c r="BC430" s="991"/>
      <c r="BD430" s="448"/>
      <c r="BE430" s="448"/>
      <c r="BF430" s="990"/>
      <c r="BG430" s="991">
        <v>7</v>
      </c>
      <c r="BH430" s="991"/>
      <c r="BI430" s="991"/>
      <c r="BJ430" s="991">
        <v>7</v>
      </c>
      <c r="BK430" s="991"/>
      <c r="BL430" s="991">
        <v>2</v>
      </c>
      <c r="BM430" s="991">
        <v>4</v>
      </c>
      <c r="BN430" s="991"/>
      <c r="BO430" s="991"/>
      <c r="BP430" s="990"/>
      <c r="BQ430" s="997"/>
      <c r="BR430" s="996"/>
      <c r="BS430" s="990"/>
      <c r="BT430" s="423"/>
      <c r="BU430" s="423"/>
      <c r="BV430" s="425"/>
      <c r="BW430" s="423"/>
      <c r="BX430" s="448"/>
      <c r="BY430" s="448"/>
      <c r="BZ430" s="448"/>
      <c r="CA430" s="448"/>
      <c r="CB430" s="448"/>
      <c r="CC430" s="777"/>
      <c r="CD430" s="448"/>
      <c r="CE430" s="998" t="str">
        <f>IFERROR(WWWW[[#This Row],['#_Water sources passed]]/WWWW[[#This Row],['#_Water sources tested for fecal coliform ]],"no test")</f>
        <v>no test</v>
      </c>
      <c r="CF430" s="996" t="str">
        <f>IFERROR(WWWW[[#This Row],['#_Household passed]]/WWWW[[#This Row],['#_Household water samples tested for fecal coliform]],"no test")</f>
        <v>no test</v>
      </c>
      <c r="CG430" s="997" t="str">
        <f>IF(AND(WWWW[[#This Row],[% of water sources passed]]="no test",WWWW[[#This Row],[% Household passed]]="no test"),"No Test","Tested")</f>
        <v>No Test</v>
      </c>
      <c r="CH430" s="997">
        <f>WWWW[[#This Row],['#_Constructed/existing protected hand dug well]]-WWWW[[#This Row],['#_Non-functional protected hand dug well]]</f>
        <v>13</v>
      </c>
      <c r="CI430" s="997">
        <f>(WWWW[[#This Row],['#_Constructed/Existing tube wells/boreholes/handpumps_WASH_agency]]+WWWW[[#This Row],['#_Non-Cluster partner water tube-wells/boreholes/handpumps]])-WWWW[[#This Row],['#_Non-functional tube wells/boreholes/handpumps]]</f>
        <v>2</v>
      </c>
      <c r="CJ430" s="997">
        <f>WWWW[[#This Row],['#_Constructed/Existingwater storage tank with gravity fed reticulation system]]-WWWW[[#This Row],['#_Non-functional storage tank gravity fed reticulation system]]</f>
        <v>0</v>
      </c>
      <c r="CK430" s="997">
        <f>(WWWW[[#This Row],['#_Water_Liters_supplied_by_Water boating or water trucking]]/90)/15</f>
        <v>0</v>
      </c>
      <c r="CL430" s="997">
        <f>WWWW[[#This Row],['#_Water_Liters_from_Constructed/Existing water distribution system from river or natural spring]]/90/15</f>
        <v>0</v>
      </c>
      <c r="CM430" s="424">
        <f>IF(WWWW[[#This Row],['#_of water points in TLS/CFS]]*500&gt;WWWW[[#This Row],[Total PoP ]],WWWW[[#This Row],[Total PoP ]],WWWW[[#This Row],['#_of water points in TLS/CFS]]*500)</f>
        <v>0</v>
      </c>
      <c r="CN430" s="424">
        <f>IF(WWWW[[#This Row],['#_of water points in THF]]*500&gt;WWWW[[#This Row],[Total PoP ]],WWWW[[#This Row],[Total PoP ]],WWWW[[#This Row],['#_of water points in THF]]*500)</f>
        <v>0</v>
      </c>
      <c r="CO43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3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30" s="996">
        <f>IF(WWWW[[#This Row],[Location Type 1]]="Village",WWWW[[#This Row],[Access to safe drinking water for Village]],WWWW[[#This Row],[Access to safe drinking water for Camp]])</f>
        <v>1</v>
      </c>
      <c r="CR430" s="994">
        <f>WWWW[[#This Row],[%Equitable and continuous access to sufficient quantity of safe drinking water]]*WWWW[[#This Row],[Total PoP ]]</f>
        <v>2920</v>
      </c>
      <c r="CS430" s="996">
        <f>IF((WWWW[[#This Row],['#_Constructed/Existing protected/fenced ponds]]*250)/WWWW[[#This Row],[Total PoP ]]&gt;1,1,(WWWW[[#This Row],['#_Constructed/Existing protected/fenced ponds]]*250)/WWWW[[#This Row],[Total PoP ]])</f>
        <v>0</v>
      </c>
      <c r="CT430" s="994">
        <f>WWWW[[#This Row],[% Access to unimproved water points]]*WWWW[[#This Row],[Total PoP ]]</f>
        <v>0</v>
      </c>
      <c r="CU43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3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2920</v>
      </c>
      <c r="CW430" s="994">
        <f>WWWW[[#This Row],[HRP1]]/500</f>
        <v>5.84</v>
      </c>
      <c r="CX430" s="999">
        <f>1-WWWW[[#This Row],[% Equitable and continuous access to sufficient quantity of domestic water]]</f>
        <v>0</v>
      </c>
      <c r="CY430" s="994">
        <f>WWWW[[#This Row],[%equitable and continuous access to sufficient quantity of safe drinking and domestic water''s GAP]]*WWWW[[#This Row],[Total PoP ]]</f>
        <v>0</v>
      </c>
      <c r="CZ430" s="997">
        <f>IF(WWWW[[#This Row],[Total required water points]]-WWWW[[#This Row],['#Water points coverage]]&lt;0,0,WWWW[[#This Row],[Total required water points]]-WWWW[[#This Row],['#Water points coverage]])</f>
        <v>0.16000000000000014</v>
      </c>
      <c r="DA430" s="997">
        <f>ROUND(IF(WWWW[[#This Row],[Total PoP ]]&lt;500,1,WWWW[[#This Row],[Total PoP ]]/500),0)</f>
        <v>6</v>
      </c>
      <c r="DB430" s="997">
        <f>(WWWW[[#This Row],['#_Constructed latrines_by_WASHAgencies]]+WWWW[[#This Row],['#_Non Cluster partner latrines]])-WWWW[[#This Row],['#_Non-functional latrines]]</f>
        <v>130</v>
      </c>
      <c r="DC430" s="631">
        <f>WWWW[[#This Row],[HRP2]]/WWWW[[#This Row],[Total PoP ]]</f>
        <v>0.8904109589041096</v>
      </c>
      <c r="DD43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2600</v>
      </c>
      <c r="DE43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3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0" s="424">
        <f>IF(WWWW[[#This Row],['# of functional latrines in THF supported by WASH partners during the reporting period2]]="",0,WWWW[[#This Row],['# of functional latrines in THF supported by WASH partners during the reporting period2]]*50)</f>
        <v>0</v>
      </c>
      <c r="DH430" s="997">
        <f>ROUND(IF(WWWW[[#This Row],[Location Type 1]]="camp",WWWW[[#This Row],[Total PoP ]]/20,IF(WWWW[[#This Row],[Location Type 1]]="Temporary Location",WWWW[[#This Row],[Total PoP ]]/50,(WWWW[[#This Row],[Total PoP ]]/6))),0)</f>
        <v>146</v>
      </c>
      <c r="DI430" s="997">
        <f>IF(WWWW[[#This Row],[Total required Latrines]]-(WWWW[[#This Row],['#_Constructed latrines_by_WASHAgencies]]+WWWW[[#This Row],['#_Non Cluster partner latrines]])&lt;0,0,WWWW[[#This Row],[Total required Latrines]]-(WWWW[[#This Row],['#_Constructed latrines_by_WASHAgencies]]+WWWW[[#This Row],['#_Non Cluster partner latrines]]))</f>
        <v>16</v>
      </c>
      <c r="DJ430" s="999">
        <f>1-WWWW[[#This Row],[% people access to functioning Latrine]]</f>
        <v>0.1095890410958904</v>
      </c>
      <c r="DK430" s="998">
        <f>IF(OR(WWWW[[#This Row],['#_Non-functional latrines]]="",WWWW[[#This Row],['#_Non-functional latrines]]=0),0,WWWW[[#This Row],['#_Non-functional latrines]]/(WWWW[[#This Row],['#_Constructed latrines_by_WASHAgencies]]+WWWW[[#This Row],['#_Non Cluster partner latrines]]))</f>
        <v>0</v>
      </c>
      <c r="DL430" s="994">
        <f>IF(500*(WWWW[[#This Row],['#_male hygiene promoters]]+WWWW[[#This Row],['#_female hygiene promoters]])&gt;WWWW[[#This Row],[Total PoP ]],WWWW[[#This Row],[Total PoP ]],500*(WWWW[[#This Row],['#_male hygiene promoters]]+WWWW[[#This Row],['#_female hygiene promoters]]))</f>
        <v>2920</v>
      </c>
      <c r="DM43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3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30" s="997">
        <f>IF(WWWW[[#This Row],['# People with access to soap]]&gt;WWWW[[#This Row],['# People with access to Sanity Pads]],WWWW[[#This Row],['# People with access to soap]],WWWW[[#This Row],['# People with access to Sanity Pads]])</f>
        <v>0</v>
      </c>
      <c r="DP430" s="997">
        <f>IF(WWWW[[#This Row],['# people reached by regular dedicated hygiene promotion_5]]&gt;WWWW[[#This Row],['# People received regular supply of hygiene items_6]],WWWW[[#This Row],['# people reached by regular dedicated hygiene promotion_5]],WWWW[[#This Row],['# People received regular supply of hygiene items_6]])</f>
        <v>2920</v>
      </c>
      <c r="DQ430" s="999">
        <f>IF(WWWW[[#This Row],[HRP3]]/WWWW[[#This Row],[Total PoP ]]&gt;1,1,WWWW[[#This Row],[HRP3]]/WWWW[[#This Row],[Total PoP ]])</f>
        <v>1</v>
      </c>
      <c r="DR430" s="998">
        <f>1-WWWW[[#This Row],[Hygiene Coverage%]]</f>
        <v>0</v>
      </c>
      <c r="DS430" s="996">
        <f>WWWW[[#This Row],['# people reached by regular dedicated hygiene promotion_5]]/WWWW[[#This Row],[Total PoP ]]</f>
        <v>1</v>
      </c>
      <c r="DT43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3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30" s="997">
        <f>WWWW[[#This Row],['#_Constructed/Existing hand washing stations]]-WWWW[[#This Row],['#_Non-Functional_hand_washing_stations]]</f>
        <v>7</v>
      </c>
      <c r="DW430" s="994">
        <f>IF(WWWW[[#This Row],['# Functional hand washing stations during reporting period]]*20&gt;WWWW[[#This Row],[Total HH]],WWWW[[#This Row],[Total HH]],WWWW[[#This Row],['# Functional hand washing stations during reporting period]]*20)</f>
        <v>140</v>
      </c>
      <c r="DX430" s="994">
        <f>IF(WWWW[[#This Row],[Is sufficient soap available for TLS? (Yes/No)]]="yes",WWWW[[#This Row],['#_Constructed/Existing hand washing stations at TLS/CFS/THF]],0)</f>
        <v>0</v>
      </c>
      <c r="DY430" s="428">
        <f>IF(WWWW[[#This Row],['# Functional hand washing stations during reporting period]]*100&gt;WWWW[[#This Row],[Total PoP ]],WWWW[[#This Row],[Total PoP ]],WWWW[[#This Row],['# Functional hand washing stations during reporting period]]*100)</f>
        <v>700</v>
      </c>
      <c r="DZ430" s="428" t="str">
        <f>IF(OR(WWWW[[#This Row],['#_students at TLS_CFS]]="",WWWW[[#This Row],['#_students at TLS_CFS]]=0),"No","Yes")</f>
        <v>No</v>
      </c>
      <c r="EA43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3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3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0" s="990" t="str">
        <f>VLOOKUP(WWWW[[#This Row],[Site Name]],SiteDB6[[Site Name]:[CCCM Management]],6,FALSE)</f>
        <v>Yes</v>
      </c>
      <c r="EF430" s="990" t="str">
        <f>VLOOKUP(WWWW[[#This Row],[Site Name]],SiteDB6[[Site Name]:[CCCM Focal Agency]],7,FALSE)</f>
        <v>KBC-MYT</v>
      </c>
      <c r="EG430" s="990" t="str">
        <f>VLOOKUP(WWWW[[#This Row],[Site Name]],SiteDB6[[Site Name]:[Location Type 1]],9,FALSE)</f>
        <v>Camp</v>
      </c>
      <c r="EH430" s="990" t="str">
        <f>VLOOKUP(WWWW[[#This Row],[Site Name]],SiteDB6[[Site Name]:[Type of Accommodation]],10,FALSE)</f>
        <v>Camp</v>
      </c>
      <c r="EI430" s="990" t="str">
        <f>VLOOKUP(WWWW[[#This Row],[Site Name]],SiteDB6[[Site Name]:[Ethnic or GCA/NGCA]],11,FALSE)</f>
        <v>GCA</v>
      </c>
      <c r="EJ430" s="990">
        <f>VLOOKUP(WWWW[[#This Row],[Site Name]],SiteDB6[[Site Name]:[Lat]],12,FALSE)</f>
        <v>25.4118005797101</v>
      </c>
      <c r="EK430" s="990">
        <f>VLOOKUP(WWWW[[#This Row],[Site Name]],SiteDB6[[Site Name]:[Long]],13,FALSE)</f>
        <v>97.434855869565197</v>
      </c>
      <c r="EL430" s="990" t="str">
        <f>VLOOKUP(WWWW[[#This Row],[Site Name]],SiteDB6[[Site Name]:[Pcode]],3,FALSE)</f>
        <v>MMR001CMP040</v>
      </c>
      <c r="EM430" s="995" t="str">
        <f t="shared" si="8"/>
        <v>Covered</v>
      </c>
      <c r="EN430" s="995"/>
      <c r="EO430" s="990">
        <f>VLOOKUP(WWWW[[#This Row],[Site Name]],SiteDB6[[Site Name]:[Pop
(Kachin/Shan-CCCM as of July 2021)]],16,FALSE)</f>
        <v>531</v>
      </c>
      <c r="EP430" s="990">
        <f>VLOOKUP(WWWW[[#This Row],[Site Name]],SiteDB6[[Site Name]:[Pop
(Kachin/Shan-CCCM as of July 2021)]],17,FALSE)</f>
        <v>2920</v>
      </c>
    </row>
    <row r="431" spans="1:146">
      <c r="A431" s="988" t="s">
        <v>2765</v>
      </c>
      <c r="B431" s="988" t="s">
        <v>3073</v>
      </c>
      <c r="C431" s="989" t="s">
        <v>141</v>
      </c>
      <c r="D431" s="989" t="s">
        <v>3166</v>
      </c>
      <c r="E431" s="989" t="s">
        <v>37</v>
      </c>
      <c r="F431" s="989" t="s">
        <v>142</v>
      </c>
      <c r="G431" s="591" t="str">
        <f>VLOOKUP(WWWW[[#This Row],[Site Name]],SiteDB6[[Site Name]:[Location Type]],8,FALSE)</f>
        <v>Camp</v>
      </c>
      <c r="H431" s="989" t="s">
        <v>179</v>
      </c>
      <c r="I431" s="991">
        <v>55</v>
      </c>
      <c r="J431" s="991">
        <v>283</v>
      </c>
      <c r="K431" s="992">
        <v>44682</v>
      </c>
      <c r="L431" s="993">
        <v>45169</v>
      </c>
      <c r="M431" s="991"/>
      <c r="N431" s="991">
        <v>1</v>
      </c>
      <c r="O431" s="991"/>
      <c r="P431" s="991"/>
      <c r="Q431" s="994" t="s">
        <v>41</v>
      </c>
      <c r="R431" s="991">
        <v>1</v>
      </c>
      <c r="S431" s="991">
        <v>3</v>
      </c>
      <c r="T431" s="448">
        <v>1</v>
      </c>
      <c r="U431" s="991"/>
      <c r="V431" s="991"/>
      <c r="W431" s="991"/>
      <c r="X431" s="991"/>
      <c r="Y431" s="991"/>
      <c r="Z431" s="991"/>
      <c r="AA431" s="991"/>
      <c r="AB431" s="991"/>
      <c r="AC431" s="991"/>
      <c r="AD431" s="991"/>
      <c r="AE431" s="991"/>
      <c r="AF431" s="991"/>
      <c r="AG431" s="991"/>
      <c r="AH431" s="991">
        <v>2</v>
      </c>
      <c r="AI431" s="991"/>
      <c r="AJ431" s="991"/>
      <c r="AK431" s="991"/>
      <c r="AL431" s="991"/>
      <c r="AM431" s="991"/>
      <c r="AN431" s="991"/>
      <c r="AO431" s="448"/>
      <c r="AP431" s="995"/>
      <c r="AQ431" s="991">
        <v>10</v>
      </c>
      <c r="AR431" s="991"/>
      <c r="AS431" s="996"/>
      <c r="AT431" s="991"/>
      <c r="AU431" s="991"/>
      <c r="AV431" s="991"/>
      <c r="AW431" s="991"/>
      <c r="AX431" s="991">
        <v>10</v>
      </c>
      <c r="AY431" s="990" t="s">
        <v>41</v>
      </c>
      <c r="AZ431" s="995" t="s">
        <v>137</v>
      </c>
      <c r="BA431" s="991"/>
      <c r="BB431" s="991"/>
      <c r="BC431" s="991"/>
      <c r="BD431" s="448"/>
      <c r="BE431" s="448"/>
      <c r="BF431" s="990"/>
      <c r="BG431" s="991">
        <v>7</v>
      </c>
      <c r="BH431" s="991"/>
      <c r="BI431" s="991"/>
      <c r="BJ431" s="991">
        <v>4</v>
      </c>
      <c r="BK431" s="991"/>
      <c r="BL431" s="991">
        <v>1</v>
      </c>
      <c r="BM431" s="991"/>
      <c r="BN431" s="991"/>
      <c r="BO431" s="991"/>
      <c r="BP431" s="990"/>
      <c r="BQ431" s="997"/>
      <c r="BR431" s="996"/>
      <c r="BS431" s="990"/>
      <c r="BT431" s="423"/>
      <c r="BU431" s="423"/>
      <c r="BV431" s="425"/>
      <c r="BW431" s="423"/>
      <c r="BX431" s="448"/>
      <c r="BY431" s="448"/>
      <c r="BZ431" s="448"/>
      <c r="CA431" s="448"/>
      <c r="CB431" s="448"/>
      <c r="CC431" s="777"/>
      <c r="CD431" s="448"/>
      <c r="CE431" s="998" t="str">
        <f>IFERROR(WWWW[[#This Row],['#_Water sources passed]]/WWWW[[#This Row],['#_Water sources tested for fecal coliform ]],"no test")</f>
        <v>no test</v>
      </c>
      <c r="CF431" s="996" t="str">
        <f>IFERROR(WWWW[[#This Row],['#_Household passed]]/WWWW[[#This Row],['#_Household water samples tested for fecal coliform]],"no test")</f>
        <v>no test</v>
      </c>
      <c r="CG431" s="997" t="str">
        <f>IF(AND(WWWW[[#This Row],[% of water sources passed]]="no test",WWWW[[#This Row],[% Household passed]]="no test"),"No Test","Tested")</f>
        <v>No Test</v>
      </c>
      <c r="CH431" s="997">
        <f>WWWW[[#This Row],['#_Constructed/existing protected hand dug well]]-WWWW[[#This Row],['#_Non-functional protected hand dug well]]</f>
        <v>1</v>
      </c>
      <c r="CI431" s="997">
        <f>(WWWW[[#This Row],['#_Constructed/Existing tube wells/boreholes/handpumps_WASH_agency]]+WWWW[[#This Row],['#_Non-Cluster partner water tube-wells/boreholes/handpumps]])-WWWW[[#This Row],['#_Non-functional tube wells/boreholes/handpumps]]</f>
        <v>0</v>
      </c>
      <c r="CJ431" s="997">
        <f>WWWW[[#This Row],['#_Constructed/Existingwater storage tank with gravity fed reticulation system]]-WWWW[[#This Row],['#_Non-functional storage tank gravity fed reticulation system]]</f>
        <v>0</v>
      </c>
      <c r="CK431" s="997">
        <f>(WWWW[[#This Row],['#_Water_Liters_supplied_by_Water boating or water trucking]]/90)/15</f>
        <v>0</v>
      </c>
      <c r="CL431" s="997">
        <f>WWWW[[#This Row],['#_Water_Liters_from_Constructed/Existing water distribution system from river or natural spring]]/90/15</f>
        <v>0</v>
      </c>
      <c r="CM431" s="424">
        <f>IF(WWWW[[#This Row],['#_of water points in TLS/CFS]]*500&gt;WWWW[[#This Row],[Total PoP ]],WWWW[[#This Row],[Total PoP ]],WWWW[[#This Row],['#_of water points in TLS/CFS]]*500)</f>
        <v>0</v>
      </c>
      <c r="CN431" s="424">
        <f>IF(WWWW[[#This Row],['#_of water points in THF]]*500&gt;WWWW[[#This Row],[Total PoP ]],WWWW[[#This Row],[Total PoP ]],WWWW[[#This Row],['#_of water points in THF]]*500)</f>
        <v>0</v>
      </c>
      <c r="CO43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3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0.88339222614840984</v>
      </c>
      <c r="CQ431" s="996">
        <f>IF(WWWW[[#This Row],[Location Type 1]]="Village",WWWW[[#This Row],[Access to safe drinking water for Village]],WWWW[[#This Row],[Access to safe drinking water for Camp]])</f>
        <v>1</v>
      </c>
      <c r="CR431" s="994">
        <f>WWWW[[#This Row],[%Equitable and continuous access to sufficient quantity of safe drinking water]]*WWWW[[#This Row],[Total PoP ]]</f>
        <v>283</v>
      </c>
      <c r="CS431" s="996">
        <f>IF((WWWW[[#This Row],['#_Constructed/Existing protected/fenced ponds]]*250)/WWWW[[#This Row],[Total PoP ]]&gt;1,1,(WWWW[[#This Row],['#_Constructed/Existing protected/fenced ponds]]*250)/WWWW[[#This Row],[Total PoP ]])</f>
        <v>0</v>
      </c>
      <c r="CT431" s="994">
        <f>WWWW[[#This Row],[% Access to unimproved water points]]*WWWW[[#This Row],[Total PoP ]]</f>
        <v>0</v>
      </c>
      <c r="CU43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3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283</v>
      </c>
      <c r="CW431" s="994">
        <f>WWWW[[#This Row],[HRP1]]/500</f>
        <v>0.56599999999999995</v>
      </c>
      <c r="CX431" s="999">
        <f>1-WWWW[[#This Row],[% Equitable and continuous access to sufficient quantity of domestic water]]</f>
        <v>0</v>
      </c>
      <c r="CY431" s="994">
        <f>WWWW[[#This Row],[%equitable and continuous access to sufficient quantity of safe drinking and domestic water''s GAP]]*WWWW[[#This Row],[Total PoP ]]</f>
        <v>0</v>
      </c>
      <c r="CZ431" s="997">
        <f>IF(WWWW[[#This Row],[Total required water points]]-WWWW[[#This Row],['#Water points coverage]]&lt;0,0,WWWW[[#This Row],[Total required water points]]-WWWW[[#This Row],['#Water points coverage]])</f>
        <v>0.43400000000000005</v>
      </c>
      <c r="DA431" s="997">
        <f>ROUND(IF(WWWW[[#This Row],[Total PoP ]]&lt;500,1,WWWW[[#This Row],[Total PoP ]]/500),0)</f>
        <v>1</v>
      </c>
      <c r="DB431" s="997">
        <f>(WWWW[[#This Row],['#_Constructed latrines_by_WASHAgencies]]+WWWW[[#This Row],['#_Non Cluster partner latrines]])-WWWW[[#This Row],['#_Non-functional latrines]]</f>
        <v>10</v>
      </c>
      <c r="DC431" s="631">
        <f>WWWW[[#This Row],[HRP2]]/WWWW[[#This Row],[Total PoP ]]</f>
        <v>0.70671378091872794</v>
      </c>
      <c r="DD43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43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3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1" s="424">
        <f>IF(WWWW[[#This Row],['# of functional latrines in THF supported by WASH partners during the reporting period2]]="",0,WWWW[[#This Row],['# of functional latrines in THF supported by WASH partners during the reporting period2]]*50)</f>
        <v>0</v>
      </c>
      <c r="DH431" s="997">
        <f>ROUND(IF(WWWW[[#This Row],[Location Type 1]]="camp",WWWW[[#This Row],[Total PoP ]]/20,IF(WWWW[[#This Row],[Location Type 1]]="Temporary Location",WWWW[[#This Row],[Total PoP ]]/50,(WWWW[[#This Row],[Total PoP ]]/6))),0)</f>
        <v>14</v>
      </c>
      <c r="DI431" s="997">
        <f>IF(WWWW[[#This Row],[Total required Latrines]]-(WWWW[[#This Row],['#_Constructed latrines_by_WASHAgencies]]+WWWW[[#This Row],['#_Non Cluster partner latrines]])&lt;0,0,WWWW[[#This Row],[Total required Latrines]]-(WWWW[[#This Row],['#_Constructed latrines_by_WASHAgencies]]+WWWW[[#This Row],['#_Non Cluster partner latrines]]))</f>
        <v>4</v>
      </c>
      <c r="DJ431" s="999">
        <f>1-WWWW[[#This Row],[% people access to functioning Latrine]]</f>
        <v>0.29328621908127206</v>
      </c>
      <c r="DK431" s="998">
        <f>IF(OR(WWWW[[#This Row],['#_Non-functional latrines]]="",WWWW[[#This Row],['#_Non-functional latrines]]=0),0,WWWW[[#This Row],['#_Non-functional latrines]]/(WWWW[[#This Row],['#_Constructed latrines_by_WASHAgencies]]+WWWW[[#This Row],['#_Non Cluster partner latrines]]))</f>
        <v>0</v>
      </c>
      <c r="DL431" s="994">
        <f>IF(500*(WWWW[[#This Row],['#_male hygiene promoters]]+WWWW[[#This Row],['#_female hygiene promoters]])&gt;WWWW[[#This Row],[Total PoP ]],WWWW[[#This Row],[Total PoP ]],500*(WWWW[[#This Row],['#_male hygiene promoters]]+WWWW[[#This Row],['#_female hygiene promoters]]))</f>
        <v>283</v>
      </c>
      <c r="DM43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3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31" s="997">
        <f>IF(WWWW[[#This Row],['# People with access to soap]]&gt;WWWW[[#This Row],['# People with access to Sanity Pads]],WWWW[[#This Row],['# People with access to soap]],WWWW[[#This Row],['# People with access to Sanity Pads]])</f>
        <v>0</v>
      </c>
      <c r="DP431" s="997">
        <f>IF(WWWW[[#This Row],['# people reached by regular dedicated hygiene promotion_5]]&gt;WWWW[[#This Row],['# People received regular supply of hygiene items_6]],WWWW[[#This Row],['# people reached by regular dedicated hygiene promotion_5]],WWWW[[#This Row],['# People received regular supply of hygiene items_6]])</f>
        <v>283</v>
      </c>
      <c r="DQ431" s="999">
        <f>IF(WWWW[[#This Row],[HRP3]]/WWWW[[#This Row],[Total PoP ]]&gt;1,1,WWWW[[#This Row],[HRP3]]/WWWW[[#This Row],[Total PoP ]])</f>
        <v>1</v>
      </c>
      <c r="DR431" s="998">
        <f>1-WWWW[[#This Row],[Hygiene Coverage%]]</f>
        <v>0</v>
      </c>
      <c r="DS431" s="996">
        <f>WWWW[[#This Row],['# people reached by regular dedicated hygiene promotion_5]]/WWWW[[#This Row],[Total PoP ]]</f>
        <v>1</v>
      </c>
      <c r="DT43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3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31" s="997">
        <f>WWWW[[#This Row],['#_Constructed/Existing hand washing stations]]-WWWW[[#This Row],['#_Non-Functional_hand_washing_stations]]</f>
        <v>7</v>
      </c>
      <c r="DW431" s="994">
        <f>IF(WWWW[[#This Row],['# Functional hand washing stations during reporting period]]*20&gt;WWWW[[#This Row],[Total HH]],WWWW[[#This Row],[Total HH]],WWWW[[#This Row],['# Functional hand washing stations during reporting period]]*20)</f>
        <v>55</v>
      </c>
      <c r="DX431" s="994">
        <f>IF(WWWW[[#This Row],[Is sufficient soap available for TLS? (Yes/No)]]="yes",WWWW[[#This Row],['#_Constructed/Existing hand washing stations at TLS/CFS/THF]],0)</f>
        <v>0</v>
      </c>
      <c r="DY431" s="428">
        <f>IF(WWWW[[#This Row],['# Functional hand washing stations during reporting period]]*100&gt;WWWW[[#This Row],[Total PoP ]],WWWW[[#This Row],[Total PoP ]],WWWW[[#This Row],['# Functional hand washing stations during reporting period]]*100)</f>
        <v>283</v>
      </c>
      <c r="DZ431" s="428" t="str">
        <f>IF(OR(WWWW[[#This Row],['#_students at TLS_CFS]]="",WWWW[[#This Row],['#_students at TLS_CFS]]=0),"No","Yes")</f>
        <v>No</v>
      </c>
      <c r="EA43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3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3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1" s="990" t="str">
        <f>VLOOKUP(WWWW[[#This Row],[Site Name]],SiteDB6[[Site Name]:[CCCM Management]],6,FALSE)</f>
        <v>Yes</v>
      </c>
      <c r="EF431" s="990" t="str">
        <f>VLOOKUP(WWWW[[#This Row],[Site Name]],SiteDB6[[Site Name]:[CCCM Focal Agency]],7,FALSE)</f>
        <v>KBC-MYT</v>
      </c>
      <c r="EG431" s="990" t="str">
        <f>VLOOKUP(WWWW[[#This Row],[Site Name]],SiteDB6[[Site Name]:[Location Type 1]],9,FALSE)</f>
        <v>Camp</v>
      </c>
      <c r="EH431" s="990" t="str">
        <f>VLOOKUP(WWWW[[#This Row],[Site Name]],SiteDB6[[Site Name]:[Type of Accommodation]],10,FALSE)</f>
        <v>Camp</v>
      </c>
      <c r="EI431" s="990" t="str">
        <f>VLOOKUP(WWWW[[#This Row],[Site Name]],SiteDB6[[Site Name]:[Ethnic or GCA/NGCA]],11,FALSE)</f>
        <v>GCA</v>
      </c>
      <c r="EJ431" s="990">
        <f>VLOOKUP(WWWW[[#This Row],[Site Name]],SiteDB6[[Site Name]:[Lat]],12,FALSE)</f>
        <v>25.409612685185198</v>
      </c>
      <c r="EK431" s="990">
        <f>VLOOKUP(WWWW[[#This Row],[Site Name]],SiteDB6[[Site Name]:[Long]],13,FALSE)</f>
        <v>97.426536944444507</v>
      </c>
      <c r="EL431" s="990" t="str">
        <f>VLOOKUP(WWWW[[#This Row],[Site Name]],SiteDB6[[Site Name]:[Pcode]],3,FALSE)</f>
        <v>MMR001CMP039</v>
      </c>
      <c r="EM431" s="995" t="str">
        <f t="shared" si="8"/>
        <v>Covered</v>
      </c>
      <c r="EN431" s="995"/>
      <c r="EO431" s="990">
        <f>VLOOKUP(WWWW[[#This Row],[Site Name]],SiteDB6[[Site Name]:[Pop
(Kachin/Shan-CCCM as of July 2021)]],16,FALSE)</f>
        <v>55</v>
      </c>
      <c r="EP431" s="990">
        <f>VLOOKUP(WWWW[[#This Row],[Site Name]],SiteDB6[[Site Name]:[Pop
(Kachin/Shan-CCCM as of July 2021)]],17,FALSE)</f>
        <v>283</v>
      </c>
    </row>
    <row r="432" spans="1:146">
      <c r="A432" s="988" t="s">
        <v>2765</v>
      </c>
      <c r="B432" s="988" t="s">
        <v>242</v>
      </c>
      <c r="C432" s="989" t="s">
        <v>242</v>
      </c>
      <c r="D432" s="989" t="s">
        <v>299</v>
      </c>
      <c r="E432" s="989" t="s">
        <v>37</v>
      </c>
      <c r="F432" s="989" t="s">
        <v>142</v>
      </c>
      <c r="G432" s="591" t="str">
        <f>VLOOKUP(WWWW[[#This Row],[Site Name]],SiteDB6[[Site Name]:[Location Type]],8,FALSE)</f>
        <v>Camp</v>
      </c>
      <c r="H432" s="989" t="s">
        <v>3003</v>
      </c>
      <c r="I432" s="448">
        <v>40</v>
      </c>
      <c r="J432" s="448">
        <v>221</v>
      </c>
      <c r="K432" s="588">
        <v>44562</v>
      </c>
      <c r="L432" s="589">
        <v>44926</v>
      </c>
      <c r="M432" s="991"/>
      <c r="N432" s="991">
        <v>1</v>
      </c>
      <c r="O432" s="991"/>
      <c r="P432" s="991"/>
      <c r="Q432" s="994" t="s">
        <v>41</v>
      </c>
      <c r="R432" s="448">
        <v>2</v>
      </c>
      <c r="S432" s="448">
        <v>5</v>
      </c>
      <c r="T432" s="448">
        <v>1</v>
      </c>
      <c r="U432" s="991"/>
      <c r="V432" s="991"/>
      <c r="W432" s="991">
        <v>1</v>
      </c>
      <c r="X432" s="991"/>
      <c r="Y432" s="991"/>
      <c r="Z432" s="991"/>
      <c r="AA432" s="991"/>
      <c r="AB432" s="991"/>
      <c r="AC432" s="991"/>
      <c r="AD432" s="991"/>
      <c r="AE432" s="991"/>
      <c r="AF432" s="991"/>
      <c r="AG432" s="991"/>
      <c r="AH432" s="991"/>
      <c r="AI432" s="991"/>
      <c r="AJ432" s="991"/>
      <c r="AK432" s="991"/>
      <c r="AL432" s="991"/>
      <c r="AM432" s="991">
        <v>8</v>
      </c>
      <c r="AN432" s="991">
        <v>2</v>
      </c>
      <c r="AO432" s="448"/>
      <c r="AP432" s="995"/>
      <c r="AQ432" s="991">
        <v>9</v>
      </c>
      <c r="AR432" s="991"/>
      <c r="AS432" s="996"/>
      <c r="AT432" s="991"/>
      <c r="AU432" s="991"/>
      <c r="AV432" s="991"/>
      <c r="AW432" s="991"/>
      <c r="AX432" s="991"/>
      <c r="AY432" s="990" t="s">
        <v>41</v>
      </c>
      <c r="AZ432" s="995" t="s">
        <v>137</v>
      </c>
      <c r="BA432" s="991"/>
      <c r="BB432" s="991"/>
      <c r="BC432" s="991"/>
      <c r="BD432" s="448"/>
      <c r="BE432" s="448"/>
      <c r="BF432" s="990"/>
      <c r="BG432" s="991">
        <v>10</v>
      </c>
      <c r="BH432" s="991"/>
      <c r="BI432" s="991"/>
      <c r="BJ432" s="991">
        <v>2</v>
      </c>
      <c r="BK432" s="991"/>
      <c r="BL432" s="991"/>
      <c r="BM432" s="991"/>
      <c r="BN432" s="991"/>
      <c r="BO432" s="991"/>
      <c r="BP432" s="990" t="s">
        <v>41</v>
      </c>
      <c r="BQ432" s="997">
        <v>5</v>
      </c>
      <c r="BR432" s="423">
        <v>0.85</v>
      </c>
      <c r="BS432" s="425"/>
      <c r="BT432" s="423">
        <v>0.8</v>
      </c>
      <c r="BU432" s="423">
        <v>0.75</v>
      </c>
      <c r="BV432" s="425">
        <v>4</v>
      </c>
      <c r="BW432" s="423">
        <v>0.75</v>
      </c>
      <c r="BX432" s="448"/>
      <c r="BY432" s="448"/>
      <c r="BZ432" s="448"/>
      <c r="CA432" s="448"/>
      <c r="CB432" s="448"/>
      <c r="CC432" s="777"/>
      <c r="CD432" s="448"/>
      <c r="CE432" s="998" t="str">
        <f>IFERROR(WWWW[[#This Row],['#_Water sources passed]]/WWWW[[#This Row],['#_Water sources tested for fecal coliform ]],"no test")</f>
        <v>no test</v>
      </c>
      <c r="CF432" s="996" t="str">
        <f>IFERROR(WWWW[[#This Row],['#_Household passed]]/WWWW[[#This Row],['#_Household water samples tested for fecal coliform]],"no test")</f>
        <v>no test</v>
      </c>
      <c r="CG432" s="997" t="str">
        <f>IF(AND(WWWW[[#This Row],[% of water sources passed]]="no test",WWWW[[#This Row],[% Household passed]]="no test"),"No Test","Tested")</f>
        <v>No Test</v>
      </c>
      <c r="CH432" s="997">
        <f>WWWW[[#This Row],['#_Constructed/existing protected hand dug well]]-WWWW[[#This Row],['#_Non-functional protected hand dug well]]</f>
        <v>1</v>
      </c>
      <c r="CI432" s="997">
        <f>(WWWW[[#This Row],['#_Constructed/Existing tube wells/boreholes/handpumps_WASH_agency]]+WWWW[[#This Row],['#_Non-Cluster partner water tube-wells/boreholes/handpumps]])-WWWW[[#This Row],['#_Non-functional tube wells/boreholes/handpumps]]</f>
        <v>1</v>
      </c>
      <c r="CJ432" s="997">
        <f>WWWW[[#This Row],['#_Constructed/Existingwater storage tank with gravity fed reticulation system]]-WWWW[[#This Row],['#_Non-functional storage tank gravity fed reticulation system]]</f>
        <v>0</v>
      </c>
      <c r="CK432" s="997">
        <f>(WWWW[[#This Row],['#_Water_Liters_supplied_by_Water boating or water trucking]]/90)/15</f>
        <v>0</v>
      </c>
      <c r="CL432" s="997">
        <f>WWWW[[#This Row],['#_Water_Liters_from_Constructed/Existing water distribution system from river or natural spring]]/90/15</f>
        <v>0</v>
      </c>
      <c r="CM432" s="424">
        <f>IF(WWWW[[#This Row],['#_of water points in TLS/CFS]]*500&gt;WWWW[[#This Row],[Total PoP ]],WWWW[[#This Row],[Total PoP ]],WWWW[[#This Row],['#_of water points in TLS/CFS]]*500)</f>
        <v>221</v>
      </c>
      <c r="CN432" s="424">
        <f>IF(WWWW[[#This Row],['#_of water points in THF]]*500&gt;WWWW[[#This Row],[Total PoP ]],WWWW[[#This Row],[Total PoP ]],WWWW[[#This Row],['#_of water points in THF]]*500)</f>
        <v>0</v>
      </c>
      <c r="CO43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3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32" s="996">
        <f>IF(WWWW[[#This Row],[Location Type 1]]="Village",WWWW[[#This Row],[Access to safe drinking water for Village]],WWWW[[#This Row],[Access to safe drinking water for Camp]])</f>
        <v>1</v>
      </c>
      <c r="CR432" s="994">
        <f>WWWW[[#This Row],[%Equitable and continuous access to sufficient quantity of safe drinking water]]*WWWW[[#This Row],[Total PoP ]]</f>
        <v>221</v>
      </c>
      <c r="CS432" s="996">
        <f>IF((WWWW[[#This Row],['#_Constructed/Existing protected/fenced ponds]]*250)/WWWW[[#This Row],[Total PoP ]]&gt;1,1,(WWWW[[#This Row],['#_Constructed/Existing protected/fenced ponds]]*250)/WWWW[[#This Row],[Total PoP ]])</f>
        <v>0</v>
      </c>
      <c r="CT432" s="994">
        <f>WWWW[[#This Row],[% Access to unimproved water points]]*WWWW[[#This Row],[Total PoP ]]</f>
        <v>0</v>
      </c>
      <c r="CU43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3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432" s="994">
        <f>WWWW[[#This Row],[HRP1]]/500</f>
        <v>0.442</v>
      </c>
      <c r="CX432" s="999">
        <f>1-WWWW[[#This Row],[% Equitable and continuous access to sufficient quantity of domestic water]]</f>
        <v>0</v>
      </c>
      <c r="CY432" s="994">
        <f>WWWW[[#This Row],[%equitable and continuous access to sufficient quantity of safe drinking and domestic water''s GAP]]*WWWW[[#This Row],[Total PoP ]]</f>
        <v>0</v>
      </c>
      <c r="CZ432" s="997">
        <f>IF(WWWW[[#This Row],[Total required water points]]-WWWW[[#This Row],['#Water points coverage]]&lt;0,0,WWWW[[#This Row],[Total required water points]]-WWWW[[#This Row],['#Water points coverage]])</f>
        <v>0.55800000000000005</v>
      </c>
      <c r="DA432" s="997">
        <f>ROUND(IF(WWWW[[#This Row],[Total PoP ]]&lt;500,1,WWWW[[#This Row],[Total PoP ]]/500),0)</f>
        <v>1</v>
      </c>
      <c r="DB432" s="997">
        <f>(WWWW[[#This Row],['#_Constructed latrines_by_WASHAgencies]]+WWWW[[#This Row],['#_Non Cluster partner latrines]])-WWWW[[#This Row],['#_Non-functional latrines]]</f>
        <v>9</v>
      </c>
      <c r="DC432" s="631">
        <f>WWWW[[#This Row],[HRP2]]/WWWW[[#This Row],[Total PoP ]]</f>
        <v>0.81447963800904977</v>
      </c>
      <c r="DD43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43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3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2" s="424">
        <f>IF(WWWW[[#This Row],['# of functional latrines in THF supported by WASH partners during the reporting period2]]="",0,WWWW[[#This Row],['# of functional latrines in THF supported by WASH partners during the reporting period2]]*50)</f>
        <v>0</v>
      </c>
      <c r="DH432" s="997">
        <f>ROUND(IF(WWWW[[#This Row],[Location Type 1]]="camp",WWWW[[#This Row],[Total PoP ]]/20,IF(WWWW[[#This Row],[Location Type 1]]="Temporary Location",WWWW[[#This Row],[Total PoP ]]/50,(WWWW[[#This Row],[Total PoP ]]/6))),0)</f>
        <v>11</v>
      </c>
      <c r="DI432" s="997">
        <f>IF(WWWW[[#This Row],[Total required Latrines]]-(WWWW[[#This Row],['#_Constructed latrines_by_WASHAgencies]]+WWWW[[#This Row],['#_Non Cluster partner latrines]])&lt;0,0,WWWW[[#This Row],[Total required Latrines]]-(WWWW[[#This Row],['#_Constructed latrines_by_WASHAgencies]]+WWWW[[#This Row],['#_Non Cluster partner latrines]]))</f>
        <v>2</v>
      </c>
      <c r="DJ432" s="999">
        <f>1-WWWW[[#This Row],[% people access to functioning Latrine]]</f>
        <v>0.18552036199095023</v>
      </c>
      <c r="DK432" s="998">
        <f>IF(OR(WWWW[[#This Row],['#_Non-functional latrines]]="",WWWW[[#This Row],['#_Non-functional latrines]]=0),0,WWWW[[#This Row],['#_Non-functional latrines]]/(WWWW[[#This Row],['#_Constructed latrines_by_WASHAgencies]]+WWWW[[#This Row],['#_Non Cluster partner latrines]]))</f>
        <v>0</v>
      </c>
      <c r="DL432" s="994">
        <f>IF(500*(WWWW[[#This Row],['#_male hygiene promoters]]+WWWW[[#This Row],['#_female hygiene promoters]])&gt;WWWW[[#This Row],[Total PoP ]],WWWW[[#This Row],[Total PoP ]],500*(WWWW[[#This Row],['#_male hygiene promoters]]+WWWW[[#This Row],['#_female hygiene promoters]]))</f>
        <v>0</v>
      </c>
      <c r="DM43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3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32" s="997">
        <f>IF(WWWW[[#This Row],['# People with access to soap]]&gt;WWWW[[#This Row],['# People with access to Sanity Pads]],WWWW[[#This Row],['# People with access to soap]],WWWW[[#This Row],['# People with access to Sanity Pads]])</f>
        <v>0</v>
      </c>
      <c r="DP432"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32" s="999">
        <f>IF(WWWW[[#This Row],[HRP3]]/WWWW[[#This Row],[Total PoP ]]&gt;1,1,WWWW[[#This Row],[HRP3]]/WWWW[[#This Row],[Total PoP ]])</f>
        <v>0</v>
      </c>
      <c r="DR432" s="998">
        <f>1-WWWW[[#This Row],[Hygiene Coverage%]]</f>
        <v>1</v>
      </c>
      <c r="DS432" s="996">
        <f>WWWW[[#This Row],['# people reached by regular dedicated hygiene promotion_5]]/WWWW[[#This Row],[Total PoP ]]</f>
        <v>0</v>
      </c>
      <c r="DT43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3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32" s="997">
        <f>WWWW[[#This Row],['#_Constructed/Existing hand washing stations]]-WWWW[[#This Row],['#_Non-Functional_hand_washing_stations]]</f>
        <v>10</v>
      </c>
      <c r="DW432" s="994">
        <f>IF(WWWW[[#This Row],['# Functional hand washing stations during reporting period]]*20&gt;WWWW[[#This Row],[Total HH]],WWWW[[#This Row],[Total HH]],WWWW[[#This Row],['# Functional hand washing stations during reporting period]]*20)</f>
        <v>40</v>
      </c>
      <c r="DX432" s="994">
        <f>IF(WWWW[[#This Row],[Is sufficient soap available for TLS? (Yes/No)]]="yes",WWWW[[#This Row],['#_Constructed/Existing hand washing stations at TLS/CFS/THF]],0)</f>
        <v>8</v>
      </c>
      <c r="DY432" s="428">
        <f>IF(WWWW[[#This Row],['# Functional hand washing stations during reporting period]]*100&gt;WWWW[[#This Row],[Total PoP ]],WWWW[[#This Row],[Total PoP ]],WWWW[[#This Row],['# Functional hand washing stations during reporting period]]*100)</f>
        <v>221</v>
      </c>
      <c r="DZ432" s="428" t="str">
        <f>IF(OR(WWWW[[#This Row],['#_students at TLS_CFS]]="",WWWW[[#This Row],['#_students at TLS_CFS]]=0),"No","Yes")</f>
        <v>No</v>
      </c>
      <c r="EA432" s="631">
        <f>IF(WWWW[[#This Row],['#_of_affected_people_surveyed_who_report_feeling_informed_about_the_different_WASH_services_available_to_them]]="","",WWWW[[#This Row],['#_of_affected_people_surveyed_who_report_feeling_informed_about_the_different_WASH_services_available_to_them]]/WWWW[[#This Row],[Total PoP ]])</f>
        <v>1.8099547511312219E-2</v>
      </c>
      <c r="EB43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D43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2" s="990" t="str">
        <f>VLOOKUP(WWWW[[#This Row],[Site Name]],SiteDB6[[Site Name]:[CCCM Management]],6,FALSE)</f>
        <v>Yes</v>
      </c>
      <c r="EF432" s="990" t="str">
        <f>VLOOKUP(WWWW[[#This Row],[Site Name]],SiteDB6[[Site Name]:[CCCM Focal Agency]],7,FALSE)</f>
        <v>Shalom</v>
      </c>
      <c r="EG432" s="990" t="str">
        <f>VLOOKUP(WWWW[[#This Row],[Site Name]],SiteDB6[[Site Name]:[Location Type 1]],9,FALSE)</f>
        <v>Camp</v>
      </c>
      <c r="EH432" s="990" t="str">
        <f>VLOOKUP(WWWW[[#This Row],[Site Name]],SiteDB6[[Site Name]:[Type of Accommodation]],10,FALSE)</f>
        <v>Camp</v>
      </c>
      <c r="EI432" s="990" t="str">
        <f>VLOOKUP(WWWW[[#This Row],[Site Name]],SiteDB6[[Site Name]:[Ethnic or GCA/NGCA]],11,FALSE)</f>
        <v>GCA</v>
      </c>
      <c r="EJ432" s="990">
        <f>VLOOKUP(WWWW[[#This Row],[Site Name]],SiteDB6[[Site Name]:[Lat]],12,FALSE)</f>
        <v>25.345918166666699</v>
      </c>
      <c r="EK432" s="990">
        <f>VLOOKUP(WWWW[[#This Row],[Site Name]],SiteDB6[[Site Name]:[Long]],13,FALSE)</f>
        <v>97.437472666666693</v>
      </c>
      <c r="EL432" s="990" t="str">
        <f>VLOOKUP(WWWW[[#This Row],[Site Name]],SiteDB6[[Site Name]:[Pcode]],3,FALSE)</f>
        <v>MMR001CMP030</v>
      </c>
      <c r="EM432" s="995" t="str">
        <f t="shared" si="8"/>
        <v>Covered</v>
      </c>
      <c r="EN432" s="995"/>
      <c r="EO432" s="990">
        <f>VLOOKUP(WWWW[[#This Row],[Site Name]],SiteDB6[[Site Name]:[Pop
(Kachin/Shan-CCCM as of July 2021)]],16,FALSE)</f>
        <v>40</v>
      </c>
      <c r="EP432" s="990">
        <f>VLOOKUP(WWWW[[#This Row],[Site Name]],SiteDB6[[Site Name]:[Pop
(Kachin/Shan-CCCM as of July 2021)]],17,FALSE)</f>
        <v>221</v>
      </c>
    </row>
    <row r="433" spans="1:146">
      <c r="A433" s="988" t="s">
        <v>2765</v>
      </c>
      <c r="B433" s="988" t="s">
        <v>242</v>
      </c>
      <c r="C433" s="989" t="s">
        <v>242</v>
      </c>
      <c r="D433" s="989" t="s">
        <v>299</v>
      </c>
      <c r="E433" s="989" t="s">
        <v>37</v>
      </c>
      <c r="F433" s="989" t="s">
        <v>146</v>
      </c>
      <c r="G433" s="591" t="str">
        <f>VLOOKUP(WWWW[[#This Row],[Site Name]],SiteDB6[[Site Name]:[Location Type]],8,FALSE)</f>
        <v>Camp</v>
      </c>
      <c r="H433" s="989" t="s">
        <v>245</v>
      </c>
      <c r="I433" s="448">
        <v>136</v>
      </c>
      <c r="J433" s="448">
        <v>704</v>
      </c>
      <c r="K433" s="588">
        <v>44562</v>
      </c>
      <c r="L433" s="589">
        <v>44926</v>
      </c>
      <c r="M433" s="448"/>
      <c r="N433" s="448">
        <v>1</v>
      </c>
      <c r="O433" s="448">
        <v>16</v>
      </c>
      <c r="P433" s="448"/>
      <c r="Q433" s="717" t="s">
        <v>41</v>
      </c>
      <c r="R433" s="991">
        <v>2</v>
      </c>
      <c r="S433" s="991">
        <v>6</v>
      </c>
      <c r="T433" s="448"/>
      <c r="U433" s="991"/>
      <c r="V433" s="991"/>
      <c r="W433" s="991"/>
      <c r="X433" s="991"/>
      <c r="Y433" s="991"/>
      <c r="Z433" s="991"/>
      <c r="AA433" s="991">
        <v>12</v>
      </c>
      <c r="AB433" s="991"/>
      <c r="AC433" s="448">
        <v>1</v>
      </c>
      <c r="AD433" s="991"/>
      <c r="AE433" s="991">
        <v>3</v>
      </c>
      <c r="AF433" s="991"/>
      <c r="AG433" s="991">
        <v>1</v>
      </c>
      <c r="AH433" s="991"/>
      <c r="AI433" s="991"/>
      <c r="AJ433" s="991"/>
      <c r="AK433" s="991"/>
      <c r="AL433" s="991"/>
      <c r="AM433" s="991"/>
      <c r="AN433" s="991"/>
      <c r="AO433" s="448"/>
      <c r="AP433" s="995"/>
      <c r="AQ433" s="991">
        <v>15</v>
      </c>
      <c r="AR433" s="991"/>
      <c r="AS433" s="423"/>
      <c r="AT433" s="991">
        <v>1</v>
      </c>
      <c r="AU433" s="448"/>
      <c r="AV433" s="448">
        <v>6</v>
      </c>
      <c r="AW433" s="448">
        <v>6</v>
      </c>
      <c r="AX433" s="991"/>
      <c r="AY433" s="990" t="s">
        <v>41</v>
      </c>
      <c r="AZ433" s="995" t="s">
        <v>137</v>
      </c>
      <c r="BA433" s="991"/>
      <c r="BB433" s="991"/>
      <c r="BC433" s="991"/>
      <c r="BD433" s="448">
        <v>1</v>
      </c>
      <c r="BE433" s="448"/>
      <c r="BF433" s="990"/>
      <c r="BG433" s="991">
        <v>2</v>
      </c>
      <c r="BH433" s="991"/>
      <c r="BI433" s="991"/>
      <c r="BJ433" s="991">
        <v>2</v>
      </c>
      <c r="BK433" s="991"/>
      <c r="BL433" s="991"/>
      <c r="BM433" s="991">
        <v>1</v>
      </c>
      <c r="BN433" s="991">
        <v>50</v>
      </c>
      <c r="BO433" s="991"/>
      <c r="BP433" s="990" t="s">
        <v>136</v>
      </c>
      <c r="BQ433" s="424">
        <v>4</v>
      </c>
      <c r="BR433" s="423">
        <v>0.7</v>
      </c>
      <c r="BS433" s="990"/>
      <c r="BT433" s="423">
        <v>0.8</v>
      </c>
      <c r="BU433" s="423">
        <v>0.8</v>
      </c>
      <c r="BV433" s="425">
        <v>30</v>
      </c>
      <c r="BW433" s="423">
        <v>0.9</v>
      </c>
      <c r="BX433" s="448"/>
      <c r="BY433" s="448"/>
      <c r="BZ433" s="448"/>
      <c r="CA433" s="448"/>
      <c r="CB433" s="448"/>
      <c r="CC433" s="777"/>
      <c r="CD433" s="448"/>
      <c r="CE433" s="998" t="str">
        <f>IFERROR(WWWW[[#This Row],['#_Water sources passed]]/WWWW[[#This Row],['#_Water sources tested for fecal coliform ]],"no test")</f>
        <v>no test</v>
      </c>
      <c r="CF433" s="996" t="str">
        <f>IFERROR(WWWW[[#This Row],['#_Household passed]]/WWWW[[#This Row],['#_Household water samples tested for fecal coliform]],"no test")</f>
        <v>no test</v>
      </c>
      <c r="CG433" s="997" t="str">
        <f>IF(AND(WWWW[[#This Row],[% of water sources passed]]="no test",WWWW[[#This Row],[% Household passed]]="no test"),"No Test","Tested")</f>
        <v>No Test</v>
      </c>
      <c r="CH433" s="997">
        <f>WWWW[[#This Row],['#_Constructed/existing protected hand dug well]]-WWWW[[#This Row],['#_Non-functional protected hand dug well]]</f>
        <v>0</v>
      </c>
      <c r="CI433" s="997">
        <f>(WWWW[[#This Row],['#_Constructed/Existing tube wells/boreholes/handpumps_WASH_agency]]+WWWW[[#This Row],['#_Non-Cluster partner water tube-wells/boreholes/handpumps]])-WWWW[[#This Row],['#_Non-functional tube wells/boreholes/handpumps]]</f>
        <v>0</v>
      </c>
      <c r="CJ433" s="997">
        <f>WWWW[[#This Row],['#_Constructed/Existingwater storage tank with gravity fed reticulation system]]-WWWW[[#This Row],['#_Non-functional storage tank gravity fed reticulation system]]</f>
        <v>12</v>
      </c>
      <c r="CK433" s="997">
        <f>(WWWW[[#This Row],['#_Water_Liters_supplied_by_Water boating or water trucking]]/90)/15</f>
        <v>0</v>
      </c>
      <c r="CL433" s="997">
        <f>WWWW[[#This Row],['#_Water_Liters_from_Constructed/Existing water distribution system from river or natural spring]]/90/15</f>
        <v>0</v>
      </c>
      <c r="CM433" s="424">
        <f>IF(WWWW[[#This Row],['#_of water points in TLS/CFS]]*500&gt;WWWW[[#This Row],[Total PoP ]],WWWW[[#This Row],[Total PoP ]],WWWW[[#This Row],['#_of water points in TLS/CFS]]*500)</f>
        <v>0</v>
      </c>
      <c r="CN433" s="424">
        <f>IF(WWWW[[#This Row],['#_of water points in THF]]*500&gt;WWWW[[#This Row],[Total PoP ]],WWWW[[#This Row],[Total PoP ]],WWWW[[#This Row],['#_of water points in THF]]*500)</f>
        <v>0</v>
      </c>
      <c r="CO43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3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33" s="996">
        <f>IF(WWWW[[#This Row],[Location Type 1]]="Village",WWWW[[#This Row],[Access to safe drinking water for Village]],WWWW[[#This Row],[Access to safe drinking water for Camp]])</f>
        <v>1</v>
      </c>
      <c r="CR433" s="994">
        <f>WWWW[[#This Row],[%Equitable and continuous access to sufficient quantity of safe drinking water]]*WWWW[[#This Row],[Total PoP ]]</f>
        <v>704</v>
      </c>
      <c r="CS433" s="996">
        <f>IF((WWWW[[#This Row],['#_Constructed/Existing protected/fenced ponds]]*250)/WWWW[[#This Row],[Total PoP ]]&gt;1,1,(WWWW[[#This Row],['#_Constructed/Existing protected/fenced ponds]]*250)/WWWW[[#This Row],[Total PoP ]])</f>
        <v>1</v>
      </c>
      <c r="CT433" s="994">
        <f>WWWW[[#This Row],[% Access to unimproved water points]]*WWWW[[#This Row],[Total PoP ]]</f>
        <v>704</v>
      </c>
      <c r="CU43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3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704</v>
      </c>
      <c r="CW433" s="994">
        <f>WWWW[[#This Row],[HRP1]]/500</f>
        <v>1.4079999999999999</v>
      </c>
      <c r="CX433" s="999">
        <f>1-WWWW[[#This Row],[% Equitable and continuous access to sufficient quantity of domestic water]]</f>
        <v>0</v>
      </c>
      <c r="CY433" s="994">
        <f>WWWW[[#This Row],[%equitable and continuous access to sufficient quantity of safe drinking and domestic water''s GAP]]*WWWW[[#This Row],[Total PoP ]]</f>
        <v>0</v>
      </c>
      <c r="CZ433" s="997">
        <f>IF(WWWW[[#This Row],[Total required water points]]-WWWW[[#This Row],['#Water points coverage]]&lt;0,0,WWWW[[#This Row],[Total required water points]]-WWWW[[#This Row],['#Water points coverage]])</f>
        <v>0</v>
      </c>
      <c r="DA433" s="997">
        <f>ROUND(IF(WWWW[[#This Row],[Total PoP ]]&lt;500,1,WWWW[[#This Row],[Total PoP ]]/500),0)</f>
        <v>1</v>
      </c>
      <c r="DB433" s="997">
        <f>(WWWW[[#This Row],['#_Constructed latrines_by_WASHAgencies]]+WWWW[[#This Row],['#_Non Cluster partner latrines]])-WWWW[[#This Row],['#_Non-functional latrines]]</f>
        <v>14</v>
      </c>
      <c r="DC433" s="631">
        <f>WWWW[[#This Row],[HRP2]]/WWWW[[#This Row],[Total PoP ]]</f>
        <v>0.39772727272727271</v>
      </c>
      <c r="DD43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43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43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3" s="424">
        <f>IF(WWWW[[#This Row],['# of functional latrines in THF supported by WASH partners during the reporting period2]]="",0,WWWW[[#This Row],['# of functional latrines in THF supported by WASH partners during the reporting period2]]*50)</f>
        <v>50</v>
      </c>
      <c r="DH433" s="997">
        <f>ROUND(IF(WWWW[[#This Row],[Location Type 1]]="camp",WWWW[[#This Row],[Total PoP ]]/20,IF(WWWW[[#This Row],[Location Type 1]]="Temporary Location",WWWW[[#This Row],[Total PoP ]]/50,(WWWW[[#This Row],[Total PoP ]]/6))),0)</f>
        <v>35</v>
      </c>
      <c r="DI433" s="997">
        <f>IF(WWWW[[#This Row],[Total required Latrines]]-(WWWW[[#This Row],['#_Constructed latrines_by_WASHAgencies]]+WWWW[[#This Row],['#_Non Cluster partner latrines]])&lt;0,0,WWWW[[#This Row],[Total required Latrines]]-(WWWW[[#This Row],['#_Constructed latrines_by_WASHAgencies]]+WWWW[[#This Row],['#_Non Cluster partner latrines]]))</f>
        <v>20</v>
      </c>
      <c r="DJ433" s="999">
        <f>1-WWWW[[#This Row],[% people access to functioning Latrine]]</f>
        <v>0.60227272727272729</v>
      </c>
      <c r="DK433" s="998">
        <f>IF(OR(WWWW[[#This Row],['#_Non-functional latrines]]="",WWWW[[#This Row],['#_Non-functional latrines]]=0),0,WWWW[[#This Row],['#_Non-functional latrines]]/(WWWW[[#This Row],['#_Constructed latrines_by_WASHAgencies]]+WWWW[[#This Row],['#_Non Cluster partner latrines]]))</f>
        <v>6.6666666666666666E-2</v>
      </c>
      <c r="DL433" s="994">
        <f>IF(500*(WWWW[[#This Row],['#_male hygiene promoters]]+WWWW[[#This Row],['#_female hygiene promoters]])&gt;WWWW[[#This Row],[Total PoP ]],WWWW[[#This Row],[Total PoP ]],500*(WWWW[[#This Row],['#_male hygiene promoters]]+WWWW[[#This Row],['#_female hygiene promoters]]))</f>
        <v>500</v>
      </c>
      <c r="DM43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43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33" s="997">
        <f>IF(WWWW[[#This Row],['# People with access to soap]]&gt;WWWW[[#This Row],['# People with access to Sanity Pads]],WWWW[[#This Row],['# People with access to soap]],WWWW[[#This Row],['# People with access to Sanity Pads]])</f>
        <v>250</v>
      </c>
      <c r="DP433" s="99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433" s="999">
        <f>IF(WWWW[[#This Row],[HRP3]]/WWWW[[#This Row],[Total PoP ]]&gt;1,1,WWWW[[#This Row],[HRP3]]/WWWW[[#This Row],[Total PoP ]])</f>
        <v>0.71022727272727271</v>
      </c>
      <c r="DR433" s="998">
        <f>1-WWWW[[#This Row],[Hygiene Coverage%]]</f>
        <v>0.28977272727272729</v>
      </c>
      <c r="DS433" s="996">
        <f>WWWW[[#This Row],['# people reached by regular dedicated hygiene promotion_5]]/WWWW[[#This Row],[Total PoP ]]</f>
        <v>0.71022727272727271</v>
      </c>
      <c r="DT43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3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33" s="997">
        <f>WWWW[[#This Row],['#_Constructed/Existing hand washing stations]]-WWWW[[#This Row],['#_Non-Functional_hand_washing_stations]]</f>
        <v>2</v>
      </c>
      <c r="DW433" s="994">
        <f>IF(WWWW[[#This Row],['# Functional hand washing stations during reporting period]]*20&gt;WWWW[[#This Row],[Total HH]],WWWW[[#This Row],[Total HH]],WWWW[[#This Row],['# Functional hand washing stations during reporting period]]*20)</f>
        <v>40</v>
      </c>
      <c r="DX433" s="994">
        <f>IF(WWWW[[#This Row],[Is sufficient soap available for TLS? (Yes/No)]]="yes",WWWW[[#This Row],['#_Constructed/Existing hand washing stations at TLS/CFS/THF]],0)</f>
        <v>0</v>
      </c>
      <c r="DY433" s="428">
        <f>IF(WWWW[[#This Row],['# Functional hand washing stations during reporting period]]*100&gt;WWWW[[#This Row],[Total PoP ]],WWWW[[#This Row],[Total PoP ]],WWWW[[#This Row],['# Functional hand washing stations during reporting period]]*100)</f>
        <v>200</v>
      </c>
      <c r="DZ433" s="428" t="str">
        <f>IF(OR(WWWW[[#This Row],['#_students at TLS_CFS]]="",WWWW[[#This Row],['#_students at TLS_CFS]]=0),"No","Yes")</f>
        <v>No</v>
      </c>
      <c r="EA433" s="631">
        <f>IF(WWWW[[#This Row],['#_of_affected_people_surveyed_who_report_feeling_informed_about_the_different_WASH_services_available_to_them]]="","",WWWW[[#This Row],['#_of_affected_people_surveyed_who_report_feeling_informed_about_the_different_WASH_services_available_to_them]]/WWWW[[#This Row],[Total PoP ]])</f>
        <v>4.261363636363636E-2</v>
      </c>
      <c r="EB43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3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50</v>
      </c>
      <c r="EE433" s="990" t="str">
        <f>VLOOKUP(WWWW[[#This Row],[Site Name]],SiteDB6[[Site Name]:[CCCM Management]],6,FALSE)</f>
        <v>Yes</v>
      </c>
      <c r="EF433" s="990" t="str">
        <f>VLOOKUP(WWWW[[#This Row],[Site Name]],SiteDB6[[Site Name]:[CCCM Focal Agency]],7,FALSE)</f>
        <v>Shalom</v>
      </c>
      <c r="EG433" s="990" t="str">
        <f>VLOOKUP(WWWW[[#This Row],[Site Name]],SiteDB6[[Site Name]:[Location Type 1]],9,FALSE)</f>
        <v>Camp</v>
      </c>
      <c r="EH433" s="990" t="str">
        <f>VLOOKUP(WWWW[[#This Row],[Site Name]],SiteDB6[[Site Name]:[Type of Accommodation]],10,FALSE)</f>
        <v>Camp</v>
      </c>
      <c r="EI433" s="990" t="str">
        <f>VLOOKUP(WWWW[[#This Row],[Site Name]],SiteDB6[[Site Name]:[Ethnic or GCA/NGCA]],11,FALSE)</f>
        <v>GCA</v>
      </c>
      <c r="EJ433" s="990">
        <f>VLOOKUP(WWWW[[#This Row],[Site Name]],SiteDB6[[Site Name]:[Lat]],12,FALSE)</f>
        <v>25.889410000000002</v>
      </c>
      <c r="EK433" s="990">
        <f>VLOOKUP(WWWW[[#This Row],[Site Name]],SiteDB6[[Site Name]:[Long]],13,FALSE)</f>
        <v>98.131550000000004</v>
      </c>
      <c r="EL433" s="990" t="str">
        <f>VLOOKUP(WWWW[[#This Row],[Site Name]],SiteDB6[[Site Name]:[Pcode]],3,FALSE)</f>
        <v>MMR001CMP042</v>
      </c>
      <c r="EM433" s="995" t="str">
        <f t="shared" si="8"/>
        <v>Covered</v>
      </c>
      <c r="EN433" s="995"/>
      <c r="EO433" s="990">
        <f>VLOOKUP(WWWW[[#This Row],[Site Name]],SiteDB6[[Site Name]:[Pop
(Kachin/Shan-CCCM as of July 2021)]],16,FALSE)</f>
        <v>138</v>
      </c>
      <c r="EP433" s="990">
        <f>VLOOKUP(WWWW[[#This Row],[Site Name]],SiteDB6[[Site Name]:[Pop
(Kachin/Shan-CCCM as of July 2021)]],17,FALSE)</f>
        <v>706</v>
      </c>
    </row>
    <row r="434" spans="1:146">
      <c r="A434" s="988" t="s">
        <v>2765</v>
      </c>
      <c r="B434" s="988" t="s">
        <v>276</v>
      </c>
      <c r="C434" s="989" t="s">
        <v>959</v>
      </c>
      <c r="D434" s="989" t="s">
        <v>3037</v>
      </c>
      <c r="E434" s="989" t="s">
        <v>37</v>
      </c>
      <c r="F434" s="989" t="s">
        <v>205</v>
      </c>
      <c r="G434" s="591" t="str">
        <f>VLOOKUP(WWWW[[#This Row],[Site Name]],SiteDB6[[Site Name]:[Location Type]],8,FALSE)</f>
        <v>Camp_not registered</v>
      </c>
      <c r="H434" s="989" t="s">
        <v>207</v>
      </c>
      <c r="I434" s="991">
        <v>1597</v>
      </c>
      <c r="J434" s="991">
        <v>8250</v>
      </c>
      <c r="K434" s="992">
        <v>44713</v>
      </c>
      <c r="L434" s="993">
        <v>44895</v>
      </c>
      <c r="M434" s="991"/>
      <c r="N434" s="991"/>
      <c r="O434" s="991"/>
      <c r="P434" s="991"/>
      <c r="Q434" s="994" t="s">
        <v>41</v>
      </c>
      <c r="R434" s="991">
        <v>1</v>
      </c>
      <c r="S434" s="991">
        <v>5</v>
      </c>
      <c r="T434" s="448">
        <v>1</v>
      </c>
      <c r="U434" s="991"/>
      <c r="V434" s="991"/>
      <c r="W434" s="991"/>
      <c r="X434" s="991"/>
      <c r="Y434" s="991"/>
      <c r="Z434" s="991"/>
      <c r="AA434" s="991"/>
      <c r="AB434" s="991"/>
      <c r="AC434" s="991"/>
      <c r="AD434" s="991"/>
      <c r="AE434" s="991"/>
      <c r="AF434" s="991"/>
      <c r="AG434" s="991">
        <v>1</v>
      </c>
      <c r="AH434" s="991"/>
      <c r="AI434" s="991">
        <v>1</v>
      </c>
      <c r="AJ434" s="991">
        <v>1</v>
      </c>
      <c r="AK434" s="991">
        <v>3</v>
      </c>
      <c r="AL434" s="991">
        <v>3</v>
      </c>
      <c r="AM434" s="991"/>
      <c r="AN434" s="991"/>
      <c r="AO434" s="448"/>
      <c r="AP434" s="995"/>
      <c r="AQ434" s="991">
        <v>8</v>
      </c>
      <c r="AR434" s="991"/>
      <c r="AS434" s="996"/>
      <c r="AT434" s="991"/>
      <c r="AU434" s="991"/>
      <c r="AV434" s="991">
        <v>4</v>
      </c>
      <c r="AW434" s="991">
        <v>4</v>
      </c>
      <c r="AX434" s="991"/>
      <c r="AY434" s="990" t="s">
        <v>41</v>
      </c>
      <c r="AZ434" s="995" t="s">
        <v>137</v>
      </c>
      <c r="BA434" s="991"/>
      <c r="BB434" s="991"/>
      <c r="BC434" s="991"/>
      <c r="BD434" s="448"/>
      <c r="BE434" s="448"/>
      <c r="BF434" s="990"/>
      <c r="BG434" s="991"/>
      <c r="BH434" s="991"/>
      <c r="BI434" s="991"/>
      <c r="BJ434" s="991">
        <v>2</v>
      </c>
      <c r="BK434" s="991"/>
      <c r="BL434" s="991"/>
      <c r="BM434" s="991"/>
      <c r="BN434" s="991"/>
      <c r="BO434" s="991"/>
      <c r="BP434" s="990"/>
      <c r="BQ434" s="997"/>
      <c r="BR434" s="996"/>
      <c r="BS434" s="990"/>
      <c r="BT434" s="423"/>
      <c r="BU434" s="423"/>
      <c r="BV434" s="425"/>
      <c r="BW434" s="423"/>
      <c r="BX434" s="448"/>
      <c r="BY434" s="448"/>
      <c r="BZ434" s="448"/>
      <c r="CA434" s="448"/>
      <c r="CB434" s="448"/>
      <c r="CC434" s="777"/>
      <c r="CD434" s="448"/>
      <c r="CE434" s="998">
        <f>IFERROR(WWWW[[#This Row],['#_Water sources passed]]/WWWW[[#This Row],['#_Water sources tested for fecal coliform ]],"no test")</f>
        <v>1</v>
      </c>
      <c r="CF434" s="996">
        <f>IFERROR(WWWW[[#This Row],['#_Household passed]]/WWWW[[#This Row],['#_Household water samples tested for fecal coliform]],"no test")</f>
        <v>1</v>
      </c>
      <c r="CG434" s="997" t="str">
        <f>IF(AND(WWWW[[#This Row],[% of water sources passed]]="no test",WWWW[[#This Row],[% Household passed]]="no test"),"No Test","Tested")</f>
        <v>Tested</v>
      </c>
      <c r="CH434" s="997">
        <f>WWWW[[#This Row],['#_Constructed/existing protected hand dug well]]-WWWW[[#This Row],['#_Non-functional protected hand dug well]]</f>
        <v>1</v>
      </c>
      <c r="CI434" s="997">
        <f>(WWWW[[#This Row],['#_Constructed/Existing tube wells/boreholes/handpumps_WASH_agency]]+WWWW[[#This Row],['#_Non-Cluster partner water tube-wells/boreholes/handpumps]])-WWWW[[#This Row],['#_Non-functional tube wells/boreholes/handpumps]]</f>
        <v>0</v>
      </c>
      <c r="CJ434" s="997">
        <f>WWWW[[#This Row],['#_Constructed/Existingwater storage tank with gravity fed reticulation system]]-WWWW[[#This Row],['#_Non-functional storage tank gravity fed reticulation system]]</f>
        <v>0</v>
      </c>
      <c r="CK434" s="997">
        <f>(WWWW[[#This Row],['#_Water_Liters_supplied_by_Water boating or water trucking]]/90)/15</f>
        <v>0</v>
      </c>
      <c r="CL434" s="997">
        <f>WWWW[[#This Row],['#_Water_Liters_from_Constructed/Existing water distribution system from river or natural spring]]/90/15</f>
        <v>0</v>
      </c>
      <c r="CM434" s="424">
        <f>IF(WWWW[[#This Row],['#_of water points in TLS/CFS]]*500&gt;WWWW[[#This Row],[Total PoP ]],WWWW[[#This Row],[Total PoP ]],WWWW[[#This Row],['#_of water points in TLS/CFS]]*500)</f>
        <v>0</v>
      </c>
      <c r="CN434" s="424">
        <f>IF(WWWW[[#This Row],['#_of water points in THF]]*500&gt;WWWW[[#This Row],[Total PoP ]],WWWW[[#This Row],[Total PoP ]],WWWW[[#This Row],['#_of water points in THF]]*500)</f>
        <v>0</v>
      </c>
      <c r="CO43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4.8484848484848485E-2</v>
      </c>
      <c r="CP43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3.0303030303030304E-2</v>
      </c>
      <c r="CQ434" s="996">
        <f>IF(WWWW[[#This Row],[Location Type 1]]="Village",WWWW[[#This Row],[Access to safe drinking water for Village]],WWWW[[#This Row],[Access to safe drinking water for Camp]])</f>
        <v>4.8484848484848485E-2</v>
      </c>
      <c r="CR434" s="994">
        <f>WWWW[[#This Row],[%Equitable and continuous access to sufficient quantity of safe drinking water]]*WWWW[[#This Row],[Total PoP ]]</f>
        <v>400</v>
      </c>
      <c r="CS434" s="996">
        <f>IF((WWWW[[#This Row],['#_Constructed/Existing protected/fenced ponds]]*250)/WWWW[[#This Row],[Total PoP ]]&gt;1,1,(WWWW[[#This Row],['#_Constructed/Existing protected/fenced ponds]]*250)/WWWW[[#This Row],[Total PoP ]])</f>
        <v>0</v>
      </c>
      <c r="CT434" s="994">
        <f>WWWW[[#This Row],[% Access to unimproved water points]]*WWWW[[#This Row],[Total PoP ]]</f>
        <v>0</v>
      </c>
      <c r="CU43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4.8484848484848485E-2</v>
      </c>
      <c r="CV43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434" s="994">
        <f>WWWW[[#This Row],[HRP1]]/500</f>
        <v>0.8</v>
      </c>
      <c r="CX434" s="999">
        <f>1-WWWW[[#This Row],[% Equitable and continuous access to sufficient quantity of domestic water]]</f>
        <v>0.95151515151515154</v>
      </c>
      <c r="CY434" s="994">
        <f>WWWW[[#This Row],[%equitable and continuous access to sufficient quantity of safe drinking and domestic water''s GAP]]*WWWW[[#This Row],[Total PoP ]]</f>
        <v>7850</v>
      </c>
      <c r="CZ434" s="997">
        <f>IF(WWWW[[#This Row],[Total required water points]]-WWWW[[#This Row],['#Water points coverage]]&lt;0,0,WWWW[[#This Row],[Total required water points]]-WWWW[[#This Row],['#Water points coverage]])</f>
        <v>16.2</v>
      </c>
      <c r="DA434" s="997">
        <f>ROUND(IF(WWWW[[#This Row],[Total PoP ]]&lt;500,1,WWWW[[#This Row],[Total PoP ]]/500),0)</f>
        <v>17</v>
      </c>
      <c r="DB434" s="997">
        <f>(WWWW[[#This Row],['#_Constructed latrines_by_WASHAgencies]]+WWWW[[#This Row],['#_Non Cluster partner latrines]])-WWWW[[#This Row],['#_Non-functional latrines]]</f>
        <v>8</v>
      </c>
      <c r="DC434" s="631">
        <f>WWWW[[#This Row],[HRP2]]/WWWW[[#This Row],[Total PoP ]]</f>
        <v>1.9393939393939394E-2</v>
      </c>
      <c r="DD43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43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F43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4" s="424">
        <f>IF(WWWW[[#This Row],['# of functional latrines in THF supported by WASH partners during the reporting period2]]="",0,WWWW[[#This Row],['# of functional latrines in THF supported by WASH partners during the reporting period2]]*50)</f>
        <v>0</v>
      </c>
      <c r="DH434" s="997">
        <f>ROUND(IF(WWWW[[#This Row],[Location Type 1]]="camp",WWWW[[#This Row],[Total PoP ]]/20,IF(WWWW[[#This Row],[Location Type 1]]="Temporary Location",WWWW[[#This Row],[Total PoP ]]/50,(WWWW[[#This Row],[Total PoP ]]/6))),0)</f>
        <v>413</v>
      </c>
      <c r="DI434" s="997">
        <f>IF(WWWW[[#This Row],[Total required Latrines]]-(WWWW[[#This Row],['#_Constructed latrines_by_WASHAgencies]]+WWWW[[#This Row],['#_Non Cluster partner latrines]])&lt;0,0,WWWW[[#This Row],[Total required Latrines]]-(WWWW[[#This Row],['#_Constructed latrines_by_WASHAgencies]]+WWWW[[#This Row],['#_Non Cluster partner latrines]]))</f>
        <v>405</v>
      </c>
      <c r="DJ434" s="999">
        <f>1-WWWW[[#This Row],[% people access to functioning Latrine]]</f>
        <v>0.98060606060606059</v>
      </c>
      <c r="DK434" s="998">
        <f>IF(OR(WWWW[[#This Row],['#_Non-functional latrines]]="",WWWW[[#This Row],['#_Non-functional latrines]]=0),0,WWWW[[#This Row],['#_Non-functional latrines]]/(WWWW[[#This Row],['#_Constructed latrines_by_WASHAgencies]]+WWWW[[#This Row],['#_Non Cluster partner latrines]]))</f>
        <v>0</v>
      </c>
      <c r="DL434" s="994">
        <f>IF(500*(WWWW[[#This Row],['#_male hygiene promoters]]+WWWW[[#This Row],['#_female hygiene promoters]])&gt;WWWW[[#This Row],[Total PoP ]],WWWW[[#This Row],[Total PoP ]],500*(WWWW[[#This Row],['#_male hygiene promoters]]+WWWW[[#This Row],['#_female hygiene promoters]]))</f>
        <v>0</v>
      </c>
      <c r="DM43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3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34" s="997">
        <f>IF(WWWW[[#This Row],['# People with access to soap]]&gt;WWWW[[#This Row],['# People with access to Sanity Pads]],WWWW[[#This Row],['# People with access to soap]],WWWW[[#This Row],['# People with access to Sanity Pads]])</f>
        <v>0</v>
      </c>
      <c r="DP434"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34" s="999">
        <f>IF(WWWW[[#This Row],[HRP3]]/WWWW[[#This Row],[Total PoP ]]&gt;1,1,WWWW[[#This Row],[HRP3]]/WWWW[[#This Row],[Total PoP ]])</f>
        <v>0</v>
      </c>
      <c r="DR434" s="998">
        <f>1-WWWW[[#This Row],[Hygiene Coverage%]]</f>
        <v>1</v>
      </c>
      <c r="DS434" s="996">
        <f>WWWW[[#This Row],['# people reached by regular dedicated hygiene promotion_5]]/WWWW[[#This Row],[Total PoP ]]</f>
        <v>0</v>
      </c>
      <c r="DT43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3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34" s="997">
        <f>WWWW[[#This Row],['#_Constructed/Existing hand washing stations]]-WWWW[[#This Row],['#_Non-Functional_hand_washing_stations]]</f>
        <v>0</v>
      </c>
      <c r="DW434" s="994">
        <f>IF(WWWW[[#This Row],['# Functional hand washing stations during reporting period]]*20&gt;WWWW[[#This Row],[Total HH]],WWWW[[#This Row],[Total HH]],WWWW[[#This Row],['# Functional hand washing stations during reporting period]]*20)</f>
        <v>0</v>
      </c>
      <c r="DX434" s="994">
        <f>IF(WWWW[[#This Row],[Is sufficient soap available for TLS? (Yes/No)]]="yes",WWWW[[#This Row],['#_Constructed/Existing hand washing stations at TLS/CFS/THF]],0)</f>
        <v>0</v>
      </c>
      <c r="DY434" s="428">
        <f>IF(WWWW[[#This Row],['# Functional hand washing stations during reporting period]]*100&gt;WWWW[[#This Row],[Total PoP ]],WWWW[[#This Row],[Total PoP ]],WWWW[[#This Row],['# Functional hand washing stations during reporting period]]*100)</f>
        <v>0</v>
      </c>
      <c r="DZ434" s="428" t="str">
        <f>IF(OR(WWWW[[#This Row],['#_students at TLS_CFS]]="",WWWW[[#This Row],['#_students at TLS_CFS]]=0),"No","Yes")</f>
        <v>No</v>
      </c>
      <c r="EA43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3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3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4" s="990">
        <f>VLOOKUP(WWWW[[#This Row],[Site Name]],SiteDB6[[Site Name]:[CCCM Management]],6,FALSE)</f>
        <v>0</v>
      </c>
      <c r="EF434" s="990">
        <f>VLOOKUP(WWWW[[#This Row],[Site Name]],SiteDB6[[Site Name]:[CCCM Focal Agency]],7,FALSE)</f>
        <v>0</v>
      </c>
      <c r="EG434" s="990" t="str">
        <f>VLOOKUP(WWWW[[#This Row],[Site Name]],SiteDB6[[Site Name]:[Location Type 1]],9,FALSE)</f>
        <v>Camp</v>
      </c>
      <c r="EH434" s="990" t="str">
        <f>VLOOKUP(WWWW[[#This Row],[Site Name]],SiteDB6[[Site Name]:[Type of Accommodation]],10,FALSE)</f>
        <v>Camp</v>
      </c>
      <c r="EI434" s="990" t="str">
        <f>VLOOKUP(WWWW[[#This Row],[Site Name]],SiteDB6[[Site Name]:[Ethnic or GCA/NGCA]],11,FALSE)</f>
        <v>GCA</v>
      </c>
      <c r="EJ434" s="990">
        <f>VLOOKUP(WWWW[[#This Row],[Site Name]],SiteDB6[[Site Name]:[Lat]],12,FALSE)</f>
        <v>0</v>
      </c>
      <c r="EK434" s="990">
        <f>VLOOKUP(WWWW[[#This Row],[Site Name]],SiteDB6[[Site Name]:[Long]],13,FALSE)</f>
        <v>0</v>
      </c>
      <c r="EL434" s="990">
        <f>VLOOKUP(WWWW[[#This Row],[Site Name]],SiteDB6[[Site Name]:[Pcode]],3,FALSE)</f>
        <v>0</v>
      </c>
      <c r="EM434" s="995" t="str">
        <f t="shared" si="8"/>
        <v>Covered</v>
      </c>
      <c r="EN434" s="995"/>
      <c r="EO434" s="990">
        <f>VLOOKUP(WWWW[[#This Row],[Site Name]],SiteDB6[[Site Name]:[Pop
(Kachin/Shan-CCCM as of July 2021)]],16,FALSE)</f>
        <v>0</v>
      </c>
      <c r="EP434" s="990">
        <f>VLOOKUP(WWWW[[#This Row],[Site Name]],SiteDB6[[Site Name]:[Pop
(Kachin/Shan-CCCM as of July 2021)]],17,FALSE)</f>
        <v>0</v>
      </c>
    </row>
    <row r="435" spans="1:146">
      <c r="A435" s="988" t="s">
        <v>2765</v>
      </c>
      <c r="B435" s="988" t="s">
        <v>2081</v>
      </c>
      <c r="C435" s="989" t="s">
        <v>141</v>
      </c>
      <c r="D435" s="989" t="s">
        <v>3160</v>
      </c>
      <c r="E435" s="989" t="s">
        <v>37</v>
      </c>
      <c r="F435" s="989" t="s">
        <v>146</v>
      </c>
      <c r="G435" s="591" t="str">
        <f>VLOOKUP(WWWW[[#This Row],[Site Name]],SiteDB6[[Site Name]:[Location Type]],8,FALSE)</f>
        <v>Camp</v>
      </c>
      <c r="H435" s="989" t="s">
        <v>147</v>
      </c>
      <c r="I435" s="991">
        <v>167</v>
      </c>
      <c r="J435" s="991">
        <v>936</v>
      </c>
      <c r="K435" s="992">
        <v>44682</v>
      </c>
      <c r="L435" s="993">
        <v>45169</v>
      </c>
      <c r="M435" s="991">
        <v>65</v>
      </c>
      <c r="N435" s="991">
        <v>2</v>
      </c>
      <c r="O435" s="991"/>
      <c r="P435" s="991"/>
      <c r="Q435" s="994" t="s">
        <v>41</v>
      </c>
      <c r="R435" s="991">
        <v>3</v>
      </c>
      <c r="S435" s="991">
        <v>1</v>
      </c>
      <c r="T435" s="448"/>
      <c r="U435" s="991"/>
      <c r="V435" s="991"/>
      <c r="W435" s="991"/>
      <c r="X435" s="991"/>
      <c r="Y435" s="991"/>
      <c r="Z435" s="991"/>
      <c r="AA435" s="991"/>
      <c r="AB435" s="991"/>
      <c r="AC435" s="991"/>
      <c r="AD435" s="991"/>
      <c r="AE435" s="991"/>
      <c r="AF435" s="991"/>
      <c r="AG435" s="991"/>
      <c r="AH435" s="991"/>
      <c r="AI435" s="991"/>
      <c r="AJ435" s="991"/>
      <c r="AK435" s="991"/>
      <c r="AL435" s="991"/>
      <c r="AM435" s="991"/>
      <c r="AN435" s="991"/>
      <c r="AO435" s="448"/>
      <c r="AP435" s="995"/>
      <c r="AQ435" s="991">
        <v>32</v>
      </c>
      <c r="AR435" s="991"/>
      <c r="AS435" s="996"/>
      <c r="AT435" s="991"/>
      <c r="AU435" s="991"/>
      <c r="AV435" s="991"/>
      <c r="AW435" s="991"/>
      <c r="AX435" s="991">
        <v>32</v>
      </c>
      <c r="AY435" s="990" t="s">
        <v>41</v>
      </c>
      <c r="AZ435" s="995" t="s">
        <v>137</v>
      </c>
      <c r="BA435" s="991"/>
      <c r="BB435" s="991"/>
      <c r="BC435" s="991">
        <v>5</v>
      </c>
      <c r="BD435" s="448"/>
      <c r="BE435" s="448"/>
      <c r="BF435" s="990"/>
      <c r="BG435" s="991">
        <v>8</v>
      </c>
      <c r="BH435" s="991"/>
      <c r="BI435" s="991"/>
      <c r="BJ435" s="991">
        <v>3</v>
      </c>
      <c r="BK435" s="991"/>
      <c r="BL435" s="991">
        <v>2</v>
      </c>
      <c r="BM435" s="991"/>
      <c r="BN435" s="991"/>
      <c r="BO435" s="991"/>
      <c r="BP435" s="990"/>
      <c r="BQ435" s="997"/>
      <c r="BR435" s="996"/>
      <c r="BS435" s="990"/>
      <c r="BT435" s="423"/>
      <c r="BU435" s="423"/>
      <c r="BV435" s="425"/>
      <c r="BW435" s="423"/>
      <c r="BX435" s="448"/>
      <c r="BY435" s="448"/>
      <c r="BZ435" s="448"/>
      <c r="CA435" s="448"/>
      <c r="CB435" s="448"/>
      <c r="CC435" s="777"/>
      <c r="CD435" s="448"/>
      <c r="CE435" s="998" t="str">
        <f>IFERROR(WWWW[[#This Row],['#_Water sources passed]]/WWWW[[#This Row],['#_Water sources tested for fecal coliform ]],"no test")</f>
        <v>no test</v>
      </c>
      <c r="CF435" s="996" t="str">
        <f>IFERROR(WWWW[[#This Row],['#_Household passed]]/WWWW[[#This Row],['#_Household water samples tested for fecal coliform]],"no test")</f>
        <v>no test</v>
      </c>
      <c r="CG435" s="997" t="str">
        <f>IF(AND(WWWW[[#This Row],[% of water sources passed]]="no test",WWWW[[#This Row],[% Household passed]]="no test"),"No Test","Tested")</f>
        <v>No Test</v>
      </c>
      <c r="CH435" s="997">
        <f>WWWW[[#This Row],['#_Constructed/existing protected hand dug well]]-WWWW[[#This Row],['#_Non-functional protected hand dug well]]</f>
        <v>0</v>
      </c>
      <c r="CI435" s="997">
        <f>(WWWW[[#This Row],['#_Constructed/Existing tube wells/boreholes/handpumps_WASH_agency]]+WWWW[[#This Row],['#_Non-Cluster partner water tube-wells/boreholes/handpumps]])-WWWW[[#This Row],['#_Non-functional tube wells/boreholes/handpumps]]</f>
        <v>0</v>
      </c>
      <c r="CJ435" s="997">
        <f>WWWW[[#This Row],['#_Constructed/Existingwater storage tank with gravity fed reticulation system]]-WWWW[[#This Row],['#_Non-functional storage tank gravity fed reticulation system]]</f>
        <v>0</v>
      </c>
      <c r="CK435" s="997">
        <f>(WWWW[[#This Row],['#_Water_Liters_supplied_by_Water boating or water trucking]]/90)/15</f>
        <v>0</v>
      </c>
      <c r="CL435" s="997">
        <f>WWWW[[#This Row],['#_Water_Liters_from_Constructed/Existing water distribution system from river or natural spring]]/90/15</f>
        <v>0</v>
      </c>
      <c r="CM435" s="424">
        <f>IF(WWWW[[#This Row],['#_of water points in TLS/CFS]]*500&gt;WWWW[[#This Row],[Total PoP ]],WWWW[[#This Row],[Total PoP ]],WWWW[[#This Row],['#_of water points in TLS/CFS]]*500)</f>
        <v>0</v>
      </c>
      <c r="CN435" s="424">
        <f>IF(WWWW[[#This Row],['#_of water points in THF]]*500&gt;WWWW[[#This Row],[Total PoP ]],WWWW[[#This Row],[Total PoP ]],WWWW[[#This Row],['#_of water points in THF]]*500)</f>
        <v>0</v>
      </c>
      <c r="CO43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3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35" s="996">
        <f>IF(WWWW[[#This Row],[Location Type 1]]="Village",WWWW[[#This Row],[Access to safe drinking water for Village]],WWWW[[#This Row],[Access to safe drinking water for Camp]])</f>
        <v>0</v>
      </c>
      <c r="CR435" s="994">
        <f>WWWW[[#This Row],[%Equitable and continuous access to sufficient quantity of safe drinking water]]*WWWW[[#This Row],[Total PoP ]]</f>
        <v>0</v>
      </c>
      <c r="CS435" s="996">
        <f>IF((WWWW[[#This Row],['#_Constructed/Existing protected/fenced ponds]]*250)/WWWW[[#This Row],[Total PoP ]]&gt;1,1,(WWWW[[#This Row],['#_Constructed/Existing protected/fenced ponds]]*250)/WWWW[[#This Row],[Total PoP ]])</f>
        <v>0</v>
      </c>
      <c r="CT435" s="994">
        <f>WWWW[[#This Row],[% Access to unimproved water points]]*WWWW[[#This Row],[Total PoP ]]</f>
        <v>0</v>
      </c>
      <c r="CU43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3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35" s="994">
        <f>WWWW[[#This Row],[HRP1]]/500</f>
        <v>0</v>
      </c>
      <c r="CX435" s="999">
        <f>1-WWWW[[#This Row],[% Equitable and continuous access to sufficient quantity of domestic water]]</f>
        <v>1</v>
      </c>
      <c r="CY435" s="994">
        <f>WWWW[[#This Row],[%equitable and continuous access to sufficient quantity of safe drinking and domestic water''s GAP]]*WWWW[[#This Row],[Total PoP ]]</f>
        <v>936</v>
      </c>
      <c r="CZ435" s="997">
        <f>IF(WWWW[[#This Row],[Total required water points]]-WWWW[[#This Row],['#Water points coverage]]&lt;0,0,WWWW[[#This Row],[Total required water points]]-WWWW[[#This Row],['#Water points coverage]])</f>
        <v>2</v>
      </c>
      <c r="DA435" s="997">
        <f>ROUND(IF(WWWW[[#This Row],[Total PoP ]]&lt;500,1,WWWW[[#This Row],[Total PoP ]]/500),0)</f>
        <v>2</v>
      </c>
      <c r="DB435" s="997">
        <f>(WWWW[[#This Row],['#_Constructed latrines_by_WASHAgencies]]+WWWW[[#This Row],['#_Non Cluster partner latrines]])-WWWW[[#This Row],['#_Non-functional latrines]]</f>
        <v>32</v>
      </c>
      <c r="DC435" s="631">
        <f>WWWW[[#This Row],[HRP2]]/WWWW[[#This Row],[Total PoP ]]</f>
        <v>0.68376068376068377</v>
      </c>
      <c r="DD43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43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3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65</v>
      </c>
      <c r="DG435" s="424">
        <f>IF(WWWW[[#This Row],['# of functional latrines in THF supported by WASH partners during the reporting period2]]="",0,WWWW[[#This Row],['# of functional latrines in THF supported by WASH partners during the reporting period2]]*50)</f>
        <v>0</v>
      </c>
      <c r="DH435" s="997">
        <f>ROUND(IF(WWWW[[#This Row],[Location Type 1]]="camp",WWWW[[#This Row],[Total PoP ]]/20,IF(WWWW[[#This Row],[Location Type 1]]="Temporary Location",WWWW[[#This Row],[Total PoP ]]/50,(WWWW[[#This Row],[Total PoP ]]/6))),0)</f>
        <v>47</v>
      </c>
      <c r="DI435" s="997">
        <f>IF(WWWW[[#This Row],[Total required Latrines]]-(WWWW[[#This Row],['#_Constructed latrines_by_WASHAgencies]]+WWWW[[#This Row],['#_Non Cluster partner latrines]])&lt;0,0,WWWW[[#This Row],[Total required Latrines]]-(WWWW[[#This Row],['#_Constructed latrines_by_WASHAgencies]]+WWWW[[#This Row],['#_Non Cluster partner latrines]]))</f>
        <v>15</v>
      </c>
      <c r="DJ435" s="999">
        <f>1-WWWW[[#This Row],[% people access to functioning Latrine]]</f>
        <v>0.31623931623931623</v>
      </c>
      <c r="DK435" s="998">
        <f>IF(OR(WWWW[[#This Row],['#_Non-functional latrines]]="",WWWW[[#This Row],['#_Non-functional latrines]]=0),0,WWWW[[#This Row],['#_Non-functional latrines]]/(WWWW[[#This Row],['#_Constructed latrines_by_WASHAgencies]]+WWWW[[#This Row],['#_Non Cluster partner latrines]]))</f>
        <v>0</v>
      </c>
      <c r="DL435" s="994">
        <f>IF(500*(WWWW[[#This Row],['#_male hygiene promoters]]+WWWW[[#This Row],['#_female hygiene promoters]])&gt;WWWW[[#This Row],[Total PoP ]],WWWW[[#This Row],[Total PoP ]],500*(WWWW[[#This Row],['#_male hygiene promoters]]+WWWW[[#This Row],['#_female hygiene promoters]]))</f>
        <v>936</v>
      </c>
      <c r="DM43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3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35" s="997">
        <f>IF(WWWW[[#This Row],['# People with access to soap]]&gt;WWWW[[#This Row],['# People with access to Sanity Pads]],WWWW[[#This Row],['# People with access to soap]],WWWW[[#This Row],['# People with access to Sanity Pads]])</f>
        <v>0</v>
      </c>
      <c r="DP435" s="997">
        <f>IF(WWWW[[#This Row],['# people reached by regular dedicated hygiene promotion_5]]&gt;WWWW[[#This Row],['# People received regular supply of hygiene items_6]],WWWW[[#This Row],['# people reached by regular dedicated hygiene promotion_5]],WWWW[[#This Row],['# People received regular supply of hygiene items_6]])</f>
        <v>936</v>
      </c>
      <c r="DQ435" s="999">
        <f>IF(WWWW[[#This Row],[HRP3]]/WWWW[[#This Row],[Total PoP ]]&gt;1,1,WWWW[[#This Row],[HRP3]]/WWWW[[#This Row],[Total PoP ]])</f>
        <v>1</v>
      </c>
      <c r="DR435" s="998">
        <f>1-WWWW[[#This Row],[Hygiene Coverage%]]</f>
        <v>0</v>
      </c>
      <c r="DS435" s="996">
        <f>WWWW[[#This Row],['# people reached by regular dedicated hygiene promotion_5]]/WWWW[[#This Row],[Total PoP ]]</f>
        <v>1</v>
      </c>
      <c r="DT43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3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35" s="997">
        <f>WWWW[[#This Row],['#_Constructed/Existing hand washing stations]]-WWWW[[#This Row],['#_Non-Functional_hand_washing_stations]]</f>
        <v>8</v>
      </c>
      <c r="DW435" s="994">
        <f>IF(WWWW[[#This Row],['# Functional hand washing stations during reporting period]]*20&gt;WWWW[[#This Row],[Total HH]],WWWW[[#This Row],[Total HH]],WWWW[[#This Row],['# Functional hand washing stations during reporting period]]*20)</f>
        <v>160</v>
      </c>
      <c r="DX435" s="994">
        <f>IF(WWWW[[#This Row],[Is sufficient soap available for TLS? (Yes/No)]]="yes",WWWW[[#This Row],['#_Constructed/Existing hand washing stations at TLS/CFS/THF]],0)</f>
        <v>0</v>
      </c>
      <c r="DY435" s="428">
        <f>IF(WWWW[[#This Row],['# Functional hand washing stations during reporting period]]*100&gt;WWWW[[#This Row],[Total PoP ]],WWWW[[#This Row],[Total PoP ]],WWWW[[#This Row],['# Functional hand washing stations during reporting period]]*100)</f>
        <v>800</v>
      </c>
      <c r="DZ435" s="428" t="str">
        <f>IF(OR(WWWW[[#This Row],['#_students at TLS_CFS]]="",WWWW[[#This Row],['#_students at TLS_CFS]]=0),"No","Yes")</f>
        <v>Yes</v>
      </c>
      <c r="EA43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3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65</v>
      </c>
      <c r="ED43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5" s="990" t="str">
        <f>VLOOKUP(WWWW[[#This Row],[Site Name]],SiteDB6[[Site Name]:[CCCM Management]],6,FALSE)</f>
        <v>Yes</v>
      </c>
      <c r="EF435" s="990" t="str">
        <f>VLOOKUP(WWWW[[#This Row],[Site Name]],SiteDB6[[Site Name]:[CCCM Focal Agency]],7,FALSE)</f>
        <v>KBC-MYT</v>
      </c>
      <c r="EG435" s="990" t="str">
        <f>VLOOKUP(WWWW[[#This Row],[Site Name]],SiteDB6[[Site Name]:[Location Type 1]],9,FALSE)</f>
        <v>Camp</v>
      </c>
      <c r="EH435" s="990" t="str">
        <f>VLOOKUP(WWWW[[#This Row],[Site Name]],SiteDB6[[Site Name]:[Type of Accommodation]],10,FALSE)</f>
        <v>Camp</v>
      </c>
      <c r="EI435" s="990" t="str">
        <f>VLOOKUP(WWWW[[#This Row],[Site Name]],SiteDB6[[Site Name]:[Ethnic or GCA/NGCA]],11,FALSE)</f>
        <v>NGCA</v>
      </c>
      <c r="EJ435" s="990">
        <f>VLOOKUP(WWWW[[#This Row],[Site Name]],SiteDB6[[Site Name]:[Lat]],12,FALSE)</f>
        <v>25.754110000000001</v>
      </c>
      <c r="EK435" s="990">
        <f>VLOOKUP(WWWW[[#This Row],[Site Name]],SiteDB6[[Site Name]:[Long]],13,FALSE)</f>
        <v>98.475719999999995</v>
      </c>
      <c r="EL435" s="990" t="str">
        <f>VLOOKUP(WWWW[[#This Row],[Site Name]],SiteDB6[[Site Name]:[Pcode]],3,FALSE)</f>
        <v>MMR001CMP043</v>
      </c>
      <c r="EM435" s="995" t="str">
        <f t="shared" si="8"/>
        <v>Covered</v>
      </c>
      <c r="EN435" s="995"/>
      <c r="EO435" s="990">
        <f>VLOOKUP(WWWW[[#This Row],[Site Name]],SiteDB6[[Site Name]:[Pop
(Kachin/Shan-CCCM as of July 2021)]],16,FALSE)</f>
        <v>167</v>
      </c>
      <c r="EP435" s="990">
        <f>VLOOKUP(WWWW[[#This Row],[Site Name]],SiteDB6[[Site Name]:[Pop
(Kachin/Shan-CCCM as of July 2021)]],17,FALSE)</f>
        <v>936</v>
      </c>
    </row>
    <row r="436" spans="1:146">
      <c r="A436" s="988" t="s">
        <v>2765</v>
      </c>
      <c r="B436" s="988" t="s">
        <v>276</v>
      </c>
      <c r="C436" s="989" t="s">
        <v>276</v>
      </c>
      <c r="D436" s="989" t="s">
        <v>3037</v>
      </c>
      <c r="E436" s="989" t="s">
        <v>37</v>
      </c>
      <c r="F436" s="989" t="s">
        <v>205</v>
      </c>
      <c r="G436" s="591" t="str">
        <f>VLOOKUP(WWWW[[#This Row],[Site Name]],SiteDB6[[Site Name]:[Location Type]],8,FALSE)</f>
        <v>Camp_not registered</v>
      </c>
      <c r="H436" s="989" t="s">
        <v>209</v>
      </c>
      <c r="I436" s="991">
        <v>46</v>
      </c>
      <c r="J436" s="991">
        <v>263</v>
      </c>
      <c r="K436" s="992">
        <v>44713</v>
      </c>
      <c r="L436" s="993">
        <v>44895</v>
      </c>
      <c r="M436" s="991"/>
      <c r="N436" s="991"/>
      <c r="O436" s="991"/>
      <c r="P436" s="991"/>
      <c r="Q436" s="994" t="s">
        <v>41</v>
      </c>
      <c r="R436" s="991">
        <v>4</v>
      </c>
      <c r="S436" s="991"/>
      <c r="T436" s="448">
        <v>1</v>
      </c>
      <c r="U436" s="991"/>
      <c r="V436" s="991"/>
      <c r="W436" s="991">
        <v>2</v>
      </c>
      <c r="X436" s="991"/>
      <c r="Y436" s="991"/>
      <c r="Z436" s="991">
        <v>1</v>
      </c>
      <c r="AA436" s="991"/>
      <c r="AB436" s="991"/>
      <c r="AC436" s="991"/>
      <c r="AD436" s="991"/>
      <c r="AE436" s="991"/>
      <c r="AF436" s="991"/>
      <c r="AG436" s="991">
        <v>1</v>
      </c>
      <c r="AH436" s="991"/>
      <c r="AI436" s="991">
        <v>1</v>
      </c>
      <c r="AJ436" s="991">
        <v>1</v>
      </c>
      <c r="AK436" s="991">
        <v>3</v>
      </c>
      <c r="AL436" s="991">
        <v>3</v>
      </c>
      <c r="AM436" s="991"/>
      <c r="AN436" s="991"/>
      <c r="AO436" s="448"/>
      <c r="AP436" s="995"/>
      <c r="AQ436" s="991">
        <v>5</v>
      </c>
      <c r="AR436" s="991"/>
      <c r="AS436" s="996"/>
      <c r="AT436" s="991"/>
      <c r="AU436" s="991"/>
      <c r="AV436" s="991">
        <v>3</v>
      </c>
      <c r="AW436" s="991">
        <v>4</v>
      </c>
      <c r="AX436" s="991"/>
      <c r="AY436" s="990" t="s">
        <v>41</v>
      </c>
      <c r="AZ436" s="995" t="s">
        <v>137</v>
      </c>
      <c r="BA436" s="991"/>
      <c r="BB436" s="991"/>
      <c r="BC436" s="991"/>
      <c r="BD436" s="448"/>
      <c r="BE436" s="448"/>
      <c r="BF436" s="990"/>
      <c r="BG436" s="991">
        <v>2</v>
      </c>
      <c r="BH436" s="991"/>
      <c r="BI436" s="991"/>
      <c r="BJ436" s="991">
        <v>2</v>
      </c>
      <c r="BK436" s="991"/>
      <c r="BL436" s="991"/>
      <c r="BM436" s="991"/>
      <c r="BN436" s="991"/>
      <c r="BO436" s="991"/>
      <c r="BP436" s="990"/>
      <c r="BQ436" s="997"/>
      <c r="BR436" s="996"/>
      <c r="BS436" s="990"/>
      <c r="BT436" s="423"/>
      <c r="BU436" s="423"/>
      <c r="BV436" s="425"/>
      <c r="BW436" s="423"/>
      <c r="BX436" s="448"/>
      <c r="BY436" s="448"/>
      <c r="BZ436" s="448"/>
      <c r="CA436" s="448"/>
      <c r="CB436" s="448"/>
      <c r="CC436" s="777"/>
      <c r="CD436" s="448"/>
      <c r="CE436" s="998">
        <f>IFERROR(WWWW[[#This Row],['#_Water sources passed]]/WWWW[[#This Row],['#_Water sources tested for fecal coliform ]],"no test")</f>
        <v>1</v>
      </c>
      <c r="CF436" s="996">
        <f>IFERROR(WWWW[[#This Row],['#_Household passed]]/WWWW[[#This Row],['#_Household water samples tested for fecal coliform]],"no test")</f>
        <v>1</v>
      </c>
      <c r="CG436" s="997" t="str">
        <f>IF(AND(WWWW[[#This Row],[% of water sources passed]]="no test",WWWW[[#This Row],[% Household passed]]="no test"),"No Test","Tested")</f>
        <v>Tested</v>
      </c>
      <c r="CH436" s="997">
        <f>WWWW[[#This Row],['#_Constructed/existing protected hand dug well]]-WWWW[[#This Row],['#_Non-functional protected hand dug well]]</f>
        <v>1</v>
      </c>
      <c r="CI436" s="997">
        <f>(WWWW[[#This Row],['#_Constructed/Existing tube wells/boreholes/handpumps_WASH_agency]]+WWWW[[#This Row],['#_Non-Cluster partner water tube-wells/boreholes/handpumps]])-WWWW[[#This Row],['#_Non-functional tube wells/boreholes/handpumps]]</f>
        <v>2</v>
      </c>
      <c r="CJ436" s="997">
        <f>WWWW[[#This Row],['#_Constructed/Existingwater storage tank with gravity fed reticulation system]]-WWWW[[#This Row],['#_Non-functional storage tank gravity fed reticulation system]]</f>
        <v>0</v>
      </c>
      <c r="CK436" s="997">
        <f>(WWWW[[#This Row],['#_Water_Liters_supplied_by_Water boating or water trucking]]/90)/15</f>
        <v>0</v>
      </c>
      <c r="CL436" s="997">
        <f>WWWW[[#This Row],['#_Water_Liters_from_Constructed/Existing water distribution system from river or natural spring]]/90/15</f>
        <v>0</v>
      </c>
      <c r="CM436" s="424">
        <f>IF(WWWW[[#This Row],['#_of water points in TLS/CFS]]*500&gt;WWWW[[#This Row],[Total PoP ]],WWWW[[#This Row],[Total PoP ]],WWWW[[#This Row],['#_of water points in TLS/CFS]]*500)</f>
        <v>0</v>
      </c>
      <c r="CN436" s="424">
        <f>IF(WWWW[[#This Row],['#_of water points in THF]]*500&gt;WWWW[[#This Row],[Total PoP ]],WWWW[[#This Row],[Total PoP ]],WWWW[[#This Row],['#_of water points in THF]]*500)</f>
        <v>0</v>
      </c>
      <c r="CO43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3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36" s="996">
        <f>IF(WWWW[[#This Row],[Location Type 1]]="Village",WWWW[[#This Row],[Access to safe drinking water for Village]],WWWW[[#This Row],[Access to safe drinking water for Camp]])</f>
        <v>1</v>
      </c>
      <c r="CR436" s="994">
        <f>WWWW[[#This Row],[%Equitable and continuous access to sufficient quantity of safe drinking water]]*WWWW[[#This Row],[Total PoP ]]</f>
        <v>263</v>
      </c>
      <c r="CS436" s="996">
        <f>IF((WWWW[[#This Row],['#_Constructed/Existing protected/fenced ponds]]*250)/WWWW[[#This Row],[Total PoP ]]&gt;1,1,(WWWW[[#This Row],['#_Constructed/Existing protected/fenced ponds]]*250)/WWWW[[#This Row],[Total PoP ]])</f>
        <v>0</v>
      </c>
      <c r="CT436" s="994">
        <f>WWWW[[#This Row],[% Access to unimproved water points]]*WWWW[[#This Row],[Total PoP ]]</f>
        <v>0</v>
      </c>
      <c r="CU43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3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W436" s="994">
        <f>WWWW[[#This Row],[HRP1]]/500</f>
        <v>0.52600000000000002</v>
      </c>
      <c r="CX436" s="999">
        <f>1-WWWW[[#This Row],[% Equitable and continuous access to sufficient quantity of domestic water]]</f>
        <v>0</v>
      </c>
      <c r="CY436" s="994">
        <f>WWWW[[#This Row],[%equitable and continuous access to sufficient quantity of safe drinking and domestic water''s GAP]]*WWWW[[#This Row],[Total PoP ]]</f>
        <v>0</v>
      </c>
      <c r="CZ436" s="997">
        <f>IF(WWWW[[#This Row],[Total required water points]]-WWWW[[#This Row],['#Water points coverage]]&lt;0,0,WWWW[[#This Row],[Total required water points]]-WWWW[[#This Row],['#Water points coverage]])</f>
        <v>0.47399999999999998</v>
      </c>
      <c r="DA436" s="997">
        <f>ROUND(IF(WWWW[[#This Row],[Total PoP ]]&lt;500,1,WWWW[[#This Row],[Total PoP ]]/500),0)</f>
        <v>1</v>
      </c>
      <c r="DB436" s="997">
        <f>(WWWW[[#This Row],['#_Constructed latrines_by_WASHAgencies]]+WWWW[[#This Row],['#_Non Cluster partner latrines]])-WWWW[[#This Row],['#_Non-functional latrines]]</f>
        <v>5</v>
      </c>
      <c r="DC436" s="631">
        <f>WWWW[[#This Row],[HRP2]]/WWWW[[#This Row],[Total PoP ]]</f>
        <v>0.38022813688212925</v>
      </c>
      <c r="DD43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43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43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6" s="424">
        <f>IF(WWWW[[#This Row],['# of functional latrines in THF supported by WASH partners during the reporting period2]]="",0,WWWW[[#This Row],['# of functional latrines in THF supported by WASH partners during the reporting period2]]*50)</f>
        <v>0</v>
      </c>
      <c r="DH436" s="997">
        <f>ROUND(IF(WWWW[[#This Row],[Location Type 1]]="camp",WWWW[[#This Row],[Total PoP ]]/20,IF(WWWW[[#This Row],[Location Type 1]]="Temporary Location",WWWW[[#This Row],[Total PoP ]]/50,(WWWW[[#This Row],[Total PoP ]]/6))),0)</f>
        <v>13</v>
      </c>
      <c r="DI436" s="997">
        <f>IF(WWWW[[#This Row],[Total required Latrines]]-(WWWW[[#This Row],['#_Constructed latrines_by_WASHAgencies]]+WWWW[[#This Row],['#_Non Cluster partner latrines]])&lt;0,0,WWWW[[#This Row],[Total required Latrines]]-(WWWW[[#This Row],['#_Constructed latrines_by_WASHAgencies]]+WWWW[[#This Row],['#_Non Cluster partner latrines]]))</f>
        <v>8</v>
      </c>
      <c r="DJ436" s="999">
        <f>1-WWWW[[#This Row],[% people access to functioning Latrine]]</f>
        <v>0.6197718631178708</v>
      </c>
      <c r="DK436" s="998">
        <f>IF(OR(WWWW[[#This Row],['#_Non-functional latrines]]="",WWWW[[#This Row],['#_Non-functional latrines]]=0),0,WWWW[[#This Row],['#_Non-functional latrines]]/(WWWW[[#This Row],['#_Constructed latrines_by_WASHAgencies]]+WWWW[[#This Row],['#_Non Cluster partner latrines]]))</f>
        <v>0</v>
      </c>
      <c r="DL436" s="994">
        <f>IF(500*(WWWW[[#This Row],['#_male hygiene promoters]]+WWWW[[#This Row],['#_female hygiene promoters]])&gt;WWWW[[#This Row],[Total PoP ]],WWWW[[#This Row],[Total PoP ]],500*(WWWW[[#This Row],['#_male hygiene promoters]]+WWWW[[#This Row],['#_female hygiene promoters]]))</f>
        <v>0</v>
      </c>
      <c r="DM43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3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36" s="997">
        <f>IF(WWWW[[#This Row],['# People with access to soap]]&gt;WWWW[[#This Row],['# People with access to Sanity Pads]],WWWW[[#This Row],['# People with access to soap]],WWWW[[#This Row],['# People with access to Sanity Pads]])</f>
        <v>0</v>
      </c>
      <c r="DP436"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36" s="999">
        <f>IF(WWWW[[#This Row],[HRP3]]/WWWW[[#This Row],[Total PoP ]]&gt;1,1,WWWW[[#This Row],[HRP3]]/WWWW[[#This Row],[Total PoP ]])</f>
        <v>0</v>
      </c>
      <c r="DR436" s="998">
        <f>1-WWWW[[#This Row],[Hygiene Coverage%]]</f>
        <v>1</v>
      </c>
      <c r="DS436" s="996">
        <f>WWWW[[#This Row],['# people reached by regular dedicated hygiene promotion_5]]/WWWW[[#This Row],[Total PoP ]]</f>
        <v>0</v>
      </c>
      <c r="DT43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3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36" s="997">
        <f>WWWW[[#This Row],['#_Constructed/Existing hand washing stations]]-WWWW[[#This Row],['#_Non-Functional_hand_washing_stations]]</f>
        <v>2</v>
      </c>
      <c r="DW436" s="994">
        <f>IF(WWWW[[#This Row],['# Functional hand washing stations during reporting period]]*20&gt;WWWW[[#This Row],[Total HH]],WWWW[[#This Row],[Total HH]],WWWW[[#This Row],['# Functional hand washing stations during reporting period]]*20)</f>
        <v>40</v>
      </c>
      <c r="DX436" s="994">
        <f>IF(WWWW[[#This Row],[Is sufficient soap available for TLS? (Yes/No)]]="yes",WWWW[[#This Row],['#_Constructed/Existing hand washing stations at TLS/CFS/THF]],0)</f>
        <v>0</v>
      </c>
      <c r="DY436" s="428">
        <f>IF(WWWW[[#This Row],['# Functional hand washing stations during reporting period]]*100&gt;WWWW[[#This Row],[Total PoP ]],WWWW[[#This Row],[Total PoP ]],WWWW[[#This Row],['# Functional hand washing stations during reporting period]]*100)</f>
        <v>200</v>
      </c>
      <c r="DZ436" s="428" t="str">
        <f>IF(OR(WWWW[[#This Row],['#_students at TLS_CFS]]="",WWWW[[#This Row],['#_students at TLS_CFS]]=0),"No","Yes")</f>
        <v>No</v>
      </c>
      <c r="EA43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3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3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6" s="990">
        <f>VLOOKUP(WWWW[[#This Row],[Site Name]],SiteDB6[[Site Name]:[CCCM Management]],6,FALSE)</f>
        <v>0</v>
      </c>
      <c r="EF436" s="990">
        <f>VLOOKUP(WWWW[[#This Row],[Site Name]],SiteDB6[[Site Name]:[CCCM Focal Agency]],7,FALSE)</f>
        <v>0</v>
      </c>
      <c r="EG436" s="990" t="str">
        <f>VLOOKUP(WWWW[[#This Row],[Site Name]],SiteDB6[[Site Name]:[Location Type 1]],9,FALSE)</f>
        <v>Camp</v>
      </c>
      <c r="EH436" s="990" t="str">
        <f>VLOOKUP(WWWW[[#This Row],[Site Name]],SiteDB6[[Site Name]:[Type of Accommodation]],10,FALSE)</f>
        <v>Camp</v>
      </c>
      <c r="EI436" s="990" t="str">
        <f>VLOOKUP(WWWW[[#This Row],[Site Name]],SiteDB6[[Site Name]:[Ethnic or GCA/NGCA]],11,FALSE)</f>
        <v>GCA</v>
      </c>
      <c r="EJ436" s="990">
        <f>VLOOKUP(WWWW[[#This Row],[Site Name]],SiteDB6[[Site Name]:[Lat]],12,FALSE)</f>
        <v>0</v>
      </c>
      <c r="EK436" s="990">
        <f>VLOOKUP(WWWW[[#This Row],[Site Name]],SiteDB6[[Site Name]:[Long]],13,FALSE)</f>
        <v>0</v>
      </c>
      <c r="EL436" s="990">
        <f>VLOOKUP(WWWW[[#This Row],[Site Name]],SiteDB6[[Site Name]:[Pcode]],3,FALSE)</f>
        <v>0</v>
      </c>
      <c r="EM436" s="995" t="str">
        <f t="shared" si="8"/>
        <v>Covered</v>
      </c>
      <c r="EN436" s="995"/>
      <c r="EO436" s="990">
        <f>VLOOKUP(WWWW[[#This Row],[Site Name]],SiteDB6[[Site Name]:[Pop
(Kachin/Shan-CCCM as of July 2021)]],16,FALSE)</f>
        <v>0</v>
      </c>
      <c r="EP436" s="990">
        <f>VLOOKUP(WWWW[[#This Row],[Site Name]],SiteDB6[[Site Name]:[Pop
(Kachin/Shan-CCCM as of July 2021)]],17,FALSE)</f>
        <v>0</v>
      </c>
    </row>
    <row r="437" spans="1:146">
      <c r="A437" s="988" t="s">
        <v>2765</v>
      </c>
      <c r="B437" s="988" t="s">
        <v>276</v>
      </c>
      <c r="C437" s="989" t="s">
        <v>276</v>
      </c>
      <c r="D437" s="989" t="s">
        <v>3037</v>
      </c>
      <c r="E437" s="989" t="s">
        <v>37</v>
      </c>
      <c r="F437" s="989" t="s">
        <v>195</v>
      </c>
      <c r="G437" s="591" t="str">
        <f>VLOOKUP(WWWW[[#This Row],[Site Name]],SiteDB6[[Site Name]:[Location Type]],8,FALSE)</f>
        <v>Camp</v>
      </c>
      <c r="H437" s="989" t="s">
        <v>280</v>
      </c>
      <c r="I437" s="991">
        <v>610</v>
      </c>
      <c r="J437" s="991">
        <v>3860</v>
      </c>
      <c r="K437" s="992">
        <v>44652</v>
      </c>
      <c r="L437" s="993">
        <v>44895</v>
      </c>
      <c r="M437" s="991"/>
      <c r="N437" s="991"/>
      <c r="O437" s="991">
        <v>6</v>
      </c>
      <c r="P437" s="991"/>
      <c r="Q437" s="994" t="s">
        <v>41</v>
      </c>
      <c r="R437" s="991">
        <v>20</v>
      </c>
      <c r="S437" s="991">
        <v>14</v>
      </c>
      <c r="T437" s="448">
        <v>1</v>
      </c>
      <c r="U437" s="991">
        <v>1</v>
      </c>
      <c r="V437" s="991"/>
      <c r="W437" s="991">
        <v>24</v>
      </c>
      <c r="X437" s="991"/>
      <c r="Y437" s="991">
        <v>1</v>
      </c>
      <c r="Z437" s="991">
        <v>21</v>
      </c>
      <c r="AA437" s="991"/>
      <c r="AB437" s="991"/>
      <c r="AC437" s="991"/>
      <c r="AD437" s="991"/>
      <c r="AE437" s="991"/>
      <c r="AF437" s="991"/>
      <c r="AG437" s="991">
        <v>1</v>
      </c>
      <c r="AH437" s="991"/>
      <c r="AI437" s="991">
        <v>15</v>
      </c>
      <c r="AJ437" s="991">
        <v>15</v>
      </c>
      <c r="AK437" s="991">
        <v>27</v>
      </c>
      <c r="AL437" s="991">
        <v>27</v>
      </c>
      <c r="AM437" s="991"/>
      <c r="AN437" s="991"/>
      <c r="AO437" s="448"/>
      <c r="AP437" s="995"/>
      <c r="AQ437" s="991">
        <v>148</v>
      </c>
      <c r="AR437" s="991"/>
      <c r="AS437" s="996"/>
      <c r="AT437" s="991"/>
      <c r="AU437" s="991">
        <v>24</v>
      </c>
      <c r="AV437" s="991">
        <v>141</v>
      </c>
      <c r="AW437" s="991">
        <v>173.75</v>
      </c>
      <c r="AX437" s="991"/>
      <c r="AY437" s="990" t="s">
        <v>41</v>
      </c>
      <c r="AZ437" s="995" t="s">
        <v>137</v>
      </c>
      <c r="BA437" s="991"/>
      <c r="BB437" s="991">
        <v>10</v>
      </c>
      <c r="BC437" s="991"/>
      <c r="BD437" s="448"/>
      <c r="BE437" s="448">
        <v>23</v>
      </c>
      <c r="BF437" s="990"/>
      <c r="BG437" s="991">
        <v>32</v>
      </c>
      <c r="BH437" s="991"/>
      <c r="BI437" s="991">
        <v>1</v>
      </c>
      <c r="BJ437" s="991">
        <v>16</v>
      </c>
      <c r="BK437" s="991">
        <v>1</v>
      </c>
      <c r="BL437" s="991"/>
      <c r="BM437" s="991">
        <v>6</v>
      </c>
      <c r="BN437" s="991">
        <v>610</v>
      </c>
      <c r="BO437" s="991">
        <v>914</v>
      </c>
      <c r="BP437" s="990"/>
      <c r="BQ437" s="997"/>
      <c r="BR437" s="996"/>
      <c r="BS437" s="990"/>
      <c r="BT437" s="423"/>
      <c r="BU437" s="423"/>
      <c r="BV437" s="425">
        <v>1</v>
      </c>
      <c r="BW437" s="423">
        <v>1</v>
      </c>
      <c r="BX437" s="448"/>
      <c r="BY437" s="448"/>
      <c r="BZ437" s="448"/>
      <c r="CA437" s="448"/>
      <c r="CB437" s="448"/>
      <c r="CC437" s="777"/>
      <c r="CD437" s="448"/>
      <c r="CE437" s="998">
        <f>IFERROR(WWWW[[#This Row],['#_Water sources passed]]/WWWW[[#This Row],['#_Water sources tested for fecal coliform ]],"no test")</f>
        <v>1</v>
      </c>
      <c r="CF437" s="996">
        <f>IFERROR(WWWW[[#This Row],['#_Household passed]]/WWWW[[#This Row],['#_Household water samples tested for fecal coliform]],"no test")</f>
        <v>1</v>
      </c>
      <c r="CG437" s="997" t="str">
        <f>IF(AND(WWWW[[#This Row],[% of water sources passed]]="no test",WWWW[[#This Row],[% Household passed]]="no test"),"No Test","Tested")</f>
        <v>Tested</v>
      </c>
      <c r="CH437" s="997">
        <f>WWWW[[#This Row],['#_Constructed/existing protected hand dug well]]-WWWW[[#This Row],['#_Non-functional protected hand dug well]]</f>
        <v>0</v>
      </c>
      <c r="CI437" s="997">
        <f>(WWWW[[#This Row],['#_Constructed/Existing tube wells/boreholes/handpumps_WASH_agency]]+WWWW[[#This Row],['#_Non-Cluster partner water tube-wells/boreholes/handpumps]])-WWWW[[#This Row],['#_Non-functional tube wells/boreholes/handpumps]]</f>
        <v>23</v>
      </c>
      <c r="CJ437" s="997">
        <f>WWWW[[#This Row],['#_Constructed/Existingwater storage tank with gravity fed reticulation system]]-WWWW[[#This Row],['#_Non-functional storage tank gravity fed reticulation system]]</f>
        <v>0</v>
      </c>
      <c r="CK437" s="997">
        <f>(WWWW[[#This Row],['#_Water_Liters_supplied_by_Water boating or water trucking]]/90)/15</f>
        <v>0</v>
      </c>
      <c r="CL437" s="997">
        <f>WWWW[[#This Row],['#_Water_Liters_from_Constructed/Existing water distribution system from river or natural spring]]/90/15</f>
        <v>0</v>
      </c>
      <c r="CM437" s="424">
        <f>IF(WWWW[[#This Row],['#_of water points in TLS/CFS]]*500&gt;WWWW[[#This Row],[Total PoP ]],WWWW[[#This Row],[Total PoP ]],WWWW[[#This Row],['#_of water points in TLS/CFS]]*500)</f>
        <v>0</v>
      </c>
      <c r="CN437" s="424">
        <f>IF(WWWW[[#This Row],['#_of water points in THF]]*500&gt;WWWW[[#This Row],[Total PoP ]],WWWW[[#This Row],[Total PoP ]],WWWW[[#This Row],['#_of water points in THF]]*500)</f>
        <v>0</v>
      </c>
      <c r="CO43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3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37" s="996">
        <f>IF(WWWW[[#This Row],[Location Type 1]]="Village",WWWW[[#This Row],[Access to safe drinking water for Village]],WWWW[[#This Row],[Access to safe drinking water for Camp]])</f>
        <v>1</v>
      </c>
      <c r="CR437" s="994">
        <f>WWWW[[#This Row],[%Equitable and continuous access to sufficient quantity of safe drinking water]]*WWWW[[#This Row],[Total PoP ]]</f>
        <v>3860</v>
      </c>
      <c r="CS437" s="996">
        <f>IF((WWWW[[#This Row],['#_Constructed/Existing protected/fenced ponds]]*250)/WWWW[[#This Row],[Total PoP ]]&gt;1,1,(WWWW[[#This Row],['#_Constructed/Existing protected/fenced ponds]]*250)/WWWW[[#This Row],[Total PoP ]])</f>
        <v>0</v>
      </c>
      <c r="CT437" s="994">
        <f>WWWW[[#This Row],[% Access to unimproved water points]]*WWWW[[#This Row],[Total PoP ]]</f>
        <v>0</v>
      </c>
      <c r="CU43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3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3860</v>
      </c>
      <c r="CW437" s="994">
        <f>WWWW[[#This Row],[HRP1]]/500</f>
        <v>7.72</v>
      </c>
      <c r="CX437" s="999">
        <f>1-WWWW[[#This Row],[% Equitable and continuous access to sufficient quantity of domestic water]]</f>
        <v>0</v>
      </c>
      <c r="CY437" s="994">
        <f>WWWW[[#This Row],[%equitable and continuous access to sufficient quantity of safe drinking and domestic water''s GAP]]*WWWW[[#This Row],[Total PoP ]]</f>
        <v>0</v>
      </c>
      <c r="CZ437" s="997">
        <f>IF(WWWW[[#This Row],[Total required water points]]-WWWW[[#This Row],['#Water points coverage]]&lt;0,0,WWWW[[#This Row],[Total required water points]]-WWWW[[#This Row],['#Water points coverage]])</f>
        <v>0.28000000000000025</v>
      </c>
      <c r="DA437" s="997">
        <f>ROUND(IF(WWWW[[#This Row],[Total PoP ]]&lt;500,1,WWWW[[#This Row],[Total PoP ]]/500),0)</f>
        <v>8</v>
      </c>
      <c r="DB437" s="997">
        <f>(WWWW[[#This Row],['#_Constructed latrines_by_WASHAgencies]]+WWWW[[#This Row],['#_Non Cluster partner latrines]])-WWWW[[#This Row],['#_Non-functional latrines]]</f>
        <v>148</v>
      </c>
      <c r="DC437" s="631">
        <f>WWWW[[#This Row],[HRP2]]/WWWW[[#This Row],[Total PoP ]]</f>
        <v>0.77279792746113984</v>
      </c>
      <c r="DD43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2983</v>
      </c>
      <c r="DE43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2820</v>
      </c>
      <c r="DF43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7" s="424">
        <f>IF(WWWW[[#This Row],['# of functional latrines in THF supported by WASH partners during the reporting period2]]="",0,WWWW[[#This Row],['# of functional latrines in THF supported by WASH partners during the reporting period2]]*50)</f>
        <v>0</v>
      </c>
      <c r="DH437" s="997">
        <f>ROUND(IF(WWWW[[#This Row],[Location Type 1]]="camp",WWWW[[#This Row],[Total PoP ]]/20,IF(WWWW[[#This Row],[Location Type 1]]="Temporary Location",WWWW[[#This Row],[Total PoP ]]/50,(WWWW[[#This Row],[Total PoP ]]/6))),0)</f>
        <v>193</v>
      </c>
      <c r="DI437" s="997">
        <f>IF(WWWW[[#This Row],[Total required Latrines]]-(WWWW[[#This Row],['#_Constructed latrines_by_WASHAgencies]]+WWWW[[#This Row],['#_Non Cluster partner latrines]])&lt;0,0,WWWW[[#This Row],[Total required Latrines]]-(WWWW[[#This Row],['#_Constructed latrines_by_WASHAgencies]]+WWWW[[#This Row],['#_Non Cluster partner latrines]]))</f>
        <v>45</v>
      </c>
      <c r="DJ437" s="999">
        <f>1-WWWW[[#This Row],[% people access to functioning Latrine]]</f>
        <v>0.22720207253886016</v>
      </c>
      <c r="DK437" s="998">
        <f>IF(OR(WWWW[[#This Row],['#_Non-functional latrines]]="",WWWW[[#This Row],['#_Non-functional latrines]]=0),0,WWWW[[#This Row],['#_Non-functional latrines]]/(WWWW[[#This Row],['#_Constructed latrines_by_WASHAgencies]]+WWWW[[#This Row],['#_Non Cluster partner latrines]]))</f>
        <v>0</v>
      </c>
      <c r="DL437" s="994">
        <f>IF(500*(WWWW[[#This Row],['#_male hygiene promoters]]+WWWW[[#This Row],['#_female hygiene promoters]])&gt;WWWW[[#This Row],[Total PoP ]],WWWW[[#This Row],[Total PoP ]],500*(WWWW[[#This Row],['#_male hygiene promoters]]+WWWW[[#This Row],['#_female hygiene promoters]]))</f>
        <v>3000</v>
      </c>
      <c r="DM43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3860</v>
      </c>
      <c r="DN43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914</v>
      </c>
      <c r="DO437" s="997">
        <f>IF(WWWW[[#This Row],['# People with access to soap]]&gt;WWWW[[#This Row],['# People with access to Sanity Pads]],WWWW[[#This Row],['# People with access to soap]],WWWW[[#This Row],['# People with access to Sanity Pads]])</f>
        <v>3860</v>
      </c>
      <c r="DP437" s="997">
        <f>IF(WWWW[[#This Row],['# people reached by regular dedicated hygiene promotion_5]]&gt;WWWW[[#This Row],['# People received regular supply of hygiene items_6]],WWWW[[#This Row],['# people reached by regular dedicated hygiene promotion_5]],WWWW[[#This Row],['# People received regular supply of hygiene items_6]])</f>
        <v>3860</v>
      </c>
      <c r="DQ437" s="999">
        <f>IF(WWWW[[#This Row],[HRP3]]/WWWW[[#This Row],[Total PoP ]]&gt;1,1,WWWW[[#This Row],[HRP3]]/WWWW[[#This Row],[Total PoP ]])</f>
        <v>1</v>
      </c>
      <c r="DR437" s="998">
        <f>1-WWWW[[#This Row],[Hygiene Coverage%]]</f>
        <v>0</v>
      </c>
      <c r="DS437" s="996">
        <f>WWWW[[#This Row],['# people reached by regular dedicated hygiene promotion_5]]/WWWW[[#This Row],[Total PoP ]]</f>
        <v>0.77720207253886009</v>
      </c>
      <c r="DT43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3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37" s="997">
        <f>WWWW[[#This Row],['#_Constructed/Existing hand washing stations]]-WWWW[[#This Row],['#_Non-Functional_hand_washing_stations]]</f>
        <v>32</v>
      </c>
      <c r="DW437" s="994">
        <f>IF(WWWW[[#This Row],['# Functional hand washing stations during reporting period]]*20&gt;WWWW[[#This Row],[Total HH]],WWWW[[#This Row],[Total HH]],WWWW[[#This Row],['# Functional hand washing stations during reporting period]]*20)</f>
        <v>610</v>
      </c>
      <c r="DX437" s="994">
        <f>IF(WWWW[[#This Row],[Is sufficient soap available for TLS? (Yes/No)]]="yes",WWWW[[#This Row],['#_Constructed/Existing hand washing stations at TLS/CFS/THF]],0)</f>
        <v>0</v>
      </c>
      <c r="DY437" s="428">
        <f>IF(WWWW[[#This Row],['# Functional hand washing stations during reporting period]]*100&gt;WWWW[[#This Row],[Total PoP ]],WWWW[[#This Row],[Total PoP ]],WWWW[[#This Row],['# Functional hand washing stations during reporting period]]*100)</f>
        <v>3200</v>
      </c>
      <c r="DZ437" s="428" t="str">
        <f>IF(OR(WWWW[[#This Row],['#_students at TLS_CFS]]="",WWWW[[#This Row],['#_students at TLS_CFS]]=0),"No","Yes")</f>
        <v>No</v>
      </c>
      <c r="EA437" s="631">
        <f>IF(WWWW[[#This Row],['#_of_affected_people_surveyed_who_report_feeling_informed_about_the_different_WASH_services_available_to_them]]="","",WWWW[[#This Row],['#_of_affected_people_surveyed_who_report_feeling_informed_about_the_different_WASH_services_available_to_them]]/WWWW[[#This Row],[Total PoP ]])</f>
        <v>2.5906735751295336E-4</v>
      </c>
      <c r="EB43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3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7" s="990" t="str">
        <f>VLOOKUP(WWWW[[#This Row],[Site Name]],SiteDB6[[Site Name]:[CCCM Management]],6,FALSE)</f>
        <v>Yes</v>
      </c>
      <c r="EF437" s="990" t="str">
        <f>VLOOKUP(WWWW[[#This Row],[Site Name]],SiteDB6[[Site Name]:[CCCM Focal Agency]],7,FALSE)</f>
        <v>KBC-BMO</v>
      </c>
      <c r="EG437" s="990" t="str">
        <f>VLOOKUP(WWWW[[#This Row],[Site Name]],SiteDB6[[Site Name]:[Location Type 1]],9,FALSE)</f>
        <v>Camp</v>
      </c>
      <c r="EH437" s="990" t="str">
        <f>VLOOKUP(WWWW[[#This Row],[Site Name]],SiteDB6[[Site Name]:[Type of Accommodation]],10,FALSE)</f>
        <v>Camp</v>
      </c>
      <c r="EI437" s="990" t="str">
        <f>VLOOKUP(WWWW[[#This Row],[Site Name]],SiteDB6[[Site Name]:[Ethnic or GCA/NGCA]],11,FALSE)</f>
        <v>GCA</v>
      </c>
      <c r="EJ437" s="990">
        <f>VLOOKUP(WWWW[[#This Row],[Site Name]],SiteDB6[[Site Name]:[Lat]],12,FALSE)</f>
        <v>24.268292826086999</v>
      </c>
      <c r="EK437" s="990">
        <f>VLOOKUP(WWWW[[#This Row],[Site Name]],SiteDB6[[Site Name]:[Long]],13,FALSE)</f>
        <v>97.229116811594196</v>
      </c>
      <c r="EL437" s="990" t="str">
        <f>VLOOKUP(WWWW[[#This Row],[Site Name]],SiteDB6[[Site Name]:[Pcode]],3,FALSE)</f>
        <v>MMR001CMP047</v>
      </c>
      <c r="EM437" s="995" t="str">
        <f t="shared" si="8"/>
        <v>Covered</v>
      </c>
      <c r="EN437" s="995"/>
      <c r="EO437" s="990">
        <f>VLOOKUP(WWWW[[#This Row],[Site Name]],SiteDB6[[Site Name]:[Pop
(Kachin/Shan-CCCM as of July 2021)]],16,FALSE)</f>
        <v>597</v>
      </c>
      <c r="EP437" s="990">
        <f>VLOOKUP(WWWW[[#This Row],[Site Name]],SiteDB6[[Site Name]:[Pop
(Kachin/Shan-CCCM as of July 2021)]],17,FALSE)</f>
        <v>3765</v>
      </c>
    </row>
    <row r="438" spans="1:146">
      <c r="A438" s="988" t="s">
        <v>2765</v>
      </c>
      <c r="B438" s="988" t="s">
        <v>141</v>
      </c>
      <c r="C438" s="989" t="s">
        <v>141</v>
      </c>
      <c r="D438" s="989" t="s">
        <v>241</v>
      </c>
      <c r="E438" s="989" t="s">
        <v>37</v>
      </c>
      <c r="F438" s="989" t="s">
        <v>205</v>
      </c>
      <c r="G438" s="591" t="str">
        <f>VLOOKUP(WWWW[[#This Row],[Site Name]],SiteDB6[[Site Name]:[Location Type]],8,FALSE)</f>
        <v>Camp_not registered</v>
      </c>
      <c r="H438" s="989" t="s">
        <v>289</v>
      </c>
      <c r="I438" s="991">
        <v>440</v>
      </c>
      <c r="J438" s="991">
        <v>2199</v>
      </c>
      <c r="K438" s="992">
        <v>44105</v>
      </c>
      <c r="L438" s="993">
        <v>44681</v>
      </c>
      <c r="M438" s="991"/>
      <c r="N438" s="991"/>
      <c r="O438" s="991"/>
      <c r="P438" s="991"/>
      <c r="Q438" s="994" t="s">
        <v>41</v>
      </c>
      <c r="R438" s="991"/>
      <c r="S438" s="991"/>
      <c r="T438" s="448"/>
      <c r="U438" s="991"/>
      <c r="V438" s="991"/>
      <c r="W438" s="991">
        <v>1</v>
      </c>
      <c r="X438" s="991"/>
      <c r="Y438" s="991"/>
      <c r="Z438" s="991"/>
      <c r="AA438" s="991"/>
      <c r="AB438" s="991"/>
      <c r="AC438" s="991"/>
      <c r="AD438" s="991"/>
      <c r="AE438" s="991"/>
      <c r="AF438" s="991"/>
      <c r="AG438" s="991"/>
      <c r="AH438" s="991"/>
      <c r="AI438" s="991"/>
      <c r="AJ438" s="991"/>
      <c r="AK438" s="991"/>
      <c r="AL438" s="991"/>
      <c r="AM438" s="991">
        <v>20</v>
      </c>
      <c r="AN438" s="991"/>
      <c r="AO438" s="448"/>
      <c r="AP438" s="995"/>
      <c r="AQ438" s="991"/>
      <c r="AR438" s="991"/>
      <c r="AS438" s="996"/>
      <c r="AT438" s="991"/>
      <c r="AU438" s="991"/>
      <c r="AV438" s="991"/>
      <c r="AW438" s="991"/>
      <c r="AX438" s="991"/>
      <c r="AY438" s="990" t="s">
        <v>140</v>
      </c>
      <c r="AZ438" s="995" t="s">
        <v>140</v>
      </c>
      <c r="BA438" s="991"/>
      <c r="BB438" s="991"/>
      <c r="BC438" s="991">
        <v>51</v>
      </c>
      <c r="BD438" s="448"/>
      <c r="BE438" s="448"/>
      <c r="BF438" s="990"/>
      <c r="BG438" s="991">
        <v>3</v>
      </c>
      <c r="BH438" s="991"/>
      <c r="BI438" s="991"/>
      <c r="BJ438" s="991">
        <v>2</v>
      </c>
      <c r="BK438" s="991"/>
      <c r="BL438" s="991"/>
      <c r="BM438" s="991"/>
      <c r="BN438" s="991"/>
      <c r="BO438" s="991"/>
      <c r="BP438" s="990"/>
      <c r="BQ438" s="997"/>
      <c r="BR438" s="996"/>
      <c r="BS438" s="990"/>
      <c r="BT438" s="423"/>
      <c r="BU438" s="423"/>
      <c r="BV438" s="425"/>
      <c r="BW438" s="423"/>
      <c r="BX438" s="448"/>
      <c r="BY438" s="448"/>
      <c r="BZ438" s="448"/>
      <c r="CA438" s="448"/>
      <c r="CB438" s="448"/>
      <c r="CC438" s="777"/>
      <c r="CD438" s="448"/>
      <c r="CE438" s="998" t="str">
        <f>IFERROR(WWWW[[#This Row],['#_Water sources passed]]/WWWW[[#This Row],['#_Water sources tested for fecal coliform ]],"no test")</f>
        <v>no test</v>
      </c>
      <c r="CF438" s="996" t="str">
        <f>IFERROR(WWWW[[#This Row],['#_Household passed]]/WWWW[[#This Row],['#_Household water samples tested for fecal coliform]],"no test")</f>
        <v>no test</v>
      </c>
      <c r="CG438" s="997" t="str">
        <f>IF(AND(WWWW[[#This Row],[% of water sources passed]]="no test",WWWW[[#This Row],[% Household passed]]="no test"),"No Test","Tested")</f>
        <v>No Test</v>
      </c>
      <c r="CH438" s="997">
        <f>WWWW[[#This Row],['#_Constructed/existing protected hand dug well]]-WWWW[[#This Row],['#_Non-functional protected hand dug well]]</f>
        <v>0</v>
      </c>
      <c r="CI438" s="997">
        <f>(WWWW[[#This Row],['#_Constructed/Existing tube wells/boreholes/handpumps_WASH_agency]]+WWWW[[#This Row],['#_Non-Cluster partner water tube-wells/boreholes/handpumps]])-WWWW[[#This Row],['#_Non-functional tube wells/boreholes/handpumps]]</f>
        <v>1</v>
      </c>
      <c r="CJ438" s="997">
        <f>WWWW[[#This Row],['#_Constructed/Existingwater storage tank with gravity fed reticulation system]]-WWWW[[#This Row],['#_Non-functional storage tank gravity fed reticulation system]]</f>
        <v>0</v>
      </c>
      <c r="CK438" s="997">
        <f>(WWWW[[#This Row],['#_Water_Liters_supplied_by_Water boating or water trucking]]/90)/15</f>
        <v>0</v>
      </c>
      <c r="CL438" s="997">
        <f>WWWW[[#This Row],['#_Water_Liters_from_Constructed/Existing water distribution system from river or natural spring]]/90/15</f>
        <v>0</v>
      </c>
      <c r="CM438" s="424">
        <f>IF(WWWW[[#This Row],['#_of water points in TLS/CFS]]*500&gt;WWWW[[#This Row],[Total PoP ]],WWWW[[#This Row],[Total PoP ]],WWWW[[#This Row],['#_of water points in TLS/CFS]]*500)</f>
        <v>0</v>
      </c>
      <c r="CN438" s="424">
        <f>IF(WWWW[[#This Row],['#_of water points in THF]]*500&gt;WWWW[[#This Row],[Total PoP ]],WWWW[[#This Row],[Total PoP ]],WWWW[[#This Row],['#_of water points in THF]]*500)</f>
        <v>0</v>
      </c>
      <c r="CO43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P43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Q438" s="996">
        <f>IF(WWWW[[#This Row],[Location Type 1]]="Village",WWWW[[#This Row],[Access to safe drinking water for Village]],WWWW[[#This Row],[Access to safe drinking water for Camp]])</f>
        <v>0.22737608003638018</v>
      </c>
      <c r="CR438" s="994">
        <f>WWWW[[#This Row],[%Equitable and continuous access to sufficient quantity of safe drinking water]]*WWWW[[#This Row],[Total PoP ]]</f>
        <v>500</v>
      </c>
      <c r="CS438" s="996">
        <f>IF((WWWW[[#This Row],['#_Constructed/Existing protected/fenced ponds]]*250)/WWWW[[#This Row],[Total PoP ]]&gt;1,1,(WWWW[[#This Row],['#_Constructed/Existing protected/fenced ponds]]*250)/WWWW[[#This Row],[Total PoP ]])</f>
        <v>0</v>
      </c>
      <c r="CT438" s="994">
        <f>WWWW[[#This Row],[% Access to unimproved water points]]*WWWW[[#This Row],[Total PoP ]]</f>
        <v>0</v>
      </c>
      <c r="CU43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V43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438" s="994">
        <f>WWWW[[#This Row],[HRP1]]/500</f>
        <v>1</v>
      </c>
      <c r="CX438" s="999">
        <f>1-WWWW[[#This Row],[% Equitable and continuous access to sufficient quantity of domestic water]]</f>
        <v>0.77262391996361979</v>
      </c>
      <c r="CY438" s="994">
        <f>WWWW[[#This Row],[%equitable and continuous access to sufficient quantity of safe drinking and domestic water''s GAP]]*WWWW[[#This Row],[Total PoP ]]</f>
        <v>1699</v>
      </c>
      <c r="CZ438" s="997">
        <f>IF(WWWW[[#This Row],[Total required water points]]-WWWW[[#This Row],['#Water points coverage]]&lt;0,0,WWWW[[#This Row],[Total required water points]]-WWWW[[#This Row],['#Water points coverage]])</f>
        <v>3</v>
      </c>
      <c r="DA438" s="997">
        <f>ROUND(IF(WWWW[[#This Row],[Total PoP ]]&lt;500,1,WWWW[[#This Row],[Total PoP ]]/500),0)</f>
        <v>4</v>
      </c>
      <c r="DB438" s="997">
        <f>(WWWW[[#This Row],['#_Constructed latrines_by_WASHAgencies]]+WWWW[[#This Row],['#_Non Cluster partner latrines]])-WWWW[[#This Row],['#_Non-functional latrines]]</f>
        <v>0</v>
      </c>
      <c r="DC438" s="631">
        <f>WWWW[[#This Row],[HRP2]]/WWWW[[#This Row],[Total PoP ]]</f>
        <v>0</v>
      </c>
      <c r="DD43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3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3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8" s="424">
        <f>IF(WWWW[[#This Row],['# of functional latrines in THF supported by WASH partners during the reporting period2]]="",0,WWWW[[#This Row],['# of functional latrines in THF supported by WASH partners during the reporting period2]]*50)</f>
        <v>0</v>
      </c>
      <c r="DH438" s="997">
        <f>ROUND(IF(WWWW[[#This Row],[Location Type 1]]="camp",WWWW[[#This Row],[Total PoP ]]/20,IF(WWWW[[#This Row],[Location Type 1]]="Temporary Location",WWWW[[#This Row],[Total PoP ]]/50,(WWWW[[#This Row],[Total PoP ]]/6))),0)</f>
        <v>110</v>
      </c>
      <c r="DI438" s="997">
        <f>IF(WWWW[[#This Row],[Total required Latrines]]-(WWWW[[#This Row],['#_Constructed latrines_by_WASHAgencies]]+WWWW[[#This Row],['#_Non Cluster partner latrines]])&lt;0,0,WWWW[[#This Row],[Total required Latrines]]-(WWWW[[#This Row],['#_Constructed latrines_by_WASHAgencies]]+WWWW[[#This Row],['#_Non Cluster partner latrines]]))</f>
        <v>110</v>
      </c>
      <c r="DJ438" s="999">
        <f>1-WWWW[[#This Row],[% people access to functioning Latrine]]</f>
        <v>1</v>
      </c>
      <c r="DK438" s="998">
        <f>IF(OR(WWWW[[#This Row],['#_Non-functional latrines]]="",WWWW[[#This Row],['#_Non-functional latrines]]=0),0,WWWW[[#This Row],['#_Non-functional latrines]]/(WWWW[[#This Row],['#_Constructed latrines_by_WASHAgencies]]+WWWW[[#This Row],['#_Non Cluster partner latrines]]))</f>
        <v>0</v>
      </c>
      <c r="DL438" s="994">
        <f>IF(500*(WWWW[[#This Row],['#_male hygiene promoters]]+WWWW[[#This Row],['#_female hygiene promoters]])&gt;WWWW[[#This Row],[Total PoP ]],WWWW[[#This Row],[Total PoP ]],500*(WWWW[[#This Row],['#_male hygiene promoters]]+WWWW[[#This Row],['#_female hygiene promoters]]))</f>
        <v>0</v>
      </c>
      <c r="DM43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3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38" s="997">
        <f>IF(WWWW[[#This Row],['# People with access to soap]]&gt;WWWW[[#This Row],['# People with access to Sanity Pads]],WWWW[[#This Row],['# People with access to soap]],WWWW[[#This Row],['# People with access to Sanity Pads]])</f>
        <v>0</v>
      </c>
      <c r="DP438"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38" s="999">
        <f>IF(WWWW[[#This Row],[HRP3]]/WWWW[[#This Row],[Total PoP ]]&gt;1,1,WWWW[[#This Row],[HRP3]]/WWWW[[#This Row],[Total PoP ]])</f>
        <v>0</v>
      </c>
      <c r="DR438" s="998">
        <f>1-WWWW[[#This Row],[Hygiene Coverage%]]</f>
        <v>1</v>
      </c>
      <c r="DS438" s="996">
        <f>WWWW[[#This Row],['# people reached by regular dedicated hygiene promotion_5]]/WWWW[[#This Row],[Total PoP ]]</f>
        <v>0</v>
      </c>
      <c r="DT43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3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38" s="997">
        <f>WWWW[[#This Row],['#_Constructed/Existing hand washing stations]]-WWWW[[#This Row],['#_Non-Functional_hand_washing_stations]]</f>
        <v>3</v>
      </c>
      <c r="DW438" s="994">
        <f>IF(WWWW[[#This Row],['# Functional hand washing stations during reporting period]]*20&gt;WWWW[[#This Row],[Total HH]],WWWW[[#This Row],[Total HH]],WWWW[[#This Row],['# Functional hand washing stations during reporting period]]*20)</f>
        <v>60</v>
      </c>
      <c r="DX438" s="994">
        <f>IF(WWWW[[#This Row],[Is sufficient soap available for TLS? (Yes/No)]]="yes",WWWW[[#This Row],['#_Constructed/Existing hand washing stations at TLS/CFS/THF]],0)</f>
        <v>0</v>
      </c>
      <c r="DY438" s="428">
        <f>IF(WWWW[[#This Row],['# Functional hand washing stations during reporting period]]*100&gt;WWWW[[#This Row],[Total PoP ]],WWWW[[#This Row],[Total PoP ]],WWWW[[#This Row],['# Functional hand washing stations during reporting period]]*100)</f>
        <v>300</v>
      </c>
      <c r="DZ438" s="428" t="str">
        <f>IF(OR(WWWW[[#This Row],['#_students at TLS_CFS]]="",WWWW[[#This Row],['#_students at TLS_CFS]]=0),"No","Yes")</f>
        <v>No</v>
      </c>
      <c r="EA43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3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3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8" s="990">
        <f>VLOOKUP(WWWW[[#This Row],[Site Name]],SiteDB6[[Site Name]:[CCCM Management]],6,FALSE)</f>
        <v>0</v>
      </c>
      <c r="EF438" s="990">
        <f>VLOOKUP(WWWW[[#This Row],[Site Name]],SiteDB6[[Site Name]:[CCCM Focal Agency]],7,FALSE)</f>
        <v>0</v>
      </c>
      <c r="EG438" s="990" t="str">
        <f>VLOOKUP(WWWW[[#This Row],[Site Name]],SiteDB6[[Site Name]:[Location Type 1]],9,FALSE)</f>
        <v>Camp</v>
      </c>
      <c r="EH438" s="990" t="str">
        <f>VLOOKUP(WWWW[[#This Row],[Site Name]],SiteDB6[[Site Name]:[Type of Accommodation]],10,FALSE)</f>
        <v>School</v>
      </c>
      <c r="EI438" s="990" t="str">
        <f>VLOOKUP(WWWW[[#This Row],[Site Name]],SiteDB6[[Site Name]:[Ethnic or GCA/NGCA]],11,FALSE)</f>
        <v>NGCA</v>
      </c>
      <c r="EJ438" s="990">
        <f>VLOOKUP(WWWW[[#This Row],[Site Name]],SiteDB6[[Site Name]:[Lat]],12,FALSE)</f>
        <v>0</v>
      </c>
      <c r="EK438" s="990">
        <f>VLOOKUP(WWWW[[#This Row],[Site Name]],SiteDB6[[Site Name]:[Long]],13,FALSE)</f>
        <v>0</v>
      </c>
      <c r="EL438" s="990">
        <f>VLOOKUP(WWWW[[#This Row],[Site Name]],SiteDB6[[Site Name]:[Pcode]],3,FALSE)</f>
        <v>0</v>
      </c>
      <c r="EM438" s="995" t="str">
        <f t="shared" si="8"/>
        <v>Covered</v>
      </c>
      <c r="EN438" s="995"/>
      <c r="EO438" s="990">
        <f>VLOOKUP(WWWW[[#This Row],[Site Name]],SiteDB6[[Site Name]:[Pop
(Kachin/Shan-CCCM as of July 2021)]],16,FALSE)</f>
        <v>0</v>
      </c>
      <c r="EP438" s="990">
        <f>VLOOKUP(WWWW[[#This Row],[Site Name]],SiteDB6[[Site Name]:[Pop
(Kachin/Shan-CCCM as of July 2021)]],17,FALSE)</f>
        <v>0</v>
      </c>
    </row>
    <row r="439" spans="1:146">
      <c r="A439" s="988" t="s">
        <v>2765</v>
      </c>
      <c r="B439" s="988" t="s">
        <v>276</v>
      </c>
      <c r="C439" s="989" t="s">
        <v>276</v>
      </c>
      <c r="D439" s="989" t="s">
        <v>3037</v>
      </c>
      <c r="E439" s="989" t="s">
        <v>37</v>
      </c>
      <c r="F439" s="989" t="s">
        <v>195</v>
      </c>
      <c r="G439" s="591" t="str">
        <f>VLOOKUP(WWWW[[#This Row],[Site Name]],SiteDB6[[Site Name]:[Location Type]],8,FALSE)</f>
        <v>Camp</v>
      </c>
      <c r="H439" s="989" t="s">
        <v>200</v>
      </c>
      <c r="I439" s="991">
        <v>135</v>
      </c>
      <c r="J439" s="991">
        <v>768</v>
      </c>
      <c r="K439" s="992">
        <v>44713</v>
      </c>
      <c r="L439" s="993">
        <v>44895</v>
      </c>
      <c r="M439" s="991"/>
      <c r="N439" s="991"/>
      <c r="O439" s="991"/>
      <c r="P439" s="991"/>
      <c r="Q439" s="994" t="s">
        <v>41</v>
      </c>
      <c r="R439" s="991">
        <v>1</v>
      </c>
      <c r="S439" s="991">
        <v>4</v>
      </c>
      <c r="T439" s="448">
        <v>3</v>
      </c>
      <c r="U439" s="991"/>
      <c r="V439" s="991">
        <v>1</v>
      </c>
      <c r="W439" s="991">
        <v>2</v>
      </c>
      <c r="X439" s="991"/>
      <c r="Y439" s="991"/>
      <c r="Z439" s="991"/>
      <c r="AA439" s="991"/>
      <c r="AB439" s="991"/>
      <c r="AC439" s="991"/>
      <c r="AD439" s="991"/>
      <c r="AE439" s="991"/>
      <c r="AF439" s="991"/>
      <c r="AG439" s="991">
        <v>1</v>
      </c>
      <c r="AH439" s="991"/>
      <c r="AI439" s="991">
        <v>1</v>
      </c>
      <c r="AJ439" s="991">
        <v>1</v>
      </c>
      <c r="AK439" s="991">
        <v>13</v>
      </c>
      <c r="AL439" s="991">
        <v>13</v>
      </c>
      <c r="AM439" s="991"/>
      <c r="AN439" s="991"/>
      <c r="AO439" s="448"/>
      <c r="AP439" s="995"/>
      <c r="AQ439" s="991">
        <v>23</v>
      </c>
      <c r="AR439" s="991"/>
      <c r="AS439" s="996"/>
      <c r="AT439" s="991"/>
      <c r="AU439" s="991"/>
      <c r="AV439" s="991">
        <v>23</v>
      </c>
      <c r="AW439" s="991">
        <v>37.21</v>
      </c>
      <c r="AX439" s="991"/>
      <c r="AY439" s="990" t="s">
        <v>41</v>
      </c>
      <c r="AZ439" s="995" t="s">
        <v>137</v>
      </c>
      <c r="BA439" s="991"/>
      <c r="BB439" s="991"/>
      <c r="BC439" s="991"/>
      <c r="BD439" s="448"/>
      <c r="BE439" s="448"/>
      <c r="BF439" s="990"/>
      <c r="BG439" s="991">
        <v>6</v>
      </c>
      <c r="BH439" s="991"/>
      <c r="BI439" s="991"/>
      <c r="BJ439" s="991">
        <v>7</v>
      </c>
      <c r="BK439" s="991">
        <v>1</v>
      </c>
      <c r="BL439" s="991"/>
      <c r="BM439" s="991"/>
      <c r="BN439" s="991"/>
      <c r="BO439" s="991"/>
      <c r="BP439" s="990"/>
      <c r="BQ439" s="997"/>
      <c r="BR439" s="996"/>
      <c r="BS439" s="990"/>
      <c r="BT439" s="423"/>
      <c r="BU439" s="423"/>
      <c r="BV439" s="425"/>
      <c r="BW439" s="423"/>
      <c r="BX439" s="448"/>
      <c r="BY439" s="448"/>
      <c r="BZ439" s="448"/>
      <c r="CA439" s="448"/>
      <c r="CB439" s="448"/>
      <c r="CC439" s="777"/>
      <c r="CD439" s="448"/>
      <c r="CE439" s="998">
        <f>IFERROR(WWWW[[#This Row],['#_Water sources passed]]/WWWW[[#This Row],['#_Water sources tested for fecal coliform ]],"no test")</f>
        <v>1</v>
      </c>
      <c r="CF439" s="996">
        <f>IFERROR(WWWW[[#This Row],['#_Household passed]]/WWWW[[#This Row],['#_Household water samples tested for fecal coliform]],"no test")</f>
        <v>1</v>
      </c>
      <c r="CG439" s="997" t="str">
        <f>IF(AND(WWWW[[#This Row],[% of water sources passed]]="no test",WWWW[[#This Row],[% Household passed]]="no test"),"No Test","Tested")</f>
        <v>Tested</v>
      </c>
      <c r="CH439" s="997">
        <f>WWWW[[#This Row],['#_Constructed/existing protected hand dug well]]-WWWW[[#This Row],['#_Non-functional protected hand dug well]]</f>
        <v>3</v>
      </c>
      <c r="CI439" s="997">
        <f>(WWWW[[#This Row],['#_Constructed/Existing tube wells/boreholes/handpumps_WASH_agency]]+WWWW[[#This Row],['#_Non-Cluster partner water tube-wells/boreholes/handpumps]])-WWWW[[#This Row],['#_Non-functional tube wells/boreholes/handpumps]]</f>
        <v>2</v>
      </c>
      <c r="CJ439" s="997">
        <f>WWWW[[#This Row],['#_Constructed/Existingwater storage tank with gravity fed reticulation system]]-WWWW[[#This Row],['#_Non-functional storage tank gravity fed reticulation system]]</f>
        <v>0</v>
      </c>
      <c r="CK439" s="997">
        <f>(WWWW[[#This Row],['#_Water_Liters_supplied_by_Water boating or water trucking]]/90)/15</f>
        <v>0</v>
      </c>
      <c r="CL439" s="997">
        <f>WWWW[[#This Row],['#_Water_Liters_from_Constructed/Existing water distribution system from river or natural spring]]/90/15</f>
        <v>0</v>
      </c>
      <c r="CM439" s="424">
        <f>IF(WWWW[[#This Row],['#_of water points in TLS/CFS]]*500&gt;WWWW[[#This Row],[Total PoP ]],WWWW[[#This Row],[Total PoP ]],WWWW[[#This Row],['#_of water points in TLS/CFS]]*500)</f>
        <v>0</v>
      </c>
      <c r="CN439" s="424">
        <f>IF(WWWW[[#This Row],['#_of water points in THF]]*500&gt;WWWW[[#This Row],[Total PoP ]],WWWW[[#This Row],[Total PoP ]],WWWW[[#This Row],['#_of water points in THF]]*500)</f>
        <v>0</v>
      </c>
      <c r="CO43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3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39" s="996">
        <f>IF(WWWW[[#This Row],[Location Type 1]]="Village",WWWW[[#This Row],[Access to safe drinking water for Village]],WWWW[[#This Row],[Access to safe drinking water for Camp]])</f>
        <v>1</v>
      </c>
      <c r="CR439" s="994">
        <f>WWWW[[#This Row],[%Equitable and continuous access to sufficient quantity of safe drinking water]]*WWWW[[#This Row],[Total PoP ]]</f>
        <v>768</v>
      </c>
      <c r="CS439" s="996">
        <f>IF((WWWW[[#This Row],['#_Constructed/Existing protected/fenced ponds]]*250)/WWWW[[#This Row],[Total PoP ]]&gt;1,1,(WWWW[[#This Row],['#_Constructed/Existing protected/fenced ponds]]*250)/WWWW[[#This Row],[Total PoP ]])</f>
        <v>0</v>
      </c>
      <c r="CT439" s="994">
        <f>WWWW[[#This Row],[% Access to unimproved water points]]*WWWW[[#This Row],[Total PoP ]]</f>
        <v>0</v>
      </c>
      <c r="CU43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3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768</v>
      </c>
      <c r="CW439" s="994">
        <f>WWWW[[#This Row],[HRP1]]/500</f>
        <v>1.536</v>
      </c>
      <c r="CX439" s="999">
        <f>1-WWWW[[#This Row],[% Equitable and continuous access to sufficient quantity of domestic water]]</f>
        <v>0</v>
      </c>
      <c r="CY439" s="994">
        <f>WWWW[[#This Row],[%equitable and continuous access to sufficient quantity of safe drinking and domestic water''s GAP]]*WWWW[[#This Row],[Total PoP ]]</f>
        <v>0</v>
      </c>
      <c r="CZ439" s="997">
        <f>IF(WWWW[[#This Row],[Total required water points]]-WWWW[[#This Row],['#Water points coverage]]&lt;0,0,WWWW[[#This Row],[Total required water points]]-WWWW[[#This Row],['#Water points coverage]])</f>
        <v>0.46399999999999997</v>
      </c>
      <c r="DA439" s="997">
        <f>ROUND(IF(WWWW[[#This Row],[Total PoP ]]&lt;500,1,WWWW[[#This Row],[Total PoP ]]/500),0)</f>
        <v>2</v>
      </c>
      <c r="DB439" s="997">
        <f>(WWWW[[#This Row],['#_Constructed latrines_by_WASHAgencies]]+WWWW[[#This Row],['#_Non Cluster partner latrines]])-WWWW[[#This Row],['#_Non-functional latrines]]</f>
        <v>23</v>
      </c>
      <c r="DC439" s="631">
        <f>WWWW[[#This Row],[HRP2]]/WWWW[[#This Row],[Total PoP ]]</f>
        <v>0.59895833333333337</v>
      </c>
      <c r="DD43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460</v>
      </c>
      <c r="DE43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460</v>
      </c>
      <c r="DF43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9" s="424">
        <f>IF(WWWW[[#This Row],['# of functional latrines in THF supported by WASH partners during the reporting period2]]="",0,WWWW[[#This Row],['# of functional latrines in THF supported by WASH partners during the reporting period2]]*50)</f>
        <v>0</v>
      </c>
      <c r="DH439" s="997">
        <f>ROUND(IF(WWWW[[#This Row],[Location Type 1]]="camp",WWWW[[#This Row],[Total PoP ]]/20,IF(WWWW[[#This Row],[Location Type 1]]="Temporary Location",WWWW[[#This Row],[Total PoP ]]/50,(WWWW[[#This Row],[Total PoP ]]/6))),0)</f>
        <v>38</v>
      </c>
      <c r="DI439" s="997">
        <f>IF(WWWW[[#This Row],[Total required Latrines]]-(WWWW[[#This Row],['#_Constructed latrines_by_WASHAgencies]]+WWWW[[#This Row],['#_Non Cluster partner latrines]])&lt;0,0,WWWW[[#This Row],[Total required Latrines]]-(WWWW[[#This Row],['#_Constructed latrines_by_WASHAgencies]]+WWWW[[#This Row],['#_Non Cluster partner latrines]]))</f>
        <v>15</v>
      </c>
      <c r="DJ439" s="999">
        <f>1-WWWW[[#This Row],[% people access to functioning Latrine]]</f>
        <v>0.40104166666666663</v>
      </c>
      <c r="DK439" s="998">
        <f>IF(OR(WWWW[[#This Row],['#_Non-functional latrines]]="",WWWW[[#This Row],['#_Non-functional latrines]]=0),0,WWWW[[#This Row],['#_Non-functional latrines]]/(WWWW[[#This Row],['#_Constructed latrines_by_WASHAgencies]]+WWWW[[#This Row],['#_Non Cluster partner latrines]]))</f>
        <v>0</v>
      </c>
      <c r="DL439" s="994">
        <f>IF(500*(WWWW[[#This Row],['#_male hygiene promoters]]+WWWW[[#This Row],['#_female hygiene promoters]])&gt;WWWW[[#This Row],[Total PoP ]],WWWW[[#This Row],[Total PoP ]],500*(WWWW[[#This Row],['#_male hygiene promoters]]+WWWW[[#This Row],['#_female hygiene promoters]]))</f>
        <v>0</v>
      </c>
      <c r="DM43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3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39" s="997">
        <f>IF(WWWW[[#This Row],['# People with access to soap]]&gt;WWWW[[#This Row],['# People with access to Sanity Pads]],WWWW[[#This Row],['# People with access to soap]],WWWW[[#This Row],['# People with access to Sanity Pads]])</f>
        <v>0</v>
      </c>
      <c r="DP439"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39" s="999">
        <f>IF(WWWW[[#This Row],[HRP3]]/WWWW[[#This Row],[Total PoP ]]&gt;1,1,WWWW[[#This Row],[HRP3]]/WWWW[[#This Row],[Total PoP ]])</f>
        <v>0</v>
      </c>
      <c r="DR439" s="998">
        <f>1-WWWW[[#This Row],[Hygiene Coverage%]]</f>
        <v>1</v>
      </c>
      <c r="DS439" s="996">
        <f>WWWW[[#This Row],['# people reached by regular dedicated hygiene promotion_5]]/WWWW[[#This Row],[Total PoP ]]</f>
        <v>0</v>
      </c>
      <c r="DT43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3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39" s="997">
        <f>WWWW[[#This Row],['#_Constructed/Existing hand washing stations]]-WWWW[[#This Row],['#_Non-Functional_hand_washing_stations]]</f>
        <v>6</v>
      </c>
      <c r="DW439" s="994">
        <f>IF(WWWW[[#This Row],['# Functional hand washing stations during reporting period]]*20&gt;WWWW[[#This Row],[Total HH]],WWWW[[#This Row],[Total HH]],WWWW[[#This Row],['# Functional hand washing stations during reporting period]]*20)</f>
        <v>120</v>
      </c>
      <c r="DX439" s="994">
        <f>IF(WWWW[[#This Row],[Is sufficient soap available for TLS? (Yes/No)]]="yes",WWWW[[#This Row],['#_Constructed/Existing hand washing stations at TLS/CFS/THF]],0)</f>
        <v>0</v>
      </c>
      <c r="DY439" s="428">
        <f>IF(WWWW[[#This Row],['# Functional hand washing stations during reporting period]]*100&gt;WWWW[[#This Row],[Total PoP ]],WWWW[[#This Row],[Total PoP ]],WWWW[[#This Row],['# Functional hand washing stations during reporting period]]*100)</f>
        <v>600</v>
      </c>
      <c r="DZ439" s="428" t="str">
        <f>IF(OR(WWWW[[#This Row],['#_students at TLS_CFS]]="",WWWW[[#This Row],['#_students at TLS_CFS]]=0),"No","Yes")</f>
        <v>No</v>
      </c>
      <c r="EA43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3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3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9" s="990" t="str">
        <f>VLOOKUP(WWWW[[#This Row],[Site Name]],SiteDB6[[Site Name]:[CCCM Management]],6,FALSE)</f>
        <v>Yes</v>
      </c>
      <c r="EF439" s="990" t="str">
        <f>VLOOKUP(WWWW[[#This Row],[Site Name]],SiteDB6[[Site Name]:[CCCM Focal Agency]],7,FALSE)</f>
        <v>Shalom</v>
      </c>
      <c r="EG439" s="990" t="str">
        <f>VLOOKUP(WWWW[[#This Row],[Site Name]],SiteDB6[[Site Name]:[Location Type 1]],9,FALSE)</f>
        <v>Camp</v>
      </c>
      <c r="EH439" s="990" t="str">
        <f>VLOOKUP(WWWW[[#This Row],[Site Name]],SiteDB6[[Site Name]:[Type of Accommodation]],10,FALSE)</f>
        <v>Camp</v>
      </c>
      <c r="EI439" s="990" t="str">
        <f>VLOOKUP(WWWW[[#This Row],[Site Name]],SiteDB6[[Site Name]:[Ethnic or GCA/NGCA]],11,FALSE)</f>
        <v>GCA</v>
      </c>
      <c r="EJ439" s="990">
        <f>VLOOKUP(WWWW[[#This Row],[Site Name]],SiteDB6[[Site Name]:[Lat]],12,FALSE)</f>
        <v>24.2631743589744</v>
      </c>
      <c r="EK439" s="990">
        <f>VLOOKUP(WWWW[[#This Row],[Site Name]],SiteDB6[[Site Name]:[Long]],13,FALSE)</f>
        <v>97.240183461538507</v>
      </c>
      <c r="EL439" s="990" t="str">
        <f>VLOOKUP(WWWW[[#This Row],[Site Name]],SiteDB6[[Site Name]:[Pcode]],3,FALSE)</f>
        <v>MMR001CMP049</v>
      </c>
      <c r="EM439" s="995" t="str">
        <f t="shared" si="8"/>
        <v>Covered</v>
      </c>
      <c r="EN439" s="995"/>
      <c r="EO439" s="990">
        <f>VLOOKUP(WWWW[[#This Row],[Site Name]],SiteDB6[[Site Name]:[Pop
(Kachin/Shan-CCCM as of July 2021)]],16,FALSE)</f>
        <v>134</v>
      </c>
      <c r="EP439" s="990">
        <f>VLOOKUP(WWWW[[#This Row],[Site Name]],SiteDB6[[Site Name]:[Pop
(Kachin/Shan-CCCM as of July 2021)]],17,FALSE)</f>
        <v>767</v>
      </c>
    </row>
    <row r="440" spans="1:146">
      <c r="A440" s="988" t="s">
        <v>2765</v>
      </c>
      <c r="B440" s="988" t="s">
        <v>276</v>
      </c>
      <c r="C440" s="989" t="s">
        <v>276</v>
      </c>
      <c r="D440" s="989" t="s">
        <v>3037</v>
      </c>
      <c r="E440" s="989" t="s">
        <v>37</v>
      </c>
      <c r="F440" s="989" t="s">
        <v>195</v>
      </c>
      <c r="G440" s="591" t="str">
        <f>VLOOKUP(WWWW[[#This Row],[Site Name]],SiteDB6[[Site Name]:[Location Type]],8,FALSE)</f>
        <v>Camp</v>
      </c>
      <c r="H440" s="989" t="s">
        <v>277</v>
      </c>
      <c r="I440" s="991">
        <v>252</v>
      </c>
      <c r="J440" s="991">
        <v>1224</v>
      </c>
      <c r="K440" s="992">
        <v>44652</v>
      </c>
      <c r="L440" s="993">
        <v>44895</v>
      </c>
      <c r="M440" s="991"/>
      <c r="N440" s="991"/>
      <c r="O440" s="991">
        <v>3</v>
      </c>
      <c r="P440" s="991"/>
      <c r="Q440" s="994" t="s">
        <v>41</v>
      </c>
      <c r="R440" s="991">
        <v>7</v>
      </c>
      <c r="S440" s="991">
        <v>5</v>
      </c>
      <c r="T440" s="448">
        <v>2</v>
      </c>
      <c r="U440" s="991"/>
      <c r="V440" s="991"/>
      <c r="W440" s="991">
        <v>8</v>
      </c>
      <c r="X440" s="991"/>
      <c r="Y440" s="991"/>
      <c r="Z440" s="991"/>
      <c r="AA440" s="991"/>
      <c r="AB440" s="991"/>
      <c r="AC440" s="991"/>
      <c r="AD440" s="991"/>
      <c r="AE440" s="991"/>
      <c r="AF440" s="991"/>
      <c r="AG440" s="991">
        <v>1</v>
      </c>
      <c r="AH440" s="991"/>
      <c r="AI440" s="991">
        <v>5</v>
      </c>
      <c r="AJ440" s="991">
        <v>5</v>
      </c>
      <c r="AK440" s="991">
        <v>21</v>
      </c>
      <c r="AL440" s="991">
        <v>21</v>
      </c>
      <c r="AM440" s="991"/>
      <c r="AN440" s="991"/>
      <c r="AO440" s="448"/>
      <c r="AP440" s="995"/>
      <c r="AQ440" s="991">
        <v>52</v>
      </c>
      <c r="AR440" s="991"/>
      <c r="AS440" s="996"/>
      <c r="AT440" s="991">
        <v>2</v>
      </c>
      <c r="AU440" s="991">
        <v>12</v>
      </c>
      <c r="AV440" s="991">
        <v>21</v>
      </c>
      <c r="AW440" s="991">
        <v>79.55</v>
      </c>
      <c r="AX440" s="991"/>
      <c r="AY440" s="990" t="s">
        <v>41</v>
      </c>
      <c r="AZ440" s="995" t="s">
        <v>137</v>
      </c>
      <c r="BA440" s="991"/>
      <c r="BB440" s="991">
        <v>2</v>
      </c>
      <c r="BC440" s="991"/>
      <c r="BD440" s="448"/>
      <c r="BE440" s="448">
        <v>9</v>
      </c>
      <c r="BF440" s="990"/>
      <c r="BG440" s="991">
        <v>12</v>
      </c>
      <c r="BH440" s="991"/>
      <c r="BI440" s="991">
        <v>1</v>
      </c>
      <c r="BJ440" s="991">
        <v>5</v>
      </c>
      <c r="BK440" s="991"/>
      <c r="BL440" s="991"/>
      <c r="BM440" s="991">
        <v>3</v>
      </c>
      <c r="BN440" s="991">
        <v>252</v>
      </c>
      <c r="BO440" s="991">
        <v>167</v>
      </c>
      <c r="BP440" s="990"/>
      <c r="BQ440" s="997"/>
      <c r="BR440" s="996"/>
      <c r="BS440" s="990"/>
      <c r="BT440" s="423"/>
      <c r="BU440" s="423"/>
      <c r="BV440" s="425"/>
      <c r="BW440" s="423"/>
      <c r="BX440" s="448"/>
      <c r="BY440" s="448"/>
      <c r="BZ440" s="448"/>
      <c r="CA440" s="448"/>
      <c r="CB440" s="448"/>
      <c r="CC440" s="777"/>
      <c r="CD440" s="448"/>
      <c r="CE440" s="998">
        <f>IFERROR(WWWW[[#This Row],['#_Water sources passed]]/WWWW[[#This Row],['#_Water sources tested for fecal coliform ]],"no test")</f>
        <v>1</v>
      </c>
      <c r="CF440" s="996">
        <f>IFERROR(WWWW[[#This Row],['#_Household passed]]/WWWW[[#This Row],['#_Household water samples tested for fecal coliform]],"no test")</f>
        <v>1</v>
      </c>
      <c r="CG440" s="997" t="str">
        <f>IF(AND(WWWW[[#This Row],[% of water sources passed]]="no test",WWWW[[#This Row],[% Household passed]]="no test"),"No Test","Tested")</f>
        <v>Tested</v>
      </c>
      <c r="CH440" s="997">
        <f>WWWW[[#This Row],['#_Constructed/existing protected hand dug well]]-WWWW[[#This Row],['#_Non-functional protected hand dug well]]</f>
        <v>2</v>
      </c>
      <c r="CI440" s="997">
        <f>(WWWW[[#This Row],['#_Constructed/Existing tube wells/boreholes/handpumps_WASH_agency]]+WWWW[[#This Row],['#_Non-Cluster partner water tube-wells/boreholes/handpumps]])-WWWW[[#This Row],['#_Non-functional tube wells/boreholes/handpumps]]</f>
        <v>8</v>
      </c>
      <c r="CJ440" s="997">
        <f>WWWW[[#This Row],['#_Constructed/Existingwater storage tank with gravity fed reticulation system]]-WWWW[[#This Row],['#_Non-functional storage tank gravity fed reticulation system]]</f>
        <v>0</v>
      </c>
      <c r="CK440" s="997">
        <f>(WWWW[[#This Row],['#_Water_Liters_supplied_by_Water boating or water trucking]]/90)/15</f>
        <v>0</v>
      </c>
      <c r="CL440" s="997">
        <f>WWWW[[#This Row],['#_Water_Liters_from_Constructed/Existing water distribution system from river or natural spring]]/90/15</f>
        <v>0</v>
      </c>
      <c r="CM440" s="424">
        <f>IF(WWWW[[#This Row],['#_of water points in TLS/CFS]]*500&gt;WWWW[[#This Row],[Total PoP ]],WWWW[[#This Row],[Total PoP ]],WWWW[[#This Row],['#_of water points in TLS/CFS]]*500)</f>
        <v>0</v>
      </c>
      <c r="CN440" s="424">
        <f>IF(WWWW[[#This Row],['#_of water points in THF]]*500&gt;WWWW[[#This Row],[Total PoP ]],WWWW[[#This Row],[Total PoP ]],WWWW[[#This Row],['#_of water points in THF]]*500)</f>
        <v>0</v>
      </c>
      <c r="CO44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4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40" s="996">
        <f>IF(WWWW[[#This Row],[Location Type 1]]="Village",WWWW[[#This Row],[Access to safe drinking water for Village]],WWWW[[#This Row],[Access to safe drinking water for Camp]])</f>
        <v>1</v>
      </c>
      <c r="CR440" s="994">
        <f>WWWW[[#This Row],[%Equitable and continuous access to sufficient quantity of safe drinking water]]*WWWW[[#This Row],[Total PoP ]]</f>
        <v>1224</v>
      </c>
      <c r="CS440" s="996">
        <f>IF((WWWW[[#This Row],['#_Constructed/Existing protected/fenced ponds]]*250)/WWWW[[#This Row],[Total PoP ]]&gt;1,1,(WWWW[[#This Row],['#_Constructed/Existing protected/fenced ponds]]*250)/WWWW[[#This Row],[Total PoP ]])</f>
        <v>0</v>
      </c>
      <c r="CT440" s="994">
        <f>WWWW[[#This Row],[% Access to unimproved water points]]*WWWW[[#This Row],[Total PoP ]]</f>
        <v>0</v>
      </c>
      <c r="CU44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4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1224</v>
      </c>
      <c r="CW440" s="994">
        <f>WWWW[[#This Row],[HRP1]]/500</f>
        <v>2.448</v>
      </c>
      <c r="CX440" s="999">
        <f>1-WWWW[[#This Row],[% Equitable and continuous access to sufficient quantity of domestic water]]</f>
        <v>0</v>
      </c>
      <c r="CY440" s="994">
        <f>WWWW[[#This Row],[%equitable and continuous access to sufficient quantity of safe drinking and domestic water''s GAP]]*WWWW[[#This Row],[Total PoP ]]</f>
        <v>0</v>
      </c>
      <c r="CZ440" s="997">
        <f>IF(WWWW[[#This Row],[Total required water points]]-WWWW[[#This Row],['#Water points coverage]]&lt;0,0,WWWW[[#This Row],[Total required water points]]-WWWW[[#This Row],['#Water points coverage]])</f>
        <v>0</v>
      </c>
      <c r="DA440" s="997">
        <f>ROUND(IF(WWWW[[#This Row],[Total PoP ]]&lt;500,1,WWWW[[#This Row],[Total PoP ]]/500),0)</f>
        <v>2</v>
      </c>
      <c r="DB440" s="997">
        <f>(WWWW[[#This Row],['#_Constructed latrines_by_WASHAgencies]]+WWWW[[#This Row],['#_Non Cluster partner latrines]])-WWWW[[#This Row],['#_Non-functional latrines]]</f>
        <v>50</v>
      </c>
      <c r="DC440" s="631">
        <f>WWWW[[#This Row],[HRP2]]/WWWW[[#This Row],[Total PoP ]]</f>
        <v>0.82434640522875813</v>
      </c>
      <c r="DD44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1009</v>
      </c>
      <c r="DE44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420</v>
      </c>
      <c r="DF44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40" s="424">
        <f>IF(WWWW[[#This Row],['# of functional latrines in THF supported by WASH partners during the reporting period2]]="",0,WWWW[[#This Row],['# of functional latrines in THF supported by WASH partners during the reporting period2]]*50)</f>
        <v>0</v>
      </c>
      <c r="DH440" s="997">
        <f>ROUND(IF(WWWW[[#This Row],[Location Type 1]]="camp",WWWW[[#This Row],[Total PoP ]]/20,IF(WWWW[[#This Row],[Location Type 1]]="Temporary Location",WWWW[[#This Row],[Total PoP ]]/50,(WWWW[[#This Row],[Total PoP ]]/6))),0)</f>
        <v>61</v>
      </c>
      <c r="DI440" s="997">
        <f>IF(WWWW[[#This Row],[Total required Latrines]]-(WWWW[[#This Row],['#_Constructed latrines_by_WASHAgencies]]+WWWW[[#This Row],['#_Non Cluster partner latrines]])&lt;0,0,WWWW[[#This Row],[Total required Latrines]]-(WWWW[[#This Row],['#_Constructed latrines_by_WASHAgencies]]+WWWW[[#This Row],['#_Non Cluster partner latrines]]))</f>
        <v>9</v>
      </c>
      <c r="DJ440" s="999">
        <f>1-WWWW[[#This Row],[% people access to functioning Latrine]]</f>
        <v>0.17565359477124187</v>
      </c>
      <c r="DK440" s="998">
        <f>IF(OR(WWWW[[#This Row],['#_Non-functional latrines]]="",WWWW[[#This Row],['#_Non-functional latrines]]=0),0,WWWW[[#This Row],['#_Non-functional latrines]]/(WWWW[[#This Row],['#_Constructed latrines_by_WASHAgencies]]+WWWW[[#This Row],['#_Non Cluster partner latrines]]))</f>
        <v>3.8461538461538464E-2</v>
      </c>
      <c r="DL440" s="994">
        <f>IF(500*(WWWW[[#This Row],['#_male hygiene promoters]]+WWWW[[#This Row],['#_female hygiene promoters]])&gt;WWWW[[#This Row],[Total PoP ]],WWWW[[#This Row],[Total PoP ]],500*(WWWW[[#This Row],['#_male hygiene promoters]]+WWWW[[#This Row],['#_female hygiene promoters]]))</f>
        <v>1224</v>
      </c>
      <c r="DM44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1224</v>
      </c>
      <c r="DN44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167</v>
      </c>
      <c r="DO440" s="997">
        <f>IF(WWWW[[#This Row],['# People with access to soap]]&gt;WWWW[[#This Row],['# People with access to Sanity Pads]],WWWW[[#This Row],['# People with access to soap]],WWWW[[#This Row],['# People with access to Sanity Pads]])</f>
        <v>1224</v>
      </c>
      <c r="DP440" s="997">
        <f>IF(WWWW[[#This Row],['# people reached by regular dedicated hygiene promotion_5]]&gt;WWWW[[#This Row],['# People received regular supply of hygiene items_6]],WWWW[[#This Row],['# people reached by regular dedicated hygiene promotion_5]],WWWW[[#This Row],['# People received regular supply of hygiene items_6]])</f>
        <v>1224</v>
      </c>
      <c r="DQ440" s="999">
        <f>IF(WWWW[[#This Row],[HRP3]]/WWWW[[#This Row],[Total PoP ]]&gt;1,1,WWWW[[#This Row],[HRP3]]/WWWW[[#This Row],[Total PoP ]])</f>
        <v>1</v>
      </c>
      <c r="DR440" s="998">
        <f>1-WWWW[[#This Row],[Hygiene Coverage%]]</f>
        <v>0</v>
      </c>
      <c r="DS440" s="996">
        <f>WWWW[[#This Row],['# people reached by regular dedicated hygiene promotion_5]]/WWWW[[#This Row],[Total PoP ]]</f>
        <v>1</v>
      </c>
      <c r="DT44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4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0.66269841269841268</v>
      </c>
      <c r="DV440" s="997">
        <f>WWWW[[#This Row],['#_Constructed/Existing hand washing stations]]-WWWW[[#This Row],['#_Non-Functional_hand_washing_stations]]</f>
        <v>12</v>
      </c>
      <c r="DW440" s="994">
        <f>IF(WWWW[[#This Row],['# Functional hand washing stations during reporting period]]*20&gt;WWWW[[#This Row],[Total HH]],WWWW[[#This Row],[Total HH]],WWWW[[#This Row],['# Functional hand washing stations during reporting period]]*20)</f>
        <v>240</v>
      </c>
      <c r="DX440" s="994">
        <f>IF(WWWW[[#This Row],[Is sufficient soap available for TLS? (Yes/No)]]="yes",WWWW[[#This Row],['#_Constructed/Existing hand washing stations at TLS/CFS/THF]],0)</f>
        <v>0</v>
      </c>
      <c r="DY440" s="428">
        <f>IF(WWWW[[#This Row],['# Functional hand washing stations during reporting period]]*100&gt;WWWW[[#This Row],[Total PoP ]],WWWW[[#This Row],[Total PoP ]],WWWW[[#This Row],['# Functional hand washing stations during reporting period]]*100)</f>
        <v>1200</v>
      </c>
      <c r="DZ440" s="428" t="str">
        <f>IF(OR(WWWW[[#This Row],['#_students at TLS_CFS]]="",WWWW[[#This Row],['#_students at TLS_CFS]]=0),"No","Yes")</f>
        <v>No</v>
      </c>
      <c r="EA44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4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0" s="990" t="str">
        <f>VLOOKUP(WWWW[[#This Row],[Site Name]],SiteDB6[[Site Name]:[CCCM Management]],6,FALSE)</f>
        <v>Yes</v>
      </c>
      <c r="EF440" s="990" t="str">
        <f>VLOOKUP(WWWW[[#This Row],[Site Name]],SiteDB6[[Site Name]:[CCCM Focal Agency]],7,FALSE)</f>
        <v>KMSS-BMO</v>
      </c>
      <c r="EG440" s="990" t="str">
        <f>VLOOKUP(WWWW[[#This Row],[Site Name]],SiteDB6[[Site Name]:[Location Type 1]],9,FALSE)</f>
        <v>Camp</v>
      </c>
      <c r="EH440" s="990" t="str">
        <f>VLOOKUP(WWWW[[#This Row],[Site Name]],SiteDB6[[Site Name]:[Type of Accommodation]],10,FALSE)</f>
        <v>Camp</v>
      </c>
      <c r="EI440" s="990" t="str">
        <f>VLOOKUP(WWWW[[#This Row],[Site Name]],SiteDB6[[Site Name]:[Ethnic or GCA/NGCA]],11,FALSE)</f>
        <v>GCA</v>
      </c>
      <c r="EJ440" s="990">
        <f>VLOOKUP(WWWW[[#This Row],[Site Name]],SiteDB6[[Site Name]:[Lat]],12,FALSE)</f>
        <v>24.260719999999999</v>
      </c>
      <c r="EK440" s="990">
        <f>VLOOKUP(WWWW[[#This Row],[Site Name]],SiteDB6[[Site Name]:[Long]],13,FALSE)</f>
        <v>97.238829999999993</v>
      </c>
      <c r="EL440" s="990" t="str">
        <f>VLOOKUP(WWWW[[#This Row],[Site Name]],SiteDB6[[Site Name]:[Pcode]],3,FALSE)</f>
        <v>MMR001CMP050</v>
      </c>
      <c r="EM440" s="995" t="str">
        <f t="shared" si="8"/>
        <v>Covered</v>
      </c>
      <c r="EN440" s="995"/>
      <c r="EO440" s="990">
        <f>VLOOKUP(WWWW[[#This Row],[Site Name]],SiteDB6[[Site Name]:[Pop
(Kachin/Shan-CCCM as of July 2021)]],16,FALSE)</f>
        <v>222</v>
      </c>
      <c r="EP440" s="990">
        <f>VLOOKUP(WWWW[[#This Row],[Site Name]],SiteDB6[[Site Name]:[Pop
(Kachin/Shan-CCCM as of July 2021)]],17,FALSE)</f>
        <v>1055</v>
      </c>
    </row>
    <row r="441" spans="1:146">
      <c r="A441" s="988" t="s">
        <v>2765</v>
      </c>
      <c r="B441" s="988" t="s">
        <v>276</v>
      </c>
      <c r="C441" s="989" t="s">
        <v>276</v>
      </c>
      <c r="D441" s="989" t="s">
        <v>3037</v>
      </c>
      <c r="E441" s="989" t="s">
        <v>37</v>
      </c>
      <c r="F441" s="989" t="s">
        <v>195</v>
      </c>
      <c r="G441" s="591" t="str">
        <f>VLOOKUP(WWWW[[#This Row],[Site Name]],SiteDB6[[Site Name]:[Location Type]],8,FALSE)</f>
        <v>Camp</v>
      </c>
      <c r="H441" s="989" t="s">
        <v>198</v>
      </c>
      <c r="I441" s="991">
        <v>38</v>
      </c>
      <c r="J441" s="991">
        <v>226</v>
      </c>
      <c r="K441" s="992">
        <v>44713</v>
      </c>
      <c r="L441" s="993">
        <v>44895</v>
      </c>
      <c r="M441" s="991"/>
      <c r="N441" s="991"/>
      <c r="O441" s="991"/>
      <c r="P441" s="991"/>
      <c r="Q441" s="994" t="s">
        <v>41</v>
      </c>
      <c r="R441" s="991"/>
      <c r="S441" s="991">
        <v>5</v>
      </c>
      <c r="T441" s="448"/>
      <c r="U441" s="991"/>
      <c r="V441" s="991"/>
      <c r="W441" s="991">
        <v>2</v>
      </c>
      <c r="X441" s="991"/>
      <c r="Y441" s="991"/>
      <c r="Z441" s="991">
        <v>1</v>
      </c>
      <c r="AA441" s="991"/>
      <c r="AB441" s="991"/>
      <c r="AC441" s="991"/>
      <c r="AD441" s="991"/>
      <c r="AE441" s="991"/>
      <c r="AF441" s="991"/>
      <c r="AG441" s="991">
        <v>1</v>
      </c>
      <c r="AH441" s="991"/>
      <c r="AI441" s="991">
        <v>2</v>
      </c>
      <c r="AJ441" s="991">
        <v>2</v>
      </c>
      <c r="AK441" s="991">
        <v>6</v>
      </c>
      <c r="AL441" s="991">
        <v>6</v>
      </c>
      <c r="AM441" s="991"/>
      <c r="AN441" s="991"/>
      <c r="AO441" s="448"/>
      <c r="AP441" s="995"/>
      <c r="AQ441" s="991">
        <v>11</v>
      </c>
      <c r="AR441" s="991"/>
      <c r="AS441" s="996"/>
      <c r="AT441" s="991"/>
      <c r="AU441" s="991">
        <v>3</v>
      </c>
      <c r="AV441" s="991">
        <v>3</v>
      </c>
      <c r="AW441" s="991">
        <v>22.18</v>
      </c>
      <c r="AX441" s="991"/>
      <c r="AY441" s="990" t="s">
        <v>41</v>
      </c>
      <c r="AZ441" s="995" t="s">
        <v>137</v>
      </c>
      <c r="BA441" s="991"/>
      <c r="BB441" s="991"/>
      <c r="BC441" s="991"/>
      <c r="BD441" s="448"/>
      <c r="BE441" s="448"/>
      <c r="BF441" s="990"/>
      <c r="BG441" s="991"/>
      <c r="BH441" s="991"/>
      <c r="BI441" s="991"/>
      <c r="BJ441" s="991">
        <v>2</v>
      </c>
      <c r="BK441" s="991"/>
      <c r="BL441" s="991"/>
      <c r="BM441" s="991"/>
      <c r="BN441" s="991"/>
      <c r="BO441" s="991">
        <v>75</v>
      </c>
      <c r="BP441" s="990"/>
      <c r="BQ441" s="997"/>
      <c r="BR441" s="996"/>
      <c r="BS441" s="990"/>
      <c r="BT441" s="423"/>
      <c r="BU441" s="423"/>
      <c r="BV441" s="425"/>
      <c r="BW441" s="423"/>
      <c r="BX441" s="448"/>
      <c r="BY441" s="448"/>
      <c r="BZ441" s="448"/>
      <c r="CA441" s="448"/>
      <c r="CB441" s="448"/>
      <c r="CC441" s="777"/>
      <c r="CD441" s="448"/>
      <c r="CE441" s="998">
        <f>IFERROR(WWWW[[#This Row],['#_Water sources passed]]/WWWW[[#This Row],['#_Water sources tested for fecal coliform ]],"no test")</f>
        <v>1</v>
      </c>
      <c r="CF441" s="996">
        <f>IFERROR(WWWW[[#This Row],['#_Household passed]]/WWWW[[#This Row],['#_Household water samples tested for fecal coliform]],"no test")</f>
        <v>1</v>
      </c>
      <c r="CG441" s="997" t="str">
        <f>IF(AND(WWWW[[#This Row],[% of water sources passed]]="no test",WWWW[[#This Row],[% Household passed]]="no test"),"No Test","Tested")</f>
        <v>Tested</v>
      </c>
      <c r="CH441" s="997">
        <f>WWWW[[#This Row],['#_Constructed/existing protected hand dug well]]-WWWW[[#This Row],['#_Non-functional protected hand dug well]]</f>
        <v>0</v>
      </c>
      <c r="CI441" s="997">
        <f>(WWWW[[#This Row],['#_Constructed/Existing tube wells/boreholes/handpumps_WASH_agency]]+WWWW[[#This Row],['#_Non-Cluster partner water tube-wells/boreholes/handpumps]])-WWWW[[#This Row],['#_Non-functional tube wells/boreholes/handpumps]]</f>
        <v>2</v>
      </c>
      <c r="CJ441" s="997">
        <f>WWWW[[#This Row],['#_Constructed/Existingwater storage tank with gravity fed reticulation system]]-WWWW[[#This Row],['#_Non-functional storage tank gravity fed reticulation system]]</f>
        <v>0</v>
      </c>
      <c r="CK441" s="997">
        <f>(WWWW[[#This Row],['#_Water_Liters_supplied_by_Water boating or water trucking]]/90)/15</f>
        <v>0</v>
      </c>
      <c r="CL441" s="997">
        <f>WWWW[[#This Row],['#_Water_Liters_from_Constructed/Existing water distribution system from river or natural spring]]/90/15</f>
        <v>0</v>
      </c>
      <c r="CM441" s="424">
        <f>IF(WWWW[[#This Row],['#_of water points in TLS/CFS]]*500&gt;WWWW[[#This Row],[Total PoP ]],WWWW[[#This Row],[Total PoP ]],WWWW[[#This Row],['#_of water points in TLS/CFS]]*500)</f>
        <v>0</v>
      </c>
      <c r="CN441" s="424">
        <f>IF(WWWW[[#This Row],['#_of water points in THF]]*500&gt;WWWW[[#This Row],[Total PoP ]],WWWW[[#This Row],[Total PoP ]],WWWW[[#This Row],['#_of water points in THF]]*500)</f>
        <v>0</v>
      </c>
      <c r="CO44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4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41" s="996">
        <f>IF(WWWW[[#This Row],[Location Type 1]]="Village",WWWW[[#This Row],[Access to safe drinking water for Village]],WWWW[[#This Row],[Access to safe drinking water for Camp]])</f>
        <v>1</v>
      </c>
      <c r="CR441" s="994">
        <f>WWWW[[#This Row],[%Equitable and continuous access to sufficient quantity of safe drinking water]]*WWWW[[#This Row],[Total PoP ]]</f>
        <v>226</v>
      </c>
      <c r="CS441" s="996">
        <f>IF((WWWW[[#This Row],['#_Constructed/Existing protected/fenced ponds]]*250)/WWWW[[#This Row],[Total PoP ]]&gt;1,1,(WWWW[[#This Row],['#_Constructed/Existing protected/fenced ponds]]*250)/WWWW[[#This Row],[Total PoP ]])</f>
        <v>0</v>
      </c>
      <c r="CT441" s="994">
        <f>WWWW[[#This Row],[% Access to unimproved water points]]*WWWW[[#This Row],[Total PoP ]]</f>
        <v>0</v>
      </c>
      <c r="CU44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4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226</v>
      </c>
      <c r="CW441" s="994">
        <f>WWWW[[#This Row],[HRP1]]/500</f>
        <v>0.45200000000000001</v>
      </c>
      <c r="CX441" s="999">
        <f>1-WWWW[[#This Row],[% Equitable and continuous access to sufficient quantity of domestic water]]</f>
        <v>0</v>
      </c>
      <c r="CY441" s="994">
        <f>WWWW[[#This Row],[%equitable and continuous access to sufficient quantity of safe drinking and domestic water''s GAP]]*WWWW[[#This Row],[Total PoP ]]</f>
        <v>0</v>
      </c>
      <c r="CZ441" s="997">
        <f>IF(WWWW[[#This Row],[Total required water points]]-WWWW[[#This Row],['#Water points coverage]]&lt;0,0,WWWW[[#This Row],[Total required water points]]-WWWW[[#This Row],['#Water points coverage]])</f>
        <v>0.54800000000000004</v>
      </c>
      <c r="DA441" s="997">
        <f>ROUND(IF(WWWW[[#This Row],[Total PoP ]]&lt;500,1,WWWW[[#This Row],[Total PoP ]]/500),0)</f>
        <v>1</v>
      </c>
      <c r="DB441" s="997">
        <f>(WWWW[[#This Row],['#_Constructed latrines_by_WASHAgencies]]+WWWW[[#This Row],['#_Non Cluster partner latrines]])-WWWW[[#This Row],['#_Non-functional latrines]]</f>
        <v>11</v>
      </c>
      <c r="DC441" s="631">
        <f>WWWW[[#This Row],[HRP2]]/WWWW[[#This Row],[Total PoP ]]</f>
        <v>0.97345132743362828</v>
      </c>
      <c r="DD44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44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44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41" s="424">
        <f>IF(WWWW[[#This Row],['# of functional latrines in THF supported by WASH partners during the reporting period2]]="",0,WWWW[[#This Row],['# of functional latrines in THF supported by WASH partners during the reporting period2]]*50)</f>
        <v>0</v>
      </c>
      <c r="DH441" s="997">
        <f>ROUND(IF(WWWW[[#This Row],[Location Type 1]]="camp",WWWW[[#This Row],[Total PoP ]]/20,IF(WWWW[[#This Row],[Location Type 1]]="Temporary Location",WWWW[[#This Row],[Total PoP ]]/50,(WWWW[[#This Row],[Total PoP ]]/6))),0)</f>
        <v>11</v>
      </c>
      <c r="DI441" s="997">
        <f>IF(WWWW[[#This Row],[Total required Latrines]]-(WWWW[[#This Row],['#_Constructed latrines_by_WASHAgencies]]+WWWW[[#This Row],['#_Non Cluster partner latrines]])&lt;0,0,WWWW[[#This Row],[Total required Latrines]]-(WWWW[[#This Row],['#_Constructed latrines_by_WASHAgencies]]+WWWW[[#This Row],['#_Non Cluster partner latrines]]))</f>
        <v>0</v>
      </c>
      <c r="DJ441" s="999">
        <f>1-WWWW[[#This Row],[% people access to functioning Latrine]]</f>
        <v>2.6548672566371723E-2</v>
      </c>
      <c r="DK441" s="998">
        <f>IF(OR(WWWW[[#This Row],['#_Non-functional latrines]]="",WWWW[[#This Row],['#_Non-functional latrines]]=0),0,WWWW[[#This Row],['#_Non-functional latrines]]/(WWWW[[#This Row],['#_Constructed latrines_by_WASHAgencies]]+WWWW[[#This Row],['#_Non Cluster partner latrines]]))</f>
        <v>0</v>
      </c>
      <c r="DL441" s="994">
        <f>IF(500*(WWWW[[#This Row],['#_male hygiene promoters]]+WWWW[[#This Row],['#_female hygiene promoters]])&gt;WWWW[[#This Row],[Total PoP ]],WWWW[[#This Row],[Total PoP ]],500*(WWWW[[#This Row],['#_male hygiene promoters]]+WWWW[[#This Row],['#_female hygiene promoters]]))</f>
        <v>0</v>
      </c>
      <c r="DM44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4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75</v>
      </c>
      <c r="DO441" s="997">
        <f>IF(WWWW[[#This Row],['# People with access to soap]]&gt;WWWW[[#This Row],['# People with access to Sanity Pads]],WWWW[[#This Row],['# People with access to soap]],WWWW[[#This Row],['# People with access to Sanity Pads]])</f>
        <v>75</v>
      </c>
      <c r="DP441" s="997">
        <f>IF(WWWW[[#This Row],['# people reached by regular dedicated hygiene promotion_5]]&gt;WWWW[[#This Row],['# People received regular supply of hygiene items_6]],WWWW[[#This Row],['# people reached by regular dedicated hygiene promotion_5]],WWWW[[#This Row],['# People received regular supply of hygiene items_6]])</f>
        <v>75</v>
      </c>
      <c r="DQ441" s="999">
        <f>IF(WWWW[[#This Row],[HRP3]]/WWWW[[#This Row],[Total PoP ]]&gt;1,1,WWWW[[#This Row],[HRP3]]/WWWW[[#This Row],[Total PoP ]])</f>
        <v>0.33185840707964603</v>
      </c>
      <c r="DR441" s="998">
        <f>1-WWWW[[#This Row],[Hygiene Coverage%]]</f>
        <v>0.66814159292035402</v>
      </c>
      <c r="DS441" s="996">
        <f>WWWW[[#This Row],['# people reached by regular dedicated hygiene promotion_5]]/WWWW[[#This Row],[Total PoP ]]</f>
        <v>0</v>
      </c>
      <c r="DT44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4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41" s="997">
        <f>WWWW[[#This Row],['#_Constructed/Existing hand washing stations]]-WWWW[[#This Row],['#_Non-Functional_hand_washing_stations]]</f>
        <v>0</v>
      </c>
      <c r="DW441" s="994">
        <f>IF(WWWW[[#This Row],['# Functional hand washing stations during reporting period]]*20&gt;WWWW[[#This Row],[Total HH]],WWWW[[#This Row],[Total HH]],WWWW[[#This Row],['# Functional hand washing stations during reporting period]]*20)</f>
        <v>0</v>
      </c>
      <c r="DX441" s="994">
        <f>IF(WWWW[[#This Row],[Is sufficient soap available for TLS? (Yes/No)]]="yes",WWWW[[#This Row],['#_Constructed/Existing hand washing stations at TLS/CFS/THF]],0)</f>
        <v>0</v>
      </c>
      <c r="DY441" s="428">
        <f>IF(WWWW[[#This Row],['# Functional hand washing stations during reporting period]]*100&gt;WWWW[[#This Row],[Total PoP ]],WWWW[[#This Row],[Total PoP ]],WWWW[[#This Row],['# Functional hand washing stations during reporting period]]*100)</f>
        <v>0</v>
      </c>
      <c r="DZ441" s="428" t="str">
        <f>IF(OR(WWWW[[#This Row],['#_students at TLS_CFS]]="",WWWW[[#This Row],['#_students at TLS_CFS]]=0),"No","Yes")</f>
        <v>No</v>
      </c>
      <c r="EA44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4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1" s="990" t="str">
        <f>VLOOKUP(WWWW[[#This Row],[Site Name]],SiteDB6[[Site Name]:[CCCM Management]],6,FALSE)</f>
        <v>Yes</v>
      </c>
      <c r="EF441" s="990" t="str">
        <f>VLOOKUP(WWWW[[#This Row],[Site Name]],SiteDB6[[Site Name]:[CCCM Focal Agency]],7,FALSE)</f>
        <v>KBC-BMO</v>
      </c>
      <c r="EG441" s="990" t="str">
        <f>VLOOKUP(WWWW[[#This Row],[Site Name]],SiteDB6[[Site Name]:[Location Type 1]],9,FALSE)</f>
        <v>Camp</v>
      </c>
      <c r="EH441" s="990" t="str">
        <f>VLOOKUP(WWWW[[#This Row],[Site Name]],SiteDB6[[Site Name]:[Type of Accommodation]],10,FALSE)</f>
        <v>Camp</v>
      </c>
      <c r="EI441" s="990" t="str">
        <f>VLOOKUP(WWWW[[#This Row],[Site Name]],SiteDB6[[Site Name]:[Ethnic or GCA/NGCA]],11,FALSE)</f>
        <v>GCA</v>
      </c>
      <c r="EJ441" s="990">
        <f>VLOOKUP(WWWW[[#This Row],[Site Name]],SiteDB6[[Site Name]:[Lat]],12,FALSE)</f>
        <v>24.24766</v>
      </c>
      <c r="EK441" s="990">
        <f>VLOOKUP(WWWW[[#This Row],[Site Name]],SiteDB6[[Site Name]:[Long]],13,FALSE)</f>
        <v>97.236919999999998</v>
      </c>
      <c r="EL441" s="990" t="str">
        <f>VLOOKUP(WWWW[[#This Row],[Site Name]],SiteDB6[[Site Name]:[Pcode]],3,FALSE)</f>
        <v>MMR001CMP052</v>
      </c>
      <c r="EM441" s="995" t="str">
        <f t="shared" si="8"/>
        <v>Covered</v>
      </c>
      <c r="EN441" s="995"/>
      <c r="EO441" s="990">
        <f>VLOOKUP(WWWW[[#This Row],[Site Name]],SiteDB6[[Site Name]:[Pop
(Kachin/Shan-CCCM as of July 2021)]],16,FALSE)</f>
        <v>37</v>
      </c>
      <c r="EP441" s="990">
        <f>VLOOKUP(WWWW[[#This Row],[Site Name]],SiteDB6[[Site Name]:[Pop
(Kachin/Shan-CCCM as of July 2021)]],17,FALSE)</f>
        <v>226</v>
      </c>
    </row>
    <row r="442" spans="1:146">
      <c r="A442" s="988" t="s">
        <v>2765</v>
      </c>
      <c r="B442" s="988" t="s">
        <v>276</v>
      </c>
      <c r="C442" s="989" t="s">
        <v>276</v>
      </c>
      <c r="D442" s="989" t="s">
        <v>3037</v>
      </c>
      <c r="E442" s="989" t="s">
        <v>37</v>
      </c>
      <c r="F442" s="989" t="s">
        <v>205</v>
      </c>
      <c r="G442" s="591" t="str">
        <f>VLOOKUP(WWWW[[#This Row],[Site Name]],SiteDB6[[Site Name]:[Location Type]],8,FALSE)</f>
        <v>Camp</v>
      </c>
      <c r="H442" s="989" t="s">
        <v>213</v>
      </c>
      <c r="I442" s="991">
        <v>86</v>
      </c>
      <c r="J442" s="991">
        <v>424</v>
      </c>
      <c r="K442" s="992">
        <v>44713</v>
      </c>
      <c r="L442" s="993">
        <v>44895</v>
      </c>
      <c r="M442" s="991"/>
      <c r="N442" s="991"/>
      <c r="O442" s="991"/>
      <c r="P442" s="991"/>
      <c r="Q442" s="994" t="s">
        <v>41</v>
      </c>
      <c r="R442" s="991">
        <v>2</v>
      </c>
      <c r="S442" s="991">
        <v>5</v>
      </c>
      <c r="T442" s="448">
        <v>2</v>
      </c>
      <c r="U442" s="991"/>
      <c r="V442" s="991"/>
      <c r="W442" s="991"/>
      <c r="X442" s="991"/>
      <c r="Y442" s="991"/>
      <c r="Z442" s="991"/>
      <c r="AA442" s="991"/>
      <c r="AB442" s="991"/>
      <c r="AC442" s="991"/>
      <c r="AD442" s="991"/>
      <c r="AE442" s="991"/>
      <c r="AF442" s="991"/>
      <c r="AG442" s="991">
        <v>1</v>
      </c>
      <c r="AH442" s="991"/>
      <c r="AI442" s="991">
        <v>1</v>
      </c>
      <c r="AJ442" s="991">
        <v>1</v>
      </c>
      <c r="AK442" s="991">
        <v>6</v>
      </c>
      <c r="AL442" s="991">
        <v>5</v>
      </c>
      <c r="AM442" s="991"/>
      <c r="AN442" s="991"/>
      <c r="AO442" s="448"/>
      <c r="AP442" s="995"/>
      <c r="AQ442" s="991">
        <v>6</v>
      </c>
      <c r="AR442" s="991"/>
      <c r="AS442" s="996"/>
      <c r="AT442" s="991"/>
      <c r="AU442" s="991"/>
      <c r="AV442" s="991">
        <v>6</v>
      </c>
      <c r="AW442" s="991">
        <v>5</v>
      </c>
      <c r="AX442" s="991"/>
      <c r="AY442" s="990" t="s">
        <v>41</v>
      </c>
      <c r="AZ442" s="995" t="s">
        <v>137</v>
      </c>
      <c r="BA442" s="991"/>
      <c r="BB442" s="991"/>
      <c r="BC442" s="991"/>
      <c r="BD442" s="448"/>
      <c r="BE442" s="448"/>
      <c r="BF442" s="990"/>
      <c r="BG442" s="991"/>
      <c r="BH442" s="991"/>
      <c r="BI442" s="991"/>
      <c r="BJ442" s="991">
        <v>1</v>
      </c>
      <c r="BK442" s="991"/>
      <c r="BL442" s="991"/>
      <c r="BM442" s="991"/>
      <c r="BN442" s="991"/>
      <c r="BO442" s="991"/>
      <c r="BP442" s="990"/>
      <c r="BQ442" s="997"/>
      <c r="BR442" s="996"/>
      <c r="BS442" s="990"/>
      <c r="BT442" s="423"/>
      <c r="BU442" s="423"/>
      <c r="BV442" s="425"/>
      <c r="BW442" s="423"/>
      <c r="BX442" s="448"/>
      <c r="BY442" s="448"/>
      <c r="BZ442" s="448"/>
      <c r="CA442" s="448"/>
      <c r="CB442" s="448"/>
      <c r="CC442" s="777"/>
      <c r="CD442" s="448"/>
      <c r="CE442" s="998">
        <f>IFERROR(WWWW[[#This Row],['#_Water sources passed]]/WWWW[[#This Row],['#_Water sources tested for fecal coliform ]],"no test")</f>
        <v>1</v>
      </c>
      <c r="CF442" s="996">
        <f>IFERROR(WWWW[[#This Row],['#_Household passed]]/WWWW[[#This Row],['#_Household water samples tested for fecal coliform]],"no test")</f>
        <v>0.83333333333333337</v>
      </c>
      <c r="CG442" s="997" t="str">
        <f>IF(AND(WWWW[[#This Row],[% of water sources passed]]="no test",WWWW[[#This Row],[% Household passed]]="no test"),"No Test","Tested")</f>
        <v>Tested</v>
      </c>
      <c r="CH442" s="997">
        <f>WWWW[[#This Row],['#_Constructed/existing protected hand dug well]]-WWWW[[#This Row],['#_Non-functional protected hand dug well]]</f>
        <v>2</v>
      </c>
      <c r="CI442" s="997">
        <f>(WWWW[[#This Row],['#_Constructed/Existing tube wells/boreholes/handpumps_WASH_agency]]+WWWW[[#This Row],['#_Non-Cluster partner water tube-wells/boreholes/handpumps]])-WWWW[[#This Row],['#_Non-functional tube wells/boreholes/handpumps]]</f>
        <v>0</v>
      </c>
      <c r="CJ442" s="997">
        <f>WWWW[[#This Row],['#_Constructed/Existingwater storage tank with gravity fed reticulation system]]-WWWW[[#This Row],['#_Non-functional storage tank gravity fed reticulation system]]</f>
        <v>0</v>
      </c>
      <c r="CK442" s="997">
        <f>(WWWW[[#This Row],['#_Water_Liters_supplied_by_Water boating or water trucking]]/90)/15</f>
        <v>0</v>
      </c>
      <c r="CL442" s="997">
        <f>WWWW[[#This Row],['#_Water_Liters_from_Constructed/Existing water distribution system from river or natural spring]]/90/15</f>
        <v>0</v>
      </c>
      <c r="CM442" s="424">
        <f>IF(WWWW[[#This Row],['#_of water points in TLS/CFS]]*500&gt;WWWW[[#This Row],[Total PoP ]],WWWW[[#This Row],[Total PoP ]],WWWW[[#This Row],['#_of water points in TLS/CFS]]*500)</f>
        <v>0</v>
      </c>
      <c r="CN442" s="424">
        <f>IF(WWWW[[#This Row],['#_of water points in THF]]*500&gt;WWWW[[#This Row],[Total PoP ]],WWWW[[#This Row],[Total PoP ]],WWWW[[#This Row],['#_of water points in THF]]*500)</f>
        <v>0</v>
      </c>
      <c r="CO44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4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42" s="996">
        <f>IF(WWWW[[#This Row],[Location Type 1]]="Village",WWWW[[#This Row],[Access to safe drinking water for Village]],WWWW[[#This Row],[Access to safe drinking water for Camp]])</f>
        <v>1</v>
      </c>
      <c r="CR442" s="994">
        <f>WWWW[[#This Row],[%Equitable and continuous access to sufficient quantity of safe drinking water]]*WWWW[[#This Row],[Total PoP ]]</f>
        <v>424</v>
      </c>
      <c r="CS442" s="996">
        <f>IF((WWWW[[#This Row],['#_Constructed/Existing protected/fenced ponds]]*250)/WWWW[[#This Row],[Total PoP ]]&gt;1,1,(WWWW[[#This Row],['#_Constructed/Existing protected/fenced ponds]]*250)/WWWW[[#This Row],[Total PoP ]])</f>
        <v>0</v>
      </c>
      <c r="CT442" s="994">
        <f>WWWW[[#This Row],[% Access to unimproved water points]]*WWWW[[#This Row],[Total PoP ]]</f>
        <v>0</v>
      </c>
      <c r="CU44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4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W442" s="994">
        <f>WWWW[[#This Row],[HRP1]]/500</f>
        <v>0.84799999999999998</v>
      </c>
      <c r="CX442" s="999">
        <f>1-WWWW[[#This Row],[% Equitable and continuous access to sufficient quantity of domestic water]]</f>
        <v>0</v>
      </c>
      <c r="CY442" s="994">
        <f>WWWW[[#This Row],[%equitable and continuous access to sufficient quantity of safe drinking and domestic water''s GAP]]*WWWW[[#This Row],[Total PoP ]]</f>
        <v>0</v>
      </c>
      <c r="CZ442" s="997">
        <f>IF(WWWW[[#This Row],[Total required water points]]-WWWW[[#This Row],['#Water points coverage]]&lt;0,0,WWWW[[#This Row],[Total required water points]]-WWWW[[#This Row],['#Water points coverage]])</f>
        <v>0.15200000000000002</v>
      </c>
      <c r="DA442" s="997">
        <f>ROUND(IF(WWWW[[#This Row],[Total PoP ]]&lt;500,1,WWWW[[#This Row],[Total PoP ]]/500),0)</f>
        <v>1</v>
      </c>
      <c r="DB442" s="997">
        <f>(WWWW[[#This Row],['#_Constructed latrines_by_WASHAgencies]]+WWWW[[#This Row],['#_Non Cluster partner latrines]])-WWWW[[#This Row],['#_Non-functional latrines]]</f>
        <v>6</v>
      </c>
      <c r="DC442" s="631">
        <f>WWWW[[#This Row],[HRP2]]/WWWW[[#This Row],[Total PoP ]]</f>
        <v>0.28301886792452829</v>
      </c>
      <c r="DD44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44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44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42" s="424">
        <f>IF(WWWW[[#This Row],['# of functional latrines in THF supported by WASH partners during the reporting period2]]="",0,WWWW[[#This Row],['# of functional latrines in THF supported by WASH partners during the reporting period2]]*50)</f>
        <v>0</v>
      </c>
      <c r="DH442" s="997">
        <f>ROUND(IF(WWWW[[#This Row],[Location Type 1]]="camp",WWWW[[#This Row],[Total PoP ]]/20,IF(WWWW[[#This Row],[Location Type 1]]="Temporary Location",WWWW[[#This Row],[Total PoP ]]/50,(WWWW[[#This Row],[Total PoP ]]/6))),0)</f>
        <v>21</v>
      </c>
      <c r="DI442" s="997">
        <f>IF(WWWW[[#This Row],[Total required Latrines]]-(WWWW[[#This Row],['#_Constructed latrines_by_WASHAgencies]]+WWWW[[#This Row],['#_Non Cluster partner latrines]])&lt;0,0,WWWW[[#This Row],[Total required Latrines]]-(WWWW[[#This Row],['#_Constructed latrines_by_WASHAgencies]]+WWWW[[#This Row],['#_Non Cluster partner latrines]]))</f>
        <v>15</v>
      </c>
      <c r="DJ442" s="999">
        <f>1-WWWW[[#This Row],[% people access to functioning Latrine]]</f>
        <v>0.71698113207547176</v>
      </c>
      <c r="DK442" s="998">
        <f>IF(OR(WWWW[[#This Row],['#_Non-functional latrines]]="",WWWW[[#This Row],['#_Non-functional latrines]]=0),0,WWWW[[#This Row],['#_Non-functional latrines]]/(WWWW[[#This Row],['#_Constructed latrines_by_WASHAgencies]]+WWWW[[#This Row],['#_Non Cluster partner latrines]]))</f>
        <v>0</v>
      </c>
      <c r="DL442" s="994">
        <f>IF(500*(WWWW[[#This Row],['#_male hygiene promoters]]+WWWW[[#This Row],['#_female hygiene promoters]])&gt;WWWW[[#This Row],[Total PoP ]],WWWW[[#This Row],[Total PoP ]],500*(WWWW[[#This Row],['#_male hygiene promoters]]+WWWW[[#This Row],['#_female hygiene promoters]]))</f>
        <v>0</v>
      </c>
      <c r="DM44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4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42" s="997">
        <f>IF(WWWW[[#This Row],['# People with access to soap]]&gt;WWWW[[#This Row],['# People with access to Sanity Pads]],WWWW[[#This Row],['# People with access to soap]],WWWW[[#This Row],['# People with access to Sanity Pads]])</f>
        <v>0</v>
      </c>
      <c r="DP442"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42" s="999">
        <f>IF(WWWW[[#This Row],[HRP3]]/WWWW[[#This Row],[Total PoP ]]&gt;1,1,WWWW[[#This Row],[HRP3]]/WWWW[[#This Row],[Total PoP ]])</f>
        <v>0</v>
      </c>
      <c r="DR442" s="998">
        <f>1-WWWW[[#This Row],[Hygiene Coverage%]]</f>
        <v>1</v>
      </c>
      <c r="DS442" s="996">
        <f>WWWW[[#This Row],['# people reached by regular dedicated hygiene promotion_5]]/WWWW[[#This Row],[Total PoP ]]</f>
        <v>0</v>
      </c>
      <c r="DT44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4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42" s="997">
        <f>WWWW[[#This Row],['#_Constructed/Existing hand washing stations]]-WWWW[[#This Row],['#_Non-Functional_hand_washing_stations]]</f>
        <v>0</v>
      </c>
      <c r="DW442" s="994">
        <f>IF(WWWW[[#This Row],['# Functional hand washing stations during reporting period]]*20&gt;WWWW[[#This Row],[Total HH]],WWWW[[#This Row],[Total HH]],WWWW[[#This Row],['# Functional hand washing stations during reporting period]]*20)</f>
        <v>0</v>
      </c>
      <c r="DX442" s="994">
        <f>IF(WWWW[[#This Row],[Is sufficient soap available for TLS? (Yes/No)]]="yes",WWWW[[#This Row],['#_Constructed/Existing hand washing stations at TLS/CFS/THF]],0)</f>
        <v>0</v>
      </c>
      <c r="DY442" s="428">
        <f>IF(WWWW[[#This Row],['# Functional hand washing stations during reporting period]]*100&gt;WWWW[[#This Row],[Total PoP ]],WWWW[[#This Row],[Total PoP ]],WWWW[[#This Row],['# Functional hand washing stations during reporting period]]*100)</f>
        <v>0</v>
      </c>
      <c r="DZ442" s="428" t="str">
        <f>IF(OR(WWWW[[#This Row],['#_students at TLS_CFS]]="",WWWW[[#This Row],['#_students at TLS_CFS]]=0),"No","Yes")</f>
        <v>No</v>
      </c>
      <c r="EA44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4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2" s="990" t="str">
        <f>VLOOKUP(WWWW[[#This Row],[Site Name]],SiteDB6[[Site Name]:[CCCM Management]],6,FALSE)</f>
        <v>Yes</v>
      </c>
      <c r="EF442" s="990" t="str">
        <f>VLOOKUP(WWWW[[#This Row],[Site Name]],SiteDB6[[Site Name]:[CCCM Focal Agency]],7,FALSE)</f>
        <v>KBC-BMO</v>
      </c>
      <c r="EG442" s="990" t="str">
        <f>VLOOKUP(WWWW[[#This Row],[Site Name]],SiteDB6[[Site Name]:[Location Type 1]],9,FALSE)</f>
        <v>Camp</v>
      </c>
      <c r="EH442" s="990" t="str">
        <f>VLOOKUP(WWWW[[#This Row],[Site Name]],SiteDB6[[Site Name]:[Type of Accommodation]],10,FALSE)</f>
        <v>Camp</v>
      </c>
      <c r="EI442" s="990" t="str">
        <f>VLOOKUP(WWWW[[#This Row],[Site Name]],SiteDB6[[Site Name]:[Ethnic or GCA/NGCA]],11,FALSE)</f>
        <v>GCA</v>
      </c>
      <c r="EJ442" s="990">
        <f>VLOOKUP(WWWW[[#This Row],[Site Name]],SiteDB6[[Site Name]:[Lat]],12,FALSE)</f>
        <v>24.250689999999999</v>
      </c>
      <c r="EK442" s="990">
        <f>VLOOKUP(WWWW[[#This Row],[Site Name]],SiteDB6[[Site Name]:[Long]],13,FALSE)</f>
        <v>97.344359999999995</v>
      </c>
      <c r="EL442" s="990" t="str">
        <f>VLOOKUP(WWWW[[#This Row],[Site Name]],SiteDB6[[Site Name]:[Pcode]],3,FALSE)</f>
        <v>MMR001CMP056</v>
      </c>
      <c r="EM442" s="995" t="str">
        <f t="shared" si="8"/>
        <v>Covered</v>
      </c>
      <c r="EN442" s="995"/>
      <c r="EO442" s="990">
        <f>VLOOKUP(WWWW[[#This Row],[Site Name]],SiteDB6[[Site Name]:[Pop
(Kachin/Shan-CCCM as of July 2021)]],16,FALSE)</f>
        <v>646</v>
      </c>
      <c r="EP442" s="990">
        <f>VLOOKUP(WWWW[[#This Row],[Site Name]],SiteDB6[[Site Name]:[Pop
(Kachin/Shan-CCCM as of July 2021)]],17,FALSE)</f>
        <v>2978</v>
      </c>
    </row>
    <row r="443" spans="1:146">
      <c r="A443" s="988" t="s">
        <v>2765</v>
      </c>
      <c r="B443" s="988" t="s">
        <v>309</v>
      </c>
      <c r="C443" s="989" t="s">
        <v>309</v>
      </c>
      <c r="D443" s="989"/>
      <c r="E443" s="989" t="s">
        <v>37</v>
      </c>
      <c r="F443" s="989" t="s">
        <v>205</v>
      </c>
      <c r="G443" s="591" t="str">
        <f>VLOOKUP(WWWW[[#This Row],[Site Name]],SiteDB6[[Site Name]:[Location Type]],8,FALSE)</f>
        <v>Camp</v>
      </c>
      <c r="H443" s="989" t="s">
        <v>3019</v>
      </c>
      <c r="I443" s="991">
        <v>15</v>
      </c>
      <c r="J443" s="991">
        <v>101</v>
      </c>
      <c r="K443" s="992"/>
      <c r="L443" s="993"/>
      <c r="M443" s="991"/>
      <c r="N443" s="991"/>
      <c r="O443" s="991"/>
      <c r="P443" s="991"/>
      <c r="Q443" s="994"/>
      <c r="R443" s="991"/>
      <c r="S443" s="991">
        <v>1</v>
      </c>
      <c r="T443" s="448"/>
      <c r="U443" s="991"/>
      <c r="V443" s="991"/>
      <c r="W443" s="991"/>
      <c r="X443" s="991"/>
      <c r="Y443" s="991"/>
      <c r="Z443" s="991"/>
      <c r="AA443" s="991"/>
      <c r="AB443" s="991"/>
      <c r="AC443" s="991"/>
      <c r="AD443" s="991"/>
      <c r="AE443" s="991"/>
      <c r="AF443" s="991"/>
      <c r="AG443" s="991"/>
      <c r="AH443" s="991"/>
      <c r="AI443" s="991"/>
      <c r="AJ443" s="991"/>
      <c r="AK443" s="991"/>
      <c r="AL443" s="991"/>
      <c r="AM443" s="991"/>
      <c r="AN443" s="991"/>
      <c r="AO443" s="448"/>
      <c r="AP443" s="995"/>
      <c r="AQ443" s="991"/>
      <c r="AR443" s="991"/>
      <c r="AS443" s="996"/>
      <c r="AT443" s="991"/>
      <c r="AU443" s="991"/>
      <c r="AV443" s="991"/>
      <c r="AW443" s="991"/>
      <c r="AX443" s="991"/>
      <c r="AY443" s="990" t="s">
        <v>140</v>
      </c>
      <c r="AZ443" s="995" t="s">
        <v>140</v>
      </c>
      <c r="BA443" s="991"/>
      <c r="BB443" s="991"/>
      <c r="BC443" s="991"/>
      <c r="BD443" s="448"/>
      <c r="BE443" s="448"/>
      <c r="BF443" s="990"/>
      <c r="BG443" s="991">
        <v>1</v>
      </c>
      <c r="BH443" s="991"/>
      <c r="BI443" s="991"/>
      <c r="BJ443" s="991">
        <v>3</v>
      </c>
      <c r="BK443" s="991"/>
      <c r="BL443" s="991"/>
      <c r="BM443" s="991"/>
      <c r="BN443" s="991"/>
      <c r="BO443" s="991"/>
      <c r="BP443" s="990"/>
      <c r="BQ443" s="997"/>
      <c r="BR443" s="996"/>
      <c r="BS443" s="990"/>
      <c r="BT443" s="423"/>
      <c r="BU443" s="423"/>
      <c r="BV443" s="425"/>
      <c r="BW443" s="423"/>
      <c r="BX443" s="448"/>
      <c r="BY443" s="448"/>
      <c r="BZ443" s="448"/>
      <c r="CA443" s="448"/>
      <c r="CB443" s="448"/>
      <c r="CC443" s="777"/>
      <c r="CD443" s="448"/>
      <c r="CE443" s="998" t="str">
        <f>IFERROR(WWWW[[#This Row],['#_Water sources passed]]/WWWW[[#This Row],['#_Water sources tested for fecal coliform ]],"no test")</f>
        <v>no test</v>
      </c>
      <c r="CF443" s="996" t="str">
        <f>IFERROR(WWWW[[#This Row],['#_Household passed]]/WWWW[[#This Row],['#_Household water samples tested for fecal coliform]],"no test")</f>
        <v>no test</v>
      </c>
      <c r="CG443" s="997" t="str">
        <f>IF(AND(WWWW[[#This Row],[% of water sources passed]]="no test",WWWW[[#This Row],[% Household passed]]="no test"),"No Test","Tested")</f>
        <v>No Test</v>
      </c>
      <c r="CH443" s="997">
        <f>WWWW[[#This Row],['#_Constructed/existing protected hand dug well]]-WWWW[[#This Row],['#_Non-functional protected hand dug well]]</f>
        <v>0</v>
      </c>
      <c r="CI443" s="997">
        <f>(WWWW[[#This Row],['#_Constructed/Existing tube wells/boreholes/handpumps_WASH_agency]]+WWWW[[#This Row],['#_Non-Cluster partner water tube-wells/boreholes/handpumps]])-WWWW[[#This Row],['#_Non-functional tube wells/boreholes/handpumps]]</f>
        <v>0</v>
      </c>
      <c r="CJ443" s="997">
        <f>WWWW[[#This Row],['#_Constructed/Existingwater storage tank with gravity fed reticulation system]]-WWWW[[#This Row],['#_Non-functional storage tank gravity fed reticulation system]]</f>
        <v>0</v>
      </c>
      <c r="CK443" s="997">
        <f>(WWWW[[#This Row],['#_Water_Liters_supplied_by_Water boating or water trucking]]/90)/15</f>
        <v>0</v>
      </c>
      <c r="CL443" s="997">
        <f>WWWW[[#This Row],['#_Water_Liters_from_Constructed/Existing water distribution system from river or natural spring]]/90/15</f>
        <v>0</v>
      </c>
      <c r="CM443" s="424">
        <f>IF(WWWW[[#This Row],['#_of water points in TLS/CFS]]*500&gt;WWWW[[#This Row],[Total PoP ]],WWWW[[#This Row],[Total PoP ]],WWWW[[#This Row],['#_of water points in TLS/CFS]]*500)</f>
        <v>0</v>
      </c>
      <c r="CN443" s="424">
        <f>IF(WWWW[[#This Row],['#_of water points in THF]]*500&gt;WWWW[[#This Row],[Total PoP ]],WWWW[[#This Row],[Total PoP ]],WWWW[[#This Row],['#_of water points in THF]]*500)</f>
        <v>0</v>
      </c>
      <c r="CO44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4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43" s="996">
        <f>IF(WWWW[[#This Row],[Location Type 1]]="Village",WWWW[[#This Row],[Access to safe drinking water for Village]],WWWW[[#This Row],[Access to safe drinking water for Camp]])</f>
        <v>0</v>
      </c>
      <c r="CR443" s="994">
        <f>WWWW[[#This Row],[%Equitable and continuous access to sufficient quantity of safe drinking water]]*WWWW[[#This Row],[Total PoP ]]</f>
        <v>0</v>
      </c>
      <c r="CS443" s="996">
        <f>IF((WWWW[[#This Row],['#_Constructed/Existing protected/fenced ponds]]*250)/WWWW[[#This Row],[Total PoP ]]&gt;1,1,(WWWW[[#This Row],['#_Constructed/Existing protected/fenced ponds]]*250)/WWWW[[#This Row],[Total PoP ]])</f>
        <v>0</v>
      </c>
      <c r="CT443" s="994">
        <f>WWWW[[#This Row],[% Access to unimproved water points]]*WWWW[[#This Row],[Total PoP ]]</f>
        <v>0</v>
      </c>
      <c r="CU44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4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43" s="994">
        <f>WWWW[[#This Row],[HRP1]]/500</f>
        <v>0</v>
      </c>
      <c r="CX443" s="999">
        <f>1-WWWW[[#This Row],[% Equitable and continuous access to sufficient quantity of domestic water]]</f>
        <v>1</v>
      </c>
      <c r="CY443" s="994">
        <f>WWWW[[#This Row],[%equitable and continuous access to sufficient quantity of safe drinking and domestic water''s GAP]]*WWWW[[#This Row],[Total PoP ]]</f>
        <v>101</v>
      </c>
      <c r="CZ443" s="997">
        <f>IF(WWWW[[#This Row],[Total required water points]]-WWWW[[#This Row],['#Water points coverage]]&lt;0,0,WWWW[[#This Row],[Total required water points]]-WWWW[[#This Row],['#Water points coverage]])</f>
        <v>1</v>
      </c>
      <c r="DA443" s="997">
        <f>ROUND(IF(WWWW[[#This Row],[Total PoP ]]&lt;500,1,WWWW[[#This Row],[Total PoP ]]/500),0)</f>
        <v>1</v>
      </c>
      <c r="DB443" s="997">
        <f>(WWWW[[#This Row],['#_Constructed latrines_by_WASHAgencies]]+WWWW[[#This Row],['#_Non Cluster partner latrines]])-WWWW[[#This Row],['#_Non-functional latrines]]</f>
        <v>0</v>
      </c>
      <c r="DC443" s="631">
        <f>WWWW[[#This Row],[HRP2]]/WWWW[[#This Row],[Total PoP ]]</f>
        <v>0</v>
      </c>
      <c r="DD44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4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4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43" s="424">
        <f>IF(WWWW[[#This Row],['# of functional latrines in THF supported by WASH partners during the reporting period2]]="",0,WWWW[[#This Row],['# of functional latrines in THF supported by WASH partners during the reporting period2]]*50)</f>
        <v>0</v>
      </c>
      <c r="DH443" s="997">
        <f>ROUND(IF(WWWW[[#This Row],[Location Type 1]]="camp",WWWW[[#This Row],[Total PoP ]]/20,IF(WWWW[[#This Row],[Location Type 1]]="Temporary Location",WWWW[[#This Row],[Total PoP ]]/50,(WWWW[[#This Row],[Total PoP ]]/6))),0)</f>
        <v>5</v>
      </c>
      <c r="DI443" s="997">
        <f>IF(WWWW[[#This Row],[Total required Latrines]]-(WWWW[[#This Row],['#_Constructed latrines_by_WASHAgencies]]+WWWW[[#This Row],['#_Non Cluster partner latrines]])&lt;0,0,WWWW[[#This Row],[Total required Latrines]]-(WWWW[[#This Row],['#_Constructed latrines_by_WASHAgencies]]+WWWW[[#This Row],['#_Non Cluster partner latrines]]))</f>
        <v>5</v>
      </c>
      <c r="DJ443" s="999">
        <f>1-WWWW[[#This Row],[% people access to functioning Latrine]]</f>
        <v>1</v>
      </c>
      <c r="DK443" s="998">
        <f>IF(OR(WWWW[[#This Row],['#_Non-functional latrines]]="",WWWW[[#This Row],['#_Non-functional latrines]]=0),0,WWWW[[#This Row],['#_Non-functional latrines]]/(WWWW[[#This Row],['#_Constructed latrines_by_WASHAgencies]]+WWWW[[#This Row],['#_Non Cluster partner latrines]]))</f>
        <v>0</v>
      </c>
      <c r="DL443" s="994">
        <f>IF(500*(WWWW[[#This Row],['#_male hygiene promoters]]+WWWW[[#This Row],['#_female hygiene promoters]])&gt;WWWW[[#This Row],[Total PoP ]],WWWW[[#This Row],[Total PoP ]],500*(WWWW[[#This Row],['#_male hygiene promoters]]+WWWW[[#This Row],['#_female hygiene promoters]]))</f>
        <v>0</v>
      </c>
      <c r="DM44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4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43" s="997">
        <f>IF(WWWW[[#This Row],['# People with access to soap]]&gt;WWWW[[#This Row],['# People with access to Sanity Pads]],WWWW[[#This Row],['# People with access to soap]],WWWW[[#This Row],['# People with access to Sanity Pads]])</f>
        <v>0</v>
      </c>
      <c r="DP443"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43" s="999">
        <f>IF(WWWW[[#This Row],[HRP3]]/WWWW[[#This Row],[Total PoP ]]&gt;1,1,WWWW[[#This Row],[HRP3]]/WWWW[[#This Row],[Total PoP ]])</f>
        <v>0</v>
      </c>
      <c r="DR443" s="998">
        <f>1-WWWW[[#This Row],[Hygiene Coverage%]]</f>
        <v>1</v>
      </c>
      <c r="DS443" s="996">
        <f>WWWW[[#This Row],['# people reached by regular dedicated hygiene promotion_5]]/WWWW[[#This Row],[Total PoP ]]</f>
        <v>0</v>
      </c>
      <c r="DT44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4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43" s="997">
        <f>WWWW[[#This Row],['#_Constructed/Existing hand washing stations]]-WWWW[[#This Row],['#_Non-Functional_hand_washing_stations]]</f>
        <v>1</v>
      </c>
      <c r="DW443" s="994">
        <f>IF(WWWW[[#This Row],['# Functional hand washing stations during reporting period]]*20&gt;WWWW[[#This Row],[Total HH]],WWWW[[#This Row],[Total HH]],WWWW[[#This Row],['# Functional hand washing stations during reporting period]]*20)</f>
        <v>15</v>
      </c>
      <c r="DX443" s="994">
        <f>IF(WWWW[[#This Row],[Is sufficient soap available for TLS? (Yes/No)]]="yes",WWWW[[#This Row],['#_Constructed/Existing hand washing stations at TLS/CFS/THF]],0)</f>
        <v>0</v>
      </c>
      <c r="DY443" s="428">
        <f>IF(WWWW[[#This Row],['# Functional hand washing stations during reporting period]]*100&gt;WWWW[[#This Row],[Total PoP ]],WWWW[[#This Row],[Total PoP ]],WWWW[[#This Row],['# Functional hand washing stations during reporting period]]*100)</f>
        <v>100</v>
      </c>
      <c r="DZ443" s="428" t="str">
        <f>IF(OR(WWWW[[#This Row],['#_students at TLS_CFS]]="",WWWW[[#This Row],['#_students at TLS_CFS]]=0),"No","Yes")</f>
        <v>No</v>
      </c>
      <c r="EA44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4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3" s="990">
        <f>VLOOKUP(WWWW[[#This Row],[Site Name]],SiteDB6[[Site Name]:[CCCM Management]],6,FALSE)</f>
        <v>0</v>
      </c>
      <c r="EF443" s="990" t="str">
        <f>VLOOKUP(WWWW[[#This Row],[Site Name]],SiteDB6[[Site Name]:[CCCM Focal Agency]],7,FALSE)</f>
        <v>uncovered</v>
      </c>
      <c r="EG443" s="990" t="str">
        <f>VLOOKUP(WWWW[[#This Row],[Site Name]],SiteDB6[[Site Name]:[Location Type 1]],9,FALSE)</f>
        <v>Camp</v>
      </c>
      <c r="EH443" s="990" t="str">
        <f>VLOOKUP(WWWW[[#This Row],[Site Name]],SiteDB6[[Site Name]:[Type of Accommodation]],10,FALSE)</f>
        <v>IDPs in host</v>
      </c>
      <c r="EI443" s="990" t="str">
        <f>VLOOKUP(WWWW[[#This Row],[Site Name]],SiteDB6[[Site Name]:[Ethnic or GCA/NGCA]],11,FALSE)</f>
        <v>GCA</v>
      </c>
      <c r="EJ443" s="990">
        <f>VLOOKUP(WWWW[[#This Row],[Site Name]],SiteDB6[[Site Name]:[Lat]],12,FALSE)</f>
        <v>24.404876999999999</v>
      </c>
      <c r="EK443" s="990">
        <f>VLOOKUP(WWWW[[#This Row],[Site Name]],SiteDB6[[Site Name]:[Long]],13,FALSE)</f>
        <v>97.407787999999996</v>
      </c>
      <c r="EL443" s="990" t="str">
        <f>VLOOKUP(WWWW[[#This Row],[Site Name]],SiteDB6[[Site Name]:[Pcode]],3,FALSE)</f>
        <v>MMR001CMP061</v>
      </c>
      <c r="EM443" s="995" t="str">
        <f t="shared" si="8"/>
        <v>Notcovered</v>
      </c>
      <c r="EN443" s="995"/>
      <c r="EO443" s="990">
        <f>VLOOKUP(WWWW[[#This Row],[Site Name]],SiteDB6[[Site Name]:[Pop
(Kachin/Shan-CCCM as of July 2021)]],16,FALSE)</f>
        <v>15</v>
      </c>
      <c r="EP443" s="990">
        <f>VLOOKUP(WWWW[[#This Row],[Site Name]],SiteDB6[[Site Name]:[Pop
(Kachin/Shan-CCCM as of July 2021)]],17,FALSE)</f>
        <v>101</v>
      </c>
    </row>
    <row r="444" spans="1:146">
      <c r="A444" s="988" t="s">
        <v>2765</v>
      </c>
      <c r="B444" s="988" t="s">
        <v>309</v>
      </c>
      <c r="C444" s="989" t="s">
        <v>309</v>
      </c>
      <c r="D444" s="989"/>
      <c r="E444" s="989" t="s">
        <v>37</v>
      </c>
      <c r="F444" s="989" t="s">
        <v>142</v>
      </c>
      <c r="G444" s="591" t="str">
        <f>VLOOKUP(WWWW[[#This Row],[Site Name]],SiteDB6[[Site Name]:[Location Type]],8,FALSE)</f>
        <v>Camp</v>
      </c>
      <c r="H444" s="989" t="s">
        <v>2780</v>
      </c>
      <c r="I444" s="991">
        <v>45</v>
      </c>
      <c r="J444" s="991">
        <v>247</v>
      </c>
      <c r="K444" s="992"/>
      <c r="L444" s="993"/>
      <c r="M444" s="991"/>
      <c r="N444" s="991"/>
      <c r="O444" s="991"/>
      <c r="P444" s="991"/>
      <c r="Q444" s="994"/>
      <c r="R444" s="991"/>
      <c r="S444" s="991"/>
      <c r="T444" s="448"/>
      <c r="U444" s="991"/>
      <c r="V444" s="991"/>
      <c r="W444" s="991"/>
      <c r="X444" s="991"/>
      <c r="Y444" s="991"/>
      <c r="Z444" s="991"/>
      <c r="AA444" s="991"/>
      <c r="AB444" s="991"/>
      <c r="AC444" s="991"/>
      <c r="AD444" s="991"/>
      <c r="AE444" s="991"/>
      <c r="AF444" s="991"/>
      <c r="AG444" s="991"/>
      <c r="AH444" s="991"/>
      <c r="AI444" s="991"/>
      <c r="AJ444" s="991"/>
      <c r="AK444" s="991"/>
      <c r="AL444" s="991"/>
      <c r="AM444" s="991"/>
      <c r="AN444" s="991"/>
      <c r="AO444" s="448"/>
      <c r="AP444" s="995"/>
      <c r="AQ444" s="991"/>
      <c r="AR444" s="991"/>
      <c r="AS444" s="996"/>
      <c r="AT444" s="991"/>
      <c r="AU444" s="991"/>
      <c r="AV444" s="991"/>
      <c r="AW444" s="991"/>
      <c r="AX444" s="991"/>
      <c r="AY444" s="990" t="s">
        <v>140</v>
      </c>
      <c r="AZ444" s="995" t="s">
        <v>140</v>
      </c>
      <c r="BA444" s="991"/>
      <c r="BB444" s="991"/>
      <c r="BC444" s="991"/>
      <c r="BD444" s="448"/>
      <c r="BE444" s="448"/>
      <c r="BF444" s="990"/>
      <c r="BG444" s="991">
        <v>3</v>
      </c>
      <c r="BH444" s="991"/>
      <c r="BI444" s="991"/>
      <c r="BJ444" s="991">
        <v>2</v>
      </c>
      <c r="BK444" s="991"/>
      <c r="BL444" s="991"/>
      <c r="BM444" s="991"/>
      <c r="BN444" s="991"/>
      <c r="BO444" s="991"/>
      <c r="BP444" s="990"/>
      <c r="BQ444" s="997"/>
      <c r="BR444" s="996"/>
      <c r="BS444" s="990"/>
      <c r="BT444" s="423"/>
      <c r="BU444" s="423"/>
      <c r="BV444" s="425"/>
      <c r="BW444" s="423"/>
      <c r="BX444" s="448"/>
      <c r="BY444" s="448"/>
      <c r="BZ444" s="448"/>
      <c r="CA444" s="448"/>
      <c r="CB444" s="448"/>
      <c r="CC444" s="777"/>
      <c r="CD444" s="448"/>
      <c r="CE444" s="998" t="str">
        <f>IFERROR(WWWW[[#This Row],['#_Water sources passed]]/WWWW[[#This Row],['#_Water sources tested for fecal coliform ]],"no test")</f>
        <v>no test</v>
      </c>
      <c r="CF444" s="996" t="str">
        <f>IFERROR(WWWW[[#This Row],['#_Household passed]]/WWWW[[#This Row],['#_Household water samples tested for fecal coliform]],"no test")</f>
        <v>no test</v>
      </c>
      <c r="CG444" s="997" t="str">
        <f>IF(AND(WWWW[[#This Row],[% of water sources passed]]="no test",WWWW[[#This Row],[% Household passed]]="no test"),"No Test","Tested")</f>
        <v>No Test</v>
      </c>
      <c r="CH444" s="997">
        <f>WWWW[[#This Row],['#_Constructed/existing protected hand dug well]]-WWWW[[#This Row],['#_Non-functional protected hand dug well]]</f>
        <v>0</v>
      </c>
      <c r="CI444" s="997">
        <f>(WWWW[[#This Row],['#_Constructed/Existing tube wells/boreholes/handpumps_WASH_agency]]+WWWW[[#This Row],['#_Non-Cluster partner water tube-wells/boreholes/handpumps]])-WWWW[[#This Row],['#_Non-functional tube wells/boreholes/handpumps]]</f>
        <v>0</v>
      </c>
      <c r="CJ444" s="997">
        <f>WWWW[[#This Row],['#_Constructed/Existingwater storage tank with gravity fed reticulation system]]-WWWW[[#This Row],['#_Non-functional storage tank gravity fed reticulation system]]</f>
        <v>0</v>
      </c>
      <c r="CK444" s="997">
        <f>(WWWW[[#This Row],['#_Water_Liters_supplied_by_Water boating or water trucking]]/90)/15</f>
        <v>0</v>
      </c>
      <c r="CL444" s="997">
        <f>WWWW[[#This Row],['#_Water_Liters_from_Constructed/Existing water distribution system from river or natural spring]]/90/15</f>
        <v>0</v>
      </c>
      <c r="CM444" s="424">
        <f>IF(WWWW[[#This Row],['#_of water points in TLS/CFS]]*500&gt;WWWW[[#This Row],[Total PoP ]],WWWW[[#This Row],[Total PoP ]],WWWW[[#This Row],['#_of water points in TLS/CFS]]*500)</f>
        <v>0</v>
      </c>
      <c r="CN444" s="424">
        <f>IF(WWWW[[#This Row],['#_of water points in THF]]*500&gt;WWWW[[#This Row],[Total PoP ]],WWWW[[#This Row],[Total PoP ]],WWWW[[#This Row],['#_of water points in THF]]*500)</f>
        <v>0</v>
      </c>
      <c r="CO44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4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44" s="996">
        <f>IF(WWWW[[#This Row],[Location Type 1]]="Village",WWWW[[#This Row],[Access to safe drinking water for Village]],WWWW[[#This Row],[Access to safe drinking water for Camp]])</f>
        <v>0</v>
      </c>
      <c r="CR444" s="994">
        <f>WWWW[[#This Row],[%Equitable and continuous access to sufficient quantity of safe drinking water]]*WWWW[[#This Row],[Total PoP ]]</f>
        <v>0</v>
      </c>
      <c r="CS444" s="996">
        <f>IF((WWWW[[#This Row],['#_Constructed/Existing protected/fenced ponds]]*250)/WWWW[[#This Row],[Total PoP ]]&gt;1,1,(WWWW[[#This Row],['#_Constructed/Existing protected/fenced ponds]]*250)/WWWW[[#This Row],[Total PoP ]])</f>
        <v>0</v>
      </c>
      <c r="CT444" s="994">
        <f>WWWW[[#This Row],[% Access to unimproved water points]]*WWWW[[#This Row],[Total PoP ]]</f>
        <v>0</v>
      </c>
      <c r="CU44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4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44" s="994">
        <f>WWWW[[#This Row],[HRP1]]/500</f>
        <v>0</v>
      </c>
      <c r="CX444" s="999">
        <f>1-WWWW[[#This Row],[% Equitable and continuous access to sufficient quantity of domestic water]]</f>
        <v>1</v>
      </c>
      <c r="CY444" s="994">
        <f>WWWW[[#This Row],[%equitable and continuous access to sufficient quantity of safe drinking and domestic water''s GAP]]*WWWW[[#This Row],[Total PoP ]]</f>
        <v>247</v>
      </c>
      <c r="CZ444" s="997">
        <f>IF(WWWW[[#This Row],[Total required water points]]-WWWW[[#This Row],['#Water points coverage]]&lt;0,0,WWWW[[#This Row],[Total required water points]]-WWWW[[#This Row],['#Water points coverage]])</f>
        <v>1</v>
      </c>
      <c r="DA444" s="997">
        <f>ROUND(IF(WWWW[[#This Row],[Total PoP ]]&lt;500,1,WWWW[[#This Row],[Total PoP ]]/500),0)</f>
        <v>1</v>
      </c>
      <c r="DB444" s="997">
        <f>(WWWW[[#This Row],['#_Constructed latrines_by_WASHAgencies]]+WWWW[[#This Row],['#_Non Cluster partner latrines]])-WWWW[[#This Row],['#_Non-functional latrines]]</f>
        <v>0</v>
      </c>
      <c r="DC444" s="631">
        <f>WWWW[[#This Row],[HRP2]]/WWWW[[#This Row],[Total PoP ]]</f>
        <v>0</v>
      </c>
      <c r="DD44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4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4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44" s="424">
        <f>IF(WWWW[[#This Row],['# of functional latrines in THF supported by WASH partners during the reporting period2]]="",0,WWWW[[#This Row],['# of functional latrines in THF supported by WASH partners during the reporting period2]]*50)</f>
        <v>0</v>
      </c>
      <c r="DH444" s="997">
        <f>ROUND(IF(WWWW[[#This Row],[Location Type 1]]="camp",WWWW[[#This Row],[Total PoP ]]/20,IF(WWWW[[#This Row],[Location Type 1]]="Temporary Location",WWWW[[#This Row],[Total PoP ]]/50,(WWWW[[#This Row],[Total PoP ]]/6))),0)</f>
        <v>12</v>
      </c>
      <c r="DI444" s="997">
        <f>IF(WWWW[[#This Row],[Total required Latrines]]-(WWWW[[#This Row],['#_Constructed latrines_by_WASHAgencies]]+WWWW[[#This Row],['#_Non Cluster partner latrines]])&lt;0,0,WWWW[[#This Row],[Total required Latrines]]-(WWWW[[#This Row],['#_Constructed latrines_by_WASHAgencies]]+WWWW[[#This Row],['#_Non Cluster partner latrines]]))</f>
        <v>12</v>
      </c>
      <c r="DJ444" s="999">
        <f>1-WWWW[[#This Row],[% people access to functioning Latrine]]</f>
        <v>1</v>
      </c>
      <c r="DK444" s="998">
        <f>IF(OR(WWWW[[#This Row],['#_Non-functional latrines]]="",WWWW[[#This Row],['#_Non-functional latrines]]=0),0,WWWW[[#This Row],['#_Non-functional latrines]]/(WWWW[[#This Row],['#_Constructed latrines_by_WASHAgencies]]+WWWW[[#This Row],['#_Non Cluster partner latrines]]))</f>
        <v>0</v>
      </c>
      <c r="DL444" s="994">
        <f>IF(500*(WWWW[[#This Row],['#_male hygiene promoters]]+WWWW[[#This Row],['#_female hygiene promoters]])&gt;WWWW[[#This Row],[Total PoP ]],WWWW[[#This Row],[Total PoP ]],500*(WWWW[[#This Row],['#_male hygiene promoters]]+WWWW[[#This Row],['#_female hygiene promoters]]))</f>
        <v>0</v>
      </c>
      <c r="DM44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4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44" s="997">
        <f>IF(WWWW[[#This Row],['# People with access to soap]]&gt;WWWW[[#This Row],['# People with access to Sanity Pads]],WWWW[[#This Row],['# People with access to soap]],WWWW[[#This Row],['# People with access to Sanity Pads]])</f>
        <v>0</v>
      </c>
      <c r="DP444"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44" s="999">
        <f>IF(WWWW[[#This Row],[HRP3]]/WWWW[[#This Row],[Total PoP ]]&gt;1,1,WWWW[[#This Row],[HRP3]]/WWWW[[#This Row],[Total PoP ]])</f>
        <v>0</v>
      </c>
      <c r="DR444" s="998">
        <f>1-WWWW[[#This Row],[Hygiene Coverage%]]</f>
        <v>1</v>
      </c>
      <c r="DS444" s="996">
        <f>WWWW[[#This Row],['# people reached by regular dedicated hygiene promotion_5]]/WWWW[[#This Row],[Total PoP ]]</f>
        <v>0</v>
      </c>
      <c r="DT44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4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44" s="997">
        <f>WWWW[[#This Row],['#_Constructed/Existing hand washing stations]]-WWWW[[#This Row],['#_Non-Functional_hand_washing_stations]]</f>
        <v>3</v>
      </c>
      <c r="DW444" s="994">
        <f>IF(WWWW[[#This Row],['# Functional hand washing stations during reporting period]]*20&gt;WWWW[[#This Row],[Total HH]],WWWW[[#This Row],[Total HH]],WWWW[[#This Row],['# Functional hand washing stations during reporting period]]*20)</f>
        <v>45</v>
      </c>
      <c r="DX444" s="994">
        <f>IF(WWWW[[#This Row],[Is sufficient soap available for TLS? (Yes/No)]]="yes",WWWW[[#This Row],['#_Constructed/Existing hand washing stations at TLS/CFS/THF]],0)</f>
        <v>0</v>
      </c>
      <c r="DY444" s="428">
        <f>IF(WWWW[[#This Row],['# Functional hand washing stations during reporting period]]*100&gt;WWWW[[#This Row],[Total PoP ]],WWWW[[#This Row],[Total PoP ]],WWWW[[#This Row],['# Functional hand washing stations during reporting period]]*100)</f>
        <v>247</v>
      </c>
      <c r="DZ444" s="428" t="str">
        <f>IF(OR(WWWW[[#This Row],['#_students at TLS_CFS]]="",WWWW[[#This Row],['#_students at TLS_CFS]]=0),"No","Yes")</f>
        <v>No</v>
      </c>
      <c r="EA44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4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4" s="990">
        <f>VLOOKUP(WWWW[[#This Row],[Site Name]],SiteDB6[[Site Name]:[CCCM Management]],6,FALSE)</f>
        <v>0</v>
      </c>
      <c r="EF444" s="990" t="str">
        <f>VLOOKUP(WWWW[[#This Row],[Site Name]],SiteDB6[[Site Name]:[CCCM Focal Agency]],7,FALSE)</f>
        <v xml:space="preserve">Uncovered  </v>
      </c>
      <c r="EG444" s="990" t="str">
        <f>VLOOKUP(WWWW[[#This Row],[Site Name]],SiteDB6[[Site Name]:[Location Type 1]],9,FALSE)</f>
        <v>Camp</v>
      </c>
      <c r="EH444" s="990" t="str">
        <f>VLOOKUP(WWWW[[#This Row],[Site Name]],SiteDB6[[Site Name]:[Type of Accommodation]],10,FALSE)</f>
        <v>Camp like setting</v>
      </c>
      <c r="EI444" s="990" t="str">
        <f>VLOOKUP(WWWW[[#This Row],[Site Name]],SiteDB6[[Site Name]:[Ethnic or GCA/NGCA]],11,FALSE)</f>
        <v>GCA</v>
      </c>
      <c r="EJ444" s="990">
        <f>VLOOKUP(WWWW[[#This Row],[Site Name]],SiteDB6[[Site Name]:[Lat]],12,FALSE)</f>
        <v>0</v>
      </c>
      <c r="EK444" s="990">
        <f>VLOOKUP(WWWW[[#This Row],[Site Name]],SiteDB6[[Site Name]:[Long]],13,FALSE)</f>
        <v>0</v>
      </c>
      <c r="EL444" s="990" t="str">
        <f>VLOOKUP(WWWW[[#This Row],[Site Name]],SiteDB6[[Site Name]:[Pcode]],3,FALSE)</f>
        <v>MMR001CMP292</v>
      </c>
      <c r="EM444" s="995" t="str">
        <f t="shared" si="8"/>
        <v>Notcovered</v>
      </c>
      <c r="EN444" s="995"/>
      <c r="EO444" s="990">
        <f>VLOOKUP(WWWW[[#This Row],[Site Name]],SiteDB6[[Site Name]:[Pop
(Kachin/Shan-CCCM as of July 2021)]],16,FALSE)</f>
        <v>87</v>
      </c>
      <c r="EP444" s="990">
        <f>VLOOKUP(WWWW[[#This Row],[Site Name]],SiteDB6[[Site Name]:[Pop
(Kachin/Shan-CCCM as of July 2021)]],17,FALSE)</f>
        <v>478</v>
      </c>
    </row>
    <row r="445" spans="1:146">
      <c r="A445" s="988" t="s">
        <v>2765</v>
      </c>
      <c r="B445" s="988" t="s">
        <v>276</v>
      </c>
      <c r="C445" s="989" t="s">
        <v>276</v>
      </c>
      <c r="D445" s="989" t="s">
        <v>3037</v>
      </c>
      <c r="E445" s="989" t="s">
        <v>37</v>
      </c>
      <c r="F445" s="989" t="s">
        <v>205</v>
      </c>
      <c r="G445" s="591" t="str">
        <f>VLOOKUP(WWWW[[#This Row],[Site Name]],SiteDB6[[Site Name]:[Location Type]],8,FALSE)</f>
        <v>Camp</v>
      </c>
      <c r="H445" s="989" t="s">
        <v>210</v>
      </c>
      <c r="I445" s="991">
        <v>127</v>
      </c>
      <c r="J445" s="991">
        <v>741</v>
      </c>
      <c r="K445" s="992">
        <v>44713</v>
      </c>
      <c r="L445" s="993">
        <v>44895</v>
      </c>
      <c r="M445" s="991"/>
      <c r="N445" s="991"/>
      <c r="O445" s="991"/>
      <c r="P445" s="991"/>
      <c r="Q445" s="994" t="s">
        <v>41</v>
      </c>
      <c r="R445" s="991">
        <v>3</v>
      </c>
      <c r="S445" s="991">
        <v>3</v>
      </c>
      <c r="T445" s="448"/>
      <c r="U445" s="991"/>
      <c r="V445" s="991"/>
      <c r="W445" s="991">
        <v>3</v>
      </c>
      <c r="X445" s="991"/>
      <c r="Y445" s="991"/>
      <c r="Z445" s="991">
        <v>2</v>
      </c>
      <c r="AA445" s="991"/>
      <c r="AB445" s="991"/>
      <c r="AC445" s="991"/>
      <c r="AD445" s="991"/>
      <c r="AE445" s="991"/>
      <c r="AF445" s="991"/>
      <c r="AG445" s="991">
        <v>1</v>
      </c>
      <c r="AH445" s="991"/>
      <c r="AI445" s="991">
        <v>2</v>
      </c>
      <c r="AJ445" s="991">
        <v>2</v>
      </c>
      <c r="AK445" s="991">
        <v>6</v>
      </c>
      <c r="AL445" s="991">
        <v>6</v>
      </c>
      <c r="AM445" s="991"/>
      <c r="AN445" s="991"/>
      <c r="AO445" s="448"/>
      <c r="AP445" s="995"/>
      <c r="AQ445" s="991">
        <v>50</v>
      </c>
      <c r="AR445" s="991"/>
      <c r="AS445" s="996"/>
      <c r="AT445" s="991"/>
      <c r="AU445" s="991"/>
      <c r="AV445" s="991">
        <v>5</v>
      </c>
      <c r="AW445" s="991">
        <v>3</v>
      </c>
      <c r="AX445" s="991"/>
      <c r="AY445" s="990" t="s">
        <v>41</v>
      </c>
      <c r="AZ445" s="995" t="s">
        <v>137</v>
      </c>
      <c r="BA445" s="991"/>
      <c r="BB445" s="991"/>
      <c r="BC445" s="991"/>
      <c r="BD445" s="448"/>
      <c r="BE445" s="448"/>
      <c r="BF445" s="990"/>
      <c r="BG445" s="991">
        <v>8</v>
      </c>
      <c r="BH445" s="991"/>
      <c r="BI445" s="991"/>
      <c r="BJ445" s="991">
        <v>7</v>
      </c>
      <c r="BK445" s="991"/>
      <c r="BL445" s="991"/>
      <c r="BM445" s="991"/>
      <c r="BN445" s="991"/>
      <c r="BO445" s="991"/>
      <c r="BP445" s="990"/>
      <c r="BQ445" s="997"/>
      <c r="BR445" s="996"/>
      <c r="BS445" s="990"/>
      <c r="BT445" s="423"/>
      <c r="BU445" s="423"/>
      <c r="BV445" s="425"/>
      <c r="BW445" s="423"/>
      <c r="BX445" s="448"/>
      <c r="BY445" s="448"/>
      <c r="BZ445" s="448"/>
      <c r="CA445" s="448"/>
      <c r="CB445" s="448"/>
      <c r="CC445" s="777"/>
      <c r="CD445" s="448"/>
      <c r="CE445" s="998">
        <f>IFERROR(WWWW[[#This Row],['#_Water sources passed]]/WWWW[[#This Row],['#_Water sources tested for fecal coliform ]],"no test")</f>
        <v>1</v>
      </c>
      <c r="CF445" s="996">
        <f>IFERROR(WWWW[[#This Row],['#_Household passed]]/WWWW[[#This Row],['#_Household water samples tested for fecal coliform]],"no test")</f>
        <v>1</v>
      </c>
      <c r="CG445" s="997" t="str">
        <f>IF(AND(WWWW[[#This Row],[% of water sources passed]]="no test",WWWW[[#This Row],[% Household passed]]="no test"),"No Test","Tested")</f>
        <v>Tested</v>
      </c>
      <c r="CH445" s="997">
        <f>WWWW[[#This Row],['#_Constructed/existing protected hand dug well]]-WWWW[[#This Row],['#_Non-functional protected hand dug well]]</f>
        <v>0</v>
      </c>
      <c r="CI445" s="997">
        <f>(WWWW[[#This Row],['#_Constructed/Existing tube wells/boreholes/handpumps_WASH_agency]]+WWWW[[#This Row],['#_Non-Cluster partner water tube-wells/boreholes/handpumps]])-WWWW[[#This Row],['#_Non-functional tube wells/boreholes/handpumps]]</f>
        <v>3</v>
      </c>
      <c r="CJ445" s="997">
        <f>WWWW[[#This Row],['#_Constructed/Existingwater storage tank with gravity fed reticulation system]]-WWWW[[#This Row],['#_Non-functional storage tank gravity fed reticulation system]]</f>
        <v>0</v>
      </c>
      <c r="CK445" s="997">
        <f>(WWWW[[#This Row],['#_Water_Liters_supplied_by_Water boating or water trucking]]/90)/15</f>
        <v>0</v>
      </c>
      <c r="CL445" s="997">
        <f>WWWW[[#This Row],['#_Water_Liters_from_Constructed/Existing water distribution system from river or natural spring]]/90/15</f>
        <v>0</v>
      </c>
      <c r="CM445" s="424">
        <f>IF(WWWW[[#This Row],['#_of water points in TLS/CFS]]*500&gt;WWWW[[#This Row],[Total PoP ]],WWWW[[#This Row],[Total PoP ]],WWWW[[#This Row],['#_of water points in TLS/CFS]]*500)</f>
        <v>0</v>
      </c>
      <c r="CN445" s="424">
        <f>IF(WWWW[[#This Row],['#_of water points in THF]]*500&gt;WWWW[[#This Row],[Total PoP ]],WWWW[[#This Row],[Total PoP ]],WWWW[[#This Row],['#_of water points in THF]]*500)</f>
        <v>0</v>
      </c>
      <c r="CO44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4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45" s="996">
        <f>IF(WWWW[[#This Row],[Location Type 1]]="Village",WWWW[[#This Row],[Access to safe drinking water for Village]],WWWW[[#This Row],[Access to safe drinking water for Camp]])</f>
        <v>1</v>
      </c>
      <c r="CR445" s="994">
        <f>WWWW[[#This Row],[%Equitable and continuous access to sufficient quantity of safe drinking water]]*WWWW[[#This Row],[Total PoP ]]</f>
        <v>741</v>
      </c>
      <c r="CS445" s="996">
        <f>IF((WWWW[[#This Row],['#_Constructed/Existing protected/fenced ponds]]*250)/WWWW[[#This Row],[Total PoP ]]&gt;1,1,(WWWW[[#This Row],['#_Constructed/Existing protected/fenced ponds]]*250)/WWWW[[#This Row],[Total PoP ]])</f>
        <v>0</v>
      </c>
      <c r="CT445" s="994">
        <f>WWWW[[#This Row],[% Access to unimproved water points]]*WWWW[[#This Row],[Total PoP ]]</f>
        <v>0</v>
      </c>
      <c r="CU44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4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W445" s="994">
        <f>WWWW[[#This Row],[HRP1]]/500</f>
        <v>1.482</v>
      </c>
      <c r="CX445" s="999">
        <f>1-WWWW[[#This Row],[% Equitable and continuous access to sufficient quantity of domestic water]]</f>
        <v>0</v>
      </c>
      <c r="CY445" s="994">
        <f>WWWW[[#This Row],[%equitable and continuous access to sufficient quantity of safe drinking and domestic water''s GAP]]*WWWW[[#This Row],[Total PoP ]]</f>
        <v>0</v>
      </c>
      <c r="CZ445" s="997">
        <f>IF(WWWW[[#This Row],[Total required water points]]-WWWW[[#This Row],['#Water points coverage]]&lt;0,0,WWWW[[#This Row],[Total required water points]]-WWWW[[#This Row],['#Water points coverage]])</f>
        <v>0</v>
      </c>
      <c r="DA445" s="997">
        <f>ROUND(IF(WWWW[[#This Row],[Total PoP ]]&lt;500,1,WWWW[[#This Row],[Total PoP ]]/500),0)</f>
        <v>1</v>
      </c>
      <c r="DB445" s="997">
        <f>(WWWW[[#This Row],['#_Constructed latrines_by_WASHAgencies]]+WWWW[[#This Row],['#_Non Cluster partner latrines]])-WWWW[[#This Row],['#_Non-functional latrines]]</f>
        <v>50</v>
      </c>
      <c r="DC445" s="631">
        <f>WWWW[[#This Row],[HRP2]]/WWWW[[#This Row],[Total PoP ]]</f>
        <v>1</v>
      </c>
      <c r="DD44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741</v>
      </c>
      <c r="DE44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44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45" s="424">
        <f>IF(WWWW[[#This Row],['# of functional latrines in THF supported by WASH partners during the reporting period2]]="",0,WWWW[[#This Row],['# of functional latrines in THF supported by WASH partners during the reporting period2]]*50)</f>
        <v>0</v>
      </c>
      <c r="DH445" s="997">
        <f>ROUND(IF(WWWW[[#This Row],[Location Type 1]]="camp",WWWW[[#This Row],[Total PoP ]]/20,IF(WWWW[[#This Row],[Location Type 1]]="Temporary Location",WWWW[[#This Row],[Total PoP ]]/50,(WWWW[[#This Row],[Total PoP ]]/6))),0)</f>
        <v>37</v>
      </c>
      <c r="DI445" s="997">
        <f>IF(WWWW[[#This Row],[Total required Latrines]]-(WWWW[[#This Row],['#_Constructed latrines_by_WASHAgencies]]+WWWW[[#This Row],['#_Non Cluster partner latrines]])&lt;0,0,WWWW[[#This Row],[Total required Latrines]]-(WWWW[[#This Row],['#_Constructed latrines_by_WASHAgencies]]+WWWW[[#This Row],['#_Non Cluster partner latrines]]))</f>
        <v>0</v>
      </c>
      <c r="DJ445" s="999">
        <f>1-WWWW[[#This Row],[% people access to functioning Latrine]]</f>
        <v>0</v>
      </c>
      <c r="DK445" s="998">
        <f>IF(OR(WWWW[[#This Row],['#_Non-functional latrines]]="",WWWW[[#This Row],['#_Non-functional latrines]]=0),0,WWWW[[#This Row],['#_Non-functional latrines]]/(WWWW[[#This Row],['#_Constructed latrines_by_WASHAgencies]]+WWWW[[#This Row],['#_Non Cluster partner latrines]]))</f>
        <v>0</v>
      </c>
      <c r="DL445" s="994">
        <f>IF(500*(WWWW[[#This Row],['#_male hygiene promoters]]+WWWW[[#This Row],['#_female hygiene promoters]])&gt;WWWW[[#This Row],[Total PoP ]],WWWW[[#This Row],[Total PoP ]],500*(WWWW[[#This Row],['#_male hygiene promoters]]+WWWW[[#This Row],['#_female hygiene promoters]]))</f>
        <v>0</v>
      </c>
      <c r="DM44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4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45" s="997">
        <f>IF(WWWW[[#This Row],['# People with access to soap]]&gt;WWWW[[#This Row],['# People with access to Sanity Pads]],WWWW[[#This Row],['# People with access to soap]],WWWW[[#This Row],['# People with access to Sanity Pads]])</f>
        <v>0</v>
      </c>
      <c r="DP445"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45" s="999">
        <f>IF(WWWW[[#This Row],[HRP3]]/WWWW[[#This Row],[Total PoP ]]&gt;1,1,WWWW[[#This Row],[HRP3]]/WWWW[[#This Row],[Total PoP ]])</f>
        <v>0</v>
      </c>
      <c r="DR445" s="998">
        <f>1-WWWW[[#This Row],[Hygiene Coverage%]]</f>
        <v>1</v>
      </c>
      <c r="DS445" s="996">
        <f>WWWW[[#This Row],['# people reached by regular dedicated hygiene promotion_5]]/WWWW[[#This Row],[Total PoP ]]</f>
        <v>0</v>
      </c>
      <c r="DT44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4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45" s="997">
        <f>WWWW[[#This Row],['#_Constructed/Existing hand washing stations]]-WWWW[[#This Row],['#_Non-Functional_hand_washing_stations]]</f>
        <v>8</v>
      </c>
      <c r="DW445" s="994">
        <f>IF(WWWW[[#This Row],['# Functional hand washing stations during reporting period]]*20&gt;WWWW[[#This Row],[Total HH]],WWWW[[#This Row],[Total HH]],WWWW[[#This Row],['# Functional hand washing stations during reporting period]]*20)</f>
        <v>127</v>
      </c>
      <c r="DX445" s="994">
        <f>IF(WWWW[[#This Row],[Is sufficient soap available for TLS? (Yes/No)]]="yes",WWWW[[#This Row],['#_Constructed/Existing hand washing stations at TLS/CFS/THF]],0)</f>
        <v>0</v>
      </c>
      <c r="DY445" s="428">
        <f>IF(WWWW[[#This Row],['# Functional hand washing stations during reporting period]]*100&gt;WWWW[[#This Row],[Total PoP ]],WWWW[[#This Row],[Total PoP ]],WWWW[[#This Row],['# Functional hand washing stations during reporting period]]*100)</f>
        <v>741</v>
      </c>
      <c r="DZ445" s="428" t="str">
        <f>IF(OR(WWWW[[#This Row],['#_students at TLS_CFS]]="",WWWW[[#This Row],['#_students at TLS_CFS]]=0),"No","Yes")</f>
        <v>No</v>
      </c>
      <c r="EA44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4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5" s="990" t="str">
        <f>VLOOKUP(WWWW[[#This Row],[Site Name]],SiteDB6[[Site Name]:[CCCM Management]],6,FALSE)</f>
        <v>Yes</v>
      </c>
      <c r="EF445" s="990" t="str">
        <f>VLOOKUP(WWWW[[#This Row],[Site Name]],SiteDB6[[Site Name]:[CCCM Focal Agency]],7,FALSE)</f>
        <v>KMSS-BMO</v>
      </c>
      <c r="EG445" s="990" t="str">
        <f>VLOOKUP(WWWW[[#This Row],[Site Name]],SiteDB6[[Site Name]:[Location Type 1]],9,FALSE)</f>
        <v>Camp</v>
      </c>
      <c r="EH445" s="990" t="str">
        <f>VLOOKUP(WWWW[[#This Row],[Site Name]],SiteDB6[[Site Name]:[Type of Accommodation]],10,FALSE)</f>
        <v>Camp</v>
      </c>
      <c r="EI445" s="990" t="str">
        <f>VLOOKUP(WWWW[[#This Row],[Site Name]],SiteDB6[[Site Name]:[Ethnic or GCA/NGCA]],11,FALSE)</f>
        <v>GCA</v>
      </c>
      <c r="EJ445" s="990">
        <f>VLOOKUP(WWWW[[#This Row],[Site Name]],SiteDB6[[Site Name]:[Lat]],12,FALSE)</f>
        <v>24.245100000000001</v>
      </c>
      <c r="EK445" s="990">
        <f>VLOOKUP(WWWW[[#This Row],[Site Name]],SiteDB6[[Site Name]:[Long]],13,FALSE)</f>
        <v>97.325019999999995</v>
      </c>
      <c r="EL445" s="990" t="str">
        <f>VLOOKUP(WWWW[[#This Row],[Site Name]],SiteDB6[[Site Name]:[Pcode]],3,FALSE)</f>
        <v>MMR001CMP062</v>
      </c>
      <c r="EM445" s="995" t="str">
        <f t="shared" si="8"/>
        <v>Covered</v>
      </c>
      <c r="EN445" s="995"/>
      <c r="EO445" s="990">
        <f>VLOOKUP(WWWW[[#This Row],[Site Name]],SiteDB6[[Site Name]:[Pop
(Kachin/Shan-CCCM as of July 2021)]],16,FALSE)</f>
        <v>122</v>
      </c>
      <c r="EP445" s="990">
        <f>VLOOKUP(WWWW[[#This Row],[Site Name]],SiteDB6[[Site Name]:[Pop
(Kachin/Shan-CCCM as of July 2021)]],17,FALSE)</f>
        <v>571</v>
      </c>
    </row>
    <row r="446" spans="1:146">
      <c r="A446" s="988" t="s">
        <v>2765</v>
      </c>
      <c r="B446" s="988" t="s">
        <v>276</v>
      </c>
      <c r="C446" s="989" t="s">
        <v>276</v>
      </c>
      <c r="D446" s="989" t="s">
        <v>3037</v>
      </c>
      <c r="E446" s="989" t="s">
        <v>37</v>
      </c>
      <c r="F446" s="989" t="s">
        <v>38</v>
      </c>
      <c r="G446" s="591" t="str">
        <f>VLOOKUP(WWWW[[#This Row],[Site Name]],SiteDB6[[Site Name]:[Location Type]],8,FALSE)</f>
        <v>Camp</v>
      </c>
      <c r="H446" s="989" t="s">
        <v>193</v>
      </c>
      <c r="I446" s="991">
        <v>172</v>
      </c>
      <c r="J446" s="991">
        <v>789</v>
      </c>
      <c r="K446" s="992">
        <v>44713</v>
      </c>
      <c r="L446" s="993">
        <v>44895</v>
      </c>
      <c r="M446" s="991"/>
      <c r="N446" s="991"/>
      <c r="O446" s="991"/>
      <c r="P446" s="991"/>
      <c r="Q446" s="994" t="s">
        <v>41</v>
      </c>
      <c r="R446" s="991"/>
      <c r="S446" s="991">
        <v>7</v>
      </c>
      <c r="T446" s="448">
        <v>4</v>
      </c>
      <c r="U446" s="991"/>
      <c r="V446" s="991">
        <v>4</v>
      </c>
      <c r="W446" s="991">
        <v>4</v>
      </c>
      <c r="X446" s="991"/>
      <c r="Y446" s="991">
        <v>1</v>
      </c>
      <c r="Z446" s="991">
        <v>2</v>
      </c>
      <c r="AA446" s="991"/>
      <c r="AB446" s="991"/>
      <c r="AC446" s="991"/>
      <c r="AD446" s="991"/>
      <c r="AE446" s="991"/>
      <c r="AF446" s="991"/>
      <c r="AG446" s="991">
        <v>1</v>
      </c>
      <c r="AH446" s="991"/>
      <c r="AI446" s="991">
        <v>2</v>
      </c>
      <c r="AJ446" s="991">
        <v>2</v>
      </c>
      <c r="AK446" s="991">
        <v>6</v>
      </c>
      <c r="AL446" s="991">
        <v>6</v>
      </c>
      <c r="AM446" s="991"/>
      <c r="AN446" s="991"/>
      <c r="AO446" s="448"/>
      <c r="AP446" s="995"/>
      <c r="AQ446" s="991">
        <v>44</v>
      </c>
      <c r="AR446" s="991"/>
      <c r="AS446" s="996"/>
      <c r="AT446" s="991"/>
      <c r="AU446" s="991"/>
      <c r="AV446" s="991">
        <v>39</v>
      </c>
      <c r="AW446" s="991">
        <v>33</v>
      </c>
      <c r="AX446" s="991"/>
      <c r="AY446" s="990" t="s">
        <v>41</v>
      </c>
      <c r="AZ446" s="995" t="s">
        <v>137</v>
      </c>
      <c r="BA446" s="991"/>
      <c r="BB446" s="991">
        <v>1</v>
      </c>
      <c r="BC446" s="991"/>
      <c r="BD446" s="448"/>
      <c r="BE446" s="448">
        <v>1</v>
      </c>
      <c r="BF446" s="990"/>
      <c r="BG446" s="991">
        <v>4</v>
      </c>
      <c r="BH446" s="991"/>
      <c r="BI446" s="991"/>
      <c r="BJ446" s="991">
        <v>5</v>
      </c>
      <c r="BK446" s="991"/>
      <c r="BL446" s="991"/>
      <c r="BM446" s="991"/>
      <c r="BN446" s="991"/>
      <c r="BO446" s="991"/>
      <c r="BP446" s="990"/>
      <c r="BQ446" s="997"/>
      <c r="BR446" s="996"/>
      <c r="BS446" s="990"/>
      <c r="BT446" s="423"/>
      <c r="BU446" s="423"/>
      <c r="BV446" s="425"/>
      <c r="BW446" s="423"/>
      <c r="BX446" s="448"/>
      <c r="BY446" s="448"/>
      <c r="BZ446" s="448"/>
      <c r="CA446" s="448"/>
      <c r="CB446" s="448"/>
      <c r="CC446" s="777"/>
      <c r="CD446" s="448"/>
      <c r="CE446" s="998">
        <f>IFERROR(WWWW[[#This Row],['#_Water sources passed]]/WWWW[[#This Row],['#_Water sources tested for fecal coliform ]],"no test")</f>
        <v>1</v>
      </c>
      <c r="CF446" s="996">
        <f>IFERROR(WWWW[[#This Row],['#_Household passed]]/WWWW[[#This Row],['#_Household water samples tested for fecal coliform]],"no test")</f>
        <v>1</v>
      </c>
      <c r="CG446" s="997" t="str">
        <f>IF(AND(WWWW[[#This Row],[% of water sources passed]]="no test",WWWW[[#This Row],[% Household passed]]="no test"),"No Test","Tested")</f>
        <v>Tested</v>
      </c>
      <c r="CH446" s="997">
        <f>WWWW[[#This Row],['#_Constructed/existing protected hand dug well]]-WWWW[[#This Row],['#_Non-functional protected hand dug well]]</f>
        <v>4</v>
      </c>
      <c r="CI446" s="997">
        <f>(WWWW[[#This Row],['#_Constructed/Existing tube wells/boreholes/handpumps_WASH_agency]]+WWWW[[#This Row],['#_Non-Cluster partner water tube-wells/boreholes/handpumps]])-WWWW[[#This Row],['#_Non-functional tube wells/boreholes/handpumps]]</f>
        <v>3</v>
      </c>
      <c r="CJ446" s="997">
        <f>WWWW[[#This Row],['#_Constructed/Existingwater storage tank with gravity fed reticulation system]]-WWWW[[#This Row],['#_Non-functional storage tank gravity fed reticulation system]]</f>
        <v>0</v>
      </c>
      <c r="CK446" s="997">
        <f>(WWWW[[#This Row],['#_Water_Liters_supplied_by_Water boating or water trucking]]/90)/15</f>
        <v>0</v>
      </c>
      <c r="CL446" s="997">
        <f>WWWW[[#This Row],['#_Water_Liters_from_Constructed/Existing water distribution system from river or natural spring]]/90/15</f>
        <v>0</v>
      </c>
      <c r="CM446" s="424">
        <f>IF(WWWW[[#This Row],['#_of water points in TLS/CFS]]*500&gt;WWWW[[#This Row],[Total PoP ]],WWWW[[#This Row],[Total PoP ]],WWWW[[#This Row],['#_of water points in TLS/CFS]]*500)</f>
        <v>0</v>
      </c>
      <c r="CN446" s="424">
        <f>IF(WWWW[[#This Row],['#_of water points in THF]]*500&gt;WWWW[[#This Row],[Total PoP ]],WWWW[[#This Row],[Total PoP ]],WWWW[[#This Row],['#_of water points in THF]]*500)</f>
        <v>0</v>
      </c>
      <c r="CO44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4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46" s="996">
        <f>IF(WWWW[[#This Row],[Location Type 1]]="Village",WWWW[[#This Row],[Access to safe drinking water for Village]],WWWW[[#This Row],[Access to safe drinking water for Camp]])</f>
        <v>1</v>
      </c>
      <c r="CR446" s="994">
        <f>WWWW[[#This Row],[%Equitable and continuous access to sufficient quantity of safe drinking water]]*WWWW[[#This Row],[Total PoP ]]</f>
        <v>789</v>
      </c>
      <c r="CS446" s="996">
        <f>IF((WWWW[[#This Row],['#_Constructed/Existing protected/fenced ponds]]*250)/WWWW[[#This Row],[Total PoP ]]&gt;1,1,(WWWW[[#This Row],['#_Constructed/Existing protected/fenced ponds]]*250)/WWWW[[#This Row],[Total PoP ]])</f>
        <v>0</v>
      </c>
      <c r="CT446" s="994">
        <f>WWWW[[#This Row],[% Access to unimproved water points]]*WWWW[[#This Row],[Total PoP ]]</f>
        <v>0</v>
      </c>
      <c r="CU44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4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W446" s="994">
        <f>WWWW[[#This Row],[HRP1]]/500</f>
        <v>1.5780000000000001</v>
      </c>
      <c r="CX446" s="999">
        <f>1-WWWW[[#This Row],[% Equitable and continuous access to sufficient quantity of domestic water]]</f>
        <v>0</v>
      </c>
      <c r="CY446" s="994">
        <f>WWWW[[#This Row],[%equitable and continuous access to sufficient quantity of safe drinking and domestic water''s GAP]]*WWWW[[#This Row],[Total PoP ]]</f>
        <v>0</v>
      </c>
      <c r="CZ446" s="997">
        <f>IF(WWWW[[#This Row],[Total required water points]]-WWWW[[#This Row],['#Water points coverage]]&lt;0,0,WWWW[[#This Row],[Total required water points]]-WWWW[[#This Row],['#Water points coverage]])</f>
        <v>0.42199999999999993</v>
      </c>
      <c r="DA446" s="997">
        <f>ROUND(IF(WWWW[[#This Row],[Total PoP ]]&lt;500,1,WWWW[[#This Row],[Total PoP ]]/500),0)</f>
        <v>2</v>
      </c>
      <c r="DB446" s="997">
        <f>(WWWW[[#This Row],['#_Constructed latrines_by_WASHAgencies]]+WWWW[[#This Row],['#_Non Cluster partner latrines]])-WWWW[[#This Row],['#_Non-functional latrines]]</f>
        <v>44</v>
      </c>
      <c r="DC446" s="631">
        <f>WWWW[[#This Row],[HRP2]]/WWWW[[#This Row],[Total PoP ]]</f>
        <v>1</v>
      </c>
      <c r="DD44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DE44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780</v>
      </c>
      <c r="DF44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46" s="424">
        <f>IF(WWWW[[#This Row],['# of functional latrines in THF supported by WASH partners during the reporting period2]]="",0,WWWW[[#This Row],['# of functional latrines in THF supported by WASH partners during the reporting period2]]*50)</f>
        <v>0</v>
      </c>
      <c r="DH446" s="997">
        <f>ROUND(IF(WWWW[[#This Row],[Location Type 1]]="camp",WWWW[[#This Row],[Total PoP ]]/20,IF(WWWW[[#This Row],[Location Type 1]]="Temporary Location",WWWW[[#This Row],[Total PoP ]]/50,(WWWW[[#This Row],[Total PoP ]]/6))),0)</f>
        <v>39</v>
      </c>
      <c r="DI446" s="997">
        <f>IF(WWWW[[#This Row],[Total required Latrines]]-(WWWW[[#This Row],['#_Constructed latrines_by_WASHAgencies]]+WWWW[[#This Row],['#_Non Cluster partner latrines]])&lt;0,0,WWWW[[#This Row],[Total required Latrines]]-(WWWW[[#This Row],['#_Constructed latrines_by_WASHAgencies]]+WWWW[[#This Row],['#_Non Cluster partner latrines]]))</f>
        <v>0</v>
      </c>
      <c r="DJ446" s="999">
        <f>1-WWWW[[#This Row],[% people access to functioning Latrine]]</f>
        <v>0</v>
      </c>
      <c r="DK446" s="998">
        <f>IF(OR(WWWW[[#This Row],['#_Non-functional latrines]]="",WWWW[[#This Row],['#_Non-functional latrines]]=0),0,WWWW[[#This Row],['#_Non-functional latrines]]/(WWWW[[#This Row],['#_Constructed latrines_by_WASHAgencies]]+WWWW[[#This Row],['#_Non Cluster partner latrines]]))</f>
        <v>0</v>
      </c>
      <c r="DL446" s="994">
        <f>IF(500*(WWWW[[#This Row],['#_male hygiene promoters]]+WWWW[[#This Row],['#_female hygiene promoters]])&gt;WWWW[[#This Row],[Total PoP ]],WWWW[[#This Row],[Total PoP ]],500*(WWWW[[#This Row],['#_male hygiene promoters]]+WWWW[[#This Row],['#_female hygiene promoters]]))</f>
        <v>0</v>
      </c>
      <c r="DM44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4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46" s="997">
        <f>IF(WWWW[[#This Row],['# People with access to soap]]&gt;WWWW[[#This Row],['# People with access to Sanity Pads]],WWWW[[#This Row],['# People with access to soap]],WWWW[[#This Row],['# People with access to Sanity Pads]])</f>
        <v>0</v>
      </c>
      <c r="DP446"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46" s="999">
        <f>IF(WWWW[[#This Row],[HRP3]]/WWWW[[#This Row],[Total PoP ]]&gt;1,1,WWWW[[#This Row],[HRP3]]/WWWW[[#This Row],[Total PoP ]])</f>
        <v>0</v>
      </c>
      <c r="DR446" s="998">
        <f>1-WWWW[[#This Row],[Hygiene Coverage%]]</f>
        <v>1</v>
      </c>
      <c r="DS446" s="996">
        <f>WWWW[[#This Row],['# people reached by regular dedicated hygiene promotion_5]]/WWWW[[#This Row],[Total PoP ]]</f>
        <v>0</v>
      </c>
      <c r="DT44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4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46" s="997">
        <f>WWWW[[#This Row],['#_Constructed/Existing hand washing stations]]-WWWW[[#This Row],['#_Non-Functional_hand_washing_stations]]</f>
        <v>4</v>
      </c>
      <c r="DW446" s="994">
        <f>IF(WWWW[[#This Row],['# Functional hand washing stations during reporting period]]*20&gt;WWWW[[#This Row],[Total HH]],WWWW[[#This Row],[Total HH]],WWWW[[#This Row],['# Functional hand washing stations during reporting period]]*20)</f>
        <v>80</v>
      </c>
      <c r="DX446" s="994">
        <f>IF(WWWW[[#This Row],[Is sufficient soap available for TLS? (Yes/No)]]="yes",WWWW[[#This Row],['#_Constructed/Existing hand washing stations at TLS/CFS/THF]],0)</f>
        <v>0</v>
      </c>
      <c r="DY446" s="428">
        <f>IF(WWWW[[#This Row],['# Functional hand washing stations during reporting period]]*100&gt;WWWW[[#This Row],[Total PoP ]],WWWW[[#This Row],[Total PoP ]],WWWW[[#This Row],['# Functional hand washing stations during reporting period]]*100)</f>
        <v>400</v>
      </c>
      <c r="DZ446" s="428" t="str">
        <f>IF(OR(WWWW[[#This Row],['#_students at TLS_CFS]]="",WWWW[[#This Row],['#_students at TLS_CFS]]=0),"No","Yes")</f>
        <v>No</v>
      </c>
      <c r="EA44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4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6" s="990" t="str">
        <f>VLOOKUP(WWWW[[#This Row],[Site Name]],SiteDB6[[Site Name]:[CCCM Management]],6,FALSE)</f>
        <v>Yes</v>
      </c>
      <c r="EF446" s="990" t="str">
        <f>VLOOKUP(WWWW[[#This Row],[Site Name]],SiteDB6[[Site Name]:[CCCM Focal Agency]],7,FALSE)</f>
        <v>KBC-BMO</v>
      </c>
      <c r="EG446" s="990" t="str">
        <f>VLOOKUP(WWWW[[#This Row],[Site Name]],SiteDB6[[Site Name]:[Location Type 1]],9,FALSE)</f>
        <v>Camp</v>
      </c>
      <c r="EH446" s="990" t="str">
        <f>VLOOKUP(WWWW[[#This Row],[Site Name]],SiteDB6[[Site Name]:[Type of Accommodation]],10,FALSE)</f>
        <v>Camp</v>
      </c>
      <c r="EI446" s="990" t="str">
        <f>VLOOKUP(WWWW[[#This Row],[Site Name]],SiteDB6[[Site Name]:[Ethnic or GCA/NGCA]],11,FALSE)</f>
        <v>GCA</v>
      </c>
      <c r="EJ446" s="990">
        <f>VLOOKUP(WWWW[[#This Row],[Site Name]],SiteDB6[[Site Name]:[Lat]],12,FALSE)</f>
        <v>24.129059999999999</v>
      </c>
      <c r="EK446" s="990">
        <f>VLOOKUP(WWWW[[#This Row],[Site Name]],SiteDB6[[Site Name]:[Long]],13,FALSE)</f>
        <v>97.291820000000001</v>
      </c>
      <c r="EL446" s="990" t="str">
        <f>VLOOKUP(WWWW[[#This Row],[Site Name]],SiteDB6[[Site Name]:[Pcode]],3,FALSE)</f>
        <v>MMR001CMP066</v>
      </c>
      <c r="EM446" s="995" t="str">
        <f t="shared" si="8"/>
        <v>Covered</v>
      </c>
      <c r="EN446" s="995"/>
      <c r="EO446" s="990">
        <f>VLOOKUP(WWWW[[#This Row],[Site Name]],SiteDB6[[Site Name]:[Pop
(Kachin/Shan-CCCM as of July 2021)]],16,FALSE)</f>
        <v>181</v>
      </c>
      <c r="EP446" s="990">
        <f>VLOOKUP(WWWW[[#This Row],[Site Name]],SiteDB6[[Site Name]:[Pop
(Kachin/Shan-CCCM as of July 2021)]],17,FALSE)</f>
        <v>815</v>
      </c>
    </row>
    <row r="447" spans="1:146">
      <c r="A447" s="988" t="s">
        <v>2765</v>
      </c>
      <c r="B447" s="988" t="s">
        <v>3041</v>
      </c>
      <c r="C447" s="989" t="s">
        <v>3042</v>
      </c>
      <c r="D447" s="989" t="s">
        <v>3043</v>
      </c>
      <c r="E447" s="989" t="s">
        <v>37</v>
      </c>
      <c r="F447" s="989" t="s">
        <v>214</v>
      </c>
      <c r="G447" s="591" t="str">
        <f>VLOOKUP(WWWW[[#This Row],[Site Name]],SiteDB6[[Site Name]:[Location Type]],8,FALSE)</f>
        <v>Camp</v>
      </c>
      <c r="H447" s="989" t="s">
        <v>215</v>
      </c>
      <c r="I447" s="991">
        <v>60</v>
      </c>
      <c r="J447" s="991">
        <v>300</v>
      </c>
      <c r="K447" s="992" t="s">
        <v>3167</v>
      </c>
      <c r="L447" s="993" t="s">
        <v>3045</v>
      </c>
      <c r="M447" s="991">
        <v>95</v>
      </c>
      <c r="N447" s="991">
        <v>4</v>
      </c>
      <c r="O447" s="991"/>
      <c r="P447" s="991"/>
      <c r="Q447" s="994" t="s">
        <v>41</v>
      </c>
      <c r="R447" s="991">
        <v>2</v>
      </c>
      <c r="S447" s="991">
        <v>4</v>
      </c>
      <c r="T447" s="448"/>
      <c r="U447" s="991"/>
      <c r="V447" s="991"/>
      <c r="W447" s="991">
        <v>2</v>
      </c>
      <c r="X447" s="991">
        <v>2</v>
      </c>
      <c r="Y447" s="991"/>
      <c r="Z447" s="991">
        <v>2</v>
      </c>
      <c r="AA447" s="991"/>
      <c r="AB447" s="991"/>
      <c r="AC447" s="991"/>
      <c r="AD447" s="991"/>
      <c r="AE447" s="991"/>
      <c r="AF447" s="991"/>
      <c r="AG447" s="991">
        <v>1</v>
      </c>
      <c r="AH447" s="991"/>
      <c r="AI447" s="991">
        <v>1</v>
      </c>
      <c r="AJ447" s="991">
        <v>1</v>
      </c>
      <c r="AK447" s="991">
        <v>9</v>
      </c>
      <c r="AL447" s="991">
        <v>6</v>
      </c>
      <c r="AM447" s="991">
        <v>2</v>
      </c>
      <c r="AN447" s="991"/>
      <c r="AO447" s="448"/>
      <c r="AP447" s="995"/>
      <c r="AQ447" s="991">
        <v>13</v>
      </c>
      <c r="AR447" s="991"/>
      <c r="AS447" s="996">
        <v>4</v>
      </c>
      <c r="AT447" s="991">
        <v>5</v>
      </c>
      <c r="AU447" s="991"/>
      <c r="AV447" s="991">
        <v>12</v>
      </c>
      <c r="AW447" s="991">
        <v>27</v>
      </c>
      <c r="AX447" s="991"/>
      <c r="AY447" s="990" t="s">
        <v>41</v>
      </c>
      <c r="AZ447" s="995" t="s">
        <v>137</v>
      </c>
      <c r="BA447" s="991">
        <v>2</v>
      </c>
      <c r="BB447" s="991"/>
      <c r="BC447" s="991">
        <v>4</v>
      </c>
      <c r="BD447" s="448"/>
      <c r="BE447" s="448">
        <v>4</v>
      </c>
      <c r="BF447" s="990"/>
      <c r="BG447" s="991">
        <v>3</v>
      </c>
      <c r="BH447" s="991"/>
      <c r="BI447" s="991"/>
      <c r="BJ447" s="991">
        <v>9</v>
      </c>
      <c r="BK447" s="991">
        <v>1</v>
      </c>
      <c r="BL447" s="991">
        <v>2</v>
      </c>
      <c r="BM447" s="991">
        <v>2</v>
      </c>
      <c r="BN447" s="991"/>
      <c r="BO447" s="991"/>
      <c r="BP447" s="990" t="s">
        <v>41</v>
      </c>
      <c r="BQ447" s="997"/>
      <c r="BR447" s="996"/>
      <c r="BS447" s="990"/>
      <c r="BT447" s="423"/>
      <c r="BU447" s="423"/>
      <c r="BV447" s="425"/>
      <c r="BW447" s="423"/>
      <c r="BX447" s="448"/>
      <c r="BY447" s="448"/>
      <c r="BZ447" s="448"/>
      <c r="CA447" s="448"/>
      <c r="CB447" s="448"/>
      <c r="CC447" s="777"/>
      <c r="CD447" s="448"/>
      <c r="CE447" s="998">
        <f>IFERROR(WWWW[[#This Row],['#_Water sources passed]]/WWWW[[#This Row],['#_Water sources tested for fecal coliform ]],"no test")</f>
        <v>1</v>
      </c>
      <c r="CF447" s="996">
        <f>IFERROR(WWWW[[#This Row],['#_Household passed]]/WWWW[[#This Row],['#_Household water samples tested for fecal coliform]],"no test")</f>
        <v>0.66666666666666663</v>
      </c>
      <c r="CG447" s="997" t="str">
        <f>IF(AND(WWWW[[#This Row],[% of water sources passed]]="no test",WWWW[[#This Row],[% Household passed]]="no test"),"No Test","Tested")</f>
        <v>Tested</v>
      </c>
      <c r="CH447" s="997">
        <f>WWWW[[#This Row],['#_Constructed/existing protected hand dug well]]-WWWW[[#This Row],['#_Non-functional protected hand dug well]]</f>
        <v>0</v>
      </c>
      <c r="CI447" s="997">
        <f>(WWWW[[#This Row],['#_Constructed/Existing tube wells/boreholes/handpumps_WASH_agency]]+WWWW[[#This Row],['#_Non-Cluster partner water tube-wells/boreholes/handpumps]])-WWWW[[#This Row],['#_Non-functional tube wells/boreholes/handpumps]]</f>
        <v>4</v>
      </c>
      <c r="CJ447" s="997">
        <f>WWWW[[#This Row],['#_Constructed/Existingwater storage tank with gravity fed reticulation system]]-WWWW[[#This Row],['#_Non-functional storage tank gravity fed reticulation system]]</f>
        <v>0</v>
      </c>
      <c r="CK447" s="997">
        <f>(WWWW[[#This Row],['#_Water_Liters_supplied_by_Water boating or water trucking]]/90)/15</f>
        <v>0</v>
      </c>
      <c r="CL447" s="997">
        <f>WWWW[[#This Row],['#_Water_Liters_from_Constructed/Existing water distribution system from river or natural spring]]/90/15</f>
        <v>0</v>
      </c>
      <c r="CM447" s="424">
        <f>IF(WWWW[[#This Row],['#_of water points in TLS/CFS]]*500&gt;WWWW[[#This Row],[Total PoP ]],WWWW[[#This Row],[Total PoP ]],WWWW[[#This Row],['#_of water points in TLS/CFS]]*500)</f>
        <v>0</v>
      </c>
      <c r="CN447" s="424">
        <f>IF(WWWW[[#This Row],['#_of water points in THF]]*500&gt;WWWW[[#This Row],[Total PoP ]],WWWW[[#This Row],[Total PoP ]],WWWW[[#This Row],['#_of water points in THF]]*500)</f>
        <v>0</v>
      </c>
      <c r="CO44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4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47" s="996">
        <f>IF(WWWW[[#This Row],[Location Type 1]]="Village",WWWW[[#This Row],[Access to safe drinking water for Village]],WWWW[[#This Row],[Access to safe drinking water for Camp]])</f>
        <v>1</v>
      </c>
      <c r="CR447" s="994">
        <f>WWWW[[#This Row],[%Equitable and continuous access to sufficient quantity of safe drinking water]]*WWWW[[#This Row],[Total PoP ]]</f>
        <v>300</v>
      </c>
      <c r="CS447" s="996">
        <f>IF((WWWW[[#This Row],['#_Constructed/Existing protected/fenced ponds]]*250)/WWWW[[#This Row],[Total PoP ]]&gt;1,1,(WWWW[[#This Row],['#_Constructed/Existing protected/fenced ponds]]*250)/WWWW[[#This Row],[Total PoP ]])</f>
        <v>0</v>
      </c>
      <c r="CT447" s="994">
        <f>WWWW[[#This Row],[% Access to unimproved water points]]*WWWW[[#This Row],[Total PoP ]]</f>
        <v>0</v>
      </c>
      <c r="CU44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4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W447" s="994">
        <f>WWWW[[#This Row],[HRP1]]/500</f>
        <v>0.6</v>
      </c>
      <c r="CX447" s="999">
        <f>1-WWWW[[#This Row],[% Equitable and continuous access to sufficient quantity of domestic water]]</f>
        <v>0</v>
      </c>
      <c r="CY447" s="994">
        <f>WWWW[[#This Row],[%equitable and continuous access to sufficient quantity of safe drinking and domestic water''s GAP]]*WWWW[[#This Row],[Total PoP ]]</f>
        <v>0</v>
      </c>
      <c r="CZ447" s="997">
        <f>IF(WWWW[[#This Row],[Total required water points]]-WWWW[[#This Row],['#Water points coverage]]&lt;0,0,WWWW[[#This Row],[Total required water points]]-WWWW[[#This Row],['#Water points coverage]])</f>
        <v>0.4</v>
      </c>
      <c r="DA447" s="997">
        <f>ROUND(IF(WWWW[[#This Row],[Total PoP ]]&lt;500,1,WWWW[[#This Row],[Total PoP ]]/500),0)</f>
        <v>1</v>
      </c>
      <c r="DB447" s="997">
        <f>(WWWW[[#This Row],['#_Constructed latrines_by_WASHAgencies]]+WWWW[[#This Row],['#_Non Cluster partner latrines]])-WWWW[[#This Row],['#_Non-functional latrines]]</f>
        <v>8</v>
      </c>
      <c r="DC447" s="631">
        <f>WWWW[[#This Row],[HRP2]]/WWWW[[#This Row],[Total PoP ]]</f>
        <v>0.68</v>
      </c>
      <c r="DD44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204</v>
      </c>
      <c r="DE44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F44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95</v>
      </c>
      <c r="DG447" s="424">
        <f>IF(WWWW[[#This Row],['# of functional latrines in THF supported by WASH partners during the reporting period2]]="",0,WWWW[[#This Row],['# of functional latrines in THF supported by WASH partners during the reporting period2]]*50)</f>
        <v>0</v>
      </c>
      <c r="DH447" s="997">
        <f>ROUND(IF(WWWW[[#This Row],[Location Type 1]]="camp",WWWW[[#This Row],[Total PoP ]]/20,IF(WWWW[[#This Row],[Location Type 1]]="Temporary Location",WWWW[[#This Row],[Total PoP ]]/50,(WWWW[[#This Row],[Total PoP ]]/6))),0)</f>
        <v>15</v>
      </c>
      <c r="DI447" s="997">
        <f>IF(WWWW[[#This Row],[Total required Latrines]]-(WWWW[[#This Row],['#_Constructed latrines_by_WASHAgencies]]+WWWW[[#This Row],['#_Non Cluster partner latrines]])&lt;0,0,WWWW[[#This Row],[Total required Latrines]]-(WWWW[[#This Row],['#_Constructed latrines_by_WASHAgencies]]+WWWW[[#This Row],['#_Non Cluster partner latrines]]))</f>
        <v>2</v>
      </c>
      <c r="DJ447" s="999">
        <f>1-WWWW[[#This Row],[% people access to functioning Latrine]]</f>
        <v>0.31999999999999995</v>
      </c>
      <c r="DK447" s="998">
        <f>IF(OR(WWWW[[#This Row],['#_Non-functional latrines]]="",WWWW[[#This Row],['#_Non-functional latrines]]=0),0,WWWW[[#This Row],['#_Non-functional latrines]]/(WWWW[[#This Row],['#_Constructed latrines_by_WASHAgencies]]+WWWW[[#This Row],['#_Non Cluster partner latrines]]))</f>
        <v>0.38461538461538464</v>
      </c>
      <c r="DL447" s="994">
        <f>IF(500*(WWWW[[#This Row],['#_male hygiene promoters]]+WWWW[[#This Row],['#_female hygiene promoters]])&gt;WWWW[[#This Row],[Total PoP ]],WWWW[[#This Row],[Total PoP ]],500*(WWWW[[#This Row],['#_male hygiene promoters]]+WWWW[[#This Row],['#_female hygiene promoters]]))</f>
        <v>300</v>
      </c>
      <c r="DM44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4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47" s="997">
        <f>IF(WWWW[[#This Row],['# People with access to soap]]&gt;WWWW[[#This Row],['# People with access to Sanity Pads]],WWWW[[#This Row],['# People with access to soap]],WWWW[[#This Row],['# People with access to Sanity Pads]])</f>
        <v>0</v>
      </c>
      <c r="DP447" s="997">
        <f>IF(WWWW[[#This Row],['# people reached by regular dedicated hygiene promotion_5]]&gt;WWWW[[#This Row],['# People received regular supply of hygiene items_6]],WWWW[[#This Row],['# people reached by regular dedicated hygiene promotion_5]],WWWW[[#This Row],['# People received regular supply of hygiene items_6]])</f>
        <v>300</v>
      </c>
      <c r="DQ447" s="999">
        <f>IF(WWWW[[#This Row],[HRP3]]/WWWW[[#This Row],[Total PoP ]]&gt;1,1,WWWW[[#This Row],[HRP3]]/WWWW[[#This Row],[Total PoP ]])</f>
        <v>1</v>
      </c>
      <c r="DR447" s="998">
        <f>1-WWWW[[#This Row],[Hygiene Coverage%]]</f>
        <v>0</v>
      </c>
      <c r="DS447" s="996">
        <f>WWWW[[#This Row],['# people reached by regular dedicated hygiene promotion_5]]/WWWW[[#This Row],[Total PoP ]]</f>
        <v>1</v>
      </c>
      <c r="DT44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4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47" s="997">
        <f>WWWW[[#This Row],['#_Constructed/Existing hand washing stations]]-WWWW[[#This Row],['#_Non-Functional_hand_washing_stations]]</f>
        <v>3</v>
      </c>
      <c r="DW447" s="994">
        <f>IF(WWWW[[#This Row],['# Functional hand washing stations during reporting period]]*20&gt;WWWW[[#This Row],[Total HH]],WWWW[[#This Row],[Total HH]],WWWW[[#This Row],['# Functional hand washing stations during reporting period]]*20)</f>
        <v>60</v>
      </c>
      <c r="DX447" s="994">
        <f>IF(WWWW[[#This Row],[Is sufficient soap available for TLS? (Yes/No)]]="yes",WWWW[[#This Row],['#_Constructed/Existing hand washing stations at TLS/CFS/THF]],0)</f>
        <v>2</v>
      </c>
      <c r="DY447" s="428">
        <f>IF(WWWW[[#This Row],['# Functional hand washing stations during reporting period]]*100&gt;WWWW[[#This Row],[Total PoP ]],WWWW[[#This Row],[Total PoP ]],WWWW[[#This Row],['# Functional hand washing stations during reporting period]]*100)</f>
        <v>300</v>
      </c>
      <c r="DZ447" s="428" t="str">
        <f>IF(OR(WWWW[[#This Row],['#_students at TLS_CFS]]="",WWWW[[#This Row],['#_students at TLS_CFS]]=0),"No","Yes")</f>
        <v>Yes</v>
      </c>
      <c r="EA44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95</v>
      </c>
      <c r="ED44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7" s="990" t="str">
        <f>VLOOKUP(WWWW[[#This Row],[Site Name]],SiteDB6[[Site Name]:[CCCM Management]],6,FALSE)</f>
        <v>Yes</v>
      </c>
      <c r="EF447" s="990" t="str">
        <f>VLOOKUP(WWWW[[#This Row],[Site Name]],SiteDB6[[Site Name]:[CCCM Focal Agency]],7,FALSE)</f>
        <v>KBC-BMO</v>
      </c>
      <c r="EG447" s="990" t="str">
        <f>VLOOKUP(WWWW[[#This Row],[Site Name]],SiteDB6[[Site Name]:[Location Type 1]],9,FALSE)</f>
        <v>Camp</v>
      </c>
      <c r="EH447" s="990" t="str">
        <f>VLOOKUP(WWWW[[#This Row],[Site Name]],SiteDB6[[Site Name]:[Type of Accommodation]],10,FALSE)</f>
        <v>Camp</v>
      </c>
      <c r="EI447" s="990" t="str">
        <f>VLOOKUP(WWWW[[#This Row],[Site Name]],SiteDB6[[Site Name]:[Ethnic or GCA/NGCA]],11,FALSE)</f>
        <v>GCA</v>
      </c>
      <c r="EJ447" s="990">
        <f>VLOOKUP(WWWW[[#This Row],[Site Name]],SiteDB6[[Site Name]:[Lat]],12,FALSE)</f>
        <v>24.200361000000001</v>
      </c>
      <c r="EK447" s="990">
        <f>VLOOKUP(WWWW[[#This Row],[Site Name]],SiteDB6[[Site Name]:[Long]],13,FALSE)</f>
        <v>96.807353000000006</v>
      </c>
      <c r="EL447" s="990" t="str">
        <f>VLOOKUP(WWWW[[#This Row],[Site Name]],SiteDB6[[Site Name]:[Pcode]],3,FALSE)</f>
        <v>MMR001CMP067</v>
      </c>
      <c r="EM447" s="995" t="str">
        <f t="shared" si="8"/>
        <v>Covered</v>
      </c>
      <c r="EN447" s="995"/>
      <c r="EO447" s="990">
        <f>VLOOKUP(WWWW[[#This Row],[Site Name]],SiteDB6[[Site Name]:[Pop
(Kachin/Shan-CCCM as of July 2021)]],16,FALSE)</f>
        <v>46</v>
      </c>
      <c r="EP447" s="990">
        <f>VLOOKUP(WWWW[[#This Row],[Site Name]],SiteDB6[[Site Name]:[Pop
(Kachin/Shan-CCCM as of July 2021)]],17,FALSE)</f>
        <v>263</v>
      </c>
    </row>
    <row r="448" spans="1:146">
      <c r="A448" s="988" t="s">
        <v>2765</v>
      </c>
      <c r="B448" s="988" t="s">
        <v>276</v>
      </c>
      <c r="C448" s="989" t="s">
        <v>276</v>
      </c>
      <c r="D448" s="989" t="s">
        <v>3037</v>
      </c>
      <c r="E448" s="989" t="s">
        <v>37</v>
      </c>
      <c r="F448" s="989" t="s">
        <v>214</v>
      </c>
      <c r="G448" s="591" t="str">
        <f>VLOOKUP(WWWW[[#This Row],[Site Name]],SiteDB6[[Site Name]:[Location Type]],8,FALSE)</f>
        <v>Camp</v>
      </c>
      <c r="H448" s="989" t="s">
        <v>216</v>
      </c>
      <c r="I448" s="991">
        <v>43</v>
      </c>
      <c r="J448" s="991">
        <v>182</v>
      </c>
      <c r="K448" s="992">
        <v>44713</v>
      </c>
      <c r="L448" s="993">
        <v>44895</v>
      </c>
      <c r="M448" s="991"/>
      <c r="N448" s="991"/>
      <c r="O448" s="991"/>
      <c r="P448" s="991"/>
      <c r="Q448" s="994" t="s">
        <v>41</v>
      </c>
      <c r="R448" s="991">
        <v>1</v>
      </c>
      <c r="S448" s="991">
        <v>3</v>
      </c>
      <c r="T448" s="448"/>
      <c r="U448" s="991"/>
      <c r="V448" s="991"/>
      <c r="W448" s="991">
        <v>2</v>
      </c>
      <c r="X448" s="991"/>
      <c r="Y448" s="991"/>
      <c r="Z448" s="991">
        <v>1</v>
      </c>
      <c r="AA448" s="991"/>
      <c r="AB448" s="991"/>
      <c r="AC448" s="991"/>
      <c r="AD448" s="991"/>
      <c r="AE448" s="991"/>
      <c r="AF448" s="991"/>
      <c r="AG448" s="991">
        <v>1</v>
      </c>
      <c r="AH448" s="991"/>
      <c r="AI448" s="991">
        <v>1</v>
      </c>
      <c r="AJ448" s="991">
        <v>1</v>
      </c>
      <c r="AK448" s="991">
        <v>6</v>
      </c>
      <c r="AL448" s="991">
        <v>4</v>
      </c>
      <c r="AM448" s="991"/>
      <c r="AN448" s="991"/>
      <c r="AO448" s="448"/>
      <c r="AP448" s="995"/>
      <c r="AQ448" s="991">
        <v>10</v>
      </c>
      <c r="AR448" s="991"/>
      <c r="AS448" s="996"/>
      <c r="AT448" s="991"/>
      <c r="AU448" s="991">
        <v>3</v>
      </c>
      <c r="AV448" s="991">
        <v>6</v>
      </c>
      <c r="AW448" s="991">
        <v>12</v>
      </c>
      <c r="AX448" s="991"/>
      <c r="AY448" s="990" t="s">
        <v>41</v>
      </c>
      <c r="AZ448" s="995" t="s">
        <v>137</v>
      </c>
      <c r="BA448" s="991"/>
      <c r="BB448" s="991"/>
      <c r="BC448" s="991"/>
      <c r="BD448" s="448"/>
      <c r="BE448" s="448"/>
      <c r="BF448" s="990"/>
      <c r="BG448" s="991">
        <v>3</v>
      </c>
      <c r="BH448" s="991"/>
      <c r="BI448" s="991"/>
      <c r="BJ448" s="991">
        <v>2</v>
      </c>
      <c r="BK448" s="991"/>
      <c r="BL448" s="991"/>
      <c r="BM448" s="991"/>
      <c r="BN448" s="991"/>
      <c r="BO448" s="991"/>
      <c r="BP448" s="990"/>
      <c r="BQ448" s="997"/>
      <c r="BR448" s="996"/>
      <c r="BS448" s="990"/>
      <c r="BT448" s="423"/>
      <c r="BU448" s="423"/>
      <c r="BV448" s="425"/>
      <c r="BW448" s="423"/>
      <c r="BX448" s="448"/>
      <c r="BY448" s="448"/>
      <c r="BZ448" s="448"/>
      <c r="CA448" s="448"/>
      <c r="CB448" s="448"/>
      <c r="CC448" s="777"/>
      <c r="CD448" s="448"/>
      <c r="CE448" s="998">
        <f>IFERROR(WWWW[[#This Row],['#_Water sources passed]]/WWWW[[#This Row],['#_Water sources tested for fecal coliform ]],"no test")</f>
        <v>1</v>
      </c>
      <c r="CF448" s="996">
        <f>IFERROR(WWWW[[#This Row],['#_Household passed]]/WWWW[[#This Row],['#_Household water samples tested for fecal coliform]],"no test")</f>
        <v>0.66666666666666663</v>
      </c>
      <c r="CG448" s="997" t="str">
        <f>IF(AND(WWWW[[#This Row],[% of water sources passed]]="no test",WWWW[[#This Row],[% Household passed]]="no test"),"No Test","Tested")</f>
        <v>Tested</v>
      </c>
      <c r="CH448" s="997">
        <f>WWWW[[#This Row],['#_Constructed/existing protected hand dug well]]-WWWW[[#This Row],['#_Non-functional protected hand dug well]]</f>
        <v>0</v>
      </c>
      <c r="CI448" s="997">
        <f>(WWWW[[#This Row],['#_Constructed/Existing tube wells/boreholes/handpumps_WASH_agency]]+WWWW[[#This Row],['#_Non-Cluster partner water tube-wells/boreholes/handpumps]])-WWWW[[#This Row],['#_Non-functional tube wells/boreholes/handpumps]]</f>
        <v>2</v>
      </c>
      <c r="CJ448" s="997">
        <f>WWWW[[#This Row],['#_Constructed/Existingwater storage tank with gravity fed reticulation system]]-WWWW[[#This Row],['#_Non-functional storage tank gravity fed reticulation system]]</f>
        <v>0</v>
      </c>
      <c r="CK448" s="997">
        <f>(WWWW[[#This Row],['#_Water_Liters_supplied_by_Water boating or water trucking]]/90)/15</f>
        <v>0</v>
      </c>
      <c r="CL448" s="997">
        <f>WWWW[[#This Row],['#_Water_Liters_from_Constructed/Existing water distribution system from river or natural spring]]/90/15</f>
        <v>0</v>
      </c>
      <c r="CM448" s="424">
        <f>IF(WWWW[[#This Row],['#_of water points in TLS/CFS]]*500&gt;WWWW[[#This Row],[Total PoP ]],WWWW[[#This Row],[Total PoP ]],WWWW[[#This Row],['#_of water points in TLS/CFS]]*500)</f>
        <v>0</v>
      </c>
      <c r="CN448" s="424">
        <f>IF(WWWW[[#This Row],['#_of water points in THF]]*500&gt;WWWW[[#This Row],[Total PoP ]],WWWW[[#This Row],[Total PoP ]],WWWW[[#This Row],['#_of water points in THF]]*500)</f>
        <v>0</v>
      </c>
      <c r="CO44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4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48" s="996">
        <f>IF(WWWW[[#This Row],[Location Type 1]]="Village",WWWW[[#This Row],[Access to safe drinking water for Village]],WWWW[[#This Row],[Access to safe drinking water for Camp]])</f>
        <v>1</v>
      </c>
      <c r="CR448" s="994">
        <f>WWWW[[#This Row],[%Equitable and continuous access to sufficient quantity of safe drinking water]]*WWWW[[#This Row],[Total PoP ]]</f>
        <v>182</v>
      </c>
      <c r="CS448" s="996">
        <f>IF((WWWW[[#This Row],['#_Constructed/Existing protected/fenced ponds]]*250)/WWWW[[#This Row],[Total PoP ]]&gt;1,1,(WWWW[[#This Row],['#_Constructed/Existing protected/fenced ponds]]*250)/WWWW[[#This Row],[Total PoP ]])</f>
        <v>0</v>
      </c>
      <c r="CT448" s="994">
        <f>WWWW[[#This Row],[% Access to unimproved water points]]*WWWW[[#This Row],[Total PoP ]]</f>
        <v>0</v>
      </c>
      <c r="CU44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4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W448" s="994">
        <f>WWWW[[#This Row],[HRP1]]/500</f>
        <v>0.36399999999999999</v>
      </c>
      <c r="CX448" s="999">
        <f>1-WWWW[[#This Row],[% Equitable and continuous access to sufficient quantity of domestic water]]</f>
        <v>0</v>
      </c>
      <c r="CY448" s="994">
        <f>WWWW[[#This Row],[%equitable and continuous access to sufficient quantity of safe drinking and domestic water''s GAP]]*WWWW[[#This Row],[Total PoP ]]</f>
        <v>0</v>
      </c>
      <c r="CZ448" s="997">
        <f>IF(WWWW[[#This Row],[Total required water points]]-WWWW[[#This Row],['#Water points coverage]]&lt;0,0,WWWW[[#This Row],[Total required water points]]-WWWW[[#This Row],['#Water points coverage]])</f>
        <v>0.63600000000000001</v>
      </c>
      <c r="DA448" s="997">
        <f>ROUND(IF(WWWW[[#This Row],[Total PoP ]]&lt;500,1,WWWW[[#This Row],[Total PoP ]]/500),0)</f>
        <v>1</v>
      </c>
      <c r="DB448" s="997">
        <f>(WWWW[[#This Row],['#_Constructed latrines_by_WASHAgencies]]+WWWW[[#This Row],['#_Non Cluster partner latrines]])-WWWW[[#This Row],['#_Non-functional latrines]]</f>
        <v>10</v>
      </c>
      <c r="DC448" s="631">
        <f>WWWW[[#This Row],[HRP2]]/WWWW[[#This Row],[Total PoP ]]</f>
        <v>1</v>
      </c>
      <c r="DD44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DE44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44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48" s="424">
        <f>IF(WWWW[[#This Row],['# of functional latrines in THF supported by WASH partners during the reporting period2]]="",0,WWWW[[#This Row],['# of functional latrines in THF supported by WASH partners during the reporting period2]]*50)</f>
        <v>0</v>
      </c>
      <c r="DH448" s="997">
        <f>ROUND(IF(WWWW[[#This Row],[Location Type 1]]="camp",WWWW[[#This Row],[Total PoP ]]/20,IF(WWWW[[#This Row],[Location Type 1]]="Temporary Location",WWWW[[#This Row],[Total PoP ]]/50,(WWWW[[#This Row],[Total PoP ]]/6))),0)</f>
        <v>9</v>
      </c>
      <c r="DI448" s="997">
        <f>IF(WWWW[[#This Row],[Total required Latrines]]-(WWWW[[#This Row],['#_Constructed latrines_by_WASHAgencies]]+WWWW[[#This Row],['#_Non Cluster partner latrines]])&lt;0,0,WWWW[[#This Row],[Total required Latrines]]-(WWWW[[#This Row],['#_Constructed latrines_by_WASHAgencies]]+WWWW[[#This Row],['#_Non Cluster partner latrines]]))</f>
        <v>0</v>
      </c>
      <c r="DJ448" s="999">
        <f>1-WWWW[[#This Row],[% people access to functioning Latrine]]</f>
        <v>0</v>
      </c>
      <c r="DK448" s="998">
        <f>IF(OR(WWWW[[#This Row],['#_Non-functional latrines]]="",WWWW[[#This Row],['#_Non-functional latrines]]=0),0,WWWW[[#This Row],['#_Non-functional latrines]]/(WWWW[[#This Row],['#_Constructed latrines_by_WASHAgencies]]+WWWW[[#This Row],['#_Non Cluster partner latrines]]))</f>
        <v>0</v>
      </c>
      <c r="DL448" s="994">
        <f>IF(500*(WWWW[[#This Row],['#_male hygiene promoters]]+WWWW[[#This Row],['#_female hygiene promoters]])&gt;WWWW[[#This Row],[Total PoP ]],WWWW[[#This Row],[Total PoP ]],500*(WWWW[[#This Row],['#_male hygiene promoters]]+WWWW[[#This Row],['#_female hygiene promoters]]))</f>
        <v>0</v>
      </c>
      <c r="DM44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4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48" s="997">
        <f>IF(WWWW[[#This Row],['# People with access to soap]]&gt;WWWW[[#This Row],['# People with access to Sanity Pads]],WWWW[[#This Row],['# People with access to soap]],WWWW[[#This Row],['# People with access to Sanity Pads]])</f>
        <v>0</v>
      </c>
      <c r="DP448"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48" s="999">
        <f>IF(WWWW[[#This Row],[HRP3]]/WWWW[[#This Row],[Total PoP ]]&gt;1,1,WWWW[[#This Row],[HRP3]]/WWWW[[#This Row],[Total PoP ]])</f>
        <v>0</v>
      </c>
      <c r="DR448" s="998">
        <f>1-WWWW[[#This Row],[Hygiene Coverage%]]</f>
        <v>1</v>
      </c>
      <c r="DS448" s="996">
        <f>WWWW[[#This Row],['# people reached by regular dedicated hygiene promotion_5]]/WWWW[[#This Row],[Total PoP ]]</f>
        <v>0</v>
      </c>
      <c r="DT44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4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48" s="997">
        <f>WWWW[[#This Row],['#_Constructed/Existing hand washing stations]]-WWWW[[#This Row],['#_Non-Functional_hand_washing_stations]]</f>
        <v>3</v>
      </c>
      <c r="DW448" s="994">
        <f>IF(WWWW[[#This Row],['# Functional hand washing stations during reporting period]]*20&gt;WWWW[[#This Row],[Total HH]],WWWW[[#This Row],[Total HH]],WWWW[[#This Row],['# Functional hand washing stations during reporting period]]*20)</f>
        <v>43</v>
      </c>
      <c r="DX448" s="994">
        <f>IF(WWWW[[#This Row],[Is sufficient soap available for TLS? (Yes/No)]]="yes",WWWW[[#This Row],['#_Constructed/Existing hand washing stations at TLS/CFS/THF]],0)</f>
        <v>0</v>
      </c>
      <c r="DY448" s="428">
        <f>IF(WWWW[[#This Row],['# Functional hand washing stations during reporting period]]*100&gt;WWWW[[#This Row],[Total PoP ]],WWWW[[#This Row],[Total PoP ]],WWWW[[#This Row],['# Functional hand washing stations during reporting period]]*100)</f>
        <v>182</v>
      </c>
      <c r="DZ448" s="428" t="str">
        <f>IF(OR(WWWW[[#This Row],['#_students at TLS_CFS]]="",WWWW[[#This Row],['#_students at TLS_CFS]]=0),"No","Yes")</f>
        <v>No</v>
      </c>
      <c r="EA44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4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8" s="990" t="str">
        <f>VLOOKUP(WWWW[[#This Row],[Site Name]],SiteDB6[[Site Name]:[CCCM Management]],6,FALSE)</f>
        <v>Yes</v>
      </c>
      <c r="EF448" s="990" t="str">
        <f>VLOOKUP(WWWW[[#This Row],[Site Name]],SiteDB6[[Site Name]:[CCCM Focal Agency]],7,FALSE)</f>
        <v>KMSS-BMO</v>
      </c>
      <c r="EG448" s="990" t="str">
        <f>VLOOKUP(WWWW[[#This Row],[Site Name]],SiteDB6[[Site Name]:[Location Type 1]],9,FALSE)</f>
        <v>Camp</v>
      </c>
      <c r="EH448" s="990" t="str">
        <f>VLOOKUP(WWWW[[#This Row],[Site Name]],SiteDB6[[Site Name]:[Type of Accommodation]],10,FALSE)</f>
        <v>Camp</v>
      </c>
      <c r="EI448" s="990" t="str">
        <f>VLOOKUP(WWWW[[#This Row],[Site Name]],SiteDB6[[Site Name]:[Ethnic or GCA/NGCA]],11,FALSE)</f>
        <v>GCA</v>
      </c>
      <c r="EJ448" s="990">
        <f>VLOOKUP(WWWW[[#This Row],[Site Name]],SiteDB6[[Site Name]:[Lat]],12,FALSE)</f>
        <v>24.200367</v>
      </c>
      <c r="EK448" s="990">
        <f>VLOOKUP(WWWW[[#This Row],[Site Name]],SiteDB6[[Site Name]:[Long]],13,FALSE)</f>
        <v>96.807353000000006</v>
      </c>
      <c r="EL448" s="990" t="str">
        <f>VLOOKUP(WWWW[[#This Row],[Site Name]],SiteDB6[[Site Name]:[Pcode]],3,FALSE)</f>
        <v>MMR001CMP068</v>
      </c>
      <c r="EM448" s="995" t="str">
        <f t="shared" si="8"/>
        <v>Covered</v>
      </c>
      <c r="EN448" s="995"/>
      <c r="EO448" s="990">
        <f>VLOOKUP(WWWW[[#This Row],[Site Name]],SiteDB6[[Site Name]:[Pop
(Kachin/Shan-CCCM as of July 2021)]],16,FALSE)</f>
        <v>35</v>
      </c>
      <c r="EP448" s="990">
        <f>VLOOKUP(WWWW[[#This Row],[Site Name]],SiteDB6[[Site Name]:[Pop
(Kachin/Shan-CCCM as of July 2021)]],17,FALSE)</f>
        <v>170</v>
      </c>
    </row>
    <row r="449" spans="1:146">
      <c r="A449" s="988" t="s">
        <v>2765</v>
      </c>
      <c r="B449" s="988" t="s">
        <v>276</v>
      </c>
      <c r="C449" s="989" t="s">
        <v>276</v>
      </c>
      <c r="D449" s="989" t="s">
        <v>3037</v>
      </c>
      <c r="E449" s="989" t="s">
        <v>37</v>
      </c>
      <c r="F449" s="989" t="s">
        <v>205</v>
      </c>
      <c r="G449" s="591" t="str">
        <f>VLOOKUP(WWWW[[#This Row],[Site Name]],SiteDB6[[Site Name]:[Location Type]],8,FALSE)</f>
        <v>Camp</v>
      </c>
      <c r="H449" s="989" t="s">
        <v>282</v>
      </c>
      <c r="I449" s="991">
        <v>68</v>
      </c>
      <c r="J449" s="991">
        <v>426</v>
      </c>
      <c r="K449" s="992">
        <v>44652</v>
      </c>
      <c r="L449" s="993">
        <v>44895</v>
      </c>
      <c r="M449" s="991"/>
      <c r="N449" s="991"/>
      <c r="O449" s="991">
        <v>1</v>
      </c>
      <c r="P449" s="991"/>
      <c r="Q449" s="994" t="s">
        <v>41</v>
      </c>
      <c r="R449" s="991">
        <v>5</v>
      </c>
      <c r="S449" s="991">
        <v>6</v>
      </c>
      <c r="T449" s="448"/>
      <c r="U449" s="991"/>
      <c r="V449" s="991"/>
      <c r="W449" s="991">
        <v>1</v>
      </c>
      <c r="X449" s="991"/>
      <c r="Y449" s="991"/>
      <c r="Z449" s="991"/>
      <c r="AA449" s="991">
        <v>1</v>
      </c>
      <c r="AB449" s="991">
        <v>1</v>
      </c>
      <c r="AC449" s="991"/>
      <c r="AD449" s="991"/>
      <c r="AE449" s="991"/>
      <c r="AF449" s="991"/>
      <c r="AG449" s="991">
        <v>1</v>
      </c>
      <c r="AH449" s="991"/>
      <c r="AI449" s="991"/>
      <c r="AJ449" s="991"/>
      <c r="AK449" s="991">
        <v>4</v>
      </c>
      <c r="AL449" s="991">
        <v>4</v>
      </c>
      <c r="AM449" s="991"/>
      <c r="AN449" s="991"/>
      <c r="AO449" s="448"/>
      <c r="AP449" s="995"/>
      <c r="AQ449" s="991">
        <v>6</v>
      </c>
      <c r="AR449" s="991"/>
      <c r="AS449" s="996"/>
      <c r="AT449" s="991"/>
      <c r="AU449" s="991"/>
      <c r="AV449" s="991">
        <v>6</v>
      </c>
      <c r="AW449" s="991">
        <v>22</v>
      </c>
      <c r="AX449" s="991"/>
      <c r="AY449" s="990" t="s">
        <v>41</v>
      </c>
      <c r="AZ449" s="995" t="s">
        <v>137</v>
      </c>
      <c r="BA449" s="991"/>
      <c r="BB449" s="991">
        <v>1</v>
      </c>
      <c r="BC449" s="991"/>
      <c r="BD449" s="448"/>
      <c r="BE449" s="448">
        <v>6</v>
      </c>
      <c r="BF449" s="990"/>
      <c r="BG449" s="991">
        <v>3</v>
      </c>
      <c r="BH449" s="991"/>
      <c r="BI449" s="991"/>
      <c r="BJ449" s="991">
        <v>2</v>
      </c>
      <c r="BK449" s="991"/>
      <c r="BL449" s="991"/>
      <c r="BM449" s="991">
        <v>1</v>
      </c>
      <c r="BN449" s="991">
        <v>68</v>
      </c>
      <c r="BO449" s="991"/>
      <c r="BP449" s="990"/>
      <c r="BQ449" s="997"/>
      <c r="BR449" s="996"/>
      <c r="BS449" s="990"/>
      <c r="BT449" s="423"/>
      <c r="BU449" s="423"/>
      <c r="BV449" s="425"/>
      <c r="BW449" s="423"/>
      <c r="BX449" s="448"/>
      <c r="BY449" s="448"/>
      <c r="BZ449" s="448"/>
      <c r="CA449" s="448"/>
      <c r="CB449" s="448"/>
      <c r="CC449" s="777"/>
      <c r="CD449" s="448"/>
      <c r="CE449" s="998" t="str">
        <f>IFERROR(WWWW[[#This Row],['#_Water sources passed]]/WWWW[[#This Row],['#_Water sources tested for fecal coliform ]],"no test")</f>
        <v>no test</v>
      </c>
      <c r="CF449" s="996">
        <f>IFERROR(WWWW[[#This Row],['#_Household passed]]/WWWW[[#This Row],['#_Household water samples tested for fecal coliform]],"no test")</f>
        <v>1</v>
      </c>
      <c r="CG449" s="997" t="str">
        <f>IF(AND(WWWW[[#This Row],[% of water sources passed]]="no test",WWWW[[#This Row],[% Household passed]]="no test"),"No Test","Tested")</f>
        <v>Tested</v>
      </c>
      <c r="CH449" s="997">
        <f>WWWW[[#This Row],['#_Constructed/existing protected hand dug well]]-WWWW[[#This Row],['#_Non-functional protected hand dug well]]</f>
        <v>0</v>
      </c>
      <c r="CI449" s="997">
        <f>(WWWW[[#This Row],['#_Constructed/Existing tube wells/boreholes/handpumps_WASH_agency]]+WWWW[[#This Row],['#_Non-Cluster partner water tube-wells/boreholes/handpumps]])-WWWW[[#This Row],['#_Non-functional tube wells/boreholes/handpumps]]</f>
        <v>1</v>
      </c>
      <c r="CJ449" s="997">
        <f>WWWW[[#This Row],['#_Constructed/Existingwater storage tank with gravity fed reticulation system]]-WWWW[[#This Row],['#_Non-functional storage tank gravity fed reticulation system]]</f>
        <v>0</v>
      </c>
      <c r="CK449" s="997">
        <f>(WWWW[[#This Row],['#_Water_Liters_supplied_by_Water boating or water trucking]]/90)/15</f>
        <v>0</v>
      </c>
      <c r="CL449" s="997">
        <f>WWWW[[#This Row],['#_Water_Liters_from_Constructed/Existing water distribution system from river or natural spring]]/90/15</f>
        <v>0</v>
      </c>
      <c r="CM449" s="424">
        <f>IF(WWWW[[#This Row],['#_of water points in TLS/CFS]]*500&gt;WWWW[[#This Row],[Total PoP ]],WWWW[[#This Row],[Total PoP ]],WWWW[[#This Row],['#_of water points in TLS/CFS]]*500)</f>
        <v>0</v>
      </c>
      <c r="CN449" s="424">
        <f>IF(WWWW[[#This Row],['#_of water points in THF]]*500&gt;WWWW[[#This Row],[Total PoP ]],WWWW[[#This Row],[Total PoP ]],WWWW[[#This Row],['#_of water points in THF]]*500)</f>
        <v>0</v>
      </c>
      <c r="CO44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4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0.58685446009389675</v>
      </c>
      <c r="CQ449" s="996">
        <f>IF(WWWW[[#This Row],[Location Type 1]]="Village",WWWW[[#This Row],[Access to safe drinking water for Village]],WWWW[[#This Row],[Access to safe drinking water for Camp]])</f>
        <v>1</v>
      </c>
      <c r="CR449" s="994">
        <f>WWWW[[#This Row],[%Equitable and continuous access to sufficient quantity of safe drinking water]]*WWWW[[#This Row],[Total PoP ]]</f>
        <v>426</v>
      </c>
      <c r="CS449" s="996">
        <f>IF((WWWW[[#This Row],['#_Constructed/Existing protected/fenced ponds]]*250)/WWWW[[#This Row],[Total PoP ]]&gt;1,1,(WWWW[[#This Row],['#_Constructed/Existing protected/fenced ponds]]*250)/WWWW[[#This Row],[Total PoP ]])</f>
        <v>0</v>
      </c>
      <c r="CT449" s="994">
        <f>WWWW[[#This Row],[% Access to unimproved water points]]*WWWW[[#This Row],[Total PoP ]]</f>
        <v>0</v>
      </c>
      <c r="CU44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4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W449" s="994">
        <f>WWWW[[#This Row],[HRP1]]/500</f>
        <v>0.85199999999999998</v>
      </c>
      <c r="CX449" s="999">
        <f>1-WWWW[[#This Row],[% Equitable and continuous access to sufficient quantity of domestic water]]</f>
        <v>0</v>
      </c>
      <c r="CY449" s="994">
        <f>WWWW[[#This Row],[%equitable and continuous access to sufficient quantity of safe drinking and domestic water''s GAP]]*WWWW[[#This Row],[Total PoP ]]</f>
        <v>0</v>
      </c>
      <c r="CZ449" s="997">
        <f>IF(WWWW[[#This Row],[Total required water points]]-WWWW[[#This Row],['#Water points coverage]]&lt;0,0,WWWW[[#This Row],[Total required water points]]-WWWW[[#This Row],['#Water points coverage]])</f>
        <v>0.14800000000000002</v>
      </c>
      <c r="DA449" s="997">
        <f>ROUND(IF(WWWW[[#This Row],[Total PoP ]]&lt;500,1,WWWW[[#This Row],[Total PoP ]]/500),0)</f>
        <v>1</v>
      </c>
      <c r="DB449" s="997">
        <f>(WWWW[[#This Row],['#_Constructed latrines_by_WASHAgencies]]+WWWW[[#This Row],['#_Non Cluster partner latrines]])-WWWW[[#This Row],['#_Non-functional latrines]]</f>
        <v>6</v>
      </c>
      <c r="DC449" s="631">
        <f>WWWW[[#This Row],[HRP2]]/WWWW[[#This Row],[Total PoP ]]</f>
        <v>0.29577464788732394</v>
      </c>
      <c r="DD44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126</v>
      </c>
      <c r="DE44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44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49" s="424">
        <f>IF(WWWW[[#This Row],['# of functional latrines in THF supported by WASH partners during the reporting period2]]="",0,WWWW[[#This Row],['# of functional latrines in THF supported by WASH partners during the reporting period2]]*50)</f>
        <v>0</v>
      </c>
      <c r="DH449" s="997">
        <f>ROUND(IF(WWWW[[#This Row],[Location Type 1]]="camp",WWWW[[#This Row],[Total PoP ]]/20,IF(WWWW[[#This Row],[Location Type 1]]="Temporary Location",WWWW[[#This Row],[Total PoP ]]/50,(WWWW[[#This Row],[Total PoP ]]/6))),0)</f>
        <v>21</v>
      </c>
      <c r="DI449" s="997">
        <f>IF(WWWW[[#This Row],[Total required Latrines]]-(WWWW[[#This Row],['#_Constructed latrines_by_WASHAgencies]]+WWWW[[#This Row],['#_Non Cluster partner latrines]])&lt;0,0,WWWW[[#This Row],[Total required Latrines]]-(WWWW[[#This Row],['#_Constructed latrines_by_WASHAgencies]]+WWWW[[#This Row],['#_Non Cluster partner latrines]]))</f>
        <v>15</v>
      </c>
      <c r="DJ449" s="999">
        <f>1-WWWW[[#This Row],[% people access to functioning Latrine]]</f>
        <v>0.70422535211267601</v>
      </c>
      <c r="DK449" s="998">
        <f>IF(OR(WWWW[[#This Row],['#_Non-functional latrines]]="",WWWW[[#This Row],['#_Non-functional latrines]]=0),0,WWWW[[#This Row],['#_Non-functional latrines]]/(WWWW[[#This Row],['#_Constructed latrines_by_WASHAgencies]]+WWWW[[#This Row],['#_Non Cluster partner latrines]]))</f>
        <v>0</v>
      </c>
      <c r="DL449" s="994">
        <f>IF(500*(WWWW[[#This Row],['#_male hygiene promoters]]+WWWW[[#This Row],['#_female hygiene promoters]])&gt;WWWW[[#This Row],[Total PoP ]],WWWW[[#This Row],[Total PoP ]],500*(WWWW[[#This Row],['#_male hygiene promoters]]+WWWW[[#This Row],['#_female hygiene promoters]]))</f>
        <v>426</v>
      </c>
      <c r="DM44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426</v>
      </c>
      <c r="DN44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49" s="997">
        <f>IF(WWWW[[#This Row],['# People with access to soap]]&gt;WWWW[[#This Row],['# People with access to Sanity Pads]],WWWW[[#This Row],['# People with access to soap]],WWWW[[#This Row],['# People with access to Sanity Pads]])</f>
        <v>426</v>
      </c>
      <c r="DP449" s="997">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Q449" s="999">
        <f>IF(WWWW[[#This Row],[HRP3]]/WWWW[[#This Row],[Total PoP ]]&gt;1,1,WWWW[[#This Row],[HRP3]]/WWWW[[#This Row],[Total PoP ]])</f>
        <v>1</v>
      </c>
      <c r="DR449" s="998">
        <f>1-WWWW[[#This Row],[Hygiene Coverage%]]</f>
        <v>0</v>
      </c>
      <c r="DS449" s="996">
        <f>WWWW[[#This Row],['# people reached by regular dedicated hygiene promotion_5]]/WWWW[[#This Row],[Total PoP ]]</f>
        <v>1</v>
      </c>
      <c r="DT44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4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49" s="997">
        <f>WWWW[[#This Row],['#_Constructed/Existing hand washing stations]]-WWWW[[#This Row],['#_Non-Functional_hand_washing_stations]]</f>
        <v>3</v>
      </c>
      <c r="DW449" s="994">
        <f>IF(WWWW[[#This Row],['# Functional hand washing stations during reporting period]]*20&gt;WWWW[[#This Row],[Total HH]],WWWW[[#This Row],[Total HH]],WWWW[[#This Row],['# Functional hand washing stations during reporting period]]*20)</f>
        <v>60</v>
      </c>
      <c r="DX449" s="994">
        <f>IF(WWWW[[#This Row],[Is sufficient soap available for TLS? (Yes/No)]]="yes",WWWW[[#This Row],['#_Constructed/Existing hand washing stations at TLS/CFS/THF]],0)</f>
        <v>0</v>
      </c>
      <c r="DY449" s="428">
        <f>IF(WWWW[[#This Row],['# Functional hand washing stations during reporting period]]*100&gt;WWWW[[#This Row],[Total PoP ]],WWWW[[#This Row],[Total PoP ]],WWWW[[#This Row],['# Functional hand washing stations during reporting period]]*100)</f>
        <v>300</v>
      </c>
      <c r="DZ449" s="428" t="str">
        <f>IF(OR(WWWW[[#This Row],['#_students at TLS_CFS]]="",WWWW[[#This Row],['#_students at TLS_CFS]]=0),"No","Yes")</f>
        <v>No</v>
      </c>
      <c r="EA44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4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9" s="990" t="str">
        <f>VLOOKUP(WWWW[[#This Row],[Site Name]],SiteDB6[[Site Name]:[CCCM Management]],6,FALSE)</f>
        <v>Yes</v>
      </c>
      <c r="EF449" s="990" t="str">
        <f>VLOOKUP(WWWW[[#This Row],[Site Name]],SiteDB6[[Site Name]:[CCCM Focal Agency]],7,FALSE)</f>
        <v>KMSS-BMO</v>
      </c>
      <c r="EG449" s="990" t="str">
        <f>VLOOKUP(WWWW[[#This Row],[Site Name]],SiteDB6[[Site Name]:[Location Type 1]],9,FALSE)</f>
        <v>Camp</v>
      </c>
      <c r="EH449" s="990" t="str">
        <f>VLOOKUP(WWWW[[#This Row],[Site Name]],SiteDB6[[Site Name]:[Type of Accommodation]],10,FALSE)</f>
        <v>Camp</v>
      </c>
      <c r="EI449" s="990" t="str">
        <f>VLOOKUP(WWWW[[#This Row],[Site Name]],SiteDB6[[Site Name]:[Ethnic or GCA/NGCA]],11,FALSE)</f>
        <v>GCA</v>
      </c>
      <c r="EJ449" s="990">
        <f>VLOOKUP(WWWW[[#This Row],[Site Name]],SiteDB6[[Site Name]:[Lat]],12,FALSE)</f>
        <v>24.205417000000001</v>
      </c>
      <c r="EK449" s="990">
        <f>VLOOKUP(WWWW[[#This Row],[Site Name]],SiteDB6[[Site Name]:[Long]],13,FALSE)</f>
        <v>97.724566999999993</v>
      </c>
      <c r="EL449" s="990" t="str">
        <f>VLOOKUP(WWWW[[#This Row],[Site Name]],SiteDB6[[Site Name]:[Pcode]],3,FALSE)</f>
        <v>MMR001CMP069</v>
      </c>
      <c r="EM449" s="995" t="str">
        <f t="shared" si="8"/>
        <v>Covered</v>
      </c>
      <c r="EN449" s="995"/>
      <c r="EO449" s="990">
        <f>VLOOKUP(WWWW[[#This Row],[Site Name]],SiteDB6[[Site Name]:[Pop
(Kachin/Shan-CCCM as of July 2021)]],16,FALSE)</f>
        <v>79</v>
      </c>
      <c r="EP449" s="990">
        <f>VLOOKUP(WWWW[[#This Row],[Site Name]],SiteDB6[[Site Name]:[Pop
(Kachin/Shan-CCCM as of July 2021)]],17,FALSE)</f>
        <v>448</v>
      </c>
    </row>
    <row r="450" spans="1:146">
      <c r="A450" s="988" t="s">
        <v>2765</v>
      </c>
      <c r="B450" s="988" t="s">
        <v>276</v>
      </c>
      <c r="C450" s="989" t="s">
        <v>276</v>
      </c>
      <c r="D450" s="989" t="s">
        <v>3037</v>
      </c>
      <c r="E450" s="989" t="s">
        <v>37</v>
      </c>
      <c r="F450" s="989" t="s">
        <v>205</v>
      </c>
      <c r="G450" s="591" t="str">
        <f>VLOOKUP(WWWW[[#This Row],[Site Name]],SiteDB6[[Site Name]:[Location Type]],8,FALSE)</f>
        <v>Camp</v>
      </c>
      <c r="H450" s="989" t="s">
        <v>283</v>
      </c>
      <c r="I450" s="991">
        <v>232</v>
      </c>
      <c r="J450" s="991">
        <v>1322</v>
      </c>
      <c r="K450" s="992">
        <v>44652</v>
      </c>
      <c r="L450" s="993">
        <v>44895</v>
      </c>
      <c r="M450" s="991"/>
      <c r="N450" s="991"/>
      <c r="O450" s="991">
        <v>4</v>
      </c>
      <c r="P450" s="991"/>
      <c r="Q450" s="994" t="s">
        <v>41</v>
      </c>
      <c r="R450" s="991">
        <v>11</v>
      </c>
      <c r="S450" s="991">
        <v>13</v>
      </c>
      <c r="T450" s="448">
        <v>5</v>
      </c>
      <c r="U450" s="991"/>
      <c r="V450" s="991"/>
      <c r="W450" s="991">
        <v>3</v>
      </c>
      <c r="X450" s="991"/>
      <c r="Y450" s="991">
        <v>1</v>
      </c>
      <c r="Z450" s="991"/>
      <c r="AA450" s="991">
        <v>4</v>
      </c>
      <c r="AB450" s="991"/>
      <c r="AC450" s="991">
        <v>1</v>
      </c>
      <c r="AD450" s="991"/>
      <c r="AE450" s="991"/>
      <c r="AF450" s="991"/>
      <c r="AG450" s="991">
        <v>1</v>
      </c>
      <c r="AH450" s="991"/>
      <c r="AI450" s="991"/>
      <c r="AJ450" s="991"/>
      <c r="AK450" s="991">
        <v>24</v>
      </c>
      <c r="AL450" s="991">
        <v>24</v>
      </c>
      <c r="AM450" s="991"/>
      <c r="AN450" s="991"/>
      <c r="AO450" s="448"/>
      <c r="AP450" s="995"/>
      <c r="AQ450" s="991">
        <v>40</v>
      </c>
      <c r="AR450" s="991"/>
      <c r="AS450" s="996"/>
      <c r="AT450" s="991"/>
      <c r="AU450" s="991"/>
      <c r="AV450" s="991">
        <v>40</v>
      </c>
      <c r="AW450" s="991">
        <v>37</v>
      </c>
      <c r="AX450" s="991"/>
      <c r="AY450" s="990" t="s">
        <v>41</v>
      </c>
      <c r="AZ450" s="995" t="s">
        <v>137</v>
      </c>
      <c r="BA450" s="991"/>
      <c r="BB450" s="991"/>
      <c r="BC450" s="991"/>
      <c r="BD450" s="448"/>
      <c r="BE450" s="448">
        <v>3</v>
      </c>
      <c r="BF450" s="990"/>
      <c r="BG450" s="991">
        <v>3</v>
      </c>
      <c r="BH450" s="991"/>
      <c r="BI450" s="991"/>
      <c r="BJ450" s="991">
        <v>6</v>
      </c>
      <c r="BK450" s="991"/>
      <c r="BL450" s="991"/>
      <c r="BM450" s="991">
        <v>4</v>
      </c>
      <c r="BN450" s="991">
        <v>232</v>
      </c>
      <c r="BO450" s="991"/>
      <c r="BP450" s="990"/>
      <c r="BQ450" s="997"/>
      <c r="BR450" s="996"/>
      <c r="BS450" s="990"/>
      <c r="BT450" s="423"/>
      <c r="BU450" s="423"/>
      <c r="BV450" s="425">
        <v>3</v>
      </c>
      <c r="BW450" s="423">
        <v>0.66</v>
      </c>
      <c r="BX450" s="448"/>
      <c r="BY450" s="448"/>
      <c r="BZ450" s="448"/>
      <c r="CA450" s="448"/>
      <c r="CB450" s="448"/>
      <c r="CC450" s="777"/>
      <c r="CD450" s="448"/>
      <c r="CE450" s="998" t="str">
        <f>IFERROR(WWWW[[#This Row],['#_Water sources passed]]/WWWW[[#This Row],['#_Water sources tested for fecal coliform ]],"no test")</f>
        <v>no test</v>
      </c>
      <c r="CF450" s="996">
        <f>IFERROR(WWWW[[#This Row],['#_Household passed]]/WWWW[[#This Row],['#_Household water samples tested for fecal coliform]],"no test")</f>
        <v>1</v>
      </c>
      <c r="CG450" s="997" t="str">
        <f>IF(AND(WWWW[[#This Row],[% of water sources passed]]="no test",WWWW[[#This Row],[% Household passed]]="no test"),"No Test","Tested")</f>
        <v>Tested</v>
      </c>
      <c r="CH450" s="997">
        <f>WWWW[[#This Row],['#_Constructed/existing protected hand dug well]]-WWWW[[#This Row],['#_Non-functional protected hand dug well]]</f>
        <v>5</v>
      </c>
      <c r="CI450" s="997">
        <f>(WWWW[[#This Row],['#_Constructed/Existing tube wells/boreholes/handpumps_WASH_agency]]+WWWW[[#This Row],['#_Non-Cluster partner water tube-wells/boreholes/handpumps]])-WWWW[[#This Row],['#_Non-functional tube wells/boreholes/handpumps]]</f>
        <v>2</v>
      </c>
      <c r="CJ450" s="997">
        <f>WWWW[[#This Row],['#_Constructed/Existingwater storage tank with gravity fed reticulation system]]-WWWW[[#This Row],['#_Non-functional storage tank gravity fed reticulation system]]</f>
        <v>4</v>
      </c>
      <c r="CK450" s="997">
        <f>(WWWW[[#This Row],['#_Water_Liters_supplied_by_Water boating or water trucking]]/90)/15</f>
        <v>0</v>
      </c>
      <c r="CL450" s="997">
        <f>WWWW[[#This Row],['#_Water_Liters_from_Constructed/Existing water distribution system from river or natural spring]]/90/15</f>
        <v>0</v>
      </c>
      <c r="CM450" s="424">
        <f>IF(WWWW[[#This Row],['#_of water points in TLS/CFS]]*500&gt;WWWW[[#This Row],[Total PoP ]],WWWW[[#This Row],[Total PoP ]],WWWW[[#This Row],['#_of water points in TLS/CFS]]*500)</f>
        <v>0</v>
      </c>
      <c r="CN450" s="424">
        <f>IF(WWWW[[#This Row],['#_of water points in THF]]*500&gt;WWWW[[#This Row],[Total PoP ]],WWWW[[#This Row],[Total PoP ]],WWWW[[#This Row],['#_of water points in THF]]*500)</f>
        <v>0</v>
      </c>
      <c r="CO45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5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50" s="996">
        <f>IF(WWWW[[#This Row],[Location Type 1]]="Village",WWWW[[#This Row],[Access to safe drinking water for Village]],WWWW[[#This Row],[Access to safe drinking water for Camp]])</f>
        <v>1</v>
      </c>
      <c r="CR450" s="994">
        <f>WWWW[[#This Row],[%Equitable and continuous access to sufficient quantity of safe drinking water]]*WWWW[[#This Row],[Total PoP ]]</f>
        <v>1322</v>
      </c>
      <c r="CS450" s="996">
        <f>IF((WWWW[[#This Row],['#_Constructed/Existing protected/fenced ponds]]*250)/WWWW[[#This Row],[Total PoP ]]&gt;1,1,(WWWW[[#This Row],['#_Constructed/Existing protected/fenced ponds]]*250)/WWWW[[#This Row],[Total PoP ]])</f>
        <v>0</v>
      </c>
      <c r="CT450" s="994">
        <f>WWWW[[#This Row],[% Access to unimproved water points]]*WWWW[[#This Row],[Total PoP ]]</f>
        <v>0</v>
      </c>
      <c r="CU45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5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1322</v>
      </c>
      <c r="CW450" s="994">
        <f>WWWW[[#This Row],[HRP1]]/500</f>
        <v>2.6440000000000001</v>
      </c>
      <c r="CX450" s="999">
        <f>1-WWWW[[#This Row],[% Equitable and continuous access to sufficient quantity of domestic water]]</f>
        <v>0</v>
      </c>
      <c r="CY450" s="994">
        <f>WWWW[[#This Row],[%equitable and continuous access to sufficient quantity of safe drinking and domestic water''s GAP]]*WWWW[[#This Row],[Total PoP ]]</f>
        <v>0</v>
      </c>
      <c r="CZ450" s="997">
        <f>IF(WWWW[[#This Row],[Total required water points]]-WWWW[[#This Row],['#Water points coverage]]&lt;0,0,WWWW[[#This Row],[Total required water points]]-WWWW[[#This Row],['#Water points coverage]])</f>
        <v>0.35599999999999987</v>
      </c>
      <c r="DA450" s="997">
        <f>ROUND(IF(WWWW[[#This Row],[Total PoP ]]&lt;500,1,WWWW[[#This Row],[Total PoP ]]/500),0)</f>
        <v>3</v>
      </c>
      <c r="DB450" s="997">
        <f>(WWWW[[#This Row],['#_Constructed latrines_by_WASHAgencies]]+WWWW[[#This Row],['#_Non Cluster partner latrines]])-WWWW[[#This Row],['#_Non-functional latrines]]</f>
        <v>40</v>
      </c>
      <c r="DC450" s="631">
        <f>WWWW[[#This Row],[HRP2]]/WWWW[[#This Row],[Total PoP ]]</f>
        <v>0.60741301059001518</v>
      </c>
      <c r="DD45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803</v>
      </c>
      <c r="DE45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800</v>
      </c>
      <c r="DF45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0" s="424">
        <f>IF(WWWW[[#This Row],['# of functional latrines in THF supported by WASH partners during the reporting period2]]="",0,WWWW[[#This Row],['# of functional latrines in THF supported by WASH partners during the reporting period2]]*50)</f>
        <v>0</v>
      </c>
      <c r="DH450" s="997">
        <f>ROUND(IF(WWWW[[#This Row],[Location Type 1]]="camp",WWWW[[#This Row],[Total PoP ]]/20,IF(WWWW[[#This Row],[Location Type 1]]="Temporary Location",WWWW[[#This Row],[Total PoP ]]/50,(WWWW[[#This Row],[Total PoP ]]/6))),0)</f>
        <v>66</v>
      </c>
      <c r="DI450" s="997">
        <f>IF(WWWW[[#This Row],[Total required Latrines]]-(WWWW[[#This Row],['#_Constructed latrines_by_WASHAgencies]]+WWWW[[#This Row],['#_Non Cluster partner latrines]])&lt;0,0,WWWW[[#This Row],[Total required Latrines]]-(WWWW[[#This Row],['#_Constructed latrines_by_WASHAgencies]]+WWWW[[#This Row],['#_Non Cluster partner latrines]]))</f>
        <v>26</v>
      </c>
      <c r="DJ450" s="999">
        <f>1-WWWW[[#This Row],[% people access to functioning Latrine]]</f>
        <v>0.39258698940998482</v>
      </c>
      <c r="DK450" s="998">
        <f>IF(OR(WWWW[[#This Row],['#_Non-functional latrines]]="",WWWW[[#This Row],['#_Non-functional latrines]]=0),0,WWWW[[#This Row],['#_Non-functional latrines]]/(WWWW[[#This Row],['#_Constructed latrines_by_WASHAgencies]]+WWWW[[#This Row],['#_Non Cluster partner latrines]]))</f>
        <v>0</v>
      </c>
      <c r="DL450" s="994">
        <f>IF(500*(WWWW[[#This Row],['#_male hygiene promoters]]+WWWW[[#This Row],['#_female hygiene promoters]])&gt;WWWW[[#This Row],[Total PoP ]],WWWW[[#This Row],[Total PoP ]],500*(WWWW[[#This Row],['#_male hygiene promoters]]+WWWW[[#This Row],['#_female hygiene promoters]]))</f>
        <v>1322</v>
      </c>
      <c r="DM45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1322</v>
      </c>
      <c r="DN45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50" s="997">
        <f>IF(WWWW[[#This Row],['# People with access to soap]]&gt;WWWW[[#This Row],['# People with access to Sanity Pads]],WWWW[[#This Row],['# People with access to soap]],WWWW[[#This Row],['# People with access to Sanity Pads]])</f>
        <v>1322</v>
      </c>
      <c r="DP450" s="997">
        <f>IF(WWWW[[#This Row],['# people reached by regular dedicated hygiene promotion_5]]&gt;WWWW[[#This Row],['# People received regular supply of hygiene items_6]],WWWW[[#This Row],['# people reached by regular dedicated hygiene promotion_5]],WWWW[[#This Row],['# People received regular supply of hygiene items_6]])</f>
        <v>1322</v>
      </c>
      <c r="DQ450" s="999">
        <f>IF(WWWW[[#This Row],[HRP3]]/WWWW[[#This Row],[Total PoP ]]&gt;1,1,WWWW[[#This Row],[HRP3]]/WWWW[[#This Row],[Total PoP ]])</f>
        <v>1</v>
      </c>
      <c r="DR450" s="998">
        <f>1-WWWW[[#This Row],[Hygiene Coverage%]]</f>
        <v>0</v>
      </c>
      <c r="DS450" s="996">
        <f>WWWW[[#This Row],['# people reached by regular dedicated hygiene promotion_5]]/WWWW[[#This Row],[Total PoP ]]</f>
        <v>1</v>
      </c>
      <c r="DT45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5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50" s="997">
        <f>WWWW[[#This Row],['#_Constructed/Existing hand washing stations]]-WWWW[[#This Row],['#_Non-Functional_hand_washing_stations]]</f>
        <v>3</v>
      </c>
      <c r="DW450" s="994">
        <f>IF(WWWW[[#This Row],['# Functional hand washing stations during reporting period]]*20&gt;WWWW[[#This Row],[Total HH]],WWWW[[#This Row],[Total HH]],WWWW[[#This Row],['# Functional hand washing stations during reporting period]]*20)</f>
        <v>60</v>
      </c>
      <c r="DX450" s="994">
        <f>IF(WWWW[[#This Row],[Is sufficient soap available for TLS? (Yes/No)]]="yes",WWWW[[#This Row],['#_Constructed/Existing hand washing stations at TLS/CFS/THF]],0)</f>
        <v>0</v>
      </c>
      <c r="DY450" s="428">
        <f>IF(WWWW[[#This Row],['# Functional hand washing stations during reporting period]]*100&gt;WWWW[[#This Row],[Total PoP ]],WWWW[[#This Row],[Total PoP ]],WWWW[[#This Row],['# Functional hand washing stations during reporting period]]*100)</f>
        <v>300</v>
      </c>
      <c r="DZ450" s="428" t="str">
        <f>IF(OR(WWWW[[#This Row],['#_students at TLS_CFS]]="",WWWW[[#This Row],['#_students at TLS_CFS]]=0),"No","Yes")</f>
        <v>No</v>
      </c>
      <c r="EA450" s="631">
        <f>IF(WWWW[[#This Row],['#_of_affected_people_surveyed_who_report_feeling_informed_about_the_different_WASH_services_available_to_them]]="","",WWWW[[#This Row],['#_of_affected_people_surveyed_who_report_feeling_informed_about_the_different_WASH_services_available_to_them]]/WWWW[[#This Row],[Total PoP ]])</f>
        <v>2.2692889561270802E-3</v>
      </c>
      <c r="EB45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0" s="990" t="str">
        <f>VLOOKUP(WWWW[[#This Row],[Site Name]],SiteDB6[[Site Name]:[CCCM Management]],6,FALSE)</f>
        <v>Yes</v>
      </c>
      <c r="EF450" s="990" t="str">
        <f>VLOOKUP(WWWW[[#This Row],[Site Name]],SiteDB6[[Site Name]:[CCCM Focal Agency]],7,FALSE)</f>
        <v>KBC-BMO</v>
      </c>
      <c r="EG450" s="990" t="str">
        <f>VLOOKUP(WWWW[[#This Row],[Site Name]],SiteDB6[[Site Name]:[Location Type 1]],9,FALSE)</f>
        <v>Camp</v>
      </c>
      <c r="EH450" s="990" t="str">
        <f>VLOOKUP(WWWW[[#This Row],[Site Name]],SiteDB6[[Site Name]:[Type of Accommodation]],10,FALSE)</f>
        <v>Camp</v>
      </c>
      <c r="EI450" s="990" t="str">
        <f>VLOOKUP(WWWW[[#This Row],[Site Name]],SiteDB6[[Site Name]:[Ethnic or GCA/NGCA]],11,FALSE)</f>
        <v>GCA</v>
      </c>
      <c r="EJ450" s="990">
        <f>VLOOKUP(WWWW[[#This Row],[Site Name]],SiteDB6[[Site Name]:[Lat]],12,FALSE)</f>
        <v>24.200433</v>
      </c>
      <c r="EK450" s="990">
        <f>VLOOKUP(WWWW[[#This Row],[Site Name]],SiteDB6[[Site Name]:[Long]],13,FALSE)</f>
        <v>97.717133000000004</v>
      </c>
      <c r="EL450" s="990" t="str">
        <f>VLOOKUP(WWWW[[#This Row],[Site Name]],SiteDB6[[Site Name]:[Pcode]],3,FALSE)</f>
        <v>MMR001CMP070</v>
      </c>
      <c r="EM450" s="995" t="str">
        <f t="shared" si="8"/>
        <v>Covered</v>
      </c>
      <c r="EN450" s="995"/>
      <c r="EO450" s="990">
        <f>VLOOKUP(WWWW[[#This Row],[Site Name]],SiteDB6[[Site Name]:[Pop
(Kachin/Shan-CCCM as of July 2021)]],16,FALSE)</f>
        <v>240</v>
      </c>
      <c r="EP450" s="990">
        <f>VLOOKUP(WWWW[[#This Row],[Site Name]],SiteDB6[[Site Name]:[Pop
(Kachin/Shan-CCCM as of July 2021)]],17,FALSE)</f>
        <v>1395</v>
      </c>
    </row>
    <row r="451" spans="1:146">
      <c r="A451" s="988" t="s">
        <v>2765</v>
      </c>
      <c r="B451" s="988" t="s">
        <v>276</v>
      </c>
      <c r="C451" s="989" t="s">
        <v>276</v>
      </c>
      <c r="D451" s="989" t="s">
        <v>3037</v>
      </c>
      <c r="E451" s="989" t="s">
        <v>37</v>
      </c>
      <c r="F451" s="989" t="s">
        <v>205</v>
      </c>
      <c r="G451" s="591" t="str">
        <f>VLOOKUP(WWWW[[#This Row],[Site Name]],SiteDB6[[Site Name]:[Location Type]],8,FALSE)</f>
        <v>Camp</v>
      </c>
      <c r="H451" s="989" t="s">
        <v>281</v>
      </c>
      <c r="I451" s="991">
        <v>39</v>
      </c>
      <c r="J451" s="991">
        <v>239</v>
      </c>
      <c r="K451" s="992">
        <v>44652</v>
      </c>
      <c r="L451" s="993">
        <v>44895</v>
      </c>
      <c r="M451" s="991"/>
      <c r="N451" s="991"/>
      <c r="O451" s="991">
        <v>1</v>
      </c>
      <c r="P451" s="991"/>
      <c r="Q451" s="994" t="s">
        <v>41</v>
      </c>
      <c r="R451" s="991">
        <v>3</v>
      </c>
      <c r="S451" s="991">
        <v>6</v>
      </c>
      <c r="T451" s="448">
        <v>1</v>
      </c>
      <c r="U451" s="991"/>
      <c r="V451" s="991"/>
      <c r="W451" s="991"/>
      <c r="X451" s="991"/>
      <c r="Y451" s="991"/>
      <c r="Z451" s="991"/>
      <c r="AA451" s="991">
        <v>1</v>
      </c>
      <c r="AB451" s="991"/>
      <c r="AC451" s="991"/>
      <c r="AD451" s="991"/>
      <c r="AE451" s="991"/>
      <c r="AF451" s="991"/>
      <c r="AG451" s="991">
        <v>1</v>
      </c>
      <c r="AH451" s="991"/>
      <c r="AI451" s="991"/>
      <c r="AJ451" s="991"/>
      <c r="AK451" s="991">
        <v>4</v>
      </c>
      <c r="AL451" s="991">
        <v>4</v>
      </c>
      <c r="AM451" s="991"/>
      <c r="AN451" s="991"/>
      <c r="AO451" s="448"/>
      <c r="AP451" s="995"/>
      <c r="AQ451" s="991">
        <v>9</v>
      </c>
      <c r="AR451" s="991"/>
      <c r="AS451" s="996"/>
      <c r="AT451" s="991"/>
      <c r="AU451" s="991">
        <v>1</v>
      </c>
      <c r="AV451" s="991">
        <v>9</v>
      </c>
      <c r="AW451" s="991">
        <v>5</v>
      </c>
      <c r="AX451" s="991"/>
      <c r="AY451" s="990" t="s">
        <v>41</v>
      </c>
      <c r="AZ451" s="995" t="s">
        <v>137</v>
      </c>
      <c r="BA451" s="991"/>
      <c r="BB451" s="991"/>
      <c r="BC451" s="991"/>
      <c r="BD451" s="448"/>
      <c r="BE451" s="448">
        <v>2</v>
      </c>
      <c r="BF451" s="990"/>
      <c r="BG451" s="991">
        <v>7</v>
      </c>
      <c r="BH451" s="991"/>
      <c r="BI451" s="991"/>
      <c r="BJ451" s="991">
        <v>1</v>
      </c>
      <c r="BK451" s="991"/>
      <c r="BL451" s="991"/>
      <c r="BM451" s="991">
        <v>1</v>
      </c>
      <c r="BN451" s="991">
        <v>39</v>
      </c>
      <c r="BO451" s="991"/>
      <c r="BP451" s="990"/>
      <c r="BQ451" s="997"/>
      <c r="BR451" s="996"/>
      <c r="BS451" s="990"/>
      <c r="BT451" s="423"/>
      <c r="BU451" s="423"/>
      <c r="BV451" s="425"/>
      <c r="BW451" s="423"/>
      <c r="BX451" s="448"/>
      <c r="BY451" s="448"/>
      <c r="BZ451" s="448"/>
      <c r="CA451" s="448"/>
      <c r="CB451" s="448"/>
      <c r="CC451" s="777"/>
      <c r="CD451" s="448"/>
      <c r="CE451" s="998" t="str">
        <f>IFERROR(WWWW[[#This Row],['#_Water sources passed]]/WWWW[[#This Row],['#_Water sources tested for fecal coliform ]],"no test")</f>
        <v>no test</v>
      </c>
      <c r="CF451" s="996">
        <f>IFERROR(WWWW[[#This Row],['#_Household passed]]/WWWW[[#This Row],['#_Household water samples tested for fecal coliform]],"no test")</f>
        <v>1</v>
      </c>
      <c r="CG451" s="997" t="str">
        <f>IF(AND(WWWW[[#This Row],[% of water sources passed]]="no test",WWWW[[#This Row],[% Household passed]]="no test"),"No Test","Tested")</f>
        <v>Tested</v>
      </c>
      <c r="CH451" s="997">
        <f>WWWW[[#This Row],['#_Constructed/existing protected hand dug well]]-WWWW[[#This Row],['#_Non-functional protected hand dug well]]</f>
        <v>1</v>
      </c>
      <c r="CI451" s="997">
        <f>(WWWW[[#This Row],['#_Constructed/Existing tube wells/boreholes/handpumps_WASH_agency]]+WWWW[[#This Row],['#_Non-Cluster partner water tube-wells/boreholes/handpumps]])-WWWW[[#This Row],['#_Non-functional tube wells/boreholes/handpumps]]</f>
        <v>0</v>
      </c>
      <c r="CJ451" s="997">
        <f>WWWW[[#This Row],['#_Constructed/Existingwater storage tank with gravity fed reticulation system]]-WWWW[[#This Row],['#_Non-functional storage tank gravity fed reticulation system]]</f>
        <v>1</v>
      </c>
      <c r="CK451" s="997">
        <f>(WWWW[[#This Row],['#_Water_Liters_supplied_by_Water boating or water trucking]]/90)/15</f>
        <v>0</v>
      </c>
      <c r="CL451" s="997">
        <f>WWWW[[#This Row],['#_Water_Liters_from_Constructed/Existing water distribution system from river or natural spring]]/90/15</f>
        <v>0</v>
      </c>
      <c r="CM451" s="424">
        <f>IF(WWWW[[#This Row],['#_of water points in TLS/CFS]]*500&gt;WWWW[[#This Row],[Total PoP ]],WWWW[[#This Row],[Total PoP ]],WWWW[[#This Row],['#_of water points in TLS/CFS]]*500)</f>
        <v>0</v>
      </c>
      <c r="CN451" s="424">
        <f>IF(WWWW[[#This Row],['#_of water points in THF]]*500&gt;WWWW[[#This Row],[Total PoP ]],WWWW[[#This Row],[Total PoP ]],WWWW[[#This Row],['#_of water points in THF]]*500)</f>
        <v>0</v>
      </c>
      <c r="CO45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5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51" s="996">
        <f>IF(WWWW[[#This Row],[Location Type 1]]="Village",WWWW[[#This Row],[Access to safe drinking water for Village]],WWWW[[#This Row],[Access to safe drinking water for Camp]])</f>
        <v>1</v>
      </c>
      <c r="CR451" s="994">
        <f>WWWW[[#This Row],[%Equitable and continuous access to sufficient quantity of safe drinking water]]*WWWW[[#This Row],[Total PoP ]]</f>
        <v>239</v>
      </c>
      <c r="CS451" s="996">
        <f>IF((WWWW[[#This Row],['#_Constructed/Existing protected/fenced ponds]]*250)/WWWW[[#This Row],[Total PoP ]]&gt;1,1,(WWWW[[#This Row],['#_Constructed/Existing protected/fenced ponds]]*250)/WWWW[[#This Row],[Total PoP ]])</f>
        <v>0</v>
      </c>
      <c r="CT451" s="994">
        <f>WWWW[[#This Row],[% Access to unimproved water points]]*WWWW[[#This Row],[Total PoP ]]</f>
        <v>0</v>
      </c>
      <c r="CU45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5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239</v>
      </c>
      <c r="CW451" s="994">
        <f>WWWW[[#This Row],[HRP1]]/500</f>
        <v>0.47799999999999998</v>
      </c>
      <c r="CX451" s="999">
        <f>1-WWWW[[#This Row],[% Equitable and continuous access to sufficient quantity of domestic water]]</f>
        <v>0</v>
      </c>
      <c r="CY451" s="994">
        <f>WWWW[[#This Row],[%equitable and continuous access to sufficient quantity of safe drinking and domestic water''s GAP]]*WWWW[[#This Row],[Total PoP ]]</f>
        <v>0</v>
      </c>
      <c r="CZ451" s="997">
        <f>IF(WWWW[[#This Row],[Total required water points]]-WWWW[[#This Row],['#Water points coverage]]&lt;0,0,WWWW[[#This Row],[Total required water points]]-WWWW[[#This Row],['#Water points coverage]])</f>
        <v>0.52200000000000002</v>
      </c>
      <c r="DA451" s="997">
        <f>ROUND(IF(WWWW[[#This Row],[Total PoP ]]&lt;500,1,WWWW[[#This Row],[Total PoP ]]/500),0)</f>
        <v>1</v>
      </c>
      <c r="DB451" s="997">
        <f>(WWWW[[#This Row],['#_Constructed latrines_by_WASHAgencies]]+WWWW[[#This Row],['#_Non Cluster partner latrines]])-WWWW[[#This Row],['#_Non-functional latrines]]</f>
        <v>9</v>
      </c>
      <c r="DC451" s="631">
        <f>WWWW[[#This Row],[HRP2]]/WWWW[[#This Row],[Total PoP ]]</f>
        <v>0.7615062761506276</v>
      </c>
      <c r="DD45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DE45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180</v>
      </c>
      <c r="DF45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1" s="424">
        <f>IF(WWWW[[#This Row],['# of functional latrines in THF supported by WASH partners during the reporting period2]]="",0,WWWW[[#This Row],['# of functional latrines in THF supported by WASH partners during the reporting period2]]*50)</f>
        <v>0</v>
      </c>
      <c r="DH451" s="997">
        <f>ROUND(IF(WWWW[[#This Row],[Location Type 1]]="camp",WWWW[[#This Row],[Total PoP ]]/20,IF(WWWW[[#This Row],[Location Type 1]]="Temporary Location",WWWW[[#This Row],[Total PoP ]]/50,(WWWW[[#This Row],[Total PoP ]]/6))),0)</f>
        <v>12</v>
      </c>
      <c r="DI451" s="997">
        <f>IF(WWWW[[#This Row],[Total required Latrines]]-(WWWW[[#This Row],['#_Constructed latrines_by_WASHAgencies]]+WWWW[[#This Row],['#_Non Cluster partner latrines]])&lt;0,0,WWWW[[#This Row],[Total required Latrines]]-(WWWW[[#This Row],['#_Constructed latrines_by_WASHAgencies]]+WWWW[[#This Row],['#_Non Cluster partner latrines]]))</f>
        <v>3</v>
      </c>
      <c r="DJ451" s="999">
        <f>1-WWWW[[#This Row],[% people access to functioning Latrine]]</f>
        <v>0.2384937238493724</v>
      </c>
      <c r="DK451" s="998">
        <f>IF(OR(WWWW[[#This Row],['#_Non-functional latrines]]="",WWWW[[#This Row],['#_Non-functional latrines]]=0),0,WWWW[[#This Row],['#_Non-functional latrines]]/(WWWW[[#This Row],['#_Constructed latrines_by_WASHAgencies]]+WWWW[[#This Row],['#_Non Cluster partner latrines]]))</f>
        <v>0</v>
      </c>
      <c r="DL451" s="994">
        <f>IF(500*(WWWW[[#This Row],['#_male hygiene promoters]]+WWWW[[#This Row],['#_female hygiene promoters]])&gt;WWWW[[#This Row],[Total PoP ]],WWWW[[#This Row],[Total PoP ]],500*(WWWW[[#This Row],['#_male hygiene promoters]]+WWWW[[#This Row],['#_female hygiene promoters]]))</f>
        <v>239</v>
      </c>
      <c r="DM45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239</v>
      </c>
      <c r="DN45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51" s="997">
        <f>IF(WWWW[[#This Row],['# People with access to soap]]&gt;WWWW[[#This Row],['# People with access to Sanity Pads]],WWWW[[#This Row],['# People with access to soap]],WWWW[[#This Row],['# People with access to Sanity Pads]])</f>
        <v>239</v>
      </c>
      <c r="DP451" s="997">
        <f>IF(WWWW[[#This Row],['# people reached by regular dedicated hygiene promotion_5]]&gt;WWWW[[#This Row],['# People received regular supply of hygiene items_6]],WWWW[[#This Row],['# people reached by regular dedicated hygiene promotion_5]],WWWW[[#This Row],['# People received regular supply of hygiene items_6]])</f>
        <v>239</v>
      </c>
      <c r="DQ451" s="999">
        <f>IF(WWWW[[#This Row],[HRP3]]/WWWW[[#This Row],[Total PoP ]]&gt;1,1,WWWW[[#This Row],[HRP3]]/WWWW[[#This Row],[Total PoP ]])</f>
        <v>1</v>
      </c>
      <c r="DR451" s="998">
        <f>1-WWWW[[#This Row],[Hygiene Coverage%]]</f>
        <v>0</v>
      </c>
      <c r="DS451" s="996">
        <f>WWWW[[#This Row],['# people reached by regular dedicated hygiene promotion_5]]/WWWW[[#This Row],[Total PoP ]]</f>
        <v>1</v>
      </c>
      <c r="DT45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5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51" s="997">
        <f>WWWW[[#This Row],['#_Constructed/Existing hand washing stations]]-WWWW[[#This Row],['#_Non-Functional_hand_washing_stations]]</f>
        <v>7</v>
      </c>
      <c r="DW451" s="994">
        <f>IF(WWWW[[#This Row],['# Functional hand washing stations during reporting period]]*20&gt;WWWW[[#This Row],[Total HH]],WWWW[[#This Row],[Total HH]],WWWW[[#This Row],['# Functional hand washing stations during reporting period]]*20)</f>
        <v>39</v>
      </c>
      <c r="DX451" s="994">
        <f>IF(WWWW[[#This Row],[Is sufficient soap available for TLS? (Yes/No)]]="yes",WWWW[[#This Row],['#_Constructed/Existing hand washing stations at TLS/CFS/THF]],0)</f>
        <v>0</v>
      </c>
      <c r="DY451" s="428">
        <f>IF(WWWW[[#This Row],['# Functional hand washing stations during reporting period]]*100&gt;WWWW[[#This Row],[Total PoP ]],WWWW[[#This Row],[Total PoP ]],WWWW[[#This Row],['# Functional hand washing stations during reporting period]]*100)</f>
        <v>239</v>
      </c>
      <c r="DZ451" s="428" t="str">
        <f>IF(OR(WWWW[[#This Row],['#_students at TLS_CFS]]="",WWWW[[#This Row],['#_students at TLS_CFS]]=0),"No","Yes")</f>
        <v>No</v>
      </c>
      <c r="EA45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5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1" s="990" t="str">
        <f>VLOOKUP(WWWW[[#This Row],[Site Name]],SiteDB6[[Site Name]:[CCCM Management]],6,FALSE)</f>
        <v>Yes</v>
      </c>
      <c r="EF451" s="990" t="str">
        <f>VLOOKUP(WWWW[[#This Row],[Site Name]],SiteDB6[[Site Name]:[CCCM Focal Agency]],7,FALSE)</f>
        <v>KBC-BMO</v>
      </c>
      <c r="EG451" s="990" t="str">
        <f>VLOOKUP(WWWW[[#This Row],[Site Name]],SiteDB6[[Site Name]:[Location Type 1]],9,FALSE)</f>
        <v>Camp</v>
      </c>
      <c r="EH451" s="990" t="str">
        <f>VLOOKUP(WWWW[[#This Row],[Site Name]],SiteDB6[[Site Name]:[Type of Accommodation]],10,FALSE)</f>
        <v>Camp</v>
      </c>
      <c r="EI451" s="990" t="str">
        <f>VLOOKUP(WWWW[[#This Row],[Site Name]],SiteDB6[[Site Name]:[Ethnic or GCA/NGCA]],11,FALSE)</f>
        <v>GCA</v>
      </c>
      <c r="EJ451" s="990">
        <f>VLOOKUP(WWWW[[#This Row],[Site Name]],SiteDB6[[Site Name]:[Lat]],12,FALSE)</f>
        <v>24.200972</v>
      </c>
      <c r="EK451" s="990">
        <f>VLOOKUP(WWWW[[#This Row],[Site Name]],SiteDB6[[Site Name]:[Long]],13,FALSE)</f>
        <v>97.718582999999995</v>
      </c>
      <c r="EL451" s="990" t="str">
        <f>VLOOKUP(WWWW[[#This Row],[Site Name]],SiteDB6[[Site Name]:[Pcode]],3,FALSE)</f>
        <v>MMR001CMP071</v>
      </c>
      <c r="EM451" s="995" t="str">
        <f t="shared" si="8"/>
        <v>Covered</v>
      </c>
      <c r="EN451" s="995"/>
      <c r="EO451" s="990">
        <f>VLOOKUP(WWWW[[#This Row],[Site Name]],SiteDB6[[Site Name]:[Pop
(Kachin/Shan-CCCM as of July 2021)]],16,FALSE)</f>
        <v>40</v>
      </c>
      <c r="EP451" s="990">
        <f>VLOOKUP(WWWW[[#This Row],[Site Name]],SiteDB6[[Site Name]:[Pop
(Kachin/Shan-CCCM as of July 2021)]],17,FALSE)</f>
        <v>247</v>
      </c>
    </row>
    <row r="452" spans="1:146">
      <c r="A452" s="988" t="s">
        <v>2765</v>
      </c>
      <c r="B452" s="988" t="s">
        <v>36</v>
      </c>
      <c r="C452" s="989" t="s">
        <v>36</v>
      </c>
      <c r="D452" s="989" t="s">
        <v>241</v>
      </c>
      <c r="E452" s="989" t="s">
        <v>37</v>
      </c>
      <c r="F452" s="989" t="s">
        <v>148</v>
      </c>
      <c r="G452" s="591" t="str">
        <f>VLOOKUP(WWWW[[#This Row],[Site Name]],SiteDB6[[Site Name]:[Location Type]],8,FALSE)</f>
        <v>Camp_not registered</v>
      </c>
      <c r="H452" s="989" t="s">
        <v>1591</v>
      </c>
      <c r="I452" s="991">
        <v>90</v>
      </c>
      <c r="J452" s="991">
        <v>460</v>
      </c>
      <c r="K452" s="992">
        <v>44414</v>
      </c>
      <c r="L452" s="993">
        <v>44778</v>
      </c>
      <c r="M452" s="991"/>
      <c r="N452" s="991">
        <v>5</v>
      </c>
      <c r="O452" s="991"/>
      <c r="P452" s="991"/>
      <c r="Q452" s="994" t="s">
        <v>41</v>
      </c>
      <c r="R452" s="991">
        <v>2</v>
      </c>
      <c r="S452" s="991">
        <v>5</v>
      </c>
      <c r="T452" s="448">
        <v>1</v>
      </c>
      <c r="U452" s="991"/>
      <c r="V452" s="991"/>
      <c r="W452" s="991"/>
      <c r="X452" s="991"/>
      <c r="Y452" s="991"/>
      <c r="Z452" s="991"/>
      <c r="AA452" s="991"/>
      <c r="AB452" s="991"/>
      <c r="AC452" s="991"/>
      <c r="AD452" s="991"/>
      <c r="AE452" s="991"/>
      <c r="AF452" s="991"/>
      <c r="AG452" s="991"/>
      <c r="AH452" s="991">
        <v>7</v>
      </c>
      <c r="AI452" s="991"/>
      <c r="AJ452" s="991"/>
      <c r="AK452" s="991"/>
      <c r="AL452" s="991"/>
      <c r="AM452" s="991"/>
      <c r="AN452" s="991"/>
      <c r="AO452" s="448"/>
      <c r="AP452" s="995"/>
      <c r="AQ452" s="991">
        <v>12</v>
      </c>
      <c r="AR452" s="991"/>
      <c r="AS452" s="996"/>
      <c r="AT452" s="991"/>
      <c r="AU452" s="991"/>
      <c r="AV452" s="991"/>
      <c r="AW452" s="991"/>
      <c r="AX452" s="991"/>
      <c r="AY452" s="990" t="s">
        <v>41</v>
      </c>
      <c r="AZ452" s="995" t="s">
        <v>137</v>
      </c>
      <c r="BA452" s="991">
        <v>3</v>
      </c>
      <c r="BB452" s="991"/>
      <c r="BC452" s="991"/>
      <c r="BD452" s="448"/>
      <c r="BE452" s="448"/>
      <c r="BF452" s="990"/>
      <c r="BG452" s="991">
        <v>1</v>
      </c>
      <c r="BH452" s="991"/>
      <c r="BI452" s="991"/>
      <c r="BJ452" s="991">
        <v>2</v>
      </c>
      <c r="BK452" s="991"/>
      <c r="BL452" s="991"/>
      <c r="BM452" s="991">
        <v>1</v>
      </c>
      <c r="BN452" s="991"/>
      <c r="BO452" s="991"/>
      <c r="BP452" s="990" t="s">
        <v>41</v>
      </c>
      <c r="BQ452" s="997"/>
      <c r="BR452" s="996"/>
      <c r="BS452" s="990"/>
      <c r="BT452" s="423"/>
      <c r="BU452" s="423"/>
      <c r="BV452" s="425"/>
      <c r="BW452" s="423"/>
      <c r="BX452" s="448"/>
      <c r="BY452" s="448"/>
      <c r="BZ452" s="448"/>
      <c r="CA452" s="448"/>
      <c r="CB452" s="448"/>
      <c r="CC452" s="777"/>
      <c r="CD452" s="448"/>
      <c r="CE452" s="998" t="str">
        <f>IFERROR(WWWW[[#This Row],['#_Water sources passed]]/WWWW[[#This Row],['#_Water sources tested for fecal coliform ]],"no test")</f>
        <v>no test</v>
      </c>
      <c r="CF452" s="996" t="str">
        <f>IFERROR(WWWW[[#This Row],['#_Household passed]]/WWWW[[#This Row],['#_Household water samples tested for fecal coliform]],"no test")</f>
        <v>no test</v>
      </c>
      <c r="CG452" s="997" t="str">
        <f>IF(AND(WWWW[[#This Row],[% of water sources passed]]="no test",WWWW[[#This Row],[% Household passed]]="no test"),"No Test","Tested")</f>
        <v>No Test</v>
      </c>
      <c r="CH452" s="997">
        <f>WWWW[[#This Row],['#_Constructed/existing protected hand dug well]]-WWWW[[#This Row],['#_Non-functional protected hand dug well]]</f>
        <v>1</v>
      </c>
      <c r="CI452" s="997">
        <f>(WWWW[[#This Row],['#_Constructed/Existing tube wells/boreholes/handpumps_WASH_agency]]+WWWW[[#This Row],['#_Non-Cluster partner water tube-wells/boreholes/handpumps]])-WWWW[[#This Row],['#_Non-functional tube wells/boreholes/handpumps]]</f>
        <v>0</v>
      </c>
      <c r="CJ452" s="997">
        <f>WWWW[[#This Row],['#_Constructed/Existingwater storage tank with gravity fed reticulation system]]-WWWW[[#This Row],['#_Non-functional storage tank gravity fed reticulation system]]</f>
        <v>0</v>
      </c>
      <c r="CK452" s="997">
        <f>(WWWW[[#This Row],['#_Water_Liters_supplied_by_Water boating or water trucking]]/90)/15</f>
        <v>0</v>
      </c>
      <c r="CL452" s="997">
        <f>WWWW[[#This Row],['#_Water_Liters_from_Constructed/Existing water distribution system from river or natural spring]]/90/15</f>
        <v>0</v>
      </c>
      <c r="CM452" s="424">
        <f>IF(WWWW[[#This Row],['#_of water points in TLS/CFS]]*500&gt;WWWW[[#This Row],[Total PoP ]],WWWW[[#This Row],[Total PoP ]],WWWW[[#This Row],['#_of water points in TLS/CFS]]*500)</f>
        <v>0</v>
      </c>
      <c r="CN452" s="424">
        <f>IF(WWWW[[#This Row],['#_of water points in THF]]*500&gt;WWWW[[#This Row],[Total PoP ]],WWWW[[#This Row],[Total PoP ]],WWWW[[#This Row],['#_of water points in THF]]*500)</f>
        <v>0</v>
      </c>
      <c r="CO45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0.86956521739130432</v>
      </c>
      <c r="CP45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0.54347826086956519</v>
      </c>
      <c r="CQ452" s="996">
        <f>IF(WWWW[[#This Row],[Location Type 1]]="Village",WWWW[[#This Row],[Access to safe drinking water for Village]],WWWW[[#This Row],[Access to safe drinking water for Camp]])</f>
        <v>0.86956521739130432</v>
      </c>
      <c r="CR452" s="994">
        <f>WWWW[[#This Row],[%Equitable and continuous access to sufficient quantity of safe drinking water]]*WWWW[[#This Row],[Total PoP ]]</f>
        <v>400</v>
      </c>
      <c r="CS452" s="996">
        <f>IF((WWWW[[#This Row],['#_Constructed/Existing protected/fenced ponds]]*250)/WWWW[[#This Row],[Total PoP ]]&gt;1,1,(WWWW[[#This Row],['#_Constructed/Existing protected/fenced ponds]]*250)/WWWW[[#This Row],[Total PoP ]])</f>
        <v>0</v>
      </c>
      <c r="CT452" s="994">
        <f>WWWW[[#This Row],[% Access to unimproved water points]]*WWWW[[#This Row],[Total PoP ]]</f>
        <v>0</v>
      </c>
      <c r="CU45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0.86956521739130432</v>
      </c>
      <c r="CV45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452" s="994">
        <f>WWWW[[#This Row],[HRP1]]/500</f>
        <v>0.8</v>
      </c>
      <c r="CX452" s="999">
        <f>1-WWWW[[#This Row],[% Equitable and continuous access to sufficient quantity of domestic water]]</f>
        <v>0.13043478260869568</v>
      </c>
      <c r="CY452" s="994">
        <f>WWWW[[#This Row],[%equitable and continuous access to sufficient quantity of safe drinking and domestic water''s GAP]]*WWWW[[#This Row],[Total PoP ]]</f>
        <v>60.000000000000014</v>
      </c>
      <c r="CZ452" s="997">
        <f>IF(WWWW[[#This Row],[Total required water points]]-WWWW[[#This Row],['#Water points coverage]]&lt;0,0,WWWW[[#This Row],[Total required water points]]-WWWW[[#This Row],['#Water points coverage]])</f>
        <v>0.19999999999999996</v>
      </c>
      <c r="DA452" s="997">
        <f>ROUND(IF(WWWW[[#This Row],[Total PoP ]]&lt;500,1,WWWW[[#This Row],[Total PoP ]]/500),0)</f>
        <v>1</v>
      </c>
      <c r="DB452" s="997">
        <f>(WWWW[[#This Row],['#_Constructed latrines_by_WASHAgencies]]+WWWW[[#This Row],['#_Non Cluster partner latrines]])-WWWW[[#This Row],['#_Non-functional latrines]]</f>
        <v>12</v>
      </c>
      <c r="DC452" s="631">
        <f>WWWW[[#This Row],[HRP2]]/WWWW[[#This Row],[Total PoP ]]</f>
        <v>0.65217391304347827</v>
      </c>
      <c r="DD45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45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5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2" s="424">
        <f>IF(WWWW[[#This Row],['# of functional latrines in THF supported by WASH partners during the reporting period2]]="",0,WWWW[[#This Row],['# of functional latrines in THF supported by WASH partners during the reporting period2]]*50)</f>
        <v>0</v>
      </c>
      <c r="DH452" s="997">
        <f>ROUND(IF(WWWW[[#This Row],[Location Type 1]]="camp",WWWW[[#This Row],[Total PoP ]]/20,IF(WWWW[[#This Row],[Location Type 1]]="Temporary Location",WWWW[[#This Row],[Total PoP ]]/50,(WWWW[[#This Row],[Total PoP ]]/6))),0)</f>
        <v>23</v>
      </c>
      <c r="DI452" s="997">
        <f>IF(WWWW[[#This Row],[Total required Latrines]]-(WWWW[[#This Row],['#_Constructed latrines_by_WASHAgencies]]+WWWW[[#This Row],['#_Non Cluster partner latrines]])&lt;0,0,WWWW[[#This Row],[Total required Latrines]]-(WWWW[[#This Row],['#_Constructed latrines_by_WASHAgencies]]+WWWW[[#This Row],['#_Non Cluster partner latrines]]))</f>
        <v>11</v>
      </c>
      <c r="DJ452" s="999">
        <f>1-WWWW[[#This Row],[% people access to functioning Latrine]]</f>
        <v>0.34782608695652173</v>
      </c>
      <c r="DK452" s="998">
        <f>IF(OR(WWWW[[#This Row],['#_Non-functional latrines]]="",WWWW[[#This Row],['#_Non-functional latrines]]=0),0,WWWW[[#This Row],['#_Non-functional latrines]]/(WWWW[[#This Row],['#_Constructed latrines_by_WASHAgencies]]+WWWW[[#This Row],['#_Non Cluster partner latrines]]))</f>
        <v>0</v>
      </c>
      <c r="DL452" s="994">
        <f>IF(500*(WWWW[[#This Row],['#_male hygiene promoters]]+WWWW[[#This Row],['#_female hygiene promoters]])&gt;WWWW[[#This Row],[Total PoP ]],WWWW[[#This Row],[Total PoP ]],500*(WWWW[[#This Row],['#_male hygiene promoters]]+WWWW[[#This Row],['#_female hygiene promoters]]))</f>
        <v>460</v>
      </c>
      <c r="DM45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5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52" s="997">
        <f>IF(WWWW[[#This Row],['# People with access to soap]]&gt;WWWW[[#This Row],['# People with access to Sanity Pads]],WWWW[[#This Row],['# People with access to soap]],WWWW[[#This Row],['# People with access to Sanity Pads]])</f>
        <v>0</v>
      </c>
      <c r="DP452" s="997">
        <f>IF(WWWW[[#This Row],['# people reached by regular dedicated hygiene promotion_5]]&gt;WWWW[[#This Row],['# People received regular supply of hygiene items_6]],WWWW[[#This Row],['# people reached by regular dedicated hygiene promotion_5]],WWWW[[#This Row],['# People received regular supply of hygiene items_6]])</f>
        <v>460</v>
      </c>
      <c r="DQ452" s="999">
        <f>IF(WWWW[[#This Row],[HRP3]]/WWWW[[#This Row],[Total PoP ]]&gt;1,1,WWWW[[#This Row],[HRP3]]/WWWW[[#This Row],[Total PoP ]])</f>
        <v>1</v>
      </c>
      <c r="DR452" s="998">
        <f>1-WWWW[[#This Row],[Hygiene Coverage%]]</f>
        <v>0</v>
      </c>
      <c r="DS452" s="996">
        <f>WWWW[[#This Row],['# people reached by regular dedicated hygiene promotion_5]]/WWWW[[#This Row],[Total PoP ]]</f>
        <v>1</v>
      </c>
      <c r="DT45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5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52" s="997">
        <f>WWWW[[#This Row],['#_Constructed/Existing hand washing stations]]-WWWW[[#This Row],['#_Non-Functional_hand_washing_stations]]</f>
        <v>1</v>
      </c>
      <c r="DW452" s="994">
        <f>IF(WWWW[[#This Row],['# Functional hand washing stations during reporting period]]*20&gt;WWWW[[#This Row],[Total HH]],WWWW[[#This Row],[Total HH]],WWWW[[#This Row],['# Functional hand washing stations during reporting period]]*20)</f>
        <v>20</v>
      </c>
      <c r="DX452" s="994">
        <f>IF(WWWW[[#This Row],[Is sufficient soap available for TLS? (Yes/No)]]="yes",WWWW[[#This Row],['#_Constructed/Existing hand washing stations at TLS/CFS/THF]],0)</f>
        <v>0</v>
      </c>
      <c r="DY452" s="428">
        <f>IF(WWWW[[#This Row],['# Functional hand washing stations during reporting period]]*100&gt;WWWW[[#This Row],[Total PoP ]],WWWW[[#This Row],[Total PoP ]],WWWW[[#This Row],['# Functional hand washing stations during reporting period]]*100)</f>
        <v>100</v>
      </c>
      <c r="DZ452" s="428" t="str">
        <f>IF(OR(WWWW[[#This Row],['#_students at TLS_CFS]]="",WWWW[[#This Row],['#_students at TLS_CFS]]=0),"No","Yes")</f>
        <v>No</v>
      </c>
      <c r="EA45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5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2" s="990">
        <f>VLOOKUP(WWWW[[#This Row],[Site Name]],SiteDB6[[Site Name]:[CCCM Management]],6,FALSE)</f>
        <v>0</v>
      </c>
      <c r="EF452" s="990">
        <f>VLOOKUP(WWWW[[#This Row],[Site Name]],SiteDB6[[Site Name]:[CCCM Focal Agency]],7,FALSE)</f>
        <v>0</v>
      </c>
      <c r="EG452" s="990" t="str">
        <f>VLOOKUP(WWWW[[#This Row],[Site Name]],SiteDB6[[Site Name]:[Location Type 1]],9,FALSE)</f>
        <v>Camp</v>
      </c>
      <c r="EH452" s="990" t="str">
        <f>VLOOKUP(WWWW[[#This Row],[Site Name]],SiteDB6[[Site Name]:[Type of Accommodation]],10,FALSE)</f>
        <v>Camp like setting</v>
      </c>
      <c r="EI452" s="990" t="str">
        <f>VLOOKUP(WWWW[[#This Row],[Site Name]],SiteDB6[[Site Name]:[Ethnic or GCA/NGCA]],11,FALSE)</f>
        <v>GCA</v>
      </c>
      <c r="EJ452" s="990">
        <f>VLOOKUP(WWWW[[#This Row],[Site Name]],SiteDB6[[Site Name]:[Lat]],12,FALSE)</f>
        <v>0</v>
      </c>
      <c r="EK452" s="990">
        <f>VLOOKUP(WWWW[[#This Row],[Site Name]],SiteDB6[[Site Name]:[Long]],13,FALSE)</f>
        <v>0</v>
      </c>
      <c r="EL452" s="990">
        <f>VLOOKUP(WWWW[[#This Row],[Site Name]],SiteDB6[[Site Name]:[Pcode]],3,FALSE)</f>
        <v>0</v>
      </c>
      <c r="EM452" s="995" t="str">
        <f t="shared" si="8"/>
        <v>Covered</v>
      </c>
      <c r="EN452" s="995"/>
      <c r="EO452" s="990">
        <f>VLOOKUP(WWWW[[#This Row],[Site Name]],SiteDB6[[Site Name]:[Pop
(Kachin/Shan-CCCM as of July 2021)]],16,FALSE)</f>
        <v>0</v>
      </c>
      <c r="EP452" s="990">
        <f>VLOOKUP(WWWW[[#This Row],[Site Name]],SiteDB6[[Site Name]:[Pop
(Kachin/Shan-CCCM as of July 2021)]],17,FALSE)</f>
        <v>0</v>
      </c>
    </row>
    <row r="453" spans="1:146">
      <c r="A453" s="988" t="s">
        <v>2765</v>
      </c>
      <c r="B453" s="988" t="s">
        <v>276</v>
      </c>
      <c r="C453" s="989" t="s">
        <v>276</v>
      </c>
      <c r="D453" s="989" t="s">
        <v>3037</v>
      </c>
      <c r="E453" s="989" t="s">
        <v>37</v>
      </c>
      <c r="F453" s="989" t="s">
        <v>205</v>
      </c>
      <c r="G453" s="591" t="str">
        <f>VLOOKUP(WWWW[[#This Row],[Site Name]],SiteDB6[[Site Name]:[Location Type]],8,FALSE)</f>
        <v>Camp</v>
      </c>
      <c r="H453" s="989" t="s">
        <v>284</v>
      </c>
      <c r="I453" s="991">
        <v>47</v>
      </c>
      <c r="J453" s="991">
        <v>299</v>
      </c>
      <c r="K453" s="992">
        <v>44652</v>
      </c>
      <c r="L453" s="993">
        <v>44895</v>
      </c>
      <c r="M453" s="991"/>
      <c r="N453" s="991"/>
      <c r="O453" s="991">
        <v>1</v>
      </c>
      <c r="P453" s="991"/>
      <c r="Q453" s="994" t="s">
        <v>41</v>
      </c>
      <c r="R453" s="991">
        <v>3</v>
      </c>
      <c r="S453" s="991">
        <v>9</v>
      </c>
      <c r="T453" s="448">
        <v>3</v>
      </c>
      <c r="U453" s="991"/>
      <c r="V453" s="991"/>
      <c r="W453" s="991">
        <v>1</v>
      </c>
      <c r="X453" s="991"/>
      <c r="Y453" s="991"/>
      <c r="Z453" s="991"/>
      <c r="AA453" s="991"/>
      <c r="AB453" s="991"/>
      <c r="AC453" s="991"/>
      <c r="AD453" s="991"/>
      <c r="AE453" s="991"/>
      <c r="AF453" s="991"/>
      <c r="AG453" s="991">
        <v>1</v>
      </c>
      <c r="AH453" s="991"/>
      <c r="AI453" s="991"/>
      <c r="AJ453" s="991"/>
      <c r="AK453" s="991">
        <v>6</v>
      </c>
      <c r="AL453" s="991">
        <v>6</v>
      </c>
      <c r="AM453" s="991"/>
      <c r="AN453" s="991"/>
      <c r="AO453" s="448"/>
      <c r="AP453" s="995"/>
      <c r="AQ453" s="991">
        <v>13</v>
      </c>
      <c r="AR453" s="991"/>
      <c r="AS453" s="996"/>
      <c r="AT453" s="991"/>
      <c r="AU453" s="991"/>
      <c r="AV453" s="991">
        <v>12</v>
      </c>
      <c r="AW453" s="991">
        <v>26</v>
      </c>
      <c r="AX453" s="991"/>
      <c r="AY453" s="990" t="s">
        <v>41</v>
      </c>
      <c r="AZ453" s="995" t="s">
        <v>137</v>
      </c>
      <c r="BA453" s="991"/>
      <c r="BB453" s="991"/>
      <c r="BC453" s="991"/>
      <c r="BD453" s="448"/>
      <c r="BE453" s="448">
        <v>3</v>
      </c>
      <c r="BF453" s="990"/>
      <c r="BG453" s="991">
        <v>8</v>
      </c>
      <c r="BH453" s="991"/>
      <c r="BI453" s="991"/>
      <c r="BJ453" s="991">
        <v>3</v>
      </c>
      <c r="BK453" s="991"/>
      <c r="BL453" s="991"/>
      <c r="BM453" s="991">
        <v>1</v>
      </c>
      <c r="BN453" s="991">
        <v>47</v>
      </c>
      <c r="BO453" s="991"/>
      <c r="BP453" s="990"/>
      <c r="BQ453" s="997"/>
      <c r="BR453" s="996"/>
      <c r="BS453" s="990"/>
      <c r="BT453" s="423"/>
      <c r="BU453" s="423"/>
      <c r="BV453" s="425">
        <v>1</v>
      </c>
      <c r="BW453" s="423">
        <v>0</v>
      </c>
      <c r="BX453" s="448"/>
      <c r="BY453" s="448"/>
      <c r="BZ453" s="448"/>
      <c r="CA453" s="448"/>
      <c r="CB453" s="448"/>
      <c r="CC453" s="777"/>
      <c r="CD453" s="448"/>
      <c r="CE453" s="998" t="str">
        <f>IFERROR(WWWW[[#This Row],['#_Water sources passed]]/WWWW[[#This Row],['#_Water sources tested for fecal coliform ]],"no test")</f>
        <v>no test</v>
      </c>
      <c r="CF453" s="996">
        <f>IFERROR(WWWW[[#This Row],['#_Household passed]]/WWWW[[#This Row],['#_Household water samples tested for fecal coliform]],"no test")</f>
        <v>1</v>
      </c>
      <c r="CG453" s="997" t="str">
        <f>IF(AND(WWWW[[#This Row],[% of water sources passed]]="no test",WWWW[[#This Row],[% Household passed]]="no test"),"No Test","Tested")</f>
        <v>Tested</v>
      </c>
      <c r="CH453" s="997">
        <f>WWWW[[#This Row],['#_Constructed/existing protected hand dug well]]-WWWW[[#This Row],['#_Non-functional protected hand dug well]]</f>
        <v>3</v>
      </c>
      <c r="CI453" s="997">
        <f>(WWWW[[#This Row],['#_Constructed/Existing tube wells/boreholes/handpumps_WASH_agency]]+WWWW[[#This Row],['#_Non-Cluster partner water tube-wells/boreholes/handpumps]])-WWWW[[#This Row],['#_Non-functional tube wells/boreholes/handpumps]]</f>
        <v>1</v>
      </c>
      <c r="CJ453" s="997">
        <f>WWWW[[#This Row],['#_Constructed/Existingwater storage tank with gravity fed reticulation system]]-WWWW[[#This Row],['#_Non-functional storage tank gravity fed reticulation system]]</f>
        <v>0</v>
      </c>
      <c r="CK453" s="997">
        <f>(WWWW[[#This Row],['#_Water_Liters_supplied_by_Water boating or water trucking]]/90)/15</f>
        <v>0</v>
      </c>
      <c r="CL453" s="997">
        <f>WWWW[[#This Row],['#_Water_Liters_from_Constructed/Existing water distribution system from river or natural spring]]/90/15</f>
        <v>0</v>
      </c>
      <c r="CM453" s="424">
        <f>IF(WWWW[[#This Row],['#_of water points in TLS/CFS]]*500&gt;WWWW[[#This Row],[Total PoP ]],WWWW[[#This Row],[Total PoP ]],WWWW[[#This Row],['#_of water points in TLS/CFS]]*500)</f>
        <v>0</v>
      </c>
      <c r="CN453" s="424">
        <f>IF(WWWW[[#This Row],['#_of water points in THF]]*500&gt;WWWW[[#This Row],[Total PoP ]],WWWW[[#This Row],[Total PoP ]],WWWW[[#This Row],['#_of water points in THF]]*500)</f>
        <v>0</v>
      </c>
      <c r="CO45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5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53" s="996">
        <f>IF(WWWW[[#This Row],[Location Type 1]]="Village",WWWW[[#This Row],[Access to safe drinking water for Village]],WWWW[[#This Row],[Access to safe drinking water for Camp]])</f>
        <v>1</v>
      </c>
      <c r="CR453" s="994">
        <f>WWWW[[#This Row],[%Equitable and continuous access to sufficient quantity of safe drinking water]]*WWWW[[#This Row],[Total PoP ]]</f>
        <v>299</v>
      </c>
      <c r="CS453" s="996">
        <f>IF((WWWW[[#This Row],['#_Constructed/Existing protected/fenced ponds]]*250)/WWWW[[#This Row],[Total PoP ]]&gt;1,1,(WWWW[[#This Row],['#_Constructed/Existing protected/fenced ponds]]*250)/WWWW[[#This Row],[Total PoP ]])</f>
        <v>0</v>
      </c>
      <c r="CT453" s="994">
        <f>WWWW[[#This Row],[% Access to unimproved water points]]*WWWW[[#This Row],[Total PoP ]]</f>
        <v>0</v>
      </c>
      <c r="CU45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5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299</v>
      </c>
      <c r="CW453" s="994">
        <f>WWWW[[#This Row],[HRP1]]/500</f>
        <v>0.59799999999999998</v>
      </c>
      <c r="CX453" s="999">
        <f>1-WWWW[[#This Row],[% Equitable and continuous access to sufficient quantity of domestic water]]</f>
        <v>0</v>
      </c>
      <c r="CY453" s="994">
        <f>WWWW[[#This Row],[%equitable and continuous access to sufficient quantity of safe drinking and domestic water''s GAP]]*WWWW[[#This Row],[Total PoP ]]</f>
        <v>0</v>
      </c>
      <c r="CZ453" s="997">
        <f>IF(WWWW[[#This Row],[Total required water points]]-WWWW[[#This Row],['#Water points coverage]]&lt;0,0,WWWW[[#This Row],[Total required water points]]-WWWW[[#This Row],['#Water points coverage]])</f>
        <v>0.40200000000000002</v>
      </c>
      <c r="DA453" s="997">
        <f>ROUND(IF(WWWW[[#This Row],[Total PoP ]]&lt;500,1,WWWW[[#This Row],[Total PoP ]]/500),0)</f>
        <v>1</v>
      </c>
      <c r="DB453" s="997">
        <f>(WWWW[[#This Row],['#_Constructed latrines_by_WASHAgencies]]+WWWW[[#This Row],['#_Non Cluster partner latrines]])-WWWW[[#This Row],['#_Non-functional latrines]]</f>
        <v>13</v>
      </c>
      <c r="DC453" s="631">
        <f>WWWW[[#This Row],[HRP2]]/WWWW[[#This Row],[Total PoP ]]</f>
        <v>0.87959866220735783</v>
      </c>
      <c r="DD45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263</v>
      </c>
      <c r="DE45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F45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3" s="424">
        <f>IF(WWWW[[#This Row],['# of functional latrines in THF supported by WASH partners during the reporting period2]]="",0,WWWW[[#This Row],['# of functional latrines in THF supported by WASH partners during the reporting period2]]*50)</f>
        <v>0</v>
      </c>
      <c r="DH453" s="997">
        <f>ROUND(IF(WWWW[[#This Row],[Location Type 1]]="camp",WWWW[[#This Row],[Total PoP ]]/20,IF(WWWW[[#This Row],[Location Type 1]]="Temporary Location",WWWW[[#This Row],[Total PoP ]]/50,(WWWW[[#This Row],[Total PoP ]]/6))),0)</f>
        <v>15</v>
      </c>
      <c r="DI453" s="997">
        <f>IF(WWWW[[#This Row],[Total required Latrines]]-(WWWW[[#This Row],['#_Constructed latrines_by_WASHAgencies]]+WWWW[[#This Row],['#_Non Cluster partner latrines]])&lt;0,0,WWWW[[#This Row],[Total required Latrines]]-(WWWW[[#This Row],['#_Constructed latrines_by_WASHAgencies]]+WWWW[[#This Row],['#_Non Cluster partner latrines]]))</f>
        <v>2</v>
      </c>
      <c r="DJ453" s="999">
        <f>1-WWWW[[#This Row],[% people access to functioning Latrine]]</f>
        <v>0.12040133779264217</v>
      </c>
      <c r="DK453" s="998">
        <f>IF(OR(WWWW[[#This Row],['#_Non-functional latrines]]="",WWWW[[#This Row],['#_Non-functional latrines]]=0),0,WWWW[[#This Row],['#_Non-functional latrines]]/(WWWW[[#This Row],['#_Constructed latrines_by_WASHAgencies]]+WWWW[[#This Row],['#_Non Cluster partner latrines]]))</f>
        <v>0</v>
      </c>
      <c r="DL453" s="994">
        <f>IF(500*(WWWW[[#This Row],['#_male hygiene promoters]]+WWWW[[#This Row],['#_female hygiene promoters]])&gt;WWWW[[#This Row],[Total PoP ]],WWWW[[#This Row],[Total PoP ]],500*(WWWW[[#This Row],['#_male hygiene promoters]]+WWWW[[#This Row],['#_female hygiene promoters]]))</f>
        <v>299</v>
      </c>
      <c r="DM45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299</v>
      </c>
      <c r="DN45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53" s="997">
        <f>IF(WWWW[[#This Row],['# People with access to soap]]&gt;WWWW[[#This Row],['# People with access to Sanity Pads]],WWWW[[#This Row],['# People with access to soap]],WWWW[[#This Row],['# People with access to Sanity Pads]])</f>
        <v>299</v>
      </c>
      <c r="DP453" s="997">
        <f>IF(WWWW[[#This Row],['# people reached by regular dedicated hygiene promotion_5]]&gt;WWWW[[#This Row],['# People received regular supply of hygiene items_6]],WWWW[[#This Row],['# people reached by regular dedicated hygiene promotion_5]],WWWW[[#This Row],['# People received regular supply of hygiene items_6]])</f>
        <v>299</v>
      </c>
      <c r="DQ453" s="999">
        <f>IF(WWWW[[#This Row],[HRP3]]/WWWW[[#This Row],[Total PoP ]]&gt;1,1,WWWW[[#This Row],[HRP3]]/WWWW[[#This Row],[Total PoP ]])</f>
        <v>1</v>
      </c>
      <c r="DR453" s="998">
        <f>1-WWWW[[#This Row],[Hygiene Coverage%]]</f>
        <v>0</v>
      </c>
      <c r="DS453" s="996">
        <f>WWWW[[#This Row],['# people reached by regular dedicated hygiene promotion_5]]/WWWW[[#This Row],[Total PoP ]]</f>
        <v>1</v>
      </c>
      <c r="DT45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5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53" s="997">
        <f>WWWW[[#This Row],['#_Constructed/Existing hand washing stations]]-WWWW[[#This Row],['#_Non-Functional_hand_washing_stations]]</f>
        <v>8</v>
      </c>
      <c r="DW453" s="994">
        <f>IF(WWWW[[#This Row],['# Functional hand washing stations during reporting period]]*20&gt;WWWW[[#This Row],[Total HH]],WWWW[[#This Row],[Total HH]],WWWW[[#This Row],['# Functional hand washing stations during reporting period]]*20)</f>
        <v>47</v>
      </c>
      <c r="DX453" s="994">
        <f>IF(WWWW[[#This Row],[Is sufficient soap available for TLS? (Yes/No)]]="yes",WWWW[[#This Row],['#_Constructed/Existing hand washing stations at TLS/CFS/THF]],0)</f>
        <v>0</v>
      </c>
      <c r="DY453" s="428">
        <f>IF(WWWW[[#This Row],['# Functional hand washing stations during reporting period]]*100&gt;WWWW[[#This Row],[Total PoP ]],WWWW[[#This Row],[Total PoP ]],WWWW[[#This Row],['# Functional hand washing stations during reporting period]]*100)</f>
        <v>299</v>
      </c>
      <c r="DZ453" s="428" t="str">
        <f>IF(OR(WWWW[[#This Row],['#_students at TLS_CFS]]="",WWWW[[#This Row],['#_students at TLS_CFS]]=0),"No","Yes")</f>
        <v>No</v>
      </c>
      <c r="EA453" s="631">
        <f>IF(WWWW[[#This Row],['#_of_affected_people_surveyed_who_report_feeling_informed_about_the_different_WASH_services_available_to_them]]="","",WWWW[[#This Row],['#_of_affected_people_surveyed_who_report_feeling_informed_about_the_different_WASH_services_available_to_them]]/WWWW[[#This Row],[Total PoP ]])</f>
        <v>3.3444816053511705E-3</v>
      </c>
      <c r="EB45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3" s="990" t="str">
        <f>VLOOKUP(WWWW[[#This Row],[Site Name]],SiteDB6[[Site Name]:[CCCM Management]],6,FALSE)</f>
        <v>Yes</v>
      </c>
      <c r="EF453" s="990" t="str">
        <f>VLOOKUP(WWWW[[#This Row],[Site Name]],SiteDB6[[Site Name]:[CCCM Focal Agency]],7,FALSE)</f>
        <v>KBC-BMO</v>
      </c>
      <c r="EG453" s="990" t="str">
        <f>VLOOKUP(WWWW[[#This Row],[Site Name]],SiteDB6[[Site Name]:[Location Type 1]],9,FALSE)</f>
        <v>Camp</v>
      </c>
      <c r="EH453" s="990" t="str">
        <f>VLOOKUP(WWWW[[#This Row],[Site Name]],SiteDB6[[Site Name]:[Type of Accommodation]],10,FALSE)</f>
        <v>Camp</v>
      </c>
      <c r="EI453" s="990" t="str">
        <f>VLOOKUP(WWWW[[#This Row],[Site Name]],SiteDB6[[Site Name]:[Ethnic or GCA/NGCA]],11,FALSE)</f>
        <v>GCA</v>
      </c>
      <c r="EJ453" s="990">
        <f>VLOOKUP(WWWW[[#This Row],[Site Name]],SiteDB6[[Site Name]:[Lat]],12,FALSE)</f>
        <v>24.205417000000001</v>
      </c>
      <c r="EK453" s="990">
        <f>VLOOKUP(WWWW[[#This Row],[Site Name]],SiteDB6[[Site Name]:[Long]],13,FALSE)</f>
        <v>97.724483000000006</v>
      </c>
      <c r="EL453" s="990" t="str">
        <f>VLOOKUP(WWWW[[#This Row],[Site Name]],SiteDB6[[Site Name]:[Pcode]],3,FALSE)</f>
        <v>MMR001CMP072</v>
      </c>
      <c r="EM453" s="995" t="str">
        <f t="shared" si="8"/>
        <v>Covered</v>
      </c>
      <c r="EN453" s="995"/>
      <c r="EO453" s="990">
        <f>VLOOKUP(WWWW[[#This Row],[Site Name]],SiteDB6[[Site Name]:[Pop
(Kachin/Shan-CCCM as of July 2021)]],16,FALSE)</f>
        <v>47</v>
      </c>
      <c r="EP453" s="990">
        <f>VLOOKUP(WWWW[[#This Row],[Site Name]],SiteDB6[[Site Name]:[Pop
(Kachin/Shan-CCCM as of July 2021)]],17,FALSE)</f>
        <v>291</v>
      </c>
    </row>
    <row r="454" spans="1:146">
      <c r="A454" s="988" t="s">
        <v>2765</v>
      </c>
      <c r="B454" s="988" t="s">
        <v>276</v>
      </c>
      <c r="C454" s="989" t="s">
        <v>276</v>
      </c>
      <c r="D454" s="989" t="s">
        <v>3037</v>
      </c>
      <c r="E454" s="989" t="s">
        <v>37</v>
      </c>
      <c r="F454" s="989" t="s">
        <v>205</v>
      </c>
      <c r="G454" s="591" t="str">
        <f>VLOOKUP(WWWW[[#This Row],[Site Name]],SiteDB6[[Site Name]:[Location Type]],8,FALSE)</f>
        <v>Camp</v>
      </c>
      <c r="H454" s="989" t="s">
        <v>286</v>
      </c>
      <c r="I454" s="991">
        <v>40</v>
      </c>
      <c r="J454" s="991">
        <v>255</v>
      </c>
      <c r="K454" s="992">
        <v>44652</v>
      </c>
      <c r="L454" s="993">
        <v>44895</v>
      </c>
      <c r="M454" s="991"/>
      <c r="N454" s="991"/>
      <c r="O454" s="991">
        <v>2</v>
      </c>
      <c r="P454" s="991"/>
      <c r="Q454" s="994" t="s">
        <v>41</v>
      </c>
      <c r="R454" s="991">
        <v>3</v>
      </c>
      <c r="S454" s="991">
        <v>10</v>
      </c>
      <c r="T454" s="448">
        <v>2</v>
      </c>
      <c r="U454" s="991"/>
      <c r="V454" s="991"/>
      <c r="W454" s="991">
        <v>1</v>
      </c>
      <c r="X454" s="991"/>
      <c r="Y454" s="991"/>
      <c r="Z454" s="991"/>
      <c r="AA454" s="991">
        <v>1</v>
      </c>
      <c r="AB454" s="991"/>
      <c r="AC454" s="991"/>
      <c r="AD454" s="991"/>
      <c r="AE454" s="991"/>
      <c r="AF454" s="991"/>
      <c r="AG454" s="991">
        <v>1</v>
      </c>
      <c r="AH454" s="991"/>
      <c r="AI454" s="991"/>
      <c r="AJ454" s="991"/>
      <c r="AK454" s="991">
        <v>4</v>
      </c>
      <c r="AL454" s="991">
        <v>4</v>
      </c>
      <c r="AM454" s="991"/>
      <c r="AN454" s="991"/>
      <c r="AO454" s="448"/>
      <c r="AP454" s="995"/>
      <c r="AQ454" s="991">
        <v>16</v>
      </c>
      <c r="AR454" s="991"/>
      <c r="AS454" s="996"/>
      <c r="AT454" s="991"/>
      <c r="AU454" s="991"/>
      <c r="AV454" s="991">
        <v>9</v>
      </c>
      <c r="AW454" s="991">
        <v>22</v>
      </c>
      <c r="AX454" s="991"/>
      <c r="AY454" s="990" t="s">
        <v>41</v>
      </c>
      <c r="AZ454" s="995" t="s">
        <v>137</v>
      </c>
      <c r="BA454" s="991"/>
      <c r="BB454" s="991"/>
      <c r="BC454" s="991"/>
      <c r="BD454" s="448"/>
      <c r="BE454" s="448"/>
      <c r="BF454" s="990"/>
      <c r="BG454" s="991">
        <v>3</v>
      </c>
      <c r="BH454" s="991"/>
      <c r="BI454" s="991"/>
      <c r="BJ454" s="991">
        <v>2</v>
      </c>
      <c r="BK454" s="991"/>
      <c r="BL454" s="991">
        <v>1</v>
      </c>
      <c r="BM454" s="991">
        <v>1</v>
      </c>
      <c r="BN454" s="991">
        <v>40</v>
      </c>
      <c r="BO454" s="991"/>
      <c r="BP454" s="990"/>
      <c r="BQ454" s="997"/>
      <c r="BR454" s="996"/>
      <c r="BS454" s="990"/>
      <c r="BT454" s="423"/>
      <c r="BU454" s="423"/>
      <c r="BV454" s="425">
        <v>1</v>
      </c>
      <c r="BW454" s="423">
        <v>1</v>
      </c>
      <c r="BX454" s="448"/>
      <c r="BY454" s="448"/>
      <c r="BZ454" s="448"/>
      <c r="CA454" s="448"/>
      <c r="CB454" s="448"/>
      <c r="CC454" s="777"/>
      <c r="CD454" s="448"/>
      <c r="CE454" s="998" t="str">
        <f>IFERROR(WWWW[[#This Row],['#_Water sources passed]]/WWWW[[#This Row],['#_Water sources tested for fecal coliform ]],"no test")</f>
        <v>no test</v>
      </c>
      <c r="CF454" s="996">
        <f>IFERROR(WWWW[[#This Row],['#_Household passed]]/WWWW[[#This Row],['#_Household water samples tested for fecal coliform]],"no test")</f>
        <v>1</v>
      </c>
      <c r="CG454" s="997" t="str">
        <f>IF(AND(WWWW[[#This Row],[% of water sources passed]]="no test",WWWW[[#This Row],[% Household passed]]="no test"),"No Test","Tested")</f>
        <v>Tested</v>
      </c>
      <c r="CH454" s="997">
        <f>WWWW[[#This Row],['#_Constructed/existing protected hand dug well]]-WWWW[[#This Row],['#_Non-functional protected hand dug well]]</f>
        <v>2</v>
      </c>
      <c r="CI454" s="997">
        <f>(WWWW[[#This Row],['#_Constructed/Existing tube wells/boreholes/handpumps_WASH_agency]]+WWWW[[#This Row],['#_Non-Cluster partner water tube-wells/boreholes/handpumps]])-WWWW[[#This Row],['#_Non-functional tube wells/boreholes/handpumps]]</f>
        <v>1</v>
      </c>
      <c r="CJ454" s="997">
        <f>WWWW[[#This Row],['#_Constructed/Existingwater storage tank with gravity fed reticulation system]]-WWWW[[#This Row],['#_Non-functional storage tank gravity fed reticulation system]]</f>
        <v>1</v>
      </c>
      <c r="CK454" s="997">
        <f>(WWWW[[#This Row],['#_Water_Liters_supplied_by_Water boating or water trucking]]/90)/15</f>
        <v>0</v>
      </c>
      <c r="CL454" s="997">
        <f>WWWW[[#This Row],['#_Water_Liters_from_Constructed/Existing water distribution system from river or natural spring]]/90/15</f>
        <v>0</v>
      </c>
      <c r="CM454" s="424">
        <f>IF(WWWW[[#This Row],['#_of water points in TLS/CFS]]*500&gt;WWWW[[#This Row],[Total PoP ]],WWWW[[#This Row],[Total PoP ]],WWWW[[#This Row],['#_of water points in TLS/CFS]]*500)</f>
        <v>0</v>
      </c>
      <c r="CN454" s="424">
        <f>IF(WWWW[[#This Row],['#_of water points in THF]]*500&gt;WWWW[[#This Row],[Total PoP ]],WWWW[[#This Row],[Total PoP ]],WWWW[[#This Row],['#_of water points in THF]]*500)</f>
        <v>0</v>
      </c>
      <c r="CO45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5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54" s="996">
        <f>IF(WWWW[[#This Row],[Location Type 1]]="Village",WWWW[[#This Row],[Access to safe drinking water for Village]],WWWW[[#This Row],[Access to safe drinking water for Camp]])</f>
        <v>1</v>
      </c>
      <c r="CR454" s="994">
        <f>WWWW[[#This Row],[%Equitable and continuous access to sufficient quantity of safe drinking water]]*WWWW[[#This Row],[Total PoP ]]</f>
        <v>255</v>
      </c>
      <c r="CS454" s="996">
        <f>IF((WWWW[[#This Row],['#_Constructed/Existing protected/fenced ponds]]*250)/WWWW[[#This Row],[Total PoP ]]&gt;1,1,(WWWW[[#This Row],['#_Constructed/Existing protected/fenced ponds]]*250)/WWWW[[#This Row],[Total PoP ]])</f>
        <v>0</v>
      </c>
      <c r="CT454" s="994">
        <f>WWWW[[#This Row],[% Access to unimproved water points]]*WWWW[[#This Row],[Total PoP ]]</f>
        <v>0</v>
      </c>
      <c r="CU45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5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W454" s="994">
        <f>WWWW[[#This Row],[HRP1]]/500</f>
        <v>0.51</v>
      </c>
      <c r="CX454" s="999">
        <f>1-WWWW[[#This Row],[% Equitable and continuous access to sufficient quantity of domestic water]]</f>
        <v>0</v>
      </c>
      <c r="CY454" s="994">
        <f>WWWW[[#This Row],[%equitable and continuous access to sufficient quantity of safe drinking and domestic water''s GAP]]*WWWW[[#This Row],[Total PoP ]]</f>
        <v>0</v>
      </c>
      <c r="CZ454" s="997">
        <f>IF(WWWW[[#This Row],[Total required water points]]-WWWW[[#This Row],['#Water points coverage]]&lt;0,0,WWWW[[#This Row],[Total required water points]]-WWWW[[#This Row],['#Water points coverage]])</f>
        <v>0.49</v>
      </c>
      <c r="DA454" s="997">
        <f>ROUND(IF(WWWW[[#This Row],[Total PoP ]]&lt;500,1,WWWW[[#This Row],[Total PoP ]]/500),0)</f>
        <v>1</v>
      </c>
      <c r="DB454" s="997">
        <f>(WWWW[[#This Row],['#_Constructed latrines_by_WASHAgencies]]+WWWW[[#This Row],['#_Non Cluster partner latrines]])-WWWW[[#This Row],['#_Non-functional latrines]]</f>
        <v>16</v>
      </c>
      <c r="DC454" s="631">
        <f>WWWW[[#This Row],[HRP2]]/WWWW[[#This Row],[Total PoP ]]</f>
        <v>1</v>
      </c>
      <c r="DD45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255</v>
      </c>
      <c r="DE45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180</v>
      </c>
      <c r="DF45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4" s="424">
        <f>IF(WWWW[[#This Row],['# of functional latrines in THF supported by WASH partners during the reporting period2]]="",0,WWWW[[#This Row],['# of functional latrines in THF supported by WASH partners during the reporting period2]]*50)</f>
        <v>0</v>
      </c>
      <c r="DH454" s="997">
        <f>ROUND(IF(WWWW[[#This Row],[Location Type 1]]="camp",WWWW[[#This Row],[Total PoP ]]/20,IF(WWWW[[#This Row],[Location Type 1]]="Temporary Location",WWWW[[#This Row],[Total PoP ]]/50,(WWWW[[#This Row],[Total PoP ]]/6))),0)</f>
        <v>13</v>
      </c>
      <c r="DI454" s="997">
        <f>IF(WWWW[[#This Row],[Total required Latrines]]-(WWWW[[#This Row],['#_Constructed latrines_by_WASHAgencies]]+WWWW[[#This Row],['#_Non Cluster partner latrines]])&lt;0,0,WWWW[[#This Row],[Total required Latrines]]-(WWWW[[#This Row],['#_Constructed latrines_by_WASHAgencies]]+WWWW[[#This Row],['#_Non Cluster partner latrines]]))</f>
        <v>0</v>
      </c>
      <c r="DJ454" s="999">
        <f>1-WWWW[[#This Row],[% people access to functioning Latrine]]</f>
        <v>0</v>
      </c>
      <c r="DK454" s="998">
        <f>IF(OR(WWWW[[#This Row],['#_Non-functional latrines]]="",WWWW[[#This Row],['#_Non-functional latrines]]=0),0,WWWW[[#This Row],['#_Non-functional latrines]]/(WWWW[[#This Row],['#_Constructed latrines_by_WASHAgencies]]+WWWW[[#This Row],['#_Non Cluster partner latrines]]))</f>
        <v>0</v>
      </c>
      <c r="DL454" s="994">
        <f>IF(500*(WWWW[[#This Row],['#_male hygiene promoters]]+WWWW[[#This Row],['#_female hygiene promoters]])&gt;WWWW[[#This Row],[Total PoP ]],WWWW[[#This Row],[Total PoP ]],500*(WWWW[[#This Row],['#_male hygiene promoters]]+WWWW[[#This Row],['#_female hygiene promoters]]))</f>
        <v>255</v>
      </c>
      <c r="DM45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255</v>
      </c>
      <c r="DN45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54" s="997">
        <f>IF(WWWW[[#This Row],['# People with access to soap]]&gt;WWWW[[#This Row],['# People with access to Sanity Pads]],WWWW[[#This Row],['# People with access to soap]],WWWW[[#This Row],['# People with access to Sanity Pads]])</f>
        <v>255</v>
      </c>
      <c r="DP454" s="997">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Q454" s="999">
        <f>IF(WWWW[[#This Row],[HRP3]]/WWWW[[#This Row],[Total PoP ]]&gt;1,1,WWWW[[#This Row],[HRP3]]/WWWW[[#This Row],[Total PoP ]])</f>
        <v>1</v>
      </c>
      <c r="DR454" s="998">
        <f>1-WWWW[[#This Row],[Hygiene Coverage%]]</f>
        <v>0</v>
      </c>
      <c r="DS454" s="996">
        <f>WWWW[[#This Row],['# people reached by regular dedicated hygiene promotion_5]]/WWWW[[#This Row],[Total PoP ]]</f>
        <v>1</v>
      </c>
      <c r="DT45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5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54" s="997">
        <f>WWWW[[#This Row],['#_Constructed/Existing hand washing stations]]-WWWW[[#This Row],['#_Non-Functional_hand_washing_stations]]</f>
        <v>3</v>
      </c>
      <c r="DW454" s="994">
        <f>IF(WWWW[[#This Row],['# Functional hand washing stations during reporting period]]*20&gt;WWWW[[#This Row],[Total HH]],WWWW[[#This Row],[Total HH]],WWWW[[#This Row],['# Functional hand washing stations during reporting period]]*20)</f>
        <v>40</v>
      </c>
      <c r="DX454" s="994">
        <f>IF(WWWW[[#This Row],[Is sufficient soap available for TLS? (Yes/No)]]="yes",WWWW[[#This Row],['#_Constructed/Existing hand washing stations at TLS/CFS/THF]],0)</f>
        <v>0</v>
      </c>
      <c r="DY454" s="428">
        <f>IF(WWWW[[#This Row],['# Functional hand washing stations during reporting period]]*100&gt;WWWW[[#This Row],[Total PoP ]],WWWW[[#This Row],[Total PoP ]],WWWW[[#This Row],['# Functional hand washing stations during reporting period]]*100)</f>
        <v>255</v>
      </c>
      <c r="DZ454" s="428" t="str">
        <f>IF(OR(WWWW[[#This Row],['#_students at TLS_CFS]]="",WWWW[[#This Row],['#_students at TLS_CFS]]=0),"No","Yes")</f>
        <v>No</v>
      </c>
      <c r="EA454" s="631">
        <f>IF(WWWW[[#This Row],['#_of_affected_people_surveyed_who_report_feeling_informed_about_the_different_WASH_services_available_to_them]]="","",WWWW[[#This Row],['#_of_affected_people_surveyed_who_report_feeling_informed_about_the_different_WASH_services_available_to_them]]/WWWW[[#This Row],[Total PoP ]])</f>
        <v>3.9215686274509803E-3</v>
      </c>
      <c r="EB45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4" s="990" t="str">
        <f>VLOOKUP(WWWW[[#This Row],[Site Name]],SiteDB6[[Site Name]:[CCCM Management]],6,FALSE)</f>
        <v>Yes</v>
      </c>
      <c r="EF454" s="990" t="str">
        <f>VLOOKUP(WWWW[[#This Row],[Site Name]],SiteDB6[[Site Name]:[CCCM Focal Agency]],7,FALSE)</f>
        <v>KBC-BMO</v>
      </c>
      <c r="EG454" s="990" t="str">
        <f>VLOOKUP(WWWW[[#This Row],[Site Name]],SiteDB6[[Site Name]:[Location Type 1]],9,FALSE)</f>
        <v>Camp</v>
      </c>
      <c r="EH454" s="990" t="str">
        <f>VLOOKUP(WWWW[[#This Row],[Site Name]],SiteDB6[[Site Name]:[Type of Accommodation]],10,FALSE)</f>
        <v>Camp</v>
      </c>
      <c r="EI454" s="990" t="str">
        <f>VLOOKUP(WWWW[[#This Row],[Site Name]],SiteDB6[[Site Name]:[Ethnic or GCA/NGCA]],11,FALSE)</f>
        <v>GCA</v>
      </c>
      <c r="EJ454" s="990">
        <f>VLOOKUP(WWWW[[#This Row],[Site Name]],SiteDB6[[Site Name]:[Lat]],12,FALSE)</f>
        <v>24.207332999999998</v>
      </c>
      <c r="EK454" s="990">
        <f>VLOOKUP(WWWW[[#This Row],[Site Name]],SiteDB6[[Site Name]:[Long]],13,FALSE)</f>
        <v>97.710864000000001</v>
      </c>
      <c r="EL454" s="990" t="str">
        <f>VLOOKUP(WWWW[[#This Row],[Site Name]],SiteDB6[[Site Name]:[Pcode]],3,FALSE)</f>
        <v>MMR001CMP073</v>
      </c>
      <c r="EM454" s="995" t="str">
        <f t="shared" si="8"/>
        <v>Covered</v>
      </c>
      <c r="EN454" s="995"/>
      <c r="EO454" s="990">
        <f>VLOOKUP(WWWW[[#This Row],[Site Name]],SiteDB6[[Site Name]:[Pop
(Kachin/Shan-CCCM as of July 2021)]],16,FALSE)</f>
        <v>47</v>
      </c>
      <c r="EP454" s="990">
        <f>VLOOKUP(WWWW[[#This Row],[Site Name]],SiteDB6[[Site Name]:[Pop
(Kachin/Shan-CCCM as of July 2021)]],17,FALSE)</f>
        <v>279</v>
      </c>
    </row>
    <row r="455" spans="1:146">
      <c r="A455" s="988" t="s">
        <v>2765</v>
      </c>
      <c r="B455" s="988" t="s">
        <v>919</v>
      </c>
      <c r="C455" s="989" t="s">
        <v>141</v>
      </c>
      <c r="D455" s="989" t="s">
        <v>3164</v>
      </c>
      <c r="E455" s="989" t="s">
        <v>37</v>
      </c>
      <c r="F455" s="989" t="s">
        <v>152</v>
      </c>
      <c r="G455" s="591" t="str">
        <f>VLOOKUP(WWWW[[#This Row],[Site Name]],SiteDB6[[Site Name]:[Location Type]],8,FALSE)</f>
        <v>Camp</v>
      </c>
      <c r="H455" s="989" t="s">
        <v>1613</v>
      </c>
      <c r="I455" s="991">
        <v>15</v>
      </c>
      <c r="J455" s="991">
        <v>73</v>
      </c>
      <c r="K455" s="992">
        <v>44682</v>
      </c>
      <c r="L455" s="993">
        <v>45169</v>
      </c>
      <c r="M455" s="991"/>
      <c r="N455" s="991">
        <v>1</v>
      </c>
      <c r="O455" s="991"/>
      <c r="P455" s="991"/>
      <c r="Q455" s="994" t="s">
        <v>41</v>
      </c>
      <c r="R455" s="991">
        <v>2</v>
      </c>
      <c r="S455" s="991">
        <v>3</v>
      </c>
      <c r="T455" s="448">
        <v>1</v>
      </c>
      <c r="U455" s="991"/>
      <c r="V455" s="991"/>
      <c r="W455" s="991">
        <v>1</v>
      </c>
      <c r="X455" s="991"/>
      <c r="Y455" s="991"/>
      <c r="Z455" s="991"/>
      <c r="AA455" s="991"/>
      <c r="AB455" s="991"/>
      <c r="AC455" s="991"/>
      <c r="AD455" s="991"/>
      <c r="AE455" s="991"/>
      <c r="AF455" s="991"/>
      <c r="AG455" s="991"/>
      <c r="AH455" s="991">
        <v>2</v>
      </c>
      <c r="AI455" s="991"/>
      <c r="AJ455" s="991"/>
      <c r="AK455" s="991"/>
      <c r="AL455" s="991"/>
      <c r="AM455" s="991"/>
      <c r="AN455" s="991"/>
      <c r="AO455" s="448"/>
      <c r="AP455" s="995"/>
      <c r="AQ455" s="991">
        <v>3</v>
      </c>
      <c r="AR455" s="991"/>
      <c r="AS455" s="996"/>
      <c r="AT455" s="991"/>
      <c r="AU455" s="991"/>
      <c r="AV455" s="991"/>
      <c r="AW455" s="991"/>
      <c r="AX455" s="991">
        <v>2</v>
      </c>
      <c r="AY455" s="990" t="s">
        <v>41</v>
      </c>
      <c r="AZ455" s="995" t="s">
        <v>137</v>
      </c>
      <c r="BA455" s="991"/>
      <c r="BB455" s="991"/>
      <c r="BC455" s="991"/>
      <c r="BD455" s="448"/>
      <c r="BE455" s="448"/>
      <c r="BF455" s="990"/>
      <c r="BG455" s="991">
        <v>2</v>
      </c>
      <c r="BH455" s="991"/>
      <c r="BI455" s="991"/>
      <c r="BJ455" s="991">
        <v>2</v>
      </c>
      <c r="BK455" s="991"/>
      <c r="BL455" s="991"/>
      <c r="BM455" s="991"/>
      <c r="BN455" s="991"/>
      <c r="BO455" s="991"/>
      <c r="BP455" s="990"/>
      <c r="BQ455" s="997"/>
      <c r="BR455" s="996"/>
      <c r="BS455" s="990"/>
      <c r="BT455" s="423"/>
      <c r="BU455" s="423"/>
      <c r="BV455" s="425"/>
      <c r="BW455" s="423"/>
      <c r="BX455" s="448"/>
      <c r="BY455" s="448"/>
      <c r="BZ455" s="448"/>
      <c r="CA455" s="448"/>
      <c r="CB455" s="448"/>
      <c r="CC455" s="777"/>
      <c r="CD455" s="448"/>
      <c r="CE455" s="998" t="str">
        <f>IFERROR(WWWW[[#This Row],['#_Water sources passed]]/WWWW[[#This Row],['#_Water sources tested for fecal coliform ]],"no test")</f>
        <v>no test</v>
      </c>
      <c r="CF455" s="996" t="str">
        <f>IFERROR(WWWW[[#This Row],['#_Household passed]]/WWWW[[#This Row],['#_Household water samples tested for fecal coliform]],"no test")</f>
        <v>no test</v>
      </c>
      <c r="CG455" s="997" t="str">
        <f>IF(AND(WWWW[[#This Row],[% of water sources passed]]="no test",WWWW[[#This Row],[% Household passed]]="no test"),"No Test","Tested")</f>
        <v>No Test</v>
      </c>
      <c r="CH455" s="997">
        <f>WWWW[[#This Row],['#_Constructed/existing protected hand dug well]]-WWWW[[#This Row],['#_Non-functional protected hand dug well]]</f>
        <v>1</v>
      </c>
      <c r="CI455" s="997">
        <f>(WWWW[[#This Row],['#_Constructed/Existing tube wells/boreholes/handpumps_WASH_agency]]+WWWW[[#This Row],['#_Non-Cluster partner water tube-wells/boreholes/handpumps]])-WWWW[[#This Row],['#_Non-functional tube wells/boreholes/handpumps]]</f>
        <v>1</v>
      </c>
      <c r="CJ455" s="997">
        <f>WWWW[[#This Row],['#_Constructed/Existingwater storage tank with gravity fed reticulation system]]-WWWW[[#This Row],['#_Non-functional storage tank gravity fed reticulation system]]</f>
        <v>0</v>
      </c>
      <c r="CK455" s="997">
        <f>(WWWW[[#This Row],['#_Water_Liters_supplied_by_Water boating or water trucking]]/90)/15</f>
        <v>0</v>
      </c>
      <c r="CL455" s="997">
        <f>WWWW[[#This Row],['#_Water_Liters_from_Constructed/Existing water distribution system from river or natural spring]]/90/15</f>
        <v>0</v>
      </c>
      <c r="CM455" s="424">
        <f>IF(WWWW[[#This Row],['#_of water points in TLS/CFS]]*500&gt;WWWW[[#This Row],[Total PoP ]],WWWW[[#This Row],[Total PoP ]],WWWW[[#This Row],['#_of water points in TLS/CFS]]*500)</f>
        <v>0</v>
      </c>
      <c r="CN455" s="424">
        <f>IF(WWWW[[#This Row],['#_of water points in THF]]*500&gt;WWWW[[#This Row],[Total PoP ]],WWWW[[#This Row],[Total PoP ]],WWWW[[#This Row],['#_of water points in THF]]*500)</f>
        <v>0</v>
      </c>
      <c r="CO45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5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55" s="996">
        <f>IF(WWWW[[#This Row],[Location Type 1]]="Village",WWWW[[#This Row],[Access to safe drinking water for Village]],WWWW[[#This Row],[Access to safe drinking water for Camp]])</f>
        <v>1</v>
      </c>
      <c r="CR455" s="994">
        <f>WWWW[[#This Row],[%Equitable and continuous access to sufficient quantity of safe drinking water]]*WWWW[[#This Row],[Total PoP ]]</f>
        <v>73</v>
      </c>
      <c r="CS455" s="996">
        <f>IF((WWWW[[#This Row],['#_Constructed/Existing protected/fenced ponds]]*250)/WWWW[[#This Row],[Total PoP ]]&gt;1,1,(WWWW[[#This Row],['#_Constructed/Existing protected/fenced ponds]]*250)/WWWW[[#This Row],[Total PoP ]])</f>
        <v>0</v>
      </c>
      <c r="CT455" s="994">
        <f>WWWW[[#This Row],[% Access to unimproved water points]]*WWWW[[#This Row],[Total PoP ]]</f>
        <v>0</v>
      </c>
      <c r="CU45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5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v>
      </c>
      <c r="CW455" s="994">
        <f>WWWW[[#This Row],[HRP1]]/500</f>
        <v>0.14599999999999999</v>
      </c>
      <c r="CX455" s="999">
        <f>1-WWWW[[#This Row],[% Equitable and continuous access to sufficient quantity of domestic water]]</f>
        <v>0</v>
      </c>
      <c r="CY455" s="994">
        <f>WWWW[[#This Row],[%equitable and continuous access to sufficient quantity of safe drinking and domestic water''s GAP]]*WWWW[[#This Row],[Total PoP ]]</f>
        <v>0</v>
      </c>
      <c r="CZ455" s="997">
        <f>IF(WWWW[[#This Row],[Total required water points]]-WWWW[[#This Row],['#Water points coverage]]&lt;0,0,WWWW[[#This Row],[Total required water points]]-WWWW[[#This Row],['#Water points coverage]])</f>
        <v>0.85399999999999998</v>
      </c>
      <c r="DA455" s="997">
        <f>ROUND(IF(WWWW[[#This Row],[Total PoP ]]&lt;500,1,WWWW[[#This Row],[Total PoP ]]/500),0)</f>
        <v>1</v>
      </c>
      <c r="DB455" s="997">
        <f>(WWWW[[#This Row],['#_Constructed latrines_by_WASHAgencies]]+WWWW[[#This Row],['#_Non Cluster partner latrines]])-WWWW[[#This Row],['#_Non-functional latrines]]</f>
        <v>3</v>
      </c>
      <c r="DC455" s="631">
        <f>WWWW[[#This Row],[HRP2]]/WWWW[[#This Row],[Total PoP ]]</f>
        <v>0.82191780821917804</v>
      </c>
      <c r="DD45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v>
      </c>
      <c r="DE45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5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5" s="424">
        <f>IF(WWWW[[#This Row],['# of functional latrines in THF supported by WASH partners during the reporting period2]]="",0,WWWW[[#This Row],['# of functional latrines in THF supported by WASH partners during the reporting period2]]*50)</f>
        <v>0</v>
      </c>
      <c r="DH455" s="997">
        <f>ROUND(IF(WWWW[[#This Row],[Location Type 1]]="camp",WWWW[[#This Row],[Total PoP ]]/20,IF(WWWW[[#This Row],[Location Type 1]]="Temporary Location",WWWW[[#This Row],[Total PoP ]]/50,(WWWW[[#This Row],[Total PoP ]]/6))),0)</f>
        <v>4</v>
      </c>
      <c r="DI455" s="997">
        <f>IF(WWWW[[#This Row],[Total required Latrines]]-(WWWW[[#This Row],['#_Constructed latrines_by_WASHAgencies]]+WWWW[[#This Row],['#_Non Cluster partner latrines]])&lt;0,0,WWWW[[#This Row],[Total required Latrines]]-(WWWW[[#This Row],['#_Constructed latrines_by_WASHAgencies]]+WWWW[[#This Row],['#_Non Cluster partner latrines]]))</f>
        <v>1</v>
      </c>
      <c r="DJ455" s="999">
        <f>1-WWWW[[#This Row],[% people access to functioning Latrine]]</f>
        <v>0.17808219178082196</v>
      </c>
      <c r="DK455" s="998">
        <f>IF(OR(WWWW[[#This Row],['#_Non-functional latrines]]="",WWWW[[#This Row],['#_Non-functional latrines]]=0),0,WWWW[[#This Row],['#_Non-functional latrines]]/(WWWW[[#This Row],['#_Constructed latrines_by_WASHAgencies]]+WWWW[[#This Row],['#_Non Cluster partner latrines]]))</f>
        <v>0</v>
      </c>
      <c r="DL455" s="994">
        <f>IF(500*(WWWW[[#This Row],['#_male hygiene promoters]]+WWWW[[#This Row],['#_female hygiene promoters]])&gt;WWWW[[#This Row],[Total PoP ]],WWWW[[#This Row],[Total PoP ]],500*(WWWW[[#This Row],['#_male hygiene promoters]]+WWWW[[#This Row],['#_female hygiene promoters]]))</f>
        <v>0</v>
      </c>
      <c r="DM45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5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55" s="997">
        <f>IF(WWWW[[#This Row],['# People with access to soap]]&gt;WWWW[[#This Row],['# People with access to Sanity Pads]],WWWW[[#This Row],['# People with access to soap]],WWWW[[#This Row],['# People with access to Sanity Pads]])</f>
        <v>0</v>
      </c>
      <c r="DP455"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55" s="999">
        <f>IF(WWWW[[#This Row],[HRP3]]/WWWW[[#This Row],[Total PoP ]]&gt;1,1,WWWW[[#This Row],[HRP3]]/WWWW[[#This Row],[Total PoP ]])</f>
        <v>0</v>
      </c>
      <c r="DR455" s="998">
        <f>1-WWWW[[#This Row],[Hygiene Coverage%]]</f>
        <v>1</v>
      </c>
      <c r="DS455" s="996">
        <f>WWWW[[#This Row],['# people reached by regular dedicated hygiene promotion_5]]/WWWW[[#This Row],[Total PoP ]]</f>
        <v>0</v>
      </c>
      <c r="DT45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5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55" s="997">
        <f>WWWW[[#This Row],['#_Constructed/Existing hand washing stations]]-WWWW[[#This Row],['#_Non-Functional_hand_washing_stations]]</f>
        <v>2</v>
      </c>
      <c r="DW455" s="994">
        <f>IF(WWWW[[#This Row],['# Functional hand washing stations during reporting period]]*20&gt;WWWW[[#This Row],[Total HH]],WWWW[[#This Row],[Total HH]],WWWW[[#This Row],['# Functional hand washing stations during reporting period]]*20)</f>
        <v>15</v>
      </c>
      <c r="DX455" s="994">
        <f>IF(WWWW[[#This Row],[Is sufficient soap available for TLS? (Yes/No)]]="yes",WWWW[[#This Row],['#_Constructed/Existing hand washing stations at TLS/CFS/THF]],0)</f>
        <v>0</v>
      </c>
      <c r="DY455" s="428">
        <f>IF(WWWW[[#This Row],['# Functional hand washing stations during reporting period]]*100&gt;WWWW[[#This Row],[Total PoP ]],WWWW[[#This Row],[Total PoP ]],WWWW[[#This Row],['# Functional hand washing stations during reporting period]]*100)</f>
        <v>73</v>
      </c>
      <c r="DZ455" s="428" t="str">
        <f>IF(OR(WWWW[[#This Row],['#_students at TLS_CFS]]="",WWWW[[#This Row],['#_students at TLS_CFS]]=0),"No","Yes")</f>
        <v>No</v>
      </c>
      <c r="EA45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5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5" s="990" t="str">
        <f>VLOOKUP(WWWW[[#This Row],[Site Name]],SiteDB6[[Site Name]:[CCCM Management]],6,FALSE)</f>
        <v>Yes</v>
      </c>
      <c r="EF455" s="990" t="str">
        <f>VLOOKUP(WWWW[[#This Row],[Site Name]],SiteDB6[[Site Name]:[CCCM Focal Agency]],7,FALSE)</f>
        <v>KBC-MYT</v>
      </c>
      <c r="EG455" s="990" t="str">
        <f>VLOOKUP(WWWW[[#This Row],[Site Name]],SiteDB6[[Site Name]:[Location Type 1]],9,FALSE)</f>
        <v>Camp</v>
      </c>
      <c r="EH455" s="990" t="str">
        <f>VLOOKUP(WWWW[[#This Row],[Site Name]],SiteDB6[[Site Name]:[Type of Accommodation]],10,FALSE)</f>
        <v>Camp</v>
      </c>
      <c r="EI455" s="990" t="str">
        <f>VLOOKUP(WWWW[[#This Row],[Site Name]],SiteDB6[[Site Name]:[Ethnic or GCA/NGCA]],11,FALSE)</f>
        <v>GCA</v>
      </c>
      <c r="EJ455" s="990">
        <f>VLOOKUP(WWWW[[#This Row],[Site Name]],SiteDB6[[Site Name]:[Lat]],12,FALSE)</f>
        <v>25.296579999999999</v>
      </c>
      <c r="EK455" s="990">
        <f>VLOOKUP(WWWW[[#This Row],[Site Name]],SiteDB6[[Site Name]:[Long]],13,FALSE)</f>
        <v>96.942279999999997</v>
      </c>
      <c r="EL455" s="990" t="str">
        <f>VLOOKUP(WWWW[[#This Row],[Site Name]],SiteDB6[[Site Name]:[Pcode]],3,FALSE)</f>
        <v>MMR001CMP077</v>
      </c>
      <c r="EM455" s="995" t="str">
        <f t="shared" si="8"/>
        <v>Covered</v>
      </c>
      <c r="EN455" s="995"/>
      <c r="EO455" s="990">
        <f>VLOOKUP(WWWW[[#This Row],[Site Name]],SiteDB6[[Site Name]:[Pop
(Kachin/Shan-CCCM as of July 2021)]],16,FALSE)</f>
        <v>16</v>
      </c>
      <c r="EP455" s="990">
        <f>VLOOKUP(WWWW[[#This Row],[Site Name]],SiteDB6[[Site Name]:[Pop
(Kachin/Shan-CCCM as of July 2021)]],17,FALSE)</f>
        <v>75</v>
      </c>
    </row>
    <row r="456" spans="1:146">
      <c r="A456" s="988" t="s">
        <v>2765</v>
      </c>
      <c r="B456" s="988" t="s">
        <v>919</v>
      </c>
      <c r="C456" s="989" t="s">
        <v>141</v>
      </c>
      <c r="D456" s="989" t="s">
        <v>3163</v>
      </c>
      <c r="E456" s="989" t="s">
        <v>37</v>
      </c>
      <c r="F456" s="989" t="s">
        <v>152</v>
      </c>
      <c r="G456" s="591" t="str">
        <f>VLOOKUP(WWWW[[#This Row],[Site Name]],SiteDB6[[Site Name]:[Location Type]],8,FALSE)</f>
        <v>Camp</v>
      </c>
      <c r="H456" s="989" t="s">
        <v>153</v>
      </c>
      <c r="I456" s="991">
        <v>13</v>
      </c>
      <c r="J456" s="991">
        <v>76</v>
      </c>
      <c r="K456" s="992">
        <v>44682</v>
      </c>
      <c r="L456" s="993">
        <v>45169</v>
      </c>
      <c r="M456" s="991"/>
      <c r="N456" s="991">
        <v>1</v>
      </c>
      <c r="O456" s="991"/>
      <c r="P456" s="991"/>
      <c r="Q456" s="994" t="s">
        <v>41</v>
      </c>
      <c r="R456" s="991">
        <v>2</v>
      </c>
      <c r="S456" s="991">
        <v>3</v>
      </c>
      <c r="T456" s="448">
        <v>1</v>
      </c>
      <c r="U456" s="991"/>
      <c r="V456" s="991"/>
      <c r="W456" s="991">
        <v>1</v>
      </c>
      <c r="X456" s="991"/>
      <c r="Y456" s="991"/>
      <c r="Z456" s="991"/>
      <c r="AA456" s="991"/>
      <c r="AB456" s="991"/>
      <c r="AC456" s="991"/>
      <c r="AD456" s="991"/>
      <c r="AE456" s="991"/>
      <c r="AF456" s="991"/>
      <c r="AG456" s="991"/>
      <c r="AH456" s="991">
        <v>2</v>
      </c>
      <c r="AI456" s="991"/>
      <c r="AJ456" s="991"/>
      <c r="AK456" s="991"/>
      <c r="AL456" s="991"/>
      <c r="AM456" s="991"/>
      <c r="AN456" s="991"/>
      <c r="AO456" s="448"/>
      <c r="AP456" s="995"/>
      <c r="AQ456" s="991">
        <v>6</v>
      </c>
      <c r="AR456" s="991"/>
      <c r="AS456" s="996"/>
      <c r="AT456" s="991"/>
      <c r="AU456" s="991"/>
      <c r="AV456" s="991"/>
      <c r="AW456" s="991"/>
      <c r="AX456" s="991">
        <v>6</v>
      </c>
      <c r="AY456" s="990" t="s">
        <v>41</v>
      </c>
      <c r="AZ456" s="995" t="s">
        <v>904</v>
      </c>
      <c r="BA456" s="991"/>
      <c r="BB456" s="991"/>
      <c r="BC456" s="991"/>
      <c r="BD456" s="448"/>
      <c r="BE456" s="448"/>
      <c r="BF456" s="990"/>
      <c r="BG456" s="991">
        <v>4</v>
      </c>
      <c r="BH456" s="991"/>
      <c r="BI456" s="991"/>
      <c r="BJ456" s="991">
        <v>2</v>
      </c>
      <c r="BK456" s="991"/>
      <c r="BL456" s="991"/>
      <c r="BM456" s="991"/>
      <c r="BN456" s="991"/>
      <c r="BO456" s="991"/>
      <c r="BP456" s="990"/>
      <c r="BQ456" s="997"/>
      <c r="BR456" s="996"/>
      <c r="BS456" s="990"/>
      <c r="BT456" s="423"/>
      <c r="BU456" s="423"/>
      <c r="BV456" s="425"/>
      <c r="BW456" s="423"/>
      <c r="BX456" s="448"/>
      <c r="BY456" s="448"/>
      <c r="BZ456" s="448"/>
      <c r="CA456" s="448"/>
      <c r="CB456" s="448"/>
      <c r="CC456" s="777"/>
      <c r="CD456" s="448"/>
      <c r="CE456" s="998" t="str">
        <f>IFERROR(WWWW[[#This Row],['#_Water sources passed]]/WWWW[[#This Row],['#_Water sources tested for fecal coliform ]],"no test")</f>
        <v>no test</v>
      </c>
      <c r="CF456" s="996" t="str">
        <f>IFERROR(WWWW[[#This Row],['#_Household passed]]/WWWW[[#This Row],['#_Household water samples tested for fecal coliform]],"no test")</f>
        <v>no test</v>
      </c>
      <c r="CG456" s="997" t="str">
        <f>IF(AND(WWWW[[#This Row],[% of water sources passed]]="no test",WWWW[[#This Row],[% Household passed]]="no test"),"No Test","Tested")</f>
        <v>No Test</v>
      </c>
      <c r="CH456" s="997">
        <f>WWWW[[#This Row],['#_Constructed/existing protected hand dug well]]-WWWW[[#This Row],['#_Non-functional protected hand dug well]]</f>
        <v>1</v>
      </c>
      <c r="CI456" s="997">
        <f>(WWWW[[#This Row],['#_Constructed/Existing tube wells/boreholes/handpumps_WASH_agency]]+WWWW[[#This Row],['#_Non-Cluster partner water tube-wells/boreholes/handpumps]])-WWWW[[#This Row],['#_Non-functional tube wells/boreholes/handpumps]]</f>
        <v>1</v>
      </c>
      <c r="CJ456" s="997">
        <f>WWWW[[#This Row],['#_Constructed/Existingwater storage tank with gravity fed reticulation system]]-WWWW[[#This Row],['#_Non-functional storage tank gravity fed reticulation system]]</f>
        <v>0</v>
      </c>
      <c r="CK456" s="997">
        <f>(WWWW[[#This Row],['#_Water_Liters_supplied_by_Water boating or water trucking]]/90)/15</f>
        <v>0</v>
      </c>
      <c r="CL456" s="997">
        <f>WWWW[[#This Row],['#_Water_Liters_from_Constructed/Existing water distribution system from river or natural spring]]/90/15</f>
        <v>0</v>
      </c>
      <c r="CM456" s="424">
        <f>IF(WWWW[[#This Row],['#_of water points in TLS/CFS]]*500&gt;WWWW[[#This Row],[Total PoP ]],WWWW[[#This Row],[Total PoP ]],WWWW[[#This Row],['#_of water points in TLS/CFS]]*500)</f>
        <v>0</v>
      </c>
      <c r="CN456" s="424">
        <f>IF(WWWW[[#This Row],['#_of water points in THF]]*500&gt;WWWW[[#This Row],[Total PoP ]],WWWW[[#This Row],[Total PoP ]],WWWW[[#This Row],['#_of water points in THF]]*500)</f>
        <v>0</v>
      </c>
      <c r="CO45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5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56" s="996">
        <f>IF(WWWW[[#This Row],[Location Type 1]]="Village",WWWW[[#This Row],[Access to safe drinking water for Village]],WWWW[[#This Row],[Access to safe drinking water for Camp]])</f>
        <v>1</v>
      </c>
      <c r="CR456" s="994">
        <f>WWWW[[#This Row],[%Equitable and continuous access to sufficient quantity of safe drinking water]]*WWWW[[#This Row],[Total PoP ]]</f>
        <v>76</v>
      </c>
      <c r="CS456" s="996">
        <f>IF((WWWW[[#This Row],['#_Constructed/Existing protected/fenced ponds]]*250)/WWWW[[#This Row],[Total PoP ]]&gt;1,1,(WWWW[[#This Row],['#_Constructed/Existing protected/fenced ponds]]*250)/WWWW[[#This Row],[Total PoP ]])</f>
        <v>0</v>
      </c>
      <c r="CT456" s="994">
        <f>WWWW[[#This Row],[% Access to unimproved water points]]*WWWW[[#This Row],[Total PoP ]]</f>
        <v>0</v>
      </c>
      <c r="CU45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5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v>
      </c>
      <c r="CW456" s="994">
        <f>WWWW[[#This Row],[HRP1]]/500</f>
        <v>0.152</v>
      </c>
      <c r="CX456" s="999">
        <f>1-WWWW[[#This Row],[% Equitable and continuous access to sufficient quantity of domestic water]]</f>
        <v>0</v>
      </c>
      <c r="CY456" s="994">
        <f>WWWW[[#This Row],[%equitable and continuous access to sufficient quantity of safe drinking and domestic water''s GAP]]*WWWW[[#This Row],[Total PoP ]]</f>
        <v>0</v>
      </c>
      <c r="CZ456" s="997">
        <f>IF(WWWW[[#This Row],[Total required water points]]-WWWW[[#This Row],['#Water points coverage]]&lt;0,0,WWWW[[#This Row],[Total required water points]]-WWWW[[#This Row],['#Water points coverage]])</f>
        <v>0.84799999999999998</v>
      </c>
      <c r="DA456" s="997">
        <f>ROUND(IF(WWWW[[#This Row],[Total PoP ]]&lt;500,1,WWWW[[#This Row],[Total PoP ]]/500),0)</f>
        <v>1</v>
      </c>
      <c r="DB456" s="997">
        <f>(WWWW[[#This Row],['#_Constructed latrines_by_WASHAgencies]]+WWWW[[#This Row],['#_Non Cluster partner latrines]])-WWWW[[#This Row],['#_Non-functional latrines]]</f>
        <v>6</v>
      </c>
      <c r="DC456" s="631">
        <f>WWWW[[#This Row],[HRP2]]/WWWW[[#This Row],[Total PoP ]]</f>
        <v>1</v>
      </c>
      <c r="DD45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76</v>
      </c>
      <c r="DE45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5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6" s="424">
        <f>IF(WWWW[[#This Row],['# of functional latrines in THF supported by WASH partners during the reporting period2]]="",0,WWWW[[#This Row],['# of functional latrines in THF supported by WASH partners during the reporting period2]]*50)</f>
        <v>0</v>
      </c>
      <c r="DH456" s="997">
        <f>ROUND(IF(WWWW[[#This Row],[Location Type 1]]="camp",WWWW[[#This Row],[Total PoP ]]/20,IF(WWWW[[#This Row],[Location Type 1]]="Temporary Location",WWWW[[#This Row],[Total PoP ]]/50,(WWWW[[#This Row],[Total PoP ]]/6))),0)</f>
        <v>4</v>
      </c>
      <c r="DI456" s="997">
        <f>IF(WWWW[[#This Row],[Total required Latrines]]-(WWWW[[#This Row],['#_Constructed latrines_by_WASHAgencies]]+WWWW[[#This Row],['#_Non Cluster partner latrines]])&lt;0,0,WWWW[[#This Row],[Total required Latrines]]-(WWWW[[#This Row],['#_Constructed latrines_by_WASHAgencies]]+WWWW[[#This Row],['#_Non Cluster partner latrines]]))</f>
        <v>0</v>
      </c>
      <c r="DJ456" s="999">
        <f>1-WWWW[[#This Row],[% people access to functioning Latrine]]</f>
        <v>0</v>
      </c>
      <c r="DK456" s="998">
        <f>IF(OR(WWWW[[#This Row],['#_Non-functional latrines]]="",WWWW[[#This Row],['#_Non-functional latrines]]=0),0,WWWW[[#This Row],['#_Non-functional latrines]]/(WWWW[[#This Row],['#_Constructed latrines_by_WASHAgencies]]+WWWW[[#This Row],['#_Non Cluster partner latrines]]))</f>
        <v>0</v>
      </c>
      <c r="DL456" s="994">
        <f>IF(500*(WWWW[[#This Row],['#_male hygiene promoters]]+WWWW[[#This Row],['#_female hygiene promoters]])&gt;WWWW[[#This Row],[Total PoP ]],WWWW[[#This Row],[Total PoP ]],500*(WWWW[[#This Row],['#_male hygiene promoters]]+WWWW[[#This Row],['#_female hygiene promoters]]))</f>
        <v>0</v>
      </c>
      <c r="DM45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5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56" s="997">
        <f>IF(WWWW[[#This Row],['# People with access to soap]]&gt;WWWW[[#This Row],['# People with access to Sanity Pads]],WWWW[[#This Row],['# People with access to soap]],WWWW[[#This Row],['# People with access to Sanity Pads]])</f>
        <v>0</v>
      </c>
      <c r="DP456"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56" s="999">
        <f>IF(WWWW[[#This Row],[HRP3]]/WWWW[[#This Row],[Total PoP ]]&gt;1,1,WWWW[[#This Row],[HRP3]]/WWWW[[#This Row],[Total PoP ]])</f>
        <v>0</v>
      </c>
      <c r="DR456" s="998">
        <f>1-WWWW[[#This Row],[Hygiene Coverage%]]</f>
        <v>1</v>
      </c>
      <c r="DS456" s="996">
        <f>WWWW[[#This Row],['# people reached by regular dedicated hygiene promotion_5]]/WWWW[[#This Row],[Total PoP ]]</f>
        <v>0</v>
      </c>
      <c r="DT45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5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56" s="997">
        <f>WWWW[[#This Row],['#_Constructed/Existing hand washing stations]]-WWWW[[#This Row],['#_Non-Functional_hand_washing_stations]]</f>
        <v>4</v>
      </c>
      <c r="DW456" s="994">
        <f>IF(WWWW[[#This Row],['# Functional hand washing stations during reporting period]]*20&gt;WWWW[[#This Row],[Total HH]],WWWW[[#This Row],[Total HH]],WWWW[[#This Row],['# Functional hand washing stations during reporting period]]*20)</f>
        <v>13</v>
      </c>
      <c r="DX456" s="994">
        <f>IF(WWWW[[#This Row],[Is sufficient soap available for TLS? (Yes/No)]]="yes",WWWW[[#This Row],['#_Constructed/Existing hand washing stations at TLS/CFS/THF]],0)</f>
        <v>0</v>
      </c>
      <c r="DY456" s="428">
        <f>IF(WWWW[[#This Row],['# Functional hand washing stations during reporting period]]*100&gt;WWWW[[#This Row],[Total PoP ]],WWWW[[#This Row],[Total PoP ]],WWWW[[#This Row],['# Functional hand washing stations during reporting period]]*100)</f>
        <v>76</v>
      </c>
      <c r="DZ456" s="428" t="str">
        <f>IF(OR(WWWW[[#This Row],['#_students at TLS_CFS]]="",WWWW[[#This Row],['#_students at TLS_CFS]]=0),"No","Yes")</f>
        <v>No</v>
      </c>
      <c r="EA45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5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6" s="990" t="str">
        <f>VLOOKUP(WWWW[[#This Row],[Site Name]],SiteDB6[[Site Name]:[CCCM Management]],6,FALSE)</f>
        <v>Yes</v>
      </c>
      <c r="EF456" s="990" t="str">
        <f>VLOOKUP(WWWW[[#This Row],[Site Name]],SiteDB6[[Site Name]:[CCCM Focal Agency]],7,FALSE)</f>
        <v>KBC-MYT</v>
      </c>
      <c r="EG456" s="990" t="str">
        <f>VLOOKUP(WWWW[[#This Row],[Site Name]],SiteDB6[[Site Name]:[Location Type 1]],9,FALSE)</f>
        <v>Camp</v>
      </c>
      <c r="EH456" s="990" t="str">
        <f>VLOOKUP(WWWW[[#This Row],[Site Name]],SiteDB6[[Site Name]:[Type of Accommodation]],10,FALSE)</f>
        <v>Camp</v>
      </c>
      <c r="EI456" s="990" t="str">
        <f>VLOOKUP(WWWW[[#This Row],[Site Name]],SiteDB6[[Site Name]:[Ethnic or GCA/NGCA]],11,FALSE)</f>
        <v>GCA</v>
      </c>
      <c r="EJ456" s="990">
        <f>VLOOKUP(WWWW[[#This Row],[Site Name]],SiteDB6[[Site Name]:[Lat]],12,FALSE)</f>
        <v>25.305669999999999</v>
      </c>
      <c r="EK456" s="990">
        <f>VLOOKUP(WWWW[[#This Row],[Site Name]],SiteDB6[[Site Name]:[Long]],13,FALSE)</f>
        <v>96.922619999999995</v>
      </c>
      <c r="EL456" s="990" t="str">
        <f>VLOOKUP(WWWW[[#This Row],[Site Name]],SiteDB6[[Site Name]:[Pcode]],3,FALSE)</f>
        <v>MMR001CMP078</v>
      </c>
      <c r="EM456" s="995" t="str">
        <f t="shared" si="8"/>
        <v>Covered</v>
      </c>
      <c r="EN456" s="995"/>
      <c r="EO456" s="990">
        <f>VLOOKUP(WWWW[[#This Row],[Site Name]],SiteDB6[[Site Name]:[Pop
(Kachin/Shan-CCCM as of July 2021)]],16,FALSE)</f>
        <v>13</v>
      </c>
      <c r="EP456" s="990">
        <f>VLOOKUP(WWWW[[#This Row],[Site Name]],SiteDB6[[Site Name]:[Pop
(Kachin/Shan-CCCM as of July 2021)]],17,FALSE)</f>
        <v>76</v>
      </c>
    </row>
    <row r="457" spans="1:146">
      <c r="A457" s="988" t="s">
        <v>2765</v>
      </c>
      <c r="B457" s="988" t="s">
        <v>919</v>
      </c>
      <c r="C457" s="989" t="s">
        <v>141</v>
      </c>
      <c r="D457" s="989" t="s">
        <v>3163</v>
      </c>
      <c r="E457" s="989" t="s">
        <v>37</v>
      </c>
      <c r="F457" s="989" t="s">
        <v>152</v>
      </c>
      <c r="G457" s="591" t="str">
        <f>VLOOKUP(WWWW[[#This Row],[Site Name]],SiteDB6[[Site Name]:[Location Type]],8,FALSE)</f>
        <v>Camp</v>
      </c>
      <c r="H457" s="989" t="s">
        <v>155</v>
      </c>
      <c r="I457" s="991">
        <v>10</v>
      </c>
      <c r="J457" s="991">
        <v>48</v>
      </c>
      <c r="K457" s="992">
        <v>44682</v>
      </c>
      <c r="L457" s="993">
        <v>45169</v>
      </c>
      <c r="M457" s="991"/>
      <c r="N457" s="991">
        <v>1</v>
      </c>
      <c r="O457" s="991"/>
      <c r="P457" s="991"/>
      <c r="Q457" s="994" t="s">
        <v>41</v>
      </c>
      <c r="R457" s="991">
        <v>2</v>
      </c>
      <c r="S457" s="991">
        <v>1</v>
      </c>
      <c r="T457" s="448">
        <v>2</v>
      </c>
      <c r="U457" s="991"/>
      <c r="V457" s="991"/>
      <c r="W457" s="991">
        <v>2</v>
      </c>
      <c r="X457" s="991"/>
      <c r="Y457" s="991"/>
      <c r="Z457" s="991"/>
      <c r="AA457" s="991"/>
      <c r="AB457" s="991"/>
      <c r="AC457" s="991"/>
      <c r="AD457" s="991"/>
      <c r="AE457" s="991"/>
      <c r="AF457" s="991"/>
      <c r="AG457" s="991"/>
      <c r="AH457" s="991">
        <v>3</v>
      </c>
      <c r="AI457" s="991"/>
      <c r="AJ457" s="991"/>
      <c r="AK457" s="991"/>
      <c r="AL457" s="991"/>
      <c r="AM457" s="991"/>
      <c r="AN457" s="991"/>
      <c r="AO457" s="448"/>
      <c r="AP457" s="995"/>
      <c r="AQ457" s="991">
        <v>4</v>
      </c>
      <c r="AR457" s="991"/>
      <c r="AS457" s="996"/>
      <c r="AT457" s="991"/>
      <c r="AU457" s="991"/>
      <c r="AV457" s="991"/>
      <c r="AW457" s="991"/>
      <c r="AX457" s="991">
        <v>3</v>
      </c>
      <c r="AY457" s="990" t="s">
        <v>41</v>
      </c>
      <c r="AZ457" s="995" t="s">
        <v>137</v>
      </c>
      <c r="BA457" s="991"/>
      <c r="BB457" s="991"/>
      <c r="BC457" s="991"/>
      <c r="BD457" s="448"/>
      <c r="BE457" s="448"/>
      <c r="BF457" s="990"/>
      <c r="BG457" s="991">
        <v>3</v>
      </c>
      <c r="BH457" s="991"/>
      <c r="BI457" s="991"/>
      <c r="BJ457" s="991">
        <v>2</v>
      </c>
      <c r="BK457" s="991"/>
      <c r="BL457" s="991"/>
      <c r="BM457" s="991"/>
      <c r="BN457" s="991"/>
      <c r="BO457" s="991"/>
      <c r="BP457" s="990"/>
      <c r="BQ457" s="997"/>
      <c r="BR457" s="996"/>
      <c r="BS457" s="990"/>
      <c r="BT457" s="423"/>
      <c r="BU457" s="423"/>
      <c r="BV457" s="425"/>
      <c r="BW457" s="423"/>
      <c r="BX457" s="448"/>
      <c r="BY457" s="448"/>
      <c r="BZ457" s="448"/>
      <c r="CA457" s="448"/>
      <c r="CB457" s="448"/>
      <c r="CC457" s="777"/>
      <c r="CD457" s="448"/>
      <c r="CE457" s="998" t="str">
        <f>IFERROR(WWWW[[#This Row],['#_Water sources passed]]/WWWW[[#This Row],['#_Water sources tested for fecal coliform ]],"no test")</f>
        <v>no test</v>
      </c>
      <c r="CF457" s="996" t="str">
        <f>IFERROR(WWWW[[#This Row],['#_Household passed]]/WWWW[[#This Row],['#_Household water samples tested for fecal coliform]],"no test")</f>
        <v>no test</v>
      </c>
      <c r="CG457" s="997" t="str">
        <f>IF(AND(WWWW[[#This Row],[% of water sources passed]]="no test",WWWW[[#This Row],[% Household passed]]="no test"),"No Test","Tested")</f>
        <v>No Test</v>
      </c>
      <c r="CH457" s="997">
        <f>WWWW[[#This Row],['#_Constructed/existing protected hand dug well]]-WWWW[[#This Row],['#_Non-functional protected hand dug well]]</f>
        <v>2</v>
      </c>
      <c r="CI457" s="997">
        <f>(WWWW[[#This Row],['#_Constructed/Existing tube wells/boreholes/handpumps_WASH_agency]]+WWWW[[#This Row],['#_Non-Cluster partner water tube-wells/boreholes/handpumps]])-WWWW[[#This Row],['#_Non-functional tube wells/boreholes/handpumps]]</f>
        <v>2</v>
      </c>
      <c r="CJ457" s="997">
        <f>WWWW[[#This Row],['#_Constructed/Existingwater storage tank with gravity fed reticulation system]]-WWWW[[#This Row],['#_Non-functional storage tank gravity fed reticulation system]]</f>
        <v>0</v>
      </c>
      <c r="CK457" s="997">
        <f>(WWWW[[#This Row],['#_Water_Liters_supplied_by_Water boating or water trucking]]/90)/15</f>
        <v>0</v>
      </c>
      <c r="CL457" s="997">
        <f>WWWW[[#This Row],['#_Water_Liters_from_Constructed/Existing water distribution system from river or natural spring]]/90/15</f>
        <v>0</v>
      </c>
      <c r="CM457" s="424">
        <f>IF(WWWW[[#This Row],['#_of water points in TLS/CFS]]*500&gt;WWWW[[#This Row],[Total PoP ]],WWWW[[#This Row],[Total PoP ]],WWWW[[#This Row],['#_of water points in TLS/CFS]]*500)</f>
        <v>0</v>
      </c>
      <c r="CN457" s="424">
        <f>IF(WWWW[[#This Row],['#_of water points in THF]]*500&gt;WWWW[[#This Row],[Total PoP ]],WWWW[[#This Row],[Total PoP ]],WWWW[[#This Row],['#_of water points in THF]]*500)</f>
        <v>0</v>
      </c>
      <c r="CO45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5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57" s="996">
        <f>IF(WWWW[[#This Row],[Location Type 1]]="Village",WWWW[[#This Row],[Access to safe drinking water for Village]],WWWW[[#This Row],[Access to safe drinking water for Camp]])</f>
        <v>1</v>
      </c>
      <c r="CR457" s="994">
        <f>WWWW[[#This Row],[%Equitable and continuous access to sufficient quantity of safe drinking water]]*WWWW[[#This Row],[Total PoP ]]</f>
        <v>48</v>
      </c>
      <c r="CS457" s="996">
        <f>IF((WWWW[[#This Row],['#_Constructed/Existing protected/fenced ponds]]*250)/WWWW[[#This Row],[Total PoP ]]&gt;1,1,(WWWW[[#This Row],['#_Constructed/Existing protected/fenced ponds]]*250)/WWWW[[#This Row],[Total PoP ]])</f>
        <v>0</v>
      </c>
      <c r="CT457" s="994">
        <f>WWWW[[#This Row],[% Access to unimproved water points]]*WWWW[[#This Row],[Total PoP ]]</f>
        <v>0</v>
      </c>
      <c r="CU45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5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v>
      </c>
      <c r="CW457" s="994">
        <f>WWWW[[#This Row],[HRP1]]/500</f>
        <v>9.6000000000000002E-2</v>
      </c>
      <c r="CX457" s="999">
        <f>1-WWWW[[#This Row],[% Equitable and continuous access to sufficient quantity of domestic water]]</f>
        <v>0</v>
      </c>
      <c r="CY457" s="994">
        <f>WWWW[[#This Row],[%equitable and continuous access to sufficient quantity of safe drinking and domestic water''s GAP]]*WWWW[[#This Row],[Total PoP ]]</f>
        <v>0</v>
      </c>
      <c r="CZ457" s="997">
        <f>IF(WWWW[[#This Row],[Total required water points]]-WWWW[[#This Row],['#Water points coverage]]&lt;0,0,WWWW[[#This Row],[Total required water points]]-WWWW[[#This Row],['#Water points coverage]])</f>
        <v>0.90400000000000003</v>
      </c>
      <c r="DA457" s="997">
        <f>ROUND(IF(WWWW[[#This Row],[Total PoP ]]&lt;500,1,WWWW[[#This Row],[Total PoP ]]/500),0)</f>
        <v>1</v>
      </c>
      <c r="DB457" s="997">
        <f>(WWWW[[#This Row],['#_Constructed latrines_by_WASHAgencies]]+WWWW[[#This Row],['#_Non Cluster partner latrines]])-WWWW[[#This Row],['#_Non-functional latrines]]</f>
        <v>4</v>
      </c>
      <c r="DC457" s="631">
        <f>WWWW[[#This Row],[HRP2]]/WWWW[[#This Row],[Total PoP ]]</f>
        <v>1</v>
      </c>
      <c r="DD45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48</v>
      </c>
      <c r="DE45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5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7" s="424">
        <f>IF(WWWW[[#This Row],['# of functional latrines in THF supported by WASH partners during the reporting period2]]="",0,WWWW[[#This Row],['# of functional latrines in THF supported by WASH partners during the reporting period2]]*50)</f>
        <v>0</v>
      </c>
      <c r="DH457" s="997">
        <f>ROUND(IF(WWWW[[#This Row],[Location Type 1]]="camp",WWWW[[#This Row],[Total PoP ]]/20,IF(WWWW[[#This Row],[Location Type 1]]="Temporary Location",WWWW[[#This Row],[Total PoP ]]/50,(WWWW[[#This Row],[Total PoP ]]/6))),0)</f>
        <v>2</v>
      </c>
      <c r="DI457" s="997">
        <f>IF(WWWW[[#This Row],[Total required Latrines]]-(WWWW[[#This Row],['#_Constructed latrines_by_WASHAgencies]]+WWWW[[#This Row],['#_Non Cluster partner latrines]])&lt;0,0,WWWW[[#This Row],[Total required Latrines]]-(WWWW[[#This Row],['#_Constructed latrines_by_WASHAgencies]]+WWWW[[#This Row],['#_Non Cluster partner latrines]]))</f>
        <v>0</v>
      </c>
      <c r="DJ457" s="999">
        <f>1-WWWW[[#This Row],[% people access to functioning Latrine]]</f>
        <v>0</v>
      </c>
      <c r="DK457" s="998">
        <f>IF(OR(WWWW[[#This Row],['#_Non-functional latrines]]="",WWWW[[#This Row],['#_Non-functional latrines]]=0),0,WWWW[[#This Row],['#_Non-functional latrines]]/(WWWW[[#This Row],['#_Constructed latrines_by_WASHAgencies]]+WWWW[[#This Row],['#_Non Cluster partner latrines]]))</f>
        <v>0</v>
      </c>
      <c r="DL457" s="994">
        <f>IF(500*(WWWW[[#This Row],['#_male hygiene promoters]]+WWWW[[#This Row],['#_female hygiene promoters]])&gt;WWWW[[#This Row],[Total PoP ]],WWWW[[#This Row],[Total PoP ]],500*(WWWW[[#This Row],['#_male hygiene promoters]]+WWWW[[#This Row],['#_female hygiene promoters]]))</f>
        <v>0</v>
      </c>
      <c r="DM45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5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57" s="997">
        <f>IF(WWWW[[#This Row],['# People with access to soap]]&gt;WWWW[[#This Row],['# People with access to Sanity Pads]],WWWW[[#This Row],['# People with access to soap]],WWWW[[#This Row],['# People with access to Sanity Pads]])</f>
        <v>0</v>
      </c>
      <c r="DP457"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57" s="999">
        <f>IF(WWWW[[#This Row],[HRP3]]/WWWW[[#This Row],[Total PoP ]]&gt;1,1,WWWW[[#This Row],[HRP3]]/WWWW[[#This Row],[Total PoP ]])</f>
        <v>0</v>
      </c>
      <c r="DR457" s="998">
        <f>1-WWWW[[#This Row],[Hygiene Coverage%]]</f>
        <v>1</v>
      </c>
      <c r="DS457" s="996">
        <f>WWWW[[#This Row],['# people reached by regular dedicated hygiene promotion_5]]/WWWW[[#This Row],[Total PoP ]]</f>
        <v>0</v>
      </c>
      <c r="DT45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5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57" s="997">
        <f>WWWW[[#This Row],['#_Constructed/Existing hand washing stations]]-WWWW[[#This Row],['#_Non-Functional_hand_washing_stations]]</f>
        <v>3</v>
      </c>
      <c r="DW457" s="994">
        <f>IF(WWWW[[#This Row],['# Functional hand washing stations during reporting period]]*20&gt;WWWW[[#This Row],[Total HH]],WWWW[[#This Row],[Total HH]],WWWW[[#This Row],['# Functional hand washing stations during reporting period]]*20)</f>
        <v>10</v>
      </c>
      <c r="DX457" s="994">
        <f>IF(WWWW[[#This Row],[Is sufficient soap available for TLS? (Yes/No)]]="yes",WWWW[[#This Row],['#_Constructed/Existing hand washing stations at TLS/CFS/THF]],0)</f>
        <v>0</v>
      </c>
      <c r="DY457" s="428">
        <f>IF(WWWW[[#This Row],['# Functional hand washing stations during reporting period]]*100&gt;WWWW[[#This Row],[Total PoP ]],WWWW[[#This Row],[Total PoP ]],WWWW[[#This Row],['# Functional hand washing stations during reporting period]]*100)</f>
        <v>48</v>
      </c>
      <c r="DZ457" s="428" t="str">
        <f>IF(OR(WWWW[[#This Row],['#_students at TLS_CFS]]="",WWWW[[#This Row],['#_students at TLS_CFS]]=0),"No","Yes")</f>
        <v>No</v>
      </c>
      <c r="EA45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5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7" s="990" t="str">
        <f>VLOOKUP(WWWW[[#This Row],[Site Name]],SiteDB6[[Site Name]:[CCCM Management]],6,FALSE)</f>
        <v>Yes</v>
      </c>
      <c r="EF457" s="990" t="str">
        <f>VLOOKUP(WWWW[[#This Row],[Site Name]],SiteDB6[[Site Name]:[CCCM Focal Agency]],7,FALSE)</f>
        <v>KBC-MYT</v>
      </c>
      <c r="EG457" s="990" t="str">
        <f>VLOOKUP(WWWW[[#This Row],[Site Name]],SiteDB6[[Site Name]:[Location Type 1]],9,FALSE)</f>
        <v>Camp</v>
      </c>
      <c r="EH457" s="990" t="str">
        <f>VLOOKUP(WWWW[[#This Row],[Site Name]],SiteDB6[[Site Name]:[Type of Accommodation]],10,FALSE)</f>
        <v>Camp</v>
      </c>
      <c r="EI457" s="990" t="str">
        <f>VLOOKUP(WWWW[[#This Row],[Site Name]],SiteDB6[[Site Name]:[Ethnic or GCA/NGCA]],11,FALSE)</f>
        <v>GCA</v>
      </c>
      <c r="EJ457" s="990">
        <f>VLOOKUP(WWWW[[#This Row],[Site Name]],SiteDB6[[Site Name]:[Lat]],12,FALSE)</f>
        <v>25.30442</v>
      </c>
      <c r="EK457" s="990">
        <f>VLOOKUP(WWWW[[#This Row],[Site Name]],SiteDB6[[Site Name]:[Long]],13,FALSE)</f>
        <v>96.948740000000001</v>
      </c>
      <c r="EL457" s="990" t="str">
        <f>VLOOKUP(WWWW[[#This Row],[Site Name]],SiteDB6[[Site Name]:[Pcode]],3,FALSE)</f>
        <v>MMR001CMP079</v>
      </c>
      <c r="EM457" s="995" t="str">
        <f t="shared" si="8"/>
        <v>Covered</v>
      </c>
      <c r="EN457" s="995"/>
      <c r="EO457" s="990">
        <f>VLOOKUP(WWWW[[#This Row],[Site Name]],SiteDB6[[Site Name]:[Pop
(Kachin/Shan-CCCM as of July 2021)]],16,FALSE)</f>
        <v>10</v>
      </c>
      <c r="EP457" s="990">
        <f>VLOOKUP(WWWW[[#This Row],[Site Name]],SiteDB6[[Site Name]:[Pop
(Kachin/Shan-CCCM as of July 2021)]],17,FALSE)</f>
        <v>48</v>
      </c>
    </row>
    <row r="458" spans="1:146">
      <c r="A458" s="988" t="s">
        <v>2765</v>
      </c>
      <c r="B458" s="988" t="s">
        <v>36</v>
      </c>
      <c r="C458" s="989" t="s">
        <v>36</v>
      </c>
      <c r="D458" s="989" t="s">
        <v>241</v>
      </c>
      <c r="E458" s="989" t="s">
        <v>37</v>
      </c>
      <c r="F458" s="989" t="s">
        <v>157</v>
      </c>
      <c r="G458" s="591" t="str">
        <f>VLOOKUP(WWWW[[#This Row],[Site Name]],SiteDB6[[Site Name]:[Location Type]],8,FALSE)</f>
        <v>Camp</v>
      </c>
      <c r="H458" s="989" t="s">
        <v>239</v>
      </c>
      <c r="I458" s="991">
        <v>11</v>
      </c>
      <c r="J458" s="991">
        <v>68</v>
      </c>
      <c r="K458" s="992">
        <v>44414</v>
      </c>
      <c r="L458" s="993">
        <v>44778</v>
      </c>
      <c r="M458" s="991"/>
      <c r="N458" s="991">
        <v>1</v>
      </c>
      <c r="O458" s="991"/>
      <c r="P458" s="991"/>
      <c r="Q458" s="994" t="s">
        <v>41</v>
      </c>
      <c r="R458" s="991">
        <v>3</v>
      </c>
      <c r="S458" s="991">
        <v>8</v>
      </c>
      <c r="T458" s="448">
        <v>1</v>
      </c>
      <c r="U458" s="991"/>
      <c r="V458" s="991"/>
      <c r="W458" s="991"/>
      <c r="X458" s="991"/>
      <c r="Y458" s="991"/>
      <c r="Z458" s="991"/>
      <c r="AA458" s="991"/>
      <c r="AB458" s="991"/>
      <c r="AC458" s="991"/>
      <c r="AD458" s="991"/>
      <c r="AE458" s="991"/>
      <c r="AF458" s="991"/>
      <c r="AG458" s="991"/>
      <c r="AH458" s="991"/>
      <c r="AI458" s="991"/>
      <c r="AJ458" s="991"/>
      <c r="AK458" s="991"/>
      <c r="AL458" s="991"/>
      <c r="AM458" s="991">
        <v>4</v>
      </c>
      <c r="AN458" s="991"/>
      <c r="AO458" s="448"/>
      <c r="AP458" s="995"/>
      <c r="AQ458" s="991">
        <v>7</v>
      </c>
      <c r="AR458" s="991"/>
      <c r="AS458" s="996"/>
      <c r="AT458" s="991"/>
      <c r="AU458" s="991"/>
      <c r="AV458" s="991"/>
      <c r="AW458" s="991"/>
      <c r="AX458" s="991"/>
      <c r="AY458" s="990" t="s">
        <v>41</v>
      </c>
      <c r="AZ458" s="995" t="s">
        <v>137</v>
      </c>
      <c r="BA458" s="991">
        <v>1</v>
      </c>
      <c r="BB458" s="991"/>
      <c r="BC458" s="991"/>
      <c r="BD458" s="448"/>
      <c r="BE458" s="448"/>
      <c r="BF458" s="990"/>
      <c r="BG458" s="991"/>
      <c r="BH458" s="991"/>
      <c r="BI458" s="991"/>
      <c r="BJ458" s="991">
        <v>2</v>
      </c>
      <c r="BK458" s="991"/>
      <c r="BL458" s="991"/>
      <c r="BM458" s="991">
        <v>1</v>
      </c>
      <c r="BN458" s="991"/>
      <c r="BO458" s="991"/>
      <c r="BP458" s="990" t="s">
        <v>41</v>
      </c>
      <c r="BQ458" s="997"/>
      <c r="BR458" s="996"/>
      <c r="BS458" s="990"/>
      <c r="BT458" s="423"/>
      <c r="BU458" s="423"/>
      <c r="BV458" s="425"/>
      <c r="BW458" s="423"/>
      <c r="BX458" s="448"/>
      <c r="BY458" s="448"/>
      <c r="BZ458" s="448"/>
      <c r="CA458" s="448"/>
      <c r="CB458" s="448"/>
      <c r="CC458" s="777"/>
      <c r="CD458" s="448"/>
      <c r="CE458" s="998" t="str">
        <f>IFERROR(WWWW[[#This Row],['#_Water sources passed]]/WWWW[[#This Row],['#_Water sources tested for fecal coliform ]],"no test")</f>
        <v>no test</v>
      </c>
      <c r="CF458" s="996" t="str">
        <f>IFERROR(WWWW[[#This Row],['#_Household passed]]/WWWW[[#This Row],['#_Household water samples tested for fecal coliform]],"no test")</f>
        <v>no test</v>
      </c>
      <c r="CG458" s="997" t="str">
        <f>IF(AND(WWWW[[#This Row],[% of water sources passed]]="no test",WWWW[[#This Row],[% Household passed]]="no test"),"No Test","Tested")</f>
        <v>No Test</v>
      </c>
      <c r="CH458" s="997">
        <f>WWWW[[#This Row],['#_Constructed/existing protected hand dug well]]-WWWW[[#This Row],['#_Non-functional protected hand dug well]]</f>
        <v>1</v>
      </c>
      <c r="CI458" s="997">
        <f>(WWWW[[#This Row],['#_Constructed/Existing tube wells/boreholes/handpumps_WASH_agency]]+WWWW[[#This Row],['#_Non-Cluster partner water tube-wells/boreholes/handpumps]])-WWWW[[#This Row],['#_Non-functional tube wells/boreholes/handpumps]]</f>
        <v>0</v>
      </c>
      <c r="CJ458" s="997">
        <f>WWWW[[#This Row],['#_Constructed/Existingwater storage tank with gravity fed reticulation system]]-WWWW[[#This Row],['#_Non-functional storage tank gravity fed reticulation system]]</f>
        <v>0</v>
      </c>
      <c r="CK458" s="997">
        <f>(WWWW[[#This Row],['#_Water_Liters_supplied_by_Water boating or water trucking]]/90)/15</f>
        <v>0</v>
      </c>
      <c r="CL458" s="997">
        <f>WWWW[[#This Row],['#_Water_Liters_from_Constructed/Existing water distribution system from river or natural spring]]/90/15</f>
        <v>0</v>
      </c>
      <c r="CM458" s="424">
        <f>IF(WWWW[[#This Row],['#_of water points in TLS/CFS]]*500&gt;WWWW[[#This Row],[Total PoP ]],WWWW[[#This Row],[Total PoP ]],WWWW[[#This Row],['#_of water points in TLS/CFS]]*500)</f>
        <v>0</v>
      </c>
      <c r="CN458" s="424">
        <f>IF(WWWW[[#This Row],['#_of water points in THF]]*500&gt;WWWW[[#This Row],[Total PoP ]],WWWW[[#This Row],[Total PoP ]],WWWW[[#This Row],['#_of water points in THF]]*500)</f>
        <v>0</v>
      </c>
      <c r="CO45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5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58" s="996">
        <f>IF(WWWW[[#This Row],[Location Type 1]]="Village",WWWW[[#This Row],[Access to safe drinking water for Village]],WWWW[[#This Row],[Access to safe drinking water for Camp]])</f>
        <v>1</v>
      </c>
      <c r="CR458" s="994">
        <f>WWWW[[#This Row],[%Equitable and continuous access to sufficient quantity of safe drinking water]]*WWWW[[#This Row],[Total PoP ]]</f>
        <v>68</v>
      </c>
      <c r="CS458" s="996">
        <f>IF((WWWW[[#This Row],['#_Constructed/Existing protected/fenced ponds]]*250)/WWWW[[#This Row],[Total PoP ]]&gt;1,1,(WWWW[[#This Row],['#_Constructed/Existing protected/fenced ponds]]*250)/WWWW[[#This Row],[Total PoP ]])</f>
        <v>0</v>
      </c>
      <c r="CT458" s="994">
        <f>WWWW[[#This Row],[% Access to unimproved water points]]*WWWW[[#This Row],[Total PoP ]]</f>
        <v>0</v>
      </c>
      <c r="CU45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5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v>
      </c>
      <c r="CW458" s="994">
        <f>WWWW[[#This Row],[HRP1]]/500</f>
        <v>0.13600000000000001</v>
      </c>
      <c r="CX458" s="999">
        <f>1-WWWW[[#This Row],[% Equitable and continuous access to sufficient quantity of domestic water]]</f>
        <v>0</v>
      </c>
      <c r="CY458" s="994">
        <f>WWWW[[#This Row],[%equitable and continuous access to sufficient quantity of safe drinking and domestic water''s GAP]]*WWWW[[#This Row],[Total PoP ]]</f>
        <v>0</v>
      </c>
      <c r="CZ458" s="997">
        <f>IF(WWWW[[#This Row],[Total required water points]]-WWWW[[#This Row],['#Water points coverage]]&lt;0,0,WWWW[[#This Row],[Total required water points]]-WWWW[[#This Row],['#Water points coverage]])</f>
        <v>0.86399999999999999</v>
      </c>
      <c r="DA458" s="997">
        <f>ROUND(IF(WWWW[[#This Row],[Total PoP ]]&lt;500,1,WWWW[[#This Row],[Total PoP ]]/500),0)</f>
        <v>1</v>
      </c>
      <c r="DB458" s="997">
        <f>(WWWW[[#This Row],['#_Constructed latrines_by_WASHAgencies]]+WWWW[[#This Row],['#_Non Cluster partner latrines]])-WWWW[[#This Row],['#_Non-functional latrines]]</f>
        <v>7</v>
      </c>
      <c r="DC458" s="631">
        <f>WWWW[[#This Row],[HRP2]]/WWWW[[#This Row],[Total PoP ]]</f>
        <v>1</v>
      </c>
      <c r="DD45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v>
      </c>
      <c r="DE45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5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8" s="424">
        <f>IF(WWWW[[#This Row],['# of functional latrines in THF supported by WASH partners during the reporting period2]]="",0,WWWW[[#This Row],['# of functional latrines in THF supported by WASH partners during the reporting period2]]*50)</f>
        <v>0</v>
      </c>
      <c r="DH458" s="997">
        <f>ROUND(IF(WWWW[[#This Row],[Location Type 1]]="camp",WWWW[[#This Row],[Total PoP ]]/20,IF(WWWW[[#This Row],[Location Type 1]]="Temporary Location",WWWW[[#This Row],[Total PoP ]]/50,(WWWW[[#This Row],[Total PoP ]]/6))),0)</f>
        <v>3</v>
      </c>
      <c r="DI458" s="997">
        <f>IF(WWWW[[#This Row],[Total required Latrines]]-(WWWW[[#This Row],['#_Constructed latrines_by_WASHAgencies]]+WWWW[[#This Row],['#_Non Cluster partner latrines]])&lt;0,0,WWWW[[#This Row],[Total required Latrines]]-(WWWW[[#This Row],['#_Constructed latrines_by_WASHAgencies]]+WWWW[[#This Row],['#_Non Cluster partner latrines]]))</f>
        <v>0</v>
      </c>
      <c r="DJ458" s="999">
        <f>1-WWWW[[#This Row],[% people access to functioning Latrine]]</f>
        <v>0</v>
      </c>
      <c r="DK458" s="998">
        <f>IF(OR(WWWW[[#This Row],['#_Non-functional latrines]]="",WWWW[[#This Row],['#_Non-functional latrines]]=0),0,WWWW[[#This Row],['#_Non-functional latrines]]/(WWWW[[#This Row],['#_Constructed latrines_by_WASHAgencies]]+WWWW[[#This Row],['#_Non Cluster partner latrines]]))</f>
        <v>0</v>
      </c>
      <c r="DL458" s="994">
        <f>IF(500*(WWWW[[#This Row],['#_male hygiene promoters]]+WWWW[[#This Row],['#_female hygiene promoters]])&gt;WWWW[[#This Row],[Total PoP ]],WWWW[[#This Row],[Total PoP ]],500*(WWWW[[#This Row],['#_male hygiene promoters]]+WWWW[[#This Row],['#_female hygiene promoters]]))</f>
        <v>68</v>
      </c>
      <c r="DM45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5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58" s="997">
        <f>IF(WWWW[[#This Row],['# People with access to soap]]&gt;WWWW[[#This Row],['# People with access to Sanity Pads]],WWWW[[#This Row],['# People with access to soap]],WWWW[[#This Row],['# People with access to Sanity Pads]])</f>
        <v>0</v>
      </c>
      <c r="DP458" s="997">
        <f>IF(WWWW[[#This Row],['# people reached by regular dedicated hygiene promotion_5]]&gt;WWWW[[#This Row],['# People received regular supply of hygiene items_6]],WWWW[[#This Row],['# people reached by regular dedicated hygiene promotion_5]],WWWW[[#This Row],['# People received regular supply of hygiene items_6]])</f>
        <v>68</v>
      </c>
      <c r="DQ458" s="999">
        <f>IF(WWWW[[#This Row],[HRP3]]/WWWW[[#This Row],[Total PoP ]]&gt;1,1,WWWW[[#This Row],[HRP3]]/WWWW[[#This Row],[Total PoP ]])</f>
        <v>1</v>
      </c>
      <c r="DR458" s="998">
        <f>1-WWWW[[#This Row],[Hygiene Coverage%]]</f>
        <v>0</v>
      </c>
      <c r="DS458" s="996">
        <f>WWWW[[#This Row],['# people reached by regular dedicated hygiene promotion_5]]/WWWW[[#This Row],[Total PoP ]]</f>
        <v>1</v>
      </c>
      <c r="DT45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5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58" s="997">
        <f>WWWW[[#This Row],['#_Constructed/Existing hand washing stations]]-WWWW[[#This Row],['#_Non-Functional_hand_washing_stations]]</f>
        <v>0</v>
      </c>
      <c r="DW458" s="994">
        <f>IF(WWWW[[#This Row],['# Functional hand washing stations during reporting period]]*20&gt;WWWW[[#This Row],[Total HH]],WWWW[[#This Row],[Total HH]],WWWW[[#This Row],['# Functional hand washing stations during reporting period]]*20)</f>
        <v>0</v>
      </c>
      <c r="DX458" s="994">
        <f>IF(WWWW[[#This Row],[Is sufficient soap available for TLS? (Yes/No)]]="yes",WWWW[[#This Row],['#_Constructed/Existing hand washing stations at TLS/CFS/THF]],0)</f>
        <v>4</v>
      </c>
      <c r="DY458" s="428">
        <f>IF(WWWW[[#This Row],['# Functional hand washing stations during reporting period]]*100&gt;WWWW[[#This Row],[Total PoP ]],WWWW[[#This Row],[Total PoP ]],WWWW[[#This Row],['# Functional hand washing stations during reporting period]]*100)</f>
        <v>0</v>
      </c>
      <c r="DZ458" s="428" t="str">
        <f>IF(OR(WWWW[[#This Row],['#_students at TLS_CFS]]="",WWWW[[#This Row],['#_students at TLS_CFS]]=0),"No","Yes")</f>
        <v>No</v>
      </c>
      <c r="EA45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5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8" s="990" t="str">
        <f>VLOOKUP(WWWW[[#This Row],[Site Name]],SiteDB6[[Site Name]:[CCCM Management]],6,FALSE)</f>
        <v>Yes</v>
      </c>
      <c r="EF458" s="990" t="str">
        <f>VLOOKUP(WWWW[[#This Row],[Site Name]],SiteDB6[[Site Name]:[CCCM Focal Agency]],7,FALSE)</f>
        <v>KMSS-MYT</v>
      </c>
      <c r="EG458" s="990" t="str">
        <f>VLOOKUP(WWWW[[#This Row],[Site Name]],SiteDB6[[Site Name]:[Location Type 1]],9,FALSE)</f>
        <v>Camp</v>
      </c>
      <c r="EH458" s="990" t="str">
        <f>VLOOKUP(WWWW[[#This Row],[Site Name]],SiteDB6[[Site Name]:[Type of Accommodation]],10,FALSE)</f>
        <v>Closed Camp</v>
      </c>
      <c r="EI458" s="990" t="str">
        <f>VLOOKUP(WWWW[[#This Row],[Site Name]],SiteDB6[[Site Name]:[Ethnic or GCA/NGCA]],11,FALSE)</f>
        <v>GCA</v>
      </c>
      <c r="EJ458" s="990">
        <f>VLOOKUP(WWWW[[#This Row],[Site Name]],SiteDB6[[Site Name]:[Lat]],12,FALSE)</f>
        <v>24.764800000000001</v>
      </c>
      <c r="EK458" s="990">
        <f>VLOOKUP(WWWW[[#This Row],[Site Name]],SiteDB6[[Site Name]:[Long]],13,FALSE)</f>
        <v>96.367059999999995</v>
      </c>
      <c r="EL458" s="990" t="str">
        <f>VLOOKUP(WWWW[[#This Row],[Site Name]],SiteDB6[[Site Name]:[Pcode]],3,FALSE)</f>
        <v>MMR001CMP080</v>
      </c>
      <c r="EM458" s="995" t="str">
        <f t="shared" si="8"/>
        <v>Covered</v>
      </c>
      <c r="EN458" s="995"/>
      <c r="EO458" s="990">
        <f>VLOOKUP(WWWW[[#This Row],[Site Name]],SiteDB6[[Site Name]:[Pop
(Kachin/Shan-CCCM as of July 2021)]],16,FALSE)</f>
        <v>11</v>
      </c>
      <c r="EP458" s="990">
        <f>VLOOKUP(WWWW[[#This Row],[Site Name]],SiteDB6[[Site Name]:[Pop
(Kachin/Shan-CCCM as of July 2021)]],17,FALSE)</f>
        <v>68</v>
      </c>
    </row>
    <row r="459" spans="1:146">
      <c r="A459" s="988" t="s">
        <v>2765</v>
      </c>
      <c r="B459" s="988" t="s">
        <v>309</v>
      </c>
      <c r="C459" s="989" t="s">
        <v>309</v>
      </c>
      <c r="D459" s="989"/>
      <c r="E459" s="989" t="s">
        <v>37</v>
      </c>
      <c r="F459" s="989" t="s">
        <v>148</v>
      </c>
      <c r="G459" s="591" t="str">
        <f>VLOOKUP(WWWW[[#This Row],[Site Name]],SiteDB6[[Site Name]:[Location Type]],8,FALSE)</f>
        <v>Camp</v>
      </c>
      <c r="H459" s="989" t="s">
        <v>257</v>
      </c>
      <c r="I459" s="991">
        <v>3</v>
      </c>
      <c r="J459" s="991">
        <v>15</v>
      </c>
      <c r="K459" s="992"/>
      <c r="L459" s="993"/>
      <c r="M459" s="991"/>
      <c r="N459" s="991"/>
      <c r="O459" s="991"/>
      <c r="P459" s="991"/>
      <c r="Q459" s="994" t="s">
        <v>41</v>
      </c>
      <c r="R459" s="991"/>
      <c r="S459" s="991">
        <v>5</v>
      </c>
      <c r="T459" s="448">
        <v>1</v>
      </c>
      <c r="U459" s="991"/>
      <c r="V459" s="991"/>
      <c r="W459" s="991">
        <v>1</v>
      </c>
      <c r="X459" s="991"/>
      <c r="Y459" s="991"/>
      <c r="Z459" s="991"/>
      <c r="AA459" s="991"/>
      <c r="AB459" s="991"/>
      <c r="AC459" s="991"/>
      <c r="AD459" s="991"/>
      <c r="AE459" s="991"/>
      <c r="AF459" s="991"/>
      <c r="AG459" s="991"/>
      <c r="AH459" s="991">
        <v>1</v>
      </c>
      <c r="AI459" s="991"/>
      <c r="AJ459" s="991"/>
      <c r="AK459" s="991"/>
      <c r="AL459" s="991"/>
      <c r="AM459" s="991"/>
      <c r="AN459" s="991"/>
      <c r="AO459" s="448"/>
      <c r="AP459" s="995"/>
      <c r="AQ459" s="991"/>
      <c r="AR459" s="991"/>
      <c r="AS459" s="996"/>
      <c r="AT459" s="991"/>
      <c r="AU459" s="991"/>
      <c r="AV459" s="991"/>
      <c r="AW459" s="991"/>
      <c r="AX459" s="991"/>
      <c r="AY459" s="990" t="s">
        <v>41</v>
      </c>
      <c r="AZ459" s="995" t="s">
        <v>904</v>
      </c>
      <c r="BA459" s="991"/>
      <c r="BB459" s="991"/>
      <c r="BC459" s="991"/>
      <c r="BD459" s="448"/>
      <c r="BE459" s="448"/>
      <c r="BF459" s="990"/>
      <c r="BG459" s="991">
        <v>7</v>
      </c>
      <c r="BH459" s="991"/>
      <c r="BI459" s="991"/>
      <c r="BJ459" s="991">
        <v>4</v>
      </c>
      <c r="BK459" s="991"/>
      <c r="BL459" s="991"/>
      <c r="BM459" s="991"/>
      <c r="BN459" s="991"/>
      <c r="BO459" s="991"/>
      <c r="BP459" s="990"/>
      <c r="BQ459" s="997"/>
      <c r="BR459" s="996"/>
      <c r="BS459" s="990"/>
      <c r="BT459" s="423"/>
      <c r="BU459" s="423"/>
      <c r="BV459" s="425"/>
      <c r="BW459" s="423"/>
      <c r="BX459" s="448"/>
      <c r="BY459" s="448"/>
      <c r="BZ459" s="448"/>
      <c r="CA459" s="448"/>
      <c r="CB459" s="448"/>
      <c r="CC459" s="777"/>
      <c r="CD459" s="448"/>
      <c r="CE459" s="998" t="str">
        <f>IFERROR(WWWW[[#This Row],['#_Water sources passed]]/WWWW[[#This Row],['#_Water sources tested for fecal coliform ]],"no test")</f>
        <v>no test</v>
      </c>
      <c r="CF459" s="996" t="str">
        <f>IFERROR(WWWW[[#This Row],['#_Household passed]]/WWWW[[#This Row],['#_Household water samples tested for fecal coliform]],"no test")</f>
        <v>no test</v>
      </c>
      <c r="CG459" s="997" t="str">
        <f>IF(AND(WWWW[[#This Row],[% of water sources passed]]="no test",WWWW[[#This Row],[% Household passed]]="no test"),"No Test","Tested")</f>
        <v>No Test</v>
      </c>
      <c r="CH459" s="997">
        <f>WWWW[[#This Row],['#_Constructed/existing protected hand dug well]]-WWWW[[#This Row],['#_Non-functional protected hand dug well]]</f>
        <v>1</v>
      </c>
      <c r="CI459" s="997">
        <f>(WWWW[[#This Row],['#_Constructed/Existing tube wells/boreholes/handpumps_WASH_agency]]+WWWW[[#This Row],['#_Non-Cluster partner water tube-wells/boreholes/handpumps]])-WWWW[[#This Row],['#_Non-functional tube wells/boreholes/handpumps]]</f>
        <v>1</v>
      </c>
      <c r="CJ459" s="997">
        <f>WWWW[[#This Row],['#_Constructed/Existingwater storage tank with gravity fed reticulation system]]-WWWW[[#This Row],['#_Non-functional storage tank gravity fed reticulation system]]</f>
        <v>0</v>
      </c>
      <c r="CK459" s="997">
        <f>(WWWW[[#This Row],['#_Water_Liters_supplied_by_Water boating or water trucking]]/90)/15</f>
        <v>0</v>
      </c>
      <c r="CL459" s="997">
        <f>WWWW[[#This Row],['#_Water_Liters_from_Constructed/Existing water distribution system from river or natural spring]]/90/15</f>
        <v>0</v>
      </c>
      <c r="CM459" s="424">
        <f>IF(WWWW[[#This Row],['#_of water points in TLS/CFS]]*500&gt;WWWW[[#This Row],[Total PoP ]],WWWW[[#This Row],[Total PoP ]],WWWW[[#This Row],['#_of water points in TLS/CFS]]*500)</f>
        <v>0</v>
      </c>
      <c r="CN459" s="424">
        <f>IF(WWWW[[#This Row],['#_of water points in THF]]*500&gt;WWWW[[#This Row],[Total PoP ]],WWWW[[#This Row],[Total PoP ]],WWWW[[#This Row],['#_of water points in THF]]*500)</f>
        <v>0</v>
      </c>
      <c r="CO45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5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59" s="996">
        <f>IF(WWWW[[#This Row],[Location Type 1]]="Village",WWWW[[#This Row],[Access to safe drinking water for Village]],WWWW[[#This Row],[Access to safe drinking water for Camp]])</f>
        <v>1</v>
      </c>
      <c r="CR459" s="994">
        <f>WWWW[[#This Row],[%Equitable and continuous access to sufficient quantity of safe drinking water]]*WWWW[[#This Row],[Total PoP ]]</f>
        <v>15</v>
      </c>
      <c r="CS459" s="996">
        <f>IF((WWWW[[#This Row],['#_Constructed/Existing protected/fenced ponds]]*250)/WWWW[[#This Row],[Total PoP ]]&gt;1,1,(WWWW[[#This Row],['#_Constructed/Existing protected/fenced ponds]]*250)/WWWW[[#This Row],[Total PoP ]])</f>
        <v>0</v>
      </c>
      <c r="CT459" s="994">
        <f>WWWW[[#This Row],[% Access to unimproved water points]]*WWWW[[#This Row],[Total PoP ]]</f>
        <v>0</v>
      </c>
      <c r="CU45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5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W459" s="994">
        <f>WWWW[[#This Row],[HRP1]]/500</f>
        <v>0.03</v>
      </c>
      <c r="CX459" s="999">
        <f>1-WWWW[[#This Row],[% Equitable and continuous access to sufficient quantity of domestic water]]</f>
        <v>0</v>
      </c>
      <c r="CY459" s="994">
        <f>WWWW[[#This Row],[%equitable and continuous access to sufficient quantity of safe drinking and domestic water''s GAP]]*WWWW[[#This Row],[Total PoP ]]</f>
        <v>0</v>
      </c>
      <c r="CZ459" s="997">
        <f>IF(WWWW[[#This Row],[Total required water points]]-WWWW[[#This Row],['#Water points coverage]]&lt;0,0,WWWW[[#This Row],[Total required water points]]-WWWW[[#This Row],['#Water points coverage]])</f>
        <v>0.97</v>
      </c>
      <c r="DA459" s="997">
        <f>ROUND(IF(WWWW[[#This Row],[Total PoP ]]&lt;500,1,WWWW[[#This Row],[Total PoP ]]/500),0)</f>
        <v>1</v>
      </c>
      <c r="DB459" s="997">
        <f>(WWWW[[#This Row],['#_Constructed latrines_by_WASHAgencies]]+WWWW[[#This Row],['#_Non Cluster partner latrines]])-WWWW[[#This Row],['#_Non-functional latrines]]</f>
        <v>0</v>
      </c>
      <c r="DC459" s="631">
        <f>WWWW[[#This Row],[HRP2]]/WWWW[[#This Row],[Total PoP ]]</f>
        <v>0</v>
      </c>
      <c r="DD45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5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5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9" s="424">
        <f>IF(WWWW[[#This Row],['# of functional latrines in THF supported by WASH partners during the reporting period2]]="",0,WWWW[[#This Row],['# of functional latrines in THF supported by WASH partners during the reporting period2]]*50)</f>
        <v>0</v>
      </c>
      <c r="DH459" s="997">
        <f>ROUND(IF(WWWW[[#This Row],[Location Type 1]]="camp",WWWW[[#This Row],[Total PoP ]]/20,IF(WWWW[[#This Row],[Location Type 1]]="Temporary Location",WWWW[[#This Row],[Total PoP ]]/50,(WWWW[[#This Row],[Total PoP ]]/6))),0)</f>
        <v>1</v>
      </c>
      <c r="DI459" s="997">
        <f>IF(WWWW[[#This Row],[Total required Latrines]]-(WWWW[[#This Row],['#_Constructed latrines_by_WASHAgencies]]+WWWW[[#This Row],['#_Non Cluster partner latrines]])&lt;0,0,WWWW[[#This Row],[Total required Latrines]]-(WWWW[[#This Row],['#_Constructed latrines_by_WASHAgencies]]+WWWW[[#This Row],['#_Non Cluster partner latrines]]))</f>
        <v>1</v>
      </c>
      <c r="DJ459" s="999">
        <f>1-WWWW[[#This Row],[% people access to functioning Latrine]]</f>
        <v>1</v>
      </c>
      <c r="DK459" s="998">
        <f>IF(OR(WWWW[[#This Row],['#_Non-functional latrines]]="",WWWW[[#This Row],['#_Non-functional latrines]]=0),0,WWWW[[#This Row],['#_Non-functional latrines]]/(WWWW[[#This Row],['#_Constructed latrines_by_WASHAgencies]]+WWWW[[#This Row],['#_Non Cluster partner latrines]]))</f>
        <v>0</v>
      </c>
      <c r="DL459" s="994">
        <f>IF(500*(WWWW[[#This Row],['#_male hygiene promoters]]+WWWW[[#This Row],['#_female hygiene promoters]])&gt;WWWW[[#This Row],[Total PoP ]],WWWW[[#This Row],[Total PoP ]],500*(WWWW[[#This Row],['#_male hygiene promoters]]+WWWW[[#This Row],['#_female hygiene promoters]]))</f>
        <v>0</v>
      </c>
      <c r="DM45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5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59" s="997">
        <f>IF(WWWW[[#This Row],['# People with access to soap]]&gt;WWWW[[#This Row],['# People with access to Sanity Pads]],WWWW[[#This Row],['# People with access to soap]],WWWW[[#This Row],['# People with access to Sanity Pads]])</f>
        <v>0</v>
      </c>
      <c r="DP459"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59" s="999">
        <f>IF(WWWW[[#This Row],[HRP3]]/WWWW[[#This Row],[Total PoP ]]&gt;1,1,WWWW[[#This Row],[HRP3]]/WWWW[[#This Row],[Total PoP ]])</f>
        <v>0</v>
      </c>
      <c r="DR459" s="998">
        <f>1-WWWW[[#This Row],[Hygiene Coverage%]]</f>
        <v>1</v>
      </c>
      <c r="DS459" s="996">
        <f>WWWW[[#This Row],['# people reached by regular dedicated hygiene promotion_5]]/WWWW[[#This Row],[Total PoP ]]</f>
        <v>0</v>
      </c>
      <c r="DT45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5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59" s="997">
        <f>WWWW[[#This Row],['#_Constructed/Existing hand washing stations]]-WWWW[[#This Row],['#_Non-Functional_hand_washing_stations]]</f>
        <v>7</v>
      </c>
      <c r="DW459" s="994">
        <f>IF(WWWW[[#This Row],['# Functional hand washing stations during reporting period]]*20&gt;WWWW[[#This Row],[Total HH]],WWWW[[#This Row],[Total HH]],WWWW[[#This Row],['# Functional hand washing stations during reporting period]]*20)</f>
        <v>3</v>
      </c>
      <c r="DX459" s="994">
        <f>IF(WWWW[[#This Row],[Is sufficient soap available for TLS? (Yes/No)]]="yes",WWWW[[#This Row],['#_Constructed/Existing hand washing stations at TLS/CFS/THF]],0)</f>
        <v>0</v>
      </c>
      <c r="DY459" s="428">
        <f>IF(WWWW[[#This Row],['# Functional hand washing stations during reporting period]]*100&gt;WWWW[[#This Row],[Total PoP ]],WWWW[[#This Row],[Total PoP ]],WWWW[[#This Row],['# Functional hand washing stations during reporting period]]*100)</f>
        <v>15</v>
      </c>
      <c r="DZ459" s="428" t="str">
        <f>IF(OR(WWWW[[#This Row],['#_students at TLS_CFS]]="",WWWW[[#This Row],['#_students at TLS_CFS]]=0),"No","Yes")</f>
        <v>No</v>
      </c>
      <c r="EA45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5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9" s="990" t="str">
        <f>VLOOKUP(WWWW[[#This Row],[Site Name]],SiteDB6[[Site Name]:[CCCM Management]],6,FALSE)</f>
        <v>Yes</v>
      </c>
      <c r="EF459" s="990" t="str">
        <f>VLOOKUP(WWWW[[#This Row],[Site Name]],SiteDB6[[Site Name]:[CCCM Focal Agency]],7,FALSE)</f>
        <v>Shalom</v>
      </c>
      <c r="EG459" s="990" t="str">
        <f>VLOOKUP(WWWW[[#This Row],[Site Name]],SiteDB6[[Site Name]:[Location Type 1]],9,FALSE)</f>
        <v>Camp</v>
      </c>
      <c r="EH459" s="990" t="str">
        <f>VLOOKUP(WWWW[[#This Row],[Site Name]],SiteDB6[[Site Name]:[Type of Accommodation]],10,FALSE)</f>
        <v>Camp like setting</v>
      </c>
      <c r="EI459" s="990" t="str">
        <f>VLOOKUP(WWWW[[#This Row],[Site Name]],SiteDB6[[Site Name]:[Ethnic or GCA/NGCA]],11,FALSE)</f>
        <v>GCA</v>
      </c>
      <c r="EJ459" s="990">
        <f>VLOOKUP(WWWW[[#This Row],[Site Name]],SiteDB6[[Site Name]:[Lat]],12,FALSE)</f>
        <v>25.6145</v>
      </c>
      <c r="EK459" s="990">
        <f>VLOOKUP(WWWW[[#This Row],[Site Name]],SiteDB6[[Site Name]:[Long]],13,FALSE)</f>
        <v>96.319829999999996</v>
      </c>
      <c r="EL459" s="990" t="str">
        <f>VLOOKUP(WWWW[[#This Row],[Site Name]],SiteDB6[[Site Name]:[Pcode]],3,FALSE)</f>
        <v>MMR001CMP091</v>
      </c>
      <c r="EM459" s="995" t="str">
        <f t="shared" si="8"/>
        <v>Notcovered</v>
      </c>
      <c r="EN459" s="995"/>
      <c r="EO459" s="990">
        <f>VLOOKUP(WWWW[[#This Row],[Site Name]],SiteDB6[[Site Name]:[Pop
(Kachin/Shan-CCCM as of July 2021)]],16,FALSE)</f>
        <v>3</v>
      </c>
      <c r="EP459" s="990">
        <f>VLOOKUP(WWWW[[#This Row],[Site Name]],SiteDB6[[Site Name]:[Pop
(Kachin/Shan-CCCM as of July 2021)]],17,FALSE)</f>
        <v>14</v>
      </c>
    </row>
    <row r="460" spans="1:146">
      <c r="A460" s="988" t="s">
        <v>2765</v>
      </c>
      <c r="B460" s="988" t="s">
        <v>36</v>
      </c>
      <c r="C460" s="989" t="s">
        <v>36</v>
      </c>
      <c r="D460" s="989" t="s">
        <v>241</v>
      </c>
      <c r="E460" s="989" t="s">
        <v>37</v>
      </c>
      <c r="F460" s="989" t="s">
        <v>148</v>
      </c>
      <c r="G460" s="591" t="str">
        <f>VLOOKUP(WWWW[[#This Row],[Site Name]],SiteDB6[[Site Name]:[Location Type]],8,FALSE)</f>
        <v>Camp</v>
      </c>
      <c r="H460" s="989" t="s">
        <v>231</v>
      </c>
      <c r="I460" s="991">
        <v>47</v>
      </c>
      <c r="J460" s="991">
        <v>230</v>
      </c>
      <c r="K460" s="992">
        <v>44414</v>
      </c>
      <c r="L460" s="993">
        <v>44778</v>
      </c>
      <c r="M460" s="991"/>
      <c r="N460" s="991">
        <v>2</v>
      </c>
      <c r="O460" s="991"/>
      <c r="P460" s="991"/>
      <c r="Q460" s="994" t="s">
        <v>41</v>
      </c>
      <c r="R460" s="991">
        <v>3</v>
      </c>
      <c r="S460" s="991">
        <v>3</v>
      </c>
      <c r="T460" s="448">
        <v>1</v>
      </c>
      <c r="U460" s="991"/>
      <c r="V460" s="991"/>
      <c r="W460" s="991"/>
      <c r="X460" s="991"/>
      <c r="Y460" s="991"/>
      <c r="Z460" s="991"/>
      <c r="AA460" s="991"/>
      <c r="AB460" s="991"/>
      <c r="AC460" s="991"/>
      <c r="AD460" s="991"/>
      <c r="AE460" s="991"/>
      <c r="AF460" s="991"/>
      <c r="AG460" s="991"/>
      <c r="AH460" s="991">
        <v>5</v>
      </c>
      <c r="AI460" s="991"/>
      <c r="AJ460" s="991"/>
      <c r="AK460" s="991"/>
      <c r="AL460" s="991"/>
      <c r="AM460" s="991">
        <v>4</v>
      </c>
      <c r="AN460" s="991"/>
      <c r="AO460" s="448"/>
      <c r="AP460" s="995"/>
      <c r="AQ460" s="991">
        <v>16</v>
      </c>
      <c r="AR460" s="991"/>
      <c r="AS460" s="996"/>
      <c r="AT460" s="991"/>
      <c r="AU460" s="991"/>
      <c r="AV460" s="991"/>
      <c r="AW460" s="991"/>
      <c r="AX460" s="991"/>
      <c r="AY460" s="990" t="s">
        <v>41</v>
      </c>
      <c r="AZ460" s="995" t="s">
        <v>137</v>
      </c>
      <c r="BA460" s="991"/>
      <c r="BB460" s="991"/>
      <c r="BC460" s="991"/>
      <c r="BD460" s="448"/>
      <c r="BE460" s="448"/>
      <c r="BF460" s="990"/>
      <c r="BG460" s="991">
        <v>7</v>
      </c>
      <c r="BH460" s="991"/>
      <c r="BI460" s="991"/>
      <c r="BJ460" s="991">
        <v>2</v>
      </c>
      <c r="BK460" s="991"/>
      <c r="BL460" s="991"/>
      <c r="BM460" s="991">
        <v>1</v>
      </c>
      <c r="BN460" s="991"/>
      <c r="BO460" s="991"/>
      <c r="BP460" s="990" t="s">
        <v>41</v>
      </c>
      <c r="BQ460" s="997"/>
      <c r="BR460" s="996"/>
      <c r="BS460" s="990"/>
      <c r="BT460" s="423"/>
      <c r="BU460" s="423"/>
      <c r="BV460" s="425"/>
      <c r="BW460" s="423"/>
      <c r="BX460" s="448"/>
      <c r="BY460" s="448"/>
      <c r="BZ460" s="448"/>
      <c r="CA460" s="448"/>
      <c r="CB460" s="448"/>
      <c r="CC460" s="777"/>
      <c r="CD460" s="448"/>
      <c r="CE460" s="998" t="str">
        <f>IFERROR(WWWW[[#This Row],['#_Water sources passed]]/WWWW[[#This Row],['#_Water sources tested for fecal coliform ]],"no test")</f>
        <v>no test</v>
      </c>
      <c r="CF460" s="996" t="str">
        <f>IFERROR(WWWW[[#This Row],['#_Household passed]]/WWWW[[#This Row],['#_Household water samples tested for fecal coliform]],"no test")</f>
        <v>no test</v>
      </c>
      <c r="CG460" s="997" t="str">
        <f>IF(AND(WWWW[[#This Row],[% of water sources passed]]="no test",WWWW[[#This Row],[% Household passed]]="no test"),"No Test","Tested")</f>
        <v>No Test</v>
      </c>
      <c r="CH460" s="997">
        <f>WWWW[[#This Row],['#_Constructed/existing protected hand dug well]]-WWWW[[#This Row],['#_Non-functional protected hand dug well]]</f>
        <v>1</v>
      </c>
      <c r="CI460" s="997">
        <f>(WWWW[[#This Row],['#_Constructed/Existing tube wells/boreholes/handpumps_WASH_agency]]+WWWW[[#This Row],['#_Non-Cluster partner water tube-wells/boreholes/handpumps]])-WWWW[[#This Row],['#_Non-functional tube wells/boreholes/handpumps]]</f>
        <v>0</v>
      </c>
      <c r="CJ460" s="997">
        <f>WWWW[[#This Row],['#_Constructed/Existingwater storage tank with gravity fed reticulation system]]-WWWW[[#This Row],['#_Non-functional storage tank gravity fed reticulation system]]</f>
        <v>0</v>
      </c>
      <c r="CK460" s="997">
        <f>(WWWW[[#This Row],['#_Water_Liters_supplied_by_Water boating or water trucking]]/90)/15</f>
        <v>0</v>
      </c>
      <c r="CL460" s="997">
        <f>WWWW[[#This Row],['#_Water_Liters_from_Constructed/Existing water distribution system from river or natural spring]]/90/15</f>
        <v>0</v>
      </c>
      <c r="CM460" s="424">
        <f>IF(WWWW[[#This Row],['#_of water points in TLS/CFS]]*500&gt;WWWW[[#This Row],[Total PoP ]],WWWW[[#This Row],[Total PoP ]],WWWW[[#This Row],['#_of water points in TLS/CFS]]*500)</f>
        <v>0</v>
      </c>
      <c r="CN460" s="424">
        <f>IF(WWWW[[#This Row],['#_of water points in THF]]*500&gt;WWWW[[#This Row],[Total PoP ]],WWWW[[#This Row],[Total PoP ]],WWWW[[#This Row],['#_of water points in THF]]*500)</f>
        <v>0</v>
      </c>
      <c r="CO46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6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60" s="996">
        <f>IF(WWWW[[#This Row],[Location Type 1]]="Village",WWWW[[#This Row],[Access to safe drinking water for Village]],WWWW[[#This Row],[Access to safe drinking water for Camp]])</f>
        <v>1</v>
      </c>
      <c r="CR460" s="994">
        <f>WWWW[[#This Row],[%Equitable and continuous access to sufficient quantity of safe drinking water]]*WWWW[[#This Row],[Total PoP ]]</f>
        <v>230</v>
      </c>
      <c r="CS460" s="996">
        <f>IF((WWWW[[#This Row],['#_Constructed/Existing protected/fenced ponds]]*250)/WWWW[[#This Row],[Total PoP ]]&gt;1,1,(WWWW[[#This Row],['#_Constructed/Existing protected/fenced ponds]]*250)/WWWW[[#This Row],[Total PoP ]])</f>
        <v>0</v>
      </c>
      <c r="CT460" s="994">
        <f>WWWW[[#This Row],[% Access to unimproved water points]]*WWWW[[#This Row],[Total PoP ]]</f>
        <v>0</v>
      </c>
      <c r="CU46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6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230</v>
      </c>
      <c r="CW460" s="994">
        <f>WWWW[[#This Row],[HRP1]]/500</f>
        <v>0.46</v>
      </c>
      <c r="CX460" s="999">
        <f>1-WWWW[[#This Row],[% Equitable and continuous access to sufficient quantity of domestic water]]</f>
        <v>0</v>
      </c>
      <c r="CY460" s="994">
        <f>WWWW[[#This Row],[%equitable and continuous access to sufficient quantity of safe drinking and domestic water''s GAP]]*WWWW[[#This Row],[Total PoP ]]</f>
        <v>0</v>
      </c>
      <c r="CZ460" s="997">
        <f>IF(WWWW[[#This Row],[Total required water points]]-WWWW[[#This Row],['#Water points coverage]]&lt;0,0,WWWW[[#This Row],[Total required water points]]-WWWW[[#This Row],['#Water points coverage]])</f>
        <v>0.54</v>
      </c>
      <c r="DA460" s="997">
        <f>ROUND(IF(WWWW[[#This Row],[Total PoP ]]&lt;500,1,WWWW[[#This Row],[Total PoP ]]/500),0)</f>
        <v>1</v>
      </c>
      <c r="DB460" s="997">
        <f>(WWWW[[#This Row],['#_Constructed latrines_by_WASHAgencies]]+WWWW[[#This Row],['#_Non Cluster partner latrines]])-WWWW[[#This Row],['#_Non-functional latrines]]</f>
        <v>16</v>
      </c>
      <c r="DC460" s="631">
        <f>WWWW[[#This Row],[HRP2]]/WWWW[[#This Row],[Total PoP ]]</f>
        <v>1</v>
      </c>
      <c r="DD46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230</v>
      </c>
      <c r="DE46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6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0" s="424">
        <f>IF(WWWW[[#This Row],['# of functional latrines in THF supported by WASH partners during the reporting period2]]="",0,WWWW[[#This Row],['# of functional latrines in THF supported by WASH partners during the reporting period2]]*50)</f>
        <v>0</v>
      </c>
      <c r="DH460" s="997">
        <f>ROUND(IF(WWWW[[#This Row],[Location Type 1]]="camp",WWWW[[#This Row],[Total PoP ]]/20,IF(WWWW[[#This Row],[Location Type 1]]="Temporary Location",WWWW[[#This Row],[Total PoP ]]/50,(WWWW[[#This Row],[Total PoP ]]/6))),0)</f>
        <v>12</v>
      </c>
      <c r="DI460" s="997">
        <f>IF(WWWW[[#This Row],[Total required Latrines]]-(WWWW[[#This Row],['#_Constructed latrines_by_WASHAgencies]]+WWWW[[#This Row],['#_Non Cluster partner latrines]])&lt;0,0,WWWW[[#This Row],[Total required Latrines]]-(WWWW[[#This Row],['#_Constructed latrines_by_WASHAgencies]]+WWWW[[#This Row],['#_Non Cluster partner latrines]]))</f>
        <v>0</v>
      </c>
      <c r="DJ460" s="999">
        <f>1-WWWW[[#This Row],[% people access to functioning Latrine]]</f>
        <v>0</v>
      </c>
      <c r="DK460" s="998">
        <f>IF(OR(WWWW[[#This Row],['#_Non-functional latrines]]="",WWWW[[#This Row],['#_Non-functional latrines]]=0),0,WWWW[[#This Row],['#_Non-functional latrines]]/(WWWW[[#This Row],['#_Constructed latrines_by_WASHAgencies]]+WWWW[[#This Row],['#_Non Cluster partner latrines]]))</f>
        <v>0</v>
      </c>
      <c r="DL460" s="994">
        <f>IF(500*(WWWW[[#This Row],['#_male hygiene promoters]]+WWWW[[#This Row],['#_female hygiene promoters]])&gt;WWWW[[#This Row],[Total PoP ]],WWWW[[#This Row],[Total PoP ]],500*(WWWW[[#This Row],['#_male hygiene promoters]]+WWWW[[#This Row],['#_female hygiene promoters]]))</f>
        <v>230</v>
      </c>
      <c r="DM46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6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60" s="997">
        <f>IF(WWWW[[#This Row],['# People with access to soap]]&gt;WWWW[[#This Row],['# People with access to Sanity Pads]],WWWW[[#This Row],['# People with access to soap]],WWWW[[#This Row],['# People with access to Sanity Pads]])</f>
        <v>0</v>
      </c>
      <c r="DP460" s="997">
        <f>IF(WWWW[[#This Row],['# people reached by regular dedicated hygiene promotion_5]]&gt;WWWW[[#This Row],['# People received regular supply of hygiene items_6]],WWWW[[#This Row],['# people reached by regular dedicated hygiene promotion_5]],WWWW[[#This Row],['# People received regular supply of hygiene items_6]])</f>
        <v>230</v>
      </c>
      <c r="DQ460" s="999">
        <f>IF(WWWW[[#This Row],[HRP3]]/WWWW[[#This Row],[Total PoP ]]&gt;1,1,WWWW[[#This Row],[HRP3]]/WWWW[[#This Row],[Total PoP ]])</f>
        <v>1</v>
      </c>
      <c r="DR460" s="998">
        <f>1-WWWW[[#This Row],[Hygiene Coverage%]]</f>
        <v>0</v>
      </c>
      <c r="DS460" s="996">
        <f>WWWW[[#This Row],['# people reached by regular dedicated hygiene promotion_5]]/WWWW[[#This Row],[Total PoP ]]</f>
        <v>1</v>
      </c>
      <c r="DT46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6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60" s="997">
        <f>WWWW[[#This Row],['#_Constructed/Existing hand washing stations]]-WWWW[[#This Row],['#_Non-Functional_hand_washing_stations]]</f>
        <v>7</v>
      </c>
      <c r="DW460" s="994">
        <f>IF(WWWW[[#This Row],['# Functional hand washing stations during reporting period]]*20&gt;WWWW[[#This Row],[Total HH]],WWWW[[#This Row],[Total HH]],WWWW[[#This Row],['# Functional hand washing stations during reporting period]]*20)</f>
        <v>47</v>
      </c>
      <c r="DX460" s="994">
        <f>IF(WWWW[[#This Row],[Is sufficient soap available for TLS? (Yes/No)]]="yes",WWWW[[#This Row],['#_Constructed/Existing hand washing stations at TLS/CFS/THF]],0)</f>
        <v>4</v>
      </c>
      <c r="DY460" s="428">
        <f>IF(WWWW[[#This Row],['# Functional hand washing stations during reporting period]]*100&gt;WWWW[[#This Row],[Total PoP ]],WWWW[[#This Row],[Total PoP ]],WWWW[[#This Row],['# Functional hand washing stations during reporting period]]*100)</f>
        <v>230</v>
      </c>
      <c r="DZ460" s="428" t="str">
        <f>IF(OR(WWWW[[#This Row],['#_students at TLS_CFS]]="",WWWW[[#This Row],['#_students at TLS_CFS]]=0),"No","Yes")</f>
        <v>No</v>
      </c>
      <c r="EA46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0" s="990" t="str">
        <f>VLOOKUP(WWWW[[#This Row],[Site Name]],SiteDB6[[Site Name]:[CCCM Management]],6,FALSE)</f>
        <v>Yes</v>
      </c>
      <c r="EF460" s="990" t="str">
        <f>VLOOKUP(WWWW[[#This Row],[Site Name]],SiteDB6[[Site Name]:[CCCM Focal Agency]],7,FALSE)</f>
        <v>KMSS-MYT</v>
      </c>
      <c r="EG460" s="990" t="str">
        <f>VLOOKUP(WWWW[[#This Row],[Site Name]],SiteDB6[[Site Name]:[Location Type 1]],9,FALSE)</f>
        <v>Camp</v>
      </c>
      <c r="EH460" s="990" t="str">
        <f>VLOOKUP(WWWW[[#This Row],[Site Name]],SiteDB6[[Site Name]:[Type of Accommodation]],10,FALSE)</f>
        <v>Camp</v>
      </c>
      <c r="EI460" s="990" t="str">
        <f>VLOOKUP(WWWW[[#This Row],[Site Name]],SiteDB6[[Site Name]:[Ethnic or GCA/NGCA]],11,FALSE)</f>
        <v>GCA</v>
      </c>
      <c r="EJ460" s="990">
        <f>VLOOKUP(WWWW[[#This Row],[Site Name]],SiteDB6[[Site Name]:[Lat]],12,FALSE)</f>
        <v>25.613894999999999</v>
      </c>
      <c r="EK460" s="990">
        <f>VLOOKUP(WWWW[[#This Row],[Site Name]],SiteDB6[[Site Name]:[Long]],13,FALSE)</f>
        <v>96.341352999999998</v>
      </c>
      <c r="EL460" s="990" t="str">
        <f>VLOOKUP(WWWW[[#This Row],[Site Name]],SiteDB6[[Site Name]:[Pcode]],3,FALSE)</f>
        <v>MMR001CMP103</v>
      </c>
      <c r="EM460" s="995" t="str">
        <f t="shared" si="8"/>
        <v>Covered</v>
      </c>
      <c r="EN460" s="995"/>
      <c r="EO460" s="990">
        <f>VLOOKUP(WWWW[[#This Row],[Site Name]],SiteDB6[[Site Name]:[Pop
(Kachin/Shan-CCCM as of July 2021)]],16,FALSE)</f>
        <v>47</v>
      </c>
      <c r="EP460" s="990">
        <f>VLOOKUP(WWWW[[#This Row],[Site Name]],SiteDB6[[Site Name]:[Pop
(Kachin/Shan-CCCM as of July 2021)]],17,FALSE)</f>
        <v>226</v>
      </c>
    </row>
    <row r="461" spans="1:146">
      <c r="A461" s="988" t="s">
        <v>2765</v>
      </c>
      <c r="B461" s="988" t="s">
        <v>242</v>
      </c>
      <c r="C461" s="989" t="s">
        <v>242</v>
      </c>
      <c r="D461" s="989" t="s">
        <v>299</v>
      </c>
      <c r="E461" s="989" t="s">
        <v>37</v>
      </c>
      <c r="F461" s="989" t="s">
        <v>148</v>
      </c>
      <c r="G461" s="591" t="str">
        <f>VLOOKUP(WWWW[[#This Row],[Site Name]],SiteDB6[[Site Name]:[Location Type]],8,FALSE)</f>
        <v>Camp</v>
      </c>
      <c r="H461" s="989" t="s">
        <v>262</v>
      </c>
      <c r="I461" s="448">
        <v>16</v>
      </c>
      <c r="J461" s="448">
        <v>66</v>
      </c>
      <c r="K461" s="588">
        <v>44562</v>
      </c>
      <c r="L461" s="589">
        <v>44926</v>
      </c>
      <c r="M461" s="448">
        <v>30</v>
      </c>
      <c r="N461" s="991"/>
      <c r="O461" s="991"/>
      <c r="P461" s="991"/>
      <c r="Q461" s="994" t="s">
        <v>41</v>
      </c>
      <c r="R461" s="991">
        <v>2</v>
      </c>
      <c r="S461" s="991">
        <v>4</v>
      </c>
      <c r="T461" s="448"/>
      <c r="U461" s="991"/>
      <c r="V461" s="991"/>
      <c r="W461" s="991"/>
      <c r="X461" s="991"/>
      <c r="Y461" s="991"/>
      <c r="Z461" s="991"/>
      <c r="AA461" s="991">
        <v>1</v>
      </c>
      <c r="AB461" s="991"/>
      <c r="AC461" s="991"/>
      <c r="AD461" s="991"/>
      <c r="AE461" s="991">
        <v>2</v>
      </c>
      <c r="AF461" s="991"/>
      <c r="AG461" s="991"/>
      <c r="AH461" s="991"/>
      <c r="AI461" s="991"/>
      <c r="AJ461" s="991"/>
      <c r="AK461" s="991"/>
      <c r="AL461" s="991"/>
      <c r="AM461" s="991">
        <v>2</v>
      </c>
      <c r="AN461" s="991"/>
      <c r="AO461" s="448"/>
      <c r="AP461" s="995"/>
      <c r="AQ461" s="991">
        <v>5</v>
      </c>
      <c r="AR461" s="991"/>
      <c r="AS461" s="996"/>
      <c r="AT461" s="991"/>
      <c r="AU461" s="991"/>
      <c r="AV461" s="991"/>
      <c r="AW461" s="991"/>
      <c r="AX461" s="991"/>
      <c r="AY461" s="990" t="s">
        <v>41</v>
      </c>
      <c r="AZ461" s="995" t="s">
        <v>137</v>
      </c>
      <c r="BA461" s="991"/>
      <c r="BB461" s="991"/>
      <c r="BC461" s="991"/>
      <c r="BD461" s="448"/>
      <c r="BE461" s="448"/>
      <c r="BF461" s="990"/>
      <c r="BG461" s="991">
        <v>2</v>
      </c>
      <c r="BH461" s="991"/>
      <c r="BI461" s="991"/>
      <c r="BJ461" s="991">
        <v>2</v>
      </c>
      <c r="BK461" s="991"/>
      <c r="BL461" s="991">
        <v>1</v>
      </c>
      <c r="BM461" s="991">
        <v>1</v>
      </c>
      <c r="BN461" s="991">
        <v>16</v>
      </c>
      <c r="BO461" s="991"/>
      <c r="BP461" s="990"/>
      <c r="BQ461" s="997">
        <v>1</v>
      </c>
      <c r="BR461" s="423">
        <v>0.3</v>
      </c>
      <c r="BS461" s="990"/>
      <c r="BT461" s="423">
        <v>0.75</v>
      </c>
      <c r="BU461" s="423">
        <v>0.75</v>
      </c>
      <c r="BV461" s="425"/>
      <c r="BW461" s="423">
        <v>0.75</v>
      </c>
      <c r="BX461" s="448"/>
      <c r="BY461" s="448"/>
      <c r="BZ461" s="448"/>
      <c r="CA461" s="448"/>
      <c r="CB461" s="448"/>
      <c r="CC461" s="777"/>
      <c r="CD461" s="448"/>
      <c r="CE461" s="998" t="str">
        <f>IFERROR(WWWW[[#This Row],['#_Water sources passed]]/WWWW[[#This Row],['#_Water sources tested for fecal coliform ]],"no test")</f>
        <v>no test</v>
      </c>
      <c r="CF461" s="996" t="str">
        <f>IFERROR(WWWW[[#This Row],['#_Household passed]]/WWWW[[#This Row],['#_Household water samples tested for fecal coliform]],"no test")</f>
        <v>no test</v>
      </c>
      <c r="CG461" s="997" t="str">
        <f>IF(AND(WWWW[[#This Row],[% of water sources passed]]="no test",WWWW[[#This Row],[% Household passed]]="no test"),"No Test","Tested")</f>
        <v>No Test</v>
      </c>
      <c r="CH461" s="997">
        <f>WWWW[[#This Row],['#_Constructed/existing protected hand dug well]]-WWWW[[#This Row],['#_Non-functional protected hand dug well]]</f>
        <v>0</v>
      </c>
      <c r="CI461" s="997">
        <f>(WWWW[[#This Row],['#_Constructed/Existing tube wells/boreholes/handpumps_WASH_agency]]+WWWW[[#This Row],['#_Non-Cluster partner water tube-wells/boreholes/handpumps]])-WWWW[[#This Row],['#_Non-functional tube wells/boreholes/handpumps]]</f>
        <v>0</v>
      </c>
      <c r="CJ461" s="997">
        <f>WWWW[[#This Row],['#_Constructed/Existingwater storage tank with gravity fed reticulation system]]-WWWW[[#This Row],['#_Non-functional storage tank gravity fed reticulation system]]</f>
        <v>1</v>
      </c>
      <c r="CK461" s="997">
        <f>(WWWW[[#This Row],['#_Water_Liters_supplied_by_Water boating or water trucking]]/90)/15</f>
        <v>0</v>
      </c>
      <c r="CL461" s="997">
        <f>WWWW[[#This Row],['#_Water_Liters_from_Constructed/Existing water distribution system from river or natural spring]]/90/15</f>
        <v>0</v>
      </c>
      <c r="CM461" s="424">
        <f>IF(WWWW[[#This Row],['#_of water points in TLS/CFS]]*500&gt;WWWW[[#This Row],[Total PoP ]],WWWW[[#This Row],[Total PoP ]],WWWW[[#This Row],['#_of water points in TLS/CFS]]*500)</f>
        <v>0</v>
      </c>
      <c r="CN461" s="424">
        <f>IF(WWWW[[#This Row],['#_of water points in THF]]*500&gt;WWWW[[#This Row],[Total PoP ]],WWWW[[#This Row],[Total PoP ]],WWWW[[#This Row],['#_of water points in THF]]*500)</f>
        <v>0</v>
      </c>
      <c r="CO46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6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61" s="996">
        <f>IF(WWWW[[#This Row],[Location Type 1]]="Village",WWWW[[#This Row],[Access to safe drinking water for Village]],WWWW[[#This Row],[Access to safe drinking water for Camp]])</f>
        <v>1</v>
      </c>
      <c r="CR461" s="994">
        <f>WWWW[[#This Row],[%Equitable and continuous access to sufficient quantity of safe drinking water]]*WWWW[[#This Row],[Total PoP ]]</f>
        <v>66</v>
      </c>
      <c r="CS461" s="996">
        <f>IF((WWWW[[#This Row],['#_Constructed/Existing protected/fenced ponds]]*250)/WWWW[[#This Row],[Total PoP ]]&gt;1,1,(WWWW[[#This Row],['#_Constructed/Existing protected/fenced ponds]]*250)/WWWW[[#This Row],[Total PoP ]])</f>
        <v>1</v>
      </c>
      <c r="CT461" s="994">
        <f>WWWW[[#This Row],[% Access to unimproved water points]]*WWWW[[#This Row],[Total PoP ]]</f>
        <v>66</v>
      </c>
      <c r="CU46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6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W461" s="994">
        <f>WWWW[[#This Row],[HRP1]]/500</f>
        <v>0.13200000000000001</v>
      </c>
      <c r="CX461" s="999">
        <f>1-WWWW[[#This Row],[% Equitable and continuous access to sufficient quantity of domestic water]]</f>
        <v>0</v>
      </c>
      <c r="CY461" s="994">
        <f>WWWW[[#This Row],[%equitable and continuous access to sufficient quantity of safe drinking and domestic water''s GAP]]*WWWW[[#This Row],[Total PoP ]]</f>
        <v>0</v>
      </c>
      <c r="CZ461" s="997">
        <f>IF(WWWW[[#This Row],[Total required water points]]-WWWW[[#This Row],['#Water points coverage]]&lt;0,0,WWWW[[#This Row],[Total required water points]]-WWWW[[#This Row],['#Water points coverage]])</f>
        <v>0.86799999999999999</v>
      </c>
      <c r="DA461" s="997">
        <f>ROUND(IF(WWWW[[#This Row],[Total PoP ]]&lt;500,1,WWWW[[#This Row],[Total PoP ]]/500),0)</f>
        <v>1</v>
      </c>
      <c r="DB461" s="997">
        <f>(WWWW[[#This Row],['#_Constructed latrines_by_WASHAgencies]]+WWWW[[#This Row],['#_Non Cluster partner latrines]])-WWWW[[#This Row],['#_Non-functional latrines]]</f>
        <v>5</v>
      </c>
      <c r="DC461" s="631">
        <f>WWWW[[#This Row],[HRP2]]/WWWW[[#This Row],[Total PoP ]]</f>
        <v>1</v>
      </c>
      <c r="DD46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DE46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6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1" s="424">
        <f>IF(WWWW[[#This Row],['# of functional latrines in THF supported by WASH partners during the reporting period2]]="",0,WWWW[[#This Row],['# of functional latrines in THF supported by WASH partners during the reporting period2]]*50)</f>
        <v>0</v>
      </c>
      <c r="DH461" s="997">
        <f>ROUND(IF(WWWW[[#This Row],[Location Type 1]]="camp",WWWW[[#This Row],[Total PoP ]]/20,IF(WWWW[[#This Row],[Location Type 1]]="Temporary Location",WWWW[[#This Row],[Total PoP ]]/50,(WWWW[[#This Row],[Total PoP ]]/6))),0)</f>
        <v>3</v>
      </c>
      <c r="DI461" s="997">
        <f>IF(WWWW[[#This Row],[Total required Latrines]]-(WWWW[[#This Row],['#_Constructed latrines_by_WASHAgencies]]+WWWW[[#This Row],['#_Non Cluster partner latrines]])&lt;0,0,WWWW[[#This Row],[Total required Latrines]]-(WWWW[[#This Row],['#_Constructed latrines_by_WASHAgencies]]+WWWW[[#This Row],['#_Non Cluster partner latrines]]))</f>
        <v>0</v>
      </c>
      <c r="DJ461" s="999">
        <f>1-WWWW[[#This Row],[% people access to functioning Latrine]]</f>
        <v>0</v>
      </c>
      <c r="DK461" s="998">
        <f>IF(OR(WWWW[[#This Row],['#_Non-functional latrines]]="",WWWW[[#This Row],['#_Non-functional latrines]]=0),0,WWWW[[#This Row],['#_Non-functional latrines]]/(WWWW[[#This Row],['#_Constructed latrines_by_WASHAgencies]]+WWWW[[#This Row],['#_Non Cluster partner latrines]]))</f>
        <v>0</v>
      </c>
      <c r="DL461" s="994">
        <f>IF(500*(WWWW[[#This Row],['#_male hygiene promoters]]+WWWW[[#This Row],['#_female hygiene promoters]])&gt;WWWW[[#This Row],[Total PoP ]],WWWW[[#This Row],[Total PoP ]],500*(WWWW[[#This Row],['#_male hygiene promoters]]+WWWW[[#This Row],['#_female hygiene promoters]]))</f>
        <v>66</v>
      </c>
      <c r="DM46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66</v>
      </c>
      <c r="DN46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61" s="997">
        <f>IF(WWWW[[#This Row],['# People with access to soap]]&gt;WWWW[[#This Row],['# People with access to Sanity Pads]],WWWW[[#This Row],['# People with access to soap]],WWWW[[#This Row],['# People with access to Sanity Pads]])</f>
        <v>66</v>
      </c>
      <c r="DP461" s="997">
        <f>IF(WWWW[[#This Row],['# people reached by regular dedicated hygiene promotion_5]]&gt;WWWW[[#This Row],['# People received regular supply of hygiene items_6]],WWWW[[#This Row],['# people reached by regular dedicated hygiene promotion_5]],WWWW[[#This Row],['# People received regular supply of hygiene items_6]])</f>
        <v>66</v>
      </c>
      <c r="DQ461" s="999">
        <f>IF(WWWW[[#This Row],[HRP3]]/WWWW[[#This Row],[Total PoP ]]&gt;1,1,WWWW[[#This Row],[HRP3]]/WWWW[[#This Row],[Total PoP ]])</f>
        <v>1</v>
      </c>
      <c r="DR461" s="998">
        <f>1-WWWW[[#This Row],[Hygiene Coverage%]]</f>
        <v>0</v>
      </c>
      <c r="DS461" s="996">
        <f>WWWW[[#This Row],['# people reached by regular dedicated hygiene promotion_5]]/WWWW[[#This Row],[Total PoP ]]</f>
        <v>1</v>
      </c>
      <c r="DT46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6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61" s="997">
        <f>WWWW[[#This Row],['#_Constructed/Existing hand washing stations]]-WWWW[[#This Row],['#_Non-Functional_hand_washing_stations]]</f>
        <v>2</v>
      </c>
      <c r="DW461" s="994">
        <f>IF(WWWW[[#This Row],['# Functional hand washing stations during reporting period]]*20&gt;WWWW[[#This Row],[Total HH]],WWWW[[#This Row],[Total HH]],WWWW[[#This Row],['# Functional hand washing stations during reporting period]]*20)</f>
        <v>16</v>
      </c>
      <c r="DX461" s="994">
        <f>IF(WWWW[[#This Row],[Is sufficient soap available for TLS? (Yes/No)]]="yes",WWWW[[#This Row],['#_Constructed/Existing hand washing stations at TLS/CFS/THF]],0)</f>
        <v>0</v>
      </c>
      <c r="DY461" s="428">
        <f>IF(WWWW[[#This Row],['# Functional hand washing stations during reporting period]]*100&gt;WWWW[[#This Row],[Total PoP ]],WWWW[[#This Row],[Total PoP ]],WWWW[[#This Row],['# Functional hand washing stations during reporting period]]*100)</f>
        <v>66</v>
      </c>
      <c r="DZ461" s="428" t="str">
        <f>IF(OR(WWWW[[#This Row],['#_students at TLS_CFS]]="",WWWW[[#This Row],['#_students at TLS_CFS]]=0),"No","Yes")</f>
        <v>Yes</v>
      </c>
      <c r="EA46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1" s="990" t="str">
        <f>VLOOKUP(WWWW[[#This Row],[Site Name]],SiteDB6[[Site Name]:[CCCM Management]],6,FALSE)</f>
        <v>Yes</v>
      </c>
      <c r="EF461" s="990" t="str">
        <f>VLOOKUP(WWWW[[#This Row],[Site Name]],SiteDB6[[Site Name]:[CCCM Focal Agency]],7,FALSE)</f>
        <v>KBC-MYT</v>
      </c>
      <c r="EG461" s="990" t="str">
        <f>VLOOKUP(WWWW[[#This Row],[Site Name]],SiteDB6[[Site Name]:[Location Type 1]],9,FALSE)</f>
        <v>Camp</v>
      </c>
      <c r="EH461" s="990" t="str">
        <f>VLOOKUP(WWWW[[#This Row],[Site Name]],SiteDB6[[Site Name]:[Type of Accommodation]],10,FALSE)</f>
        <v>Camp</v>
      </c>
      <c r="EI461" s="990" t="str">
        <f>VLOOKUP(WWWW[[#This Row],[Site Name]],SiteDB6[[Site Name]:[Ethnic or GCA/NGCA]],11,FALSE)</f>
        <v>GCA</v>
      </c>
      <c r="EJ461" s="990">
        <f>VLOOKUP(WWWW[[#This Row],[Site Name]],SiteDB6[[Site Name]:[Lat]],12,FALSE)</f>
        <v>25.599250000000001</v>
      </c>
      <c r="EK461" s="990">
        <f>VLOOKUP(WWWW[[#This Row],[Site Name]],SiteDB6[[Site Name]:[Long]],13,FALSE)</f>
        <v>96.306910999999999</v>
      </c>
      <c r="EL461" s="990" t="str">
        <f>VLOOKUP(WWWW[[#This Row],[Site Name]],SiteDB6[[Site Name]:[Pcode]],3,FALSE)</f>
        <v>MMR001CMP105</v>
      </c>
      <c r="EM461" s="995" t="str">
        <f t="shared" ref="EM461:EM492" si="9">IF(C461="none","Notcovered","Covered")</f>
        <v>Covered</v>
      </c>
      <c r="EN461" s="995"/>
      <c r="EO461" s="990">
        <f>VLOOKUP(WWWW[[#This Row],[Site Name]],SiteDB6[[Site Name]:[Pop
(Kachin/Shan-CCCM as of July 2021)]],16,FALSE)</f>
        <v>16</v>
      </c>
      <c r="EP461" s="990">
        <f>VLOOKUP(WWWW[[#This Row],[Site Name]],SiteDB6[[Site Name]:[Pop
(Kachin/Shan-CCCM as of July 2021)]],17,FALSE)</f>
        <v>64</v>
      </c>
    </row>
    <row r="462" spans="1:146">
      <c r="A462" s="988" t="s">
        <v>2765</v>
      </c>
      <c r="B462" s="988" t="s">
        <v>242</v>
      </c>
      <c r="C462" s="989" t="s">
        <v>242</v>
      </c>
      <c r="D462" s="989" t="s">
        <v>299</v>
      </c>
      <c r="E462" s="989" t="s">
        <v>37</v>
      </c>
      <c r="F462" s="989" t="s">
        <v>148</v>
      </c>
      <c r="G462" s="591" t="str">
        <f>VLOOKUP(WWWW[[#This Row],[Site Name]],SiteDB6[[Site Name]:[Location Type]],8,FALSE)</f>
        <v>Camp</v>
      </c>
      <c r="H462" s="989" t="s">
        <v>251</v>
      </c>
      <c r="I462" s="448">
        <v>5</v>
      </c>
      <c r="J462" s="448">
        <v>24</v>
      </c>
      <c r="K462" s="588">
        <v>44562</v>
      </c>
      <c r="L462" s="589">
        <v>44926</v>
      </c>
      <c r="M462" s="448"/>
      <c r="N462" s="448">
        <v>1</v>
      </c>
      <c r="O462" s="448"/>
      <c r="P462" s="448"/>
      <c r="Q462" s="717" t="s">
        <v>41</v>
      </c>
      <c r="R462" s="448">
        <v>2</v>
      </c>
      <c r="S462" s="448">
        <v>2</v>
      </c>
      <c r="T462" s="448"/>
      <c r="U462" s="448"/>
      <c r="V462" s="448"/>
      <c r="W462" s="448"/>
      <c r="X462" s="991"/>
      <c r="Y462" s="991"/>
      <c r="Z462" s="991"/>
      <c r="AA462" s="991"/>
      <c r="AB462" s="991"/>
      <c r="AC462" s="991"/>
      <c r="AD462" s="991"/>
      <c r="AE462" s="991"/>
      <c r="AF462" s="448"/>
      <c r="AG462" s="448">
        <v>1</v>
      </c>
      <c r="AH462" s="991"/>
      <c r="AI462" s="991"/>
      <c r="AJ462" s="991"/>
      <c r="AK462" s="991"/>
      <c r="AL462" s="991"/>
      <c r="AM462" s="448"/>
      <c r="AN462" s="448"/>
      <c r="AO462" s="448"/>
      <c r="AP462" s="590"/>
      <c r="AQ462" s="991">
        <v>2</v>
      </c>
      <c r="AR462" s="991"/>
      <c r="AS462" s="996"/>
      <c r="AT462" s="991"/>
      <c r="AU462" s="991"/>
      <c r="AV462" s="991"/>
      <c r="AW462" s="991"/>
      <c r="AX462" s="991"/>
      <c r="AY462" s="990" t="s">
        <v>41</v>
      </c>
      <c r="AZ462" s="995" t="s">
        <v>137</v>
      </c>
      <c r="BA462" s="991"/>
      <c r="BB462" s="991"/>
      <c r="BC462" s="991"/>
      <c r="BD462" s="448"/>
      <c r="BE462" s="448"/>
      <c r="BF462" s="990"/>
      <c r="BG462" s="991">
        <v>1</v>
      </c>
      <c r="BH462" s="991">
        <v>1</v>
      </c>
      <c r="BI462" s="991"/>
      <c r="BJ462" s="991">
        <v>1</v>
      </c>
      <c r="BK462" s="991"/>
      <c r="BL462" s="448"/>
      <c r="BM462" s="448">
        <v>1</v>
      </c>
      <c r="BN462" s="448">
        <v>5</v>
      </c>
      <c r="BO462" s="448">
        <v>6</v>
      </c>
      <c r="BP462" s="990"/>
      <c r="BQ462" s="424"/>
      <c r="BR462" s="423">
        <v>0.8</v>
      </c>
      <c r="BS462" s="425"/>
      <c r="BT462" s="423">
        <v>0.8</v>
      </c>
      <c r="BU462" s="423">
        <v>0.5</v>
      </c>
      <c r="BV462" s="425">
        <v>5</v>
      </c>
      <c r="BW462" s="423">
        <v>0.7</v>
      </c>
      <c r="BX462" s="448"/>
      <c r="BY462" s="448"/>
      <c r="BZ462" s="448"/>
      <c r="CA462" s="448"/>
      <c r="CB462" s="448"/>
      <c r="CC462" s="777"/>
      <c r="CD462" s="448"/>
      <c r="CE462" s="998" t="str">
        <f>IFERROR(WWWW[[#This Row],['#_Water sources passed]]/WWWW[[#This Row],['#_Water sources tested for fecal coliform ]],"no test")</f>
        <v>no test</v>
      </c>
      <c r="CF462" s="996" t="str">
        <f>IFERROR(WWWW[[#This Row],['#_Household passed]]/WWWW[[#This Row],['#_Household water samples tested for fecal coliform]],"no test")</f>
        <v>no test</v>
      </c>
      <c r="CG462" s="997" t="str">
        <f>IF(AND(WWWW[[#This Row],[% of water sources passed]]="no test",WWWW[[#This Row],[% Household passed]]="no test"),"No Test","Tested")</f>
        <v>No Test</v>
      </c>
      <c r="CH462" s="997">
        <f>WWWW[[#This Row],['#_Constructed/existing protected hand dug well]]-WWWW[[#This Row],['#_Non-functional protected hand dug well]]</f>
        <v>0</v>
      </c>
      <c r="CI462" s="997">
        <f>(WWWW[[#This Row],['#_Constructed/Existing tube wells/boreholes/handpumps_WASH_agency]]+WWWW[[#This Row],['#_Non-Cluster partner water tube-wells/boreholes/handpumps]])-WWWW[[#This Row],['#_Non-functional tube wells/boreholes/handpumps]]</f>
        <v>0</v>
      </c>
      <c r="CJ462" s="997">
        <f>WWWW[[#This Row],['#_Constructed/Existingwater storage tank with gravity fed reticulation system]]-WWWW[[#This Row],['#_Non-functional storage tank gravity fed reticulation system]]</f>
        <v>0</v>
      </c>
      <c r="CK462" s="997">
        <f>(WWWW[[#This Row],['#_Water_Liters_supplied_by_Water boating or water trucking]]/90)/15</f>
        <v>0</v>
      </c>
      <c r="CL462" s="997">
        <f>WWWW[[#This Row],['#_Water_Liters_from_Constructed/Existing water distribution system from river or natural spring]]/90/15</f>
        <v>0</v>
      </c>
      <c r="CM462" s="424">
        <f>IF(WWWW[[#This Row],['#_of water points in TLS/CFS]]*500&gt;WWWW[[#This Row],[Total PoP ]],WWWW[[#This Row],[Total PoP ]],WWWW[[#This Row],['#_of water points in TLS/CFS]]*500)</f>
        <v>0</v>
      </c>
      <c r="CN462" s="424">
        <f>IF(WWWW[[#This Row],['#_of water points in THF]]*500&gt;WWWW[[#This Row],[Total PoP ]],WWWW[[#This Row],[Total PoP ]],WWWW[[#This Row],['#_of water points in THF]]*500)</f>
        <v>0</v>
      </c>
      <c r="CO46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6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62" s="996">
        <f>IF(WWWW[[#This Row],[Location Type 1]]="Village",WWWW[[#This Row],[Access to safe drinking water for Village]],WWWW[[#This Row],[Access to safe drinking water for Camp]])</f>
        <v>0</v>
      </c>
      <c r="CR462" s="994">
        <f>WWWW[[#This Row],[%Equitable and continuous access to sufficient quantity of safe drinking water]]*WWWW[[#This Row],[Total PoP ]]</f>
        <v>0</v>
      </c>
      <c r="CS462" s="996">
        <f>IF((WWWW[[#This Row],['#_Constructed/Existing protected/fenced ponds]]*250)/WWWW[[#This Row],[Total PoP ]]&gt;1,1,(WWWW[[#This Row],['#_Constructed/Existing protected/fenced ponds]]*250)/WWWW[[#This Row],[Total PoP ]])</f>
        <v>0</v>
      </c>
      <c r="CT462" s="994">
        <f>WWWW[[#This Row],[% Access to unimproved water points]]*WWWW[[#This Row],[Total PoP ]]</f>
        <v>0</v>
      </c>
      <c r="CU46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6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62" s="994">
        <f>WWWW[[#This Row],[HRP1]]/500</f>
        <v>0</v>
      </c>
      <c r="CX462" s="999">
        <f>1-WWWW[[#This Row],[% Equitable and continuous access to sufficient quantity of domestic water]]</f>
        <v>1</v>
      </c>
      <c r="CY462" s="994">
        <f>WWWW[[#This Row],[%equitable and continuous access to sufficient quantity of safe drinking and domestic water''s GAP]]*WWWW[[#This Row],[Total PoP ]]</f>
        <v>24</v>
      </c>
      <c r="CZ462" s="997">
        <f>IF(WWWW[[#This Row],[Total required water points]]-WWWW[[#This Row],['#Water points coverage]]&lt;0,0,WWWW[[#This Row],[Total required water points]]-WWWW[[#This Row],['#Water points coverage]])</f>
        <v>1</v>
      </c>
      <c r="DA462" s="997">
        <f>ROUND(IF(WWWW[[#This Row],[Total PoP ]]&lt;500,1,WWWW[[#This Row],[Total PoP ]]/500),0)</f>
        <v>1</v>
      </c>
      <c r="DB462" s="997">
        <f>(WWWW[[#This Row],['#_Constructed latrines_by_WASHAgencies]]+WWWW[[#This Row],['#_Non Cluster partner latrines]])-WWWW[[#This Row],['#_Non-functional latrines]]</f>
        <v>2</v>
      </c>
      <c r="DC462" s="631">
        <f>WWWW[[#This Row],[HRP2]]/WWWW[[#This Row],[Total PoP ]]</f>
        <v>1</v>
      </c>
      <c r="DD46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46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6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2" s="424">
        <f>IF(WWWW[[#This Row],['# of functional latrines in THF supported by WASH partners during the reporting period2]]="",0,WWWW[[#This Row],['# of functional latrines in THF supported by WASH partners during the reporting period2]]*50)</f>
        <v>0</v>
      </c>
      <c r="DH462" s="997">
        <f>ROUND(IF(WWWW[[#This Row],[Location Type 1]]="camp",WWWW[[#This Row],[Total PoP ]]/20,IF(WWWW[[#This Row],[Location Type 1]]="Temporary Location",WWWW[[#This Row],[Total PoP ]]/50,(WWWW[[#This Row],[Total PoP ]]/6))),0)</f>
        <v>1</v>
      </c>
      <c r="DI462" s="997">
        <f>IF(WWWW[[#This Row],[Total required Latrines]]-(WWWW[[#This Row],['#_Constructed latrines_by_WASHAgencies]]+WWWW[[#This Row],['#_Non Cluster partner latrines]])&lt;0,0,WWWW[[#This Row],[Total required Latrines]]-(WWWW[[#This Row],['#_Constructed latrines_by_WASHAgencies]]+WWWW[[#This Row],['#_Non Cluster partner latrines]]))</f>
        <v>0</v>
      </c>
      <c r="DJ462" s="999">
        <f>1-WWWW[[#This Row],[% people access to functioning Latrine]]</f>
        <v>0</v>
      </c>
      <c r="DK462" s="998">
        <f>IF(OR(WWWW[[#This Row],['#_Non-functional latrines]]="",WWWW[[#This Row],['#_Non-functional latrines]]=0),0,WWWW[[#This Row],['#_Non-functional latrines]]/(WWWW[[#This Row],['#_Constructed latrines_by_WASHAgencies]]+WWWW[[#This Row],['#_Non Cluster partner latrines]]))</f>
        <v>0</v>
      </c>
      <c r="DL462" s="994">
        <f>IF(500*(WWWW[[#This Row],['#_male hygiene promoters]]+WWWW[[#This Row],['#_female hygiene promoters]])&gt;WWWW[[#This Row],[Total PoP ]],WWWW[[#This Row],[Total PoP ]],500*(WWWW[[#This Row],['#_male hygiene promoters]]+WWWW[[#This Row],['#_female hygiene promoters]]))</f>
        <v>24</v>
      </c>
      <c r="DM46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N46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v>
      </c>
      <c r="DO462" s="997">
        <f>IF(WWWW[[#This Row],['# People with access to soap]]&gt;WWWW[[#This Row],['# People with access to Sanity Pads]],WWWW[[#This Row],['# People with access to soap]],WWWW[[#This Row],['# People with access to Sanity Pads]])</f>
        <v>24</v>
      </c>
      <c r="DP462" s="997">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462" s="999">
        <f>IF(WWWW[[#This Row],[HRP3]]/WWWW[[#This Row],[Total PoP ]]&gt;1,1,WWWW[[#This Row],[HRP3]]/WWWW[[#This Row],[Total PoP ]])</f>
        <v>1</v>
      </c>
      <c r="DR462" s="998">
        <f>1-WWWW[[#This Row],[Hygiene Coverage%]]</f>
        <v>0</v>
      </c>
      <c r="DS462" s="996">
        <f>WWWW[[#This Row],['# people reached by regular dedicated hygiene promotion_5]]/WWWW[[#This Row],[Total PoP ]]</f>
        <v>1</v>
      </c>
      <c r="DT46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6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62" s="997">
        <f>WWWW[[#This Row],['#_Constructed/Existing hand washing stations]]-WWWW[[#This Row],['#_Non-Functional_hand_washing_stations]]</f>
        <v>0</v>
      </c>
      <c r="DW462" s="994">
        <f>IF(WWWW[[#This Row],['# Functional hand washing stations during reporting period]]*20&gt;WWWW[[#This Row],[Total HH]],WWWW[[#This Row],[Total HH]],WWWW[[#This Row],['# Functional hand washing stations during reporting period]]*20)</f>
        <v>0</v>
      </c>
      <c r="DX462" s="994">
        <f>IF(WWWW[[#This Row],[Is sufficient soap available for TLS? (Yes/No)]]="yes",WWWW[[#This Row],['#_Constructed/Existing hand washing stations at TLS/CFS/THF]],0)</f>
        <v>0</v>
      </c>
      <c r="DY462" s="428">
        <f>IF(WWWW[[#This Row],['# Functional hand washing stations during reporting period]]*100&gt;WWWW[[#This Row],[Total PoP ]],WWWW[[#This Row],[Total PoP ]],WWWW[[#This Row],['# Functional hand washing stations during reporting period]]*100)</f>
        <v>0</v>
      </c>
      <c r="DZ462" s="428" t="str">
        <f>IF(OR(WWWW[[#This Row],['#_students at TLS_CFS]]="",WWWW[[#This Row],['#_students at TLS_CFS]]=0),"No","Yes")</f>
        <v>No</v>
      </c>
      <c r="EA462" s="631">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46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2" s="990" t="str">
        <f>VLOOKUP(WWWW[[#This Row],[Site Name]],SiteDB6[[Site Name]:[CCCM Management]],6,FALSE)</f>
        <v>Yes</v>
      </c>
      <c r="EF462" s="990" t="str">
        <f>VLOOKUP(WWWW[[#This Row],[Site Name]],SiteDB6[[Site Name]:[CCCM Focal Agency]],7,FALSE)</f>
        <v>Shalom</v>
      </c>
      <c r="EG462" s="990" t="str">
        <f>VLOOKUP(WWWW[[#This Row],[Site Name]],SiteDB6[[Site Name]:[Location Type 1]],9,FALSE)</f>
        <v>Camp</v>
      </c>
      <c r="EH462" s="990" t="str">
        <f>VLOOKUP(WWWW[[#This Row],[Site Name]],SiteDB6[[Site Name]:[Type of Accommodation]],10,FALSE)</f>
        <v>Camp like setting</v>
      </c>
      <c r="EI462" s="990" t="str">
        <f>VLOOKUP(WWWW[[#This Row],[Site Name]],SiteDB6[[Site Name]:[Ethnic or GCA/NGCA]],11,FALSE)</f>
        <v>GCA</v>
      </c>
      <c r="EJ462" s="990">
        <f>VLOOKUP(WWWW[[#This Row],[Site Name]],SiteDB6[[Site Name]:[Lat]],12,FALSE)</f>
        <v>25.582065</v>
      </c>
      <c r="EK462" s="990">
        <f>VLOOKUP(WWWW[[#This Row],[Site Name]],SiteDB6[[Site Name]:[Long]],13,FALSE)</f>
        <v>96.283377000000002</v>
      </c>
      <c r="EL462" s="990" t="str">
        <f>VLOOKUP(WWWW[[#This Row],[Site Name]],SiteDB6[[Site Name]:[Pcode]],3,FALSE)</f>
        <v>MMR001CMP109</v>
      </c>
      <c r="EM462" s="995" t="str">
        <f t="shared" si="9"/>
        <v>Covered</v>
      </c>
      <c r="EN462" s="995"/>
      <c r="EO462" s="990">
        <f>VLOOKUP(WWWW[[#This Row],[Site Name]],SiteDB6[[Site Name]:[Pop
(Kachin/Shan-CCCM as of July 2021)]],16,FALSE)</f>
        <v>5</v>
      </c>
      <c r="EP462" s="990">
        <f>VLOOKUP(WWWW[[#This Row],[Site Name]],SiteDB6[[Site Name]:[Pop
(Kachin/Shan-CCCM as of July 2021)]],17,FALSE)</f>
        <v>24</v>
      </c>
    </row>
    <row r="463" spans="1:146">
      <c r="A463" s="988" t="s">
        <v>2765</v>
      </c>
      <c r="B463" s="988" t="s">
        <v>36</v>
      </c>
      <c r="C463" s="989" t="s">
        <v>36</v>
      </c>
      <c r="D463" s="989" t="s">
        <v>241</v>
      </c>
      <c r="E463" s="989" t="s">
        <v>37</v>
      </c>
      <c r="F463" s="989" t="s">
        <v>142</v>
      </c>
      <c r="G463" s="591" t="str">
        <f>VLOOKUP(WWWW[[#This Row],[Site Name]],SiteDB6[[Site Name]:[Location Type]],8,FALSE)</f>
        <v>Camp</v>
      </c>
      <c r="H463" s="989" t="s">
        <v>3002</v>
      </c>
      <c r="I463" s="991">
        <v>57</v>
      </c>
      <c r="J463" s="991">
        <v>344</v>
      </c>
      <c r="K463" s="992">
        <v>44414</v>
      </c>
      <c r="L463" s="993">
        <v>44778</v>
      </c>
      <c r="M463" s="991"/>
      <c r="N463" s="991">
        <v>3</v>
      </c>
      <c r="O463" s="991"/>
      <c r="P463" s="991"/>
      <c r="Q463" s="994" t="s">
        <v>41</v>
      </c>
      <c r="R463" s="991">
        <v>3</v>
      </c>
      <c r="S463" s="991">
        <v>4</v>
      </c>
      <c r="T463" s="448">
        <v>2</v>
      </c>
      <c r="U463" s="991"/>
      <c r="V463" s="991"/>
      <c r="W463" s="991">
        <v>1</v>
      </c>
      <c r="X463" s="991"/>
      <c r="Y463" s="991"/>
      <c r="Z463" s="991"/>
      <c r="AA463" s="991">
        <v>1</v>
      </c>
      <c r="AB463" s="991"/>
      <c r="AC463" s="991"/>
      <c r="AD463" s="991"/>
      <c r="AE463" s="991"/>
      <c r="AF463" s="991"/>
      <c r="AG463" s="991"/>
      <c r="AH463" s="991"/>
      <c r="AI463" s="991"/>
      <c r="AJ463" s="991"/>
      <c r="AK463" s="991"/>
      <c r="AL463" s="991"/>
      <c r="AM463" s="991">
        <v>4</v>
      </c>
      <c r="AN463" s="991"/>
      <c r="AO463" s="448"/>
      <c r="AP463" s="995"/>
      <c r="AQ463" s="991">
        <v>98</v>
      </c>
      <c r="AR463" s="991"/>
      <c r="AS463" s="996"/>
      <c r="AT463" s="991"/>
      <c r="AU463" s="991"/>
      <c r="AV463" s="991"/>
      <c r="AW463" s="991"/>
      <c r="AX463" s="991"/>
      <c r="AY463" s="990" t="s">
        <v>41</v>
      </c>
      <c r="AZ463" s="995" t="s">
        <v>137</v>
      </c>
      <c r="BA463" s="991">
        <v>3</v>
      </c>
      <c r="BB463" s="991"/>
      <c r="BC463" s="991"/>
      <c r="BD463" s="448"/>
      <c r="BE463" s="448"/>
      <c r="BF463" s="990"/>
      <c r="BG463" s="991">
        <v>1</v>
      </c>
      <c r="BH463" s="991"/>
      <c r="BI463" s="991"/>
      <c r="BJ463" s="991">
        <v>4</v>
      </c>
      <c r="BK463" s="991"/>
      <c r="BL463" s="991"/>
      <c r="BM463" s="991">
        <v>1</v>
      </c>
      <c r="BN463" s="991"/>
      <c r="BO463" s="991"/>
      <c r="BP463" s="990" t="s">
        <v>41</v>
      </c>
      <c r="BQ463" s="997"/>
      <c r="BR463" s="996"/>
      <c r="BS463" s="990"/>
      <c r="BT463" s="423"/>
      <c r="BU463" s="423"/>
      <c r="BV463" s="425"/>
      <c r="BW463" s="423"/>
      <c r="BX463" s="448"/>
      <c r="BY463" s="448"/>
      <c r="BZ463" s="448"/>
      <c r="CA463" s="448"/>
      <c r="CB463" s="448"/>
      <c r="CC463" s="777"/>
      <c r="CD463" s="448"/>
      <c r="CE463" s="998" t="str">
        <f>IFERROR(WWWW[[#This Row],['#_Water sources passed]]/WWWW[[#This Row],['#_Water sources tested for fecal coliform ]],"no test")</f>
        <v>no test</v>
      </c>
      <c r="CF463" s="996" t="str">
        <f>IFERROR(WWWW[[#This Row],['#_Household passed]]/WWWW[[#This Row],['#_Household water samples tested for fecal coliform]],"no test")</f>
        <v>no test</v>
      </c>
      <c r="CG463" s="997" t="str">
        <f>IF(AND(WWWW[[#This Row],[% of water sources passed]]="no test",WWWW[[#This Row],[% Household passed]]="no test"),"No Test","Tested")</f>
        <v>No Test</v>
      </c>
      <c r="CH463" s="997">
        <f>WWWW[[#This Row],['#_Constructed/existing protected hand dug well]]-WWWW[[#This Row],['#_Non-functional protected hand dug well]]</f>
        <v>2</v>
      </c>
      <c r="CI463" s="997">
        <f>(WWWW[[#This Row],['#_Constructed/Existing tube wells/boreholes/handpumps_WASH_agency]]+WWWW[[#This Row],['#_Non-Cluster partner water tube-wells/boreholes/handpumps]])-WWWW[[#This Row],['#_Non-functional tube wells/boreholes/handpumps]]</f>
        <v>1</v>
      </c>
      <c r="CJ463" s="997">
        <f>WWWW[[#This Row],['#_Constructed/Existingwater storage tank with gravity fed reticulation system]]-WWWW[[#This Row],['#_Non-functional storage tank gravity fed reticulation system]]</f>
        <v>1</v>
      </c>
      <c r="CK463" s="997">
        <f>(WWWW[[#This Row],['#_Water_Liters_supplied_by_Water boating or water trucking]]/90)/15</f>
        <v>0</v>
      </c>
      <c r="CL463" s="997">
        <f>WWWW[[#This Row],['#_Water_Liters_from_Constructed/Existing water distribution system from river or natural spring]]/90/15</f>
        <v>0</v>
      </c>
      <c r="CM463" s="424">
        <f>IF(WWWW[[#This Row],['#_of water points in TLS/CFS]]*500&gt;WWWW[[#This Row],[Total PoP ]],WWWW[[#This Row],[Total PoP ]],WWWW[[#This Row],['#_of water points in TLS/CFS]]*500)</f>
        <v>0</v>
      </c>
      <c r="CN463" s="424">
        <f>IF(WWWW[[#This Row],['#_of water points in THF]]*500&gt;WWWW[[#This Row],[Total PoP ]],WWWW[[#This Row],[Total PoP ]],WWWW[[#This Row],['#_of water points in THF]]*500)</f>
        <v>0</v>
      </c>
      <c r="CO46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6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63" s="996">
        <f>IF(WWWW[[#This Row],[Location Type 1]]="Village",WWWW[[#This Row],[Access to safe drinking water for Village]],WWWW[[#This Row],[Access to safe drinking water for Camp]])</f>
        <v>1</v>
      </c>
      <c r="CR463" s="994">
        <f>WWWW[[#This Row],[%Equitable and continuous access to sufficient quantity of safe drinking water]]*WWWW[[#This Row],[Total PoP ]]</f>
        <v>344</v>
      </c>
      <c r="CS463" s="996">
        <f>IF((WWWW[[#This Row],['#_Constructed/Existing protected/fenced ponds]]*250)/WWWW[[#This Row],[Total PoP ]]&gt;1,1,(WWWW[[#This Row],['#_Constructed/Existing protected/fenced ponds]]*250)/WWWW[[#This Row],[Total PoP ]])</f>
        <v>0</v>
      </c>
      <c r="CT463" s="994">
        <f>WWWW[[#This Row],[% Access to unimproved water points]]*WWWW[[#This Row],[Total PoP ]]</f>
        <v>0</v>
      </c>
      <c r="CU46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6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344</v>
      </c>
      <c r="CW463" s="994">
        <f>WWWW[[#This Row],[HRP1]]/500</f>
        <v>0.68799999999999994</v>
      </c>
      <c r="CX463" s="999">
        <f>1-WWWW[[#This Row],[% Equitable and continuous access to sufficient quantity of domestic water]]</f>
        <v>0</v>
      </c>
      <c r="CY463" s="994">
        <f>WWWW[[#This Row],[%equitable and continuous access to sufficient quantity of safe drinking and domestic water''s GAP]]*WWWW[[#This Row],[Total PoP ]]</f>
        <v>0</v>
      </c>
      <c r="CZ463" s="997">
        <f>IF(WWWW[[#This Row],[Total required water points]]-WWWW[[#This Row],['#Water points coverage]]&lt;0,0,WWWW[[#This Row],[Total required water points]]-WWWW[[#This Row],['#Water points coverage]])</f>
        <v>0.31200000000000006</v>
      </c>
      <c r="DA463" s="997">
        <f>ROUND(IF(WWWW[[#This Row],[Total PoP ]]&lt;500,1,WWWW[[#This Row],[Total PoP ]]/500),0)</f>
        <v>1</v>
      </c>
      <c r="DB463" s="997">
        <f>(WWWW[[#This Row],['#_Constructed latrines_by_WASHAgencies]]+WWWW[[#This Row],['#_Non Cluster partner latrines]])-WWWW[[#This Row],['#_Non-functional latrines]]</f>
        <v>98</v>
      </c>
      <c r="DC463" s="631">
        <f>WWWW[[#This Row],[HRP2]]/WWWW[[#This Row],[Total PoP ]]</f>
        <v>1</v>
      </c>
      <c r="DD46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344</v>
      </c>
      <c r="DE46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6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3" s="424">
        <f>IF(WWWW[[#This Row],['# of functional latrines in THF supported by WASH partners during the reporting period2]]="",0,WWWW[[#This Row],['# of functional latrines in THF supported by WASH partners during the reporting period2]]*50)</f>
        <v>0</v>
      </c>
      <c r="DH463" s="997">
        <f>ROUND(IF(WWWW[[#This Row],[Location Type 1]]="camp",WWWW[[#This Row],[Total PoP ]]/20,IF(WWWW[[#This Row],[Location Type 1]]="Temporary Location",WWWW[[#This Row],[Total PoP ]]/50,(WWWW[[#This Row],[Total PoP ]]/6))),0)</f>
        <v>17</v>
      </c>
      <c r="DI463" s="997">
        <f>IF(WWWW[[#This Row],[Total required Latrines]]-(WWWW[[#This Row],['#_Constructed latrines_by_WASHAgencies]]+WWWW[[#This Row],['#_Non Cluster partner latrines]])&lt;0,0,WWWW[[#This Row],[Total required Latrines]]-(WWWW[[#This Row],['#_Constructed latrines_by_WASHAgencies]]+WWWW[[#This Row],['#_Non Cluster partner latrines]]))</f>
        <v>0</v>
      </c>
      <c r="DJ463" s="999">
        <f>1-WWWW[[#This Row],[% people access to functioning Latrine]]</f>
        <v>0</v>
      </c>
      <c r="DK463" s="998">
        <f>IF(OR(WWWW[[#This Row],['#_Non-functional latrines]]="",WWWW[[#This Row],['#_Non-functional latrines]]=0),0,WWWW[[#This Row],['#_Non-functional latrines]]/(WWWW[[#This Row],['#_Constructed latrines_by_WASHAgencies]]+WWWW[[#This Row],['#_Non Cluster partner latrines]]))</f>
        <v>0</v>
      </c>
      <c r="DL463" s="994">
        <f>IF(500*(WWWW[[#This Row],['#_male hygiene promoters]]+WWWW[[#This Row],['#_female hygiene promoters]])&gt;WWWW[[#This Row],[Total PoP ]],WWWW[[#This Row],[Total PoP ]],500*(WWWW[[#This Row],['#_male hygiene promoters]]+WWWW[[#This Row],['#_female hygiene promoters]]))</f>
        <v>344</v>
      </c>
      <c r="DM46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6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63" s="997">
        <f>IF(WWWW[[#This Row],['# People with access to soap]]&gt;WWWW[[#This Row],['# People with access to Sanity Pads]],WWWW[[#This Row],['# People with access to soap]],WWWW[[#This Row],['# People with access to Sanity Pads]])</f>
        <v>0</v>
      </c>
      <c r="DP463" s="997">
        <f>IF(WWWW[[#This Row],['# people reached by regular dedicated hygiene promotion_5]]&gt;WWWW[[#This Row],['# People received regular supply of hygiene items_6]],WWWW[[#This Row],['# people reached by regular dedicated hygiene promotion_5]],WWWW[[#This Row],['# People received regular supply of hygiene items_6]])</f>
        <v>344</v>
      </c>
      <c r="DQ463" s="999">
        <f>IF(WWWW[[#This Row],[HRP3]]/WWWW[[#This Row],[Total PoP ]]&gt;1,1,WWWW[[#This Row],[HRP3]]/WWWW[[#This Row],[Total PoP ]])</f>
        <v>1</v>
      </c>
      <c r="DR463" s="998">
        <f>1-WWWW[[#This Row],[Hygiene Coverage%]]</f>
        <v>0</v>
      </c>
      <c r="DS463" s="996">
        <f>WWWW[[#This Row],['# people reached by regular dedicated hygiene promotion_5]]/WWWW[[#This Row],[Total PoP ]]</f>
        <v>1</v>
      </c>
      <c r="DT46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6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63" s="997">
        <f>WWWW[[#This Row],['#_Constructed/Existing hand washing stations]]-WWWW[[#This Row],['#_Non-Functional_hand_washing_stations]]</f>
        <v>1</v>
      </c>
      <c r="DW463" s="994">
        <f>IF(WWWW[[#This Row],['# Functional hand washing stations during reporting period]]*20&gt;WWWW[[#This Row],[Total HH]],WWWW[[#This Row],[Total HH]],WWWW[[#This Row],['# Functional hand washing stations during reporting period]]*20)</f>
        <v>20</v>
      </c>
      <c r="DX463" s="994">
        <f>IF(WWWW[[#This Row],[Is sufficient soap available for TLS? (Yes/No)]]="yes",WWWW[[#This Row],['#_Constructed/Existing hand washing stations at TLS/CFS/THF]],0)</f>
        <v>4</v>
      </c>
      <c r="DY463" s="428">
        <f>IF(WWWW[[#This Row],['# Functional hand washing stations during reporting period]]*100&gt;WWWW[[#This Row],[Total PoP ]],WWWW[[#This Row],[Total PoP ]],WWWW[[#This Row],['# Functional hand washing stations during reporting period]]*100)</f>
        <v>100</v>
      </c>
      <c r="DZ463" s="428" t="str">
        <f>IF(OR(WWWW[[#This Row],['#_students at TLS_CFS]]="",WWWW[[#This Row],['#_students at TLS_CFS]]=0),"No","Yes")</f>
        <v>No</v>
      </c>
      <c r="EA46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3" s="990">
        <f>VLOOKUP(WWWW[[#This Row],[Site Name]],SiteDB6[[Site Name]:[CCCM Management]],6,FALSE)</f>
        <v>0</v>
      </c>
      <c r="EF463" s="990">
        <f>VLOOKUP(WWWW[[#This Row],[Site Name]],SiteDB6[[Site Name]:[CCCM Focal Agency]],7,FALSE)</f>
        <v>0</v>
      </c>
      <c r="EG463" s="990" t="str">
        <f>VLOOKUP(WWWW[[#This Row],[Site Name]],SiteDB6[[Site Name]:[Location Type 1]],9,FALSE)</f>
        <v>Camp</v>
      </c>
      <c r="EH463" s="990" t="str">
        <f>VLOOKUP(WWWW[[#This Row],[Site Name]],SiteDB6[[Site Name]:[Type of Accommodation]],10,FALSE)</f>
        <v>Camp</v>
      </c>
      <c r="EI463" s="990" t="str">
        <f>VLOOKUP(WWWW[[#This Row],[Site Name]],SiteDB6[[Site Name]:[Ethnic or GCA/NGCA]],11,FALSE)</f>
        <v>GCA</v>
      </c>
      <c r="EJ463" s="990">
        <f>VLOOKUP(WWWW[[#This Row],[Site Name]],SiteDB6[[Site Name]:[Lat]],12,FALSE)</f>
        <v>25.428995</v>
      </c>
      <c r="EK463" s="990">
        <f>VLOOKUP(WWWW[[#This Row],[Site Name]],SiteDB6[[Site Name]:[Long]],13,FALSE)</f>
        <v>97.957487999999998</v>
      </c>
      <c r="EL463" s="990" t="str">
        <f>VLOOKUP(WWWW[[#This Row],[Site Name]],SiteDB6[[Site Name]:[Pcode]],3,FALSE)</f>
        <v>MMR001CMP279</v>
      </c>
      <c r="EM463" s="995" t="str">
        <f t="shared" si="9"/>
        <v>Covered</v>
      </c>
      <c r="EN463" s="995"/>
      <c r="EO463" s="990">
        <f>VLOOKUP(WWWW[[#This Row],[Site Name]],SiteDB6[[Site Name]:[Pop
(Kachin/Shan-CCCM as of July 2021)]],16,FALSE)</f>
        <v>55</v>
      </c>
      <c r="EP463" s="990">
        <f>VLOOKUP(WWWW[[#This Row],[Site Name]],SiteDB6[[Site Name]:[Pop
(Kachin/Shan-CCCM as of July 2021)]],17,FALSE)</f>
        <v>320</v>
      </c>
    </row>
    <row r="464" spans="1:146">
      <c r="A464" s="988" t="s">
        <v>2765</v>
      </c>
      <c r="B464" s="988" t="s">
        <v>309</v>
      </c>
      <c r="C464" s="989" t="s">
        <v>309</v>
      </c>
      <c r="D464" s="989"/>
      <c r="E464" s="989" t="s">
        <v>37</v>
      </c>
      <c r="F464" s="989" t="s">
        <v>142</v>
      </c>
      <c r="G464" s="591" t="str">
        <f>VLOOKUP(WWWW[[#This Row],[Site Name]],SiteDB6[[Site Name]:[Location Type]],8,FALSE)</f>
        <v>Camp</v>
      </c>
      <c r="H464" s="989" t="s">
        <v>2774</v>
      </c>
      <c r="I464" s="991">
        <v>12</v>
      </c>
      <c r="J464" s="991">
        <v>80</v>
      </c>
      <c r="K464" s="992"/>
      <c r="L464" s="993"/>
      <c r="M464" s="991"/>
      <c r="N464" s="991"/>
      <c r="O464" s="991"/>
      <c r="P464" s="991"/>
      <c r="Q464" s="994"/>
      <c r="R464" s="991"/>
      <c r="S464" s="991"/>
      <c r="T464" s="448"/>
      <c r="U464" s="991"/>
      <c r="V464" s="991"/>
      <c r="W464" s="991"/>
      <c r="X464" s="991"/>
      <c r="Y464" s="991"/>
      <c r="Z464" s="991"/>
      <c r="AA464" s="991"/>
      <c r="AB464" s="991"/>
      <c r="AC464" s="991"/>
      <c r="AD464" s="991"/>
      <c r="AE464" s="991"/>
      <c r="AF464" s="991"/>
      <c r="AG464" s="991"/>
      <c r="AH464" s="991"/>
      <c r="AI464" s="991"/>
      <c r="AJ464" s="991"/>
      <c r="AK464" s="991"/>
      <c r="AL464" s="991"/>
      <c r="AM464" s="991"/>
      <c r="AN464" s="991"/>
      <c r="AO464" s="448"/>
      <c r="AP464" s="995"/>
      <c r="AQ464" s="991"/>
      <c r="AR464" s="991"/>
      <c r="AS464" s="996"/>
      <c r="AT464" s="991"/>
      <c r="AU464" s="991"/>
      <c r="AV464" s="991"/>
      <c r="AW464" s="991"/>
      <c r="AX464" s="991"/>
      <c r="AY464" s="990" t="s">
        <v>140</v>
      </c>
      <c r="AZ464" s="995" t="s">
        <v>140</v>
      </c>
      <c r="BA464" s="991"/>
      <c r="BB464" s="991"/>
      <c r="BC464" s="991"/>
      <c r="BD464" s="448"/>
      <c r="BE464" s="448"/>
      <c r="BF464" s="990"/>
      <c r="BG464" s="991">
        <v>7</v>
      </c>
      <c r="BH464" s="991"/>
      <c r="BI464" s="991"/>
      <c r="BJ464" s="991">
        <v>4</v>
      </c>
      <c r="BK464" s="991"/>
      <c r="BL464" s="991"/>
      <c r="BM464" s="991"/>
      <c r="BN464" s="991"/>
      <c r="BO464" s="991"/>
      <c r="BP464" s="990"/>
      <c r="BQ464" s="997"/>
      <c r="BR464" s="996"/>
      <c r="BS464" s="990"/>
      <c r="BT464" s="423"/>
      <c r="BU464" s="423"/>
      <c r="BV464" s="425"/>
      <c r="BW464" s="423"/>
      <c r="BX464" s="448"/>
      <c r="BY464" s="448"/>
      <c r="BZ464" s="448"/>
      <c r="CA464" s="448"/>
      <c r="CB464" s="448"/>
      <c r="CC464" s="777"/>
      <c r="CD464" s="448"/>
      <c r="CE464" s="998" t="str">
        <f>IFERROR(WWWW[[#This Row],['#_Water sources passed]]/WWWW[[#This Row],['#_Water sources tested for fecal coliform ]],"no test")</f>
        <v>no test</v>
      </c>
      <c r="CF464" s="996" t="str">
        <f>IFERROR(WWWW[[#This Row],['#_Household passed]]/WWWW[[#This Row],['#_Household water samples tested for fecal coliform]],"no test")</f>
        <v>no test</v>
      </c>
      <c r="CG464" s="997" t="str">
        <f>IF(AND(WWWW[[#This Row],[% of water sources passed]]="no test",WWWW[[#This Row],[% Household passed]]="no test"),"No Test","Tested")</f>
        <v>No Test</v>
      </c>
      <c r="CH464" s="997">
        <f>WWWW[[#This Row],['#_Constructed/existing protected hand dug well]]-WWWW[[#This Row],['#_Non-functional protected hand dug well]]</f>
        <v>0</v>
      </c>
      <c r="CI464" s="997">
        <f>(WWWW[[#This Row],['#_Constructed/Existing tube wells/boreholes/handpumps_WASH_agency]]+WWWW[[#This Row],['#_Non-Cluster partner water tube-wells/boreholes/handpumps]])-WWWW[[#This Row],['#_Non-functional tube wells/boreholes/handpumps]]</f>
        <v>0</v>
      </c>
      <c r="CJ464" s="997">
        <f>WWWW[[#This Row],['#_Constructed/Existingwater storage tank with gravity fed reticulation system]]-WWWW[[#This Row],['#_Non-functional storage tank gravity fed reticulation system]]</f>
        <v>0</v>
      </c>
      <c r="CK464" s="997">
        <f>(WWWW[[#This Row],['#_Water_Liters_supplied_by_Water boating or water trucking]]/90)/15</f>
        <v>0</v>
      </c>
      <c r="CL464" s="997">
        <f>WWWW[[#This Row],['#_Water_Liters_from_Constructed/Existing water distribution system from river or natural spring]]/90/15</f>
        <v>0</v>
      </c>
      <c r="CM464" s="424">
        <f>IF(WWWW[[#This Row],['#_of water points in TLS/CFS]]*500&gt;WWWW[[#This Row],[Total PoP ]],WWWW[[#This Row],[Total PoP ]],WWWW[[#This Row],['#_of water points in TLS/CFS]]*500)</f>
        <v>0</v>
      </c>
      <c r="CN464" s="424">
        <f>IF(WWWW[[#This Row],['#_of water points in THF]]*500&gt;WWWW[[#This Row],[Total PoP ]],WWWW[[#This Row],[Total PoP ]],WWWW[[#This Row],['#_of water points in THF]]*500)</f>
        <v>0</v>
      </c>
      <c r="CO46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6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64" s="996">
        <f>IF(WWWW[[#This Row],[Location Type 1]]="Village",WWWW[[#This Row],[Access to safe drinking water for Village]],WWWW[[#This Row],[Access to safe drinking water for Camp]])</f>
        <v>0</v>
      </c>
      <c r="CR464" s="994">
        <f>WWWW[[#This Row],[%Equitable and continuous access to sufficient quantity of safe drinking water]]*WWWW[[#This Row],[Total PoP ]]</f>
        <v>0</v>
      </c>
      <c r="CS464" s="996">
        <f>IF((WWWW[[#This Row],['#_Constructed/Existing protected/fenced ponds]]*250)/WWWW[[#This Row],[Total PoP ]]&gt;1,1,(WWWW[[#This Row],['#_Constructed/Existing protected/fenced ponds]]*250)/WWWW[[#This Row],[Total PoP ]])</f>
        <v>0</v>
      </c>
      <c r="CT464" s="994">
        <f>WWWW[[#This Row],[% Access to unimproved water points]]*WWWW[[#This Row],[Total PoP ]]</f>
        <v>0</v>
      </c>
      <c r="CU46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6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64" s="994">
        <f>WWWW[[#This Row],[HRP1]]/500</f>
        <v>0</v>
      </c>
      <c r="CX464" s="999">
        <f>1-WWWW[[#This Row],[% Equitable and continuous access to sufficient quantity of domestic water]]</f>
        <v>1</v>
      </c>
      <c r="CY464" s="994">
        <f>WWWW[[#This Row],[%equitable and continuous access to sufficient quantity of safe drinking and domestic water''s GAP]]*WWWW[[#This Row],[Total PoP ]]</f>
        <v>80</v>
      </c>
      <c r="CZ464" s="997">
        <f>IF(WWWW[[#This Row],[Total required water points]]-WWWW[[#This Row],['#Water points coverage]]&lt;0,0,WWWW[[#This Row],[Total required water points]]-WWWW[[#This Row],['#Water points coverage]])</f>
        <v>1</v>
      </c>
      <c r="DA464" s="997">
        <f>ROUND(IF(WWWW[[#This Row],[Total PoP ]]&lt;500,1,WWWW[[#This Row],[Total PoP ]]/500),0)</f>
        <v>1</v>
      </c>
      <c r="DB464" s="997">
        <f>(WWWW[[#This Row],['#_Constructed latrines_by_WASHAgencies]]+WWWW[[#This Row],['#_Non Cluster partner latrines]])-WWWW[[#This Row],['#_Non-functional latrines]]</f>
        <v>0</v>
      </c>
      <c r="DC464" s="631">
        <f>WWWW[[#This Row],[HRP2]]/WWWW[[#This Row],[Total PoP ]]</f>
        <v>0</v>
      </c>
      <c r="DD46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6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6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4" s="424">
        <f>IF(WWWW[[#This Row],['# of functional latrines in THF supported by WASH partners during the reporting period2]]="",0,WWWW[[#This Row],['# of functional latrines in THF supported by WASH partners during the reporting period2]]*50)</f>
        <v>0</v>
      </c>
      <c r="DH464" s="997">
        <f>ROUND(IF(WWWW[[#This Row],[Location Type 1]]="camp",WWWW[[#This Row],[Total PoP ]]/20,IF(WWWW[[#This Row],[Location Type 1]]="Temporary Location",WWWW[[#This Row],[Total PoP ]]/50,(WWWW[[#This Row],[Total PoP ]]/6))),0)</f>
        <v>4</v>
      </c>
      <c r="DI464" s="997">
        <f>IF(WWWW[[#This Row],[Total required Latrines]]-(WWWW[[#This Row],['#_Constructed latrines_by_WASHAgencies]]+WWWW[[#This Row],['#_Non Cluster partner latrines]])&lt;0,0,WWWW[[#This Row],[Total required Latrines]]-(WWWW[[#This Row],['#_Constructed latrines_by_WASHAgencies]]+WWWW[[#This Row],['#_Non Cluster partner latrines]]))</f>
        <v>4</v>
      </c>
      <c r="DJ464" s="999">
        <f>1-WWWW[[#This Row],[% people access to functioning Latrine]]</f>
        <v>1</v>
      </c>
      <c r="DK464" s="998">
        <f>IF(OR(WWWW[[#This Row],['#_Non-functional latrines]]="",WWWW[[#This Row],['#_Non-functional latrines]]=0),0,WWWW[[#This Row],['#_Non-functional latrines]]/(WWWW[[#This Row],['#_Constructed latrines_by_WASHAgencies]]+WWWW[[#This Row],['#_Non Cluster partner latrines]]))</f>
        <v>0</v>
      </c>
      <c r="DL464" s="994">
        <f>IF(500*(WWWW[[#This Row],['#_male hygiene promoters]]+WWWW[[#This Row],['#_female hygiene promoters]])&gt;WWWW[[#This Row],[Total PoP ]],WWWW[[#This Row],[Total PoP ]],500*(WWWW[[#This Row],['#_male hygiene promoters]]+WWWW[[#This Row],['#_female hygiene promoters]]))</f>
        <v>0</v>
      </c>
      <c r="DM46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6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64" s="997">
        <f>IF(WWWW[[#This Row],['# People with access to soap]]&gt;WWWW[[#This Row],['# People with access to Sanity Pads]],WWWW[[#This Row],['# People with access to soap]],WWWW[[#This Row],['# People with access to Sanity Pads]])</f>
        <v>0</v>
      </c>
      <c r="DP464"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64" s="999">
        <f>IF(WWWW[[#This Row],[HRP3]]/WWWW[[#This Row],[Total PoP ]]&gt;1,1,WWWW[[#This Row],[HRP3]]/WWWW[[#This Row],[Total PoP ]])</f>
        <v>0</v>
      </c>
      <c r="DR464" s="998">
        <f>1-WWWW[[#This Row],[Hygiene Coverage%]]</f>
        <v>1</v>
      </c>
      <c r="DS464" s="996">
        <f>WWWW[[#This Row],['# people reached by regular dedicated hygiene promotion_5]]/WWWW[[#This Row],[Total PoP ]]</f>
        <v>0</v>
      </c>
      <c r="DT46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6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64" s="997">
        <f>WWWW[[#This Row],['#_Constructed/Existing hand washing stations]]-WWWW[[#This Row],['#_Non-Functional_hand_washing_stations]]</f>
        <v>7</v>
      </c>
      <c r="DW464" s="994">
        <f>IF(WWWW[[#This Row],['# Functional hand washing stations during reporting period]]*20&gt;WWWW[[#This Row],[Total HH]],WWWW[[#This Row],[Total HH]],WWWW[[#This Row],['# Functional hand washing stations during reporting period]]*20)</f>
        <v>12</v>
      </c>
      <c r="DX464" s="994">
        <f>IF(WWWW[[#This Row],[Is sufficient soap available for TLS? (Yes/No)]]="yes",WWWW[[#This Row],['#_Constructed/Existing hand washing stations at TLS/CFS/THF]],0)</f>
        <v>0</v>
      </c>
      <c r="DY464" s="428">
        <f>IF(WWWW[[#This Row],['# Functional hand washing stations during reporting period]]*100&gt;WWWW[[#This Row],[Total PoP ]],WWWW[[#This Row],[Total PoP ]],WWWW[[#This Row],['# Functional hand washing stations during reporting period]]*100)</f>
        <v>80</v>
      </c>
      <c r="DZ464" s="428" t="str">
        <f>IF(OR(WWWW[[#This Row],['#_students at TLS_CFS]]="",WWWW[[#This Row],['#_students at TLS_CFS]]=0),"No","Yes")</f>
        <v>No</v>
      </c>
      <c r="EA46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4" s="990" t="str">
        <f>VLOOKUP(WWWW[[#This Row],[Site Name]],SiteDB6[[Site Name]:[CCCM Management]],6,FALSE)</f>
        <v>Yes</v>
      </c>
      <c r="EF464" s="990" t="str">
        <f>VLOOKUP(WWWW[[#This Row],[Site Name]],SiteDB6[[Site Name]:[CCCM Focal Agency]],7,FALSE)</f>
        <v>Shalom</v>
      </c>
      <c r="EG464" s="990" t="str">
        <f>VLOOKUP(WWWW[[#This Row],[Site Name]],SiteDB6[[Site Name]:[Location Type 1]],9,FALSE)</f>
        <v>Camp</v>
      </c>
      <c r="EH464" s="990" t="str">
        <f>VLOOKUP(WWWW[[#This Row],[Site Name]],SiteDB6[[Site Name]:[Type of Accommodation]],10,FALSE)</f>
        <v>Camp like setting</v>
      </c>
      <c r="EI464" s="990" t="str">
        <f>VLOOKUP(WWWW[[#This Row],[Site Name]],SiteDB6[[Site Name]:[Ethnic or GCA/NGCA]],11,FALSE)</f>
        <v>GCA</v>
      </c>
      <c r="EJ464" s="990">
        <f>VLOOKUP(WWWW[[#This Row],[Site Name]],SiteDB6[[Site Name]:[Lat]],12,FALSE)</f>
        <v>25.221299999999999</v>
      </c>
      <c r="EK464" s="990">
        <f>VLOOKUP(WWWW[[#This Row],[Site Name]],SiteDB6[[Site Name]:[Long]],13,FALSE)</f>
        <v>97.255300000000005</v>
      </c>
      <c r="EL464" s="990" t="str">
        <f>VLOOKUP(WWWW[[#This Row],[Site Name]],SiteDB6[[Site Name]:[Pcode]],3,FALSE)</f>
        <v>MMR001CMP286</v>
      </c>
      <c r="EM464" s="995" t="str">
        <f t="shared" si="9"/>
        <v>Notcovered</v>
      </c>
      <c r="EN464" s="995"/>
      <c r="EO464" s="990">
        <f>VLOOKUP(WWWW[[#This Row],[Site Name]],SiteDB6[[Site Name]:[Pop
(Kachin/Shan-CCCM as of July 2021)]],16,FALSE)</f>
        <v>12</v>
      </c>
      <c r="EP464" s="990">
        <f>VLOOKUP(WWWW[[#This Row],[Site Name]],SiteDB6[[Site Name]:[Pop
(Kachin/Shan-CCCM as of July 2021)]],17,FALSE)</f>
        <v>80</v>
      </c>
    </row>
    <row r="465" spans="1:146">
      <c r="A465" s="988" t="s">
        <v>2765</v>
      </c>
      <c r="B465" s="988" t="s">
        <v>276</v>
      </c>
      <c r="C465" s="989" t="s">
        <v>276</v>
      </c>
      <c r="D465" s="989" t="s">
        <v>3037</v>
      </c>
      <c r="E465" s="989" t="s">
        <v>37</v>
      </c>
      <c r="F465" s="989" t="s">
        <v>205</v>
      </c>
      <c r="G465" s="591" t="str">
        <f>VLOOKUP(WWWW[[#This Row],[Site Name]],SiteDB6[[Site Name]:[Location Type]],8,FALSE)</f>
        <v>Camp_not registered</v>
      </c>
      <c r="H465" s="989" t="s">
        <v>287</v>
      </c>
      <c r="I465" s="991">
        <v>114</v>
      </c>
      <c r="J465" s="991">
        <v>586</v>
      </c>
      <c r="K465" s="992">
        <v>44652</v>
      </c>
      <c r="L465" s="993">
        <v>44895</v>
      </c>
      <c r="M465" s="991"/>
      <c r="N465" s="991"/>
      <c r="O465" s="991">
        <v>2</v>
      </c>
      <c r="P465" s="991"/>
      <c r="Q465" s="994" t="s">
        <v>41</v>
      </c>
      <c r="R465" s="991">
        <v>4</v>
      </c>
      <c r="S465" s="991">
        <v>3</v>
      </c>
      <c r="T465" s="448">
        <v>1</v>
      </c>
      <c r="U465" s="991"/>
      <c r="V465" s="991"/>
      <c r="W465" s="991">
        <v>1</v>
      </c>
      <c r="X465" s="991"/>
      <c r="Y465" s="991"/>
      <c r="Z465" s="991">
        <v>1</v>
      </c>
      <c r="AA465" s="991"/>
      <c r="AB465" s="991"/>
      <c r="AC465" s="991"/>
      <c r="AD465" s="991"/>
      <c r="AE465" s="991"/>
      <c r="AF465" s="991"/>
      <c r="AG465" s="991">
        <v>1</v>
      </c>
      <c r="AH465" s="991"/>
      <c r="AI465" s="991">
        <v>2</v>
      </c>
      <c r="AJ465" s="991">
        <v>2</v>
      </c>
      <c r="AK465" s="991">
        <v>15</v>
      </c>
      <c r="AL465" s="991">
        <v>12</v>
      </c>
      <c r="AM465" s="991"/>
      <c r="AN465" s="991"/>
      <c r="AO465" s="448"/>
      <c r="AP465" s="995"/>
      <c r="AQ465" s="991">
        <v>28</v>
      </c>
      <c r="AR465" s="991"/>
      <c r="AS465" s="996"/>
      <c r="AT465" s="991"/>
      <c r="AU465" s="991">
        <v>3</v>
      </c>
      <c r="AV465" s="991">
        <v>28</v>
      </c>
      <c r="AW465" s="991">
        <v>50</v>
      </c>
      <c r="AX465" s="991"/>
      <c r="AY465" s="990" t="s">
        <v>41</v>
      </c>
      <c r="AZ465" s="995" t="s">
        <v>137</v>
      </c>
      <c r="BA465" s="991"/>
      <c r="BB465" s="991">
        <v>1</v>
      </c>
      <c r="BC465" s="991"/>
      <c r="BD465" s="448"/>
      <c r="BE465" s="448">
        <v>3</v>
      </c>
      <c r="BF465" s="990"/>
      <c r="BG465" s="991">
        <v>8</v>
      </c>
      <c r="BH465" s="991"/>
      <c r="BI465" s="991"/>
      <c r="BJ465" s="991">
        <v>4</v>
      </c>
      <c r="BK465" s="991"/>
      <c r="BL465" s="991"/>
      <c r="BM465" s="991">
        <v>2</v>
      </c>
      <c r="BN465" s="991"/>
      <c r="BO465" s="991">
        <v>151</v>
      </c>
      <c r="BP465" s="990"/>
      <c r="BQ465" s="997"/>
      <c r="BR465" s="996"/>
      <c r="BS465" s="990"/>
      <c r="BT465" s="423"/>
      <c r="BU465" s="423"/>
      <c r="BV465" s="425"/>
      <c r="BW465" s="423"/>
      <c r="BX465" s="448"/>
      <c r="BY465" s="448"/>
      <c r="BZ465" s="448"/>
      <c r="CA465" s="448"/>
      <c r="CB465" s="448"/>
      <c r="CC465" s="777"/>
      <c r="CD465" s="448"/>
      <c r="CE465" s="998">
        <f>IFERROR(WWWW[[#This Row],['#_Water sources passed]]/WWWW[[#This Row],['#_Water sources tested for fecal coliform ]],"no test")</f>
        <v>1</v>
      </c>
      <c r="CF465" s="996">
        <f>IFERROR(WWWW[[#This Row],['#_Household passed]]/WWWW[[#This Row],['#_Household water samples tested for fecal coliform]],"no test")</f>
        <v>0.8</v>
      </c>
      <c r="CG465" s="997" t="str">
        <f>IF(AND(WWWW[[#This Row],[% of water sources passed]]="no test",WWWW[[#This Row],[% Household passed]]="no test"),"No Test","Tested")</f>
        <v>Tested</v>
      </c>
      <c r="CH465" s="997">
        <f>WWWW[[#This Row],['#_Constructed/existing protected hand dug well]]-WWWW[[#This Row],['#_Non-functional protected hand dug well]]</f>
        <v>1</v>
      </c>
      <c r="CI465" s="997">
        <f>(WWWW[[#This Row],['#_Constructed/Existing tube wells/boreholes/handpumps_WASH_agency]]+WWWW[[#This Row],['#_Non-Cluster partner water tube-wells/boreholes/handpumps]])-WWWW[[#This Row],['#_Non-functional tube wells/boreholes/handpumps]]</f>
        <v>1</v>
      </c>
      <c r="CJ465" s="997">
        <f>WWWW[[#This Row],['#_Constructed/Existingwater storage tank with gravity fed reticulation system]]-WWWW[[#This Row],['#_Non-functional storage tank gravity fed reticulation system]]</f>
        <v>0</v>
      </c>
      <c r="CK465" s="997">
        <f>(WWWW[[#This Row],['#_Water_Liters_supplied_by_Water boating or water trucking]]/90)/15</f>
        <v>0</v>
      </c>
      <c r="CL465" s="997">
        <f>WWWW[[#This Row],['#_Water_Liters_from_Constructed/Existing water distribution system from river or natural spring]]/90/15</f>
        <v>0</v>
      </c>
      <c r="CM465" s="424">
        <f>IF(WWWW[[#This Row],['#_of water points in TLS/CFS]]*500&gt;WWWW[[#This Row],[Total PoP ]],WWWW[[#This Row],[Total PoP ]],WWWW[[#This Row],['#_of water points in TLS/CFS]]*500)</f>
        <v>0</v>
      </c>
      <c r="CN465" s="424">
        <f>IF(WWWW[[#This Row],['#_of water points in THF]]*500&gt;WWWW[[#This Row],[Total PoP ]],WWWW[[#This Row],[Total PoP ]],WWWW[[#This Row],['#_of water points in THF]]*500)</f>
        <v>0</v>
      </c>
      <c r="CO46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6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0.85324232081911267</v>
      </c>
      <c r="CQ465" s="996">
        <f>IF(WWWW[[#This Row],[Location Type 1]]="Village",WWWW[[#This Row],[Access to safe drinking water for Village]],WWWW[[#This Row],[Access to safe drinking water for Camp]])</f>
        <v>1</v>
      </c>
      <c r="CR465" s="994">
        <f>WWWW[[#This Row],[%Equitable and continuous access to sufficient quantity of safe drinking water]]*WWWW[[#This Row],[Total PoP ]]</f>
        <v>586</v>
      </c>
      <c r="CS465" s="996">
        <f>IF((WWWW[[#This Row],['#_Constructed/Existing protected/fenced ponds]]*250)/WWWW[[#This Row],[Total PoP ]]&gt;1,1,(WWWW[[#This Row],['#_Constructed/Existing protected/fenced ponds]]*250)/WWWW[[#This Row],[Total PoP ]])</f>
        <v>0</v>
      </c>
      <c r="CT465" s="994">
        <f>WWWW[[#This Row],[% Access to unimproved water points]]*WWWW[[#This Row],[Total PoP ]]</f>
        <v>0</v>
      </c>
      <c r="CU46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6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586</v>
      </c>
      <c r="CW465" s="994">
        <f>WWWW[[#This Row],[HRP1]]/500</f>
        <v>1.1719999999999999</v>
      </c>
      <c r="CX465" s="999">
        <f>1-WWWW[[#This Row],[% Equitable and continuous access to sufficient quantity of domestic water]]</f>
        <v>0</v>
      </c>
      <c r="CY465" s="994">
        <f>WWWW[[#This Row],[%equitable and continuous access to sufficient quantity of safe drinking and domestic water''s GAP]]*WWWW[[#This Row],[Total PoP ]]</f>
        <v>0</v>
      </c>
      <c r="CZ465" s="997">
        <f>IF(WWWW[[#This Row],[Total required water points]]-WWWW[[#This Row],['#Water points coverage]]&lt;0,0,WWWW[[#This Row],[Total required water points]]-WWWW[[#This Row],['#Water points coverage]])</f>
        <v>0</v>
      </c>
      <c r="DA465" s="997">
        <f>ROUND(IF(WWWW[[#This Row],[Total PoP ]]&lt;500,1,WWWW[[#This Row],[Total PoP ]]/500),0)</f>
        <v>1</v>
      </c>
      <c r="DB465" s="997">
        <f>(WWWW[[#This Row],['#_Constructed latrines_by_WASHAgencies]]+WWWW[[#This Row],['#_Non Cluster partner latrines]])-WWWW[[#This Row],['#_Non-functional latrines]]</f>
        <v>28</v>
      </c>
      <c r="DC465" s="631">
        <f>WWWW[[#This Row],[HRP2]]/WWWW[[#This Row],[Total PoP ]]</f>
        <v>0.96075085324232079</v>
      </c>
      <c r="DD46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563</v>
      </c>
      <c r="DE46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560</v>
      </c>
      <c r="DF46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5" s="424">
        <f>IF(WWWW[[#This Row],['# of functional latrines in THF supported by WASH partners during the reporting period2]]="",0,WWWW[[#This Row],['# of functional latrines in THF supported by WASH partners during the reporting period2]]*50)</f>
        <v>0</v>
      </c>
      <c r="DH465" s="997">
        <f>ROUND(IF(WWWW[[#This Row],[Location Type 1]]="camp",WWWW[[#This Row],[Total PoP ]]/20,IF(WWWW[[#This Row],[Location Type 1]]="Temporary Location",WWWW[[#This Row],[Total PoP ]]/50,(WWWW[[#This Row],[Total PoP ]]/6))),0)</f>
        <v>29</v>
      </c>
      <c r="DI465" s="997">
        <f>IF(WWWW[[#This Row],[Total required Latrines]]-(WWWW[[#This Row],['#_Constructed latrines_by_WASHAgencies]]+WWWW[[#This Row],['#_Non Cluster partner latrines]])&lt;0,0,WWWW[[#This Row],[Total required Latrines]]-(WWWW[[#This Row],['#_Constructed latrines_by_WASHAgencies]]+WWWW[[#This Row],['#_Non Cluster partner latrines]]))</f>
        <v>1</v>
      </c>
      <c r="DJ465" s="999">
        <f>1-WWWW[[#This Row],[% people access to functioning Latrine]]</f>
        <v>3.924914675767921E-2</v>
      </c>
      <c r="DK465" s="998">
        <f>IF(OR(WWWW[[#This Row],['#_Non-functional latrines]]="",WWWW[[#This Row],['#_Non-functional latrines]]=0),0,WWWW[[#This Row],['#_Non-functional latrines]]/(WWWW[[#This Row],['#_Constructed latrines_by_WASHAgencies]]+WWWW[[#This Row],['#_Non Cluster partner latrines]]))</f>
        <v>0</v>
      </c>
      <c r="DL465" s="994">
        <f>IF(500*(WWWW[[#This Row],['#_male hygiene promoters]]+WWWW[[#This Row],['#_female hygiene promoters]])&gt;WWWW[[#This Row],[Total PoP ]],WWWW[[#This Row],[Total PoP ]],500*(WWWW[[#This Row],['#_male hygiene promoters]]+WWWW[[#This Row],['#_female hygiene promoters]]))</f>
        <v>586</v>
      </c>
      <c r="DM46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6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151</v>
      </c>
      <c r="DO465" s="997">
        <f>IF(WWWW[[#This Row],['# People with access to soap]]&gt;WWWW[[#This Row],['# People with access to Sanity Pads]],WWWW[[#This Row],['# People with access to soap]],WWWW[[#This Row],['# People with access to Sanity Pads]])</f>
        <v>151</v>
      </c>
      <c r="DP465" s="997">
        <f>IF(WWWW[[#This Row],['# people reached by regular dedicated hygiene promotion_5]]&gt;WWWW[[#This Row],['# People received regular supply of hygiene items_6]],WWWW[[#This Row],['# people reached by regular dedicated hygiene promotion_5]],WWWW[[#This Row],['# People received regular supply of hygiene items_6]])</f>
        <v>586</v>
      </c>
      <c r="DQ465" s="999">
        <f>IF(WWWW[[#This Row],[HRP3]]/WWWW[[#This Row],[Total PoP ]]&gt;1,1,WWWW[[#This Row],[HRP3]]/WWWW[[#This Row],[Total PoP ]])</f>
        <v>1</v>
      </c>
      <c r="DR465" s="998">
        <f>1-WWWW[[#This Row],[Hygiene Coverage%]]</f>
        <v>0</v>
      </c>
      <c r="DS465" s="996">
        <f>WWWW[[#This Row],['# people reached by regular dedicated hygiene promotion_5]]/WWWW[[#This Row],[Total PoP ]]</f>
        <v>1</v>
      </c>
      <c r="DT46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6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65" s="997">
        <f>WWWW[[#This Row],['#_Constructed/Existing hand washing stations]]-WWWW[[#This Row],['#_Non-Functional_hand_washing_stations]]</f>
        <v>8</v>
      </c>
      <c r="DW465" s="994">
        <f>IF(WWWW[[#This Row],['# Functional hand washing stations during reporting period]]*20&gt;WWWW[[#This Row],[Total HH]],WWWW[[#This Row],[Total HH]],WWWW[[#This Row],['# Functional hand washing stations during reporting period]]*20)</f>
        <v>114</v>
      </c>
      <c r="DX465" s="994">
        <f>IF(WWWW[[#This Row],[Is sufficient soap available for TLS? (Yes/No)]]="yes",WWWW[[#This Row],['#_Constructed/Existing hand washing stations at TLS/CFS/THF]],0)</f>
        <v>0</v>
      </c>
      <c r="DY465" s="428">
        <f>IF(WWWW[[#This Row],['# Functional hand washing stations during reporting period]]*100&gt;WWWW[[#This Row],[Total PoP ]],WWWW[[#This Row],[Total PoP ]],WWWW[[#This Row],['# Functional hand washing stations during reporting period]]*100)</f>
        <v>586</v>
      </c>
      <c r="DZ465" s="428" t="str">
        <f>IF(OR(WWWW[[#This Row],['#_students at TLS_CFS]]="",WWWW[[#This Row],['#_students at TLS_CFS]]=0),"No","Yes")</f>
        <v>No</v>
      </c>
      <c r="EA46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5" s="990">
        <f>VLOOKUP(WWWW[[#This Row],[Site Name]],SiteDB6[[Site Name]:[CCCM Management]],6,FALSE)</f>
        <v>0</v>
      </c>
      <c r="EF465" s="990">
        <f>VLOOKUP(WWWW[[#This Row],[Site Name]],SiteDB6[[Site Name]:[CCCM Focal Agency]],7,FALSE)</f>
        <v>0</v>
      </c>
      <c r="EG465" s="990" t="str">
        <f>VLOOKUP(WWWW[[#This Row],[Site Name]],SiteDB6[[Site Name]:[Location Type 1]],9,FALSE)</f>
        <v>Camp</v>
      </c>
      <c r="EH465" s="990" t="str">
        <f>VLOOKUP(WWWW[[#This Row],[Site Name]],SiteDB6[[Site Name]:[Type of Accommodation]],10,FALSE)</f>
        <v>Camp</v>
      </c>
      <c r="EI465" s="990" t="str">
        <f>VLOOKUP(WWWW[[#This Row],[Site Name]],SiteDB6[[Site Name]:[Ethnic or GCA/NGCA]],11,FALSE)</f>
        <v>GCA</v>
      </c>
      <c r="EJ465" s="990">
        <f>VLOOKUP(WWWW[[#This Row],[Site Name]],SiteDB6[[Site Name]:[Lat]],12,FALSE)</f>
        <v>0</v>
      </c>
      <c r="EK465" s="990">
        <f>VLOOKUP(WWWW[[#This Row],[Site Name]],SiteDB6[[Site Name]:[Long]],13,FALSE)</f>
        <v>0</v>
      </c>
      <c r="EL465" s="990">
        <f>VLOOKUP(WWWW[[#This Row],[Site Name]],SiteDB6[[Site Name]:[Pcode]],3,FALSE)</f>
        <v>0</v>
      </c>
      <c r="EM465" s="995" t="str">
        <f t="shared" si="9"/>
        <v>Covered</v>
      </c>
      <c r="EN465" s="995"/>
      <c r="EO465" s="990">
        <f>VLOOKUP(WWWW[[#This Row],[Site Name]],SiteDB6[[Site Name]:[Pop
(Kachin/Shan-CCCM as of July 2021)]],16,FALSE)</f>
        <v>0</v>
      </c>
      <c r="EP465" s="990">
        <f>VLOOKUP(WWWW[[#This Row],[Site Name]],SiteDB6[[Site Name]:[Pop
(Kachin/Shan-CCCM as of July 2021)]],17,FALSE)</f>
        <v>0</v>
      </c>
    </row>
    <row r="466" spans="1:146">
      <c r="A466" s="988" t="s">
        <v>2765</v>
      </c>
      <c r="B466" s="988" t="s">
        <v>242</v>
      </c>
      <c r="C466" s="989" t="s">
        <v>242</v>
      </c>
      <c r="D466" s="989" t="s">
        <v>299</v>
      </c>
      <c r="E466" s="989" t="s">
        <v>37</v>
      </c>
      <c r="F466" s="989" t="s">
        <v>142</v>
      </c>
      <c r="G466" s="591" t="str">
        <f>VLOOKUP(WWWW[[#This Row],[Site Name]],SiteDB6[[Site Name]:[Location Type]],8,FALSE)</f>
        <v>Camp</v>
      </c>
      <c r="H466" s="989" t="s">
        <v>270</v>
      </c>
      <c r="I466" s="448">
        <v>19</v>
      </c>
      <c r="J466" s="448">
        <v>85</v>
      </c>
      <c r="K466" s="588">
        <v>44562</v>
      </c>
      <c r="L466" s="589">
        <v>44926</v>
      </c>
      <c r="M466" s="991"/>
      <c r="N466" s="991">
        <v>1</v>
      </c>
      <c r="O466" s="991"/>
      <c r="P466" s="991"/>
      <c r="Q466" s="994" t="s">
        <v>41</v>
      </c>
      <c r="R466" s="448"/>
      <c r="S466" s="448">
        <v>5</v>
      </c>
      <c r="T466" s="448">
        <v>1</v>
      </c>
      <c r="U466" s="991"/>
      <c r="V466" s="991"/>
      <c r="W466" s="991">
        <v>1</v>
      </c>
      <c r="X466" s="991"/>
      <c r="Y466" s="991"/>
      <c r="Z466" s="991"/>
      <c r="AA466" s="991"/>
      <c r="AB466" s="991"/>
      <c r="AC466" s="991"/>
      <c r="AD466" s="991"/>
      <c r="AE466" s="991"/>
      <c r="AF466" s="991"/>
      <c r="AG466" s="991"/>
      <c r="AH466" s="991"/>
      <c r="AI466" s="991"/>
      <c r="AJ466" s="448">
        <v>1</v>
      </c>
      <c r="AK466" s="448">
        <v>1</v>
      </c>
      <c r="AL466" s="991"/>
      <c r="AM466" s="991">
        <v>2</v>
      </c>
      <c r="AN466" s="991"/>
      <c r="AO466" s="448"/>
      <c r="AP466" s="995"/>
      <c r="AQ466" s="991">
        <v>4</v>
      </c>
      <c r="AR466" s="991"/>
      <c r="AS466" s="996"/>
      <c r="AT466" s="991"/>
      <c r="AU466" s="991"/>
      <c r="AV466" s="991"/>
      <c r="AW466" s="991"/>
      <c r="AX466" s="991"/>
      <c r="AY466" s="990" t="s">
        <v>41</v>
      </c>
      <c r="AZ466" s="995" t="s">
        <v>137</v>
      </c>
      <c r="BA466" s="991"/>
      <c r="BB466" s="991">
        <v>2</v>
      </c>
      <c r="BC466" s="991"/>
      <c r="BD466" s="448"/>
      <c r="BE466" s="448"/>
      <c r="BF466" s="990"/>
      <c r="BG466" s="991">
        <v>2</v>
      </c>
      <c r="BH466" s="991"/>
      <c r="BI466" s="991"/>
      <c r="BJ466" s="991">
        <v>2</v>
      </c>
      <c r="BK466" s="991"/>
      <c r="BL466" s="991"/>
      <c r="BM466" s="991"/>
      <c r="BN466" s="991"/>
      <c r="BO466" s="991"/>
      <c r="BP466" s="990" t="s">
        <v>41</v>
      </c>
      <c r="BQ466" s="997">
        <v>2</v>
      </c>
      <c r="BR466" s="423">
        <v>0.7</v>
      </c>
      <c r="BS466" s="425"/>
      <c r="BT466" s="423">
        <v>0.9</v>
      </c>
      <c r="BU466" s="423">
        <v>0.9</v>
      </c>
      <c r="BV466" s="425"/>
      <c r="BW466" s="423">
        <v>1</v>
      </c>
      <c r="BX466" s="448"/>
      <c r="BY466" s="448"/>
      <c r="BZ466" s="448"/>
      <c r="CA466" s="448"/>
      <c r="CB466" s="448"/>
      <c r="CC466" s="777"/>
      <c r="CD466" s="448"/>
      <c r="CE466" s="998" t="str">
        <f>IFERROR(WWWW[[#This Row],['#_Water sources passed]]/WWWW[[#This Row],['#_Water sources tested for fecal coliform ]],"no test")</f>
        <v>no test</v>
      </c>
      <c r="CF466" s="996">
        <f>IFERROR(WWWW[[#This Row],['#_Household passed]]/WWWW[[#This Row],['#_Household water samples tested for fecal coliform]],"no test")</f>
        <v>0</v>
      </c>
      <c r="CG466" s="997" t="str">
        <f>IF(AND(WWWW[[#This Row],[% of water sources passed]]="no test",WWWW[[#This Row],[% Household passed]]="no test"),"No Test","Tested")</f>
        <v>Tested</v>
      </c>
      <c r="CH466" s="997">
        <f>WWWW[[#This Row],['#_Constructed/existing protected hand dug well]]-WWWW[[#This Row],['#_Non-functional protected hand dug well]]</f>
        <v>1</v>
      </c>
      <c r="CI466" s="997">
        <f>(WWWW[[#This Row],['#_Constructed/Existing tube wells/boreholes/handpumps_WASH_agency]]+WWWW[[#This Row],['#_Non-Cluster partner water tube-wells/boreholes/handpumps]])-WWWW[[#This Row],['#_Non-functional tube wells/boreholes/handpumps]]</f>
        <v>1</v>
      </c>
      <c r="CJ466" s="997">
        <f>WWWW[[#This Row],['#_Constructed/Existingwater storage tank with gravity fed reticulation system]]-WWWW[[#This Row],['#_Non-functional storage tank gravity fed reticulation system]]</f>
        <v>0</v>
      </c>
      <c r="CK466" s="997">
        <f>(WWWW[[#This Row],['#_Water_Liters_supplied_by_Water boating or water trucking]]/90)/15</f>
        <v>0</v>
      </c>
      <c r="CL466" s="997">
        <f>WWWW[[#This Row],['#_Water_Liters_from_Constructed/Existing water distribution system from river or natural spring]]/90/15</f>
        <v>0</v>
      </c>
      <c r="CM466" s="424">
        <f>IF(WWWW[[#This Row],['#_of water points in TLS/CFS]]*500&gt;WWWW[[#This Row],[Total PoP ]],WWWW[[#This Row],[Total PoP ]],WWWW[[#This Row],['#_of water points in TLS/CFS]]*500)</f>
        <v>0</v>
      </c>
      <c r="CN466" s="424">
        <f>IF(WWWW[[#This Row],['#_of water points in THF]]*500&gt;WWWW[[#This Row],[Total PoP ]],WWWW[[#This Row],[Total PoP ]],WWWW[[#This Row],['#_of water points in THF]]*500)</f>
        <v>0</v>
      </c>
      <c r="CO46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6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66" s="996">
        <f>IF(WWWW[[#This Row],[Location Type 1]]="Village",WWWW[[#This Row],[Access to safe drinking water for Village]],WWWW[[#This Row],[Access to safe drinking water for Camp]])</f>
        <v>1</v>
      </c>
      <c r="CR466" s="994">
        <f>WWWW[[#This Row],[%Equitable and continuous access to sufficient quantity of safe drinking water]]*WWWW[[#This Row],[Total PoP ]]</f>
        <v>85</v>
      </c>
      <c r="CS466" s="996">
        <f>IF((WWWW[[#This Row],['#_Constructed/Existing protected/fenced ponds]]*250)/WWWW[[#This Row],[Total PoP ]]&gt;1,1,(WWWW[[#This Row],['#_Constructed/Existing protected/fenced ponds]]*250)/WWWW[[#This Row],[Total PoP ]])</f>
        <v>0</v>
      </c>
      <c r="CT466" s="994">
        <f>WWWW[[#This Row],[% Access to unimproved water points]]*WWWW[[#This Row],[Total PoP ]]</f>
        <v>0</v>
      </c>
      <c r="CU46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6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v>
      </c>
      <c r="CW466" s="994">
        <f>WWWW[[#This Row],[HRP1]]/500</f>
        <v>0.17</v>
      </c>
      <c r="CX466" s="999">
        <f>1-WWWW[[#This Row],[% Equitable and continuous access to sufficient quantity of domestic water]]</f>
        <v>0</v>
      </c>
      <c r="CY466" s="994">
        <f>WWWW[[#This Row],[%equitable and continuous access to sufficient quantity of safe drinking and domestic water''s GAP]]*WWWW[[#This Row],[Total PoP ]]</f>
        <v>0</v>
      </c>
      <c r="CZ466" s="997">
        <f>IF(WWWW[[#This Row],[Total required water points]]-WWWW[[#This Row],['#Water points coverage]]&lt;0,0,WWWW[[#This Row],[Total required water points]]-WWWW[[#This Row],['#Water points coverage]])</f>
        <v>0.83</v>
      </c>
      <c r="DA466" s="997">
        <f>ROUND(IF(WWWW[[#This Row],[Total PoP ]]&lt;500,1,WWWW[[#This Row],[Total PoP ]]/500),0)</f>
        <v>1</v>
      </c>
      <c r="DB466" s="997">
        <f>(WWWW[[#This Row],['#_Constructed latrines_by_WASHAgencies]]+WWWW[[#This Row],['#_Non Cluster partner latrines]])-WWWW[[#This Row],['#_Non-functional latrines]]</f>
        <v>4</v>
      </c>
      <c r="DC466" s="631">
        <f>WWWW[[#This Row],[HRP2]]/WWWW[[#This Row],[Total PoP ]]</f>
        <v>0.94117647058823528</v>
      </c>
      <c r="DD46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46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6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6" s="424">
        <f>IF(WWWW[[#This Row],['# of functional latrines in THF supported by WASH partners during the reporting period2]]="",0,WWWW[[#This Row],['# of functional latrines in THF supported by WASH partners during the reporting period2]]*50)</f>
        <v>0</v>
      </c>
      <c r="DH466" s="997">
        <f>ROUND(IF(WWWW[[#This Row],[Location Type 1]]="camp",WWWW[[#This Row],[Total PoP ]]/20,IF(WWWW[[#This Row],[Location Type 1]]="Temporary Location",WWWW[[#This Row],[Total PoP ]]/50,(WWWW[[#This Row],[Total PoP ]]/6))),0)</f>
        <v>4</v>
      </c>
      <c r="DI466" s="997">
        <f>IF(WWWW[[#This Row],[Total required Latrines]]-(WWWW[[#This Row],['#_Constructed latrines_by_WASHAgencies]]+WWWW[[#This Row],['#_Non Cluster partner latrines]])&lt;0,0,WWWW[[#This Row],[Total required Latrines]]-(WWWW[[#This Row],['#_Constructed latrines_by_WASHAgencies]]+WWWW[[#This Row],['#_Non Cluster partner latrines]]))</f>
        <v>0</v>
      </c>
      <c r="DJ466" s="999">
        <f>1-WWWW[[#This Row],[% people access to functioning Latrine]]</f>
        <v>5.8823529411764719E-2</v>
      </c>
      <c r="DK466" s="998">
        <f>IF(OR(WWWW[[#This Row],['#_Non-functional latrines]]="",WWWW[[#This Row],['#_Non-functional latrines]]=0),0,WWWW[[#This Row],['#_Non-functional latrines]]/(WWWW[[#This Row],['#_Constructed latrines_by_WASHAgencies]]+WWWW[[#This Row],['#_Non Cluster partner latrines]]))</f>
        <v>0</v>
      </c>
      <c r="DL466" s="994">
        <f>IF(500*(WWWW[[#This Row],['#_male hygiene promoters]]+WWWW[[#This Row],['#_female hygiene promoters]])&gt;WWWW[[#This Row],[Total PoP ]],WWWW[[#This Row],[Total PoP ]],500*(WWWW[[#This Row],['#_male hygiene promoters]]+WWWW[[#This Row],['#_female hygiene promoters]]))</f>
        <v>0</v>
      </c>
      <c r="DM46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6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66" s="997">
        <f>IF(WWWW[[#This Row],['# People with access to soap]]&gt;WWWW[[#This Row],['# People with access to Sanity Pads]],WWWW[[#This Row],['# People with access to soap]],WWWW[[#This Row],['# People with access to Sanity Pads]])</f>
        <v>0</v>
      </c>
      <c r="DP466"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66" s="999">
        <f>IF(WWWW[[#This Row],[HRP3]]/WWWW[[#This Row],[Total PoP ]]&gt;1,1,WWWW[[#This Row],[HRP3]]/WWWW[[#This Row],[Total PoP ]])</f>
        <v>0</v>
      </c>
      <c r="DR466" s="998">
        <f>1-WWWW[[#This Row],[Hygiene Coverage%]]</f>
        <v>1</v>
      </c>
      <c r="DS466" s="996">
        <f>WWWW[[#This Row],['# people reached by regular dedicated hygiene promotion_5]]/WWWW[[#This Row],[Total PoP ]]</f>
        <v>0</v>
      </c>
      <c r="DT46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6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66" s="997">
        <f>WWWW[[#This Row],['#_Constructed/Existing hand washing stations]]-WWWW[[#This Row],['#_Non-Functional_hand_washing_stations]]</f>
        <v>2</v>
      </c>
      <c r="DW466" s="994">
        <f>IF(WWWW[[#This Row],['# Functional hand washing stations during reporting period]]*20&gt;WWWW[[#This Row],[Total HH]],WWWW[[#This Row],[Total HH]],WWWW[[#This Row],['# Functional hand washing stations during reporting period]]*20)</f>
        <v>19</v>
      </c>
      <c r="DX466" s="994">
        <f>IF(WWWW[[#This Row],[Is sufficient soap available for TLS? (Yes/No)]]="yes",WWWW[[#This Row],['#_Constructed/Existing hand washing stations at TLS/CFS/THF]],0)</f>
        <v>2</v>
      </c>
      <c r="DY466" s="428">
        <f>IF(WWWW[[#This Row],['# Functional hand washing stations during reporting period]]*100&gt;WWWW[[#This Row],[Total PoP ]],WWWW[[#This Row],[Total PoP ]],WWWW[[#This Row],['# Functional hand washing stations during reporting period]]*100)</f>
        <v>85</v>
      </c>
      <c r="DZ466" s="428" t="str">
        <f>IF(OR(WWWW[[#This Row],['#_students at TLS_CFS]]="",WWWW[[#This Row],['#_students at TLS_CFS]]=0),"No","Yes")</f>
        <v>No</v>
      </c>
      <c r="EA46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6" s="990" t="str">
        <f>VLOOKUP(WWWW[[#This Row],[Site Name]],SiteDB6[[Site Name]:[CCCM Management]],6,FALSE)</f>
        <v>Yes</v>
      </c>
      <c r="EF466" s="990" t="str">
        <f>VLOOKUP(WWWW[[#This Row],[Site Name]],SiteDB6[[Site Name]:[CCCM Focal Agency]],7,FALSE)</f>
        <v>Shalom</v>
      </c>
      <c r="EG466" s="990" t="str">
        <f>VLOOKUP(WWWW[[#This Row],[Site Name]],SiteDB6[[Site Name]:[Location Type 1]],9,FALSE)</f>
        <v>Camp</v>
      </c>
      <c r="EH466" s="990" t="str">
        <f>VLOOKUP(WWWW[[#This Row],[Site Name]],SiteDB6[[Site Name]:[Type of Accommodation]],10,FALSE)</f>
        <v>Camp</v>
      </c>
      <c r="EI466" s="990" t="str">
        <f>VLOOKUP(WWWW[[#This Row],[Site Name]],SiteDB6[[Site Name]:[Ethnic or GCA/NGCA]],11,FALSE)</f>
        <v>GCA</v>
      </c>
      <c r="EJ466" s="990">
        <f>VLOOKUP(WWWW[[#This Row],[Site Name]],SiteDB6[[Site Name]:[Lat]],12,FALSE)</f>
        <v>25.351965</v>
      </c>
      <c r="EK466" s="990">
        <f>VLOOKUP(WWWW[[#This Row],[Site Name]],SiteDB6[[Site Name]:[Long]],13,FALSE)</f>
        <v>97.345039</v>
      </c>
      <c r="EL466" s="990" t="str">
        <f>VLOOKUP(WWWW[[#This Row],[Site Name]],SiteDB6[[Site Name]:[Pcode]],3,FALSE)</f>
        <v>MMR001CMP033</v>
      </c>
      <c r="EM466" s="995" t="str">
        <f t="shared" si="9"/>
        <v>Covered</v>
      </c>
      <c r="EN466" s="995"/>
      <c r="EO466" s="990">
        <f>VLOOKUP(WWWW[[#This Row],[Site Name]],SiteDB6[[Site Name]:[Pop
(Kachin/Shan-CCCM as of July 2021)]],16,FALSE)</f>
        <v>19</v>
      </c>
      <c r="EP466" s="990">
        <f>VLOOKUP(WWWW[[#This Row],[Site Name]],SiteDB6[[Site Name]:[Pop
(Kachin/Shan-CCCM as of July 2021)]],17,FALSE)</f>
        <v>85</v>
      </c>
    </row>
    <row r="467" spans="1:146">
      <c r="A467" s="988" t="s">
        <v>2765</v>
      </c>
      <c r="B467" s="988" t="s">
        <v>2081</v>
      </c>
      <c r="C467" s="989" t="s">
        <v>141</v>
      </c>
      <c r="D467" s="989" t="s">
        <v>3160</v>
      </c>
      <c r="E467" s="989" t="s">
        <v>37</v>
      </c>
      <c r="F467" s="989" t="s">
        <v>142</v>
      </c>
      <c r="G467" s="591" t="str">
        <f>VLOOKUP(WWWW[[#This Row],[Site Name]],SiteDB6[[Site Name]:[Location Type]],8,FALSE)</f>
        <v>Camp</v>
      </c>
      <c r="H467" s="989" t="s">
        <v>180</v>
      </c>
      <c r="I467" s="991">
        <v>166</v>
      </c>
      <c r="J467" s="991">
        <v>966</v>
      </c>
      <c r="K467" s="992">
        <v>44682</v>
      </c>
      <c r="L467" s="993">
        <v>45169</v>
      </c>
      <c r="M467" s="991">
        <v>34</v>
      </c>
      <c r="N467" s="991">
        <v>3</v>
      </c>
      <c r="O467" s="991"/>
      <c r="P467" s="991"/>
      <c r="Q467" s="994" t="s">
        <v>41</v>
      </c>
      <c r="R467" s="991">
        <v>3</v>
      </c>
      <c r="S467" s="991">
        <v>2</v>
      </c>
      <c r="T467" s="448">
        <v>3</v>
      </c>
      <c r="U467" s="991"/>
      <c r="V467" s="991"/>
      <c r="W467" s="991"/>
      <c r="X467" s="991"/>
      <c r="Y467" s="991"/>
      <c r="Z467" s="991"/>
      <c r="AA467" s="991">
        <v>4</v>
      </c>
      <c r="AB467" s="991"/>
      <c r="AC467" s="991"/>
      <c r="AD467" s="991"/>
      <c r="AE467" s="991"/>
      <c r="AF467" s="991"/>
      <c r="AG467" s="991"/>
      <c r="AH467" s="991"/>
      <c r="AI467" s="991"/>
      <c r="AJ467" s="991"/>
      <c r="AK467" s="991"/>
      <c r="AL467" s="991"/>
      <c r="AM467" s="991"/>
      <c r="AN467" s="991"/>
      <c r="AO467" s="448"/>
      <c r="AP467" s="995"/>
      <c r="AQ467" s="991">
        <v>170</v>
      </c>
      <c r="AR467" s="991"/>
      <c r="AS467" s="996"/>
      <c r="AT467" s="991"/>
      <c r="AU467" s="991"/>
      <c r="AV467" s="991"/>
      <c r="AW467" s="991"/>
      <c r="AX467" s="991">
        <v>150</v>
      </c>
      <c r="AY467" s="990" t="s">
        <v>41</v>
      </c>
      <c r="AZ467" s="995" t="s">
        <v>137</v>
      </c>
      <c r="BA467" s="991"/>
      <c r="BB467" s="991"/>
      <c r="BC467" s="991"/>
      <c r="BD467" s="448"/>
      <c r="BE467" s="448"/>
      <c r="BF467" s="990"/>
      <c r="BG467" s="991">
        <v>25</v>
      </c>
      <c r="BH467" s="991"/>
      <c r="BI467" s="991">
        <v>5</v>
      </c>
      <c r="BJ467" s="991"/>
      <c r="BK467" s="991"/>
      <c r="BL467" s="991">
        <v>1</v>
      </c>
      <c r="BM467" s="991">
        <v>2</v>
      </c>
      <c r="BN467" s="991"/>
      <c r="BO467" s="991"/>
      <c r="BP467" s="990"/>
      <c r="BQ467" s="997"/>
      <c r="BR467" s="996"/>
      <c r="BS467" s="990"/>
      <c r="BT467" s="423"/>
      <c r="BU467" s="423"/>
      <c r="BV467" s="425"/>
      <c r="BW467" s="423"/>
      <c r="BX467" s="448"/>
      <c r="BY467" s="448"/>
      <c r="BZ467" s="448"/>
      <c r="CA467" s="448"/>
      <c r="CB467" s="448"/>
      <c r="CC467" s="777"/>
      <c r="CD467" s="448"/>
      <c r="CE467" s="998" t="str">
        <f>IFERROR(WWWW[[#This Row],['#_Water sources passed]]/WWWW[[#This Row],['#_Water sources tested for fecal coliform ]],"no test")</f>
        <v>no test</v>
      </c>
      <c r="CF467" s="996" t="str">
        <f>IFERROR(WWWW[[#This Row],['#_Household passed]]/WWWW[[#This Row],['#_Household water samples tested for fecal coliform]],"no test")</f>
        <v>no test</v>
      </c>
      <c r="CG467" s="997" t="str">
        <f>IF(AND(WWWW[[#This Row],[% of water sources passed]]="no test",WWWW[[#This Row],[% Household passed]]="no test"),"No Test","Tested")</f>
        <v>No Test</v>
      </c>
      <c r="CH467" s="997">
        <f>WWWW[[#This Row],['#_Constructed/existing protected hand dug well]]-WWWW[[#This Row],['#_Non-functional protected hand dug well]]</f>
        <v>3</v>
      </c>
      <c r="CI467" s="997">
        <f>(WWWW[[#This Row],['#_Constructed/Existing tube wells/boreholes/handpumps_WASH_agency]]+WWWW[[#This Row],['#_Non-Cluster partner water tube-wells/boreholes/handpumps]])-WWWW[[#This Row],['#_Non-functional tube wells/boreholes/handpumps]]</f>
        <v>0</v>
      </c>
      <c r="CJ467" s="997">
        <f>WWWW[[#This Row],['#_Constructed/Existingwater storage tank with gravity fed reticulation system]]-WWWW[[#This Row],['#_Non-functional storage tank gravity fed reticulation system]]</f>
        <v>4</v>
      </c>
      <c r="CK467" s="997">
        <f>(WWWW[[#This Row],['#_Water_Liters_supplied_by_Water boating or water trucking]]/90)/15</f>
        <v>0</v>
      </c>
      <c r="CL467" s="997">
        <f>WWWW[[#This Row],['#_Water_Liters_from_Constructed/Existing water distribution system from river or natural spring]]/90/15</f>
        <v>0</v>
      </c>
      <c r="CM467" s="424">
        <f>IF(WWWW[[#This Row],['#_of water points in TLS/CFS]]*500&gt;WWWW[[#This Row],[Total PoP ]],WWWW[[#This Row],[Total PoP ]],WWWW[[#This Row],['#_of water points in TLS/CFS]]*500)</f>
        <v>0</v>
      </c>
      <c r="CN467" s="424">
        <f>IF(WWWW[[#This Row],['#_of water points in THF]]*500&gt;WWWW[[#This Row],[Total PoP ]],WWWW[[#This Row],[Total PoP ]],WWWW[[#This Row],['#_of water points in THF]]*500)</f>
        <v>0</v>
      </c>
      <c r="CO46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6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67" s="996">
        <f>IF(WWWW[[#This Row],[Location Type 1]]="Village",WWWW[[#This Row],[Access to safe drinking water for Village]],WWWW[[#This Row],[Access to safe drinking water for Camp]])</f>
        <v>1</v>
      </c>
      <c r="CR467" s="994">
        <f>WWWW[[#This Row],[%Equitable and continuous access to sufficient quantity of safe drinking water]]*WWWW[[#This Row],[Total PoP ]]</f>
        <v>966</v>
      </c>
      <c r="CS467" s="996">
        <f>IF((WWWW[[#This Row],['#_Constructed/Existing protected/fenced ponds]]*250)/WWWW[[#This Row],[Total PoP ]]&gt;1,1,(WWWW[[#This Row],['#_Constructed/Existing protected/fenced ponds]]*250)/WWWW[[#This Row],[Total PoP ]])</f>
        <v>0</v>
      </c>
      <c r="CT467" s="994">
        <f>WWWW[[#This Row],[% Access to unimproved water points]]*WWWW[[#This Row],[Total PoP ]]</f>
        <v>0</v>
      </c>
      <c r="CU46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6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966</v>
      </c>
      <c r="CW467" s="994">
        <f>WWWW[[#This Row],[HRP1]]/500</f>
        <v>1.9319999999999999</v>
      </c>
      <c r="CX467" s="999">
        <f>1-WWWW[[#This Row],[% Equitable and continuous access to sufficient quantity of domestic water]]</f>
        <v>0</v>
      </c>
      <c r="CY467" s="994">
        <f>WWWW[[#This Row],[%equitable and continuous access to sufficient quantity of safe drinking and domestic water''s GAP]]*WWWW[[#This Row],[Total PoP ]]</f>
        <v>0</v>
      </c>
      <c r="CZ467" s="997">
        <f>IF(WWWW[[#This Row],[Total required water points]]-WWWW[[#This Row],['#Water points coverage]]&lt;0,0,WWWW[[#This Row],[Total required water points]]-WWWW[[#This Row],['#Water points coverage]])</f>
        <v>6.800000000000006E-2</v>
      </c>
      <c r="DA467" s="997">
        <f>ROUND(IF(WWWW[[#This Row],[Total PoP ]]&lt;500,1,WWWW[[#This Row],[Total PoP ]]/500),0)</f>
        <v>2</v>
      </c>
      <c r="DB467" s="997">
        <f>(WWWW[[#This Row],['#_Constructed latrines_by_WASHAgencies]]+WWWW[[#This Row],['#_Non Cluster partner latrines]])-WWWW[[#This Row],['#_Non-functional latrines]]</f>
        <v>170</v>
      </c>
      <c r="DC467" s="631">
        <f>WWWW[[#This Row],[HRP2]]/WWWW[[#This Row],[Total PoP ]]</f>
        <v>0.87991718426501031</v>
      </c>
      <c r="DD46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850</v>
      </c>
      <c r="DE46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6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7" s="424">
        <f>IF(WWWW[[#This Row],['# of functional latrines in THF supported by WASH partners during the reporting period2]]="",0,WWWW[[#This Row],['# of functional latrines in THF supported by WASH partners during the reporting period2]]*50)</f>
        <v>0</v>
      </c>
      <c r="DH467" s="997">
        <f>ROUND(IF(WWWW[[#This Row],[Location Type 1]]="camp",WWWW[[#This Row],[Total PoP ]]/20,IF(WWWW[[#This Row],[Location Type 1]]="Temporary Location",WWWW[[#This Row],[Total PoP ]]/50,(WWWW[[#This Row],[Total PoP ]]/6))),0)</f>
        <v>161</v>
      </c>
      <c r="DI467" s="997">
        <f>IF(WWWW[[#This Row],[Total required Latrines]]-(WWWW[[#This Row],['#_Constructed latrines_by_WASHAgencies]]+WWWW[[#This Row],['#_Non Cluster partner latrines]])&lt;0,0,WWWW[[#This Row],[Total required Latrines]]-(WWWW[[#This Row],['#_Constructed latrines_by_WASHAgencies]]+WWWW[[#This Row],['#_Non Cluster partner latrines]]))</f>
        <v>0</v>
      </c>
      <c r="DJ467" s="999">
        <f>1-WWWW[[#This Row],[% people access to functioning Latrine]]</f>
        <v>0.12008281573498969</v>
      </c>
      <c r="DK467" s="998">
        <f>IF(OR(WWWW[[#This Row],['#_Non-functional latrines]]="",WWWW[[#This Row],['#_Non-functional latrines]]=0),0,WWWW[[#This Row],['#_Non-functional latrines]]/(WWWW[[#This Row],['#_Constructed latrines_by_WASHAgencies]]+WWWW[[#This Row],['#_Non Cluster partner latrines]]))</f>
        <v>0</v>
      </c>
      <c r="DL467" s="994">
        <f>IF(500*(WWWW[[#This Row],['#_male hygiene promoters]]+WWWW[[#This Row],['#_female hygiene promoters]])&gt;WWWW[[#This Row],[Total PoP ]],WWWW[[#This Row],[Total PoP ]],500*(WWWW[[#This Row],['#_male hygiene promoters]]+WWWW[[#This Row],['#_female hygiene promoters]]))</f>
        <v>966</v>
      </c>
      <c r="DM46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6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67" s="997">
        <f>IF(WWWW[[#This Row],['# People with access to soap]]&gt;WWWW[[#This Row],['# People with access to Sanity Pads]],WWWW[[#This Row],['# People with access to soap]],WWWW[[#This Row],['# People with access to Sanity Pads]])</f>
        <v>0</v>
      </c>
      <c r="DP467" s="997">
        <f>IF(WWWW[[#This Row],['# people reached by regular dedicated hygiene promotion_5]]&gt;WWWW[[#This Row],['# People received regular supply of hygiene items_6]],WWWW[[#This Row],['# people reached by regular dedicated hygiene promotion_5]],WWWW[[#This Row],['# People received regular supply of hygiene items_6]])</f>
        <v>966</v>
      </c>
      <c r="DQ467" s="999">
        <f>IF(WWWW[[#This Row],[HRP3]]/WWWW[[#This Row],[Total PoP ]]&gt;1,1,WWWW[[#This Row],[HRP3]]/WWWW[[#This Row],[Total PoP ]])</f>
        <v>1</v>
      </c>
      <c r="DR467" s="998">
        <f>1-WWWW[[#This Row],[Hygiene Coverage%]]</f>
        <v>0</v>
      </c>
      <c r="DS467" s="996">
        <f>WWWW[[#This Row],['# people reached by regular dedicated hygiene promotion_5]]/WWWW[[#This Row],[Total PoP ]]</f>
        <v>1</v>
      </c>
      <c r="DT46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6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67" s="997">
        <f>WWWW[[#This Row],['#_Constructed/Existing hand washing stations]]-WWWW[[#This Row],['#_Non-Functional_hand_washing_stations]]</f>
        <v>25</v>
      </c>
      <c r="DW467" s="994">
        <f>IF(WWWW[[#This Row],['# Functional hand washing stations during reporting period]]*20&gt;WWWW[[#This Row],[Total HH]],WWWW[[#This Row],[Total HH]],WWWW[[#This Row],['# Functional hand washing stations during reporting period]]*20)</f>
        <v>166</v>
      </c>
      <c r="DX467" s="994">
        <f>IF(WWWW[[#This Row],[Is sufficient soap available for TLS? (Yes/No)]]="yes",WWWW[[#This Row],['#_Constructed/Existing hand washing stations at TLS/CFS/THF]],0)</f>
        <v>0</v>
      </c>
      <c r="DY467" s="428">
        <f>IF(WWWW[[#This Row],['# Functional hand washing stations during reporting period]]*100&gt;WWWW[[#This Row],[Total PoP ]],WWWW[[#This Row],[Total PoP ]],WWWW[[#This Row],['# Functional hand washing stations during reporting period]]*100)</f>
        <v>966</v>
      </c>
      <c r="DZ467" s="428" t="str">
        <f>IF(OR(WWWW[[#This Row],['#_students at TLS_CFS]]="",WWWW[[#This Row],['#_students at TLS_CFS]]=0),"No","Yes")</f>
        <v>Yes</v>
      </c>
      <c r="EA46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7" s="990" t="str">
        <f>VLOOKUP(WWWW[[#This Row],[Site Name]],SiteDB6[[Site Name]:[CCCM Management]],6,FALSE)</f>
        <v>Yes</v>
      </c>
      <c r="EF467" s="990" t="str">
        <f>VLOOKUP(WWWW[[#This Row],[Site Name]],SiteDB6[[Site Name]:[CCCM Focal Agency]],7,FALSE)</f>
        <v>KBC-MYT</v>
      </c>
      <c r="EG467" s="990" t="str">
        <f>VLOOKUP(WWWW[[#This Row],[Site Name]],SiteDB6[[Site Name]:[Location Type 1]],9,FALSE)</f>
        <v>Village Type Camp</v>
      </c>
      <c r="EH467" s="990" t="str">
        <f>VLOOKUP(WWWW[[#This Row],[Site Name]],SiteDB6[[Site Name]:[Type of Accommodation]],10,FALSE)</f>
        <v>Camp</v>
      </c>
      <c r="EI467" s="990" t="str">
        <f>VLOOKUP(WWWW[[#This Row],[Site Name]],SiteDB6[[Site Name]:[Ethnic or GCA/NGCA]],11,FALSE)</f>
        <v>NGCA</v>
      </c>
      <c r="EJ467" s="990">
        <f>VLOOKUP(WWWW[[#This Row],[Site Name]],SiteDB6[[Site Name]:[Lat]],12,FALSE)</f>
        <v>24.831944</v>
      </c>
      <c r="EK467" s="990">
        <f>VLOOKUP(WWWW[[#This Row],[Site Name]],SiteDB6[[Site Name]:[Long]],13,FALSE)</f>
        <v>97.751389000000003</v>
      </c>
      <c r="EL467" s="990" t="str">
        <f>VLOOKUP(WWWW[[#This Row],[Site Name]],SiteDB6[[Site Name]:[Pcode]],3,FALSE)</f>
        <v>MMR001CMP120</v>
      </c>
      <c r="EM467" s="995" t="str">
        <f t="shared" si="9"/>
        <v>Covered</v>
      </c>
      <c r="EN467" s="995"/>
      <c r="EO467" s="990">
        <f>VLOOKUP(WWWW[[#This Row],[Site Name]],SiteDB6[[Site Name]:[Pop
(Kachin/Shan-CCCM as of July 2021)]],16,FALSE)</f>
        <v>166</v>
      </c>
      <c r="EP467" s="990">
        <f>VLOOKUP(WWWW[[#This Row],[Site Name]],SiteDB6[[Site Name]:[Pop
(Kachin/Shan-CCCM as of July 2021)]],17,FALSE)</f>
        <v>966</v>
      </c>
    </row>
    <row r="468" spans="1:146">
      <c r="A468" s="988" t="s">
        <v>2765</v>
      </c>
      <c r="B468" s="988" t="s">
        <v>242</v>
      </c>
      <c r="C468" s="989" t="s">
        <v>242</v>
      </c>
      <c r="D468" s="989" t="s">
        <v>299</v>
      </c>
      <c r="E468" s="989" t="s">
        <v>37</v>
      </c>
      <c r="F468" s="989" t="s">
        <v>142</v>
      </c>
      <c r="G468" s="591" t="str">
        <f>VLOOKUP(WWWW[[#This Row],[Site Name]],SiteDB6[[Site Name]:[Location Type]],8,FALSE)</f>
        <v>Camp</v>
      </c>
      <c r="H468" s="989" t="s">
        <v>271</v>
      </c>
      <c r="I468" s="448">
        <f>38+72</f>
        <v>110</v>
      </c>
      <c r="J468" s="448">
        <f>304+203</f>
        <v>507</v>
      </c>
      <c r="K468" s="588">
        <v>44562</v>
      </c>
      <c r="L468" s="589">
        <v>44926</v>
      </c>
      <c r="M468" s="991"/>
      <c r="N468" s="991">
        <v>2</v>
      </c>
      <c r="O468" s="991"/>
      <c r="P468" s="991"/>
      <c r="Q468" s="994" t="s">
        <v>41</v>
      </c>
      <c r="R468" s="991">
        <v>4</v>
      </c>
      <c r="S468" s="991">
        <v>9</v>
      </c>
      <c r="T468" s="448">
        <v>4</v>
      </c>
      <c r="U468" s="991">
        <v>1</v>
      </c>
      <c r="V468" s="991"/>
      <c r="W468" s="991">
        <v>3</v>
      </c>
      <c r="X468" s="991"/>
      <c r="Y468" s="448">
        <v>1</v>
      </c>
      <c r="Z468" s="448">
        <v>1</v>
      </c>
      <c r="AA468" s="991"/>
      <c r="AB468" s="991"/>
      <c r="AC468" s="991"/>
      <c r="AD468" s="991"/>
      <c r="AE468" s="991">
        <v>2</v>
      </c>
      <c r="AF468" s="991"/>
      <c r="AG468" s="991"/>
      <c r="AH468" s="991">
        <v>2</v>
      </c>
      <c r="AI468" s="991"/>
      <c r="AJ468" s="991"/>
      <c r="AK468" s="991"/>
      <c r="AL468" s="991"/>
      <c r="AM468" s="991">
        <v>3</v>
      </c>
      <c r="AN468" s="991"/>
      <c r="AO468" s="448"/>
      <c r="AP468" s="590" t="s">
        <v>2888</v>
      </c>
      <c r="AQ468" s="991">
        <v>15</v>
      </c>
      <c r="AR468" s="991">
        <v>10</v>
      </c>
      <c r="AS468" s="423" t="s">
        <v>939</v>
      </c>
      <c r="AT468" s="991">
        <v>3</v>
      </c>
      <c r="AU468" s="991">
        <v>3</v>
      </c>
      <c r="AV468" s="991"/>
      <c r="AW468" s="991"/>
      <c r="AX468" s="991"/>
      <c r="AY468" s="990" t="s">
        <v>41</v>
      </c>
      <c r="AZ468" s="995" t="s">
        <v>137</v>
      </c>
      <c r="BA468" s="991"/>
      <c r="BB468" s="991"/>
      <c r="BC468" s="991"/>
      <c r="BD468" s="448">
        <v>5</v>
      </c>
      <c r="BE468" s="448"/>
      <c r="BF468" s="425" t="s">
        <v>3072</v>
      </c>
      <c r="BG468" s="991">
        <v>9</v>
      </c>
      <c r="BH468" s="991">
        <v>1</v>
      </c>
      <c r="BI468" s="991"/>
      <c r="BJ468" s="991">
        <v>4</v>
      </c>
      <c r="BK468" s="991"/>
      <c r="BL468" s="991"/>
      <c r="BM468" s="991"/>
      <c r="BN468" s="991"/>
      <c r="BO468" s="991"/>
      <c r="BP468" s="990" t="s">
        <v>41</v>
      </c>
      <c r="BQ468" s="997"/>
      <c r="BR468" s="423">
        <v>0.9</v>
      </c>
      <c r="BS468" s="425"/>
      <c r="BT468" s="423">
        <v>0.99</v>
      </c>
      <c r="BU468" s="423">
        <v>0.04</v>
      </c>
      <c r="BV468" s="425"/>
      <c r="BW468" s="423">
        <v>0.99</v>
      </c>
      <c r="BX468" s="448"/>
      <c r="BY468" s="448"/>
      <c r="BZ468" s="448"/>
      <c r="CA468" s="448"/>
      <c r="CB468" s="448"/>
      <c r="CC468" s="777"/>
      <c r="CD468" s="448"/>
      <c r="CE468" s="998" t="str">
        <f>IFERROR(WWWW[[#This Row],['#_Water sources passed]]/WWWW[[#This Row],['#_Water sources tested for fecal coliform ]],"no test")</f>
        <v>no test</v>
      </c>
      <c r="CF468" s="996" t="str">
        <f>IFERROR(WWWW[[#This Row],['#_Household passed]]/WWWW[[#This Row],['#_Household water samples tested for fecal coliform]],"no test")</f>
        <v>no test</v>
      </c>
      <c r="CG468" s="997" t="str">
        <f>IF(AND(WWWW[[#This Row],[% of water sources passed]]="no test",WWWW[[#This Row],[% Household passed]]="no test"),"No Test","Tested")</f>
        <v>No Test</v>
      </c>
      <c r="CH468" s="997">
        <f>WWWW[[#This Row],['#_Constructed/existing protected hand dug well]]-WWWW[[#This Row],['#_Non-functional protected hand dug well]]</f>
        <v>3</v>
      </c>
      <c r="CI468" s="997">
        <f>(WWWW[[#This Row],['#_Constructed/Existing tube wells/boreholes/handpumps_WASH_agency]]+WWWW[[#This Row],['#_Non-Cluster partner water tube-wells/boreholes/handpumps]])-WWWW[[#This Row],['#_Non-functional tube wells/boreholes/handpumps]]</f>
        <v>2</v>
      </c>
      <c r="CJ468" s="997">
        <f>WWWW[[#This Row],['#_Constructed/Existingwater storage tank with gravity fed reticulation system]]-WWWW[[#This Row],['#_Non-functional storage tank gravity fed reticulation system]]</f>
        <v>0</v>
      </c>
      <c r="CK468" s="997">
        <f>(WWWW[[#This Row],['#_Water_Liters_supplied_by_Water boating or water trucking]]/90)/15</f>
        <v>0</v>
      </c>
      <c r="CL468" s="997">
        <f>WWWW[[#This Row],['#_Water_Liters_from_Constructed/Existing water distribution system from river or natural spring]]/90/15</f>
        <v>0</v>
      </c>
      <c r="CM468" s="424">
        <f>IF(WWWW[[#This Row],['#_of water points in TLS/CFS]]*500&gt;WWWW[[#This Row],[Total PoP ]],WWWW[[#This Row],[Total PoP ]],WWWW[[#This Row],['#_of water points in TLS/CFS]]*500)</f>
        <v>0</v>
      </c>
      <c r="CN468" s="424">
        <f>IF(WWWW[[#This Row],['#_of water points in THF]]*500&gt;WWWW[[#This Row],[Total PoP ]],WWWW[[#This Row],[Total PoP ]],WWWW[[#This Row],['#_of water points in THF]]*500)</f>
        <v>0</v>
      </c>
      <c r="CO46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6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68" s="996">
        <f>IF(WWWW[[#This Row],[Location Type 1]]="Village",WWWW[[#This Row],[Access to safe drinking water for Village]],WWWW[[#This Row],[Access to safe drinking water for Camp]])</f>
        <v>1</v>
      </c>
      <c r="CR468" s="994">
        <f>WWWW[[#This Row],[%Equitable and continuous access to sufficient quantity of safe drinking water]]*WWWW[[#This Row],[Total PoP ]]</f>
        <v>507</v>
      </c>
      <c r="CS468" s="996">
        <f>IF((WWWW[[#This Row],['#_Constructed/Existing protected/fenced ponds]]*250)/WWWW[[#This Row],[Total PoP ]]&gt;1,1,(WWWW[[#This Row],['#_Constructed/Existing protected/fenced ponds]]*250)/WWWW[[#This Row],[Total PoP ]])</f>
        <v>0.98619329388560162</v>
      </c>
      <c r="CT468" s="994">
        <f>WWWW[[#This Row],[% Access to unimproved water points]]*WWWW[[#This Row],[Total PoP ]]</f>
        <v>500</v>
      </c>
      <c r="CU46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6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507</v>
      </c>
      <c r="CW468" s="994">
        <f>WWWW[[#This Row],[HRP1]]/500</f>
        <v>1.014</v>
      </c>
      <c r="CX468" s="999">
        <f>1-WWWW[[#This Row],[% Equitable and continuous access to sufficient quantity of domestic water]]</f>
        <v>0</v>
      </c>
      <c r="CY468" s="994">
        <f>WWWW[[#This Row],[%equitable and continuous access to sufficient quantity of safe drinking and domestic water''s GAP]]*WWWW[[#This Row],[Total PoP ]]</f>
        <v>0</v>
      </c>
      <c r="CZ468" s="997">
        <f>IF(WWWW[[#This Row],[Total required water points]]-WWWW[[#This Row],['#Water points coverage]]&lt;0,0,WWWW[[#This Row],[Total required water points]]-WWWW[[#This Row],['#Water points coverage]])</f>
        <v>0</v>
      </c>
      <c r="DA468" s="997">
        <f>ROUND(IF(WWWW[[#This Row],[Total PoP ]]&lt;500,1,WWWW[[#This Row],[Total PoP ]]/500),0)</f>
        <v>1</v>
      </c>
      <c r="DB468" s="997">
        <f>(WWWW[[#This Row],['#_Constructed latrines_by_WASHAgencies]]+WWWW[[#This Row],['#_Non Cluster partner latrines]])-WWWW[[#This Row],['#_Non-functional latrines]]</f>
        <v>22</v>
      </c>
      <c r="DC468" s="631">
        <f>WWWW[[#This Row],[HRP2]]/WWWW[[#This Row],[Total PoP ]]</f>
        <v>0.86785009861932938</v>
      </c>
      <c r="DD46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440</v>
      </c>
      <c r="DE46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6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8" s="424">
        <f>IF(WWWW[[#This Row],['# of functional latrines in THF supported by WASH partners during the reporting period2]]="",0,WWWW[[#This Row],['# of functional latrines in THF supported by WASH partners during the reporting period2]]*50)</f>
        <v>250</v>
      </c>
      <c r="DH468" s="997">
        <f>ROUND(IF(WWWW[[#This Row],[Location Type 1]]="camp",WWWW[[#This Row],[Total PoP ]]/20,IF(WWWW[[#This Row],[Location Type 1]]="Temporary Location",WWWW[[#This Row],[Total PoP ]]/50,(WWWW[[#This Row],[Total PoP ]]/6))),0)</f>
        <v>25</v>
      </c>
      <c r="DI468" s="997">
        <f>IF(WWWW[[#This Row],[Total required Latrines]]-(WWWW[[#This Row],['#_Constructed latrines_by_WASHAgencies]]+WWWW[[#This Row],['#_Non Cluster partner latrines]])&lt;0,0,WWWW[[#This Row],[Total required Latrines]]-(WWWW[[#This Row],['#_Constructed latrines_by_WASHAgencies]]+WWWW[[#This Row],['#_Non Cluster partner latrines]]))</f>
        <v>0</v>
      </c>
      <c r="DJ468" s="999">
        <f>1-WWWW[[#This Row],[% people access to functioning Latrine]]</f>
        <v>0.13214990138067062</v>
      </c>
      <c r="DK468" s="998">
        <f>IF(OR(WWWW[[#This Row],['#_Non-functional latrines]]="",WWWW[[#This Row],['#_Non-functional latrines]]=0),0,WWWW[[#This Row],['#_Non-functional latrines]]/(WWWW[[#This Row],['#_Constructed latrines_by_WASHAgencies]]+WWWW[[#This Row],['#_Non Cluster partner latrines]]))</f>
        <v>0.12</v>
      </c>
      <c r="DL468" s="994">
        <f>IF(500*(WWWW[[#This Row],['#_male hygiene promoters]]+WWWW[[#This Row],['#_female hygiene promoters]])&gt;WWWW[[#This Row],[Total PoP ]],WWWW[[#This Row],[Total PoP ]],500*(WWWW[[#This Row],['#_male hygiene promoters]]+WWWW[[#This Row],['#_female hygiene promoters]]))</f>
        <v>0</v>
      </c>
      <c r="DM46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6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68" s="997">
        <f>IF(WWWW[[#This Row],['# People with access to soap]]&gt;WWWW[[#This Row],['# People with access to Sanity Pads]],WWWW[[#This Row],['# People with access to soap]],WWWW[[#This Row],['# People with access to Sanity Pads]])</f>
        <v>0</v>
      </c>
      <c r="DP468"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68" s="999">
        <f>IF(WWWW[[#This Row],[HRP3]]/WWWW[[#This Row],[Total PoP ]]&gt;1,1,WWWW[[#This Row],[HRP3]]/WWWW[[#This Row],[Total PoP ]])</f>
        <v>0</v>
      </c>
      <c r="DR468" s="998">
        <f>1-WWWW[[#This Row],[Hygiene Coverage%]]</f>
        <v>1</v>
      </c>
      <c r="DS468" s="996">
        <f>WWWW[[#This Row],['# people reached by regular dedicated hygiene promotion_5]]/WWWW[[#This Row],[Total PoP ]]</f>
        <v>0</v>
      </c>
      <c r="DT46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6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68" s="997">
        <f>WWWW[[#This Row],['#_Constructed/Existing hand washing stations]]-WWWW[[#This Row],['#_Non-Functional_hand_washing_stations]]</f>
        <v>8</v>
      </c>
      <c r="DW468" s="994">
        <f>IF(WWWW[[#This Row],['# Functional hand washing stations during reporting period]]*20&gt;WWWW[[#This Row],[Total HH]],WWWW[[#This Row],[Total HH]],WWWW[[#This Row],['# Functional hand washing stations during reporting period]]*20)</f>
        <v>110</v>
      </c>
      <c r="DX468" s="994">
        <f>IF(WWWW[[#This Row],[Is sufficient soap available for TLS? (Yes/No)]]="yes",WWWW[[#This Row],['#_Constructed/Existing hand washing stations at TLS/CFS/THF]],0)</f>
        <v>3</v>
      </c>
      <c r="DY468" s="428">
        <f>IF(WWWW[[#This Row],['# Functional hand washing stations during reporting period]]*100&gt;WWWW[[#This Row],[Total PoP ]],WWWW[[#This Row],[Total PoP ]],WWWW[[#This Row],['# Functional hand washing stations during reporting period]]*100)</f>
        <v>507</v>
      </c>
      <c r="DZ468" s="428" t="str">
        <f>IF(OR(WWWW[[#This Row],['#_students at TLS_CFS]]="",WWWW[[#This Row],['#_students at TLS_CFS]]=0),"No","Yes")</f>
        <v>No</v>
      </c>
      <c r="EA46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E468" s="990" t="str">
        <f>VLOOKUP(WWWW[[#This Row],[Site Name]],SiteDB6[[Site Name]:[CCCM Management]],6,FALSE)</f>
        <v>Yes</v>
      </c>
      <c r="EF468" s="990" t="str">
        <f>VLOOKUP(WWWW[[#This Row],[Site Name]],SiteDB6[[Site Name]:[CCCM Focal Agency]],7,FALSE)</f>
        <v>Shalom</v>
      </c>
      <c r="EG468" s="990" t="str">
        <f>VLOOKUP(WWWW[[#This Row],[Site Name]],SiteDB6[[Site Name]:[Location Type 1]],9,FALSE)</f>
        <v>Camp</v>
      </c>
      <c r="EH468" s="990" t="str">
        <f>VLOOKUP(WWWW[[#This Row],[Site Name]],SiteDB6[[Site Name]:[Type of Accommodation]],10,FALSE)</f>
        <v>Camp</v>
      </c>
      <c r="EI468" s="990" t="str">
        <f>VLOOKUP(WWWW[[#This Row],[Site Name]],SiteDB6[[Site Name]:[Ethnic or GCA/NGCA]],11,FALSE)</f>
        <v>GCA</v>
      </c>
      <c r="EJ468" s="990">
        <f>VLOOKUP(WWWW[[#This Row],[Site Name]],SiteDB6[[Site Name]:[Lat]],12,FALSE)</f>
        <v>25.3540362037037</v>
      </c>
      <c r="EK468" s="990">
        <f>VLOOKUP(WWWW[[#This Row],[Site Name]],SiteDB6[[Site Name]:[Long]],13,FALSE)</f>
        <v>97.441166388888902</v>
      </c>
      <c r="EL468" s="990" t="str">
        <f>VLOOKUP(WWWW[[#This Row],[Site Name]],SiteDB6[[Site Name]:[Pcode]],3,FALSE)</f>
        <v>MMR001CMP032</v>
      </c>
      <c r="EM468" s="995" t="str">
        <f t="shared" si="9"/>
        <v>Covered</v>
      </c>
      <c r="EN468" s="995"/>
      <c r="EO468" s="990">
        <f>VLOOKUP(WWWW[[#This Row],[Site Name]],SiteDB6[[Site Name]:[Pop
(Kachin/Shan-CCCM as of July 2021)]],16,FALSE)</f>
        <v>111</v>
      </c>
      <c r="EP468" s="990">
        <f>VLOOKUP(WWWW[[#This Row],[Site Name]],SiteDB6[[Site Name]:[Pop
(Kachin/Shan-CCCM as of July 2021)]],17,FALSE)</f>
        <v>505</v>
      </c>
    </row>
    <row r="469" spans="1:146">
      <c r="A469" s="988" t="s">
        <v>2765</v>
      </c>
      <c r="B469" s="988" t="s">
        <v>141</v>
      </c>
      <c r="C469" s="989" t="s">
        <v>141</v>
      </c>
      <c r="D469" s="989" t="s">
        <v>241</v>
      </c>
      <c r="E469" s="989" t="s">
        <v>37</v>
      </c>
      <c r="F469" s="989" t="s">
        <v>205</v>
      </c>
      <c r="G469" s="591" t="str">
        <f>VLOOKUP(WWWW[[#This Row],[Site Name]],SiteDB6[[Site Name]:[Location Type]],8,FALSE)</f>
        <v>Camp</v>
      </c>
      <c r="H469" s="989" t="s">
        <v>290</v>
      </c>
      <c r="I469" s="991">
        <v>1490</v>
      </c>
      <c r="J469" s="991">
        <v>8486</v>
      </c>
      <c r="K469" s="992">
        <v>44682</v>
      </c>
      <c r="L469" s="993">
        <v>44865</v>
      </c>
      <c r="M469" s="991"/>
      <c r="N469" s="991">
        <v>3</v>
      </c>
      <c r="O469" s="991"/>
      <c r="P469" s="991"/>
      <c r="Q469" s="994" t="s">
        <v>41</v>
      </c>
      <c r="R469" s="991">
        <v>12</v>
      </c>
      <c r="S469" s="991">
        <v>13</v>
      </c>
      <c r="T469" s="448">
        <v>3</v>
      </c>
      <c r="U469" s="991"/>
      <c r="V469" s="991"/>
      <c r="W469" s="991"/>
      <c r="X469" s="991"/>
      <c r="Y469" s="991"/>
      <c r="Z469" s="991"/>
      <c r="AA469" s="991">
        <v>3</v>
      </c>
      <c r="AB469" s="991"/>
      <c r="AC469" s="991"/>
      <c r="AD469" s="991"/>
      <c r="AE469" s="991">
        <v>3</v>
      </c>
      <c r="AF469" s="991"/>
      <c r="AG469" s="991"/>
      <c r="AH469" s="991"/>
      <c r="AI469" s="991"/>
      <c r="AJ469" s="991"/>
      <c r="AK469" s="991"/>
      <c r="AL469" s="991"/>
      <c r="AM469" s="991"/>
      <c r="AN469" s="991"/>
      <c r="AO469" s="448"/>
      <c r="AP469" s="995"/>
      <c r="AQ469" s="991">
        <v>715</v>
      </c>
      <c r="AR469" s="991"/>
      <c r="AS469" s="996"/>
      <c r="AT469" s="991"/>
      <c r="AU469" s="991"/>
      <c r="AV469" s="991"/>
      <c r="AW469" s="991"/>
      <c r="AX469" s="991"/>
      <c r="AY469" s="990" t="s">
        <v>41</v>
      </c>
      <c r="AZ469" s="995" t="s">
        <v>137</v>
      </c>
      <c r="BA469" s="991"/>
      <c r="BB469" s="991">
        <v>8</v>
      </c>
      <c r="BC469" s="991"/>
      <c r="BD469" s="448"/>
      <c r="BE469" s="448"/>
      <c r="BF469" s="990"/>
      <c r="BG469" s="991">
        <v>145</v>
      </c>
      <c r="BH469" s="991"/>
      <c r="BI469" s="991"/>
      <c r="BJ469" s="991">
        <v>49</v>
      </c>
      <c r="BK469" s="991"/>
      <c r="BL469" s="991">
        <v>12</v>
      </c>
      <c r="BM469" s="991">
        <v>13</v>
      </c>
      <c r="BN469" s="991"/>
      <c r="BO469" s="991"/>
      <c r="BP469" s="990" t="s">
        <v>136</v>
      </c>
      <c r="BQ469" s="997"/>
      <c r="BR469" s="996"/>
      <c r="BS469" s="990"/>
      <c r="BT469" s="423"/>
      <c r="BU469" s="423"/>
      <c r="BV469" s="425"/>
      <c r="BW469" s="423"/>
      <c r="BX469" s="448"/>
      <c r="BY469" s="448"/>
      <c r="BZ469" s="448"/>
      <c r="CA469" s="448"/>
      <c r="CB469" s="448"/>
      <c r="CC469" s="777"/>
      <c r="CD469" s="448"/>
      <c r="CE469" s="998" t="str">
        <f>IFERROR(WWWW[[#This Row],['#_Water sources passed]]/WWWW[[#This Row],['#_Water sources tested for fecal coliform ]],"no test")</f>
        <v>no test</v>
      </c>
      <c r="CF469" s="996" t="str">
        <f>IFERROR(WWWW[[#This Row],['#_Household passed]]/WWWW[[#This Row],['#_Household water samples tested for fecal coliform]],"no test")</f>
        <v>no test</v>
      </c>
      <c r="CG469" s="997" t="str">
        <f>IF(AND(WWWW[[#This Row],[% of water sources passed]]="no test",WWWW[[#This Row],[% Household passed]]="no test"),"No Test","Tested")</f>
        <v>No Test</v>
      </c>
      <c r="CH469" s="997">
        <f>WWWW[[#This Row],['#_Constructed/existing protected hand dug well]]-WWWW[[#This Row],['#_Non-functional protected hand dug well]]</f>
        <v>3</v>
      </c>
      <c r="CI469" s="997">
        <f>(WWWW[[#This Row],['#_Constructed/Existing tube wells/boreholes/handpumps_WASH_agency]]+WWWW[[#This Row],['#_Non-Cluster partner water tube-wells/boreholes/handpumps]])-WWWW[[#This Row],['#_Non-functional tube wells/boreholes/handpumps]]</f>
        <v>0</v>
      </c>
      <c r="CJ469" s="997">
        <f>WWWW[[#This Row],['#_Constructed/Existingwater storage tank with gravity fed reticulation system]]-WWWW[[#This Row],['#_Non-functional storage tank gravity fed reticulation system]]</f>
        <v>3</v>
      </c>
      <c r="CK469" s="997">
        <f>(WWWW[[#This Row],['#_Water_Liters_supplied_by_Water boating or water trucking]]/90)/15</f>
        <v>0</v>
      </c>
      <c r="CL469" s="997">
        <f>WWWW[[#This Row],['#_Water_Liters_from_Constructed/Existing water distribution system from river or natural spring]]/90/15</f>
        <v>0</v>
      </c>
      <c r="CM469" s="424">
        <f>IF(WWWW[[#This Row],['#_of water points in TLS/CFS]]*500&gt;WWWW[[#This Row],[Total PoP ]],WWWW[[#This Row],[Total PoP ]],WWWW[[#This Row],['#_of water points in TLS/CFS]]*500)</f>
        <v>0</v>
      </c>
      <c r="CN469" s="424">
        <f>IF(WWWW[[#This Row],['#_of water points in THF]]*500&gt;WWWW[[#This Row],[Total PoP ]],WWWW[[#This Row],[Total PoP ]],WWWW[[#This Row],['#_of water points in THF]]*500)</f>
        <v>0</v>
      </c>
      <c r="CO46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0.16497761018147536</v>
      </c>
      <c r="CP46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0.11194909262314401</v>
      </c>
      <c r="CQ469" s="996">
        <f>IF(WWWW[[#This Row],[Location Type 1]]="Village",WWWW[[#This Row],[Access to safe drinking water for Village]],WWWW[[#This Row],[Access to safe drinking water for Camp]])</f>
        <v>0.16497761018147536</v>
      </c>
      <c r="CR469" s="994">
        <f>WWWW[[#This Row],[%Equitable and continuous access to sufficient quantity of safe drinking water]]*WWWW[[#This Row],[Total PoP ]]</f>
        <v>1400</v>
      </c>
      <c r="CS469" s="996">
        <f>IF((WWWW[[#This Row],['#_Constructed/Existing protected/fenced ponds]]*250)/WWWW[[#This Row],[Total PoP ]]&gt;1,1,(WWWW[[#This Row],['#_Constructed/Existing protected/fenced ponds]]*250)/WWWW[[#This Row],[Total PoP ]])</f>
        <v>8.8380862597218945E-2</v>
      </c>
      <c r="CT469" s="994">
        <f>WWWW[[#This Row],[% Access to unimproved water points]]*WWWW[[#This Row],[Total PoP ]]</f>
        <v>750</v>
      </c>
      <c r="CU46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0.25335847277869428</v>
      </c>
      <c r="CV46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2150</v>
      </c>
      <c r="CW469" s="994">
        <f>WWWW[[#This Row],[HRP1]]/500</f>
        <v>4.3</v>
      </c>
      <c r="CX469" s="999">
        <f>1-WWWW[[#This Row],[% Equitable and continuous access to sufficient quantity of domestic water]]</f>
        <v>0.74664152722130572</v>
      </c>
      <c r="CY469" s="994">
        <f>WWWW[[#This Row],[%equitable and continuous access to sufficient quantity of safe drinking and domestic water''s GAP]]*WWWW[[#This Row],[Total PoP ]]</f>
        <v>6336</v>
      </c>
      <c r="CZ469" s="997">
        <f>IF(WWWW[[#This Row],[Total required water points]]-WWWW[[#This Row],['#Water points coverage]]&lt;0,0,WWWW[[#This Row],[Total required water points]]-WWWW[[#This Row],['#Water points coverage]])</f>
        <v>12.7</v>
      </c>
      <c r="DA469" s="997">
        <f>ROUND(IF(WWWW[[#This Row],[Total PoP ]]&lt;500,1,WWWW[[#This Row],[Total PoP ]]/500),0)</f>
        <v>17</v>
      </c>
      <c r="DB469" s="997">
        <f>(WWWW[[#This Row],['#_Constructed latrines_by_WASHAgencies]]+WWWW[[#This Row],['#_Non Cluster partner latrines]])-WWWW[[#This Row],['#_Non-functional latrines]]</f>
        <v>715</v>
      </c>
      <c r="DC469" s="631">
        <f>WWWW[[#This Row],[HRP2]]/WWWW[[#This Row],[Total PoP ]]</f>
        <v>1</v>
      </c>
      <c r="DD46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8486</v>
      </c>
      <c r="DE46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6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9" s="424">
        <f>IF(WWWW[[#This Row],['# of functional latrines in THF supported by WASH partners during the reporting period2]]="",0,WWWW[[#This Row],['# of functional latrines in THF supported by WASH partners during the reporting period2]]*50)</f>
        <v>0</v>
      </c>
      <c r="DH469" s="997">
        <f>ROUND(IF(WWWW[[#This Row],[Location Type 1]]="camp",WWWW[[#This Row],[Total PoP ]]/20,IF(WWWW[[#This Row],[Location Type 1]]="Temporary Location",WWWW[[#This Row],[Total PoP ]]/50,(WWWW[[#This Row],[Total PoP ]]/6))),0)</f>
        <v>424</v>
      </c>
      <c r="DI469" s="997">
        <f>IF(WWWW[[#This Row],[Total required Latrines]]-(WWWW[[#This Row],['#_Constructed latrines_by_WASHAgencies]]+WWWW[[#This Row],['#_Non Cluster partner latrines]])&lt;0,0,WWWW[[#This Row],[Total required Latrines]]-(WWWW[[#This Row],['#_Constructed latrines_by_WASHAgencies]]+WWWW[[#This Row],['#_Non Cluster partner latrines]]))</f>
        <v>0</v>
      </c>
      <c r="DJ469" s="999">
        <f>1-WWWW[[#This Row],[% people access to functioning Latrine]]</f>
        <v>0</v>
      </c>
      <c r="DK469" s="998">
        <f>IF(OR(WWWW[[#This Row],['#_Non-functional latrines]]="",WWWW[[#This Row],['#_Non-functional latrines]]=0),0,WWWW[[#This Row],['#_Non-functional latrines]]/(WWWW[[#This Row],['#_Constructed latrines_by_WASHAgencies]]+WWWW[[#This Row],['#_Non Cluster partner latrines]]))</f>
        <v>0</v>
      </c>
      <c r="DL469" s="994">
        <f>IF(500*(WWWW[[#This Row],['#_male hygiene promoters]]+WWWW[[#This Row],['#_female hygiene promoters]])&gt;WWWW[[#This Row],[Total PoP ]],WWWW[[#This Row],[Total PoP ]],500*(WWWW[[#This Row],['#_male hygiene promoters]]+WWWW[[#This Row],['#_female hygiene promoters]]))</f>
        <v>8486</v>
      </c>
      <c r="DM46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6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69" s="997">
        <f>IF(WWWW[[#This Row],['# People with access to soap]]&gt;WWWW[[#This Row],['# People with access to Sanity Pads]],WWWW[[#This Row],['# People with access to soap]],WWWW[[#This Row],['# People with access to Sanity Pads]])</f>
        <v>0</v>
      </c>
      <c r="DP469" s="997">
        <f>IF(WWWW[[#This Row],['# people reached by regular dedicated hygiene promotion_5]]&gt;WWWW[[#This Row],['# People received regular supply of hygiene items_6]],WWWW[[#This Row],['# people reached by regular dedicated hygiene promotion_5]],WWWW[[#This Row],['# People received regular supply of hygiene items_6]])</f>
        <v>8486</v>
      </c>
      <c r="DQ469" s="999">
        <f>IF(WWWW[[#This Row],[HRP3]]/WWWW[[#This Row],[Total PoP ]]&gt;1,1,WWWW[[#This Row],[HRP3]]/WWWW[[#This Row],[Total PoP ]])</f>
        <v>1</v>
      </c>
      <c r="DR469" s="998">
        <f>1-WWWW[[#This Row],[Hygiene Coverage%]]</f>
        <v>0</v>
      </c>
      <c r="DS469" s="996">
        <f>WWWW[[#This Row],['# people reached by regular dedicated hygiene promotion_5]]/WWWW[[#This Row],[Total PoP ]]</f>
        <v>1</v>
      </c>
      <c r="DT46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6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69" s="997">
        <f>WWWW[[#This Row],['#_Constructed/Existing hand washing stations]]-WWWW[[#This Row],['#_Non-Functional_hand_washing_stations]]</f>
        <v>145</v>
      </c>
      <c r="DW469" s="994">
        <f>IF(WWWW[[#This Row],['# Functional hand washing stations during reporting period]]*20&gt;WWWW[[#This Row],[Total HH]],WWWW[[#This Row],[Total HH]],WWWW[[#This Row],['# Functional hand washing stations during reporting period]]*20)</f>
        <v>1490</v>
      </c>
      <c r="DX469" s="994">
        <f>IF(WWWW[[#This Row],[Is sufficient soap available for TLS? (Yes/No)]]="yes",WWWW[[#This Row],['#_Constructed/Existing hand washing stations at TLS/CFS/THF]],0)</f>
        <v>0</v>
      </c>
      <c r="DY469" s="428">
        <f>IF(WWWW[[#This Row],['# Functional hand washing stations during reporting period]]*100&gt;WWWW[[#This Row],[Total PoP ]],WWWW[[#This Row],[Total PoP ]],WWWW[[#This Row],['# Functional hand washing stations during reporting period]]*100)</f>
        <v>8486</v>
      </c>
      <c r="DZ469" s="428" t="str">
        <f>IF(OR(WWWW[[#This Row],['#_students at TLS_CFS]]="",WWWW[[#This Row],['#_students at TLS_CFS]]=0),"No","Yes")</f>
        <v>No</v>
      </c>
      <c r="EA46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9" s="990" t="str">
        <f>VLOOKUP(WWWW[[#This Row],[Site Name]],SiteDB6[[Site Name]:[CCCM Management]],6,FALSE)</f>
        <v>Yes</v>
      </c>
      <c r="EF469" s="990" t="str">
        <f>VLOOKUP(WWWW[[#This Row],[Site Name]],SiteDB6[[Site Name]:[CCCM Focal Agency]],7,FALSE)</f>
        <v>KMSS-MYT</v>
      </c>
      <c r="EG469" s="990" t="str">
        <f>VLOOKUP(WWWW[[#This Row],[Site Name]],SiteDB6[[Site Name]:[Location Type 1]],9,FALSE)</f>
        <v>Camp</v>
      </c>
      <c r="EH469" s="990" t="str">
        <f>VLOOKUP(WWWW[[#This Row],[Site Name]],SiteDB6[[Site Name]:[Type of Accommodation]],10,FALSE)</f>
        <v>Camp</v>
      </c>
      <c r="EI469" s="990" t="str">
        <f>VLOOKUP(WWWW[[#This Row],[Site Name]],SiteDB6[[Site Name]:[Ethnic or GCA/NGCA]],11,FALSE)</f>
        <v>NGCA</v>
      </c>
      <c r="EJ469" s="990">
        <f>VLOOKUP(WWWW[[#This Row],[Site Name]],SiteDB6[[Site Name]:[Lat]],12,FALSE)</f>
        <v>24.688338999999999</v>
      </c>
      <c r="EK469" s="990">
        <f>VLOOKUP(WWWW[[#This Row],[Site Name]],SiteDB6[[Site Name]:[Long]],13,FALSE)</f>
        <v>97.568331999999998</v>
      </c>
      <c r="EL469" s="990" t="str">
        <f>VLOOKUP(WWWW[[#This Row],[Site Name]],SiteDB6[[Site Name]:[Pcode]],3,FALSE)</f>
        <v>MMR001CMP121</v>
      </c>
      <c r="EM469" s="995" t="str">
        <f t="shared" si="9"/>
        <v>Covered</v>
      </c>
      <c r="EN469" s="995"/>
      <c r="EO469" s="990">
        <f>VLOOKUP(WWWW[[#This Row],[Site Name]],SiteDB6[[Site Name]:[Pop
(Kachin/Shan-CCCM as of July 2021)]],16,FALSE)</f>
        <v>1592</v>
      </c>
      <c r="EP469" s="990">
        <f>VLOOKUP(WWWW[[#This Row],[Site Name]],SiteDB6[[Site Name]:[Pop
(Kachin/Shan-CCCM as of July 2021)]],17,FALSE)</f>
        <v>8220</v>
      </c>
    </row>
    <row r="470" spans="1:146">
      <c r="A470" s="988" t="s">
        <v>2765</v>
      </c>
      <c r="B470" s="988" t="s">
        <v>192</v>
      </c>
      <c r="C470" s="989" t="s">
        <v>192</v>
      </c>
      <c r="D470" s="989" t="s">
        <v>3050</v>
      </c>
      <c r="E470" s="989" t="s">
        <v>37</v>
      </c>
      <c r="F470" s="989" t="s">
        <v>205</v>
      </c>
      <c r="G470" s="591" t="str">
        <f>VLOOKUP(WWWW[[#This Row],[Site Name]],SiteDB6[[Site Name]:[Location Type]],8,FALSE)</f>
        <v>Camp</v>
      </c>
      <c r="H470" s="989" t="s">
        <v>217</v>
      </c>
      <c r="I470" s="991">
        <v>715</v>
      </c>
      <c r="J470" s="991">
        <v>3789</v>
      </c>
      <c r="K470" s="992" t="s">
        <v>3051</v>
      </c>
      <c r="L470" s="993" t="s">
        <v>3052</v>
      </c>
      <c r="M470" s="991"/>
      <c r="N470" s="991"/>
      <c r="O470" s="991">
        <v>3</v>
      </c>
      <c r="P470" s="991"/>
      <c r="Q470" s="994" t="s">
        <v>41</v>
      </c>
      <c r="R470" s="991">
        <v>4</v>
      </c>
      <c r="S470" s="991">
        <v>3</v>
      </c>
      <c r="T470" s="448">
        <v>3</v>
      </c>
      <c r="U470" s="991"/>
      <c r="V470" s="991"/>
      <c r="W470" s="991"/>
      <c r="X470" s="991"/>
      <c r="Y470" s="991"/>
      <c r="Z470" s="991"/>
      <c r="AA470" s="991">
        <v>1</v>
      </c>
      <c r="AB470" s="991"/>
      <c r="AC470" s="991"/>
      <c r="AD470" s="991"/>
      <c r="AE470" s="991"/>
      <c r="AF470" s="991"/>
      <c r="AG470" s="991"/>
      <c r="AH470" s="991"/>
      <c r="AI470" s="991"/>
      <c r="AJ470" s="991"/>
      <c r="AK470" s="991"/>
      <c r="AL470" s="991"/>
      <c r="AM470" s="991">
        <v>4</v>
      </c>
      <c r="AN470" s="991">
        <v>3</v>
      </c>
      <c r="AO470" s="448"/>
      <c r="AP470" s="995"/>
      <c r="AQ470" s="991">
        <v>306</v>
      </c>
      <c r="AR470" s="991"/>
      <c r="AS470" s="996"/>
      <c r="AT470" s="991"/>
      <c r="AU470" s="991"/>
      <c r="AV470" s="991"/>
      <c r="AW470" s="991"/>
      <c r="AX470" s="991"/>
      <c r="AY470" s="990" t="s">
        <v>41</v>
      </c>
      <c r="AZ470" s="995" t="s">
        <v>137</v>
      </c>
      <c r="BA470" s="991">
        <v>13</v>
      </c>
      <c r="BB470" s="991"/>
      <c r="BC470" s="991">
        <v>46</v>
      </c>
      <c r="BD470" s="448">
        <v>4</v>
      </c>
      <c r="BE470" s="448"/>
      <c r="BF470" s="990"/>
      <c r="BG470" s="991">
        <v>1</v>
      </c>
      <c r="BH470" s="991"/>
      <c r="BI470" s="991"/>
      <c r="BJ470" s="991">
        <v>1</v>
      </c>
      <c r="BK470" s="991"/>
      <c r="BL470" s="991"/>
      <c r="BM470" s="991">
        <v>1</v>
      </c>
      <c r="BN470" s="991"/>
      <c r="BO470" s="991"/>
      <c r="BP470" s="990"/>
      <c r="BQ470" s="997"/>
      <c r="BR470" s="996"/>
      <c r="BS470" s="990"/>
      <c r="BT470" s="423"/>
      <c r="BU470" s="423"/>
      <c r="BV470" s="425"/>
      <c r="BW470" s="423"/>
      <c r="BX470" s="448"/>
      <c r="BY470" s="448"/>
      <c r="BZ470" s="448"/>
      <c r="CA470" s="448"/>
      <c r="CB470" s="448"/>
      <c r="CC470" s="777"/>
      <c r="CD470" s="448"/>
      <c r="CE470" s="998" t="str">
        <f>IFERROR(WWWW[[#This Row],['#_Water sources passed]]/WWWW[[#This Row],['#_Water sources tested for fecal coliform ]],"no test")</f>
        <v>no test</v>
      </c>
      <c r="CF470" s="996" t="str">
        <f>IFERROR(WWWW[[#This Row],['#_Household passed]]/WWWW[[#This Row],['#_Household water samples tested for fecal coliform]],"no test")</f>
        <v>no test</v>
      </c>
      <c r="CG470" s="997" t="str">
        <f>IF(AND(WWWW[[#This Row],[% of water sources passed]]="no test",WWWW[[#This Row],[% Household passed]]="no test"),"No Test","Tested")</f>
        <v>No Test</v>
      </c>
      <c r="CH470" s="997">
        <f>WWWW[[#This Row],['#_Constructed/existing protected hand dug well]]-WWWW[[#This Row],['#_Non-functional protected hand dug well]]</f>
        <v>3</v>
      </c>
      <c r="CI470" s="997">
        <f>(WWWW[[#This Row],['#_Constructed/Existing tube wells/boreholes/handpumps_WASH_agency]]+WWWW[[#This Row],['#_Non-Cluster partner water tube-wells/boreholes/handpumps]])-WWWW[[#This Row],['#_Non-functional tube wells/boreholes/handpumps]]</f>
        <v>0</v>
      </c>
      <c r="CJ470" s="997">
        <f>WWWW[[#This Row],['#_Constructed/Existingwater storage tank with gravity fed reticulation system]]-WWWW[[#This Row],['#_Non-functional storage tank gravity fed reticulation system]]</f>
        <v>1</v>
      </c>
      <c r="CK470" s="997">
        <f>(WWWW[[#This Row],['#_Water_Liters_supplied_by_Water boating or water trucking]]/90)/15</f>
        <v>0</v>
      </c>
      <c r="CL470" s="997">
        <f>WWWW[[#This Row],['#_Water_Liters_from_Constructed/Existing water distribution system from river or natural spring]]/90/15</f>
        <v>0</v>
      </c>
      <c r="CM470" s="424">
        <f>IF(WWWW[[#This Row],['#_of water points in TLS/CFS]]*500&gt;WWWW[[#This Row],[Total PoP ]],WWWW[[#This Row],[Total PoP ]],WWWW[[#This Row],['#_of water points in TLS/CFS]]*500)</f>
        <v>1500</v>
      </c>
      <c r="CN470" s="424">
        <f>IF(WWWW[[#This Row],['#_of water points in THF]]*500&gt;WWWW[[#This Row],[Total PoP ]],WWWW[[#This Row],[Total PoP ]],WWWW[[#This Row],['#_of water points in THF]]*500)</f>
        <v>0</v>
      </c>
      <c r="CO47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0.33430104689012052</v>
      </c>
      <c r="CP47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0.2155362012844198</v>
      </c>
      <c r="CQ470" s="996">
        <f>IF(WWWW[[#This Row],[Location Type 1]]="Village",WWWW[[#This Row],[Access to safe drinking water for Village]],WWWW[[#This Row],[Access to safe drinking water for Camp]])</f>
        <v>0.33430104689012052</v>
      </c>
      <c r="CR470" s="994">
        <f>WWWW[[#This Row],[%Equitable and continuous access to sufficient quantity of safe drinking water]]*WWWW[[#This Row],[Total PoP ]]</f>
        <v>1266.6666666666667</v>
      </c>
      <c r="CS470" s="996">
        <f>IF((WWWW[[#This Row],['#_Constructed/Existing protected/fenced ponds]]*250)/WWWW[[#This Row],[Total PoP ]]&gt;1,1,(WWWW[[#This Row],['#_Constructed/Existing protected/fenced ponds]]*250)/WWWW[[#This Row],[Total PoP ]])</f>
        <v>0</v>
      </c>
      <c r="CT470" s="994">
        <f>WWWW[[#This Row],[% Access to unimproved water points]]*WWWW[[#This Row],[Total PoP ]]</f>
        <v>0</v>
      </c>
      <c r="CU47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0.33430104689012052</v>
      </c>
      <c r="CV47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1266.6666666666667</v>
      </c>
      <c r="CW470" s="994">
        <f>WWWW[[#This Row],[HRP1]]/500</f>
        <v>2.5333333333333337</v>
      </c>
      <c r="CX470" s="999">
        <f>1-WWWW[[#This Row],[% Equitable and continuous access to sufficient quantity of domestic water]]</f>
        <v>0.66569895310987948</v>
      </c>
      <c r="CY470" s="994">
        <f>WWWW[[#This Row],[%equitable and continuous access to sufficient quantity of safe drinking and domestic water''s GAP]]*WWWW[[#This Row],[Total PoP ]]</f>
        <v>2522.3333333333335</v>
      </c>
      <c r="CZ470" s="997">
        <f>IF(WWWW[[#This Row],[Total required water points]]-WWWW[[#This Row],['#Water points coverage]]&lt;0,0,WWWW[[#This Row],[Total required water points]]-WWWW[[#This Row],['#Water points coverage]])</f>
        <v>5.4666666666666668</v>
      </c>
      <c r="DA470" s="997">
        <f>ROUND(IF(WWWW[[#This Row],[Total PoP ]]&lt;500,1,WWWW[[#This Row],[Total PoP ]]/500),0)</f>
        <v>8</v>
      </c>
      <c r="DB470" s="997">
        <f>(WWWW[[#This Row],['#_Constructed latrines_by_WASHAgencies]]+WWWW[[#This Row],['#_Non Cluster partner latrines]])-WWWW[[#This Row],['#_Non-functional latrines]]</f>
        <v>306</v>
      </c>
      <c r="DC470" s="631">
        <f>WWWW[[#This Row],[HRP2]]/WWWW[[#This Row],[Total PoP ]]</f>
        <v>1</v>
      </c>
      <c r="DD47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3789</v>
      </c>
      <c r="DE47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0" s="424">
        <f>IF(WWWW[[#This Row],['# of functional latrines in THF supported by WASH partners during the reporting period2]]="",0,WWWW[[#This Row],['# of functional latrines in THF supported by WASH partners during the reporting period2]]*50)</f>
        <v>200</v>
      </c>
      <c r="DH470" s="997">
        <f>ROUND(IF(WWWW[[#This Row],[Location Type 1]]="camp",WWWW[[#This Row],[Total PoP ]]/20,IF(WWWW[[#This Row],[Location Type 1]]="Temporary Location",WWWW[[#This Row],[Total PoP ]]/50,(WWWW[[#This Row],[Total PoP ]]/6))),0)</f>
        <v>189</v>
      </c>
      <c r="DI470" s="997">
        <f>IF(WWWW[[#This Row],[Total required Latrines]]-(WWWW[[#This Row],['#_Constructed latrines_by_WASHAgencies]]+WWWW[[#This Row],['#_Non Cluster partner latrines]])&lt;0,0,WWWW[[#This Row],[Total required Latrines]]-(WWWW[[#This Row],['#_Constructed latrines_by_WASHAgencies]]+WWWW[[#This Row],['#_Non Cluster partner latrines]]))</f>
        <v>0</v>
      </c>
      <c r="DJ470" s="999">
        <f>1-WWWW[[#This Row],[% people access to functioning Latrine]]</f>
        <v>0</v>
      </c>
      <c r="DK470" s="998">
        <f>IF(OR(WWWW[[#This Row],['#_Non-functional latrines]]="",WWWW[[#This Row],['#_Non-functional latrines]]=0),0,WWWW[[#This Row],['#_Non-functional latrines]]/(WWWW[[#This Row],['#_Constructed latrines_by_WASHAgencies]]+WWWW[[#This Row],['#_Non Cluster partner latrines]]))</f>
        <v>0</v>
      </c>
      <c r="DL470" s="994">
        <f>IF(500*(WWWW[[#This Row],['#_male hygiene promoters]]+WWWW[[#This Row],['#_female hygiene promoters]])&gt;WWWW[[#This Row],[Total PoP ]],WWWW[[#This Row],[Total PoP ]],500*(WWWW[[#This Row],['#_male hygiene promoters]]+WWWW[[#This Row],['#_female hygiene promoters]]))</f>
        <v>500</v>
      </c>
      <c r="DM47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7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70" s="997">
        <f>IF(WWWW[[#This Row],['# People with access to soap]]&gt;WWWW[[#This Row],['# People with access to Sanity Pads]],WWWW[[#This Row],['# People with access to soap]],WWWW[[#This Row],['# People with access to Sanity Pads]])</f>
        <v>0</v>
      </c>
      <c r="DP470" s="99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470" s="999">
        <f>IF(WWWW[[#This Row],[HRP3]]/WWWW[[#This Row],[Total PoP ]]&gt;1,1,WWWW[[#This Row],[HRP3]]/WWWW[[#This Row],[Total PoP ]])</f>
        <v>0.13196093956188967</v>
      </c>
      <c r="DR470" s="998">
        <f>1-WWWW[[#This Row],[Hygiene Coverage%]]</f>
        <v>0.8680390604381103</v>
      </c>
      <c r="DS470" s="996">
        <f>WWWW[[#This Row],['# people reached by regular dedicated hygiene promotion_5]]/WWWW[[#This Row],[Total PoP ]]</f>
        <v>0.13196093956188967</v>
      </c>
      <c r="DT47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7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70" s="997">
        <f>WWWW[[#This Row],['#_Constructed/Existing hand washing stations]]-WWWW[[#This Row],['#_Non-Functional_hand_washing_stations]]</f>
        <v>1</v>
      </c>
      <c r="DW470" s="994">
        <f>IF(WWWW[[#This Row],['# Functional hand washing stations during reporting period]]*20&gt;WWWW[[#This Row],[Total HH]],WWWW[[#This Row],[Total HH]],WWWW[[#This Row],['# Functional hand washing stations during reporting period]]*20)</f>
        <v>20</v>
      </c>
      <c r="DX470" s="994">
        <f>IF(WWWW[[#This Row],[Is sufficient soap available for TLS? (Yes/No)]]="yes",WWWW[[#This Row],['#_Constructed/Existing hand washing stations at TLS/CFS/THF]],0)</f>
        <v>0</v>
      </c>
      <c r="DY470" s="428">
        <f>IF(WWWW[[#This Row],['# Functional hand washing stations during reporting period]]*100&gt;WWWW[[#This Row],[Total PoP ]],WWWW[[#This Row],[Total PoP ]],WWWW[[#This Row],['# Functional hand washing stations during reporting period]]*100)</f>
        <v>100</v>
      </c>
      <c r="DZ470" s="428" t="str">
        <f>IF(OR(WWWW[[#This Row],['#_students at TLS_CFS]]="",WWWW[[#This Row],['#_students at TLS_CFS]]=0),"No","Yes")</f>
        <v>No</v>
      </c>
      <c r="EA47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47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E470" s="990" t="str">
        <f>VLOOKUP(WWWW[[#This Row],[Site Name]],SiteDB6[[Site Name]:[CCCM Management]],6,FALSE)</f>
        <v>Yes</v>
      </c>
      <c r="EF470" s="990" t="str">
        <f>VLOOKUP(WWWW[[#This Row],[Site Name]],SiteDB6[[Site Name]:[CCCM Focal Agency]],7,FALSE)</f>
        <v>KMSS-MYT</v>
      </c>
      <c r="EG470" s="990" t="str">
        <f>VLOOKUP(WWWW[[#This Row],[Site Name]],SiteDB6[[Site Name]:[Location Type 1]],9,FALSE)</f>
        <v>Camp</v>
      </c>
      <c r="EH470" s="990" t="str">
        <f>VLOOKUP(WWWW[[#This Row],[Site Name]],SiteDB6[[Site Name]:[Type of Accommodation]],10,FALSE)</f>
        <v>Camp</v>
      </c>
      <c r="EI470" s="990" t="str">
        <f>VLOOKUP(WWWW[[#This Row],[Site Name]],SiteDB6[[Site Name]:[Ethnic or GCA/NGCA]],11,FALSE)</f>
        <v>NGCA</v>
      </c>
      <c r="EJ470" s="990">
        <f>VLOOKUP(WWWW[[#This Row],[Site Name]],SiteDB6[[Site Name]:[Lat]],12,FALSE)</f>
        <v>24.661905999999998</v>
      </c>
      <c r="EK470" s="990">
        <f>VLOOKUP(WWWW[[#This Row],[Site Name]],SiteDB6[[Site Name]:[Long]],13,FALSE)</f>
        <v>97.573126000000002</v>
      </c>
      <c r="EL470" s="990" t="str">
        <f>VLOOKUP(WWWW[[#This Row],[Site Name]],SiteDB6[[Site Name]:[Pcode]],3,FALSE)</f>
        <v>MMR001CMP122</v>
      </c>
      <c r="EM470" s="995" t="str">
        <f t="shared" si="9"/>
        <v>Covered</v>
      </c>
      <c r="EN470" s="995"/>
      <c r="EO470" s="990">
        <f>VLOOKUP(WWWW[[#This Row],[Site Name]],SiteDB6[[Site Name]:[Pop
(Kachin/Shan-CCCM as of July 2021)]],16,FALSE)</f>
        <v>664</v>
      </c>
      <c r="EP470" s="990">
        <f>VLOOKUP(WWWW[[#This Row],[Site Name]],SiteDB6[[Site Name]:[Pop
(Kachin/Shan-CCCM as of July 2021)]],17,FALSE)</f>
        <v>3491</v>
      </c>
    </row>
    <row r="471" spans="1:146">
      <c r="A471" s="988" t="s">
        <v>2765</v>
      </c>
      <c r="B471" s="988" t="s">
        <v>36</v>
      </c>
      <c r="C471" s="989" t="s">
        <v>36</v>
      </c>
      <c r="D471" s="989" t="s">
        <v>241</v>
      </c>
      <c r="E471" s="989" t="s">
        <v>37</v>
      </c>
      <c r="F471" s="989" t="s">
        <v>205</v>
      </c>
      <c r="G471" s="591" t="str">
        <f>VLOOKUP(WWWW[[#This Row],[Site Name]],SiteDB6[[Site Name]:[Location Type]],8,FALSE)</f>
        <v>Camp</v>
      </c>
      <c r="H471" s="989" t="s">
        <v>232</v>
      </c>
      <c r="I471" s="991">
        <v>72</v>
      </c>
      <c r="J471" s="991">
        <v>411</v>
      </c>
      <c r="K471" s="992">
        <v>44414</v>
      </c>
      <c r="L471" s="993">
        <v>44778</v>
      </c>
      <c r="M471" s="991"/>
      <c r="N471" s="991">
        <v>2</v>
      </c>
      <c r="O471" s="991"/>
      <c r="P471" s="991"/>
      <c r="Q471" s="994" t="s">
        <v>41</v>
      </c>
      <c r="R471" s="991">
        <v>3</v>
      </c>
      <c r="S471" s="991">
        <v>3</v>
      </c>
      <c r="T471" s="448">
        <v>3</v>
      </c>
      <c r="U471" s="991"/>
      <c r="V471" s="991"/>
      <c r="W471" s="991">
        <v>1</v>
      </c>
      <c r="X471" s="991"/>
      <c r="Y471" s="991"/>
      <c r="Z471" s="991"/>
      <c r="AA471" s="991">
        <v>1</v>
      </c>
      <c r="AB471" s="991"/>
      <c r="AC471" s="991"/>
      <c r="AD471" s="991"/>
      <c r="AE471" s="991"/>
      <c r="AF471" s="991"/>
      <c r="AG471" s="991"/>
      <c r="AH471" s="991"/>
      <c r="AI471" s="991"/>
      <c r="AJ471" s="991"/>
      <c r="AK471" s="991"/>
      <c r="AL471" s="991"/>
      <c r="AM471" s="991">
        <v>4</v>
      </c>
      <c r="AN471" s="991"/>
      <c r="AO471" s="448"/>
      <c r="AP471" s="995"/>
      <c r="AQ471" s="991">
        <v>20</v>
      </c>
      <c r="AR471" s="991"/>
      <c r="AS471" s="996"/>
      <c r="AT471" s="991"/>
      <c r="AU471" s="991"/>
      <c r="AV471" s="991"/>
      <c r="AW471" s="991"/>
      <c r="AX471" s="991"/>
      <c r="AY471" s="990" t="s">
        <v>41</v>
      </c>
      <c r="AZ471" s="995" t="s">
        <v>137</v>
      </c>
      <c r="BA471" s="991">
        <v>1</v>
      </c>
      <c r="BB471" s="991"/>
      <c r="BC471" s="991"/>
      <c r="BD471" s="448"/>
      <c r="BE471" s="448"/>
      <c r="BF471" s="990"/>
      <c r="BG471" s="991"/>
      <c r="BH471" s="991"/>
      <c r="BI471" s="991"/>
      <c r="BJ471" s="991">
        <v>3</v>
      </c>
      <c r="BK471" s="991"/>
      <c r="BL471" s="991"/>
      <c r="BM471" s="991">
        <v>2</v>
      </c>
      <c r="BN471" s="991"/>
      <c r="BO471" s="991"/>
      <c r="BP471" s="990" t="s">
        <v>41</v>
      </c>
      <c r="BQ471" s="997"/>
      <c r="BR471" s="996"/>
      <c r="BS471" s="990"/>
      <c r="BT471" s="423"/>
      <c r="BU471" s="423"/>
      <c r="BV471" s="425"/>
      <c r="BW471" s="423"/>
      <c r="BX471" s="448"/>
      <c r="BY471" s="448"/>
      <c r="BZ471" s="448"/>
      <c r="CA471" s="448"/>
      <c r="CB471" s="448"/>
      <c r="CC471" s="777"/>
      <c r="CD471" s="448"/>
      <c r="CE471" s="998" t="str">
        <f>IFERROR(WWWW[[#This Row],['#_Water sources passed]]/WWWW[[#This Row],['#_Water sources tested for fecal coliform ]],"no test")</f>
        <v>no test</v>
      </c>
      <c r="CF471" s="996" t="str">
        <f>IFERROR(WWWW[[#This Row],['#_Household passed]]/WWWW[[#This Row],['#_Household water samples tested for fecal coliform]],"no test")</f>
        <v>no test</v>
      </c>
      <c r="CG471" s="997" t="str">
        <f>IF(AND(WWWW[[#This Row],[% of water sources passed]]="no test",WWWW[[#This Row],[% Household passed]]="no test"),"No Test","Tested")</f>
        <v>No Test</v>
      </c>
      <c r="CH471" s="997">
        <f>WWWW[[#This Row],['#_Constructed/existing protected hand dug well]]-WWWW[[#This Row],['#_Non-functional protected hand dug well]]</f>
        <v>3</v>
      </c>
      <c r="CI471" s="997">
        <f>(WWWW[[#This Row],['#_Constructed/Existing tube wells/boreholes/handpumps_WASH_agency]]+WWWW[[#This Row],['#_Non-Cluster partner water tube-wells/boreholes/handpumps]])-WWWW[[#This Row],['#_Non-functional tube wells/boreholes/handpumps]]</f>
        <v>1</v>
      </c>
      <c r="CJ471" s="997">
        <f>WWWW[[#This Row],['#_Constructed/Existingwater storage tank with gravity fed reticulation system]]-WWWW[[#This Row],['#_Non-functional storage tank gravity fed reticulation system]]</f>
        <v>1</v>
      </c>
      <c r="CK471" s="997">
        <f>(WWWW[[#This Row],['#_Water_Liters_supplied_by_Water boating or water trucking]]/90)/15</f>
        <v>0</v>
      </c>
      <c r="CL471" s="997">
        <f>WWWW[[#This Row],['#_Water_Liters_from_Constructed/Existing water distribution system from river or natural spring]]/90/15</f>
        <v>0</v>
      </c>
      <c r="CM471" s="424">
        <f>IF(WWWW[[#This Row],['#_of water points in TLS/CFS]]*500&gt;WWWW[[#This Row],[Total PoP ]],WWWW[[#This Row],[Total PoP ]],WWWW[[#This Row],['#_of water points in TLS/CFS]]*500)</f>
        <v>0</v>
      </c>
      <c r="CN471" s="424">
        <f>IF(WWWW[[#This Row],['#_of water points in THF]]*500&gt;WWWW[[#This Row],[Total PoP ]],WWWW[[#This Row],[Total PoP ]],WWWW[[#This Row],['#_of water points in THF]]*500)</f>
        <v>0</v>
      </c>
      <c r="CO47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7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71" s="996">
        <f>IF(WWWW[[#This Row],[Location Type 1]]="Village",WWWW[[#This Row],[Access to safe drinking water for Village]],WWWW[[#This Row],[Access to safe drinking water for Camp]])</f>
        <v>1</v>
      </c>
      <c r="CR471" s="994">
        <f>WWWW[[#This Row],[%Equitable and continuous access to sufficient quantity of safe drinking water]]*WWWW[[#This Row],[Total PoP ]]</f>
        <v>411</v>
      </c>
      <c r="CS471" s="996">
        <f>IF((WWWW[[#This Row],['#_Constructed/Existing protected/fenced ponds]]*250)/WWWW[[#This Row],[Total PoP ]]&gt;1,1,(WWWW[[#This Row],['#_Constructed/Existing protected/fenced ponds]]*250)/WWWW[[#This Row],[Total PoP ]])</f>
        <v>0</v>
      </c>
      <c r="CT471" s="994">
        <f>WWWW[[#This Row],[% Access to unimproved water points]]*WWWW[[#This Row],[Total PoP ]]</f>
        <v>0</v>
      </c>
      <c r="CU47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7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411</v>
      </c>
      <c r="CW471" s="994">
        <f>WWWW[[#This Row],[HRP1]]/500</f>
        <v>0.82199999999999995</v>
      </c>
      <c r="CX471" s="999">
        <f>1-WWWW[[#This Row],[% Equitable and continuous access to sufficient quantity of domestic water]]</f>
        <v>0</v>
      </c>
      <c r="CY471" s="994">
        <f>WWWW[[#This Row],[%equitable and continuous access to sufficient quantity of safe drinking and domestic water''s GAP]]*WWWW[[#This Row],[Total PoP ]]</f>
        <v>0</v>
      </c>
      <c r="CZ471" s="997">
        <f>IF(WWWW[[#This Row],[Total required water points]]-WWWW[[#This Row],['#Water points coverage]]&lt;0,0,WWWW[[#This Row],[Total required water points]]-WWWW[[#This Row],['#Water points coverage]])</f>
        <v>0.17800000000000005</v>
      </c>
      <c r="DA471" s="997">
        <f>ROUND(IF(WWWW[[#This Row],[Total PoP ]]&lt;500,1,WWWW[[#This Row],[Total PoP ]]/500),0)</f>
        <v>1</v>
      </c>
      <c r="DB471" s="997">
        <f>(WWWW[[#This Row],['#_Constructed latrines_by_WASHAgencies]]+WWWW[[#This Row],['#_Non Cluster partner latrines]])-WWWW[[#This Row],['#_Non-functional latrines]]</f>
        <v>20</v>
      </c>
      <c r="DC471" s="631">
        <f>WWWW[[#This Row],[HRP2]]/WWWW[[#This Row],[Total PoP ]]</f>
        <v>1</v>
      </c>
      <c r="DD47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411</v>
      </c>
      <c r="DE47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1" s="424">
        <f>IF(WWWW[[#This Row],['# of functional latrines in THF supported by WASH partners during the reporting period2]]="",0,WWWW[[#This Row],['# of functional latrines in THF supported by WASH partners during the reporting period2]]*50)</f>
        <v>0</v>
      </c>
      <c r="DH471" s="997">
        <f>ROUND(IF(WWWW[[#This Row],[Location Type 1]]="camp",WWWW[[#This Row],[Total PoP ]]/20,IF(WWWW[[#This Row],[Location Type 1]]="Temporary Location",WWWW[[#This Row],[Total PoP ]]/50,(WWWW[[#This Row],[Total PoP ]]/6))),0)</f>
        <v>21</v>
      </c>
      <c r="DI471" s="997">
        <f>IF(WWWW[[#This Row],[Total required Latrines]]-(WWWW[[#This Row],['#_Constructed latrines_by_WASHAgencies]]+WWWW[[#This Row],['#_Non Cluster partner latrines]])&lt;0,0,WWWW[[#This Row],[Total required Latrines]]-(WWWW[[#This Row],['#_Constructed latrines_by_WASHAgencies]]+WWWW[[#This Row],['#_Non Cluster partner latrines]]))</f>
        <v>1</v>
      </c>
      <c r="DJ471" s="999">
        <f>1-WWWW[[#This Row],[% people access to functioning Latrine]]</f>
        <v>0</v>
      </c>
      <c r="DK471" s="998">
        <f>IF(OR(WWWW[[#This Row],['#_Non-functional latrines]]="",WWWW[[#This Row],['#_Non-functional latrines]]=0),0,WWWW[[#This Row],['#_Non-functional latrines]]/(WWWW[[#This Row],['#_Constructed latrines_by_WASHAgencies]]+WWWW[[#This Row],['#_Non Cluster partner latrines]]))</f>
        <v>0</v>
      </c>
      <c r="DL471" s="994">
        <f>IF(500*(WWWW[[#This Row],['#_male hygiene promoters]]+WWWW[[#This Row],['#_female hygiene promoters]])&gt;WWWW[[#This Row],[Total PoP ]],WWWW[[#This Row],[Total PoP ]],500*(WWWW[[#This Row],['#_male hygiene promoters]]+WWWW[[#This Row],['#_female hygiene promoters]]))</f>
        <v>411</v>
      </c>
      <c r="DM47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7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71" s="997">
        <f>IF(WWWW[[#This Row],['# People with access to soap]]&gt;WWWW[[#This Row],['# People with access to Sanity Pads]],WWWW[[#This Row],['# People with access to soap]],WWWW[[#This Row],['# People with access to Sanity Pads]])</f>
        <v>0</v>
      </c>
      <c r="DP471" s="997">
        <f>IF(WWWW[[#This Row],['# people reached by regular dedicated hygiene promotion_5]]&gt;WWWW[[#This Row],['# People received regular supply of hygiene items_6]],WWWW[[#This Row],['# people reached by regular dedicated hygiene promotion_5]],WWWW[[#This Row],['# People received regular supply of hygiene items_6]])</f>
        <v>411</v>
      </c>
      <c r="DQ471" s="999">
        <f>IF(WWWW[[#This Row],[HRP3]]/WWWW[[#This Row],[Total PoP ]]&gt;1,1,WWWW[[#This Row],[HRP3]]/WWWW[[#This Row],[Total PoP ]])</f>
        <v>1</v>
      </c>
      <c r="DR471" s="998">
        <f>1-WWWW[[#This Row],[Hygiene Coverage%]]</f>
        <v>0</v>
      </c>
      <c r="DS471" s="996">
        <f>WWWW[[#This Row],['# people reached by regular dedicated hygiene promotion_5]]/WWWW[[#This Row],[Total PoP ]]</f>
        <v>1</v>
      </c>
      <c r="DT47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7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71" s="997">
        <f>WWWW[[#This Row],['#_Constructed/Existing hand washing stations]]-WWWW[[#This Row],['#_Non-Functional_hand_washing_stations]]</f>
        <v>0</v>
      </c>
      <c r="DW471" s="994">
        <f>IF(WWWW[[#This Row],['# Functional hand washing stations during reporting period]]*20&gt;WWWW[[#This Row],[Total HH]],WWWW[[#This Row],[Total HH]],WWWW[[#This Row],['# Functional hand washing stations during reporting period]]*20)</f>
        <v>0</v>
      </c>
      <c r="DX471" s="994">
        <f>IF(WWWW[[#This Row],[Is sufficient soap available for TLS? (Yes/No)]]="yes",WWWW[[#This Row],['#_Constructed/Existing hand washing stations at TLS/CFS/THF]],0)</f>
        <v>4</v>
      </c>
      <c r="DY471" s="428">
        <f>IF(WWWW[[#This Row],['# Functional hand washing stations during reporting period]]*100&gt;WWWW[[#This Row],[Total PoP ]],WWWW[[#This Row],[Total PoP ]],WWWW[[#This Row],['# Functional hand washing stations during reporting period]]*100)</f>
        <v>0</v>
      </c>
      <c r="DZ471" s="428" t="str">
        <f>IF(OR(WWWW[[#This Row],['#_students at TLS_CFS]]="",WWWW[[#This Row],['#_students at TLS_CFS]]=0),"No","Yes")</f>
        <v>No</v>
      </c>
      <c r="EA47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7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71" s="990" t="str">
        <f>VLOOKUP(WWWW[[#This Row],[Site Name]],SiteDB6[[Site Name]:[CCCM Management]],6,FALSE)</f>
        <v>Yes</v>
      </c>
      <c r="EF471" s="990" t="str">
        <f>VLOOKUP(WWWW[[#This Row],[Site Name]],SiteDB6[[Site Name]:[CCCM Focal Agency]],7,FALSE)</f>
        <v>KMSS-MYT</v>
      </c>
      <c r="EG471" s="990" t="str">
        <f>VLOOKUP(WWWW[[#This Row],[Site Name]],SiteDB6[[Site Name]:[Location Type 1]],9,FALSE)</f>
        <v>Camp</v>
      </c>
      <c r="EH471" s="990" t="str">
        <f>VLOOKUP(WWWW[[#This Row],[Site Name]],SiteDB6[[Site Name]:[Type of Accommodation]],10,FALSE)</f>
        <v>Camp</v>
      </c>
      <c r="EI471" s="990" t="str">
        <f>VLOOKUP(WWWW[[#This Row],[Site Name]],SiteDB6[[Site Name]:[Ethnic or GCA/NGCA]],11,FALSE)</f>
        <v>NGCA</v>
      </c>
      <c r="EJ471" s="990">
        <f>VLOOKUP(WWWW[[#This Row],[Site Name]],SiteDB6[[Site Name]:[Lat]],12,FALSE)</f>
        <v>24.461033</v>
      </c>
      <c r="EK471" s="990">
        <f>VLOOKUP(WWWW[[#This Row],[Site Name]],SiteDB6[[Site Name]:[Long]],13,FALSE)</f>
        <v>97.537099999999995</v>
      </c>
      <c r="EL471" s="990" t="str">
        <f>VLOOKUP(WWWW[[#This Row],[Site Name]],SiteDB6[[Site Name]:[Pcode]],3,FALSE)</f>
        <v>MMR001CMP123</v>
      </c>
      <c r="EM471" s="995" t="str">
        <f t="shared" si="9"/>
        <v>Covered</v>
      </c>
      <c r="EN471" s="995"/>
      <c r="EO471" s="990">
        <f>VLOOKUP(WWWW[[#This Row],[Site Name]],SiteDB6[[Site Name]:[Pop
(Kachin/Shan-CCCM as of July 2021)]],16,FALSE)</f>
        <v>72</v>
      </c>
      <c r="EP471" s="990">
        <f>VLOOKUP(WWWW[[#This Row],[Site Name]],SiteDB6[[Site Name]:[Pop
(Kachin/Shan-CCCM as of July 2021)]],17,FALSE)</f>
        <v>404</v>
      </c>
    </row>
    <row r="472" spans="1:146">
      <c r="A472" s="988" t="s">
        <v>2765</v>
      </c>
      <c r="B472" s="988" t="s">
        <v>291</v>
      </c>
      <c r="C472" s="989" t="s">
        <v>291</v>
      </c>
      <c r="D472" s="989" t="s">
        <v>2626</v>
      </c>
      <c r="E472" s="989" t="s">
        <v>37</v>
      </c>
      <c r="F472" s="989" t="s">
        <v>205</v>
      </c>
      <c r="G472" s="591" t="str">
        <f>VLOOKUP(WWWW[[#This Row],[Site Name]],SiteDB6[[Site Name]:[Location Type]],8,FALSE)</f>
        <v>Camp</v>
      </c>
      <c r="H472" s="989" t="s">
        <v>296</v>
      </c>
      <c r="I472" s="991">
        <v>616</v>
      </c>
      <c r="J472" s="991">
        <v>3682</v>
      </c>
      <c r="K472" s="992">
        <v>44652</v>
      </c>
      <c r="L472" s="993">
        <v>44926</v>
      </c>
      <c r="M472" s="991"/>
      <c r="N472" s="991"/>
      <c r="O472" s="991"/>
      <c r="P472" s="991"/>
      <c r="Q472" s="994" t="s">
        <v>41</v>
      </c>
      <c r="R472" s="991"/>
      <c r="S472" s="991"/>
      <c r="T472" s="448"/>
      <c r="U472" s="991"/>
      <c r="V472" s="991"/>
      <c r="W472" s="991"/>
      <c r="X472" s="991"/>
      <c r="Y472" s="991"/>
      <c r="Z472" s="991"/>
      <c r="AA472" s="991"/>
      <c r="AB472" s="991"/>
      <c r="AC472" s="991"/>
      <c r="AD472" s="991"/>
      <c r="AE472" s="991">
        <v>1</v>
      </c>
      <c r="AF472" s="991"/>
      <c r="AG472" s="991"/>
      <c r="AH472" s="991">
        <v>1</v>
      </c>
      <c r="AI472" s="991"/>
      <c r="AJ472" s="991"/>
      <c r="AK472" s="991"/>
      <c r="AL472" s="991"/>
      <c r="AM472" s="991">
        <v>21</v>
      </c>
      <c r="AN472" s="991">
        <v>6</v>
      </c>
      <c r="AO472" s="448"/>
      <c r="AP472" s="995"/>
      <c r="AQ472" s="991">
        <v>152</v>
      </c>
      <c r="AR472" s="991"/>
      <c r="AS472" s="996"/>
      <c r="AT472" s="991"/>
      <c r="AU472" s="991"/>
      <c r="AV472" s="991"/>
      <c r="AW472" s="991"/>
      <c r="AX472" s="991"/>
      <c r="AY472" s="990" t="s">
        <v>136</v>
      </c>
      <c r="AZ472" s="995" t="s">
        <v>137</v>
      </c>
      <c r="BA472" s="991">
        <v>4</v>
      </c>
      <c r="BB472" s="991"/>
      <c r="BC472" s="991">
        <v>16</v>
      </c>
      <c r="BD472" s="448">
        <v>2</v>
      </c>
      <c r="BE472" s="448"/>
      <c r="BF472" s="990"/>
      <c r="BG472" s="991">
        <v>7</v>
      </c>
      <c r="BH472" s="991"/>
      <c r="BI472" s="991"/>
      <c r="BJ472" s="991">
        <v>7</v>
      </c>
      <c r="BK472" s="991"/>
      <c r="BL472" s="991"/>
      <c r="BM472" s="991">
        <v>6</v>
      </c>
      <c r="BN472" s="991"/>
      <c r="BO472" s="991"/>
      <c r="BP472" s="990"/>
      <c r="BQ472" s="997"/>
      <c r="BR472" s="996"/>
      <c r="BS472" s="990"/>
      <c r="BT472" s="423"/>
      <c r="BU472" s="423"/>
      <c r="BV472" s="425"/>
      <c r="BW472" s="423"/>
      <c r="BX472" s="448"/>
      <c r="BY472" s="448"/>
      <c r="BZ472" s="448"/>
      <c r="CA472" s="448"/>
      <c r="CB472" s="448"/>
      <c r="CC472" s="777"/>
      <c r="CD472" s="448"/>
      <c r="CE472" s="998" t="str">
        <f>IFERROR(WWWW[[#This Row],['#_Water sources passed]]/WWWW[[#This Row],['#_Water sources tested for fecal coliform ]],"no test")</f>
        <v>no test</v>
      </c>
      <c r="CF472" s="996" t="str">
        <f>IFERROR(WWWW[[#This Row],['#_Household passed]]/WWWW[[#This Row],['#_Household water samples tested for fecal coliform]],"no test")</f>
        <v>no test</v>
      </c>
      <c r="CG472" s="997" t="str">
        <f>IF(AND(WWWW[[#This Row],[% of water sources passed]]="no test",WWWW[[#This Row],[% Household passed]]="no test"),"No Test","Tested")</f>
        <v>No Test</v>
      </c>
      <c r="CH472" s="997">
        <f>WWWW[[#This Row],['#_Constructed/existing protected hand dug well]]-WWWW[[#This Row],['#_Non-functional protected hand dug well]]</f>
        <v>0</v>
      </c>
      <c r="CI472" s="997">
        <f>(WWWW[[#This Row],['#_Constructed/Existing tube wells/boreholes/handpumps_WASH_agency]]+WWWW[[#This Row],['#_Non-Cluster partner water tube-wells/boreholes/handpumps]])-WWWW[[#This Row],['#_Non-functional tube wells/boreholes/handpumps]]</f>
        <v>0</v>
      </c>
      <c r="CJ472" s="997">
        <f>WWWW[[#This Row],['#_Constructed/Existingwater storage tank with gravity fed reticulation system]]-WWWW[[#This Row],['#_Non-functional storage tank gravity fed reticulation system]]</f>
        <v>0</v>
      </c>
      <c r="CK472" s="997">
        <f>(WWWW[[#This Row],['#_Water_Liters_supplied_by_Water boating or water trucking]]/90)/15</f>
        <v>0</v>
      </c>
      <c r="CL472" s="997">
        <f>WWWW[[#This Row],['#_Water_Liters_from_Constructed/Existing water distribution system from river or natural spring]]/90/15</f>
        <v>0</v>
      </c>
      <c r="CM472" s="424">
        <f>IF(WWWW[[#This Row],['#_of water points in TLS/CFS]]*500&gt;WWWW[[#This Row],[Total PoP ]],WWWW[[#This Row],[Total PoP ]],WWWW[[#This Row],['#_of water points in TLS/CFS]]*500)</f>
        <v>3000</v>
      </c>
      <c r="CN472" s="424">
        <f>IF(WWWW[[#This Row],['#_of water points in THF]]*500&gt;WWWW[[#This Row],[Total PoP ]],WWWW[[#This Row],[Total PoP ]],WWWW[[#This Row],['#_of water points in THF]]*500)</f>
        <v>0</v>
      </c>
      <c r="CO47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7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72" s="996">
        <f>IF(WWWW[[#This Row],[Location Type 1]]="Village",WWWW[[#This Row],[Access to safe drinking water for Village]],WWWW[[#This Row],[Access to safe drinking water for Camp]])</f>
        <v>0</v>
      </c>
      <c r="CR472" s="994">
        <f>WWWW[[#This Row],[%Equitable and continuous access to sufficient quantity of safe drinking water]]*WWWW[[#This Row],[Total PoP ]]</f>
        <v>0</v>
      </c>
      <c r="CS472" s="996">
        <f>IF((WWWW[[#This Row],['#_Constructed/Existing protected/fenced ponds]]*250)/WWWW[[#This Row],[Total PoP ]]&gt;1,1,(WWWW[[#This Row],['#_Constructed/Existing protected/fenced ponds]]*250)/WWWW[[#This Row],[Total PoP ]])</f>
        <v>6.7897881586094513E-2</v>
      </c>
      <c r="CT472" s="994">
        <f>WWWW[[#This Row],[% Access to unimproved water points]]*WWWW[[#This Row],[Total PoP ]]</f>
        <v>250</v>
      </c>
      <c r="CU47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6.7897881586094513E-2</v>
      </c>
      <c r="CV47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472" s="994">
        <f>WWWW[[#This Row],[HRP1]]/500</f>
        <v>0.5</v>
      </c>
      <c r="CX472" s="999">
        <f>1-WWWW[[#This Row],[% Equitable and continuous access to sufficient quantity of domestic water]]</f>
        <v>0.93210211841390544</v>
      </c>
      <c r="CY472" s="994">
        <f>WWWW[[#This Row],[%equitable and continuous access to sufficient quantity of safe drinking and domestic water''s GAP]]*WWWW[[#This Row],[Total PoP ]]</f>
        <v>3432</v>
      </c>
      <c r="CZ472" s="997">
        <f>IF(WWWW[[#This Row],[Total required water points]]-WWWW[[#This Row],['#Water points coverage]]&lt;0,0,WWWW[[#This Row],[Total required water points]]-WWWW[[#This Row],['#Water points coverage]])</f>
        <v>6.5</v>
      </c>
      <c r="DA472" s="997">
        <f>ROUND(IF(WWWW[[#This Row],[Total PoP ]]&lt;500,1,WWWW[[#This Row],[Total PoP ]]/500),0)</f>
        <v>7</v>
      </c>
      <c r="DB472" s="997">
        <f>(WWWW[[#This Row],['#_Constructed latrines_by_WASHAgencies]]+WWWW[[#This Row],['#_Non Cluster partner latrines]])-WWWW[[#This Row],['#_Non-functional latrines]]</f>
        <v>152</v>
      </c>
      <c r="DC472" s="631">
        <f>WWWW[[#This Row],[HRP2]]/WWWW[[#This Row],[Total PoP ]]</f>
        <v>0.84736556219445958</v>
      </c>
      <c r="DD47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3120</v>
      </c>
      <c r="DE47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2" s="424">
        <f>IF(WWWW[[#This Row],['# of functional latrines in THF supported by WASH partners during the reporting period2]]="",0,WWWW[[#This Row],['# of functional latrines in THF supported by WASH partners during the reporting period2]]*50)</f>
        <v>100</v>
      </c>
      <c r="DH472" s="997">
        <f>ROUND(IF(WWWW[[#This Row],[Location Type 1]]="camp",WWWW[[#This Row],[Total PoP ]]/20,IF(WWWW[[#This Row],[Location Type 1]]="Temporary Location",WWWW[[#This Row],[Total PoP ]]/50,(WWWW[[#This Row],[Total PoP ]]/6))),0)</f>
        <v>184</v>
      </c>
      <c r="DI472" s="997">
        <f>IF(WWWW[[#This Row],[Total required Latrines]]-(WWWW[[#This Row],['#_Constructed latrines_by_WASHAgencies]]+WWWW[[#This Row],['#_Non Cluster partner latrines]])&lt;0,0,WWWW[[#This Row],[Total required Latrines]]-(WWWW[[#This Row],['#_Constructed latrines_by_WASHAgencies]]+WWWW[[#This Row],['#_Non Cluster partner latrines]]))</f>
        <v>32</v>
      </c>
      <c r="DJ472" s="999">
        <f>1-WWWW[[#This Row],[% people access to functioning Latrine]]</f>
        <v>0.15263443780554042</v>
      </c>
      <c r="DK472" s="998">
        <f>IF(OR(WWWW[[#This Row],['#_Non-functional latrines]]="",WWWW[[#This Row],['#_Non-functional latrines]]=0),0,WWWW[[#This Row],['#_Non-functional latrines]]/(WWWW[[#This Row],['#_Constructed latrines_by_WASHAgencies]]+WWWW[[#This Row],['#_Non Cluster partner latrines]]))</f>
        <v>0</v>
      </c>
      <c r="DL472" s="994">
        <f>IF(500*(WWWW[[#This Row],['#_male hygiene promoters]]+WWWW[[#This Row],['#_female hygiene promoters]])&gt;WWWW[[#This Row],[Total PoP ]],WWWW[[#This Row],[Total PoP ]],500*(WWWW[[#This Row],['#_male hygiene promoters]]+WWWW[[#This Row],['#_female hygiene promoters]]))</f>
        <v>3000</v>
      </c>
      <c r="DM47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7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72" s="997">
        <f>IF(WWWW[[#This Row],['# People with access to soap]]&gt;WWWW[[#This Row],['# People with access to Sanity Pads]],WWWW[[#This Row],['# People with access to soap]],WWWW[[#This Row],['# People with access to Sanity Pads]])</f>
        <v>0</v>
      </c>
      <c r="DP472" s="997">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Q472" s="999">
        <f>IF(WWWW[[#This Row],[HRP3]]/WWWW[[#This Row],[Total PoP ]]&gt;1,1,WWWW[[#This Row],[HRP3]]/WWWW[[#This Row],[Total PoP ]])</f>
        <v>0.81477457903313422</v>
      </c>
      <c r="DR472" s="998">
        <f>1-WWWW[[#This Row],[Hygiene Coverage%]]</f>
        <v>0.18522542096686578</v>
      </c>
      <c r="DS472" s="996">
        <f>WWWW[[#This Row],['# people reached by regular dedicated hygiene promotion_5]]/WWWW[[#This Row],[Total PoP ]]</f>
        <v>0.81477457903313422</v>
      </c>
      <c r="DT47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7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72" s="997">
        <f>WWWW[[#This Row],['#_Constructed/Existing hand washing stations]]-WWWW[[#This Row],['#_Non-Functional_hand_washing_stations]]</f>
        <v>7</v>
      </c>
      <c r="DW472" s="994">
        <f>IF(WWWW[[#This Row],['# Functional hand washing stations during reporting period]]*20&gt;WWWW[[#This Row],[Total HH]],WWWW[[#This Row],[Total HH]],WWWW[[#This Row],['# Functional hand washing stations during reporting period]]*20)</f>
        <v>140</v>
      </c>
      <c r="DX472" s="994">
        <f>IF(WWWW[[#This Row],[Is sufficient soap available for TLS? (Yes/No)]]="yes",WWWW[[#This Row],['#_Constructed/Existing hand washing stations at TLS/CFS/THF]],0)</f>
        <v>0</v>
      </c>
      <c r="DY472" s="428">
        <f>IF(WWWW[[#This Row],['# Functional hand washing stations during reporting period]]*100&gt;WWWW[[#This Row],[Total PoP ]],WWWW[[#This Row],[Total PoP ]],WWWW[[#This Row],['# Functional hand washing stations during reporting period]]*100)</f>
        <v>700</v>
      </c>
      <c r="DZ472" s="428" t="str">
        <f>IF(OR(WWWW[[#This Row],['#_students at TLS_CFS]]="",WWWW[[#This Row],['#_students at TLS_CFS]]=0),"No","Yes")</f>
        <v>No</v>
      </c>
      <c r="EA47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3000</v>
      </c>
      <c r="ED47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472" s="990" t="str">
        <f>VLOOKUP(WWWW[[#This Row],[Site Name]],SiteDB6[[Site Name]:[CCCM Management]],6,FALSE)</f>
        <v>Yes</v>
      </c>
      <c r="EF472" s="990" t="str">
        <f>VLOOKUP(WWWW[[#This Row],[Site Name]],SiteDB6[[Site Name]:[CCCM Focal Agency]],7,FALSE)</f>
        <v>KMSS-BMO</v>
      </c>
      <c r="EG472" s="990" t="str">
        <f>VLOOKUP(WWWW[[#This Row],[Site Name]],SiteDB6[[Site Name]:[Location Type 1]],9,FALSE)</f>
        <v>Camp</v>
      </c>
      <c r="EH472" s="990" t="str">
        <f>VLOOKUP(WWWW[[#This Row],[Site Name]],SiteDB6[[Site Name]:[Type of Accommodation]],10,FALSE)</f>
        <v>Camp</v>
      </c>
      <c r="EI472" s="990" t="str">
        <f>VLOOKUP(WWWW[[#This Row],[Site Name]],SiteDB6[[Site Name]:[Ethnic or GCA/NGCA]],11,FALSE)</f>
        <v>NGCA</v>
      </c>
      <c r="EJ472" s="990">
        <f>VLOOKUP(WWWW[[#This Row],[Site Name]],SiteDB6[[Site Name]:[Lat]],12,FALSE)</f>
        <v>24.2744</v>
      </c>
      <c r="EK472" s="990">
        <f>VLOOKUP(WWWW[[#This Row],[Site Name]],SiteDB6[[Site Name]:[Long]],13,FALSE)</f>
        <v>97.752667000000002</v>
      </c>
      <c r="EL472" s="990" t="str">
        <f>VLOOKUP(WWWW[[#This Row],[Site Name]],SiteDB6[[Site Name]:[Pcode]],3,FALSE)</f>
        <v>MMR001CMP126</v>
      </c>
      <c r="EM472" s="995" t="str">
        <f t="shared" si="9"/>
        <v>Covered</v>
      </c>
      <c r="EN472" s="995"/>
      <c r="EO472" s="990">
        <f>VLOOKUP(WWWW[[#This Row],[Site Name]],SiteDB6[[Site Name]:[Pop
(Kachin/Shan-CCCM as of July 2021)]],16,FALSE)</f>
        <v>616</v>
      </c>
      <c r="EP472" s="990">
        <f>VLOOKUP(WWWW[[#This Row],[Site Name]],SiteDB6[[Site Name]:[Pop
(Kachin/Shan-CCCM as of July 2021)]],17,FALSE)</f>
        <v>3682</v>
      </c>
    </row>
    <row r="473" spans="1:146">
      <c r="A473" s="988" t="s">
        <v>2765</v>
      </c>
      <c r="B473" s="988" t="s">
        <v>291</v>
      </c>
      <c r="C473" s="989" t="s">
        <v>291</v>
      </c>
      <c r="D473" s="989" t="s">
        <v>2626</v>
      </c>
      <c r="E473" s="989" t="s">
        <v>37</v>
      </c>
      <c r="F473" s="989" t="s">
        <v>38</v>
      </c>
      <c r="G473" s="591" t="str">
        <f>VLOOKUP(WWWW[[#This Row],[Site Name]],SiteDB6[[Site Name]:[Location Type]],8,FALSE)</f>
        <v>Camp</v>
      </c>
      <c r="H473" s="989" t="s">
        <v>294</v>
      </c>
      <c r="I473" s="991">
        <v>542</v>
      </c>
      <c r="J473" s="991">
        <v>2503</v>
      </c>
      <c r="K473" s="992">
        <v>44652</v>
      </c>
      <c r="L473" s="993">
        <v>44926</v>
      </c>
      <c r="M473" s="991"/>
      <c r="N473" s="991"/>
      <c r="O473" s="991"/>
      <c r="P473" s="991"/>
      <c r="Q473" s="994" t="s">
        <v>41</v>
      </c>
      <c r="R473" s="991"/>
      <c r="S473" s="991"/>
      <c r="T473" s="448">
        <v>4</v>
      </c>
      <c r="U473" s="991"/>
      <c r="V473" s="991"/>
      <c r="W473" s="991"/>
      <c r="X473" s="991"/>
      <c r="Y473" s="991"/>
      <c r="Z473" s="991"/>
      <c r="AA473" s="991"/>
      <c r="AB473" s="991"/>
      <c r="AC473" s="991"/>
      <c r="AD473" s="991"/>
      <c r="AE473" s="991">
        <v>1</v>
      </c>
      <c r="AF473" s="991"/>
      <c r="AG473" s="991"/>
      <c r="AH473" s="991">
        <v>1</v>
      </c>
      <c r="AI473" s="991"/>
      <c r="AJ473" s="991"/>
      <c r="AK473" s="991"/>
      <c r="AL473" s="991"/>
      <c r="AM473" s="991">
        <v>5</v>
      </c>
      <c r="AN473" s="991">
        <v>2</v>
      </c>
      <c r="AO473" s="448"/>
      <c r="AP473" s="995"/>
      <c r="AQ473" s="991">
        <v>438</v>
      </c>
      <c r="AR473" s="991"/>
      <c r="AS473" s="996"/>
      <c r="AT473" s="991"/>
      <c r="AU473" s="991"/>
      <c r="AV473" s="991"/>
      <c r="AW473" s="991"/>
      <c r="AX473" s="991">
        <v>266</v>
      </c>
      <c r="AY473" s="990" t="s">
        <v>136</v>
      </c>
      <c r="AZ473" s="995" t="s">
        <v>137</v>
      </c>
      <c r="BA473" s="991">
        <v>6</v>
      </c>
      <c r="BB473" s="991">
        <v>274</v>
      </c>
      <c r="BC473" s="991">
        <v>62</v>
      </c>
      <c r="BD473" s="448">
        <v>2</v>
      </c>
      <c r="BE473" s="448"/>
      <c r="BF473" s="990"/>
      <c r="BG473" s="991">
        <v>7</v>
      </c>
      <c r="BH473" s="991"/>
      <c r="BI473" s="991">
        <v>266</v>
      </c>
      <c r="BJ473" s="991">
        <v>4</v>
      </c>
      <c r="BK473" s="991"/>
      <c r="BL473" s="991"/>
      <c r="BM473" s="991">
        <v>7</v>
      </c>
      <c r="BN473" s="991"/>
      <c r="BO473" s="991"/>
      <c r="BP473" s="990"/>
      <c r="BQ473" s="997"/>
      <c r="BR473" s="996"/>
      <c r="BS473" s="990"/>
      <c r="BT473" s="423"/>
      <c r="BU473" s="423"/>
      <c r="BV473" s="425"/>
      <c r="BW473" s="423"/>
      <c r="BX473" s="448"/>
      <c r="BY473" s="448"/>
      <c r="BZ473" s="448"/>
      <c r="CA473" s="448"/>
      <c r="CB473" s="448"/>
      <c r="CC473" s="777"/>
      <c r="CD473" s="448"/>
      <c r="CE473" s="998" t="str">
        <f>IFERROR(WWWW[[#This Row],['#_Water sources passed]]/WWWW[[#This Row],['#_Water sources tested for fecal coliform ]],"no test")</f>
        <v>no test</v>
      </c>
      <c r="CF473" s="996" t="str">
        <f>IFERROR(WWWW[[#This Row],['#_Household passed]]/WWWW[[#This Row],['#_Household water samples tested for fecal coliform]],"no test")</f>
        <v>no test</v>
      </c>
      <c r="CG473" s="997" t="str">
        <f>IF(AND(WWWW[[#This Row],[% of water sources passed]]="no test",WWWW[[#This Row],[% Household passed]]="no test"),"No Test","Tested")</f>
        <v>No Test</v>
      </c>
      <c r="CH473" s="997">
        <f>WWWW[[#This Row],['#_Constructed/existing protected hand dug well]]-WWWW[[#This Row],['#_Non-functional protected hand dug well]]</f>
        <v>4</v>
      </c>
      <c r="CI473" s="997">
        <f>(WWWW[[#This Row],['#_Constructed/Existing tube wells/boreholes/handpumps_WASH_agency]]+WWWW[[#This Row],['#_Non-Cluster partner water tube-wells/boreholes/handpumps]])-WWWW[[#This Row],['#_Non-functional tube wells/boreholes/handpumps]]</f>
        <v>0</v>
      </c>
      <c r="CJ473" s="997">
        <f>WWWW[[#This Row],['#_Constructed/Existingwater storage tank with gravity fed reticulation system]]-WWWW[[#This Row],['#_Non-functional storage tank gravity fed reticulation system]]</f>
        <v>0</v>
      </c>
      <c r="CK473" s="997">
        <f>(WWWW[[#This Row],['#_Water_Liters_supplied_by_Water boating or water trucking]]/90)/15</f>
        <v>0</v>
      </c>
      <c r="CL473" s="997">
        <f>WWWW[[#This Row],['#_Water_Liters_from_Constructed/Existing water distribution system from river or natural spring]]/90/15</f>
        <v>0</v>
      </c>
      <c r="CM473" s="424">
        <f>IF(WWWW[[#This Row],['#_of water points in TLS/CFS]]*500&gt;WWWW[[#This Row],[Total PoP ]],WWWW[[#This Row],[Total PoP ]],WWWW[[#This Row],['#_of water points in TLS/CFS]]*500)</f>
        <v>1000</v>
      </c>
      <c r="CN473" s="424">
        <f>IF(WWWW[[#This Row],['#_of water points in THF]]*500&gt;WWWW[[#This Row],[Total PoP ]],WWWW[[#This Row],[Total PoP ]],WWWW[[#This Row],['#_of water points in THF]]*500)</f>
        <v>0</v>
      </c>
      <c r="CO47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0.63923292049540548</v>
      </c>
      <c r="CP47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0.39952057530962842</v>
      </c>
      <c r="CQ473" s="996">
        <f>IF(WWWW[[#This Row],[Location Type 1]]="Village",WWWW[[#This Row],[Access to safe drinking water for Village]],WWWW[[#This Row],[Access to safe drinking water for Camp]])</f>
        <v>0.63923292049540548</v>
      </c>
      <c r="CR473" s="994">
        <f>WWWW[[#This Row],[%Equitable and continuous access to sufficient quantity of safe drinking water]]*WWWW[[#This Row],[Total PoP ]]</f>
        <v>1600</v>
      </c>
      <c r="CS473" s="996">
        <f>IF((WWWW[[#This Row],['#_Constructed/Existing protected/fenced ponds]]*250)/WWWW[[#This Row],[Total PoP ]]&gt;1,1,(WWWW[[#This Row],['#_Constructed/Existing protected/fenced ponds]]*250)/WWWW[[#This Row],[Total PoP ]])</f>
        <v>9.9880143827407106E-2</v>
      </c>
      <c r="CT473" s="994">
        <f>WWWW[[#This Row],[% Access to unimproved water points]]*WWWW[[#This Row],[Total PoP ]]</f>
        <v>249.99999999999997</v>
      </c>
      <c r="CU47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0.73911306432281254</v>
      </c>
      <c r="CV47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W473" s="994">
        <f>WWWW[[#This Row],[HRP1]]/500</f>
        <v>3.7</v>
      </c>
      <c r="CX473" s="999">
        <f>1-WWWW[[#This Row],[% Equitable and continuous access to sufficient quantity of domestic water]]</f>
        <v>0.26088693567718746</v>
      </c>
      <c r="CY473" s="994">
        <f>WWWW[[#This Row],[%equitable and continuous access to sufficient quantity of safe drinking and domestic water''s GAP]]*WWWW[[#This Row],[Total PoP ]]</f>
        <v>653.00000000000023</v>
      </c>
      <c r="CZ473" s="997">
        <f>IF(WWWW[[#This Row],[Total required water points]]-WWWW[[#This Row],['#Water points coverage]]&lt;0,0,WWWW[[#This Row],[Total required water points]]-WWWW[[#This Row],['#Water points coverage]])</f>
        <v>1.2999999999999998</v>
      </c>
      <c r="DA473" s="997">
        <f>ROUND(IF(WWWW[[#This Row],[Total PoP ]]&lt;500,1,WWWW[[#This Row],[Total PoP ]]/500),0)</f>
        <v>5</v>
      </c>
      <c r="DB473" s="997">
        <f>(WWWW[[#This Row],['#_Constructed latrines_by_WASHAgencies]]+WWWW[[#This Row],['#_Non Cluster partner latrines]])-WWWW[[#This Row],['#_Non-functional latrines]]</f>
        <v>438</v>
      </c>
      <c r="DC473" s="631">
        <f>WWWW[[#This Row],[HRP2]]/WWWW[[#This Row],[Total PoP ]]</f>
        <v>1</v>
      </c>
      <c r="DD47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2503</v>
      </c>
      <c r="DE47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3" s="424">
        <f>IF(WWWW[[#This Row],['# of functional latrines in THF supported by WASH partners during the reporting period2]]="",0,WWWW[[#This Row],['# of functional latrines in THF supported by WASH partners during the reporting period2]]*50)</f>
        <v>100</v>
      </c>
      <c r="DH473" s="997">
        <f>ROUND(IF(WWWW[[#This Row],[Location Type 1]]="camp",WWWW[[#This Row],[Total PoP ]]/20,IF(WWWW[[#This Row],[Location Type 1]]="Temporary Location",WWWW[[#This Row],[Total PoP ]]/50,(WWWW[[#This Row],[Total PoP ]]/6))),0)</f>
        <v>125</v>
      </c>
      <c r="DI473" s="997">
        <f>IF(WWWW[[#This Row],[Total required Latrines]]-(WWWW[[#This Row],['#_Constructed latrines_by_WASHAgencies]]+WWWW[[#This Row],['#_Non Cluster partner latrines]])&lt;0,0,WWWW[[#This Row],[Total required Latrines]]-(WWWW[[#This Row],['#_Constructed latrines_by_WASHAgencies]]+WWWW[[#This Row],['#_Non Cluster partner latrines]]))</f>
        <v>0</v>
      </c>
      <c r="DJ473" s="999">
        <f>1-WWWW[[#This Row],[% people access to functioning Latrine]]</f>
        <v>0</v>
      </c>
      <c r="DK473" s="998">
        <f>IF(OR(WWWW[[#This Row],['#_Non-functional latrines]]="",WWWW[[#This Row],['#_Non-functional latrines]]=0),0,WWWW[[#This Row],['#_Non-functional latrines]]/(WWWW[[#This Row],['#_Constructed latrines_by_WASHAgencies]]+WWWW[[#This Row],['#_Non Cluster partner latrines]]))</f>
        <v>0</v>
      </c>
      <c r="DL473" s="994">
        <f>IF(500*(WWWW[[#This Row],['#_male hygiene promoters]]+WWWW[[#This Row],['#_female hygiene promoters]])&gt;WWWW[[#This Row],[Total PoP ]],WWWW[[#This Row],[Total PoP ]],500*(WWWW[[#This Row],['#_male hygiene promoters]]+WWWW[[#This Row],['#_female hygiene promoters]]))</f>
        <v>2503</v>
      </c>
      <c r="DM47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7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73" s="997">
        <f>IF(WWWW[[#This Row],['# People with access to soap]]&gt;WWWW[[#This Row],['# People with access to Sanity Pads]],WWWW[[#This Row],['# People with access to soap]],WWWW[[#This Row],['# People with access to Sanity Pads]])</f>
        <v>0</v>
      </c>
      <c r="DP473" s="997">
        <f>IF(WWWW[[#This Row],['# people reached by regular dedicated hygiene promotion_5]]&gt;WWWW[[#This Row],['# People received regular supply of hygiene items_6]],WWWW[[#This Row],['# people reached by regular dedicated hygiene promotion_5]],WWWW[[#This Row],['# People received regular supply of hygiene items_6]])</f>
        <v>2503</v>
      </c>
      <c r="DQ473" s="999">
        <f>IF(WWWW[[#This Row],[HRP3]]/WWWW[[#This Row],[Total PoP ]]&gt;1,1,WWWW[[#This Row],[HRP3]]/WWWW[[#This Row],[Total PoP ]])</f>
        <v>1</v>
      </c>
      <c r="DR473" s="998">
        <f>1-WWWW[[#This Row],[Hygiene Coverage%]]</f>
        <v>0</v>
      </c>
      <c r="DS473" s="996">
        <f>WWWW[[#This Row],['# people reached by regular dedicated hygiene promotion_5]]/WWWW[[#This Row],[Total PoP ]]</f>
        <v>1</v>
      </c>
      <c r="DT47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7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73" s="997">
        <f>WWWW[[#This Row],['#_Constructed/Existing hand washing stations]]-WWWW[[#This Row],['#_Non-Functional_hand_washing_stations]]</f>
        <v>7</v>
      </c>
      <c r="DW473" s="994">
        <f>IF(WWWW[[#This Row],['# Functional hand washing stations during reporting period]]*20&gt;WWWW[[#This Row],[Total HH]],WWWW[[#This Row],[Total HH]],WWWW[[#This Row],['# Functional hand washing stations during reporting period]]*20)</f>
        <v>140</v>
      </c>
      <c r="DX473" s="994">
        <f>IF(WWWW[[#This Row],[Is sufficient soap available for TLS? (Yes/No)]]="yes",WWWW[[#This Row],['#_Constructed/Existing hand washing stations at TLS/CFS/THF]],0)</f>
        <v>0</v>
      </c>
      <c r="DY473" s="428">
        <f>IF(WWWW[[#This Row],['# Functional hand washing stations during reporting period]]*100&gt;WWWW[[#This Row],[Total PoP ]],WWWW[[#This Row],[Total PoP ]],WWWW[[#This Row],['# Functional hand washing stations during reporting period]]*100)</f>
        <v>700</v>
      </c>
      <c r="DZ473" s="428" t="str">
        <f>IF(OR(WWWW[[#This Row],['#_students at TLS_CFS]]="",WWWW[[#This Row],['#_students at TLS_CFS]]=0),"No","Yes")</f>
        <v>No</v>
      </c>
      <c r="EA47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47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473" s="990" t="str">
        <f>VLOOKUP(WWWW[[#This Row],[Site Name]],SiteDB6[[Site Name]:[CCCM Management]],6,FALSE)</f>
        <v>Yes</v>
      </c>
      <c r="EF473" s="990" t="str">
        <f>VLOOKUP(WWWW[[#This Row],[Site Name]],SiteDB6[[Site Name]:[CCCM Focal Agency]],7,FALSE)</f>
        <v>KMSS-BMO</v>
      </c>
      <c r="EG473" s="990" t="str">
        <f>VLOOKUP(WWWW[[#This Row],[Site Name]],SiteDB6[[Site Name]:[Location Type 1]],9,FALSE)</f>
        <v>Camp</v>
      </c>
      <c r="EH473" s="990" t="str">
        <f>VLOOKUP(WWWW[[#This Row],[Site Name]],SiteDB6[[Site Name]:[Type of Accommodation]],10,FALSE)</f>
        <v>Camp</v>
      </c>
      <c r="EI473" s="990" t="str">
        <f>VLOOKUP(WWWW[[#This Row],[Site Name]],SiteDB6[[Site Name]:[Ethnic or GCA/NGCA]],11,FALSE)</f>
        <v>NGCA</v>
      </c>
      <c r="EJ473" s="990">
        <f>VLOOKUP(WWWW[[#This Row],[Site Name]],SiteDB6[[Site Name]:[Lat]],12,FALSE)</f>
        <v>24.056132999999999</v>
      </c>
      <c r="EK473" s="990">
        <f>VLOOKUP(WWWW[[#This Row],[Site Name]],SiteDB6[[Site Name]:[Long]],13,FALSE)</f>
        <v>97.625617000000005</v>
      </c>
      <c r="EL473" s="990" t="str">
        <f>VLOOKUP(WWWW[[#This Row],[Site Name]],SiteDB6[[Site Name]:[Pcode]],3,FALSE)</f>
        <v>MMR001CMP128</v>
      </c>
      <c r="EM473" s="995" t="str">
        <f t="shared" si="9"/>
        <v>Covered</v>
      </c>
      <c r="EN473" s="995"/>
      <c r="EO473" s="990">
        <f>VLOOKUP(WWWW[[#This Row],[Site Name]],SiteDB6[[Site Name]:[Pop
(Kachin/Shan-CCCM as of July 2021)]],16,FALSE)</f>
        <v>542</v>
      </c>
      <c r="EP473" s="990">
        <f>VLOOKUP(WWWW[[#This Row],[Site Name]],SiteDB6[[Site Name]:[Pop
(Kachin/Shan-CCCM as of July 2021)]],17,FALSE)</f>
        <v>2503</v>
      </c>
    </row>
    <row r="474" spans="1:146">
      <c r="A474" s="988" t="s">
        <v>2765</v>
      </c>
      <c r="B474" s="988" t="s">
        <v>291</v>
      </c>
      <c r="C474" s="989" t="s">
        <v>291</v>
      </c>
      <c r="D474" s="989" t="s">
        <v>2626</v>
      </c>
      <c r="E474" s="989" t="s">
        <v>37</v>
      </c>
      <c r="F474" s="989" t="s">
        <v>38</v>
      </c>
      <c r="G474" s="591" t="str">
        <f>VLOOKUP(WWWW[[#This Row],[Site Name]],SiteDB6[[Site Name]:[Location Type]],8,FALSE)</f>
        <v>Camp</v>
      </c>
      <c r="H474" s="989" t="s">
        <v>1490</v>
      </c>
      <c r="I474" s="991">
        <v>388</v>
      </c>
      <c r="J474" s="991">
        <v>1900</v>
      </c>
      <c r="K474" s="992">
        <v>44652</v>
      </c>
      <c r="L474" s="993">
        <v>44926</v>
      </c>
      <c r="M474" s="991"/>
      <c r="N474" s="991"/>
      <c r="O474" s="991"/>
      <c r="P474" s="991"/>
      <c r="Q474" s="994" t="s">
        <v>41</v>
      </c>
      <c r="R474" s="991">
        <v>5</v>
      </c>
      <c r="S474" s="991">
        <v>6</v>
      </c>
      <c r="T474" s="448">
        <v>4</v>
      </c>
      <c r="U474" s="991"/>
      <c r="V474" s="991"/>
      <c r="W474" s="991">
        <v>1</v>
      </c>
      <c r="X474" s="991"/>
      <c r="Y474" s="991"/>
      <c r="Z474" s="991"/>
      <c r="AA474" s="991">
        <v>1</v>
      </c>
      <c r="AB474" s="991"/>
      <c r="AC474" s="991"/>
      <c r="AD474" s="991"/>
      <c r="AE474" s="991">
        <v>5</v>
      </c>
      <c r="AF474" s="991"/>
      <c r="AG474" s="991"/>
      <c r="AH474" s="991">
        <v>5</v>
      </c>
      <c r="AI474" s="991"/>
      <c r="AJ474" s="991"/>
      <c r="AK474" s="991"/>
      <c r="AL474" s="991"/>
      <c r="AM474" s="991"/>
      <c r="AN474" s="991">
        <v>5</v>
      </c>
      <c r="AO474" s="448"/>
      <c r="AP474" s="995"/>
      <c r="AQ474" s="991">
        <v>185</v>
      </c>
      <c r="AR474" s="991"/>
      <c r="AS474" s="996"/>
      <c r="AT474" s="991"/>
      <c r="AU474" s="991"/>
      <c r="AV474" s="991"/>
      <c r="AW474" s="991"/>
      <c r="AX474" s="991">
        <v>73</v>
      </c>
      <c r="AY474" s="990" t="s">
        <v>136</v>
      </c>
      <c r="AZ474" s="995" t="s">
        <v>137</v>
      </c>
      <c r="BA474" s="991">
        <v>4</v>
      </c>
      <c r="BB474" s="991">
        <v>60</v>
      </c>
      <c r="BC474" s="991">
        <v>15</v>
      </c>
      <c r="BD474" s="448">
        <v>2</v>
      </c>
      <c r="BE474" s="448">
        <v>6</v>
      </c>
      <c r="BF474" s="990"/>
      <c r="BG474" s="991">
        <v>3</v>
      </c>
      <c r="BH474" s="991"/>
      <c r="BI474" s="991">
        <v>60</v>
      </c>
      <c r="BJ474" s="991">
        <v>2</v>
      </c>
      <c r="BK474" s="991"/>
      <c r="BL474" s="991"/>
      <c r="BM474" s="991">
        <v>6</v>
      </c>
      <c r="BN474" s="991"/>
      <c r="BO474" s="991"/>
      <c r="BP474" s="990"/>
      <c r="BQ474" s="997"/>
      <c r="BR474" s="996"/>
      <c r="BS474" s="990"/>
      <c r="BT474" s="423"/>
      <c r="BU474" s="423"/>
      <c r="BV474" s="425"/>
      <c r="BW474" s="423"/>
      <c r="BX474" s="448"/>
      <c r="BY474" s="448"/>
      <c r="BZ474" s="448"/>
      <c r="CA474" s="448"/>
      <c r="CB474" s="448"/>
      <c r="CC474" s="777"/>
      <c r="CD474" s="448"/>
      <c r="CE474" s="998" t="str">
        <f>IFERROR(WWWW[[#This Row],['#_Water sources passed]]/WWWW[[#This Row],['#_Water sources tested for fecal coliform ]],"no test")</f>
        <v>no test</v>
      </c>
      <c r="CF474" s="996" t="str">
        <f>IFERROR(WWWW[[#This Row],['#_Household passed]]/WWWW[[#This Row],['#_Household water samples tested for fecal coliform]],"no test")</f>
        <v>no test</v>
      </c>
      <c r="CG474" s="997" t="str">
        <f>IF(AND(WWWW[[#This Row],[% of water sources passed]]="no test",WWWW[[#This Row],[% Household passed]]="no test"),"No Test","Tested")</f>
        <v>No Test</v>
      </c>
      <c r="CH474" s="997">
        <f>WWWW[[#This Row],['#_Constructed/existing protected hand dug well]]-WWWW[[#This Row],['#_Non-functional protected hand dug well]]</f>
        <v>4</v>
      </c>
      <c r="CI474" s="997">
        <f>(WWWW[[#This Row],['#_Constructed/Existing tube wells/boreholes/handpumps_WASH_agency]]+WWWW[[#This Row],['#_Non-Cluster partner water tube-wells/boreholes/handpumps]])-WWWW[[#This Row],['#_Non-functional tube wells/boreholes/handpumps]]</f>
        <v>1</v>
      </c>
      <c r="CJ474" s="997">
        <f>WWWW[[#This Row],['#_Constructed/Existingwater storage tank with gravity fed reticulation system]]-WWWW[[#This Row],['#_Non-functional storage tank gravity fed reticulation system]]</f>
        <v>1</v>
      </c>
      <c r="CK474" s="997">
        <f>(WWWW[[#This Row],['#_Water_Liters_supplied_by_Water boating or water trucking]]/90)/15</f>
        <v>0</v>
      </c>
      <c r="CL474" s="997">
        <f>WWWW[[#This Row],['#_Water_Liters_from_Constructed/Existing water distribution system from river or natural spring]]/90/15</f>
        <v>0</v>
      </c>
      <c r="CM474" s="424">
        <f>IF(WWWW[[#This Row],['#_of water points in TLS/CFS]]*500&gt;WWWW[[#This Row],[Total PoP ]],WWWW[[#This Row],[Total PoP ]],WWWW[[#This Row],['#_of water points in TLS/CFS]]*500)</f>
        <v>1900</v>
      </c>
      <c r="CN474" s="424">
        <f>IF(WWWW[[#This Row],['#_of water points in THF]]*500&gt;WWWW[[#This Row],[Total PoP ]],WWWW[[#This Row],[Total PoP ]],WWWW[[#This Row],['#_of water points in THF]]*500)</f>
        <v>0</v>
      </c>
      <c r="CO47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7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0.69298245614035092</v>
      </c>
      <c r="CQ474" s="996">
        <f>IF(WWWW[[#This Row],[Location Type 1]]="Village",WWWW[[#This Row],[Access to safe drinking water for Village]],WWWW[[#This Row],[Access to safe drinking water for Camp]])</f>
        <v>1</v>
      </c>
      <c r="CR474" s="994">
        <f>WWWW[[#This Row],[%Equitable and continuous access to sufficient quantity of safe drinking water]]*WWWW[[#This Row],[Total PoP ]]</f>
        <v>1900</v>
      </c>
      <c r="CS474" s="996">
        <f>IF((WWWW[[#This Row],['#_Constructed/Existing protected/fenced ponds]]*250)/WWWW[[#This Row],[Total PoP ]]&gt;1,1,(WWWW[[#This Row],['#_Constructed/Existing protected/fenced ponds]]*250)/WWWW[[#This Row],[Total PoP ]])</f>
        <v>0.65789473684210531</v>
      </c>
      <c r="CT474" s="994">
        <f>WWWW[[#This Row],[% Access to unimproved water points]]*WWWW[[#This Row],[Total PoP ]]</f>
        <v>1250</v>
      </c>
      <c r="CU47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7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W474" s="994">
        <f>WWWW[[#This Row],[HRP1]]/500</f>
        <v>3.8</v>
      </c>
      <c r="CX474" s="999">
        <f>1-WWWW[[#This Row],[% Equitable and continuous access to sufficient quantity of domestic water]]</f>
        <v>0</v>
      </c>
      <c r="CY474" s="994">
        <f>WWWW[[#This Row],[%equitable and continuous access to sufficient quantity of safe drinking and domestic water''s GAP]]*WWWW[[#This Row],[Total PoP ]]</f>
        <v>0</v>
      </c>
      <c r="CZ474" s="997">
        <f>IF(WWWW[[#This Row],[Total required water points]]-WWWW[[#This Row],['#Water points coverage]]&lt;0,0,WWWW[[#This Row],[Total required water points]]-WWWW[[#This Row],['#Water points coverage]])</f>
        <v>0.20000000000000018</v>
      </c>
      <c r="DA474" s="997">
        <f>ROUND(IF(WWWW[[#This Row],[Total PoP ]]&lt;500,1,WWWW[[#This Row],[Total PoP ]]/500),0)</f>
        <v>4</v>
      </c>
      <c r="DB474" s="997">
        <f>(WWWW[[#This Row],['#_Constructed latrines_by_WASHAgencies]]+WWWW[[#This Row],['#_Non Cluster partner latrines]])-WWWW[[#This Row],['#_Non-functional latrines]]</f>
        <v>185</v>
      </c>
      <c r="DC474" s="631">
        <f>WWWW[[#This Row],[HRP2]]/WWWW[[#This Row],[Total PoP ]]</f>
        <v>1</v>
      </c>
      <c r="DD47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1900</v>
      </c>
      <c r="DE47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4" s="424">
        <f>IF(WWWW[[#This Row],['# of functional latrines in THF supported by WASH partners during the reporting period2]]="",0,WWWW[[#This Row],['# of functional latrines in THF supported by WASH partners during the reporting period2]]*50)</f>
        <v>100</v>
      </c>
      <c r="DH474" s="997">
        <f>ROUND(IF(WWWW[[#This Row],[Location Type 1]]="camp",WWWW[[#This Row],[Total PoP ]]/20,IF(WWWW[[#This Row],[Location Type 1]]="Temporary Location",WWWW[[#This Row],[Total PoP ]]/50,(WWWW[[#This Row],[Total PoP ]]/6))),0)</f>
        <v>95</v>
      </c>
      <c r="DI474" s="997">
        <f>IF(WWWW[[#This Row],[Total required Latrines]]-(WWWW[[#This Row],['#_Constructed latrines_by_WASHAgencies]]+WWWW[[#This Row],['#_Non Cluster partner latrines]])&lt;0,0,WWWW[[#This Row],[Total required Latrines]]-(WWWW[[#This Row],['#_Constructed latrines_by_WASHAgencies]]+WWWW[[#This Row],['#_Non Cluster partner latrines]]))</f>
        <v>0</v>
      </c>
      <c r="DJ474" s="999">
        <f>1-WWWW[[#This Row],[% people access to functioning Latrine]]</f>
        <v>0</v>
      </c>
      <c r="DK474" s="998">
        <f>IF(OR(WWWW[[#This Row],['#_Non-functional latrines]]="",WWWW[[#This Row],['#_Non-functional latrines]]=0),0,WWWW[[#This Row],['#_Non-functional latrines]]/(WWWW[[#This Row],['#_Constructed latrines_by_WASHAgencies]]+WWWW[[#This Row],['#_Non Cluster partner latrines]]))</f>
        <v>0</v>
      </c>
      <c r="DL474" s="994">
        <f>IF(500*(WWWW[[#This Row],['#_male hygiene promoters]]+WWWW[[#This Row],['#_female hygiene promoters]])&gt;WWWW[[#This Row],[Total PoP ]],WWWW[[#This Row],[Total PoP ]],500*(WWWW[[#This Row],['#_male hygiene promoters]]+WWWW[[#This Row],['#_female hygiene promoters]]))</f>
        <v>1900</v>
      </c>
      <c r="DM47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7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74" s="997">
        <f>IF(WWWW[[#This Row],['# People with access to soap]]&gt;WWWW[[#This Row],['# People with access to Sanity Pads]],WWWW[[#This Row],['# People with access to soap]],WWWW[[#This Row],['# People with access to Sanity Pads]])</f>
        <v>0</v>
      </c>
      <c r="DP474" s="997">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Q474" s="999">
        <f>IF(WWWW[[#This Row],[HRP3]]/WWWW[[#This Row],[Total PoP ]]&gt;1,1,WWWW[[#This Row],[HRP3]]/WWWW[[#This Row],[Total PoP ]])</f>
        <v>1</v>
      </c>
      <c r="DR474" s="998">
        <f>1-WWWW[[#This Row],[Hygiene Coverage%]]</f>
        <v>0</v>
      </c>
      <c r="DS474" s="996">
        <f>WWWW[[#This Row],['# people reached by regular dedicated hygiene promotion_5]]/WWWW[[#This Row],[Total PoP ]]</f>
        <v>1</v>
      </c>
      <c r="DT47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7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74" s="997">
        <f>WWWW[[#This Row],['#_Constructed/Existing hand washing stations]]-WWWW[[#This Row],['#_Non-Functional_hand_washing_stations]]</f>
        <v>3</v>
      </c>
      <c r="DW474" s="994">
        <f>IF(WWWW[[#This Row],['# Functional hand washing stations during reporting period]]*20&gt;WWWW[[#This Row],[Total HH]],WWWW[[#This Row],[Total HH]],WWWW[[#This Row],['# Functional hand washing stations during reporting period]]*20)</f>
        <v>60</v>
      </c>
      <c r="DX474" s="994">
        <f>IF(WWWW[[#This Row],[Is sufficient soap available for TLS? (Yes/No)]]="yes",WWWW[[#This Row],['#_Constructed/Existing hand washing stations at TLS/CFS/THF]],0)</f>
        <v>0</v>
      </c>
      <c r="DY474" s="428">
        <f>IF(WWWW[[#This Row],['# Functional hand washing stations during reporting period]]*100&gt;WWWW[[#This Row],[Total PoP ]],WWWW[[#This Row],[Total PoP ]],WWWW[[#This Row],['# Functional hand washing stations during reporting period]]*100)</f>
        <v>300</v>
      </c>
      <c r="DZ474" s="428" t="str">
        <f>IF(OR(WWWW[[#This Row],['#_students at TLS_CFS]]="",WWWW[[#This Row],['#_students at TLS_CFS]]=0),"No","Yes")</f>
        <v>No</v>
      </c>
      <c r="EA47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1900</v>
      </c>
      <c r="ED47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474" s="990" t="str">
        <f>VLOOKUP(WWWW[[#This Row],[Site Name]],SiteDB6[[Site Name]:[CCCM Management]],6,FALSE)</f>
        <v>Yes</v>
      </c>
      <c r="EF474" s="990" t="str">
        <f>VLOOKUP(WWWW[[#This Row],[Site Name]],SiteDB6[[Site Name]:[CCCM Focal Agency]],7,FALSE)</f>
        <v>KMSS-BMO</v>
      </c>
      <c r="EG474" s="990" t="str">
        <f>VLOOKUP(WWWW[[#This Row],[Site Name]],SiteDB6[[Site Name]:[Location Type 1]],9,FALSE)</f>
        <v>Camp</v>
      </c>
      <c r="EH474" s="990" t="str">
        <f>VLOOKUP(WWWW[[#This Row],[Site Name]],SiteDB6[[Site Name]:[Type of Accommodation]],10,FALSE)</f>
        <v>Camp</v>
      </c>
      <c r="EI474" s="990" t="str">
        <f>VLOOKUP(WWWW[[#This Row],[Site Name]],SiteDB6[[Site Name]:[Ethnic or GCA/NGCA]],11,FALSE)</f>
        <v>NGCA</v>
      </c>
      <c r="EJ474" s="990">
        <f>VLOOKUP(WWWW[[#This Row],[Site Name]],SiteDB6[[Site Name]:[Lat]],12,FALSE)</f>
        <v>24.002433</v>
      </c>
      <c r="EK474" s="990">
        <f>VLOOKUP(WWWW[[#This Row],[Site Name]],SiteDB6[[Site Name]:[Long]],13,FALSE)</f>
        <v>97.609832999999995</v>
      </c>
      <c r="EL474" s="990" t="str">
        <f>VLOOKUP(WWWW[[#This Row],[Site Name]],SiteDB6[[Site Name]:[Pcode]],3,FALSE)</f>
        <v>MMR001CMP129</v>
      </c>
      <c r="EM474" s="995" t="str">
        <f t="shared" si="9"/>
        <v>Covered</v>
      </c>
      <c r="EN474" s="995"/>
      <c r="EO474" s="990">
        <f>VLOOKUP(WWWW[[#This Row],[Site Name]],SiteDB6[[Site Name]:[Pop
(Kachin/Shan-CCCM as of July 2021)]],16,FALSE)</f>
        <v>388</v>
      </c>
      <c r="EP474" s="990">
        <f>VLOOKUP(WWWW[[#This Row],[Site Name]],SiteDB6[[Site Name]:[Pop
(Kachin/Shan-CCCM as of July 2021)]],17,FALSE)</f>
        <v>1900</v>
      </c>
    </row>
    <row r="475" spans="1:146">
      <c r="A475" s="988" t="s">
        <v>2765</v>
      </c>
      <c r="B475" s="988" t="s">
        <v>291</v>
      </c>
      <c r="C475" s="989" t="s">
        <v>291</v>
      </c>
      <c r="D475" s="989" t="s">
        <v>2626</v>
      </c>
      <c r="E475" s="989" t="s">
        <v>37</v>
      </c>
      <c r="F475" s="989" t="s">
        <v>205</v>
      </c>
      <c r="G475" s="591" t="str">
        <f>VLOOKUP(WWWW[[#This Row],[Site Name]],SiteDB6[[Site Name]:[Location Type]],8,FALSE)</f>
        <v>Camp</v>
      </c>
      <c r="H475" s="989" t="s">
        <v>295</v>
      </c>
      <c r="I475" s="991">
        <v>349</v>
      </c>
      <c r="J475" s="991">
        <v>1570</v>
      </c>
      <c r="K475" s="992">
        <v>44652</v>
      </c>
      <c r="L475" s="993">
        <v>44926</v>
      </c>
      <c r="M475" s="991"/>
      <c r="N475" s="991"/>
      <c r="O475" s="991"/>
      <c r="P475" s="991"/>
      <c r="Q475" s="994" t="s">
        <v>41</v>
      </c>
      <c r="R475" s="991"/>
      <c r="S475" s="991"/>
      <c r="T475" s="448"/>
      <c r="U475" s="991"/>
      <c r="V475" s="991"/>
      <c r="W475" s="991"/>
      <c r="X475" s="991"/>
      <c r="Y475" s="991"/>
      <c r="Z475" s="991"/>
      <c r="AA475" s="991"/>
      <c r="AB475" s="991"/>
      <c r="AC475" s="991"/>
      <c r="AD475" s="991"/>
      <c r="AE475" s="991">
        <v>6</v>
      </c>
      <c r="AF475" s="991"/>
      <c r="AG475" s="991"/>
      <c r="AH475" s="991">
        <v>6</v>
      </c>
      <c r="AI475" s="991"/>
      <c r="AJ475" s="991"/>
      <c r="AK475" s="991"/>
      <c r="AL475" s="991"/>
      <c r="AM475" s="991">
        <v>4</v>
      </c>
      <c r="AN475" s="991">
        <v>2</v>
      </c>
      <c r="AO475" s="448"/>
      <c r="AP475" s="995"/>
      <c r="AQ475" s="991">
        <v>181</v>
      </c>
      <c r="AR475" s="991"/>
      <c r="AS475" s="996"/>
      <c r="AT475" s="991"/>
      <c r="AU475" s="991"/>
      <c r="AV475" s="991"/>
      <c r="AW475" s="991"/>
      <c r="AX475" s="991">
        <v>71</v>
      </c>
      <c r="AY475" s="990" t="s">
        <v>136</v>
      </c>
      <c r="AZ475" s="995" t="s">
        <v>137</v>
      </c>
      <c r="BA475" s="991">
        <v>2</v>
      </c>
      <c r="BB475" s="991"/>
      <c r="BC475" s="991">
        <v>16</v>
      </c>
      <c r="BD475" s="448">
        <v>2</v>
      </c>
      <c r="BE475" s="448"/>
      <c r="BF475" s="990"/>
      <c r="BG475" s="991">
        <v>8</v>
      </c>
      <c r="BH475" s="991"/>
      <c r="BI475" s="991">
        <v>30</v>
      </c>
      <c r="BJ475" s="991">
        <v>3</v>
      </c>
      <c r="BK475" s="991"/>
      <c r="BL475" s="991"/>
      <c r="BM475" s="991">
        <v>6</v>
      </c>
      <c r="BN475" s="991"/>
      <c r="BO475" s="991"/>
      <c r="BP475" s="990"/>
      <c r="BQ475" s="997"/>
      <c r="BR475" s="996"/>
      <c r="BS475" s="990"/>
      <c r="BT475" s="423"/>
      <c r="BU475" s="423"/>
      <c r="BV475" s="425"/>
      <c r="BW475" s="423"/>
      <c r="BX475" s="448"/>
      <c r="BY475" s="448"/>
      <c r="BZ475" s="448"/>
      <c r="CA475" s="448"/>
      <c r="CB475" s="448"/>
      <c r="CC475" s="777"/>
      <c r="CD475" s="448"/>
      <c r="CE475" s="998" t="str">
        <f>IFERROR(WWWW[[#This Row],['#_Water sources passed]]/WWWW[[#This Row],['#_Water sources tested for fecal coliform ]],"no test")</f>
        <v>no test</v>
      </c>
      <c r="CF475" s="996" t="str">
        <f>IFERROR(WWWW[[#This Row],['#_Household passed]]/WWWW[[#This Row],['#_Household water samples tested for fecal coliform]],"no test")</f>
        <v>no test</v>
      </c>
      <c r="CG475" s="997" t="str">
        <f>IF(AND(WWWW[[#This Row],[% of water sources passed]]="no test",WWWW[[#This Row],[% Household passed]]="no test"),"No Test","Tested")</f>
        <v>No Test</v>
      </c>
      <c r="CH475" s="997">
        <f>WWWW[[#This Row],['#_Constructed/existing protected hand dug well]]-WWWW[[#This Row],['#_Non-functional protected hand dug well]]</f>
        <v>0</v>
      </c>
      <c r="CI475" s="997">
        <f>(WWWW[[#This Row],['#_Constructed/Existing tube wells/boreholes/handpumps_WASH_agency]]+WWWW[[#This Row],['#_Non-Cluster partner water tube-wells/boreholes/handpumps]])-WWWW[[#This Row],['#_Non-functional tube wells/boreholes/handpumps]]</f>
        <v>0</v>
      </c>
      <c r="CJ475" s="997">
        <f>WWWW[[#This Row],['#_Constructed/Existingwater storage tank with gravity fed reticulation system]]-WWWW[[#This Row],['#_Non-functional storage tank gravity fed reticulation system]]</f>
        <v>0</v>
      </c>
      <c r="CK475" s="997">
        <f>(WWWW[[#This Row],['#_Water_Liters_supplied_by_Water boating or water trucking]]/90)/15</f>
        <v>0</v>
      </c>
      <c r="CL475" s="997">
        <f>WWWW[[#This Row],['#_Water_Liters_from_Constructed/Existing water distribution system from river or natural spring]]/90/15</f>
        <v>0</v>
      </c>
      <c r="CM475" s="424">
        <f>IF(WWWW[[#This Row],['#_of water points in TLS/CFS]]*500&gt;WWWW[[#This Row],[Total PoP ]],WWWW[[#This Row],[Total PoP ]],WWWW[[#This Row],['#_of water points in TLS/CFS]]*500)</f>
        <v>1000</v>
      </c>
      <c r="CN475" s="424">
        <f>IF(WWWW[[#This Row],['#_of water points in THF]]*500&gt;WWWW[[#This Row],[Total PoP ]],WWWW[[#This Row],[Total PoP ]],WWWW[[#This Row],['#_of water points in THF]]*500)</f>
        <v>0</v>
      </c>
      <c r="CO47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7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75" s="996">
        <f>IF(WWWW[[#This Row],[Location Type 1]]="Village",WWWW[[#This Row],[Access to safe drinking water for Village]],WWWW[[#This Row],[Access to safe drinking water for Camp]])</f>
        <v>0</v>
      </c>
      <c r="CR475" s="994">
        <f>WWWW[[#This Row],[%Equitable and continuous access to sufficient quantity of safe drinking water]]*WWWW[[#This Row],[Total PoP ]]</f>
        <v>0</v>
      </c>
      <c r="CS475" s="996">
        <f>IF((WWWW[[#This Row],['#_Constructed/Existing protected/fenced ponds]]*250)/WWWW[[#This Row],[Total PoP ]]&gt;1,1,(WWWW[[#This Row],['#_Constructed/Existing protected/fenced ponds]]*250)/WWWW[[#This Row],[Total PoP ]])</f>
        <v>0.95541401273885351</v>
      </c>
      <c r="CT475" s="994">
        <f>WWWW[[#This Row],[% Access to unimproved water points]]*WWWW[[#This Row],[Total PoP ]]</f>
        <v>1500</v>
      </c>
      <c r="CU47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0.95541401273885351</v>
      </c>
      <c r="CV47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W475" s="994">
        <f>WWWW[[#This Row],[HRP1]]/500</f>
        <v>3</v>
      </c>
      <c r="CX475" s="999">
        <f>1-WWWW[[#This Row],[% Equitable and continuous access to sufficient quantity of domestic water]]</f>
        <v>4.4585987261146487E-2</v>
      </c>
      <c r="CY475" s="994">
        <f>WWWW[[#This Row],[%equitable and continuous access to sufficient quantity of safe drinking and domestic water''s GAP]]*WWWW[[#This Row],[Total PoP ]]</f>
        <v>69.999999999999986</v>
      </c>
      <c r="CZ475" s="997">
        <f>IF(WWWW[[#This Row],[Total required water points]]-WWWW[[#This Row],['#Water points coverage]]&lt;0,0,WWWW[[#This Row],[Total required water points]]-WWWW[[#This Row],['#Water points coverage]])</f>
        <v>0</v>
      </c>
      <c r="DA475" s="997">
        <f>ROUND(IF(WWWW[[#This Row],[Total PoP ]]&lt;500,1,WWWW[[#This Row],[Total PoP ]]/500),0)</f>
        <v>3</v>
      </c>
      <c r="DB475" s="997">
        <f>(WWWW[[#This Row],['#_Constructed latrines_by_WASHAgencies]]+WWWW[[#This Row],['#_Non Cluster partner latrines]])-WWWW[[#This Row],['#_Non-functional latrines]]</f>
        <v>181</v>
      </c>
      <c r="DC475" s="631">
        <f>WWWW[[#This Row],[HRP2]]/WWWW[[#This Row],[Total PoP ]]</f>
        <v>1</v>
      </c>
      <c r="DD47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1570</v>
      </c>
      <c r="DE47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5" s="424">
        <f>IF(WWWW[[#This Row],['# of functional latrines in THF supported by WASH partners during the reporting period2]]="",0,WWWW[[#This Row],['# of functional latrines in THF supported by WASH partners during the reporting period2]]*50)</f>
        <v>100</v>
      </c>
      <c r="DH475" s="997">
        <f>ROUND(IF(WWWW[[#This Row],[Location Type 1]]="camp",WWWW[[#This Row],[Total PoP ]]/20,IF(WWWW[[#This Row],[Location Type 1]]="Temporary Location",WWWW[[#This Row],[Total PoP ]]/50,(WWWW[[#This Row],[Total PoP ]]/6))),0)</f>
        <v>79</v>
      </c>
      <c r="DI475" s="997">
        <f>IF(WWWW[[#This Row],[Total required Latrines]]-(WWWW[[#This Row],['#_Constructed latrines_by_WASHAgencies]]+WWWW[[#This Row],['#_Non Cluster partner latrines]])&lt;0,0,WWWW[[#This Row],[Total required Latrines]]-(WWWW[[#This Row],['#_Constructed latrines_by_WASHAgencies]]+WWWW[[#This Row],['#_Non Cluster partner latrines]]))</f>
        <v>0</v>
      </c>
      <c r="DJ475" s="999">
        <f>1-WWWW[[#This Row],[% people access to functioning Latrine]]</f>
        <v>0</v>
      </c>
      <c r="DK475" s="998">
        <f>IF(OR(WWWW[[#This Row],['#_Non-functional latrines]]="",WWWW[[#This Row],['#_Non-functional latrines]]=0),0,WWWW[[#This Row],['#_Non-functional latrines]]/(WWWW[[#This Row],['#_Constructed latrines_by_WASHAgencies]]+WWWW[[#This Row],['#_Non Cluster partner latrines]]))</f>
        <v>0</v>
      </c>
      <c r="DL475" s="994">
        <f>IF(500*(WWWW[[#This Row],['#_male hygiene promoters]]+WWWW[[#This Row],['#_female hygiene promoters]])&gt;WWWW[[#This Row],[Total PoP ]],WWWW[[#This Row],[Total PoP ]],500*(WWWW[[#This Row],['#_male hygiene promoters]]+WWWW[[#This Row],['#_female hygiene promoters]]))</f>
        <v>1570</v>
      </c>
      <c r="DM47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7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75" s="997">
        <f>IF(WWWW[[#This Row],['# People with access to soap]]&gt;WWWW[[#This Row],['# People with access to Sanity Pads]],WWWW[[#This Row],['# People with access to soap]],WWWW[[#This Row],['# People with access to Sanity Pads]])</f>
        <v>0</v>
      </c>
      <c r="DP475" s="997">
        <f>IF(WWWW[[#This Row],['# people reached by regular dedicated hygiene promotion_5]]&gt;WWWW[[#This Row],['# People received regular supply of hygiene items_6]],WWWW[[#This Row],['# people reached by regular dedicated hygiene promotion_5]],WWWW[[#This Row],['# People received regular supply of hygiene items_6]])</f>
        <v>1570</v>
      </c>
      <c r="DQ475" s="999">
        <f>IF(WWWW[[#This Row],[HRP3]]/WWWW[[#This Row],[Total PoP ]]&gt;1,1,WWWW[[#This Row],[HRP3]]/WWWW[[#This Row],[Total PoP ]])</f>
        <v>1</v>
      </c>
      <c r="DR475" s="998">
        <f>1-WWWW[[#This Row],[Hygiene Coverage%]]</f>
        <v>0</v>
      </c>
      <c r="DS475" s="996">
        <f>WWWW[[#This Row],['# people reached by regular dedicated hygiene promotion_5]]/WWWW[[#This Row],[Total PoP ]]</f>
        <v>1</v>
      </c>
      <c r="DT47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7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75" s="997">
        <f>WWWW[[#This Row],['#_Constructed/Existing hand washing stations]]-WWWW[[#This Row],['#_Non-Functional_hand_washing_stations]]</f>
        <v>8</v>
      </c>
      <c r="DW475" s="994">
        <f>IF(WWWW[[#This Row],['# Functional hand washing stations during reporting period]]*20&gt;WWWW[[#This Row],[Total HH]],WWWW[[#This Row],[Total HH]],WWWW[[#This Row],['# Functional hand washing stations during reporting period]]*20)</f>
        <v>160</v>
      </c>
      <c r="DX475" s="994">
        <f>IF(WWWW[[#This Row],[Is sufficient soap available for TLS? (Yes/No)]]="yes",WWWW[[#This Row],['#_Constructed/Existing hand washing stations at TLS/CFS/THF]],0)</f>
        <v>0</v>
      </c>
      <c r="DY475" s="428">
        <f>IF(WWWW[[#This Row],['# Functional hand washing stations during reporting period]]*100&gt;WWWW[[#This Row],[Total PoP ]],WWWW[[#This Row],[Total PoP ]],WWWW[[#This Row],['# Functional hand washing stations during reporting period]]*100)</f>
        <v>800</v>
      </c>
      <c r="DZ475" s="428" t="str">
        <f>IF(OR(WWWW[[#This Row],['#_students at TLS_CFS]]="",WWWW[[#This Row],['#_students at TLS_CFS]]=0),"No","Yes")</f>
        <v>No</v>
      </c>
      <c r="EA47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47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475" s="990" t="str">
        <f>VLOOKUP(WWWW[[#This Row],[Site Name]],SiteDB6[[Site Name]:[CCCM Management]],6,FALSE)</f>
        <v>Yes</v>
      </c>
      <c r="EF475" s="990" t="str">
        <f>VLOOKUP(WWWW[[#This Row],[Site Name]],SiteDB6[[Site Name]:[CCCM Focal Agency]],7,FALSE)</f>
        <v>KMSS-BMO</v>
      </c>
      <c r="EG475" s="990" t="str">
        <f>VLOOKUP(WWWW[[#This Row],[Site Name]],SiteDB6[[Site Name]:[Location Type 1]],9,FALSE)</f>
        <v>Camp</v>
      </c>
      <c r="EH475" s="990" t="str">
        <f>VLOOKUP(WWWW[[#This Row],[Site Name]],SiteDB6[[Site Name]:[Type of Accommodation]],10,FALSE)</f>
        <v>Camp</v>
      </c>
      <c r="EI475" s="990" t="str">
        <f>VLOOKUP(WWWW[[#This Row],[Site Name]],SiteDB6[[Site Name]:[Ethnic or GCA/NGCA]],11,FALSE)</f>
        <v>NGCA</v>
      </c>
      <c r="EJ475" s="990">
        <f>VLOOKUP(WWWW[[#This Row],[Site Name]],SiteDB6[[Site Name]:[Lat]],12,FALSE)</f>
        <v>24.378167000000001</v>
      </c>
      <c r="EK475" s="990">
        <f>VLOOKUP(WWWW[[#This Row],[Site Name]],SiteDB6[[Site Name]:[Long]],13,FALSE)</f>
        <v>97.669366999999994</v>
      </c>
      <c r="EL475" s="990" t="str">
        <f>VLOOKUP(WWWW[[#This Row],[Site Name]],SiteDB6[[Site Name]:[Pcode]],3,FALSE)</f>
        <v>MMR001CMP131</v>
      </c>
      <c r="EM475" s="995" t="str">
        <f t="shared" si="9"/>
        <v>Covered</v>
      </c>
      <c r="EN475" s="995"/>
      <c r="EO475" s="990">
        <f>VLOOKUP(WWWW[[#This Row],[Site Name]],SiteDB6[[Site Name]:[Pop
(Kachin/Shan-CCCM as of July 2021)]],16,FALSE)</f>
        <v>349</v>
      </c>
      <c r="EP475" s="990">
        <f>VLOOKUP(WWWW[[#This Row],[Site Name]],SiteDB6[[Site Name]:[Pop
(Kachin/Shan-CCCM as of July 2021)]],17,FALSE)</f>
        <v>1570</v>
      </c>
    </row>
    <row r="476" spans="1:146">
      <c r="A476" s="1041" t="s">
        <v>2765</v>
      </c>
      <c r="B476" s="1041" t="s">
        <v>2730</v>
      </c>
      <c r="C476" s="1042" t="s">
        <v>2730</v>
      </c>
      <c r="D476" s="1042" t="s">
        <v>2731</v>
      </c>
      <c r="E476" s="1042" t="s">
        <v>37</v>
      </c>
      <c r="F476" s="1042" t="s">
        <v>38</v>
      </c>
      <c r="G476" s="1043" t="str">
        <f>VLOOKUP(WWWW[[#This Row],[Site Name]],SiteDB6[[Site Name]:[Location Type]],8,FALSE)</f>
        <v>Camp</v>
      </c>
      <c r="H476" s="1042" t="s">
        <v>301</v>
      </c>
      <c r="I476" s="991">
        <v>454</v>
      </c>
      <c r="J476" s="991">
        <v>2354</v>
      </c>
      <c r="K476" s="800" t="s">
        <v>3177</v>
      </c>
      <c r="L476" s="993">
        <v>44774</v>
      </c>
      <c r="M476" s="991"/>
      <c r="N476" s="991">
        <v>3</v>
      </c>
      <c r="O476" s="991"/>
      <c r="P476" s="991"/>
      <c r="Q476" s="994" t="s">
        <v>41</v>
      </c>
      <c r="R476" s="991">
        <v>4</v>
      </c>
      <c r="S476" s="991">
        <v>3</v>
      </c>
      <c r="T476" s="448">
        <v>2</v>
      </c>
      <c r="U476" s="991"/>
      <c r="V476" s="991"/>
      <c r="W476" s="991"/>
      <c r="X476" s="991">
        <v>1</v>
      </c>
      <c r="Y476" s="991"/>
      <c r="Z476" s="991"/>
      <c r="AA476" s="991">
        <v>1</v>
      </c>
      <c r="AB476" s="991"/>
      <c r="AC476" s="991"/>
      <c r="AD476" s="991"/>
      <c r="AE476" s="991"/>
      <c r="AF476" s="991"/>
      <c r="AG476" s="991"/>
      <c r="AH476" s="991"/>
      <c r="AI476" s="991"/>
      <c r="AJ476" s="991"/>
      <c r="AK476" s="991"/>
      <c r="AL476" s="991"/>
      <c r="AM476" s="991"/>
      <c r="AN476" s="991"/>
      <c r="AO476" s="448"/>
      <c r="AP476" s="995"/>
      <c r="AQ476" s="991">
        <v>147</v>
      </c>
      <c r="AR476" s="991"/>
      <c r="AS476" s="996"/>
      <c r="AT476" s="991"/>
      <c r="AU476" s="991"/>
      <c r="AV476" s="991"/>
      <c r="AW476" s="991"/>
      <c r="AX476" s="991"/>
      <c r="AY476" s="990" t="s">
        <v>140</v>
      </c>
      <c r="AZ476" s="995" t="s">
        <v>140</v>
      </c>
      <c r="BA476" s="991"/>
      <c r="BB476" s="991"/>
      <c r="BC476" s="991"/>
      <c r="BD476" s="448"/>
      <c r="BE476" s="448"/>
      <c r="BF476" s="990"/>
      <c r="BG476" s="991">
        <v>1</v>
      </c>
      <c r="BH476" s="991"/>
      <c r="BI476" s="991"/>
      <c r="BJ476" s="991">
        <v>3</v>
      </c>
      <c r="BK476" s="991"/>
      <c r="BL476" s="991"/>
      <c r="BM476" s="991">
        <v>2</v>
      </c>
      <c r="BN476" s="991"/>
      <c r="BO476" s="991"/>
      <c r="BP476" s="990" t="s">
        <v>41</v>
      </c>
      <c r="BQ476" s="997"/>
      <c r="BR476" s="996">
        <v>1</v>
      </c>
      <c r="BS476" s="990"/>
      <c r="BT476" s="423"/>
      <c r="BU476" s="423"/>
      <c r="BV476" s="425"/>
      <c r="BW476" s="423"/>
      <c r="BX476" s="448"/>
      <c r="BY476" s="448"/>
      <c r="BZ476" s="448"/>
      <c r="CA476" s="448"/>
      <c r="CB476" s="448"/>
      <c r="CC476" s="777"/>
      <c r="CD476" s="448"/>
      <c r="CE476" s="998" t="str">
        <f>IFERROR(WWWW[[#This Row],['#_Water sources passed]]/WWWW[[#This Row],['#_Water sources tested for fecal coliform ]],"no test")</f>
        <v>no test</v>
      </c>
      <c r="CF476" s="996" t="str">
        <f>IFERROR(WWWW[[#This Row],['#_Household passed]]/WWWW[[#This Row],['#_Household water samples tested for fecal coliform]],"no test")</f>
        <v>no test</v>
      </c>
      <c r="CG476" s="997" t="str">
        <f>IF(AND(WWWW[[#This Row],[% of water sources passed]]="no test",WWWW[[#This Row],[% Household passed]]="no test"),"No Test","Tested")</f>
        <v>No Test</v>
      </c>
      <c r="CH476" s="997">
        <f>WWWW[[#This Row],['#_Constructed/existing protected hand dug well]]-WWWW[[#This Row],['#_Non-functional protected hand dug well]]</f>
        <v>2</v>
      </c>
      <c r="CI476" s="997">
        <f>(WWWW[[#This Row],['#_Constructed/Existing tube wells/boreholes/handpumps_WASH_agency]]+WWWW[[#This Row],['#_Non-Cluster partner water tube-wells/boreholes/handpumps]])-WWWW[[#This Row],['#_Non-functional tube wells/boreholes/handpumps]]</f>
        <v>1</v>
      </c>
      <c r="CJ476" s="997">
        <f>WWWW[[#This Row],['#_Constructed/Existingwater storage tank with gravity fed reticulation system]]-WWWW[[#This Row],['#_Non-functional storage tank gravity fed reticulation system]]</f>
        <v>1</v>
      </c>
      <c r="CK476" s="997">
        <f>(WWWW[[#This Row],['#_Water_Liters_supplied_by_Water boating or water trucking]]/90)/15</f>
        <v>0</v>
      </c>
      <c r="CL476" s="997">
        <f>WWWW[[#This Row],['#_Water_Liters_from_Constructed/Existing water distribution system from river or natural spring]]/90/15</f>
        <v>0</v>
      </c>
      <c r="CM476" s="424">
        <f>IF(WWWW[[#This Row],['#_of water points in TLS/CFS]]*500&gt;WWWW[[#This Row],[Total PoP ]],WWWW[[#This Row],[Total PoP ]],WWWW[[#This Row],['#_of water points in TLS/CFS]]*500)</f>
        <v>0</v>
      </c>
      <c r="CN476" s="424">
        <f>IF(WWWW[[#This Row],['#_of water points in THF]]*500&gt;WWWW[[#This Row],[Total PoP ]],WWWW[[#This Row],[Total PoP ]],WWWW[[#This Row],['#_of water points in THF]]*500)</f>
        <v>0</v>
      </c>
      <c r="CO47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0.5805720758991787</v>
      </c>
      <c r="CP47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0.34692721608609456</v>
      </c>
      <c r="CQ476" s="996">
        <f>IF(WWWW[[#This Row],[Location Type 1]]="Village",WWWW[[#This Row],[Access to safe drinking water for Village]],WWWW[[#This Row],[Access to safe drinking water for Camp]])</f>
        <v>0.5805720758991787</v>
      </c>
      <c r="CR476" s="994">
        <f>WWWW[[#This Row],[%Equitable and continuous access to sufficient quantity of safe drinking water]]*WWWW[[#This Row],[Total PoP ]]</f>
        <v>1366.6666666666667</v>
      </c>
      <c r="CS476" s="996">
        <f>IF((WWWW[[#This Row],['#_Constructed/Existing protected/fenced ponds]]*250)/WWWW[[#This Row],[Total PoP ]]&gt;1,1,(WWWW[[#This Row],['#_Constructed/Existing protected/fenced ponds]]*250)/WWWW[[#This Row],[Total PoP ]])</f>
        <v>0</v>
      </c>
      <c r="CT476" s="994">
        <f>WWWW[[#This Row],[% Access to unimproved water points]]*WWWW[[#This Row],[Total PoP ]]</f>
        <v>0</v>
      </c>
      <c r="CU47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0.5805720758991787</v>
      </c>
      <c r="CV47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1366.6666666666667</v>
      </c>
      <c r="CW476" s="994">
        <f>WWWW[[#This Row],[HRP1]]/500</f>
        <v>2.7333333333333334</v>
      </c>
      <c r="CX476" s="999">
        <f>1-WWWW[[#This Row],[% Equitable and continuous access to sufficient quantity of domestic water]]</f>
        <v>0.4194279241008213</v>
      </c>
      <c r="CY476" s="994">
        <f>WWWW[[#This Row],[%equitable and continuous access to sufficient quantity of safe drinking and domestic water''s GAP]]*WWWW[[#This Row],[Total PoP ]]</f>
        <v>987.33333333333337</v>
      </c>
      <c r="CZ476" s="997">
        <f>IF(WWWW[[#This Row],[Total required water points]]-WWWW[[#This Row],['#Water points coverage]]&lt;0,0,WWWW[[#This Row],[Total required water points]]-WWWW[[#This Row],['#Water points coverage]])</f>
        <v>2.2666666666666666</v>
      </c>
      <c r="DA476" s="997">
        <f>ROUND(IF(WWWW[[#This Row],[Total PoP ]]&lt;500,1,WWWW[[#This Row],[Total PoP ]]/500),0)</f>
        <v>5</v>
      </c>
      <c r="DB476" s="997">
        <f>(WWWW[[#This Row],['#_Constructed latrines_by_WASHAgencies]]+WWWW[[#This Row],['#_Non Cluster partner latrines]])-WWWW[[#This Row],['#_Non-functional latrines]]</f>
        <v>147</v>
      </c>
      <c r="DC476" s="631">
        <f>WWWW[[#This Row],[HRP2]]/WWWW[[#This Row],[Total PoP ]]</f>
        <v>1</v>
      </c>
      <c r="DD47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2354</v>
      </c>
      <c r="DE47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6" s="424">
        <f>IF(WWWW[[#This Row],['# of functional latrines in THF supported by WASH partners during the reporting period2]]="",0,WWWW[[#This Row],['# of functional latrines in THF supported by WASH partners during the reporting period2]]*50)</f>
        <v>0</v>
      </c>
      <c r="DH476" s="997">
        <f>ROUND(IF(WWWW[[#This Row],[Location Type 1]]="camp",WWWW[[#This Row],[Total PoP ]]/20,IF(WWWW[[#This Row],[Location Type 1]]="Temporary Location",WWWW[[#This Row],[Total PoP ]]/50,(WWWW[[#This Row],[Total PoP ]]/6))),0)</f>
        <v>118</v>
      </c>
      <c r="DI476" s="997">
        <f>IF(WWWW[[#This Row],[Total required Latrines]]-(WWWW[[#This Row],['#_Constructed latrines_by_WASHAgencies]]+WWWW[[#This Row],['#_Non Cluster partner latrines]])&lt;0,0,WWWW[[#This Row],[Total required Latrines]]-(WWWW[[#This Row],['#_Constructed latrines_by_WASHAgencies]]+WWWW[[#This Row],['#_Non Cluster partner latrines]]))</f>
        <v>0</v>
      </c>
      <c r="DJ476" s="999">
        <f>1-WWWW[[#This Row],[% people access to functioning Latrine]]</f>
        <v>0</v>
      </c>
      <c r="DK476" s="998">
        <f>IF(OR(WWWW[[#This Row],['#_Non-functional latrines]]="",WWWW[[#This Row],['#_Non-functional latrines]]=0),0,WWWW[[#This Row],['#_Non-functional latrines]]/(WWWW[[#This Row],['#_Constructed latrines_by_WASHAgencies]]+WWWW[[#This Row],['#_Non Cluster partner latrines]]))</f>
        <v>0</v>
      </c>
      <c r="DL476" s="994">
        <f>IF(500*(WWWW[[#This Row],['#_male hygiene promoters]]+WWWW[[#This Row],['#_female hygiene promoters]])&gt;WWWW[[#This Row],[Total PoP ]],WWWW[[#This Row],[Total PoP ]],500*(WWWW[[#This Row],['#_male hygiene promoters]]+WWWW[[#This Row],['#_female hygiene promoters]]))</f>
        <v>1000</v>
      </c>
      <c r="DM47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7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76" s="997">
        <f>IF(WWWW[[#This Row],['# People with access to soap]]&gt;WWWW[[#This Row],['# People with access to Sanity Pads]],WWWW[[#This Row],['# People with access to soap]],WWWW[[#This Row],['# People with access to Sanity Pads]])</f>
        <v>0</v>
      </c>
      <c r="DP476" s="997">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Q476" s="999">
        <f>IF(WWWW[[#This Row],[HRP3]]/WWWW[[#This Row],[Total PoP ]]&gt;1,1,WWWW[[#This Row],[HRP3]]/WWWW[[#This Row],[Total PoP ]])</f>
        <v>0.42480883602378927</v>
      </c>
      <c r="DR476" s="998">
        <f>1-WWWW[[#This Row],[Hygiene Coverage%]]</f>
        <v>0.57519116397621073</v>
      </c>
      <c r="DS476" s="996">
        <f>WWWW[[#This Row],['# people reached by regular dedicated hygiene promotion_5]]/WWWW[[#This Row],[Total PoP ]]</f>
        <v>0.42480883602378927</v>
      </c>
      <c r="DT47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7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76" s="997">
        <f>WWWW[[#This Row],['#_Constructed/Existing hand washing stations]]-WWWW[[#This Row],['#_Non-Functional_hand_washing_stations]]</f>
        <v>1</v>
      </c>
      <c r="DW476" s="994">
        <f>IF(WWWW[[#This Row],['# Functional hand washing stations during reporting period]]*20&gt;WWWW[[#This Row],[Total HH]],WWWW[[#This Row],[Total HH]],WWWW[[#This Row],['# Functional hand washing stations during reporting period]]*20)</f>
        <v>20</v>
      </c>
      <c r="DX476" s="994">
        <f>IF(WWWW[[#This Row],[Is sufficient soap available for TLS? (Yes/No)]]="yes",WWWW[[#This Row],['#_Constructed/Existing hand washing stations at TLS/CFS/THF]],0)</f>
        <v>0</v>
      </c>
      <c r="DY476" s="428">
        <f>IF(WWWW[[#This Row],['# Functional hand washing stations during reporting period]]*100&gt;WWWW[[#This Row],[Total PoP ]],WWWW[[#This Row],[Total PoP ]],WWWW[[#This Row],['# Functional hand washing stations during reporting period]]*100)</f>
        <v>100</v>
      </c>
      <c r="DZ476" s="428" t="str">
        <f>IF(OR(WWWW[[#This Row],['#_students at TLS_CFS]]="",WWWW[[#This Row],['#_students at TLS_CFS]]=0),"No","Yes")</f>
        <v>No</v>
      </c>
      <c r="EA47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7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76" s="990" t="str">
        <f>VLOOKUP(WWWW[[#This Row],[Site Name]],SiteDB6[[Site Name]:[CCCM Management]],6,FALSE)</f>
        <v>Yes</v>
      </c>
      <c r="EF476" s="990" t="str">
        <f>VLOOKUP(WWWW[[#This Row],[Site Name]],SiteDB6[[Site Name]:[CCCM Focal Agency]],7,FALSE)</f>
        <v>KMSS-BMO</v>
      </c>
      <c r="EG476" s="990" t="str">
        <f>VLOOKUP(WWWW[[#This Row],[Site Name]],SiteDB6[[Site Name]:[Location Type 1]],9,FALSE)</f>
        <v>Camp</v>
      </c>
      <c r="EH476" s="990" t="str">
        <f>VLOOKUP(WWWW[[#This Row],[Site Name]],SiteDB6[[Site Name]:[Type of Accommodation]],10,FALSE)</f>
        <v>Camp</v>
      </c>
      <c r="EI476" s="990" t="str">
        <f>VLOOKUP(WWWW[[#This Row],[Site Name]],SiteDB6[[Site Name]:[Ethnic or GCA/NGCA]],11,FALSE)</f>
        <v>GCA</v>
      </c>
      <c r="EJ476" s="990">
        <f>VLOOKUP(WWWW[[#This Row],[Site Name]],SiteDB6[[Site Name]:[Lat]],12,FALSE)</f>
        <v>23.835319999999999</v>
      </c>
      <c r="EK476" s="990">
        <f>VLOOKUP(WWWW[[#This Row],[Site Name]],SiteDB6[[Site Name]:[Long]],13,FALSE)</f>
        <v>97.578490000000002</v>
      </c>
      <c r="EL476" s="990" t="str">
        <f>VLOOKUP(WWWW[[#This Row],[Site Name]],SiteDB6[[Site Name]:[Pcode]],3,FALSE)</f>
        <v>MMR001CMP132</v>
      </c>
      <c r="EM476" s="995" t="str">
        <f t="shared" si="9"/>
        <v>Covered</v>
      </c>
      <c r="EN476" s="995"/>
      <c r="EO476" s="990">
        <f>VLOOKUP(WWWW[[#This Row],[Site Name]],SiteDB6[[Site Name]:[Pop
(Kachin/Shan-CCCM as of July 2021)]],16,FALSE)</f>
        <v>622</v>
      </c>
      <c r="EP476" s="990">
        <f>VLOOKUP(WWWW[[#This Row],[Site Name]],SiteDB6[[Site Name]:[Pop
(Kachin/Shan-CCCM as of July 2021)]],17,FALSE)</f>
        <v>3302</v>
      </c>
    </row>
    <row r="477" spans="1:146">
      <c r="A477" s="1041" t="s">
        <v>2765</v>
      </c>
      <c r="B477" s="1041" t="s">
        <v>2730</v>
      </c>
      <c r="C477" s="1042" t="s">
        <v>2730</v>
      </c>
      <c r="D477" s="1042" t="s">
        <v>2731</v>
      </c>
      <c r="E477" s="1042" t="s">
        <v>37</v>
      </c>
      <c r="F477" s="1042" t="s">
        <v>38</v>
      </c>
      <c r="G477" s="1043" t="str">
        <f>VLOOKUP(WWWW[[#This Row],[Site Name]],SiteDB6[[Site Name]:[Location Type]],8,FALSE)</f>
        <v>Camp</v>
      </c>
      <c r="H477" s="1042" t="s">
        <v>298</v>
      </c>
      <c r="I477" s="991">
        <v>155</v>
      </c>
      <c r="J477" s="991">
        <v>655</v>
      </c>
      <c r="K477" s="800" t="s">
        <v>3175</v>
      </c>
      <c r="L477" s="56" t="s">
        <v>3176</v>
      </c>
      <c r="M477" s="991"/>
      <c r="N477" s="991">
        <v>2</v>
      </c>
      <c r="O477" s="991"/>
      <c r="P477" s="991"/>
      <c r="Q477" s="994" t="s">
        <v>41</v>
      </c>
      <c r="R477" s="991">
        <v>4</v>
      </c>
      <c r="S477" s="991">
        <v>3</v>
      </c>
      <c r="T477" s="448">
        <v>2</v>
      </c>
      <c r="U477" s="991"/>
      <c r="V477" s="991"/>
      <c r="W477" s="991"/>
      <c r="X477" s="991">
        <v>1</v>
      </c>
      <c r="Y477" s="991"/>
      <c r="Z477" s="991"/>
      <c r="AA477" s="991">
        <v>1</v>
      </c>
      <c r="AB477" s="991"/>
      <c r="AC477" s="991"/>
      <c r="AD477" s="991"/>
      <c r="AE477" s="991"/>
      <c r="AF477" s="991"/>
      <c r="AG477" s="991"/>
      <c r="AH477" s="991"/>
      <c r="AI477" s="991"/>
      <c r="AJ477" s="991"/>
      <c r="AK477" s="991"/>
      <c r="AL477" s="991"/>
      <c r="AM477" s="991"/>
      <c r="AN477" s="991"/>
      <c r="AO477" s="448"/>
      <c r="AP477" s="995"/>
      <c r="AQ477" s="991">
        <v>18</v>
      </c>
      <c r="AR477" s="991"/>
      <c r="AS477" s="996"/>
      <c r="AT477" s="991"/>
      <c r="AU477" s="991"/>
      <c r="AV477" s="991"/>
      <c r="AW477" s="991">
        <v>6</v>
      </c>
      <c r="AX477" s="991"/>
      <c r="AY477" s="990" t="s">
        <v>140</v>
      </c>
      <c r="AZ477" s="995" t="s">
        <v>140</v>
      </c>
      <c r="BA477" s="991"/>
      <c r="BB477" s="991"/>
      <c r="BC477" s="991"/>
      <c r="BD477" s="448"/>
      <c r="BE477" s="448"/>
      <c r="BF477" s="990"/>
      <c r="BG477" s="991">
        <v>3</v>
      </c>
      <c r="BH477" s="991"/>
      <c r="BI477" s="991"/>
      <c r="BJ477" s="991">
        <v>2</v>
      </c>
      <c r="BK477" s="991"/>
      <c r="BL477" s="991"/>
      <c r="BM477" s="991">
        <v>2</v>
      </c>
      <c r="BN477" s="991"/>
      <c r="BO477" s="991"/>
      <c r="BP477" s="990" t="s">
        <v>41</v>
      </c>
      <c r="BQ477" s="997"/>
      <c r="BR477" s="996">
        <v>1</v>
      </c>
      <c r="BS477" s="990"/>
      <c r="BT477" s="423"/>
      <c r="BU477" s="423"/>
      <c r="BV477" s="425"/>
      <c r="BW477" s="423"/>
      <c r="BX477" s="448"/>
      <c r="BY477" s="448"/>
      <c r="BZ477" s="448"/>
      <c r="CA477" s="448"/>
      <c r="CB477" s="448"/>
      <c r="CC477" s="777"/>
      <c r="CD477" s="448"/>
      <c r="CE477" s="998" t="str">
        <f>IFERROR(WWWW[[#This Row],['#_Water sources passed]]/WWWW[[#This Row],['#_Water sources tested for fecal coliform ]],"no test")</f>
        <v>no test</v>
      </c>
      <c r="CF477" s="996" t="str">
        <f>IFERROR(WWWW[[#This Row],['#_Household passed]]/WWWW[[#This Row],['#_Household water samples tested for fecal coliform]],"no test")</f>
        <v>no test</v>
      </c>
      <c r="CG477" s="997" t="str">
        <f>IF(AND(WWWW[[#This Row],[% of water sources passed]]="no test",WWWW[[#This Row],[% Household passed]]="no test"),"No Test","Tested")</f>
        <v>No Test</v>
      </c>
      <c r="CH477" s="997">
        <f>WWWW[[#This Row],['#_Constructed/existing protected hand dug well]]-WWWW[[#This Row],['#_Non-functional protected hand dug well]]</f>
        <v>2</v>
      </c>
      <c r="CI477" s="997">
        <f>(WWWW[[#This Row],['#_Constructed/Existing tube wells/boreholes/handpumps_WASH_agency]]+WWWW[[#This Row],['#_Non-Cluster partner water tube-wells/boreholes/handpumps]])-WWWW[[#This Row],['#_Non-functional tube wells/boreholes/handpumps]]</f>
        <v>1</v>
      </c>
      <c r="CJ477" s="997">
        <f>WWWW[[#This Row],['#_Constructed/Existingwater storage tank with gravity fed reticulation system]]-WWWW[[#This Row],['#_Non-functional storage tank gravity fed reticulation system]]</f>
        <v>1</v>
      </c>
      <c r="CK477" s="997">
        <f>(WWWW[[#This Row],['#_Water_Liters_supplied_by_Water boating or water trucking]]/90)/15</f>
        <v>0</v>
      </c>
      <c r="CL477" s="997">
        <f>WWWW[[#This Row],['#_Water_Liters_from_Constructed/Existing water distribution system from river or natural spring]]/90/15</f>
        <v>0</v>
      </c>
      <c r="CM477" s="424">
        <f>IF(WWWW[[#This Row],['#_of water points in TLS/CFS]]*500&gt;WWWW[[#This Row],[Total PoP ]],WWWW[[#This Row],[Total PoP ]],WWWW[[#This Row],['#_of water points in TLS/CFS]]*500)</f>
        <v>0</v>
      </c>
      <c r="CN477" s="424">
        <f>IF(WWWW[[#This Row],['#_of water points in THF]]*500&gt;WWWW[[#This Row],[Total PoP ]],WWWW[[#This Row],[Total PoP ]],WWWW[[#This Row],['#_of water points in THF]]*500)</f>
        <v>0</v>
      </c>
      <c r="CO47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7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77" s="996">
        <f>IF(WWWW[[#This Row],[Location Type 1]]="Village",WWWW[[#This Row],[Access to safe drinking water for Village]],WWWW[[#This Row],[Access to safe drinking water for Camp]])</f>
        <v>1</v>
      </c>
      <c r="CR477" s="994">
        <f>WWWW[[#This Row],[%Equitable and continuous access to sufficient quantity of safe drinking water]]*WWWW[[#This Row],[Total PoP ]]</f>
        <v>655</v>
      </c>
      <c r="CS477" s="996">
        <f>IF((WWWW[[#This Row],['#_Constructed/Existing protected/fenced ponds]]*250)/WWWW[[#This Row],[Total PoP ]]&gt;1,1,(WWWW[[#This Row],['#_Constructed/Existing protected/fenced ponds]]*250)/WWWW[[#This Row],[Total PoP ]])</f>
        <v>0</v>
      </c>
      <c r="CT477" s="994">
        <f>WWWW[[#This Row],[% Access to unimproved water points]]*WWWW[[#This Row],[Total PoP ]]</f>
        <v>0</v>
      </c>
      <c r="CU47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7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655</v>
      </c>
      <c r="CW477" s="994">
        <f>WWWW[[#This Row],[HRP1]]/500</f>
        <v>1.31</v>
      </c>
      <c r="CX477" s="999">
        <f>1-WWWW[[#This Row],[% Equitable and continuous access to sufficient quantity of domestic water]]</f>
        <v>0</v>
      </c>
      <c r="CY477" s="994">
        <f>WWWW[[#This Row],[%equitable and continuous access to sufficient quantity of safe drinking and domestic water''s GAP]]*WWWW[[#This Row],[Total PoP ]]</f>
        <v>0</v>
      </c>
      <c r="CZ477" s="997">
        <f>IF(WWWW[[#This Row],[Total required water points]]-WWWW[[#This Row],['#Water points coverage]]&lt;0,0,WWWW[[#This Row],[Total required water points]]-WWWW[[#This Row],['#Water points coverage]])</f>
        <v>0</v>
      </c>
      <c r="DA477" s="997">
        <f>ROUND(IF(WWWW[[#This Row],[Total PoP ]]&lt;500,1,WWWW[[#This Row],[Total PoP ]]/500),0)</f>
        <v>1</v>
      </c>
      <c r="DB477" s="997">
        <f>(WWWW[[#This Row],['#_Constructed latrines_by_WASHAgencies]]+WWWW[[#This Row],['#_Non Cluster partner latrines]])-WWWW[[#This Row],['#_Non-functional latrines]]</f>
        <v>18</v>
      </c>
      <c r="DC477" s="631">
        <f>WWWW[[#This Row],[HRP2]]/WWWW[[#This Row],[Total PoP ]]</f>
        <v>0.54961832061068705</v>
      </c>
      <c r="DD47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47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7" s="424">
        <f>IF(WWWW[[#This Row],['# of functional latrines in THF supported by WASH partners during the reporting period2]]="",0,WWWW[[#This Row],['# of functional latrines in THF supported by WASH partners during the reporting period2]]*50)</f>
        <v>0</v>
      </c>
      <c r="DH477" s="997">
        <f>ROUND(IF(WWWW[[#This Row],[Location Type 1]]="camp",WWWW[[#This Row],[Total PoP ]]/20,IF(WWWW[[#This Row],[Location Type 1]]="Temporary Location",WWWW[[#This Row],[Total PoP ]]/50,(WWWW[[#This Row],[Total PoP ]]/6))),0)</f>
        <v>33</v>
      </c>
      <c r="DI477" s="997">
        <f>IF(WWWW[[#This Row],[Total required Latrines]]-(WWWW[[#This Row],['#_Constructed latrines_by_WASHAgencies]]+WWWW[[#This Row],['#_Non Cluster partner latrines]])&lt;0,0,WWWW[[#This Row],[Total required Latrines]]-(WWWW[[#This Row],['#_Constructed latrines_by_WASHAgencies]]+WWWW[[#This Row],['#_Non Cluster partner latrines]]))</f>
        <v>15</v>
      </c>
      <c r="DJ477" s="999">
        <f>1-WWWW[[#This Row],[% people access to functioning Latrine]]</f>
        <v>0.45038167938931295</v>
      </c>
      <c r="DK477" s="998">
        <f>IF(OR(WWWW[[#This Row],['#_Non-functional latrines]]="",WWWW[[#This Row],['#_Non-functional latrines]]=0),0,WWWW[[#This Row],['#_Non-functional latrines]]/(WWWW[[#This Row],['#_Constructed latrines_by_WASHAgencies]]+WWWW[[#This Row],['#_Non Cluster partner latrines]]))</f>
        <v>0</v>
      </c>
      <c r="DL477" s="994">
        <f>IF(500*(WWWW[[#This Row],['#_male hygiene promoters]]+WWWW[[#This Row],['#_female hygiene promoters]])&gt;WWWW[[#This Row],[Total PoP ]],WWWW[[#This Row],[Total PoP ]],500*(WWWW[[#This Row],['#_male hygiene promoters]]+WWWW[[#This Row],['#_female hygiene promoters]]))</f>
        <v>655</v>
      </c>
      <c r="DM47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7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77" s="997">
        <f>IF(WWWW[[#This Row],['# People with access to soap]]&gt;WWWW[[#This Row],['# People with access to Sanity Pads]],WWWW[[#This Row],['# People with access to soap]],WWWW[[#This Row],['# People with access to Sanity Pads]])</f>
        <v>0</v>
      </c>
      <c r="DP477" s="997">
        <f>IF(WWWW[[#This Row],['# people reached by regular dedicated hygiene promotion_5]]&gt;WWWW[[#This Row],['# People received regular supply of hygiene items_6]],WWWW[[#This Row],['# people reached by regular dedicated hygiene promotion_5]],WWWW[[#This Row],['# People received regular supply of hygiene items_6]])</f>
        <v>655</v>
      </c>
      <c r="DQ477" s="999">
        <f>IF(WWWW[[#This Row],[HRP3]]/WWWW[[#This Row],[Total PoP ]]&gt;1,1,WWWW[[#This Row],[HRP3]]/WWWW[[#This Row],[Total PoP ]])</f>
        <v>1</v>
      </c>
      <c r="DR477" s="998">
        <f>1-WWWW[[#This Row],[Hygiene Coverage%]]</f>
        <v>0</v>
      </c>
      <c r="DS477" s="996">
        <f>WWWW[[#This Row],['# people reached by regular dedicated hygiene promotion_5]]/WWWW[[#This Row],[Total PoP ]]</f>
        <v>1</v>
      </c>
      <c r="DT47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7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77" s="997">
        <f>WWWW[[#This Row],['#_Constructed/Existing hand washing stations]]-WWWW[[#This Row],['#_Non-Functional_hand_washing_stations]]</f>
        <v>3</v>
      </c>
      <c r="DW477" s="994">
        <f>IF(WWWW[[#This Row],['# Functional hand washing stations during reporting period]]*20&gt;WWWW[[#This Row],[Total HH]],WWWW[[#This Row],[Total HH]],WWWW[[#This Row],['# Functional hand washing stations during reporting period]]*20)</f>
        <v>60</v>
      </c>
      <c r="DX477" s="994">
        <f>IF(WWWW[[#This Row],[Is sufficient soap available for TLS? (Yes/No)]]="yes",WWWW[[#This Row],['#_Constructed/Existing hand washing stations at TLS/CFS/THF]],0)</f>
        <v>0</v>
      </c>
      <c r="DY477" s="428">
        <f>IF(WWWW[[#This Row],['# Functional hand washing stations during reporting period]]*100&gt;WWWW[[#This Row],[Total PoP ]],WWWW[[#This Row],[Total PoP ]],WWWW[[#This Row],['# Functional hand washing stations during reporting period]]*100)</f>
        <v>300</v>
      </c>
      <c r="DZ477" s="428" t="str">
        <f>IF(OR(WWWW[[#This Row],['#_students at TLS_CFS]]="",WWWW[[#This Row],['#_students at TLS_CFS]]=0),"No","Yes")</f>
        <v>No</v>
      </c>
      <c r="EA47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7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77" s="990" t="str">
        <f>VLOOKUP(WWWW[[#This Row],[Site Name]],SiteDB6[[Site Name]:[CCCM Management]],6,FALSE)</f>
        <v>Yes</v>
      </c>
      <c r="EF477" s="990" t="str">
        <f>VLOOKUP(WWWW[[#This Row],[Site Name]],SiteDB6[[Site Name]:[CCCM Focal Agency]],7,FALSE)</f>
        <v>KBC-NSS</v>
      </c>
      <c r="EG477" s="990" t="str">
        <f>VLOOKUP(WWWW[[#This Row],[Site Name]],SiteDB6[[Site Name]:[Location Type 1]],9,FALSE)</f>
        <v>Camp</v>
      </c>
      <c r="EH477" s="990" t="str">
        <f>VLOOKUP(WWWW[[#This Row],[Site Name]],SiteDB6[[Site Name]:[Type of Accommodation]],10,FALSE)</f>
        <v>Camp</v>
      </c>
      <c r="EI477" s="990" t="str">
        <f>VLOOKUP(WWWW[[#This Row],[Site Name]],SiteDB6[[Site Name]:[Ethnic or GCA/NGCA]],11,FALSE)</f>
        <v>GCA</v>
      </c>
      <c r="EJ477" s="990">
        <f>VLOOKUP(WWWW[[#This Row],[Site Name]],SiteDB6[[Site Name]:[Lat]],12,FALSE)</f>
        <v>23.83013</v>
      </c>
      <c r="EK477" s="990">
        <f>VLOOKUP(WWWW[[#This Row],[Site Name]],SiteDB6[[Site Name]:[Long]],13,FALSE)</f>
        <v>97.589979999999997</v>
      </c>
      <c r="EL477" s="990" t="str">
        <f>VLOOKUP(WWWW[[#This Row],[Site Name]],SiteDB6[[Site Name]:[Pcode]],3,FALSE)</f>
        <v>MMR001CMP133</v>
      </c>
      <c r="EM477" s="995" t="str">
        <f t="shared" si="9"/>
        <v>Covered</v>
      </c>
      <c r="EN477" s="995"/>
      <c r="EO477" s="990">
        <f>VLOOKUP(WWWW[[#This Row],[Site Name]],SiteDB6[[Site Name]:[Pop
(Kachin/Shan-CCCM as of July 2021)]],16,FALSE)</f>
        <v>132</v>
      </c>
      <c r="EP477" s="990">
        <f>VLOOKUP(WWWW[[#This Row],[Site Name]],SiteDB6[[Site Name]:[Pop
(Kachin/Shan-CCCM as of July 2021)]],17,FALSE)</f>
        <v>630</v>
      </c>
    </row>
    <row r="478" spans="1:146">
      <c r="A478" s="1041" t="s">
        <v>2765</v>
      </c>
      <c r="B478" s="1041" t="s">
        <v>192</v>
      </c>
      <c r="C478" s="1042" t="s">
        <v>192</v>
      </c>
      <c r="D478" s="1042" t="s">
        <v>2673</v>
      </c>
      <c r="E478" s="1042" t="s">
        <v>37</v>
      </c>
      <c r="F478" s="1042" t="s">
        <v>38</v>
      </c>
      <c r="G478" s="1043" t="str">
        <f>VLOOKUP(WWWW[[#This Row],[Site Name]],SiteDB6[[Site Name]:[Location Type]],8,FALSE)</f>
        <v>Camp</v>
      </c>
      <c r="H478" s="1042" t="s">
        <v>3024</v>
      </c>
      <c r="I478" s="991">
        <v>97</v>
      </c>
      <c r="J478" s="991">
        <v>544</v>
      </c>
      <c r="K478" s="992">
        <v>44511</v>
      </c>
      <c r="L478" s="993">
        <v>44875</v>
      </c>
      <c r="M478" s="991"/>
      <c r="N478" s="991"/>
      <c r="O478" s="991"/>
      <c r="P478" s="991"/>
      <c r="Q478" s="994"/>
      <c r="R478" s="991"/>
      <c r="S478" s="991"/>
      <c r="T478" s="448">
        <v>3</v>
      </c>
      <c r="U478" s="991"/>
      <c r="V478" s="991"/>
      <c r="W478" s="991"/>
      <c r="X478" s="991"/>
      <c r="Y478" s="991"/>
      <c r="Z478" s="991"/>
      <c r="AA478" s="991"/>
      <c r="AB478" s="991"/>
      <c r="AC478" s="991"/>
      <c r="AD478" s="991"/>
      <c r="AE478" s="991"/>
      <c r="AF478" s="991"/>
      <c r="AG478" s="991"/>
      <c r="AH478" s="991"/>
      <c r="AI478" s="991"/>
      <c r="AJ478" s="991"/>
      <c r="AK478" s="991"/>
      <c r="AL478" s="991"/>
      <c r="AM478" s="991"/>
      <c r="AN478" s="991"/>
      <c r="AO478" s="448"/>
      <c r="AP478" s="995"/>
      <c r="AQ478" s="991"/>
      <c r="AR478" s="991"/>
      <c r="AS478" s="996"/>
      <c r="AT478" s="991"/>
      <c r="AU478" s="991"/>
      <c r="AV478" s="991"/>
      <c r="AW478" s="991"/>
      <c r="AX478" s="991"/>
      <c r="AY478" s="990" t="s">
        <v>140</v>
      </c>
      <c r="AZ478" s="995" t="s">
        <v>140</v>
      </c>
      <c r="BA478" s="991"/>
      <c r="BB478" s="991"/>
      <c r="BC478" s="991"/>
      <c r="BD478" s="448"/>
      <c r="BE478" s="448"/>
      <c r="BF478" s="990"/>
      <c r="BG478" s="991">
        <v>7</v>
      </c>
      <c r="BH478" s="991"/>
      <c r="BI478" s="991"/>
      <c r="BJ478" s="991">
        <v>7</v>
      </c>
      <c r="BK478" s="991"/>
      <c r="BL478" s="991"/>
      <c r="BM478" s="991"/>
      <c r="BN478" s="991"/>
      <c r="BO478" s="991"/>
      <c r="BP478" s="990"/>
      <c r="BQ478" s="997"/>
      <c r="BR478" s="996">
        <v>1</v>
      </c>
      <c r="BS478" s="990"/>
      <c r="BT478" s="423"/>
      <c r="BU478" s="423"/>
      <c r="BV478" s="425"/>
      <c r="BW478" s="423"/>
      <c r="BX478" s="448"/>
      <c r="BY478" s="448"/>
      <c r="BZ478" s="448"/>
      <c r="CA478" s="448"/>
      <c r="CB478" s="448"/>
      <c r="CC478" s="777"/>
      <c r="CD478" s="448"/>
      <c r="CE478" s="998" t="str">
        <f>IFERROR(WWWW[[#This Row],['#_Water sources passed]]/WWWW[[#This Row],['#_Water sources tested for fecal coliform ]],"no test")</f>
        <v>no test</v>
      </c>
      <c r="CF478" s="996" t="str">
        <f>IFERROR(WWWW[[#This Row],['#_Household passed]]/WWWW[[#This Row],['#_Household water samples tested for fecal coliform]],"no test")</f>
        <v>no test</v>
      </c>
      <c r="CG478" s="997" t="str">
        <f>IF(AND(WWWW[[#This Row],[% of water sources passed]]="no test",WWWW[[#This Row],[% Household passed]]="no test"),"No Test","Tested")</f>
        <v>No Test</v>
      </c>
      <c r="CH478" s="997">
        <f>WWWW[[#This Row],['#_Constructed/existing protected hand dug well]]-WWWW[[#This Row],['#_Non-functional protected hand dug well]]</f>
        <v>3</v>
      </c>
      <c r="CI478" s="997">
        <f>(WWWW[[#This Row],['#_Constructed/Existing tube wells/boreholes/handpumps_WASH_agency]]+WWWW[[#This Row],['#_Non-Cluster partner water tube-wells/boreholes/handpumps]])-WWWW[[#This Row],['#_Non-functional tube wells/boreholes/handpumps]]</f>
        <v>0</v>
      </c>
      <c r="CJ478" s="997">
        <f>WWWW[[#This Row],['#_Constructed/Existingwater storage tank with gravity fed reticulation system]]-WWWW[[#This Row],['#_Non-functional storage tank gravity fed reticulation system]]</f>
        <v>0</v>
      </c>
      <c r="CK478" s="997">
        <f>(WWWW[[#This Row],['#_Water_Liters_supplied_by_Water boating or water trucking]]/90)/15</f>
        <v>0</v>
      </c>
      <c r="CL478" s="997">
        <f>WWWW[[#This Row],['#_Water_Liters_from_Constructed/Existing water distribution system from river or natural spring]]/90/15</f>
        <v>0</v>
      </c>
      <c r="CM478" s="424">
        <f>IF(WWWW[[#This Row],['#_of water points in TLS/CFS]]*500&gt;WWWW[[#This Row],[Total PoP ]],WWWW[[#This Row],[Total PoP ]],WWWW[[#This Row],['#_of water points in TLS/CFS]]*500)</f>
        <v>0</v>
      </c>
      <c r="CN478" s="424">
        <f>IF(WWWW[[#This Row],['#_of water points in THF]]*500&gt;WWWW[[#This Row],[Total PoP ]],WWWW[[#This Row],[Total PoP ]],WWWW[[#This Row],['#_of water points in THF]]*500)</f>
        <v>0</v>
      </c>
      <c r="CO47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7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78" s="996">
        <f>IF(WWWW[[#This Row],[Location Type 1]]="Village",WWWW[[#This Row],[Access to safe drinking water for Village]],WWWW[[#This Row],[Access to safe drinking water for Camp]])</f>
        <v>1</v>
      </c>
      <c r="CR478" s="994">
        <f>WWWW[[#This Row],[%Equitable and continuous access to sufficient quantity of safe drinking water]]*WWWW[[#This Row],[Total PoP ]]</f>
        <v>544</v>
      </c>
      <c r="CS478" s="996">
        <f>IF((WWWW[[#This Row],['#_Constructed/Existing protected/fenced ponds]]*250)/WWWW[[#This Row],[Total PoP ]]&gt;1,1,(WWWW[[#This Row],['#_Constructed/Existing protected/fenced ponds]]*250)/WWWW[[#This Row],[Total PoP ]])</f>
        <v>0</v>
      </c>
      <c r="CT478" s="994">
        <f>WWWW[[#This Row],[% Access to unimproved water points]]*WWWW[[#This Row],[Total PoP ]]</f>
        <v>0</v>
      </c>
      <c r="CU47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7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W478" s="994">
        <f>WWWW[[#This Row],[HRP1]]/500</f>
        <v>1.0880000000000001</v>
      </c>
      <c r="CX478" s="999">
        <f>1-WWWW[[#This Row],[% Equitable and continuous access to sufficient quantity of domestic water]]</f>
        <v>0</v>
      </c>
      <c r="CY478" s="994">
        <f>WWWW[[#This Row],[%equitable and continuous access to sufficient quantity of safe drinking and domestic water''s GAP]]*WWWW[[#This Row],[Total PoP ]]</f>
        <v>0</v>
      </c>
      <c r="CZ478" s="997">
        <f>IF(WWWW[[#This Row],[Total required water points]]-WWWW[[#This Row],['#Water points coverage]]&lt;0,0,WWWW[[#This Row],[Total required water points]]-WWWW[[#This Row],['#Water points coverage]])</f>
        <v>0</v>
      </c>
      <c r="DA478" s="997">
        <f>ROUND(IF(WWWW[[#This Row],[Total PoP ]]&lt;500,1,WWWW[[#This Row],[Total PoP ]]/500),0)</f>
        <v>1</v>
      </c>
      <c r="DB478" s="997">
        <f>(WWWW[[#This Row],['#_Constructed latrines_by_WASHAgencies]]+WWWW[[#This Row],['#_Non Cluster partner latrines]])-WWWW[[#This Row],['#_Non-functional latrines]]</f>
        <v>0</v>
      </c>
      <c r="DC478" s="631">
        <f>WWWW[[#This Row],[HRP2]]/WWWW[[#This Row],[Total PoP ]]</f>
        <v>0</v>
      </c>
      <c r="DD47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7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8" s="424">
        <f>IF(WWWW[[#This Row],['# of functional latrines in THF supported by WASH partners during the reporting period2]]="",0,WWWW[[#This Row],['# of functional latrines in THF supported by WASH partners during the reporting period2]]*50)</f>
        <v>0</v>
      </c>
      <c r="DH478" s="997">
        <f>ROUND(IF(WWWW[[#This Row],[Location Type 1]]="camp",WWWW[[#This Row],[Total PoP ]]/20,IF(WWWW[[#This Row],[Location Type 1]]="Temporary Location",WWWW[[#This Row],[Total PoP ]]/50,(WWWW[[#This Row],[Total PoP ]]/6))),0)</f>
        <v>27</v>
      </c>
      <c r="DI478" s="997">
        <f>IF(WWWW[[#This Row],[Total required Latrines]]-(WWWW[[#This Row],['#_Constructed latrines_by_WASHAgencies]]+WWWW[[#This Row],['#_Non Cluster partner latrines]])&lt;0,0,WWWW[[#This Row],[Total required Latrines]]-(WWWW[[#This Row],['#_Constructed latrines_by_WASHAgencies]]+WWWW[[#This Row],['#_Non Cluster partner latrines]]))</f>
        <v>27</v>
      </c>
      <c r="DJ478" s="999">
        <f>1-WWWW[[#This Row],[% people access to functioning Latrine]]</f>
        <v>1</v>
      </c>
      <c r="DK478" s="998">
        <f>IF(OR(WWWW[[#This Row],['#_Non-functional latrines]]="",WWWW[[#This Row],['#_Non-functional latrines]]=0),0,WWWW[[#This Row],['#_Non-functional latrines]]/(WWWW[[#This Row],['#_Constructed latrines_by_WASHAgencies]]+WWWW[[#This Row],['#_Non Cluster partner latrines]]))</f>
        <v>0</v>
      </c>
      <c r="DL478" s="994">
        <f>IF(500*(WWWW[[#This Row],['#_male hygiene promoters]]+WWWW[[#This Row],['#_female hygiene promoters]])&gt;WWWW[[#This Row],[Total PoP ]],WWWW[[#This Row],[Total PoP ]],500*(WWWW[[#This Row],['#_male hygiene promoters]]+WWWW[[#This Row],['#_female hygiene promoters]]))</f>
        <v>0</v>
      </c>
      <c r="DM47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7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78" s="997">
        <f>IF(WWWW[[#This Row],['# People with access to soap]]&gt;WWWW[[#This Row],['# People with access to Sanity Pads]],WWWW[[#This Row],['# People with access to soap]],WWWW[[#This Row],['# People with access to Sanity Pads]])</f>
        <v>0</v>
      </c>
      <c r="DP478"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78" s="999">
        <f>IF(WWWW[[#This Row],[HRP3]]/WWWW[[#This Row],[Total PoP ]]&gt;1,1,WWWW[[#This Row],[HRP3]]/WWWW[[#This Row],[Total PoP ]])</f>
        <v>0</v>
      </c>
      <c r="DR478" s="998">
        <f>1-WWWW[[#This Row],[Hygiene Coverage%]]</f>
        <v>1</v>
      </c>
      <c r="DS478" s="996">
        <f>WWWW[[#This Row],['# people reached by regular dedicated hygiene promotion_5]]/WWWW[[#This Row],[Total PoP ]]</f>
        <v>0</v>
      </c>
      <c r="DT47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7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78" s="997">
        <f>WWWW[[#This Row],['#_Constructed/Existing hand washing stations]]-WWWW[[#This Row],['#_Non-Functional_hand_washing_stations]]</f>
        <v>7</v>
      </c>
      <c r="DW478" s="994">
        <f>IF(WWWW[[#This Row],['# Functional hand washing stations during reporting period]]*20&gt;WWWW[[#This Row],[Total HH]],WWWW[[#This Row],[Total HH]],WWWW[[#This Row],['# Functional hand washing stations during reporting period]]*20)</f>
        <v>97</v>
      </c>
      <c r="DX478" s="994">
        <f>IF(WWWW[[#This Row],[Is sufficient soap available for TLS? (Yes/No)]]="yes",WWWW[[#This Row],['#_Constructed/Existing hand washing stations at TLS/CFS/THF]],0)</f>
        <v>0</v>
      </c>
      <c r="DY478" s="428">
        <f>IF(WWWW[[#This Row],['# Functional hand washing stations during reporting period]]*100&gt;WWWW[[#This Row],[Total PoP ]],WWWW[[#This Row],[Total PoP ]],WWWW[[#This Row],['# Functional hand washing stations during reporting period]]*100)</f>
        <v>544</v>
      </c>
      <c r="DZ478" s="428" t="str">
        <f>IF(OR(WWWW[[#This Row],['#_students at TLS_CFS]]="",WWWW[[#This Row],['#_students at TLS_CFS]]=0),"No","Yes")</f>
        <v>No</v>
      </c>
      <c r="EA47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7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78" s="990">
        <f>VLOOKUP(WWWW[[#This Row],[Site Name]],SiteDB6[[Site Name]:[CCCM Management]],6,FALSE)</f>
        <v>0</v>
      </c>
      <c r="EF478" s="990" t="str">
        <f>VLOOKUP(WWWW[[#This Row],[Site Name]],SiteDB6[[Site Name]:[CCCM Focal Agency]],7,FALSE)</f>
        <v>uncovered</v>
      </c>
      <c r="EG478" s="990" t="str">
        <f>VLOOKUP(WWWW[[#This Row],[Site Name]],SiteDB6[[Site Name]:[Location Type 1]],9,FALSE)</f>
        <v>Camp</v>
      </c>
      <c r="EH478" s="990" t="str">
        <f>VLOOKUP(WWWW[[#This Row],[Site Name]],SiteDB6[[Site Name]:[Type of Accommodation]],10,FALSE)</f>
        <v>IDPs in host</v>
      </c>
      <c r="EI478" s="990" t="str">
        <f>VLOOKUP(WWWW[[#This Row],[Site Name]],SiteDB6[[Site Name]:[Ethnic or GCA/NGCA]],11,FALSE)</f>
        <v>GCA</v>
      </c>
      <c r="EJ478" s="990">
        <f>VLOOKUP(WWWW[[#This Row],[Site Name]],SiteDB6[[Site Name]:[Lat]],12,FALSE)</f>
        <v>23.827870999999998</v>
      </c>
      <c r="EK478" s="990">
        <f>VLOOKUP(WWWW[[#This Row],[Site Name]],SiteDB6[[Site Name]:[Long]],13,FALSE)</f>
        <v>97.588291999999996</v>
      </c>
      <c r="EL478" s="990" t="str">
        <f>VLOOKUP(WWWW[[#This Row],[Site Name]],SiteDB6[[Site Name]:[Pcode]],3,FALSE)</f>
        <v>MMR001CMP134</v>
      </c>
      <c r="EM478" s="995" t="str">
        <f t="shared" si="9"/>
        <v>Covered</v>
      </c>
      <c r="EN478" s="995"/>
      <c r="EO478" s="990">
        <f>VLOOKUP(WWWW[[#This Row],[Site Name]],SiteDB6[[Site Name]:[Pop
(Kachin/Shan-CCCM as of July 2021)]],16,FALSE)</f>
        <v>120</v>
      </c>
      <c r="EP478" s="990">
        <f>VLOOKUP(WWWW[[#This Row],[Site Name]],SiteDB6[[Site Name]:[Pop
(Kachin/Shan-CCCM as of July 2021)]],17,FALSE)</f>
        <v>664</v>
      </c>
    </row>
    <row r="479" spans="1:146">
      <c r="A479" s="988" t="s">
        <v>2765</v>
      </c>
      <c r="B479" s="988" t="s">
        <v>141</v>
      </c>
      <c r="C479" s="989" t="s">
        <v>141</v>
      </c>
      <c r="D479" s="989" t="s">
        <v>299</v>
      </c>
      <c r="E479" s="989" t="s">
        <v>37</v>
      </c>
      <c r="F479" s="989" t="s">
        <v>195</v>
      </c>
      <c r="G479" s="591" t="str">
        <f>VLOOKUP(WWWW[[#This Row],[Site Name]],SiteDB6[[Site Name]:[Location Type]],8,FALSE)</f>
        <v>Camp_not registered</v>
      </c>
      <c r="H479" s="989" t="s">
        <v>2233</v>
      </c>
      <c r="I479" s="991">
        <v>49</v>
      </c>
      <c r="J479" s="991">
        <v>203</v>
      </c>
      <c r="K479" s="992">
        <v>44652</v>
      </c>
      <c r="L479" s="993">
        <v>44865</v>
      </c>
      <c r="M479" s="991">
        <v>53</v>
      </c>
      <c r="N479" s="991"/>
      <c r="O479" s="991"/>
      <c r="P479" s="991"/>
      <c r="Q479" s="994" t="s">
        <v>41</v>
      </c>
      <c r="R479" s="991">
        <v>1</v>
      </c>
      <c r="S479" s="991">
        <v>1</v>
      </c>
      <c r="T479" s="448">
        <v>4</v>
      </c>
      <c r="U479" s="991"/>
      <c r="V479" s="991"/>
      <c r="W479" s="991"/>
      <c r="X479" s="991"/>
      <c r="Y479" s="991"/>
      <c r="Z479" s="991"/>
      <c r="AA479" s="991"/>
      <c r="AB479" s="991"/>
      <c r="AC479" s="991"/>
      <c r="AD479" s="991"/>
      <c r="AE479" s="991"/>
      <c r="AF479" s="991"/>
      <c r="AG479" s="991"/>
      <c r="AH479" s="991"/>
      <c r="AI479" s="991"/>
      <c r="AJ479" s="991"/>
      <c r="AK479" s="991"/>
      <c r="AL479" s="991"/>
      <c r="AM479" s="991">
        <v>1</v>
      </c>
      <c r="AN479" s="991"/>
      <c r="AO479" s="448"/>
      <c r="AP479" s="995"/>
      <c r="AQ479" s="991">
        <v>7</v>
      </c>
      <c r="AR479" s="991"/>
      <c r="AS479" s="996"/>
      <c r="AT479" s="991"/>
      <c r="AU479" s="991"/>
      <c r="AV479" s="991"/>
      <c r="AW479" s="991"/>
      <c r="AX479" s="991"/>
      <c r="AY479" s="990" t="s">
        <v>41</v>
      </c>
      <c r="AZ479" s="995" t="s">
        <v>137</v>
      </c>
      <c r="BA479" s="991"/>
      <c r="BB479" s="991"/>
      <c r="BC479" s="991"/>
      <c r="BD479" s="448"/>
      <c r="BE479" s="448">
        <v>4</v>
      </c>
      <c r="BF479" s="990"/>
      <c r="BG479" s="991">
        <v>2</v>
      </c>
      <c r="BH479" s="991"/>
      <c r="BI479" s="991"/>
      <c r="BJ479" s="991">
        <v>2</v>
      </c>
      <c r="BK479" s="991"/>
      <c r="BL479" s="991">
        <v>1</v>
      </c>
      <c r="BM479" s="991"/>
      <c r="BN479" s="991"/>
      <c r="BO479" s="991"/>
      <c r="BP479" s="990" t="s">
        <v>41</v>
      </c>
      <c r="BQ479" s="997"/>
      <c r="BR479" s="996"/>
      <c r="BS479" s="990"/>
      <c r="BT479" s="423"/>
      <c r="BU479" s="423"/>
      <c r="BV479" s="425"/>
      <c r="BW479" s="423"/>
      <c r="BX479" s="448"/>
      <c r="BY479" s="448"/>
      <c r="BZ479" s="448"/>
      <c r="CA479" s="448"/>
      <c r="CB479" s="448"/>
      <c r="CC479" s="777"/>
      <c r="CD479" s="448"/>
      <c r="CE479" s="998" t="str">
        <f>IFERROR(WWWW[[#This Row],['#_Water sources passed]]/WWWW[[#This Row],['#_Water sources tested for fecal coliform ]],"no test")</f>
        <v>no test</v>
      </c>
      <c r="CF479" s="996" t="str">
        <f>IFERROR(WWWW[[#This Row],['#_Household passed]]/WWWW[[#This Row],['#_Household water samples tested for fecal coliform]],"no test")</f>
        <v>no test</v>
      </c>
      <c r="CG479" s="997" t="str">
        <f>IF(AND(WWWW[[#This Row],[% of water sources passed]]="no test",WWWW[[#This Row],[% Household passed]]="no test"),"No Test","Tested")</f>
        <v>No Test</v>
      </c>
      <c r="CH479" s="997">
        <f>WWWW[[#This Row],['#_Constructed/existing protected hand dug well]]-WWWW[[#This Row],['#_Non-functional protected hand dug well]]</f>
        <v>4</v>
      </c>
      <c r="CI479" s="997">
        <f>(WWWW[[#This Row],['#_Constructed/Existing tube wells/boreholes/handpumps_WASH_agency]]+WWWW[[#This Row],['#_Non-Cluster partner water tube-wells/boreholes/handpumps]])-WWWW[[#This Row],['#_Non-functional tube wells/boreholes/handpumps]]</f>
        <v>0</v>
      </c>
      <c r="CJ479" s="997">
        <f>WWWW[[#This Row],['#_Constructed/Existingwater storage tank with gravity fed reticulation system]]-WWWW[[#This Row],['#_Non-functional storage tank gravity fed reticulation system]]</f>
        <v>0</v>
      </c>
      <c r="CK479" s="997">
        <f>(WWWW[[#This Row],['#_Water_Liters_supplied_by_Water boating or water trucking]]/90)/15</f>
        <v>0</v>
      </c>
      <c r="CL479" s="997">
        <f>WWWW[[#This Row],['#_Water_Liters_from_Constructed/Existing water distribution system from river or natural spring]]/90/15</f>
        <v>0</v>
      </c>
      <c r="CM479" s="424">
        <f>IF(WWWW[[#This Row],['#_of water points in TLS/CFS]]*500&gt;WWWW[[#This Row],[Total PoP ]],WWWW[[#This Row],[Total PoP ]],WWWW[[#This Row],['#_of water points in TLS/CFS]]*500)</f>
        <v>0</v>
      </c>
      <c r="CN479" s="424">
        <f>IF(WWWW[[#This Row],['#_of water points in THF]]*500&gt;WWWW[[#This Row],[Total PoP ]],WWWW[[#This Row],[Total PoP ]],WWWW[[#This Row],['#_of water points in THF]]*500)</f>
        <v>0</v>
      </c>
      <c r="CO47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7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79" s="996">
        <f>IF(WWWW[[#This Row],[Location Type 1]]="Village",WWWW[[#This Row],[Access to safe drinking water for Village]],WWWW[[#This Row],[Access to safe drinking water for Camp]])</f>
        <v>1</v>
      </c>
      <c r="CR479" s="994">
        <f>WWWW[[#This Row],[%Equitable and continuous access to sufficient quantity of safe drinking water]]*WWWW[[#This Row],[Total PoP ]]</f>
        <v>203</v>
      </c>
      <c r="CS479" s="996">
        <f>IF((WWWW[[#This Row],['#_Constructed/Existing protected/fenced ponds]]*250)/WWWW[[#This Row],[Total PoP ]]&gt;1,1,(WWWW[[#This Row],['#_Constructed/Existing protected/fenced ponds]]*250)/WWWW[[#This Row],[Total PoP ]])</f>
        <v>0</v>
      </c>
      <c r="CT479" s="994">
        <f>WWWW[[#This Row],[% Access to unimproved water points]]*WWWW[[#This Row],[Total PoP ]]</f>
        <v>0</v>
      </c>
      <c r="CU47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7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CW479" s="994">
        <f>WWWW[[#This Row],[HRP1]]/500</f>
        <v>0.40600000000000003</v>
      </c>
      <c r="CX479" s="999">
        <f>1-WWWW[[#This Row],[% Equitable and continuous access to sufficient quantity of domestic water]]</f>
        <v>0</v>
      </c>
      <c r="CY479" s="994">
        <f>WWWW[[#This Row],[%equitable and continuous access to sufficient quantity of safe drinking and domestic water''s GAP]]*WWWW[[#This Row],[Total PoP ]]</f>
        <v>0</v>
      </c>
      <c r="CZ479" s="997">
        <f>IF(WWWW[[#This Row],[Total required water points]]-WWWW[[#This Row],['#Water points coverage]]&lt;0,0,WWWW[[#This Row],[Total required water points]]-WWWW[[#This Row],['#Water points coverage]])</f>
        <v>0.59399999999999997</v>
      </c>
      <c r="DA479" s="997">
        <f>ROUND(IF(WWWW[[#This Row],[Total PoP ]]&lt;500,1,WWWW[[#This Row],[Total PoP ]]/500),0)</f>
        <v>1</v>
      </c>
      <c r="DB479" s="997">
        <f>(WWWW[[#This Row],['#_Constructed latrines_by_WASHAgencies]]+WWWW[[#This Row],['#_Non Cluster partner latrines]])-WWWW[[#This Row],['#_Non-functional latrines]]</f>
        <v>7</v>
      </c>
      <c r="DC479" s="631">
        <f>WWWW[[#This Row],[HRP2]]/WWWW[[#This Row],[Total PoP ]]</f>
        <v>0.70935960591133007</v>
      </c>
      <c r="DD47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144</v>
      </c>
      <c r="DE47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9" s="424">
        <f>IF(WWWW[[#This Row],['# of functional latrines in THF supported by WASH partners during the reporting period2]]="",0,WWWW[[#This Row],['# of functional latrines in THF supported by WASH partners during the reporting period2]]*50)</f>
        <v>0</v>
      </c>
      <c r="DH479" s="997">
        <f>ROUND(IF(WWWW[[#This Row],[Location Type 1]]="camp",WWWW[[#This Row],[Total PoP ]]/20,IF(WWWW[[#This Row],[Location Type 1]]="Temporary Location",WWWW[[#This Row],[Total PoP ]]/50,(WWWW[[#This Row],[Total PoP ]]/6))),0)</f>
        <v>10</v>
      </c>
      <c r="DI479" s="997">
        <f>IF(WWWW[[#This Row],[Total required Latrines]]-(WWWW[[#This Row],['#_Constructed latrines_by_WASHAgencies]]+WWWW[[#This Row],['#_Non Cluster partner latrines]])&lt;0,0,WWWW[[#This Row],[Total required Latrines]]-(WWWW[[#This Row],['#_Constructed latrines_by_WASHAgencies]]+WWWW[[#This Row],['#_Non Cluster partner latrines]]))</f>
        <v>3</v>
      </c>
      <c r="DJ479" s="999">
        <f>1-WWWW[[#This Row],[% people access to functioning Latrine]]</f>
        <v>0.29064039408866993</v>
      </c>
      <c r="DK479" s="998">
        <f>IF(OR(WWWW[[#This Row],['#_Non-functional latrines]]="",WWWW[[#This Row],['#_Non-functional latrines]]=0),0,WWWW[[#This Row],['#_Non-functional latrines]]/(WWWW[[#This Row],['#_Constructed latrines_by_WASHAgencies]]+WWWW[[#This Row],['#_Non Cluster partner latrines]]))</f>
        <v>0</v>
      </c>
      <c r="DL479" s="994">
        <f>IF(500*(WWWW[[#This Row],['#_male hygiene promoters]]+WWWW[[#This Row],['#_female hygiene promoters]])&gt;WWWW[[#This Row],[Total PoP ]],WWWW[[#This Row],[Total PoP ]],500*(WWWW[[#This Row],['#_male hygiene promoters]]+WWWW[[#This Row],['#_female hygiene promoters]]))</f>
        <v>203</v>
      </c>
      <c r="DM47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7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79" s="997">
        <f>IF(WWWW[[#This Row],['# People with access to soap]]&gt;WWWW[[#This Row],['# People with access to Sanity Pads]],WWWW[[#This Row],['# People with access to soap]],WWWW[[#This Row],['# People with access to Sanity Pads]])</f>
        <v>0</v>
      </c>
      <c r="DP479" s="997">
        <f>IF(WWWW[[#This Row],['# people reached by regular dedicated hygiene promotion_5]]&gt;WWWW[[#This Row],['# People received regular supply of hygiene items_6]],WWWW[[#This Row],['# people reached by regular dedicated hygiene promotion_5]],WWWW[[#This Row],['# People received regular supply of hygiene items_6]])</f>
        <v>203</v>
      </c>
      <c r="DQ479" s="999">
        <f>IF(WWWW[[#This Row],[HRP3]]/WWWW[[#This Row],[Total PoP ]]&gt;1,1,WWWW[[#This Row],[HRP3]]/WWWW[[#This Row],[Total PoP ]])</f>
        <v>1</v>
      </c>
      <c r="DR479" s="998">
        <f>1-WWWW[[#This Row],[Hygiene Coverage%]]</f>
        <v>0</v>
      </c>
      <c r="DS479" s="996">
        <f>WWWW[[#This Row],['# people reached by regular dedicated hygiene promotion_5]]/WWWW[[#This Row],[Total PoP ]]</f>
        <v>1</v>
      </c>
      <c r="DT47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7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79" s="997">
        <f>WWWW[[#This Row],['#_Constructed/Existing hand washing stations]]-WWWW[[#This Row],['#_Non-Functional_hand_washing_stations]]</f>
        <v>2</v>
      </c>
      <c r="DW479" s="994">
        <f>IF(WWWW[[#This Row],['# Functional hand washing stations during reporting period]]*20&gt;WWWW[[#This Row],[Total HH]],WWWW[[#This Row],[Total HH]],WWWW[[#This Row],['# Functional hand washing stations during reporting period]]*20)</f>
        <v>40</v>
      </c>
      <c r="DX479" s="994">
        <f>IF(WWWW[[#This Row],[Is sufficient soap available for TLS? (Yes/No)]]="yes",WWWW[[#This Row],['#_Constructed/Existing hand washing stations at TLS/CFS/THF]],0)</f>
        <v>1</v>
      </c>
      <c r="DY479" s="428">
        <f>IF(WWWW[[#This Row],['# Functional hand washing stations during reporting period]]*100&gt;WWWW[[#This Row],[Total PoP ]],WWWW[[#This Row],[Total PoP ]],WWWW[[#This Row],['# Functional hand washing stations during reporting period]]*100)</f>
        <v>200</v>
      </c>
      <c r="DZ479" s="428" t="str">
        <f>IF(OR(WWWW[[#This Row],['#_students at TLS_CFS]]="",WWWW[[#This Row],['#_students at TLS_CFS]]=0),"No","Yes")</f>
        <v>Yes</v>
      </c>
      <c r="EA47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7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79" s="990">
        <f>VLOOKUP(WWWW[[#This Row],[Site Name]],SiteDB6[[Site Name]:[CCCM Management]],6,FALSE)</f>
        <v>0</v>
      </c>
      <c r="EF479" s="990">
        <f>VLOOKUP(WWWW[[#This Row],[Site Name]],SiteDB6[[Site Name]:[CCCM Focal Agency]],7,FALSE)</f>
        <v>0</v>
      </c>
      <c r="EG479" s="990" t="str">
        <f>VLOOKUP(WWWW[[#This Row],[Site Name]],SiteDB6[[Site Name]:[Location Type 1]],9,FALSE)</f>
        <v>Camp</v>
      </c>
      <c r="EH479" s="990" t="str">
        <f>VLOOKUP(WWWW[[#This Row],[Site Name]],SiteDB6[[Site Name]:[Type of Accommodation]],10,FALSE)</f>
        <v>Camp like setting</v>
      </c>
      <c r="EI479" s="990" t="str">
        <f>VLOOKUP(WWWW[[#This Row],[Site Name]],SiteDB6[[Site Name]:[Ethnic or GCA/NGCA]],11,FALSE)</f>
        <v>GCA</v>
      </c>
      <c r="EJ479" s="990">
        <f>VLOOKUP(WWWW[[#This Row],[Site Name]],SiteDB6[[Site Name]:[Lat]],12,FALSE)</f>
        <v>0</v>
      </c>
      <c r="EK479" s="990">
        <f>VLOOKUP(WWWW[[#This Row],[Site Name]],SiteDB6[[Site Name]:[Long]],13,FALSE)</f>
        <v>0</v>
      </c>
      <c r="EL479" s="990">
        <f>VLOOKUP(WWWW[[#This Row],[Site Name]],SiteDB6[[Site Name]:[Pcode]],3,FALSE)</f>
        <v>0</v>
      </c>
      <c r="EM479" s="995" t="str">
        <f t="shared" si="9"/>
        <v>Covered</v>
      </c>
      <c r="EN479" s="995"/>
      <c r="EO479" s="990">
        <f>VLOOKUP(WWWW[[#This Row],[Site Name]],SiteDB6[[Site Name]:[Pop
(Kachin/Shan-CCCM as of July 2021)]],16,FALSE)</f>
        <v>0</v>
      </c>
      <c r="EP479" s="990">
        <f>VLOOKUP(WWWW[[#This Row],[Site Name]],SiteDB6[[Site Name]:[Pop
(Kachin/Shan-CCCM as of July 2021)]],17,FALSE)</f>
        <v>0</v>
      </c>
    </row>
    <row r="480" spans="1:146">
      <c r="A480" s="988" t="s">
        <v>2765</v>
      </c>
      <c r="B480" s="988" t="s">
        <v>2081</v>
      </c>
      <c r="C480" s="989" t="s">
        <v>141</v>
      </c>
      <c r="D480" s="989" t="s">
        <v>299</v>
      </c>
      <c r="E480" s="989" t="s">
        <v>37</v>
      </c>
      <c r="F480" s="989" t="s">
        <v>205</v>
      </c>
      <c r="G480" s="591" t="str">
        <f>VLOOKUP(WWWW[[#This Row],[Site Name]],SiteDB6[[Site Name]:[Location Type]],8,FALSE)</f>
        <v>Camp_not registered</v>
      </c>
      <c r="H480" s="989" t="s">
        <v>1534</v>
      </c>
      <c r="I480" s="991">
        <v>416</v>
      </c>
      <c r="J480" s="991">
        <v>1936</v>
      </c>
      <c r="K480" s="992">
        <v>44652</v>
      </c>
      <c r="L480" s="993">
        <v>44865</v>
      </c>
      <c r="M480" s="991">
        <v>153</v>
      </c>
      <c r="N480" s="991"/>
      <c r="O480" s="991"/>
      <c r="P480" s="991"/>
      <c r="Q480" s="994" t="s">
        <v>41</v>
      </c>
      <c r="R480" s="991">
        <v>2</v>
      </c>
      <c r="S480" s="991">
        <v>6</v>
      </c>
      <c r="T480" s="448">
        <v>3</v>
      </c>
      <c r="U480" s="991"/>
      <c r="V480" s="991"/>
      <c r="W480" s="991"/>
      <c r="X480" s="991"/>
      <c r="Y480" s="991"/>
      <c r="Z480" s="991"/>
      <c r="AA480" s="991"/>
      <c r="AB480" s="991"/>
      <c r="AC480" s="991"/>
      <c r="AD480" s="991"/>
      <c r="AE480" s="991"/>
      <c r="AF480" s="991"/>
      <c r="AG480" s="991"/>
      <c r="AH480" s="991"/>
      <c r="AI480" s="991">
        <v>6</v>
      </c>
      <c r="AJ480" s="991">
        <v>6</v>
      </c>
      <c r="AK480" s="991">
        <v>12</v>
      </c>
      <c r="AL480" s="991">
        <v>11</v>
      </c>
      <c r="AM480" s="991">
        <v>5</v>
      </c>
      <c r="AN480" s="991"/>
      <c r="AO480" s="448"/>
      <c r="AP480" s="995" t="s">
        <v>140</v>
      </c>
      <c r="AQ480" s="991">
        <v>19</v>
      </c>
      <c r="AR480" s="991"/>
      <c r="AS480" s="996"/>
      <c r="AT480" s="991"/>
      <c r="AU480" s="991"/>
      <c r="AV480" s="991">
        <v>5</v>
      </c>
      <c r="AW480" s="991">
        <v>6.8137410000000003</v>
      </c>
      <c r="AX480" s="991"/>
      <c r="AY480" s="990" t="s">
        <v>41</v>
      </c>
      <c r="AZ480" s="995" t="s">
        <v>137</v>
      </c>
      <c r="BA480" s="991"/>
      <c r="BB480" s="991"/>
      <c r="BC480" s="991"/>
      <c r="BD480" s="448"/>
      <c r="BE480" s="448"/>
      <c r="BF480" s="990" t="s">
        <v>3165</v>
      </c>
      <c r="BG480" s="991">
        <v>20</v>
      </c>
      <c r="BH480" s="991"/>
      <c r="BI480" s="991"/>
      <c r="BJ480" s="991">
        <v>2</v>
      </c>
      <c r="BK480" s="991"/>
      <c r="BL480" s="991">
        <v>3</v>
      </c>
      <c r="BM480" s="991">
        <v>5</v>
      </c>
      <c r="BN480" s="991"/>
      <c r="BO480" s="991"/>
      <c r="BP480" s="990" t="s">
        <v>41</v>
      </c>
      <c r="BQ480" s="997">
        <v>1</v>
      </c>
      <c r="BR480" s="996">
        <v>0.3</v>
      </c>
      <c r="BS480" s="990" t="s">
        <v>140</v>
      </c>
      <c r="BT480" s="423">
        <v>0.8</v>
      </c>
      <c r="BU480" s="423">
        <v>0.8</v>
      </c>
      <c r="BV480" s="425">
        <v>20</v>
      </c>
      <c r="BW480" s="423">
        <v>0.8</v>
      </c>
      <c r="BX480" s="448"/>
      <c r="BY480" s="448"/>
      <c r="BZ480" s="448"/>
      <c r="CA480" s="448"/>
      <c r="CB480" s="448"/>
      <c r="CC480" s="777"/>
      <c r="CD480" s="448"/>
      <c r="CE480" s="998">
        <f>IFERROR(WWWW[[#This Row],['#_Water sources passed]]/WWWW[[#This Row],['#_Water sources tested for fecal coliform ]],"no test")</f>
        <v>1</v>
      </c>
      <c r="CF480" s="996">
        <f>IFERROR(WWWW[[#This Row],['#_Household passed]]/WWWW[[#This Row],['#_Household water samples tested for fecal coliform]],"no test")</f>
        <v>0.91666666666666663</v>
      </c>
      <c r="CG480" s="997" t="str">
        <f>IF(AND(WWWW[[#This Row],[% of water sources passed]]="no test",WWWW[[#This Row],[% Household passed]]="no test"),"No Test","Tested")</f>
        <v>Tested</v>
      </c>
      <c r="CH480" s="997">
        <f>WWWW[[#This Row],['#_Constructed/existing protected hand dug well]]-WWWW[[#This Row],['#_Non-functional protected hand dug well]]</f>
        <v>3</v>
      </c>
      <c r="CI480" s="997">
        <f>(WWWW[[#This Row],['#_Constructed/Existing tube wells/boreholes/handpumps_WASH_agency]]+WWWW[[#This Row],['#_Non-Cluster partner water tube-wells/boreholes/handpumps]])-WWWW[[#This Row],['#_Non-functional tube wells/boreholes/handpumps]]</f>
        <v>0</v>
      </c>
      <c r="CJ480" s="997">
        <f>WWWW[[#This Row],['#_Constructed/Existingwater storage tank with gravity fed reticulation system]]-WWWW[[#This Row],['#_Non-functional storage tank gravity fed reticulation system]]</f>
        <v>0</v>
      </c>
      <c r="CK480" s="997">
        <f>(WWWW[[#This Row],['#_Water_Liters_supplied_by_Water boating or water trucking]]/90)/15</f>
        <v>0</v>
      </c>
      <c r="CL480" s="997">
        <f>WWWW[[#This Row],['#_Water_Liters_from_Constructed/Existing water distribution system from river or natural spring]]/90/15</f>
        <v>0</v>
      </c>
      <c r="CM480" s="424">
        <f>IF(WWWW[[#This Row],['#_of water points in TLS/CFS]]*500&gt;WWWW[[#This Row],[Total PoP ]],WWWW[[#This Row],[Total PoP ]],WWWW[[#This Row],['#_of water points in TLS/CFS]]*500)</f>
        <v>0</v>
      </c>
      <c r="CN480" s="424">
        <f>IF(WWWW[[#This Row],['#_of water points in THF]]*500&gt;WWWW[[#This Row],[Total PoP ]],WWWW[[#This Row],[Total PoP ]],WWWW[[#This Row],['#_of water points in THF]]*500)</f>
        <v>0</v>
      </c>
      <c r="CO48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0.6198347107438017</v>
      </c>
      <c r="CP48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0.38739669421487605</v>
      </c>
      <c r="CQ480" s="996">
        <f>IF(WWWW[[#This Row],[Location Type 1]]="Village",WWWW[[#This Row],[Access to safe drinking water for Village]],WWWW[[#This Row],[Access to safe drinking water for Camp]])</f>
        <v>0.6198347107438017</v>
      </c>
      <c r="CR480" s="994">
        <f>WWWW[[#This Row],[%Equitable and continuous access to sufficient quantity of safe drinking water]]*WWWW[[#This Row],[Total PoP ]]</f>
        <v>1200</v>
      </c>
      <c r="CS480" s="996">
        <f>IF((WWWW[[#This Row],['#_Constructed/Existing protected/fenced ponds]]*250)/WWWW[[#This Row],[Total PoP ]]&gt;1,1,(WWWW[[#This Row],['#_Constructed/Existing protected/fenced ponds]]*250)/WWWW[[#This Row],[Total PoP ]])</f>
        <v>0</v>
      </c>
      <c r="CT480" s="994">
        <f>WWWW[[#This Row],[% Access to unimproved water points]]*WWWW[[#This Row],[Total PoP ]]</f>
        <v>0</v>
      </c>
      <c r="CU48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0.6198347107438017</v>
      </c>
      <c r="CV48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1200</v>
      </c>
      <c r="CW480" s="994">
        <f>WWWW[[#This Row],[HRP1]]/500</f>
        <v>2.4</v>
      </c>
      <c r="CX480" s="999">
        <f>1-WWWW[[#This Row],[% Equitable and continuous access to sufficient quantity of domestic water]]</f>
        <v>0.3801652892561983</v>
      </c>
      <c r="CY480" s="994">
        <f>WWWW[[#This Row],[%equitable and continuous access to sufficient quantity of safe drinking and domestic water''s GAP]]*WWWW[[#This Row],[Total PoP ]]</f>
        <v>735.99999999999989</v>
      </c>
      <c r="CZ480" s="997">
        <f>IF(WWWW[[#This Row],[Total required water points]]-WWWW[[#This Row],['#Water points coverage]]&lt;0,0,WWWW[[#This Row],[Total required water points]]-WWWW[[#This Row],['#Water points coverage]])</f>
        <v>1.6</v>
      </c>
      <c r="DA480" s="997">
        <f>ROUND(IF(WWWW[[#This Row],[Total PoP ]]&lt;500,1,WWWW[[#This Row],[Total PoP ]]/500),0)</f>
        <v>4</v>
      </c>
      <c r="DB480" s="997">
        <f>(WWWW[[#This Row],['#_Constructed latrines_by_WASHAgencies]]+WWWW[[#This Row],['#_Non Cluster partner latrines]])-WWWW[[#This Row],['#_Non-functional latrines]]</f>
        <v>19</v>
      </c>
      <c r="DC480" s="631">
        <f>WWWW[[#This Row],[HRP2]]/WWWW[[#This Row],[Total PoP ]]</f>
        <v>0.1962809917355372</v>
      </c>
      <c r="DD48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380</v>
      </c>
      <c r="DE48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48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0" s="424">
        <f>IF(WWWW[[#This Row],['# of functional latrines in THF supported by WASH partners during the reporting period2]]="",0,WWWW[[#This Row],['# of functional latrines in THF supported by WASH partners during the reporting period2]]*50)</f>
        <v>0</v>
      </c>
      <c r="DH480" s="997">
        <f>ROUND(IF(WWWW[[#This Row],[Location Type 1]]="camp",WWWW[[#This Row],[Total PoP ]]/20,IF(WWWW[[#This Row],[Location Type 1]]="Temporary Location",WWWW[[#This Row],[Total PoP ]]/50,(WWWW[[#This Row],[Total PoP ]]/6))),0)</f>
        <v>97</v>
      </c>
      <c r="DI480" s="997">
        <f>IF(WWWW[[#This Row],[Total required Latrines]]-(WWWW[[#This Row],['#_Constructed latrines_by_WASHAgencies]]+WWWW[[#This Row],['#_Non Cluster partner latrines]])&lt;0,0,WWWW[[#This Row],[Total required Latrines]]-(WWWW[[#This Row],['#_Constructed latrines_by_WASHAgencies]]+WWWW[[#This Row],['#_Non Cluster partner latrines]]))</f>
        <v>78</v>
      </c>
      <c r="DJ480" s="999">
        <f>1-WWWW[[#This Row],[% people access to functioning Latrine]]</f>
        <v>0.80371900826446274</v>
      </c>
      <c r="DK480" s="998">
        <f>IF(OR(WWWW[[#This Row],['#_Non-functional latrines]]="",WWWW[[#This Row],['#_Non-functional latrines]]=0),0,WWWW[[#This Row],['#_Non-functional latrines]]/(WWWW[[#This Row],['#_Constructed latrines_by_WASHAgencies]]+WWWW[[#This Row],['#_Non Cluster partner latrines]]))</f>
        <v>0</v>
      </c>
      <c r="DL480" s="994">
        <f>IF(500*(WWWW[[#This Row],['#_male hygiene promoters]]+WWWW[[#This Row],['#_female hygiene promoters]])&gt;WWWW[[#This Row],[Total PoP ]],WWWW[[#This Row],[Total PoP ]],500*(WWWW[[#This Row],['#_male hygiene promoters]]+WWWW[[#This Row],['#_female hygiene promoters]]))</f>
        <v>1936</v>
      </c>
      <c r="DM48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8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80" s="997">
        <f>IF(WWWW[[#This Row],['# People with access to soap]]&gt;WWWW[[#This Row],['# People with access to Sanity Pads]],WWWW[[#This Row],['# People with access to soap]],WWWW[[#This Row],['# People with access to Sanity Pads]])</f>
        <v>0</v>
      </c>
      <c r="DP480" s="997">
        <f>IF(WWWW[[#This Row],['# people reached by regular dedicated hygiene promotion_5]]&gt;WWWW[[#This Row],['# People received regular supply of hygiene items_6]],WWWW[[#This Row],['# people reached by regular dedicated hygiene promotion_5]],WWWW[[#This Row],['# People received regular supply of hygiene items_6]])</f>
        <v>1936</v>
      </c>
      <c r="DQ480" s="999">
        <f>IF(WWWW[[#This Row],[HRP3]]/WWWW[[#This Row],[Total PoP ]]&gt;1,1,WWWW[[#This Row],[HRP3]]/WWWW[[#This Row],[Total PoP ]])</f>
        <v>1</v>
      </c>
      <c r="DR480" s="998">
        <f>1-WWWW[[#This Row],[Hygiene Coverage%]]</f>
        <v>0</v>
      </c>
      <c r="DS480" s="996">
        <f>WWWW[[#This Row],['# people reached by regular dedicated hygiene promotion_5]]/WWWW[[#This Row],[Total PoP ]]</f>
        <v>1</v>
      </c>
      <c r="DT48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8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80" s="997">
        <f>WWWW[[#This Row],['#_Constructed/Existing hand washing stations]]-WWWW[[#This Row],['#_Non-Functional_hand_washing_stations]]</f>
        <v>20</v>
      </c>
      <c r="DW480" s="994">
        <f>IF(WWWW[[#This Row],['# Functional hand washing stations during reporting period]]*20&gt;WWWW[[#This Row],[Total HH]],WWWW[[#This Row],[Total HH]],WWWW[[#This Row],['# Functional hand washing stations during reporting period]]*20)</f>
        <v>400</v>
      </c>
      <c r="DX480" s="994">
        <f>IF(WWWW[[#This Row],[Is sufficient soap available for TLS? (Yes/No)]]="yes",WWWW[[#This Row],['#_Constructed/Existing hand washing stations at TLS/CFS/THF]],0)</f>
        <v>5</v>
      </c>
      <c r="DY480" s="428">
        <f>IF(WWWW[[#This Row],['# Functional hand washing stations during reporting period]]*100&gt;WWWW[[#This Row],[Total PoP ]],WWWW[[#This Row],[Total PoP ]],WWWW[[#This Row],['# Functional hand washing stations during reporting period]]*100)</f>
        <v>1936</v>
      </c>
      <c r="DZ480" s="428" t="str">
        <f>IF(OR(WWWW[[#This Row],['#_students at TLS_CFS]]="",WWWW[[#This Row],['#_students at TLS_CFS]]=0),"No","Yes")</f>
        <v>Yes</v>
      </c>
      <c r="EA480" s="631">
        <f>IF(WWWW[[#This Row],['#_of_affected_people_surveyed_who_report_feeling_informed_about_the_different_WASH_services_available_to_them]]="","",WWWW[[#This Row],['#_of_affected_people_surveyed_who_report_feeling_informed_about_the_different_WASH_services_available_to_them]]/WWWW[[#This Row],[Total PoP ]])</f>
        <v>1.0330578512396695E-2</v>
      </c>
      <c r="EB48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0" s="990">
        <f>VLOOKUP(WWWW[[#This Row],[Site Name]],SiteDB6[[Site Name]:[CCCM Management]],6,FALSE)</f>
        <v>0</v>
      </c>
      <c r="EF480" s="990">
        <f>VLOOKUP(WWWW[[#This Row],[Site Name]],SiteDB6[[Site Name]:[CCCM Focal Agency]],7,FALSE)</f>
        <v>0</v>
      </c>
      <c r="EG480" s="990" t="str">
        <f>VLOOKUP(WWWW[[#This Row],[Site Name]],SiteDB6[[Site Name]:[Location Type 1]],9,FALSE)</f>
        <v>Camp</v>
      </c>
      <c r="EH480" s="990" t="str">
        <f>VLOOKUP(WWWW[[#This Row],[Site Name]],SiteDB6[[Site Name]:[Type of Accommodation]],10,FALSE)</f>
        <v>Camp</v>
      </c>
      <c r="EI480" s="990" t="str">
        <f>VLOOKUP(WWWW[[#This Row],[Site Name]],SiteDB6[[Site Name]:[Ethnic or GCA/NGCA]],11,FALSE)</f>
        <v>GCA</v>
      </c>
      <c r="EJ480" s="990">
        <f>VLOOKUP(WWWW[[#This Row],[Site Name]],SiteDB6[[Site Name]:[Lat]],12,FALSE)</f>
        <v>0</v>
      </c>
      <c r="EK480" s="990">
        <f>VLOOKUP(WWWW[[#This Row],[Site Name]],SiteDB6[[Site Name]:[Long]],13,FALSE)</f>
        <v>0</v>
      </c>
      <c r="EL480" s="990">
        <f>VLOOKUP(WWWW[[#This Row],[Site Name]],SiteDB6[[Site Name]:[Pcode]],3,FALSE)</f>
        <v>0</v>
      </c>
      <c r="EM480" s="995" t="str">
        <f t="shared" si="9"/>
        <v>Covered</v>
      </c>
      <c r="EN480" s="995"/>
      <c r="EO480" s="990">
        <f>VLOOKUP(WWWW[[#This Row],[Site Name]],SiteDB6[[Site Name]:[Pop
(Kachin/Shan-CCCM as of July 2021)]],16,FALSE)</f>
        <v>0</v>
      </c>
      <c r="EP480" s="990">
        <f>VLOOKUP(WWWW[[#This Row],[Site Name]],SiteDB6[[Site Name]:[Pop
(Kachin/Shan-CCCM as of July 2021)]],17,FALSE)</f>
        <v>0</v>
      </c>
    </row>
    <row r="481" spans="1:146">
      <c r="A481" s="988" t="s">
        <v>2765</v>
      </c>
      <c r="B481" s="988" t="s">
        <v>3073</v>
      </c>
      <c r="C481" s="989" t="s">
        <v>141</v>
      </c>
      <c r="D481" s="989" t="s">
        <v>3161</v>
      </c>
      <c r="E481" s="989" t="s">
        <v>37</v>
      </c>
      <c r="F481" s="989" t="s">
        <v>148</v>
      </c>
      <c r="G481" s="591" t="str">
        <f>VLOOKUP(WWWW[[#This Row],[Site Name]],SiteDB6[[Site Name]:[Location Type]],8,FALSE)</f>
        <v>Camp</v>
      </c>
      <c r="H481" s="989" t="s">
        <v>149</v>
      </c>
      <c r="I481" s="991">
        <v>26</v>
      </c>
      <c r="J481" s="991">
        <v>133</v>
      </c>
      <c r="K481" s="992">
        <v>44682</v>
      </c>
      <c r="L481" s="993">
        <v>45169</v>
      </c>
      <c r="M481" s="991"/>
      <c r="N481" s="991">
        <v>1</v>
      </c>
      <c r="O481" s="991"/>
      <c r="P481" s="991"/>
      <c r="Q481" s="994" t="s">
        <v>41</v>
      </c>
      <c r="R481" s="991">
        <v>3</v>
      </c>
      <c r="S481" s="991">
        <v>3</v>
      </c>
      <c r="T481" s="448"/>
      <c r="U481" s="991"/>
      <c r="V481" s="991"/>
      <c r="W481" s="991">
        <v>1</v>
      </c>
      <c r="X481" s="991"/>
      <c r="Y481" s="991"/>
      <c r="Z481" s="991"/>
      <c r="AA481" s="991"/>
      <c r="AB481" s="991"/>
      <c r="AC481" s="991"/>
      <c r="AD481" s="991"/>
      <c r="AE481" s="991"/>
      <c r="AF481" s="991"/>
      <c r="AG481" s="991"/>
      <c r="AH481" s="991"/>
      <c r="AI481" s="991"/>
      <c r="AJ481" s="991"/>
      <c r="AK481" s="991"/>
      <c r="AL481" s="991"/>
      <c r="AM481" s="991"/>
      <c r="AN481" s="991"/>
      <c r="AO481" s="448"/>
      <c r="AP481" s="995"/>
      <c r="AQ481" s="991">
        <v>4</v>
      </c>
      <c r="AR481" s="991"/>
      <c r="AS481" s="996"/>
      <c r="AT481" s="991"/>
      <c r="AU481" s="991"/>
      <c r="AV481" s="991"/>
      <c r="AW481" s="991"/>
      <c r="AX481" s="991">
        <v>4</v>
      </c>
      <c r="AY481" s="990" t="s">
        <v>41</v>
      </c>
      <c r="AZ481" s="995" t="s">
        <v>137</v>
      </c>
      <c r="BA481" s="991"/>
      <c r="BB481" s="991"/>
      <c r="BC481" s="991"/>
      <c r="BD481" s="448"/>
      <c r="BE481" s="448"/>
      <c r="BF481" s="990"/>
      <c r="BG481" s="991">
        <v>1</v>
      </c>
      <c r="BH481" s="991"/>
      <c r="BI481" s="991"/>
      <c r="BJ481" s="991">
        <v>1</v>
      </c>
      <c r="BK481" s="991"/>
      <c r="BL481" s="991"/>
      <c r="BM481" s="991"/>
      <c r="BN481" s="991"/>
      <c r="BO481" s="991"/>
      <c r="BP481" s="990"/>
      <c r="BQ481" s="997"/>
      <c r="BR481" s="996"/>
      <c r="BS481" s="990"/>
      <c r="BT481" s="423"/>
      <c r="BU481" s="423"/>
      <c r="BV481" s="425"/>
      <c r="BW481" s="423"/>
      <c r="BX481" s="448"/>
      <c r="BY481" s="448"/>
      <c r="BZ481" s="448"/>
      <c r="CA481" s="448"/>
      <c r="CB481" s="448"/>
      <c r="CC481" s="777"/>
      <c r="CD481" s="448"/>
      <c r="CE481" s="998" t="str">
        <f>IFERROR(WWWW[[#This Row],['#_Water sources passed]]/WWWW[[#This Row],['#_Water sources tested for fecal coliform ]],"no test")</f>
        <v>no test</v>
      </c>
      <c r="CF481" s="996" t="str">
        <f>IFERROR(WWWW[[#This Row],['#_Household passed]]/WWWW[[#This Row],['#_Household water samples tested for fecal coliform]],"no test")</f>
        <v>no test</v>
      </c>
      <c r="CG481" s="997" t="str">
        <f>IF(AND(WWWW[[#This Row],[% of water sources passed]]="no test",WWWW[[#This Row],[% Household passed]]="no test"),"No Test","Tested")</f>
        <v>No Test</v>
      </c>
      <c r="CH481" s="997">
        <f>WWWW[[#This Row],['#_Constructed/existing protected hand dug well]]-WWWW[[#This Row],['#_Non-functional protected hand dug well]]</f>
        <v>0</v>
      </c>
      <c r="CI481" s="997">
        <f>(WWWW[[#This Row],['#_Constructed/Existing tube wells/boreholes/handpumps_WASH_agency]]+WWWW[[#This Row],['#_Non-Cluster partner water tube-wells/boreholes/handpumps]])-WWWW[[#This Row],['#_Non-functional tube wells/boreholes/handpumps]]</f>
        <v>1</v>
      </c>
      <c r="CJ481" s="997">
        <f>WWWW[[#This Row],['#_Constructed/Existingwater storage tank with gravity fed reticulation system]]-WWWW[[#This Row],['#_Non-functional storage tank gravity fed reticulation system]]</f>
        <v>0</v>
      </c>
      <c r="CK481" s="997">
        <f>(WWWW[[#This Row],['#_Water_Liters_supplied_by_Water boating or water trucking]]/90)/15</f>
        <v>0</v>
      </c>
      <c r="CL481" s="997">
        <f>WWWW[[#This Row],['#_Water_Liters_from_Constructed/Existing water distribution system from river or natural spring]]/90/15</f>
        <v>0</v>
      </c>
      <c r="CM481" s="424">
        <f>IF(WWWW[[#This Row],['#_of water points in TLS/CFS]]*500&gt;WWWW[[#This Row],[Total PoP ]],WWWW[[#This Row],[Total PoP ]],WWWW[[#This Row],['#_of water points in TLS/CFS]]*500)</f>
        <v>0</v>
      </c>
      <c r="CN481" s="424">
        <f>IF(WWWW[[#This Row],['#_of water points in THF]]*500&gt;WWWW[[#This Row],[Total PoP ]],WWWW[[#This Row],[Total PoP ]],WWWW[[#This Row],['#_of water points in THF]]*500)</f>
        <v>0</v>
      </c>
      <c r="CO48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8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81" s="996">
        <f>IF(WWWW[[#This Row],[Location Type 1]]="Village",WWWW[[#This Row],[Access to safe drinking water for Village]],WWWW[[#This Row],[Access to safe drinking water for Camp]])</f>
        <v>1</v>
      </c>
      <c r="CR481" s="994">
        <f>WWWW[[#This Row],[%Equitable and continuous access to sufficient quantity of safe drinking water]]*WWWW[[#This Row],[Total PoP ]]</f>
        <v>133</v>
      </c>
      <c r="CS481" s="996">
        <f>IF((WWWW[[#This Row],['#_Constructed/Existing protected/fenced ponds]]*250)/WWWW[[#This Row],[Total PoP ]]&gt;1,1,(WWWW[[#This Row],['#_Constructed/Existing protected/fenced ponds]]*250)/WWWW[[#This Row],[Total PoP ]])</f>
        <v>0</v>
      </c>
      <c r="CT481" s="994">
        <f>WWWW[[#This Row],[% Access to unimproved water points]]*WWWW[[#This Row],[Total PoP ]]</f>
        <v>0</v>
      </c>
      <c r="CU48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8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W481" s="994">
        <f>WWWW[[#This Row],[HRP1]]/500</f>
        <v>0.26600000000000001</v>
      </c>
      <c r="CX481" s="999">
        <f>1-WWWW[[#This Row],[% Equitable and continuous access to sufficient quantity of domestic water]]</f>
        <v>0</v>
      </c>
      <c r="CY481" s="994">
        <f>WWWW[[#This Row],[%equitable and continuous access to sufficient quantity of safe drinking and domestic water''s GAP]]*WWWW[[#This Row],[Total PoP ]]</f>
        <v>0</v>
      </c>
      <c r="CZ481" s="997">
        <f>IF(WWWW[[#This Row],[Total required water points]]-WWWW[[#This Row],['#Water points coverage]]&lt;0,0,WWWW[[#This Row],[Total required water points]]-WWWW[[#This Row],['#Water points coverage]])</f>
        <v>0.73399999999999999</v>
      </c>
      <c r="DA481" s="997">
        <f>ROUND(IF(WWWW[[#This Row],[Total PoP ]]&lt;500,1,WWWW[[#This Row],[Total PoP ]]/500),0)</f>
        <v>1</v>
      </c>
      <c r="DB481" s="997">
        <f>(WWWW[[#This Row],['#_Constructed latrines_by_WASHAgencies]]+WWWW[[#This Row],['#_Non Cluster partner latrines]])-WWWW[[#This Row],['#_Non-functional latrines]]</f>
        <v>4</v>
      </c>
      <c r="DC481" s="631">
        <f>WWWW[[#This Row],[HRP2]]/WWWW[[#This Row],[Total PoP ]]</f>
        <v>0.60150375939849621</v>
      </c>
      <c r="DD48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48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8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1" s="424">
        <f>IF(WWWW[[#This Row],['# of functional latrines in THF supported by WASH partners during the reporting period2]]="",0,WWWW[[#This Row],['# of functional latrines in THF supported by WASH partners during the reporting period2]]*50)</f>
        <v>0</v>
      </c>
      <c r="DH481" s="997">
        <f>ROUND(IF(WWWW[[#This Row],[Location Type 1]]="camp",WWWW[[#This Row],[Total PoP ]]/20,IF(WWWW[[#This Row],[Location Type 1]]="Temporary Location",WWWW[[#This Row],[Total PoP ]]/50,(WWWW[[#This Row],[Total PoP ]]/6))),0)</f>
        <v>7</v>
      </c>
      <c r="DI481" s="997">
        <f>IF(WWWW[[#This Row],[Total required Latrines]]-(WWWW[[#This Row],['#_Constructed latrines_by_WASHAgencies]]+WWWW[[#This Row],['#_Non Cluster partner latrines]])&lt;0,0,WWWW[[#This Row],[Total required Latrines]]-(WWWW[[#This Row],['#_Constructed latrines_by_WASHAgencies]]+WWWW[[#This Row],['#_Non Cluster partner latrines]]))</f>
        <v>3</v>
      </c>
      <c r="DJ481" s="999">
        <f>1-WWWW[[#This Row],[% people access to functioning Latrine]]</f>
        <v>0.39849624060150379</v>
      </c>
      <c r="DK481" s="998">
        <f>IF(OR(WWWW[[#This Row],['#_Non-functional latrines]]="",WWWW[[#This Row],['#_Non-functional latrines]]=0),0,WWWW[[#This Row],['#_Non-functional latrines]]/(WWWW[[#This Row],['#_Constructed latrines_by_WASHAgencies]]+WWWW[[#This Row],['#_Non Cluster partner latrines]]))</f>
        <v>0</v>
      </c>
      <c r="DL481" s="994">
        <f>IF(500*(WWWW[[#This Row],['#_male hygiene promoters]]+WWWW[[#This Row],['#_female hygiene promoters]])&gt;WWWW[[#This Row],[Total PoP ]],WWWW[[#This Row],[Total PoP ]],500*(WWWW[[#This Row],['#_male hygiene promoters]]+WWWW[[#This Row],['#_female hygiene promoters]]))</f>
        <v>0</v>
      </c>
      <c r="DM48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8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81" s="997">
        <f>IF(WWWW[[#This Row],['# People with access to soap]]&gt;WWWW[[#This Row],['# People with access to Sanity Pads]],WWWW[[#This Row],['# People with access to soap]],WWWW[[#This Row],['# People with access to Sanity Pads]])</f>
        <v>0</v>
      </c>
      <c r="DP481"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81" s="999">
        <f>IF(WWWW[[#This Row],[HRP3]]/WWWW[[#This Row],[Total PoP ]]&gt;1,1,WWWW[[#This Row],[HRP3]]/WWWW[[#This Row],[Total PoP ]])</f>
        <v>0</v>
      </c>
      <c r="DR481" s="998">
        <f>1-WWWW[[#This Row],[Hygiene Coverage%]]</f>
        <v>1</v>
      </c>
      <c r="DS481" s="996">
        <f>WWWW[[#This Row],['# people reached by regular dedicated hygiene promotion_5]]/WWWW[[#This Row],[Total PoP ]]</f>
        <v>0</v>
      </c>
      <c r="DT48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8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81" s="997">
        <f>WWWW[[#This Row],['#_Constructed/Existing hand washing stations]]-WWWW[[#This Row],['#_Non-Functional_hand_washing_stations]]</f>
        <v>1</v>
      </c>
      <c r="DW481" s="994">
        <f>IF(WWWW[[#This Row],['# Functional hand washing stations during reporting period]]*20&gt;WWWW[[#This Row],[Total HH]],WWWW[[#This Row],[Total HH]],WWWW[[#This Row],['# Functional hand washing stations during reporting period]]*20)</f>
        <v>20</v>
      </c>
      <c r="DX481" s="994">
        <f>IF(WWWW[[#This Row],[Is sufficient soap available for TLS? (Yes/No)]]="yes",WWWW[[#This Row],['#_Constructed/Existing hand washing stations at TLS/CFS/THF]],0)</f>
        <v>0</v>
      </c>
      <c r="DY481" s="428">
        <f>IF(WWWW[[#This Row],['# Functional hand washing stations during reporting period]]*100&gt;WWWW[[#This Row],[Total PoP ]],WWWW[[#This Row],[Total PoP ]],WWWW[[#This Row],['# Functional hand washing stations during reporting period]]*100)</f>
        <v>100</v>
      </c>
      <c r="DZ481" s="428" t="str">
        <f>IF(OR(WWWW[[#This Row],['#_students at TLS_CFS]]="",WWWW[[#This Row],['#_students at TLS_CFS]]=0),"No","Yes")</f>
        <v>No</v>
      </c>
      <c r="EA48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8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1" s="990" t="str">
        <f>VLOOKUP(WWWW[[#This Row],[Site Name]],SiteDB6[[Site Name]:[CCCM Management]],6,FALSE)</f>
        <v>Yes</v>
      </c>
      <c r="EF481" s="990" t="str">
        <f>VLOOKUP(WWWW[[#This Row],[Site Name]],SiteDB6[[Site Name]:[CCCM Focal Agency]],7,FALSE)</f>
        <v>KBC-MYT</v>
      </c>
      <c r="EG481" s="990" t="str">
        <f>VLOOKUP(WWWW[[#This Row],[Site Name]],SiteDB6[[Site Name]:[Location Type 1]],9,FALSE)</f>
        <v>Camp</v>
      </c>
      <c r="EH481" s="990" t="str">
        <f>VLOOKUP(WWWW[[#This Row],[Site Name]],SiteDB6[[Site Name]:[Type of Accommodation]],10,FALSE)</f>
        <v>Camp</v>
      </c>
      <c r="EI481" s="990" t="str">
        <f>VLOOKUP(WWWW[[#This Row],[Site Name]],SiteDB6[[Site Name]:[Ethnic or GCA/NGCA]],11,FALSE)</f>
        <v>GCA</v>
      </c>
      <c r="EJ481" s="990">
        <f>VLOOKUP(WWWW[[#This Row],[Site Name]],SiteDB6[[Site Name]:[Lat]],12,FALSE)</f>
        <v>25.51352</v>
      </c>
      <c r="EK481" s="990">
        <f>VLOOKUP(WWWW[[#This Row],[Site Name]],SiteDB6[[Site Name]:[Long]],13,FALSE)</f>
        <v>96.705960000000005</v>
      </c>
      <c r="EL481" s="990" t="str">
        <f>VLOOKUP(WWWW[[#This Row],[Site Name]],SiteDB6[[Site Name]:[Pcode]],3,FALSE)</f>
        <v>MMR001CMP148</v>
      </c>
      <c r="EM481" s="995" t="str">
        <f t="shared" si="9"/>
        <v>Covered</v>
      </c>
      <c r="EN481" s="995"/>
      <c r="EO481" s="990">
        <f>VLOOKUP(WWWW[[#This Row],[Site Name]],SiteDB6[[Site Name]:[Pop
(Kachin/Shan-CCCM as of July 2021)]],16,FALSE)</f>
        <v>26</v>
      </c>
      <c r="EP481" s="990">
        <f>VLOOKUP(WWWW[[#This Row],[Site Name]],SiteDB6[[Site Name]:[Pop
(Kachin/Shan-CCCM as of July 2021)]],17,FALSE)</f>
        <v>133</v>
      </c>
    </row>
    <row r="482" spans="1:146">
      <c r="A482" s="988" t="s">
        <v>2765</v>
      </c>
      <c r="B482" s="988" t="s">
        <v>919</v>
      </c>
      <c r="C482" s="989" t="s">
        <v>141</v>
      </c>
      <c r="D482" s="989" t="s">
        <v>3164</v>
      </c>
      <c r="E482" s="989" t="s">
        <v>37</v>
      </c>
      <c r="F482" s="989" t="s">
        <v>157</v>
      </c>
      <c r="G482" s="591" t="str">
        <f>VLOOKUP(WWWW[[#This Row],[Site Name]],SiteDB6[[Site Name]:[Location Type]],8,FALSE)</f>
        <v>Camp</v>
      </c>
      <c r="H482" s="989" t="s">
        <v>158</v>
      </c>
      <c r="I482" s="991">
        <v>27</v>
      </c>
      <c r="J482" s="991">
        <v>130</v>
      </c>
      <c r="K482" s="992">
        <v>44682</v>
      </c>
      <c r="L482" s="993">
        <v>45169</v>
      </c>
      <c r="M482" s="991"/>
      <c r="N482" s="991">
        <v>1</v>
      </c>
      <c r="O482" s="991"/>
      <c r="P482" s="991"/>
      <c r="Q482" s="994" t="s">
        <v>41</v>
      </c>
      <c r="R482" s="991">
        <v>2</v>
      </c>
      <c r="S482" s="991">
        <v>2</v>
      </c>
      <c r="T482" s="448">
        <v>2</v>
      </c>
      <c r="U482" s="991"/>
      <c r="V482" s="991"/>
      <c r="W482" s="991">
        <v>1</v>
      </c>
      <c r="X482" s="991"/>
      <c r="Y482" s="991"/>
      <c r="Z482" s="991"/>
      <c r="AA482" s="991"/>
      <c r="AB482" s="991"/>
      <c r="AC482" s="991"/>
      <c r="AD482" s="991"/>
      <c r="AE482" s="991"/>
      <c r="AF482" s="991"/>
      <c r="AG482" s="991"/>
      <c r="AH482" s="991"/>
      <c r="AI482" s="991"/>
      <c r="AJ482" s="991"/>
      <c r="AK482" s="991"/>
      <c r="AL482" s="991"/>
      <c r="AM482" s="991"/>
      <c r="AN482" s="991"/>
      <c r="AO482" s="448"/>
      <c r="AP482" s="995"/>
      <c r="AQ482" s="991">
        <v>5</v>
      </c>
      <c r="AR482" s="991"/>
      <c r="AS482" s="996"/>
      <c r="AT482" s="991"/>
      <c r="AU482" s="991"/>
      <c r="AV482" s="991"/>
      <c r="AW482" s="991"/>
      <c r="AX482" s="991"/>
      <c r="AY482" s="990" t="s">
        <v>41</v>
      </c>
      <c r="AZ482" s="995" t="s">
        <v>904</v>
      </c>
      <c r="BA482" s="991"/>
      <c r="BB482" s="991"/>
      <c r="BC482" s="991"/>
      <c r="BD482" s="448"/>
      <c r="BE482" s="448"/>
      <c r="BF482" s="990"/>
      <c r="BG482" s="991">
        <v>4</v>
      </c>
      <c r="BH482" s="991"/>
      <c r="BI482" s="991"/>
      <c r="BJ482" s="991">
        <v>2</v>
      </c>
      <c r="BK482" s="991"/>
      <c r="BL482" s="991"/>
      <c r="BM482" s="991"/>
      <c r="BN482" s="991"/>
      <c r="BO482" s="991"/>
      <c r="BP482" s="990"/>
      <c r="BQ482" s="997"/>
      <c r="BR482" s="996"/>
      <c r="BS482" s="990"/>
      <c r="BT482" s="423"/>
      <c r="BU482" s="423"/>
      <c r="BV482" s="425"/>
      <c r="BW482" s="423"/>
      <c r="BX482" s="448"/>
      <c r="BY482" s="448"/>
      <c r="BZ482" s="448"/>
      <c r="CA482" s="448"/>
      <c r="CB482" s="448"/>
      <c r="CC482" s="777"/>
      <c r="CD482" s="448"/>
      <c r="CE482" s="998" t="str">
        <f>IFERROR(WWWW[[#This Row],['#_Water sources passed]]/WWWW[[#This Row],['#_Water sources tested for fecal coliform ]],"no test")</f>
        <v>no test</v>
      </c>
      <c r="CF482" s="996" t="str">
        <f>IFERROR(WWWW[[#This Row],['#_Household passed]]/WWWW[[#This Row],['#_Household water samples tested for fecal coliform]],"no test")</f>
        <v>no test</v>
      </c>
      <c r="CG482" s="997" t="str">
        <f>IF(AND(WWWW[[#This Row],[% of water sources passed]]="no test",WWWW[[#This Row],[% Household passed]]="no test"),"No Test","Tested")</f>
        <v>No Test</v>
      </c>
      <c r="CH482" s="997">
        <f>WWWW[[#This Row],['#_Constructed/existing protected hand dug well]]-WWWW[[#This Row],['#_Non-functional protected hand dug well]]</f>
        <v>2</v>
      </c>
      <c r="CI482" s="997">
        <f>(WWWW[[#This Row],['#_Constructed/Existing tube wells/boreholes/handpumps_WASH_agency]]+WWWW[[#This Row],['#_Non-Cluster partner water tube-wells/boreholes/handpumps]])-WWWW[[#This Row],['#_Non-functional tube wells/boreholes/handpumps]]</f>
        <v>1</v>
      </c>
      <c r="CJ482" s="997">
        <f>WWWW[[#This Row],['#_Constructed/Existingwater storage tank with gravity fed reticulation system]]-WWWW[[#This Row],['#_Non-functional storage tank gravity fed reticulation system]]</f>
        <v>0</v>
      </c>
      <c r="CK482" s="997">
        <f>(WWWW[[#This Row],['#_Water_Liters_supplied_by_Water boating or water trucking]]/90)/15</f>
        <v>0</v>
      </c>
      <c r="CL482" s="997">
        <f>WWWW[[#This Row],['#_Water_Liters_from_Constructed/Existing water distribution system from river or natural spring]]/90/15</f>
        <v>0</v>
      </c>
      <c r="CM482" s="424">
        <f>IF(WWWW[[#This Row],['#_of water points in TLS/CFS]]*500&gt;WWWW[[#This Row],[Total PoP ]],WWWW[[#This Row],[Total PoP ]],WWWW[[#This Row],['#_of water points in TLS/CFS]]*500)</f>
        <v>0</v>
      </c>
      <c r="CN482" s="424">
        <f>IF(WWWW[[#This Row],['#_of water points in THF]]*500&gt;WWWW[[#This Row],[Total PoP ]],WWWW[[#This Row],[Total PoP ]],WWWW[[#This Row],['#_of water points in THF]]*500)</f>
        <v>0</v>
      </c>
      <c r="CO48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8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82" s="996">
        <f>IF(WWWW[[#This Row],[Location Type 1]]="Village",WWWW[[#This Row],[Access to safe drinking water for Village]],WWWW[[#This Row],[Access to safe drinking water for Camp]])</f>
        <v>1</v>
      </c>
      <c r="CR482" s="994">
        <f>WWWW[[#This Row],[%Equitable and continuous access to sufficient quantity of safe drinking water]]*WWWW[[#This Row],[Total PoP ]]</f>
        <v>130</v>
      </c>
      <c r="CS482" s="996">
        <f>IF((WWWW[[#This Row],['#_Constructed/Existing protected/fenced ponds]]*250)/WWWW[[#This Row],[Total PoP ]]&gt;1,1,(WWWW[[#This Row],['#_Constructed/Existing protected/fenced ponds]]*250)/WWWW[[#This Row],[Total PoP ]])</f>
        <v>0</v>
      </c>
      <c r="CT482" s="994">
        <f>WWWW[[#This Row],[% Access to unimproved water points]]*WWWW[[#This Row],[Total PoP ]]</f>
        <v>0</v>
      </c>
      <c r="CU48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8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W482" s="994">
        <f>WWWW[[#This Row],[HRP1]]/500</f>
        <v>0.26</v>
      </c>
      <c r="CX482" s="999">
        <f>1-WWWW[[#This Row],[% Equitable and continuous access to sufficient quantity of domestic water]]</f>
        <v>0</v>
      </c>
      <c r="CY482" s="994">
        <f>WWWW[[#This Row],[%equitable and continuous access to sufficient quantity of safe drinking and domestic water''s GAP]]*WWWW[[#This Row],[Total PoP ]]</f>
        <v>0</v>
      </c>
      <c r="CZ482" s="997">
        <f>IF(WWWW[[#This Row],[Total required water points]]-WWWW[[#This Row],['#Water points coverage]]&lt;0,0,WWWW[[#This Row],[Total required water points]]-WWWW[[#This Row],['#Water points coverage]])</f>
        <v>0.74</v>
      </c>
      <c r="DA482" s="997">
        <f>ROUND(IF(WWWW[[#This Row],[Total PoP ]]&lt;500,1,WWWW[[#This Row],[Total PoP ]]/500),0)</f>
        <v>1</v>
      </c>
      <c r="DB482" s="997">
        <f>(WWWW[[#This Row],['#_Constructed latrines_by_WASHAgencies]]+WWWW[[#This Row],['#_Non Cluster partner latrines]])-WWWW[[#This Row],['#_Non-functional latrines]]</f>
        <v>5</v>
      </c>
      <c r="DC482" s="631">
        <f>WWWW[[#This Row],[HRP2]]/WWWW[[#This Row],[Total PoP ]]</f>
        <v>0.76923076923076927</v>
      </c>
      <c r="DD48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48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8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2" s="424">
        <f>IF(WWWW[[#This Row],['# of functional latrines in THF supported by WASH partners during the reporting period2]]="",0,WWWW[[#This Row],['# of functional latrines in THF supported by WASH partners during the reporting period2]]*50)</f>
        <v>0</v>
      </c>
      <c r="DH482" s="997">
        <f>ROUND(IF(WWWW[[#This Row],[Location Type 1]]="camp",WWWW[[#This Row],[Total PoP ]]/20,IF(WWWW[[#This Row],[Location Type 1]]="Temporary Location",WWWW[[#This Row],[Total PoP ]]/50,(WWWW[[#This Row],[Total PoP ]]/6))),0)</f>
        <v>7</v>
      </c>
      <c r="DI482" s="997">
        <f>IF(WWWW[[#This Row],[Total required Latrines]]-(WWWW[[#This Row],['#_Constructed latrines_by_WASHAgencies]]+WWWW[[#This Row],['#_Non Cluster partner latrines]])&lt;0,0,WWWW[[#This Row],[Total required Latrines]]-(WWWW[[#This Row],['#_Constructed latrines_by_WASHAgencies]]+WWWW[[#This Row],['#_Non Cluster partner latrines]]))</f>
        <v>2</v>
      </c>
      <c r="DJ482" s="999">
        <f>1-WWWW[[#This Row],[% people access to functioning Latrine]]</f>
        <v>0.23076923076923073</v>
      </c>
      <c r="DK482" s="998">
        <f>IF(OR(WWWW[[#This Row],['#_Non-functional latrines]]="",WWWW[[#This Row],['#_Non-functional latrines]]=0),0,WWWW[[#This Row],['#_Non-functional latrines]]/(WWWW[[#This Row],['#_Constructed latrines_by_WASHAgencies]]+WWWW[[#This Row],['#_Non Cluster partner latrines]]))</f>
        <v>0</v>
      </c>
      <c r="DL482" s="994">
        <f>IF(500*(WWWW[[#This Row],['#_male hygiene promoters]]+WWWW[[#This Row],['#_female hygiene promoters]])&gt;WWWW[[#This Row],[Total PoP ]],WWWW[[#This Row],[Total PoP ]],500*(WWWW[[#This Row],['#_male hygiene promoters]]+WWWW[[#This Row],['#_female hygiene promoters]]))</f>
        <v>0</v>
      </c>
      <c r="DM48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8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82" s="997">
        <f>IF(WWWW[[#This Row],['# People with access to soap]]&gt;WWWW[[#This Row],['# People with access to Sanity Pads]],WWWW[[#This Row],['# People with access to soap]],WWWW[[#This Row],['# People with access to Sanity Pads]])</f>
        <v>0</v>
      </c>
      <c r="DP482"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82" s="999">
        <f>IF(WWWW[[#This Row],[HRP3]]/WWWW[[#This Row],[Total PoP ]]&gt;1,1,WWWW[[#This Row],[HRP3]]/WWWW[[#This Row],[Total PoP ]])</f>
        <v>0</v>
      </c>
      <c r="DR482" s="998">
        <f>1-WWWW[[#This Row],[Hygiene Coverage%]]</f>
        <v>1</v>
      </c>
      <c r="DS482" s="996">
        <f>WWWW[[#This Row],['# people reached by regular dedicated hygiene promotion_5]]/WWWW[[#This Row],[Total PoP ]]</f>
        <v>0</v>
      </c>
      <c r="DT48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8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82" s="997">
        <f>WWWW[[#This Row],['#_Constructed/Existing hand washing stations]]-WWWW[[#This Row],['#_Non-Functional_hand_washing_stations]]</f>
        <v>4</v>
      </c>
      <c r="DW482" s="994">
        <f>IF(WWWW[[#This Row],['# Functional hand washing stations during reporting period]]*20&gt;WWWW[[#This Row],[Total HH]],WWWW[[#This Row],[Total HH]],WWWW[[#This Row],['# Functional hand washing stations during reporting period]]*20)</f>
        <v>27</v>
      </c>
      <c r="DX482" s="994">
        <f>IF(WWWW[[#This Row],[Is sufficient soap available for TLS? (Yes/No)]]="yes",WWWW[[#This Row],['#_Constructed/Existing hand washing stations at TLS/CFS/THF]],0)</f>
        <v>0</v>
      </c>
      <c r="DY482" s="428">
        <f>IF(WWWW[[#This Row],['# Functional hand washing stations during reporting period]]*100&gt;WWWW[[#This Row],[Total PoP ]],WWWW[[#This Row],[Total PoP ]],WWWW[[#This Row],['# Functional hand washing stations during reporting period]]*100)</f>
        <v>130</v>
      </c>
      <c r="DZ482" s="428" t="str">
        <f>IF(OR(WWWW[[#This Row],['#_students at TLS_CFS]]="",WWWW[[#This Row],['#_students at TLS_CFS]]=0),"No","Yes")</f>
        <v>No</v>
      </c>
      <c r="EA48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8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2" s="990" t="str">
        <f>VLOOKUP(WWWW[[#This Row],[Site Name]],SiteDB6[[Site Name]:[CCCM Management]],6,FALSE)</f>
        <v>Yes</v>
      </c>
      <c r="EF482" s="990" t="str">
        <f>VLOOKUP(WWWW[[#This Row],[Site Name]],SiteDB6[[Site Name]:[CCCM Focal Agency]],7,FALSE)</f>
        <v>KBC-MYT</v>
      </c>
      <c r="EG482" s="990" t="str">
        <f>VLOOKUP(WWWW[[#This Row],[Site Name]],SiteDB6[[Site Name]:[Location Type 1]],9,FALSE)</f>
        <v>Camp</v>
      </c>
      <c r="EH482" s="990" t="str">
        <f>VLOOKUP(WWWW[[#This Row],[Site Name]],SiteDB6[[Site Name]:[Type of Accommodation]],10,FALSE)</f>
        <v>Camp</v>
      </c>
      <c r="EI482" s="990" t="str">
        <f>VLOOKUP(WWWW[[#This Row],[Site Name]],SiteDB6[[Site Name]:[Ethnic or GCA/NGCA]],11,FALSE)</f>
        <v>GCA</v>
      </c>
      <c r="EJ482" s="990">
        <f>VLOOKUP(WWWW[[#This Row],[Site Name]],SiteDB6[[Site Name]:[Lat]],12,FALSE)</f>
        <v>24.998349999999999</v>
      </c>
      <c r="EK482" s="990">
        <f>VLOOKUP(WWWW[[#This Row],[Site Name]],SiteDB6[[Site Name]:[Long]],13,FALSE)</f>
        <v>96.364949999999993</v>
      </c>
      <c r="EL482" s="990" t="str">
        <f>VLOOKUP(WWWW[[#This Row],[Site Name]],SiteDB6[[Site Name]:[Pcode]],3,FALSE)</f>
        <v>MMR001CMP152</v>
      </c>
      <c r="EM482" s="995" t="str">
        <f t="shared" si="9"/>
        <v>Covered</v>
      </c>
      <c r="EN482" s="995"/>
      <c r="EO482" s="990">
        <f>VLOOKUP(WWWW[[#This Row],[Site Name]],SiteDB6[[Site Name]:[Pop
(Kachin/Shan-CCCM as of July 2021)]],16,FALSE)</f>
        <v>26</v>
      </c>
      <c r="EP482" s="990">
        <f>VLOOKUP(WWWW[[#This Row],[Site Name]],SiteDB6[[Site Name]:[Pop
(Kachin/Shan-CCCM as of July 2021)]],17,FALSE)</f>
        <v>127</v>
      </c>
    </row>
    <row r="483" spans="1:146">
      <c r="A483" s="988" t="s">
        <v>2765</v>
      </c>
      <c r="B483" s="988" t="s">
        <v>3073</v>
      </c>
      <c r="C483" s="989" t="s">
        <v>141</v>
      </c>
      <c r="D483" s="989" t="s">
        <v>3166</v>
      </c>
      <c r="E483" s="989" t="s">
        <v>37</v>
      </c>
      <c r="F483" s="989" t="s">
        <v>159</v>
      </c>
      <c r="G483" s="591" t="str">
        <f>VLOOKUP(WWWW[[#This Row],[Site Name]],SiteDB6[[Site Name]:[Location Type]],8,FALSE)</f>
        <v>Camp</v>
      </c>
      <c r="H483" s="989" t="s">
        <v>169</v>
      </c>
      <c r="I483" s="991">
        <v>103</v>
      </c>
      <c r="J483" s="991">
        <v>629</v>
      </c>
      <c r="K483" s="992">
        <v>44682</v>
      </c>
      <c r="L483" s="993">
        <v>45169</v>
      </c>
      <c r="M483" s="991"/>
      <c r="N483" s="991">
        <v>2</v>
      </c>
      <c r="O483" s="991"/>
      <c r="P483" s="991"/>
      <c r="Q483" s="994" t="s">
        <v>41</v>
      </c>
      <c r="R483" s="991">
        <v>2</v>
      </c>
      <c r="S483" s="991">
        <v>2</v>
      </c>
      <c r="T483" s="448">
        <v>3</v>
      </c>
      <c r="U483" s="991"/>
      <c r="V483" s="991"/>
      <c r="W483" s="991">
        <v>2</v>
      </c>
      <c r="X483" s="991"/>
      <c r="Y483" s="991"/>
      <c r="Z483" s="991"/>
      <c r="AA483" s="991"/>
      <c r="AB483" s="991"/>
      <c r="AC483" s="991"/>
      <c r="AD483" s="991"/>
      <c r="AE483" s="991"/>
      <c r="AF483" s="991"/>
      <c r="AG483" s="991"/>
      <c r="AH483" s="991">
        <v>2</v>
      </c>
      <c r="AI483" s="991"/>
      <c r="AJ483" s="991"/>
      <c r="AK483" s="991"/>
      <c r="AL483" s="991"/>
      <c r="AM483" s="991"/>
      <c r="AN483" s="991"/>
      <c r="AO483" s="448"/>
      <c r="AP483" s="995"/>
      <c r="AQ483" s="991">
        <v>17</v>
      </c>
      <c r="AR483" s="991"/>
      <c r="AS483" s="996"/>
      <c r="AT483" s="991"/>
      <c r="AU483" s="991"/>
      <c r="AV483" s="991"/>
      <c r="AW483" s="991"/>
      <c r="AX483" s="991">
        <v>17</v>
      </c>
      <c r="AY483" s="990" t="s">
        <v>41</v>
      </c>
      <c r="AZ483" s="995" t="s">
        <v>137</v>
      </c>
      <c r="BA483" s="991"/>
      <c r="BB483" s="991"/>
      <c r="BC483" s="991"/>
      <c r="BD483" s="448"/>
      <c r="BE483" s="448"/>
      <c r="BF483" s="990"/>
      <c r="BG483" s="991">
        <v>3</v>
      </c>
      <c r="BH483" s="991"/>
      <c r="BI483" s="991"/>
      <c r="BJ483" s="991">
        <v>2</v>
      </c>
      <c r="BK483" s="991"/>
      <c r="BL483" s="991"/>
      <c r="BM483" s="991"/>
      <c r="BN483" s="991"/>
      <c r="BO483" s="991"/>
      <c r="BP483" s="990"/>
      <c r="BQ483" s="997"/>
      <c r="BR483" s="996"/>
      <c r="BS483" s="990"/>
      <c r="BT483" s="423"/>
      <c r="BU483" s="423"/>
      <c r="BV483" s="425"/>
      <c r="BW483" s="423"/>
      <c r="BX483" s="448"/>
      <c r="BY483" s="448"/>
      <c r="BZ483" s="448"/>
      <c r="CA483" s="448"/>
      <c r="CB483" s="448"/>
      <c r="CC483" s="777"/>
      <c r="CD483" s="448"/>
      <c r="CE483" s="998" t="str">
        <f>IFERROR(WWWW[[#This Row],['#_Water sources passed]]/WWWW[[#This Row],['#_Water sources tested for fecal coliform ]],"no test")</f>
        <v>no test</v>
      </c>
      <c r="CF483" s="996" t="str">
        <f>IFERROR(WWWW[[#This Row],['#_Household passed]]/WWWW[[#This Row],['#_Household water samples tested for fecal coliform]],"no test")</f>
        <v>no test</v>
      </c>
      <c r="CG483" s="997" t="str">
        <f>IF(AND(WWWW[[#This Row],[% of water sources passed]]="no test",WWWW[[#This Row],[% Household passed]]="no test"),"No Test","Tested")</f>
        <v>No Test</v>
      </c>
      <c r="CH483" s="997">
        <f>WWWW[[#This Row],['#_Constructed/existing protected hand dug well]]-WWWW[[#This Row],['#_Non-functional protected hand dug well]]</f>
        <v>3</v>
      </c>
      <c r="CI483" s="997">
        <f>(WWWW[[#This Row],['#_Constructed/Existing tube wells/boreholes/handpumps_WASH_agency]]+WWWW[[#This Row],['#_Non-Cluster partner water tube-wells/boreholes/handpumps]])-WWWW[[#This Row],['#_Non-functional tube wells/boreholes/handpumps]]</f>
        <v>2</v>
      </c>
      <c r="CJ483" s="997">
        <f>WWWW[[#This Row],['#_Constructed/Existingwater storage tank with gravity fed reticulation system]]-WWWW[[#This Row],['#_Non-functional storage tank gravity fed reticulation system]]</f>
        <v>0</v>
      </c>
      <c r="CK483" s="997">
        <f>(WWWW[[#This Row],['#_Water_Liters_supplied_by_Water boating or water trucking]]/90)/15</f>
        <v>0</v>
      </c>
      <c r="CL483" s="997">
        <f>WWWW[[#This Row],['#_Water_Liters_from_Constructed/Existing water distribution system from river or natural spring]]/90/15</f>
        <v>0</v>
      </c>
      <c r="CM483" s="424">
        <f>IF(WWWW[[#This Row],['#_of water points in TLS/CFS]]*500&gt;WWWW[[#This Row],[Total PoP ]],WWWW[[#This Row],[Total PoP ]],WWWW[[#This Row],['#_of water points in TLS/CFS]]*500)</f>
        <v>0</v>
      </c>
      <c r="CN483" s="424">
        <f>IF(WWWW[[#This Row],['#_of water points in THF]]*500&gt;WWWW[[#This Row],[Total PoP ]],WWWW[[#This Row],[Total PoP ]],WWWW[[#This Row],['#_of water points in THF]]*500)</f>
        <v>0</v>
      </c>
      <c r="CO48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8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83" s="996">
        <f>IF(WWWW[[#This Row],[Location Type 1]]="Village",WWWW[[#This Row],[Access to safe drinking water for Village]],WWWW[[#This Row],[Access to safe drinking water for Camp]])</f>
        <v>1</v>
      </c>
      <c r="CR483" s="994">
        <f>WWWW[[#This Row],[%Equitable and continuous access to sufficient quantity of safe drinking water]]*WWWW[[#This Row],[Total PoP ]]</f>
        <v>629</v>
      </c>
      <c r="CS483" s="996">
        <f>IF((WWWW[[#This Row],['#_Constructed/Existing protected/fenced ponds]]*250)/WWWW[[#This Row],[Total PoP ]]&gt;1,1,(WWWW[[#This Row],['#_Constructed/Existing protected/fenced ponds]]*250)/WWWW[[#This Row],[Total PoP ]])</f>
        <v>0</v>
      </c>
      <c r="CT483" s="994">
        <f>WWWW[[#This Row],[% Access to unimproved water points]]*WWWW[[#This Row],[Total PoP ]]</f>
        <v>0</v>
      </c>
      <c r="CU48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8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629</v>
      </c>
      <c r="CW483" s="994">
        <f>WWWW[[#This Row],[HRP1]]/500</f>
        <v>1.258</v>
      </c>
      <c r="CX483" s="999">
        <f>1-WWWW[[#This Row],[% Equitable and continuous access to sufficient quantity of domestic water]]</f>
        <v>0</v>
      </c>
      <c r="CY483" s="994">
        <f>WWWW[[#This Row],[%equitable and continuous access to sufficient quantity of safe drinking and domestic water''s GAP]]*WWWW[[#This Row],[Total PoP ]]</f>
        <v>0</v>
      </c>
      <c r="CZ483" s="997">
        <f>IF(WWWW[[#This Row],[Total required water points]]-WWWW[[#This Row],['#Water points coverage]]&lt;0,0,WWWW[[#This Row],[Total required water points]]-WWWW[[#This Row],['#Water points coverage]])</f>
        <v>0</v>
      </c>
      <c r="DA483" s="997">
        <f>ROUND(IF(WWWW[[#This Row],[Total PoP ]]&lt;500,1,WWWW[[#This Row],[Total PoP ]]/500),0)</f>
        <v>1</v>
      </c>
      <c r="DB483" s="997">
        <f>(WWWW[[#This Row],['#_Constructed latrines_by_WASHAgencies]]+WWWW[[#This Row],['#_Non Cluster partner latrines]])-WWWW[[#This Row],['#_Non-functional latrines]]</f>
        <v>17</v>
      </c>
      <c r="DC483" s="631">
        <f>WWWW[[#This Row],[HRP2]]/WWWW[[#This Row],[Total PoP ]]</f>
        <v>0.54054054054054057</v>
      </c>
      <c r="DD48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340</v>
      </c>
      <c r="DE48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8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3" s="424">
        <f>IF(WWWW[[#This Row],['# of functional latrines in THF supported by WASH partners during the reporting period2]]="",0,WWWW[[#This Row],['# of functional latrines in THF supported by WASH partners during the reporting period2]]*50)</f>
        <v>0</v>
      </c>
      <c r="DH483" s="997">
        <f>ROUND(IF(WWWW[[#This Row],[Location Type 1]]="camp",WWWW[[#This Row],[Total PoP ]]/20,IF(WWWW[[#This Row],[Location Type 1]]="Temporary Location",WWWW[[#This Row],[Total PoP ]]/50,(WWWW[[#This Row],[Total PoP ]]/6))),0)</f>
        <v>31</v>
      </c>
      <c r="DI483" s="997">
        <f>IF(WWWW[[#This Row],[Total required Latrines]]-(WWWW[[#This Row],['#_Constructed latrines_by_WASHAgencies]]+WWWW[[#This Row],['#_Non Cluster partner latrines]])&lt;0,0,WWWW[[#This Row],[Total required Latrines]]-(WWWW[[#This Row],['#_Constructed latrines_by_WASHAgencies]]+WWWW[[#This Row],['#_Non Cluster partner latrines]]))</f>
        <v>14</v>
      </c>
      <c r="DJ483" s="999">
        <f>1-WWWW[[#This Row],[% people access to functioning Latrine]]</f>
        <v>0.45945945945945943</v>
      </c>
      <c r="DK483" s="998">
        <f>IF(OR(WWWW[[#This Row],['#_Non-functional latrines]]="",WWWW[[#This Row],['#_Non-functional latrines]]=0),0,WWWW[[#This Row],['#_Non-functional latrines]]/(WWWW[[#This Row],['#_Constructed latrines_by_WASHAgencies]]+WWWW[[#This Row],['#_Non Cluster partner latrines]]))</f>
        <v>0</v>
      </c>
      <c r="DL483" s="994">
        <f>IF(500*(WWWW[[#This Row],['#_male hygiene promoters]]+WWWW[[#This Row],['#_female hygiene promoters]])&gt;WWWW[[#This Row],[Total PoP ]],WWWW[[#This Row],[Total PoP ]],500*(WWWW[[#This Row],['#_male hygiene promoters]]+WWWW[[#This Row],['#_female hygiene promoters]]))</f>
        <v>0</v>
      </c>
      <c r="DM48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8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83" s="997">
        <f>IF(WWWW[[#This Row],['# People with access to soap]]&gt;WWWW[[#This Row],['# People with access to Sanity Pads]],WWWW[[#This Row],['# People with access to soap]],WWWW[[#This Row],['# People with access to Sanity Pads]])</f>
        <v>0</v>
      </c>
      <c r="DP483"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83" s="999">
        <f>IF(WWWW[[#This Row],[HRP3]]/WWWW[[#This Row],[Total PoP ]]&gt;1,1,WWWW[[#This Row],[HRP3]]/WWWW[[#This Row],[Total PoP ]])</f>
        <v>0</v>
      </c>
      <c r="DR483" s="998">
        <f>1-WWWW[[#This Row],[Hygiene Coverage%]]</f>
        <v>1</v>
      </c>
      <c r="DS483" s="996">
        <f>WWWW[[#This Row],['# people reached by regular dedicated hygiene promotion_5]]/WWWW[[#This Row],[Total PoP ]]</f>
        <v>0</v>
      </c>
      <c r="DT48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8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83" s="997">
        <f>WWWW[[#This Row],['#_Constructed/Existing hand washing stations]]-WWWW[[#This Row],['#_Non-Functional_hand_washing_stations]]</f>
        <v>3</v>
      </c>
      <c r="DW483" s="994">
        <f>IF(WWWW[[#This Row],['# Functional hand washing stations during reporting period]]*20&gt;WWWW[[#This Row],[Total HH]],WWWW[[#This Row],[Total HH]],WWWW[[#This Row],['# Functional hand washing stations during reporting period]]*20)</f>
        <v>60</v>
      </c>
      <c r="DX483" s="994">
        <f>IF(WWWW[[#This Row],[Is sufficient soap available for TLS? (Yes/No)]]="yes",WWWW[[#This Row],['#_Constructed/Existing hand washing stations at TLS/CFS/THF]],0)</f>
        <v>0</v>
      </c>
      <c r="DY483" s="428">
        <f>IF(WWWW[[#This Row],['# Functional hand washing stations during reporting period]]*100&gt;WWWW[[#This Row],[Total PoP ]],WWWW[[#This Row],[Total PoP ]],WWWW[[#This Row],['# Functional hand washing stations during reporting period]]*100)</f>
        <v>300</v>
      </c>
      <c r="DZ483" s="428" t="str">
        <f>IF(OR(WWWW[[#This Row],['#_students at TLS_CFS]]="",WWWW[[#This Row],['#_students at TLS_CFS]]=0),"No","Yes")</f>
        <v>No</v>
      </c>
      <c r="EA48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8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3" s="990" t="str">
        <f>VLOOKUP(WWWW[[#This Row],[Site Name]],SiteDB6[[Site Name]:[CCCM Management]],6,FALSE)</f>
        <v>Yes</v>
      </c>
      <c r="EF483" s="990" t="str">
        <f>VLOOKUP(WWWW[[#This Row],[Site Name]],SiteDB6[[Site Name]:[CCCM Focal Agency]],7,FALSE)</f>
        <v>KBC-MYT</v>
      </c>
      <c r="EG483" s="990" t="str">
        <f>VLOOKUP(WWWW[[#This Row],[Site Name]],SiteDB6[[Site Name]:[Location Type 1]],9,FALSE)</f>
        <v>Camp</v>
      </c>
      <c r="EH483" s="990" t="str">
        <f>VLOOKUP(WWWW[[#This Row],[Site Name]],SiteDB6[[Site Name]:[Type of Accommodation]],10,FALSE)</f>
        <v>Camp</v>
      </c>
      <c r="EI483" s="990" t="str">
        <f>VLOOKUP(WWWW[[#This Row],[Site Name]],SiteDB6[[Site Name]:[Ethnic or GCA/NGCA]],11,FALSE)</f>
        <v>GCA</v>
      </c>
      <c r="EJ483" s="990">
        <f>VLOOKUP(WWWW[[#This Row],[Site Name]],SiteDB6[[Site Name]:[Lat]],12,FALSE)</f>
        <v>25.440928</v>
      </c>
      <c r="EK483" s="990">
        <f>VLOOKUP(WWWW[[#This Row],[Site Name]],SiteDB6[[Site Name]:[Long]],13,FALSE)</f>
        <v>97.419403000000003</v>
      </c>
      <c r="EL483" s="990" t="str">
        <f>VLOOKUP(WWWW[[#This Row],[Site Name]],SiteDB6[[Site Name]:[Pcode]],3,FALSE)</f>
        <v>MMR001CMP009</v>
      </c>
      <c r="EM483" s="995" t="str">
        <f t="shared" si="9"/>
        <v>Covered</v>
      </c>
      <c r="EN483" s="995"/>
      <c r="EO483" s="990">
        <f>VLOOKUP(WWWW[[#This Row],[Site Name]],SiteDB6[[Site Name]:[Pop
(Kachin/Shan-CCCM as of July 2021)]],16,FALSE)</f>
        <v>104</v>
      </c>
      <c r="EP483" s="990">
        <f>VLOOKUP(WWWW[[#This Row],[Site Name]],SiteDB6[[Site Name]:[Pop
(Kachin/Shan-CCCM as of July 2021)]],17,FALSE)</f>
        <v>633</v>
      </c>
    </row>
    <row r="484" spans="1:146">
      <c r="A484" s="988" t="s">
        <v>2765</v>
      </c>
      <c r="B484" s="988" t="s">
        <v>309</v>
      </c>
      <c r="C484" s="989" t="s">
        <v>309</v>
      </c>
      <c r="D484" s="989"/>
      <c r="E484" s="989" t="s">
        <v>37</v>
      </c>
      <c r="F484" s="989" t="s">
        <v>195</v>
      </c>
      <c r="G484" s="591" t="str">
        <f>VLOOKUP(WWWW[[#This Row],[Site Name]],SiteDB6[[Site Name]:[Location Type]],8,FALSE)</f>
        <v>Camp</v>
      </c>
      <c r="H484" s="989" t="s">
        <v>3020</v>
      </c>
      <c r="I484" s="991">
        <v>181</v>
      </c>
      <c r="J484" s="991">
        <v>906</v>
      </c>
      <c r="K484" s="992"/>
      <c r="L484" s="993"/>
      <c r="M484" s="991"/>
      <c r="N484" s="991"/>
      <c r="O484" s="991"/>
      <c r="P484" s="991"/>
      <c r="Q484" s="994"/>
      <c r="R484" s="991"/>
      <c r="S484" s="991">
        <v>4</v>
      </c>
      <c r="T484" s="448"/>
      <c r="U484" s="991"/>
      <c r="V484" s="991"/>
      <c r="W484" s="991"/>
      <c r="X484" s="991"/>
      <c r="Y484" s="991"/>
      <c r="Z484" s="991"/>
      <c r="AA484" s="991"/>
      <c r="AB484" s="991"/>
      <c r="AC484" s="991"/>
      <c r="AD484" s="991"/>
      <c r="AE484" s="991"/>
      <c r="AF484" s="991"/>
      <c r="AG484" s="991"/>
      <c r="AH484" s="991"/>
      <c r="AI484" s="991"/>
      <c r="AJ484" s="991"/>
      <c r="AK484" s="991"/>
      <c r="AL484" s="991"/>
      <c r="AM484" s="991"/>
      <c r="AN484" s="991"/>
      <c r="AO484" s="448"/>
      <c r="AP484" s="995"/>
      <c r="AQ484" s="991"/>
      <c r="AR484" s="991"/>
      <c r="AS484" s="996"/>
      <c r="AT484" s="991"/>
      <c r="AU484" s="991"/>
      <c r="AV484" s="991"/>
      <c r="AW484" s="991"/>
      <c r="AX484" s="991"/>
      <c r="AY484" s="990" t="s">
        <v>140</v>
      </c>
      <c r="AZ484" s="995" t="s">
        <v>140</v>
      </c>
      <c r="BA484" s="991"/>
      <c r="BB484" s="991"/>
      <c r="BC484" s="991"/>
      <c r="BD484" s="448"/>
      <c r="BE484" s="448"/>
      <c r="BF484" s="990"/>
      <c r="BG484" s="991">
        <v>7</v>
      </c>
      <c r="BH484" s="991"/>
      <c r="BI484" s="991"/>
      <c r="BJ484" s="991">
        <v>7</v>
      </c>
      <c r="BK484" s="991"/>
      <c r="BL484" s="991"/>
      <c r="BM484" s="991"/>
      <c r="BN484" s="991"/>
      <c r="BO484" s="991"/>
      <c r="BP484" s="990"/>
      <c r="BQ484" s="997"/>
      <c r="BR484" s="996"/>
      <c r="BS484" s="990"/>
      <c r="BT484" s="423"/>
      <c r="BU484" s="423"/>
      <c r="BV484" s="425"/>
      <c r="BW484" s="423"/>
      <c r="BX484" s="448"/>
      <c r="BY484" s="448"/>
      <c r="BZ484" s="448"/>
      <c r="CA484" s="448"/>
      <c r="CB484" s="448"/>
      <c r="CC484" s="777"/>
      <c r="CD484" s="448"/>
      <c r="CE484" s="998" t="str">
        <f>IFERROR(WWWW[[#This Row],['#_Water sources passed]]/WWWW[[#This Row],['#_Water sources tested for fecal coliform ]],"no test")</f>
        <v>no test</v>
      </c>
      <c r="CF484" s="996" t="str">
        <f>IFERROR(WWWW[[#This Row],['#_Household passed]]/WWWW[[#This Row],['#_Household water samples tested for fecal coliform]],"no test")</f>
        <v>no test</v>
      </c>
      <c r="CG484" s="997" t="str">
        <f>IF(AND(WWWW[[#This Row],[% of water sources passed]]="no test",WWWW[[#This Row],[% Household passed]]="no test"),"No Test","Tested")</f>
        <v>No Test</v>
      </c>
      <c r="CH484" s="997">
        <f>WWWW[[#This Row],['#_Constructed/existing protected hand dug well]]-WWWW[[#This Row],['#_Non-functional protected hand dug well]]</f>
        <v>0</v>
      </c>
      <c r="CI484" s="997">
        <f>(WWWW[[#This Row],['#_Constructed/Existing tube wells/boreholes/handpumps_WASH_agency]]+WWWW[[#This Row],['#_Non-Cluster partner water tube-wells/boreholes/handpumps]])-WWWW[[#This Row],['#_Non-functional tube wells/boreholes/handpumps]]</f>
        <v>0</v>
      </c>
      <c r="CJ484" s="997">
        <f>WWWW[[#This Row],['#_Constructed/Existingwater storage tank with gravity fed reticulation system]]-WWWW[[#This Row],['#_Non-functional storage tank gravity fed reticulation system]]</f>
        <v>0</v>
      </c>
      <c r="CK484" s="997">
        <f>(WWWW[[#This Row],['#_Water_Liters_supplied_by_Water boating or water trucking]]/90)/15</f>
        <v>0</v>
      </c>
      <c r="CL484" s="997">
        <f>WWWW[[#This Row],['#_Water_Liters_from_Constructed/Existing water distribution system from river or natural spring]]/90/15</f>
        <v>0</v>
      </c>
      <c r="CM484" s="424">
        <f>IF(WWWW[[#This Row],['#_of water points in TLS/CFS]]*500&gt;WWWW[[#This Row],[Total PoP ]],WWWW[[#This Row],[Total PoP ]],WWWW[[#This Row],['#_of water points in TLS/CFS]]*500)</f>
        <v>0</v>
      </c>
      <c r="CN484" s="424">
        <f>IF(WWWW[[#This Row],['#_of water points in THF]]*500&gt;WWWW[[#This Row],[Total PoP ]],WWWW[[#This Row],[Total PoP ]],WWWW[[#This Row],['#_of water points in THF]]*500)</f>
        <v>0</v>
      </c>
      <c r="CO48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8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84" s="996">
        <f>IF(WWWW[[#This Row],[Location Type 1]]="Village",WWWW[[#This Row],[Access to safe drinking water for Village]],WWWW[[#This Row],[Access to safe drinking water for Camp]])</f>
        <v>0</v>
      </c>
      <c r="CR484" s="994">
        <f>WWWW[[#This Row],[%Equitable and continuous access to sufficient quantity of safe drinking water]]*WWWW[[#This Row],[Total PoP ]]</f>
        <v>0</v>
      </c>
      <c r="CS484" s="996">
        <f>IF((WWWW[[#This Row],['#_Constructed/Existing protected/fenced ponds]]*250)/WWWW[[#This Row],[Total PoP ]]&gt;1,1,(WWWW[[#This Row],['#_Constructed/Existing protected/fenced ponds]]*250)/WWWW[[#This Row],[Total PoP ]])</f>
        <v>0</v>
      </c>
      <c r="CT484" s="994">
        <f>WWWW[[#This Row],[% Access to unimproved water points]]*WWWW[[#This Row],[Total PoP ]]</f>
        <v>0</v>
      </c>
      <c r="CU48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8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84" s="994">
        <f>WWWW[[#This Row],[HRP1]]/500</f>
        <v>0</v>
      </c>
      <c r="CX484" s="999">
        <f>1-WWWW[[#This Row],[% Equitable and continuous access to sufficient quantity of domestic water]]</f>
        <v>1</v>
      </c>
      <c r="CY484" s="994">
        <f>WWWW[[#This Row],[%equitable and continuous access to sufficient quantity of safe drinking and domestic water''s GAP]]*WWWW[[#This Row],[Total PoP ]]</f>
        <v>906</v>
      </c>
      <c r="CZ484" s="997">
        <f>IF(WWWW[[#This Row],[Total required water points]]-WWWW[[#This Row],['#Water points coverage]]&lt;0,0,WWWW[[#This Row],[Total required water points]]-WWWW[[#This Row],['#Water points coverage]])</f>
        <v>2</v>
      </c>
      <c r="DA484" s="997">
        <f>ROUND(IF(WWWW[[#This Row],[Total PoP ]]&lt;500,1,WWWW[[#This Row],[Total PoP ]]/500),0)</f>
        <v>2</v>
      </c>
      <c r="DB484" s="997">
        <f>(WWWW[[#This Row],['#_Constructed latrines_by_WASHAgencies]]+WWWW[[#This Row],['#_Non Cluster partner latrines]])-WWWW[[#This Row],['#_Non-functional latrines]]</f>
        <v>0</v>
      </c>
      <c r="DC484" s="631">
        <f>WWWW[[#This Row],[HRP2]]/WWWW[[#This Row],[Total PoP ]]</f>
        <v>0</v>
      </c>
      <c r="DD48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8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8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4" s="424">
        <f>IF(WWWW[[#This Row],['# of functional latrines in THF supported by WASH partners during the reporting period2]]="",0,WWWW[[#This Row],['# of functional latrines in THF supported by WASH partners during the reporting period2]]*50)</f>
        <v>0</v>
      </c>
      <c r="DH484" s="997">
        <f>ROUND(IF(WWWW[[#This Row],[Location Type 1]]="camp",WWWW[[#This Row],[Total PoP ]]/20,IF(WWWW[[#This Row],[Location Type 1]]="Temporary Location",WWWW[[#This Row],[Total PoP ]]/50,(WWWW[[#This Row],[Total PoP ]]/6))),0)</f>
        <v>45</v>
      </c>
      <c r="DI484" s="997">
        <f>IF(WWWW[[#This Row],[Total required Latrines]]-(WWWW[[#This Row],['#_Constructed latrines_by_WASHAgencies]]+WWWW[[#This Row],['#_Non Cluster partner latrines]])&lt;0,0,WWWW[[#This Row],[Total required Latrines]]-(WWWW[[#This Row],['#_Constructed latrines_by_WASHAgencies]]+WWWW[[#This Row],['#_Non Cluster partner latrines]]))</f>
        <v>45</v>
      </c>
      <c r="DJ484" s="999">
        <f>1-WWWW[[#This Row],[% people access to functioning Latrine]]</f>
        <v>1</v>
      </c>
      <c r="DK484" s="998">
        <f>IF(OR(WWWW[[#This Row],['#_Non-functional latrines]]="",WWWW[[#This Row],['#_Non-functional latrines]]=0),0,WWWW[[#This Row],['#_Non-functional latrines]]/(WWWW[[#This Row],['#_Constructed latrines_by_WASHAgencies]]+WWWW[[#This Row],['#_Non Cluster partner latrines]]))</f>
        <v>0</v>
      </c>
      <c r="DL484" s="994">
        <f>IF(500*(WWWW[[#This Row],['#_male hygiene promoters]]+WWWW[[#This Row],['#_female hygiene promoters]])&gt;WWWW[[#This Row],[Total PoP ]],WWWW[[#This Row],[Total PoP ]],500*(WWWW[[#This Row],['#_male hygiene promoters]]+WWWW[[#This Row],['#_female hygiene promoters]]))</f>
        <v>0</v>
      </c>
      <c r="DM48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8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84" s="997">
        <f>IF(WWWW[[#This Row],['# People with access to soap]]&gt;WWWW[[#This Row],['# People with access to Sanity Pads]],WWWW[[#This Row],['# People with access to soap]],WWWW[[#This Row],['# People with access to Sanity Pads]])</f>
        <v>0</v>
      </c>
      <c r="DP484"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84" s="999">
        <f>IF(WWWW[[#This Row],[HRP3]]/WWWW[[#This Row],[Total PoP ]]&gt;1,1,WWWW[[#This Row],[HRP3]]/WWWW[[#This Row],[Total PoP ]])</f>
        <v>0</v>
      </c>
      <c r="DR484" s="998">
        <f>1-WWWW[[#This Row],[Hygiene Coverage%]]</f>
        <v>1</v>
      </c>
      <c r="DS484" s="996">
        <f>WWWW[[#This Row],['# people reached by regular dedicated hygiene promotion_5]]/WWWW[[#This Row],[Total PoP ]]</f>
        <v>0</v>
      </c>
      <c r="DT48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8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84" s="997">
        <f>WWWW[[#This Row],['#_Constructed/Existing hand washing stations]]-WWWW[[#This Row],['#_Non-Functional_hand_washing_stations]]</f>
        <v>7</v>
      </c>
      <c r="DW484" s="994">
        <f>IF(WWWW[[#This Row],['# Functional hand washing stations during reporting period]]*20&gt;WWWW[[#This Row],[Total HH]],WWWW[[#This Row],[Total HH]],WWWW[[#This Row],['# Functional hand washing stations during reporting period]]*20)</f>
        <v>140</v>
      </c>
      <c r="DX484" s="994">
        <f>IF(WWWW[[#This Row],[Is sufficient soap available for TLS? (Yes/No)]]="yes",WWWW[[#This Row],['#_Constructed/Existing hand washing stations at TLS/CFS/THF]],0)</f>
        <v>0</v>
      </c>
      <c r="DY484" s="428">
        <f>IF(WWWW[[#This Row],['# Functional hand washing stations during reporting period]]*100&gt;WWWW[[#This Row],[Total PoP ]],WWWW[[#This Row],[Total PoP ]],WWWW[[#This Row],['# Functional hand washing stations during reporting period]]*100)</f>
        <v>700</v>
      </c>
      <c r="DZ484" s="428" t="str">
        <f>IF(OR(WWWW[[#This Row],['#_students at TLS_CFS]]="",WWWW[[#This Row],['#_students at TLS_CFS]]=0),"No","Yes")</f>
        <v>No</v>
      </c>
      <c r="EA48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8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4" s="990">
        <f>VLOOKUP(WWWW[[#This Row],[Site Name]],SiteDB6[[Site Name]:[CCCM Management]],6,FALSE)</f>
        <v>0</v>
      </c>
      <c r="EF484" s="990" t="str">
        <f>VLOOKUP(WWWW[[#This Row],[Site Name]],SiteDB6[[Site Name]:[CCCM Focal Agency]],7,FALSE)</f>
        <v>uncovered</v>
      </c>
      <c r="EG484" s="990" t="str">
        <f>VLOOKUP(WWWW[[#This Row],[Site Name]],SiteDB6[[Site Name]:[Location Type 1]],9,FALSE)</f>
        <v>Camp</v>
      </c>
      <c r="EH484" s="990" t="str">
        <f>VLOOKUP(WWWW[[#This Row],[Site Name]],SiteDB6[[Site Name]:[Type of Accommodation]],10,FALSE)</f>
        <v>IDPs in host</v>
      </c>
      <c r="EI484" s="990" t="str">
        <f>VLOOKUP(WWWW[[#This Row],[Site Name]],SiteDB6[[Site Name]:[Ethnic or GCA/NGCA]],11,FALSE)</f>
        <v>GCA</v>
      </c>
      <c r="EJ484" s="990">
        <f>VLOOKUP(WWWW[[#This Row],[Site Name]],SiteDB6[[Site Name]:[Lat]],12,FALSE)</f>
        <v>24.263786</v>
      </c>
      <c r="EK484" s="990">
        <f>VLOOKUP(WWWW[[#This Row],[Site Name]],SiteDB6[[Site Name]:[Long]],13,FALSE)</f>
        <v>97.228835000000004</v>
      </c>
      <c r="EL484" s="990" t="str">
        <f>VLOOKUP(WWWW[[#This Row],[Site Name]],SiteDB6[[Site Name]:[Pcode]],3,FALSE)</f>
        <v>MMR001CMP163</v>
      </c>
      <c r="EM484" s="995" t="str">
        <f t="shared" si="9"/>
        <v>Notcovered</v>
      </c>
      <c r="EN484" s="995"/>
      <c r="EO484" s="990">
        <f>VLOOKUP(WWWW[[#This Row],[Site Name]],SiteDB6[[Site Name]:[Pop
(Kachin/Shan-CCCM as of July 2021)]],16,FALSE)</f>
        <v>65</v>
      </c>
      <c r="EP484" s="990">
        <f>VLOOKUP(WWWW[[#This Row],[Site Name]],SiteDB6[[Site Name]:[Pop
(Kachin/Shan-CCCM as of July 2021)]],17,FALSE)</f>
        <v>337</v>
      </c>
    </row>
    <row r="485" spans="1:146">
      <c r="A485" s="988" t="s">
        <v>2765</v>
      </c>
      <c r="B485" s="988" t="s">
        <v>242</v>
      </c>
      <c r="C485" s="989" t="s">
        <v>242</v>
      </c>
      <c r="D485" s="989" t="s">
        <v>299</v>
      </c>
      <c r="E485" s="989" t="s">
        <v>37</v>
      </c>
      <c r="F485" s="989" t="s">
        <v>148</v>
      </c>
      <c r="G485" s="591" t="str">
        <f>VLOOKUP(WWWW[[#This Row],[Site Name]],SiteDB6[[Site Name]:[Location Type]],8,FALSE)</f>
        <v>Camp</v>
      </c>
      <c r="H485" s="989" t="s">
        <v>256</v>
      </c>
      <c r="I485" s="448">
        <v>10</v>
      </c>
      <c r="J485" s="448">
        <v>56</v>
      </c>
      <c r="K485" s="588">
        <v>44562</v>
      </c>
      <c r="L485" s="589">
        <v>44926</v>
      </c>
      <c r="M485" s="448"/>
      <c r="N485" s="991">
        <v>1</v>
      </c>
      <c r="O485" s="991"/>
      <c r="P485" s="991"/>
      <c r="Q485" s="994" t="s">
        <v>41</v>
      </c>
      <c r="R485" s="991">
        <v>4</v>
      </c>
      <c r="S485" s="991">
        <v>3</v>
      </c>
      <c r="T485" s="448">
        <v>1</v>
      </c>
      <c r="U485" s="991"/>
      <c r="V485" s="991"/>
      <c r="W485" s="991">
        <v>1</v>
      </c>
      <c r="X485" s="991"/>
      <c r="Y485" s="991"/>
      <c r="Z485" s="991"/>
      <c r="AA485" s="991"/>
      <c r="AB485" s="991"/>
      <c r="AC485" s="991"/>
      <c r="AD485" s="991"/>
      <c r="AE485" s="991">
        <v>1</v>
      </c>
      <c r="AF485" s="448"/>
      <c r="AG485" s="448">
        <v>1</v>
      </c>
      <c r="AH485" s="448">
        <v>1</v>
      </c>
      <c r="AI485" s="448"/>
      <c r="AJ485" s="448"/>
      <c r="AK485" s="991"/>
      <c r="AL485" s="991"/>
      <c r="AM485" s="991"/>
      <c r="AN485" s="991"/>
      <c r="AO485" s="448"/>
      <c r="AP485" s="590" t="s">
        <v>3057</v>
      </c>
      <c r="AQ485" s="991">
        <v>2</v>
      </c>
      <c r="AR485" s="991">
        <v>2</v>
      </c>
      <c r="AS485" s="996"/>
      <c r="AT485" s="991"/>
      <c r="AU485" s="991"/>
      <c r="AV485" s="991"/>
      <c r="AW485" s="991"/>
      <c r="AX485" s="991"/>
      <c r="AY485" s="990" t="s">
        <v>41</v>
      </c>
      <c r="AZ485" s="995" t="s">
        <v>137</v>
      </c>
      <c r="BA485" s="991"/>
      <c r="BB485" s="991"/>
      <c r="BC485" s="991"/>
      <c r="BD485" s="448"/>
      <c r="BE485" s="448"/>
      <c r="BF485" s="990"/>
      <c r="BG485" s="991">
        <v>3</v>
      </c>
      <c r="BH485" s="991"/>
      <c r="BI485" s="991"/>
      <c r="BJ485" s="991">
        <v>2</v>
      </c>
      <c r="BK485" s="991"/>
      <c r="BL485" s="991"/>
      <c r="BM485" s="991">
        <v>1</v>
      </c>
      <c r="BN485" s="991">
        <v>10</v>
      </c>
      <c r="BO485" s="991"/>
      <c r="BP485" s="990"/>
      <c r="BQ485" s="997"/>
      <c r="BR485" s="423">
        <v>0.1</v>
      </c>
      <c r="BS485" s="425" t="s">
        <v>3173</v>
      </c>
      <c r="BT485" s="423">
        <v>0.75</v>
      </c>
      <c r="BU485" s="423">
        <v>0.99</v>
      </c>
      <c r="BV485" s="425"/>
      <c r="BW485" s="423">
        <v>0.6</v>
      </c>
      <c r="BX485" s="448"/>
      <c r="BY485" s="448"/>
      <c r="BZ485" s="448"/>
      <c r="CA485" s="448"/>
      <c r="CB485" s="448"/>
      <c r="CC485" s="777"/>
      <c r="CD485" s="448"/>
      <c r="CE485" s="998" t="str">
        <f>IFERROR(WWWW[[#This Row],['#_Water sources passed]]/WWWW[[#This Row],['#_Water sources tested for fecal coliform ]],"no test")</f>
        <v>no test</v>
      </c>
      <c r="CF485" s="996" t="str">
        <f>IFERROR(WWWW[[#This Row],['#_Household passed]]/WWWW[[#This Row],['#_Household water samples tested for fecal coliform]],"no test")</f>
        <v>no test</v>
      </c>
      <c r="CG485" s="997" t="str">
        <f>IF(AND(WWWW[[#This Row],[% of water sources passed]]="no test",WWWW[[#This Row],[% Household passed]]="no test"),"No Test","Tested")</f>
        <v>No Test</v>
      </c>
      <c r="CH485" s="997">
        <f>WWWW[[#This Row],['#_Constructed/existing protected hand dug well]]-WWWW[[#This Row],['#_Non-functional protected hand dug well]]</f>
        <v>1</v>
      </c>
      <c r="CI485" s="997">
        <f>(WWWW[[#This Row],['#_Constructed/Existing tube wells/boreholes/handpumps_WASH_agency]]+WWWW[[#This Row],['#_Non-Cluster partner water tube-wells/boreholes/handpumps]])-WWWW[[#This Row],['#_Non-functional tube wells/boreholes/handpumps]]</f>
        <v>1</v>
      </c>
      <c r="CJ485" s="997">
        <f>WWWW[[#This Row],['#_Constructed/Existingwater storage tank with gravity fed reticulation system]]-WWWW[[#This Row],['#_Non-functional storage tank gravity fed reticulation system]]</f>
        <v>0</v>
      </c>
      <c r="CK485" s="997">
        <f>(WWWW[[#This Row],['#_Water_Liters_supplied_by_Water boating or water trucking]]/90)/15</f>
        <v>0</v>
      </c>
      <c r="CL485" s="997">
        <f>WWWW[[#This Row],['#_Water_Liters_from_Constructed/Existing water distribution system from river or natural spring]]/90/15</f>
        <v>0</v>
      </c>
      <c r="CM485" s="424">
        <f>IF(WWWW[[#This Row],['#_of water points in TLS/CFS]]*500&gt;WWWW[[#This Row],[Total PoP ]],WWWW[[#This Row],[Total PoP ]],WWWW[[#This Row],['#_of water points in TLS/CFS]]*500)</f>
        <v>0</v>
      </c>
      <c r="CN485" s="424">
        <f>IF(WWWW[[#This Row],['#_of water points in THF]]*500&gt;WWWW[[#This Row],[Total PoP ]],WWWW[[#This Row],[Total PoP ]],WWWW[[#This Row],['#_of water points in THF]]*500)</f>
        <v>0</v>
      </c>
      <c r="CO48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8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85" s="996">
        <f>IF(WWWW[[#This Row],[Location Type 1]]="Village",WWWW[[#This Row],[Access to safe drinking water for Village]],WWWW[[#This Row],[Access to safe drinking water for Camp]])</f>
        <v>1</v>
      </c>
      <c r="CR485" s="994">
        <f>WWWW[[#This Row],[%Equitable and continuous access to sufficient quantity of safe drinking water]]*WWWW[[#This Row],[Total PoP ]]</f>
        <v>56</v>
      </c>
      <c r="CS485" s="996">
        <f>IF((WWWW[[#This Row],['#_Constructed/Existing protected/fenced ponds]]*250)/WWWW[[#This Row],[Total PoP ]]&gt;1,1,(WWWW[[#This Row],['#_Constructed/Existing protected/fenced ponds]]*250)/WWWW[[#This Row],[Total PoP ]])</f>
        <v>1</v>
      </c>
      <c r="CT485" s="994">
        <f>WWWW[[#This Row],[% Access to unimproved water points]]*WWWW[[#This Row],[Total PoP ]]</f>
        <v>56</v>
      </c>
      <c r="CU48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8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v>
      </c>
      <c r="CW485" s="994">
        <f>WWWW[[#This Row],[HRP1]]/500</f>
        <v>0.112</v>
      </c>
      <c r="CX485" s="999">
        <f>1-WWWW[[#This Row],[% Equitable and continuous access to sufficient quantity of domestic water]]</f>
        <v>0</v>
      </c>
      <c r="CY485" s="994">
        <f>WWWW[[#This Row],[%equitable and continuous access to sufficient quantity of safe drinking and domestic water''s GAP]]*WWWW[[#This Row],[Total PoP ]]</f>
        <v>0</v>
      </c>
      <c r="CZ485" s="997">
        <f>IF(WWWW[[#This Row],[Total required water points]]-WWWW[[#This Row],['#Water points coverage]]&lt;0,0,WWWW[[#This Row],[Total required water points]]-WWWW[[#This Row],['#Water points coverage]])</f>
        <v>0.88800000000000001</v>
      </c>
      <c r="DA485" s="997">
        <f>ROUND(IF(WWWW[[#This Row],[Total PoP ]]&lt;500,1,WWWW[[#This Row],[Total PoP ]]/500),0)</f>
        <v>1</v>
      </c>
      <c r="DB485" s="997">
        <f>(WWWW[[#This Row],['#_Constructed latrines_by_WASHAgencies]]+WWWW[[#This Row],['#_Non Cluster partner latrines]])-WWWW[[#This Row],['#_Non-functional latrines]]</f>
        <v>4</v>
      </c>
      <c r="DC485" s="631">
        <f>WWWW[[#This Row],[HRP2]]/WWWW[[#This Row],[Total PoP ]]</f>
        <v>1</v>
      </c>
      <c r="DD48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v>
      </c>
      <c r="DE48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8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5" s="424">
        <f>IF(WWWW[[#This Row],['# of functional latrines in THF supported by WASH partners during the reporting period2]]="",0,WWWW[[#This Row],['# of functional latrines in THF supported by WASH partners during the reporting period2]]*50)</f>
        <v>0</v>
      </c>
      <c r="DH485" s="997">
        <f>ROUND(IF(WWWW[[#This Row],[Location Type 1]]="camp",WWWW[[#This Row],[Total PoP ]]/20,IF(WWWW[[#This Row],[Location Type 1]]="Temporary Location",WWWW[[#This Row],[Total PoP ]]/50,(WWWW[[#This Row],[Total PoP ]]/6))),0)</f>
        <v>3</v>
      </c>
      <c r="DI485" s="997">
        <f>IF(WWWW[[#This Row],[Total required Latrines]]-(WWWW[[#This Row],['#_Constructed latrines_by_WASHAgencies]]+WWWW[[#This Row],['#_Non Cluster partner latrines]])&lt;0,0,WWWW[[#This Row],[Total required Latrines]]-(WWWW[[#This Row],['#_Constructed latrines_by_WASHAgencies]]+WWWW[[#This Row],['#_Non Cluster partner latrines]]))</f>
        <v>0</v>
      </c>
      <c r="DJ485" s="999">
        <f>1-WWWW[[#This Row],[% people access to functioning Latrine]]</f>
        <v>0</v>
      </c>
      <c r="DK485" s="998">
        <f>IF(OR(WWWW[[#This Row],['#_Non-functional latrines]]="",WWWW[[#This Row],['#_Non-functional latrines]]=0),0,WWWW[[#This Row],['#_Non-functional latrines]]/(WWWW[[#This Row],['#_Constructed latrines_by_WASHAgencies]]+WWWW[[#This Row],['#_Non Cluster partner latrines]]))</f>
        <v>0</v>
      </c>
      <c r="DL485" s="994">
        <f>IF(500*(WWWW[[#This Row],['#_male hygiene promoters]]+WWWW[[#This Row],['#_female hygiene promoters]])&gt;WWWW[[#This Row],[Total PoP ]],WWWW[[#This Row],[Total PoP ]],500*(WWWW[[#This Row],['#_male hygiene promoters]]+WWWW[[#This Row],['#_female hygiene promoters]]))</f>
        <v>56</v>
      </c>
      <c r="DM48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v>
      </c>
      <c r="DN48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85" s="997">
        <f>IF(WWWW[[#This Row],['# People with access to soap]]&gt;WWWW[[#This Row],['# People with access to Sanity Pads]],WWWW[[#This Row],['# People with access to soap]],WWWW[[#This Row],['# People with access to Sanity Pads]])</f>
        <v>56</v>
      </c>
      <c r="DP485" s="997">
        <f>IF(WWWW[[#This Row],['# people reached by regular dedicated hygiene promotion_5]]&gt;WWWW[[#This Row],['# People received regular supply of hygiene items_6]],WWWW[[#This Row],['# people reached by regular dedicated hygiene promotion_5]],WWWW[[#This Row],['# People received regular supply of hygiene items_6]])</f>
        <v>56</v>
      </c>
      <c r="DQ485" s="999">
        <f>IF(WWWW[[#This Row],[HRP3]]/WWWW[[#This Row],[Total PoP ]]&gt;1,1,WWWW[[#This Row],[HRP3]]/WWWW[[#This Row],[Total PoP ]])</f>
        <v>1</v>
      </c>
      <c r="DR485" s="998">
        <f>1-WWWW[[#This Row],[Hygiene Coverage%]]</f>
        <v>0</v>
      </c>
      <c r="DS485" s="996">
        <f>WWWW[[#This Row],['# people reached by regular dedicated hygiene promotion_5]]/WWWW[[#This Row],[Total PoP ]]</f>
        <v>1</v>
      </c>
      <c r="DT48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8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85" s="997">
        <f>WWWW[[#This Row],['#_Constructed/Existing hand washing stations]]-WWWW[[#This Row],['#_Non-Functional_hand_washing_stations]]</f>
        <v>3</v>
      </c>
      <c r="DW485" s="994">
        <f>IF(WWWW[[#This Row],['# Functional hand washing stations during reporting period]]*20&gt;WWWW[[#This Row],[Total HH]],WWWW[[#This Row],[Total HH]],WWWW[[#This Row],['# Functional hand washing stations during reporting period]]*20)</f>
        <v>10</v>
      </c>
      <c r="DX485" s="994">
        <f>IF(WWWW[[#This Row],[Is sufficient soap available for TLS? (Yes/No)]]="yes",WWWW[[#This Row],['#_Constructed/Existing hand washing stations at TLS/CFS/THF]],0)</f>
        <v>0</v>
      </c>
      <c r="DY485" s="428">
        <f>IF(WWWW[[#This Row],['# Functional hand washing stations during reporting period]]*100&gt;WWWW[[#This Row],[Total PoP ]],WWWW[[#This Row],[Total PoP ]],WWWW[[#This Row],['# Functional hand washing stations during reporting period]]*100)</f>
        <v>56</v>
      </c>
      <c r="DZ485" s="428" t="str">
        <f>IF(OR(WWWW[[#This Row],['#_students at TLS_CFS]]="",WWWW[[#This Row],['#_students at TLS_CFS]]=0),"No","Yes")</f>
        <v>No</v>
      </c>
      <c r="EA48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8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5" s="990" t="str">
        <f>VLOOKUP(WWWW[[#This Row],[Site Name]],SiteDB6[[Site Name]:[CCCM Management]],6,FALSE)</f>
        <v>Yes</v>
      </c>
      <c r="EF485" s="990" t="str">
        <f>VLOOKUP(WWWW[[#This Row],[Site Name]],SiteDB6[[Site Name]:[CCCM Focal Agency]],7,FALSE)</f>
        <v>Shalom</v>
      </c>
      <c r="EG485" s="990" t="str">
        <f>VLOOKUP(WWWW[[#This Row],[Site Name]],SiteDB6[[Site Name]:[Location Type 1]],9,FALSE)</f>
        <v>Camp</v>
      </c>
      <c r="EH485" s="990" t="str">
        <f>VLOOKUP(WWWW[[#This Row],[Site Name]],SiteDB6[[Site Name]:[Type of Accommodation]],10,FALSE)</f>
        <v>Camp</v>
      </c>
      <c r="EI485" s="990" t="str">
        <f>VLOOKUP(WWWW[[#This Row],[Site Name]],SiteDB6[[Site Name]:[Ethnic or GCA/NGCA]],11,FALSE)</f>
        <v>GCA</v>
      </c>
      <c r="EJ485" s="990">
        <f>VLOOKUP(WWWW[[#This Row],[Site Name]],SiteDB6[[Site Name]:[Lat]],12,FALSE)</f>
        <v>25.61842</v>
      </c>
      <c r="EK485" s="990">
        <f>VLOOKUP(WWWW[[#This Row],[Site Name]],SiteDB6[[Site Name]:[Long]],13,FALSE)</f>
        <v>96.316400000000002</v>
      </c>
      <c r="EL485" s="990" t="str">
        <f>VLOOKUP(WWWW[[#This Row],[Site Name]],SiteDB6[[Site Name]:[Pcode]],3,FALSE)</f>
        <v>MMR001CMP167</v>
      </c>
      <c r="EM485" s="995" t="str">
        <f t="shared" si="9"/>
        <v>Covered</v>
      </c>
      <c r="EN485" s="995"/>
      <c r="EO485" s="990">
        <f>VLOOKUP(WWWW[[#This Row],[Site Name]],SiteDB6[[Site Name]:[Pop
(Kachin/Shan-CCCM as of July 2021)]],16,FALSE)</f>
        <v>10</v>
      </c>
      <c r="EP485" s="990">
        <f>VLOOKUP(WWWW[[#This Row],[Site Name]],SiteDB6[[Site Name]:[Pop
(Kachin/Shan-CCCM as of July 2021)]],17,FALSE)</f>
        <v>54</v>
      </c>
    </row>
    <row r="486" spans="1:146">
      <c r="A486" s="988" t="s">
        <v>2765</v>
      </c>
      <c r="B486" s="988" t="s">
        <v>309</v>
      </c>
      <c r="C486" s="989" t="s">
        <v>309</v>
      </c>
      <c r="D486" s="989"/>
      <c r="E486" s="989" t="s">
        <v>37</v>
      </c>
      <c r="F486" s="989" t="s">
        <v>148</v>
      </c>
      <c r="G486" s="591" t="str">
        <f>VLOOKUP(WWWW[[#This Row],[Site Name]],SiteDB6[[Site Name]:[Location Type]],8,FALSE)</f>
        <v>Camp</v>
      </c>
      <c r="H486" s="989" t="s">
        <v>3021</v>
      </c>
      <c r="I486" s="991">
        <v>95</v>
      </c>
      <c r="J486" s="991">
        <v>472</v>
      </c>
      <c r="K486" s="992"/>
      <c r="L486" s="993"/>
      <c r="M486" s="991"/>
      <c r="N486" s="991"/>
      <c r="O486" s="991"/>
      <c r="P486" s="991"/>
      <c r="Q486" s="994"/>
      <c r="R486" s="991"/>
      <c r="S486" s="991"/>
      <c r="T486" s="448"/>
      <c r="U486" s="991"/>
      <c r="V486" s="991"/>
      <c r="W486" s="991"/>
      <c r="X486" s="991"/>
      <c r="Y486" s="991"/>
      <c r="Z486" s="991"/>
      <c r="AA486" s="991"/>
      <c r="AB486" s="991"/>
      <c r="AC486" s="991"/>
      <c r="AD486" s="991"/>
      <c r="AE486" s="991"/>
      <c r="AF486" s="991"/>
      <c r="AG486" s="991"/>
      <c r="AH486" s="991"/>
      <c r="AI486" s="991"/>
      <c r="AJ486" s="991"/>
      <c r="AK486" s="991"/>
      <c r="AL486" s="991"/>
      <c r="AM486" s="991"/>
      <c r="AN486" s="991"/>
      <c r="AO486" s="448"/>
      <c r="AP486" s="995"/>
      <c r="AQ486" s="991"/>
      <c r="AR486" s="991"/>
      <c r="AS486" s="996"/>
      <c r="AT486" s="991"/>
      <c r="AU486" s="991"/>
      <c r="AV486" s="991"/>
      <c r="AW486" s="991"/>
      <c r="AX486" s="991"/>
      <c r="AY486" s="990" t="s">
        <v>140</v>
      </c>
      <c r="AZ486" s="995" t="s">
        <v>140</v>
      </c>
      <c r="BA486" s="991"/>
      <c r="BB486" s="991"/>
      <c r="BC486" s="991"/>
      <c r="BD486" s="448"/>
      <c r="BE486" s="448"/>
      <c r="BF486" s="990"/>
      <c r="BG486" s="991">
        <v>8</v>
      </c>
      <c r="BH486" s="991"/>
      <c r="BI486" s="991"/>
      <c r="BJ486" s="991">
        <v>3</v>
      </c>
      <c r="BK486" s="991"/>
      <c r="BL486" s="991"/>
      <c r="BM486" s="991"/>
      <c r="BN486" s="991"/>
      <c r="BO486" s="991"/>
      <c r="BP486" s="990"/>
      <c r="BQ486" s="997"/>
      <c r="BR486" s="996"/>
      <c r="BS486" s="990"/>
      <c r="BT486" s="423"/>
      <c r="BU486" s="423"/>
      <c r="BV486" s="425"/>
      <c r="BW486" s="423"/>
      <c r="BX486" s="448"/>
      <c r="BY486" s="448"/>
      <c r="BZ486" s="448"/>
      <c r="CA486" s="448"/>
      <c r="CB486" s="448"/>
      <c r="CC486" s="777"/>
      <c r="CD486" s="448"/>
      <c r="CE486" s="998" t="str">
        <f>IFERROR(WWWW[[#This Row],['#_Water sources passed]]/WWWW[[#This Row],['#_Water sources tested for fecal coliform ]],"no test")</f>
        <v>no test</v>
      </c>
      <c r="CF486" s="996" t="str">
        <f>IFERROR(WWWW[[#This Row],['#_Household passed]]/WWWW[[#This Row],['#_Household water samples tested for fecal coliform]],"no test")</f>
        <v>no test</v>
      </c>
      <c r="CG486" s="997" t="str">
        <f>IF(AND(WWWW[[#This Row],[% of water sources passed]]="no test",WWWW[[#This Row],[% Household passed]]="no test"),"No Test","Tested")</f>
        <v>No Test</v>
      </c>
      <c r="CH486" s="997">
        <f>WWWW[[#This Row],['#_Constructed/existing protected hand dug well]]-WWWW[[#This Row],['#_Non-functional protected hand dug well]]</f>
        <v>0</v>
      </c>
      <c r="CI486" s="997">
        <f>(WWWW[[#This Row],['#_Constructed/Existing tube wells/boreholes/handpumps_WASH_agency]]+WWWW[[#This Row],['#_Non-Cluster partner water tube-wells/boreholes/handpumps]])-WWWW[[#This Row],['#_Non-functional tube wells/boreholes/handpumps]]</f>
        <v>0</v>
      </c>
      <c r="CJ486" s="997">
        <f>WWWW[[#This Row],['#_Constructed/Existingwater storage tank with gravity fed reticulation system]]-WWWW[[#This Row],['#_Non-functional storage tank gravity fed reticulation system]]</f>
        <v>0</v>
      </c>
      <c r="CK486" s="997">
        <f>(WWWW[[#This Row],['#_Water_Liters_supplied_by_Water boating or water trucking]]/90)/15</f>
        <v>0</v>
      </c>
      <c r="CL486" s="997">
        <f>WWWW[[#This Row],['#_Water_Liters_from_Constructed/Existing water distribution system from river or natural spring]]/90/15</f>
        <v>0</v>
      </c>
      <c r="CM486" s="424">
        <f>IF(WWWW[[#This Row],['#_of water points in TLS/CFS]]*500&gt;WWWW[[#This Row],[Total PoP ]],WWWW[[#This Row],[Total PoP ]],WWWW[[#This Row],['#_of water points in TLS/CFS]]*500)</f>
        <v>0</v>
      </c>
      <c r="CN486" s="424">
        <f>IF(WWWW[[#This Row],['#_of water points in THF]]*500&gt;WWWW[[#This Row],[Total PoP ]],WWWW[[#This Row],[Total PoP ]],WWWW[[#This Row],['#_of water points in THF]]*500)</f>
        <v>0</v>
      </c>
      <c r="CO48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8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86" s="996">
        <f>IF(WWWW[[#This Row],[Location Type 1]]="Village",WWWW[[#This Row],[Access to safe drinking water for Village]],WWWW[[#This Row],[Access to safe drinking water for Camp]])</f>
        <v>0</v>
      </c>
      <c r="CR486" s="994">
        <f>WWWW[[#This Row],[%Equitable and continuous access to sufficient quantity of safe drinking water]]*WWWW[[#This Row],[Total PoP ]]</f>
        <v>0</v>
      </c>
      <c r="CS486" s="996">
        <f>IF((WWWW[[#This Row],['#_Constructed/Existing protected/fenced ponds]]*250)/WWWW[[#This Row],[Total PoP ]]&gt;1,1,(WWWW[[#This Row],['#_Constructed/Existing protected/fenced ponds]]*250)/WWWW[[#This Row],[Total PoP ]])</f>
        <v>0</v>
      </c>
      <c r="CT486" s="994">
        <f>WWWW[[#This Row],[% Access to unimproved water points]]*WWWW[[#This Row],[Total PoP ]]</f>
        <v>0</v>
      </c>
      <c r="CU48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8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86" s="994">
        <f>WWWW[[#This Row],[HRP1]]/500</f>
        <v>0</v>
      </c>
      <c r="CX486" s="999">
        <f>1-WWWW[[#This Row],[% Equitable and continuous access to sufficient quantity of domestic water]]</f>
        <v>1</v>
      </c>
      <c r="CY486" s="994">
        <f>WWWW[[#This Row],[%equitable and continuous access to sufficient quantity of safe drinking and domestic water''s GAP]]*WWWW[[#This Row],[Total PoP ]]</f>
        <v>472</v>
      </c>
      <c r="CZ486" s="997">
        <f>IF(WWWW[[#This Row],[Total required water points]]-WWWW[[#This Row],['#Water points coverage]]&lt;0,0,WWWW[[#This Row],[Total required water points]]-WWWW[[#This Row],['#Water points coverage]])</f>
        <v>1</v>
      </c>
      <c r="DA486" s="997">
        <f>ROUND(IF(WWWW[[#This Row],[Total PoP ]]&lt;500,1,WWWW[[#This Row],[Total PoP ]]/500),0)</f>
        <v>1</v>
      </c>
      <c r="DB486" s="997">
        <f>(WWWW[[#This Row],['#_Constructed latrines_by_WASHAgencies]]+WWWW[[#This Row],['#_Non Cluster partner latrines]])-WWWW[[#This Row],['#_Non-functional latrines]]</f>
        <v>0</v>
      </c>
      <c r="DC486" s="631">
        <f>WWWW[[#This Row],[HRP2]]/WWWW[[#This Row],[Total PoP ]]</f>
        <v>0</v>
      </c>
      <c r="DD48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8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8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6" s="424">
        <f>IF(WWWW[[#This Row],['# of functional latrines in THF supported by WASH partners during the reporting period2]]="",0,WWWW[[#This Row],['# of functional latrines in THF supported by WASH partners during the reporting period2]]*50)</f>
        <v>0</v>
      </c>
      <c r="DH486" s="997">
        <f>ROUND(IF(WWWW[[#This Row],[Location Type 1]]="camp",WWWW[[#This Row],[Total PoP ]]/20,IF(WWWW[[#This Row],[Location Type 1]]="Temporary Location",WWWW[[#This Row],[Total PoP ]]/50,(WWWW[[#This Row],[Total PoP ]]/6))),0)</f>
        <v>24</v>
      </c>
      <c r="DI486" s="997">
        <f>IF(WWWW[[#This Row],[Total required Latrines]]-(WWWW[[#This Row],['#_Constructed latrines_by_WASHAgencies]]+WWWW[[#This Row],['#_Non Cluster partner latrines]])&lt;0,0,WWWW[[#This Row],[Total required Latrines]]-(WWWW[[#This Row],['#_Constructed latrines_by_WASHAgencies]]+WWWW[[#This Row],['#_Non Cluster partner latrines]]))</f>
        <v>24</v>
      </c>
      <c r="DJ486" s="999">
        <f>1-WWWW[[#This Row],[% people access to functioning Latrine]]</f>
        <v>1</v>
      </c>
      <c r="DK486" s="998">
        <f>IF(OR(WWWW[[#This Row],['#_Non-functional latrines]]="",WWWW[[#This Row],['#_Non-functional latrines]]=0),0,WWWW[[#This Row],['#_Non-functional latrines]]/(WWWW[[#This Row],['#_Constructed latrines_by_WASHAgencies]]+WWWW[[#This Row],['#_Non Cluster partner latrines]]))</f>
        <v>0</v>
      </c>
      <c r="DL486" s="994">
        <f>IF(500*(WWWW[[#This Row],['#_male hygiene promoters]]+WWWW[[#This Row],['#_female hygiene promoters]])&gt;WWWW[[#This Row],[Total PoP ]],WWWW[[#This Row],[Total PoP ]],500*(WWWW[[#This Row],['#_male hygiene promoters]]+WWWW[[#This Row],['#_female hygiene promoters]]))</f>
        <v>0</v>
      </c>
      <c r="DM48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8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86" s="997">
        <f>IF(WWWW[[#This Row],['# People with access to soap]]&gt;WWWW[[#This Row],['# People with access to Sanity Pads]],WWWW[[#This Row],['# People with access to soap]],WWWW[[#This Row],['# People with access to Sanity Pads]])</f>
        <v>0</v>
      </c>
      <c r="DP486"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86" s="999">
        <f>IF(WWWW[[#This Row],[HRP3]]/WWWW[[#This Row],[Total PoP ]]&gt;1,1,WWWW[[#This Row],[HRP3]]/WWWW[[#This Row],[Total PoP ]])</f>
        <v>0</v>
      </c>
      <c r="DR486" s="998">
        <f>1-WWWW[[#This Row],[Hygiene Coverage%]]</f>
        <v>1</v>
      </c>
      <c r="DS486" s="996">
        <f>WWWW[[#This Row],['# people reached by regular dedicated hygiene promotion_5]]/WWWW[[#This Row],[Total PoP ]]</f>
        <v>0</v>
      </c>
      <c r="DT48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8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86" s="997">
        <f>WWWW[[#This Row],['#_Constructed/Existing hand washing stations]]-WWWW[[#This Row],['#_Non-Functional_hand_washing_stations]]</f>
        <v>8</v>
      </c>
      <c r="DW486" s="994">
        <f>IF(WWWW[[#This Row],['# Functional hand washing stations during reporting period]]*20&gt;WWWW[[#This Row],[Total HH]],WWWW[[#This Row],[Total HH]],WWWW[[#This Row],['# Functional hand washing stations during reporting period]]*20)</f>
        <v>95</v>
      </c>
      <c r="DX486" s="994">
        <f>IF(WWWW[[#This Row],[Is sufficient soap available for TLS? (Yes/No)]]="yes",WWWW[[#This Row],['#_Constructed/Existing hand washing stations at TLS/CFS/THF]],0)</f>
        <v>0</v>
      </c>
      <c r="DY486" s="428">
        <f>IF(WWWW[[#This Row],['# Functional hand washing stations during reporting period]]*100&gt;WWWW[[#This Row],[Total PoP ]],WWWW[[#This Row],[Total PoP ]],WWWW[[#This Row],['# Functional hand washing stations during reporting period]]*100)</f>
        <v>472</v>
      </c>
      <c r="DZ486" s="428" t="str">
        <f>IF(OR(WWWW[[#This Row],['#_students at TLS_CFS]]="",WWWW[[#This Row],['#_students at TLS_CFS]]=0),"No","Yes")</f>
        <v>No</v>
      </c>
      <c r="EA48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8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6" s="990" t="str">
        <f>VLOOKUP(WWWW[[#This Row],[Site Name]],SiteDB6[[Site Name]:[CCCM Management]],6,FALSE)</f>
        <v>Yes</v>
      </c>
      <c r="EF486" s="990" t="str">
        <f>VLOOKUP(WWWW[[#This Row],[Site Name]],SiteDB6[[Site Name]:[CCCM Focal Agency]],7,FALSE)</f>
        <v>KMSS-MYT</v>
      </c>
      <c r="EG486" s="990" t="str">
        <f>VLOOKUP(WWWW[[#This Row],[Site Name]],SiteDB6[[Site Name]:[Location Type 1]],9,FALSE)</f>
        <v>Camp</v>
      </c>
      <c r="EH486" s="990" t="str">
        <f>VLOOKUP(WWWW[[#This Row],[Site Name]],SiteDB6[[Site Name]:[Type of Accommodation]],10,FALSE)</f>
        <v>Camp</v>
      </c>
      <c r="EI486" s="990" t="str">
        <f>VLOOKUP(WWWW[[#This Row],[Site Name]],SiteDB6[[Site Name]:[Ethnic or GCA/NGCA]],11,FALSE)</f>
        <v>GCA</v>
      </c>
      <c r="EJ486" s="990">
        <f>VLOOKUP(WWWW[[#This Row],[Site Name]],SiteDB6[[Site Name]:[Lat]],12,FALSE)</f>
        <v>25.656009999999998</v>
      </c>
      <c r="EK486" s="990">
        <f>VLOOKUP(WWWW[[#This Row],[Site Name]],SiteDB6[[Site Name]:[Long]],13,FALSE)</f>
        <v>96.361609999999999</v>
      </c>
      <c r="EL486" s="990" t="str">
        <f>VLOOKUP(WWWW[[#This Row],[Site Name]],SiteDB6[[Site Name]:[Pcode]],3,FALSE)</f>
        <v>MMR001CMP168</v>
      </c>
      <c r="EM486" s="995" t="str">
        <f t="shared" si="9"/>
        <v>Notcovered</v>
      </c>
      <c r="EN486" s="995"/>
      <c r="EO486" s="990">
        <f>VLOOKUP(WWWW[[#This Row],[Site Name]],SiteDB6[[Site Name]:[Pop
(Kachin/Shan-CCCM as of July 2021)]],16,FALSE)</f>
        <v>90</v>
      </c>
      <c r="EP486" s="990">
        <f>VLOOKUP(WWWW[[#This Row],[Site Name]],SiteDB6[[Site Name]:[Pop
(Kachin/Shan-CCCM as of July 2021)]],17,FALSE)</f>
        <v>456</v>
      </c>
    </row>
    <row r="487" spans="1:146">
      <c r="A487" s="988" t="s">
        <v>2765</v>
      </c>
      <c r="B487" s="988" t="s">
        <v>919</v>
      </c>
      <c r="C487" s="989" t="s">
        <v>141</v>
      </c>
      <c r="D487" s="989" t="s">
        <v>3163</v>
      </c>
      <c r="E487" s="989" t="s">
        <v>37</v>
      </c>
      <c r="F487" s="989" t="s">
        <v>152</v>
      </c>
      <c r="G487" s="591" t="str">
        <f>VLOOKUP(WWWW[[#This Row],[Site Name]],SiteDB6[[Site Name]:[Location Type]],8,FALSE)</f>
        <v>Camp_not registered</v>
      </c>
      <c r="H487" s="989" t="s">
        <v>2624</v>
      </c>
      <c r="I487" s="991">
        <v>5</v>
      </c>
      <c r="J487" s="991">
        <v>28</v>
      </c>
      <c r="K487" s="992">
        <v>44682</v>
      </c>
      <c r="L487" s="993">
        <v>45169</v>
      </c>
      <c r="M487" s="991"/>
      <c r="N487" s="991">
        <v>1</v>
      </c>
      <c r="O487" s="991"/>
      <c r="P487" s="991"/>
      <c r="Q487" s="994" t="s">
        <v>41</v>
      </c>
      <c r="R487" s="991">
        <v>3</v>
      </c>
      <c r="S487" s="991"/>
      <c r="T487" s="448">
        <v>1</v>
      </c>
      <c r="U487" s="991"/>
      <c r="V487" s="991"/>
      <c r="W487" s="991">
        <v>1</v>
      </c>
      <c r="X487" s="991"/>
      <c r="Y487" s="991"/>
      <c r="Z487" s="991"/>
      <c r="AA487" s="991"/>
      <c r="AB487" s="991"/>
      <c r="AC487" s="991"/>
      <c r="AD487" s="991"/>
      <c r="AE487" s="991"/>
      <c r="AF487" s="991"/>
      <c r="AG487" s="991"/>
      <c r="AH487" s="991">
        <v>3</v>
      </c>
      <c r="AI487" s="991"/>
      <c r="AJ487" s="991"/>
      <c r="AK487" s="991"/>
      <c r="AL487" s="991"/>
      <c r="AM487" s="991"/>
      <c r="AN487" s="991"/>
      <c r="AO487" s="448"/>
      <c r="AP487" s="995"/>
      <c r="AQ487" s="991">
        <v>2</v>
      </c>
      <c r="AR487" s="991"/>
      <c r="AS487" s="996"/>
      <c r="AT487" s="991"/>
      <c r="AU487" s="991"/>
      <c r="AV487" s="991"/>
      <c r="AW487" s="991"/>
      <c r="AX487" s="991">
        <v>2</v>
      </c>
      <c r="AY487" s="990" t="s">
        <v>41</v>
      </c>
      <c r="AZ487" s="995" t="s">
        <v>137</v>
      </c>
      <c r="BA487" s="991"/>
      <c r="BB487" s="991"/>
      <c r="BC487" s="991"/>
      <c r="BD487" s="448"/>
      <c r="BE487" s="448"/>
      <c r="BF487" s="990"/>
      <c r="BG487" s="991">
        <v>1</v>
      </c>
      <c r="BH487" s="991"/>
      <c r="BI487" s="991"/>
      <c r="BJ487" s="991">
        <v>2</v>
      </c>
      <c r="BK487" s="991"/>
      <c r="BL487" s="991"/>
      <c r="BM487" s="991"/>
      <c r="BN487" s="991"/>
      <c r="BO487" s="991"/>
      <c r="BP487" s="990"/>
      <c r="BQ487" s="997"/>
      <c r="BR487" s="996"/>
      <c r="BS487" s="990"/>
      <c r="BT487" s="423"/>
      <c r="BU487" s="423"/>
      <c r="BV487" s="425"/>
      <c r="BW487" s="423"/>
      <c r="BX487" s="448"/>
      <c r="BY487" s="448"/>
      <c r="BZ487" s="448"/>
      <c r="CA487" s="448"/>
      <c r="CB487" s="448"/>
      <c r="CC487" s="777"/>
      <c r="CD487" s="448"/>
      <c r="CE487" s="998" t="str">
        <f>IFERROR(WWWW[[#This Row],['#_Water sources passed]]/WWWW[[#This Row],['#_Water sources tested for fecal coliform ]],"no test")</f>
        <v>no test</v>
      </c>
      <c r="CF487" s="996" t="str">
        <f>IFERROR(WWWW[[#This Row],['#_Household passed]]/WWWW[[#This Row],['#_Household water samples tested for fecal coliform]],"no test")</f>
        <v>no test</v>
      </c>
      <c r="CG487" s="997" t="str">
        <f>IF(AND(WWWW[[#This Row],[% of water sources passed]]="no test",WWWW[[#This Row],[% Household passed]]="no test"),"No Test","Tested")</f>
        <v>No Test</v>
      </c>
      <c r="CH487" s="997">
        <f>WWWW[[#This Row],['#_Constructed/existing protected hand dug well]]-WWWW[[#This Row],['#_Non-functional protected hand dug well]]</f>
        <v>1</v>
      </c>
      <c r="CI487" s="997">
        <f>(WWWW[[#This Row],['#_Constructed/Existing tube wells/boreholes/handpumps_WASH_agency]]+WWWW[[#This Row],['#_Non-Cluster partner water tube-wells/boreholes/handpumps]])-WWWW[[#This Row],['#_Non-functional tube wells/boreholes/handpumps]]</f>
        <v>1</v>
      </c>
      <c r="CJ487" s="997">
        <f>WWWW[[#This Row],['#_Constructed/Existingwater storage tank with gravity fed reticulation system]]-WWWW[[#This Row],['#_Non-functional storage tank gravity fed reticulation system]]</f>
        <v>0</v>
      </c>
      <c r="CK487" s="997">
        <f>(WWWW[[#This Row],['#_Water_Liters_supplied_by_Water boating or water trucking]]/90)/15</f>
        <v>0</v>
      </c>
      <c r="CL487" s="997">
        <f>WWWW[[#This Row],['#_Water_Liters_from_Constructed/Existing water distribution system from river or natural spring]]/90/15</f>
        <v>0</v>
      </c>
      <c r="CM487" s="424">
        <f>IF(WWWW[[#This Row],['#_of water points in TLS/CFS]]*500&gt;WWWW[[#This Row],[Total PoP ]],WWWW[[#This Row],[Total PoP ]],WWWW[[#This Row],['#_of water points in TLS/CFS]]*500)</f>
        <v>0</v>
      </c>
      <c r="CN487" s="424">
        <f>IF(WWWW[[#This Row],['#_of water points in THF]]*500&gt;WWWW[[#This Row],[Total PoP ]],WWWW[[#This Row],[Total PoP ]],WWWW[[#This Row],['#_of water points in THF]]*500)</f>
        <v>0</v>
      </c>
      <c r="CO48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8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87" s="996">
        <f>IF(WWWW[[#This Row],[Location Type 1]]="Village",WWWW[[#This Row],[Access to safe drinking water for Village]],WWWW[[#This Row],[Access to safe drinking water for Camp]])</f>
        <v>1</v>
      </c>
      <c r="CR487" s="994">
        <f>WWWW[[#This Row],[%Equitable and continuous access to sufficient quantity of safe drinking water]]*WWWW[[#This Row],[Total PoP ]]</f>
        <v>28</v>
      </c>
      <c r="CS487" s="996">
        <f>IF((WWWW[[#This Row],['#_Constructed/Existing protected/fenced ponds]]*250)/WWWW[[#This Row],[Total PoP ]]&gt;1,1,(WWWW[[#This Row],['#_Constructed/Existing protected/fenced ponds]]*250)/WWWW[[#This Row],[Total PoP ]])</f>
        <v>0</v>
      </c>
      <c r="CT487" s="994">
        <f>WWWW[[#This Row],[% Access to unimproved water points]]*WWWW[[#This Row],[Total PoP ]]</f>
        <v>0</v>
      </c>
      <c r="CU48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8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v>
      </c>
      <c r="CW487" s="994">
        <f>WWWW[[#This Row],[HRP1]]/500</f>
        <v>5.6000000000000001E-2</v>
      </c>
      <c r="CX487" s="999">
        <f>1-WWWW[[#This Row],[% Equitable and continuous access to sufficient quantity of domestic water]]</f>
        <v>0</v>
      </c>
      <c r="CY487" s="994">
        <f>WWWW[[#This Row],[%equitable and continuous access to sufficient quantity of safe drinking and domestic water''s GAP]]*WWWW[[#This Row],[Total PoP ]]</f>
        <v>0</v>
      </c>
      <c r="CZ487" s="997">
        <f>IF(WWWW[[#This Row],[Total required water points]]-WWWW[[#This Row],['#Water points coverage]]&lt;0,0,WWWW[[#This Row],[Total required water points]]-WWWW[[#This Row],['#Water points coverage]])</f>
        <v>0.94399999999999995</v>
      </c>
      <c r="DA487" s="997">
        <f>ROUND(IF(WWWW[[#This Row],[Total PoP ]]&lt;500,1,WWWW[[#This Row],[Total PoP ]]/500),0)</f>
        <v>1</v>
      </c>
      <c r="DB487" s="997">
        <f>(WWWW[[#This Row],['#_Constructed latrines_by_WASHAgencies]]+WWWW[[#This Row],['#_Non Cluster partner latrines]])-WWWW[[#This Row],['#_Non-functional latrines]]</f>
        <v>2</v>
      </c>
      <c r="DC487" s="631">
        <f>WWWW[[#This Row],[HRP2]]/WWWW[[#This Row],[Total PoP ]]</f>
        <v>1</v>
      </c>
      <c r="DD48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v>
      </c>
      <c r="DE48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8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7" s="424">
        <f>IF(WWWW[[#This Row],['# of functional latrines in THF supported by WASH partners during the reporting period2]]="",0,WWWW[[#This Row],['# of functional latrines in THF supported by WASH partners during the reporting period2]]*50)</f>
        <v>0</v>
      </c>
      <c r="DH487" s="997">
        <f>ROUND(IF(WWWW[[#This Row],[Location Type 1]]="camp",WWWW[[#This Row],[Total PoP ]]/20,IF(WWWW[[#This Row],[Location Type 1]]="Temporary Location",WWWW[[#This Row],[Total PoP ]]/50,(WWWW[[#This Row],[Total PoP ]]/6))),0)</f>
        <v>1</v>
      </c>
      <c r="DI487" s="997">
        <f>IF(WWWW[[#This Row],[Total required Latrines]]-(WWWW[[#This Row],['#_Constructed latrines_by_WASHAgencies]]+WWWW[[#This Row],['#_Non Cluster partner latrines]])&lt;0,0,WWWW[[#This Row],[Total required Latrines]]-(WWWW[[#This Row],['#_Constructed latrines_by_WASHAgencies]]+WWWW[[#This Row],['#_Non Cluster partner latrines]]))</f>
        <v>0</v>
      </c>
      <c r="DJ487" s="999">
        <f>1-WWWW[[#This Row],[% people access to functioning Latrine]]</f>
        <v>0</v>
      </c>
      <c r="DK487" s="998">
        <f>IF(OR(WWWW[[#This Row],['#_Non-functional latrines]]="",WWWW[[#This Row],['#_Non-functional latrines]]=0),0,WWWW[[#This Row],['#_Non-functional latrines]]/(WWWW[[#This Row],['#_Constructed latrines_by_WASHAgencies]]+WWWW[[#This Row],['#_Non Cluster partner latrines]]))</f>
        <v>0</v>
      </c>
      <c r="DL487" s="994">
        <f>IF(500*(WWWW[[#This Row],['#_male hygiene promoters]]+WWWW[[#This Row],['#_female hygiene promoters]])&gt;WWWW[[#This Row],[Total PoP ]],WWWW[[#This Row],[Total PoP ]],500*(WWWW[[#This Row],['#_male hygiene promoters]]+WWWW[[#This Row],['#_female hygiene promoters]]))</f>
        <v>0</v>
      </c>
      <c r="DM48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8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87" s="997">
        <f>IF(WWWW[[#This Row],['# People with access to soap]]&gt;WWWW[[#This Row],['# People with access to Sanity Pads]],WWWW[[#This Row],['# People with access to soap]],WWWW[[#This Row],['# People with access to Sanity Pads]])</f>
        <v>0</v>
      </c>
      <c r="DP487"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87" s="999">
        <f>IF(WWWW[[#This Row],[HRP3]]/WWWW[[#This Row],[Total PoP ]]&gt;1,1,WWWW[[#This Row],[HRP3]]/WWWW[[#This Row],[Total PoP ]])</f>
        <v>0</v>
      </c>
      <c r="DR487" s="998">
        <f>1-WWWW[[#This Row],[Hygiene Coverage%]]</f>
        <v>1</v>
      </c>
      <c r="DS487" s="996">
        <f>WWWW[[#This Row],['# people reached by regular dedicated hygiene promotion_5]]/WWWW[[#This Row],[Total PoP ]]</f>
        <v>0</v>
      </c>
      <c r="DT48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8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87" s="997">
        <f>WWWW[[#This Row],['#_Constructed/Existing hand washing stations]]-WWWW[[#This Row],['#_Non-Functional_hand_washing_stations]]</f>
        <v>1</v>
      </c>
      <c r="DW487" s="994">
        <f>IF(WWWW[[#This Row],['# Functional hand washing stations during reporting period]]*20&gt;WWWW[[#This Row],[Total HH]],WWWW[[#This Row],[Total HH]],WWWW[[#This Row],['# Functional hand washing stations during reporting period]]*20)</f>
        <v>5</v>
      </c>
      <c r="DX487" s="994">
        <f>IF(WWWW[[#This Row],[Is sufficient soap available for TLS? (Yes/No)]]="yes",WWWW[[#This Row],['#_Constructed/Existing hand washing stations at TLS/CFS/THF]],0)</f>
        <v>0</v>
      </c>
      <c r="DY487" s="428">
        <f>IF(WWWW[[#This Row],['# Functional hand washing stations during reporting period]]*100&gt;WWWW[[#This Row],[Total PoP ]],WWWW[[#This Row],[Total PoP ]],WWWW[[#This Row],['# Functional hand washing stations during reporting period]]*100)</f>
        <v>28</v>
      </c>
      <c r="DZ487" s="428" t="str">
        <f>IF(OR(WWWW[[#This Row],['#_students at TLS_CFS]]="",WWWW[[#This Row],['#_students at TLS_CFS]]=0),"No","Yes")</f>
        <v>No</v>
      </c>
      <c r="EA48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8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7" s="990">
        <f>VLOOKUP(WWWW[[#This Row],[Site Name]],SiteDB6[[Site Name]:[CCCM Management]],6,FALSE)</f>
        <v>0</v>
      </c>
      <c r="EF487" s="990">
        <f>VLOOKUP(WWWW[[#This Row],[Site Name]],SiteDB6[[Site Name]:[CCCM Focal Agency]],7,FALSE)</f>
        <v>0</v>
      </c>
      <c r="EG487" s="990" t="str">
        <f>VLOOKUP(WWWW[[#This Row],[Site Name]],SiteDB6[[Site Name]:[Location Type 1]],9,FALSE)</f>
        <v>Camp</v>
      </c>
      <c r="EH487" s="990" t="str">
        <f>VLOOKUP(WWWW[[#This Row],[Site Name]],SiteDB6[[Site Name]:[Type of Accommodation]],10,FALSE)</f>
        <v>Camp like setting</v>
      </c>
      <c r="EI487" s="990" t="str">
        <f>VLOOKUP(WWWW[[#This Row],[Site Name]],SiteDB6[[Site Name]:[Ethnic or GCA/NGCA]],11,FALSE)</f>
        <v>GCA</v>
      </c>
      <c r="EJ487" s="990">
        <f>VLOOKUP(WWWW[[#This Row],[Site Name]],SiteDB6[[Site Name]:[Lat]],12,FALSE)</f>
        <v>0</v>
      </c>
      <c r="EK487" s="990">
        <f>VLOOKUP(WWWW[[#This Row],[Site Name]],SiteDB6[[Site Name]:[Long]],13,FALSE)</f>
        <v>0</v>
      </c>
      <c r="EL487" s="990">
        <f>VLOOKUP(WWWW[[#This Row],[Site Name]],SiteDB6[[Site Name]:[Pcode]],3,FALSE)</f>
        <v>0</v>
      </c>
      <c r="EM487" s="995" t="str">
        <f t="shared" si="9"/>
        <v>Covered</v>
      </c>
      <c r="EN487" s="995"/>
      <c r="EO487" s="990">
        <f>VLOOKUP(WWWW[[#This Row],[Site Name]],SiteDB6[[Site Name]:[Pop
(Kachin/Shan-CCCM as of July 2021)]],16,FALSE)</f>
        <v>0</v>
      </c>
      <c r="EP487" s="990">
        <f>VLOOKUP(WWWW[[#This Row],[Site Name]],SiteDB6[[Site Name]:[Pop
(Kachin/Shan-CCCM as of July 2021)]],17,FALSE)</f>
        <v>0</v>
      </c>
    </row>
    <row r="488" spans="1:146">
      <c r="A488" s="988" t="s">
        <v>2765</v>
      </c>
      <c r="B488" s="988" t="s">
        <v>242</v>
      </c>
      <c r="C488" s="989" t="s">
        <v>242</v>
      </c>
      <c r="D488" s="989" t="s">
        <v>299</v>
      </c>
      <c r="E488" s="989" t="s">
        <v>37</v>
      </c>
      <c r="F488" s="989" t="s">
        <v>148</v>
      </c>
      <c r="G488" s="591" t="str">
        <f>VLOOKUP(WWWW[[#This Row],[Site Name]],SiteDB6[[Site Name]:[Location Type]],8,FALSE)</f>
        <v>Camp</v>
      </c>
      <c r="H488" s="989" t="s">
        <v>250</v>
      </c>
      <c r="I488" s="448">
        <v>41</v>
      </c>
      <c r="J488" s="448">
        <v>250</v>
      </c>
      <c r="K488" s="588">
        <v>44562</v>
      </c>
      <c r="L488" s="589">
        <v>44926</v>
      </c>
      <c r="M488" s="448">
        <v>53</v>
      </c>
      <c r="N488" s="448"/>
      <c r="O488" s="448"/>
      <c r="P488" s="448"/>
      <c r="Q488" s="717" t="s">
        <v>41</v>
      </c>
      <c r="R488" s="448">
        <v>1</v>
      </c>
      <c r="S488" s="448">
        <v>5</v>
      </c>
      <c r="T488" s="448">
        <v>2</v>
      </c>
      <c r="U488" s="448"/>
      <c r="V488" s="448"/>
      <c r="W488" s="448"/>
      <c r="X488" s="991"/>
      <c r="Y488" s="991"/>
      <c r="Z488" s="991"/>
      <c r="AA488" s="991"/>
      <c r="AB488" s="991"/>
      <c r="AC488" s="991"/>
      <c r="AD488" s="991"/>
      <c r="AE488" s="991"/>
      <c r="AF488" s="448">
        <v>10000</v>
      </c>
      <c r="AG488" s="448">
        <v>1</v>
      </c>
      <c r="AH488" s="991"/>
      <c r="AI488" s="991"/>
      <c r="AJ488" s="991"/>
      <c r="AK488" s="991"/>
      <c r="AL488" s="991"/>
      <c r="AM488" s="448"/>
      <c r="AN488" s="448"/>
      <c r="AO488" s="448"/>
      <c r="AP488" s="590"/>
      <c r="AQ488" s="991">
        <v>10</v>
      </c>
      <c r="AR488" s="991"/>
      <c r="AS488" s="996"/>
      <c r="AT488" s="991">
        <v>10</v>
      </c>
      <c r="AU488" s="991"/>
      <c r="AV488" s="991"/>
      <c r="AW488" s="991"/>
      <c r="AX488" s="991"/>
      <c r="AY488" s="990" t="s">
        <v>41</v>
      </c>
      <c r="AZ488" s="995" t="s">
        <v>137</v>
      </c>
      <c r="BA488" s="991"/>
      <c r="BB488" s="991"/>
      <c r="BC488" s="991"/>
      <c r="BD488" s="448"/>
      <c r="BE488" s="448"/>
      <c r="BF488" s="990"/>
      <c r="BG488" s="991">
        <v>2</v>
      </c>
      <c r="BH488" s="991"/>
      <c r="BI488" s="991"/>
      <c r="BJ488" s="991">
        <v>3</v>
      </c>
      <c r="BK488" s="991"/>
      <c r="BL488" s="448"/>
      <c r="BM488" s="448">
        <v>1</v>
      </c>
      <c r="BN488" s="448">
        <v>41</v>
      </c>
      <c r="BO488" s="448"/>
      <c r="BP488" s="425" t="s">
        <v>41</v>
      </c>
      <c r="BQ488" s="424"/>
      <c r="BR488" s="423">
        <v>0.6</v>
      </c>
      <c r="BS488" s="425" t="s">
        <v>3173</v>
      </c>
      <c r="BT488" s="423">
        <v>0.7</v>
      </c>
      <c r="BU488" s="423">
        <v>0.7</v>
      </c>
      <c r="BV488" s="425">
        <v>10</v>
      </c>
      <c r="BW488" s="423">
        <v>0.7</v>
      </c>
      <c r="BX488" s="448"/>
      <c r="BY488" s="448"/>
      <c r="BZ488" s="448"/>
      <c r="CA488" s="448"/>
      <c r="CB488" s="448"/>
      <c r="CC488" s="777"/>
      <c r="CD488" s="448"/>
      <c r="CE488" s="998" t="str">
        <f>IFERROR(WWWW[[#This Row],['#_Water sources passed]]/WWWW[[#This Row],['#_Water sources tested for fecal coliform ]],"no test")</f>
        <v>no test</v>
      </c>
      <c r="CF488" s="996" t="str">
        <f>IFERROR(WWWW[[#This Row],['#_Household passed]]/WWWW[[#This Row],['#_Household water samples tested for fecal coliform]],"no test")</f>
        <v>no test</v>
      </c>
      <c r="CG488" s="997" t="str">
        <f>IF(AND(WWWW[[#This Row],[% of water sources passed]]="no test",WWWW[[#This Row],[% Household passed]]="no test"),"No Test","Tested")</f>
        <v>No Test</v>
      </c>
      <c r="CH488" s="997">
        <f>WWWW[[#This Row],['#_Constructed/existing protected hand dug well]]-WWWW[[#This Row],['#_Non-functional protected hand dug well]]</f>
        <v>2</v>
      </c>
      <c r="CI488" s="997">
        <f>(WWWW[[#This Row],['#_Constructed/Existing tube wells/boreholes/handpumps_WASH_agency]]+WWWW[[#This Row],['#_Non-Cluster partner water tube-wells/boreholes/handpumps]])-WWWW[[#This Row],['#_Non-functional tube wells/boreholes/handpumps]]</f>
        <v>0</v>
      </c>
      <c r="CJ488" s="997">
        <f>WWWW[[#This Row],['#_Constructed/Existingwater storage tank with gravity fed reticulation system]]-WWWW[[#This Row],['#_Non-functional storage tank gravity fed reticulation system]]</f>
        <v>0</v>
      </c>
      <c r="CK488" s="997">
        <f>(WWWW[[#This Row],['#_Water_Liters_supplied_by_Water boating or water trucking]]/90)/15</f>
        <v>0</v>
      </c>
      <c r="CL488" s="997">
        <f>WWWW[[#This Row],['#_Water_Liters_from_Constructed/Existing water distribution system from river or natural spring]]/90/15</f>
        <v>7.4074074074074074</v>
      </c>
      <c r="CM488" s="424">
        <f>IF(WWWW[[#This Row],['#_of water points in TLS/CFS]]*500&gt;WWWW[[#This Row],[Total PoP ]],WWWW[[#This Row],[Total PoP ]],WWWW[[#This Row],['#_of water points in TLS/CFS]]*500)</f>
        <v>0</v>
      </c>
      <c r="CN488" s="424">
        <f>IF(WWWW[[#This Row],['#_of water points in THF]]*500&gt;WWWW[[#This Row],[Total PoP ]],WWWW[[#This Row],[Total PoP ]],WWWW[[#This Row],['#_of water points in THF]]*500)</f>
        <v>0</v>
      </c>
      <c r="CO48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8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88" s="996">
        <f>IF(WWWW[[#This Row],[Location Type 1]]="Village",WWWW[[#This Row],[Access to safe drinking water for Village]],WWWW[[#This Row],[Access to safe drinking water for Camp]])</f>
        <v>1</v>
      </c>
      <c r="CR488" s="994">
        <f>WWWW[[#This Row],[%Equitable and continuous access to sufficient quantity of safe drinking water]]*WWWW[[#This Row],[Total PoP ]]</f>
        <v>250</v>
      </c>
      <c r="CS488" s="996">
        <f>IF((WWWW[[#This Row],['#_Constructed/Existing protected/fenced ponds]]*250)/WWWW[[#This Row],[Total PoP ]]&gt;1,1,(WWWW[[#This Row],['#_Constructed/Existing protected/fenced ponds]]*250)/WWWW[[#This Row],[Total PoP ]])</f>
        <v>0</v>
      </c>
      <c r="CT488" s="994">
        <f>WWWW[[#This Row],[% Access to unimproved water points]]*WWWW[[#This Row],[Total PoP ]]</f>
        <v>0</v>
      </c>
      <c r="CU48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8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488" s="994">
        <f>WWWW[[#This Row],[HRP1]]/500</f>
        <v>0.5</v>
      </c>
      <c r="CX488" s="999">
        <f>1-WWWW[[#This Row],[% Equitable and continuous access to sufficient quantity of domestic water]]</f>
        <v>0</v>
      </c>
      <c r="CY488" s="994">
        <f>WWWW[[#This Row],[%equitable and continuous access to sufficient quantity of safe drinking and domestic water''s GAP]]*WWWW[[#This Row],[Total PoP ]]</f>
        <v>0</v>
      </c>
      <c r="CZ488" s="997">
        <f>IF(WWWW[[#This Row],[Total required water points]]-WWWW[[#This Row],['#Water points coverage]]&lt;0,0,WWWW[[#This Row],[Total required water points]]-WWWW[[#This Row],['#Water points coverage]])</f>
        <v>0.5</v>
      </c>
      <c r="DA488" s="997">
        <f>ROUND(IF(WWWW[[#This Row],[Total PoP ]]&lt;500,1,WWWW[[#This Row],[Total PoP ]]/500),0)</f>
        <v>1</v>
      </c>
      <c r="DB488" s="997">
        <f>(WWWW[[#This Row],['#_Constructed latrines_by_WASHAgencies]]+WWWW[[#This Row],['#_Non Cluster partner latrines]])-WWWW[[#This Row],['#_Non-functional latrines]]</f>
        <v>0</v>
      </c>
      <c r="DC488" s="631">
        <f>WWWW[[#This Row],[HRP2]]/WWWW[[#This Row],[Total PoP ]]</f>
        <v>0</v>
      </c>
      <c r="DD48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8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8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8" s="424">
        <f>IF(WWWW[[#This Row],['# of functional latrines in THF supported by WASH partners during the reporting period2]]="",0,WWWW[[#This Row],['# of functional latrines in THF supported by WASH partners during the reporting period2]]*50)</f>
        <v>0</v>
      </c>
      <c r="DH488" s="997">
        <f>ROUND(IF(WWWW[[#This Row],[Location Type 1]]="camp",WWWW[[#This Row],[Total PoP ]]/20,IF(WWWW[[#This Row],[Location Type 1]]="Temporary Location",WWWW[[#This Row],[Total PoP ]]/50,(WWWW[[#This Row],[Total PoP ]]/6))),0)</f>
        <v>13</v>
      </c>
      <c r="DI488" s="997">
        <f>IF(WWWW[[#This Row],[Total required Latrines]]-(WWWW[[#This Row],['#_Constructed latrines_by_WASHAgencies]]+WWWW[[#This Row],['#_Non Cluster partner latrines]])&lt;0,0,WWWW[[#This Row],[Total required Latrines]]-(WWWW[[#This Row],['#_Constructed latrines_by_WASHAgencies]]+WWWW[[#This Row],['#_Non Cluster partner latrines]]))</f>
        <v>3</v>
      </c>
      <c r="DJ488" s="999">
        <f>1-WWWW[[#This Row],[% people access to functioning Latrine]]</f>
        <v>1</v>
      </c>
      <c r="DK488" s="998">
        <f>IF(OR(WWWW[[#This Row],['#_Non-functional latrines]]="",WWWW[[#This Row],['#_Non-functional latrines]]=0),0,WWWW[[#This Row],['#_Non-functional latrines]]/(WWWW[[#This Row],['#_Constructed latrines_by_WASHAgencies]]+WWWW[[#This Row],['#_Non Cluster partner latrines]]))</f>
        <v>1</v>
      </c>
      <c r="DL488" s="994">
        <f>IF(500*(WWWW[[#This Row],['#_male hygiene promoters]]+WWWW[[#This Row],['#_female hygiene promoters]])&gt;WWWW[[#This Row],[Total PoP ]],WWWW[[#This Row],[Total PoP ]],500*(WWWW[[#This Row],['#_male hygiene promoters]]+WWWW[[#This Row],['#_female hygiene promoters]]))</f>
        <v>250</v>
      </c>
      <c r="DM48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48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88" s="997">
        <f>IF(WWWW[[#This Row],['# People with access to soap]]&gt;WWWW[[#This Row],['# People with access to Sanity Pads]],WWWW[[#This Row],['# People with access to soap]],WWWW[[#This Row],['# People with access to Sanity Pads]])</f>
        <v>250</v>
      </c>
      <c r="DP488" s="997">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488" s="999">
        <f>IF(WWWW[[#This Row],[HRP3]]/WWWW[[#This Row],[Total PoP ]]&gt;1,1,WWWW[[#This Row],[HRP3]]/WWWW[[#This Row],[Total PoP ]])</f>
        <v>1</v>
      </c>
      <c r="DR488" s="998">
        <f>1-WWWW[[#This Row],[Hygiene Coverage%]]</f>
        <v>0</v>
      </c>
      <c r="DS488" s="996">
        <f>WWWW[[#This Row],['# people reached by regular dedicated hygiene promotion_5]]/WWWW[[#This Row],[Total PoP ]]</f>
        <v>1</v>
      </c>
      <c r="DT48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8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88" s="997">
        <f>WWWW[[#This Row],['#_Constructed/Existing hand washing stations]]-WWWW[[#This Row],['#_Non-Functional_hand_washing_stations]]</f>
        <v>2</v>
      </c>
      <c r="DW488" s="994">
        <f>IF(WWWW[[#This Row],['# Functional hand washing stations during reporting period]]*20&gt;WWWW[[#This Row],[Total HH]],WWWW[[#This Row],[Total HH]],WWWW[[#This Row],['# Functional hand washing stations during reporting period]]*20)</f>
        <v>40</v>
      </c>
      <c r="DX488" s="994">
        <f>IF(WWWW[[#This Row],[Is sufficient soap available for TLS? (Yes/No)]]="yes",WWWW[[#This Row],['#_Constructed/Existing hand washing stations at TLS/CFS/THF]],0)</f>
        <v>0</v>
      </c>
      <c r="DY488" s="428">
        <f>IF(WWWW[[#This Row],['# Functional hand washing stations during reporting period]]*100&gt;WWWW[[#This Row],[Total PoP ]],WWWW[[#This Row],[Total PoP ]],WWWW[[#This Row],['# Functional hand washing stations during reporting period]]*100)</f>
        <v>200</v>
      </c>
      <c r="DZ488" s="428" t="str">
        <f>IF(OR(WWWW[[#This Row],['#_students at TLS_CFS]]="",WWWW[[#This Row],['#_students at TLS_CFS]]=0),"No","Yes")</f>
        <v>Yes</v>
      </c>
      <c r="EA488" s="631">
        <f>IF(WWWW[[#This Row],['#_of_affected_people_surveyed_who_report_feeling_informed_about_the_different_WASH_services_available_to_them]]="","",WWWW[[#This Row],['#_of_affected_people_surveyed_who_report_feeling_informed_about_the_different_WASH_services_available_to_them]]/WWWW[[#This Row],[Total PoP ]])</f>
        <v>0.04</v>
      </c>
      <c r="EB48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8" s="990" t="str">
        <f>VLOOKUP(WWWW[[#This Row],[Site Name]],SiteDB6[[Site Name]:[CCCM Management]],6,FALSE)</f>
        <v>Yes</v>
      </c>
      <c r="EF488" s="990" t="str">
        <f>VLOOKUP(WWWW[[#This Row],[Site Name]],SiteDB6[[Site Name]:[CCCM Focal Agency]],7,FALSE)</f>
        <v>KBC-MYT</v>
      </c>
      <c r="EG488" s="990" t="str">
        <f>VLOOKUP(WWWW[[#This Row],[Site Name]],SiteDB6[[Site Name]:[Location Type 1]],9,FALSE)</f>
        <v>Camp</v>
      </c>
      <c r="EH488" s="990" t="str">
        <f>VLOOKUP(WWWW[[#This Row],[Site Name]],SiteDB6[[Site Name]:[Type of Accommodation]],10,FALSE)</f>
        <v>Camp</v>
      </c>
      <c r="EI488" s="990" t="str">
        <f>VLOOKUP(WWWW[[#This Row],[Site Name]],SiteDB6[[Site Name]:[Ethnic or GCA/NGCA]],11,FALSE)</f>
        <v>GCA</v>
      </c>
      <c r="EJ488" s="990">
        <f>VLOOKUP(WWWW[[#This Row],[Site Name]],SiteDB6[[Site Name]:[Lat]],12,FALSE)</f>
        <v>25.647649999999999</v>
      </c>
      <c r="EK488" s="990">
        <f>VLOOKUP(WWWW[[#This Row],[Site Name]],SiteDB6[[Site Name]:[Long]],13,FALSE)</f>
        <v>96.346469999999997</v>
      </c>
      <c r="EL488" s="990" t="str">
        <f>VLOOKUP(WWWW[[#This Row],[Site Name]],SiteDB6[[Site Name]:[Pcode]],3,FALSE)</f>
        <v>MMR001CMP169</v>
      </c>
      <c r="EM488" s="995" t="str">
        <f t="shared" si="9"/>
        <v>Covered</v>
      </c>
      <c r="EN488" s="995"/>
      <c r="EO488" s="990">
        <f>VLOOKUP(WWWW[[#This Row],[Site Name]],SiteDB6[[Site Name]:[Pop
(Kachin/Shan-CCCM as of July 2021)]],16,FALSE)</f>
        <v>41</v>
      </c>
      <c r="EP488" s="990">
        <f>VLOOKUP(WWWW[[#This Row],[Site Name]],SiteDB6[[Site Name]:[Pop
(Kachin/Shan-CCCM as of July 2021)]],17,FALSE)</f>
        <v>249</v>
      </c>
    </row>
    <row r="489" spans="1:146">
      <c r="A489" s="988" t="s">
        <v>2765</v>
      </c>
      <c r="B489" s="988" t="s">
        <v>242</v>
      </c>
      <c r="C489" s="989" t="s">
        <v>242</v>
      </c>
      <c r="D489" s="989" t="s">
        <v>299</v>
      </c>
      <c r="E489" s="989" t="s">
        <v>37</v>
      </c>
      <c r="F489" s="989" t="s">
        <v>148</v>
      </c>
      <c r="G489" s="591" t="str">
        <f>VLOOKUP(WWWW[[#This Row],[Site Name]],SiteDB6[[Site Name]:[Location Type]],8,FALSE)</f>
        <v>Camp</v>
      </c>
      <c r="H489" s="989" t="s">
        <v>252</v>
      </c>
      <c r="I489" s="1001">
        <v>91</v>
      </c>
      <c r="J489" s="1001">
        <v>445</v>
      </c>
      <c r="K489" s="1002">
        <v>44562</v>
      </c>
      <c r="L489" s="1003">
        <v>44926</v>
      </c>
      <c r="M489" s="1001">
        <v>199</v>
      </c>
      <c r="N489" s="1001">
        <v>1</v>
      </c>
      <c r="O489" s="1001"/>
      <c r="P489" s="1001"/>
      <c r="Q489" s="1004" t="s">
        <v>41</v>
      </c>
      <c r="R489" s="1001">
        <v>3</v>
      </c>
      <c r="S489" s="1001">
        <v>6</v>
      </c>
      <c r="T489" s="1001">
        <v>1</v>
      </c>
      <c r="U489" s="1001">
        <v>1</v>
      </c>
      <c r="V489" s="1001"/>
      <c r="W489" s="1001">
        <v>1</v>
      </c>
      <c r="X489" s="991"/>
      <c r="Y489" s="991"/>
      <c r="Z489" s="991"/>
      <c r="AA489" s="991"/>
      <c r="AB489" s="991"/>
      <c r="AC489" s="991"/>
      <c r="AD489" s="991"/>
      <c r="AE489" s="991"/>
      <c r="AF489" s="1001"/>
      <c r="AG489" s="1001">
        <v>2</v>
      </c>
      <c r="AH489" s="991"/>
      <c r="AI489" s="991"/>
      <c r="AJ489" s="991"/>
      <c r="AK489" s="991"/>
      <c r="AL489" s="991"/>
      <c r="AM489" s="1001">
        <v>2</v>
      </c>
      <c r="AN489" s="1001">
        <v>2</v>
      </c>
      <c r="AO489" s="1001"/>
      <c r="AP489" s="1005" t="s">
        <v>3054</v>
      </c>
      <c r="AQ489" s="991">
        <v>23</v>
      </c>
      <c r="AR489" s="991"/>
      <c r="AS489" s="996"/>
      <c r="AT489" s="991"/>
      <c r="AU489" s="991"/>
      <c r="AV489" s="991"/>
      <c r="AW489" s="991"/>
      <c r="AX489" s="991"/>
      <c r="AY489" s="990" t="s">
        <v>41</v>
      </c>
      <c r="AZ489" s="995" t="s">
        <v>137</v>
      </c>
      <c r="BA489" s="991"/>
      <c r="BB489" s="991">
        <v>1</v>
      </c>
      <c r="BC489" s="991"/>
      <c r="BD489" s="448"/>
      <c r="BE489" s="448">
        <v>9</v>
      </c>
      <c r="BF489" s="990"/>
      <c r="BG489" s="991">
        <v>8</v>
      </c>
      <c r="BH489" s="991">
        <v>3</v>
      </c>
      <c r="BI489" s="991"/>
      <c r="BJ489" s="991">
        <v>3</v>
      </c>
      <c r="BK489" s="991"/>
      <c r="BL489" s="1001"/>
      <c r="BM489" s="1001">
        <v>1</v>
      </c>
      <c r="BN489" s="1001">
        <v>91</v>
      </c>
      <c r="BO489" s="1001"/>
      <c r="BP489" s="990" t="s">
        <v>41</v>
      </c>
      <c r="BQ489" s="997"/>
      <c r="BR489" s="1006">
        <v>0.3</v>
      </c>
      <c r="BS489" s="1007" t="s">
        <v>3064</v>
      </c>
      <c r="BT489" s="1006">
        <v>0.7</v>
      </c>
      <c r="BU489" s="1006">
        <v>0.3</v>
      </c>
      <c r="BV489" s="1007"/>
      <c r="BW489" s="1006">
        <v>0.5</v>
      </c>
      <c r="BX489" s="448"/>
      <c r="BY489" s="448"/>
      <c r="BZ489" s="448"/>
      <c r="CA489" s="448"/>
      <c r="CB489" s="448"/>
      <c r="CC489" s="777"/>
      <c r="CD489" s="448"/>
      <c r="CE489" s="998" t="str">
        <f>IFERROR(WWWW[[#This Row],['#_Water sources passed]]/WWWW[[#This Row],['#_Water sources tested for fecal coliform ]],"no test")</f>
        <v>no test</v>
      </c>
      <c r="CF489" s="996" t="str">
        <f>IFERROR(WWWW[[#This Row],['#_Household passed]]/WWWW[[#This Row],['#_Household water samples tested for fecal coliform]],"no test")</f>
        <v>no test</v>
      </c>
      <c r="CG489" s="997" t="str">
        <f>IF(AND(WWWW[[#This Row],[% of water sources passed]]="no test",WWWW[[#This Row],[% Household passed]]="no test"),"No Test","Tested")</f>
        <v>No Test</v>
      </c>
      <c r="CH489" s="997">
        <f>WWWW[[#This Row],['#_Constructed/existing protected hand dug well]]-WWWW[[#This Row],['#_Non-functional protected hand dug well]]</f>
        <v>0</v>
      </c>
      <c r="CI489" s="997">
        <f>(WWWW[[#This Row],['#_Constructed/Existing tube wells/boreholes/handpumps_WASH_agency]]+WWWW[[#This Row],['#_Non-Cluster partner water tube-wells/boreholes/handpumps]])-WWWW[[#This Row],['#_Non-functional tube wells/boreholes/handpumps]]</f>
        <v>1</v>
      </c>
      <c r="CJ489" s="997">
        <f>WWWW[[#This Row],['#_Constructed/Existingwater storage tank with gravity fed reticulation system]]-WWWW[[#This Row],['#_Non-functional storage tank gravity fed reticulation system]]</f>
        <v>0</v>
      </c>
      <c r="CK489" s="997">
        <f>(WWWW[[#This Row],['#_Water_Liters_supplied_by_Water boating or water trucking]]/90)/15</f>
        <v>0</v>
      </c>
      <c r="CL489" s="997">
        <f>WWWW[[#This Row],['#_Water_Liters_from_Constructed/Existing water distribution system from river or natural spring]]/90/15</f>
        <v>0</v>
      </c>
      <c r="CM489" s="424">
        <f>IF(WWWW[[#This Row],['#_of water points in TLS/CFS]]*500&gt;WWWW[[#This Row],[Total PoP ]],WWWW[[#This Row],[Total PoP ]],WWWW[[#This Row],['#_of water points in TLS/CFS]]*500)</f>
        <v>445</v>
      </c>
      <c r="CN489" s="424">
        <f>IF(WWWW[[#This Row],['#_of water points in THF]]*500&gt;WWWW[[#This Row],[Total PoP ]],WWWW[[#This Row],[Total PoP ]],WWWW[[#This Row],['#_of water points in THF]]*500)</f>
        <v>0</v>
      </c>
      <c r="CO48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8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0.5617977528089888</v>
      </c>
      <c r="CQ489" s="996">
        <f>IF(WWWW[[#This Row],[Location Type 1]]="Village",WWWW[[#This Row],[Access to safe drinking water for Village]],WWWW[[#This Row],[Access to safe drinking water for Camp]])</f>
        <v>1</v>
      </c>
      <c r="CR489" s="994">
        <f>WWWW[[#This Row],[%Equitable and continuous access to sufficient quantity of safe drinking water]]*WWWW[[#This Row],[Total PoP ]]</f>
        <v>445</v>
      </c>
      <c r="CS489" s="996">
        <f>IF((WWWW[[#This Row],['#_Constructed/Existing protected/fenced ponds]]*250)/WWWW[[#This Row],[Total PoP ]]&gt;1,1,(WWWW[[#This Row],['#_Constructed/Existing protected/fenced ponds]]*250)/WWWW[[#This Row],[Total PoP ]])</f>
        <v>0</v>
      </c>
      <c r="CT489" s="994">
        <f>WWWW[[#This Row],[% Access to unimproved water points]]*WWWW[[#This Row],[Total PoP ]]</f>
        <v>0</v>
      </c>
      <c r="CU48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8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445</v>
      </c>
      <c r="CW489" s="994">
        <f>WWWW[[#This Row],[HRP1]]/500</f>
        <v>0.89</v>
      </c>
      <c r="CX489" s="999">
        <f>1-WWWW[[#This Row],[% Equitable and continuous access to sufficient quantity of domestic water]]</f>
        <v>0</v>
      </c>
      <c r="CY489" s="994">
        <f>WWWW[[#This Row],[%equitable and continuous access to sufficient quantity of safe drinking and domestic water''s GAP]]*WWWW[[#This Row],[Total PoP ]]</f>
        <v>0</v>
      </c>
      <c r="CZ489" s="997">
        <f>IF(WWWW[[#This Row],[Total required water points]]-WWWW[[#This Row],['#Water points coverage]]&lt;0,0,WWWW[[#This Row],[Total required water points]]-WWWW[[#This Row],['#Water points coverage]])</f>
        <v>0.10999999999999999</v>
      </c>
      <c r="DA489" s="997">
        <f>ROUND(IF(WWWW[[#This Row],[Total PoP ]]&lt;500,1,WWWW[[#This Row],[Total PoP ]]/500),0)</f>
        <v>1</v>
      </c>
      <c r="DB489" s="997">
        <f>(WWWW[[#This Row],['#_Constructed latrines_by_WASHAgencies]]+WWWW[[#This Row],['#_Non Cluster partner latrines]])-WWWW[[#This Row],['#_Non-functional latrines]]</f>
        <v>23</v>
      </c>
      <c r="DC489" s="631">
        <f>WWWW[[#This Row],[HRP2]]/WWWW[[#This Row],[Total PoP ]]</f>
        <v>1</v>
      </c>
      <c r="DD48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445</v>
      </c>
      <c r="DE48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8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9" s="424">
        <f>IF(WWWW[[#This Row],['# of functional latrines in THF supported by WASH partners during the reporting period2]]="",0,WWWW[[#This Row],['# of functional latrines in THF supported by WASH partners during the reporting period2]]*50)</f>
        <v>0</v>
      </c>
      <c r="DH489" s="997">
        <f>ROUND(IF(WWWW[[#This Row],[Location Type 1]]="camp",WWWW[[#This Row],[Total PoP ]]/20,IF(WWWW[[#This Row],[Location Type 1]]="Temporary Location",WWWW[[#This Row],[Total PoP ]]/50,(WWWW[[#This Row],[Total PoP ]]/6))),0)</f>
        <v>22</v>
      </c>
      <c r="DI489" s="997">
        <f>IF(WWWW[[#This Row],[Total required Latrines]]-(WWWW[[#This Row],['#_Constructed latrines_by_WASHAgencies]]+WWWW[[#This Row],['#_Non Cluster partner latrines]])&lt;0,0,WWWW[[#This Row],[Total required Latrines]]-(WWWW[[#This Row],['#_Constructed latrines_by_WASHAgencies]]+WWWW[[#This Row],['#_Non Cluster partner latrines]]))</f>
        <v>0</v>
      </c>
      <c r="DJ489" s="999">
        <f>1-WWWW[[#This Row],[% people access to functioning Latrine]]</f>
        <v>0</v>
      </c>
      <c r="DK489" s="998">
        <f>IF(OR(WWWW[[#This Row],['#_Non-functional latrines]]="",WWWW[[#This Row],['#_Non-functional latrines]]=0),0,WWWW[[#This Row],['#_Non-functional latrines]]/(WWWW[[#This Row],['#_Constructed latrines_by_WASHAgencies]]+WWWW[[#This Row],['#_Non Cluster partner latrines]]))</f>
        <v>0</v>
      </c>
      <c r="DL489" s="994">
        <f>IF(500*(WWWW[[#This Row],['#_male hygiene promoters]]+WWWW[[#This Row],['#_female hygiene promoters]])&gt;WWWW[[#This Row],[Total PoP ]],WWWW[[#This Row],[Total PoP ]],500*(WWWW[[#This Row],['#_male hygiene promoters]]+WWWW[[#This Row],['#_female hygiene promoters]]))</f>
        <v>445</v>
      </c>
      <c r="DM48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445</v>
      </c>
      <c r="DN48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89" s="997">
        <f>IF(WWWW[[#This Row],['# People with access to soap]]&gt;WWWW[[#This Row],['# People with access to Sanity Pads]],WWWW[[#This Row],['# People with access to soap]],WWWW[[#This Row],['# People with access to Sanity Pads]])</f>
        <v>445</v>
      </c>
      <c r="DP489" s="997">
        <f>IF(WWWW[[#This Row],['# people reached by regular dedicated hygiene promotion_5]]&gt;WWWW[[#This Row],['# People received regular supply of hygiene items_6]],WWWW[[#This Row],['# people reached by regular dedicated hygiene promotion_5]],WWWW[[#This Row],['# People received regular supply of hygiene items_6]])</f>
        <v>445</v>
      </c>
      <c r="DQ489" s="999">
        <f>IF(WWWW[[#This Row],[HRP3]]/WWWW[[#This Row],[Total PoP ]]&gt;1,1,WWWW[[#This Row],[HRP3]]/WWWW[[#This Row],[Total PoP ]])</f>
        <v>1</v>
      </c>
      <c r="DR489" s="998">
        <f>1-WWWW[[#This Row],[Hygiene Coverage%]]</f>
        <v>0</v>
      </c>
      <c r="DS489" s="996">
        <f>WWWW[[#This Row],['# people reached by regular dedicated hygiene promotion_5]]/WWWW[[#This Row],[Total PoP ]]</f>
        <v>1</v>
      </c>
      <c r="DT48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8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89" s="997">
        <f>WWWW[[#This Row],['#_Constructed/Existing hand washing stations]]-WWWW[[#This Row],['#_Non-Functional_hand_washing_stations]]</f>
        <v>5</v>
      </c>
      <c r="DW489" s="994">
        <f>IF(WWWW[[#This Row],['# Functional hand washing stations during reporting period]]*20&gt;WWWW[[#This Row],[Total HH]],WWWW[[#This Row],[Total HH]],WWWW[[#This Row],['# Functional hand washing stations during reporting period]]*20)</f>
        <v>91</v>
      </c>
      <c r="DX489" s="994">
        <f>IF(WWWW[[#This Row],[Is sufficient soap available for TLS? (Yes/No)]]="yes",WWWW[[#This Row],['#_Constructed/Existing hand washing stations at TLS/CFS/THF]],0)</f>
        <v>2</v>
      </c>
      <c r="DY489" s="428">
        <f>IF(WWWW[[#This Row],['# Functional hand washing stations during reporting period]]*100&gt;WWWW[[#This Row],[Total PoP ]],WWWW[[#This Row],[Total PoP ]],WWWW[[#This Row],['# Functional hand washing stations during reporting period]]*100)</f>
        <v>445</v>
      </c>
      <c r="DZ489" s="428" t="str">
        <f>IF(OR(WWWW[[#This Row],['#_students at TLS_CFS]]="",WWWW[[#This Row],['#_students at TLS_CFS]]=0),"No","Yes")</f>
        <v>Yes</v>
      </c>
      <c r="EA48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8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445</v>
      </c>
      <c r="ED48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9" s="990" t="str">
        <f>VLOOKUP(WWWW[[#This Row],[Site Name]],SiteDB6[[Site Name]:[CCCM Management]],6,FALSE)</f>
        <v>Yes</v>
      </c>
      <c r="EF489" s="990" t="str">
        <f>VLOOKUP(WWWW[[#This Row],[Site Name]],SiteDB6[[Site Name]:[CCCM Focal Agency]],7,FALSE)</f>
        <v>Shalom</v>
      </c>
      <c r="EG489" s="990" t="str">
        <f>VLOOKUP(WWWW[[#This Row],[Site Name]],SiteDB6[[Site Name]:[Location Type 1]],9,FALSE)</f>
        <v>Camp</v>
      </c>
      <c r="EH489" s="990" t="str">
        <f>VLOOKUP(WWWW[[#This Row],[Site Name]],SiteDB6[[Site Name]:[Type of Accommodation]],10,FALSE)</f>
        <v>Camp</v>
      </c>
      <c r="EI489" s="990" t="str">
        <f>VLOOKUP(WWWW[[#This Row],[Site Name]],SiteDB6[[Site Name]:[Ethnic or GCA/NGCA]],11,FALSE)</f>
        <v>GCA</v>
      </c>
      <c r="EJ489" s="990">
        <f>VLOOKUP(WWWW[[#This Row],[Site Name]],SiteDB6[[Site Name]:[Lat]],12,FALSE)</f>
        <v>25.637309999999999</v>
      </c>
      <c r="EK489" s="990">
        <f>VLOOKUP(WWWW[[#This Row],[Site Name]],SiteDB6[[Site Name]:[Long]],13,FALSE)</f>
        <v>96.35257</v>
      </c>
      <c r="EL489" s="990" t="str">
        <f>VLOOKUP(WWWW[[#This Row],[Site Name]],SiteDB6[[Site Name]:[Pcode]],3,FALSE)</f>
        <v>MMR001CMP174</v>
      </c>
      <c r="EM489" s="995" t="str">
        <f t="shared" si="9"/>
        <v>Covered</v>
      </c>
      <c r="EN489" s="995"/>
      <c r="EO489" s="990">
        <f>VLOOKUP(WWWW[[#This Row],[Site Name]],SiteDB6[[Site Name]:[Pop
(Kachin/Shan-CCCM as of July 2021)]],16,FALSE)</f>
        <v>91</v>
      </c>
      <c r="EP489" s="990">
        <f>VLOOKUP(WWWW[[#This Row],[Site Name]],SiteDB6[[Site Name]:[Pop
(Kachin/Shan-CCCM as of July 2021)]],17,FALSE)</f>
        <v>442</v>
      </c>
    </row>
    <row r="490" spans="1:146">
      <c r="A490" s="988" t="s">
        <v>2765</v>
      </c>
      <c r="B490" s="988" t="s">
        <v>242</v>
      </c>
      <c r="C490" s="989" t="s">
        <v>242</v>
      </c>
      <c r="D490" s="989" t="s">
        <v>299</v>
      </c>
      <c r="E490" s="989" t="s">
        <v>37</v>
      </c>
      <c r="F490" s="989" t="s">
        <v>148</v>
      </c>
      <c r="G490" s="591" t="str">
        <f>VLOOKUP(WWWW[[#This Row],[Site Name]],SiteDB6[[Site Name]:[Location Type]],8,FALSE)</f>
        <v>Camp</v>
      </c>
      <c r="H490" s="989" t="s">
        <v>248</v>
      </c>
      <c r="I490" s="448">
        <v>95</v>
      </c>
      <c r="J490" s="448">
        <v>441</v>
      </c>
      <c r="K490" s="588">
        <v>44562</v>
      </c>
      <c r="L490" s="589">
        <v>44926</v>
      </c>
      <c r="M490" s="448"/>
      <c r="N490" s="448">
        <v>1</v>
      </c>
      <c r="O490" s="448">
        <v>6</v>
      </c>
      <c r="P490" s="448"/>
      <c r="Q490" s="717" t="s">
        <v>41</v>
      </c>
      <c r="R490" s="448">
        <v>6</v>
      </c>
      <c r="S490" s="448">
        <v>5</v>
      </c>
      <c r="T490" s="448">
        <v>2</v>
      </c>
      <c r="U490" s="448"/>
      <c r="V490" s="448"/>
      <c r="W490" s="448"/>
      <c r="X490" s="991"/>
      <c r="Y490" s="991"/>
      <c r="Z490" s="991"/>
      <c r="AA490" s="991"/>
      <c r="AB490" s="991"/>
      <c r="AC490" s="991"/>
      <c r="AD490" s="991"/>
      <c r="AE490" s="991">
        <v>4</v>
      </c>
      <c r="AF490" s="448">
        <v>3000</v>
      </c>
      <c r="AG490" s="448">
        <v>1</v>
      </c>
      <c r="AH490" s="991"/>
      <c r="AI490" s="991"/>
      <c r="AJ490" s="991"/>
      <c r="AK490" s="991"/>
      <c r="AL490" s="991"/>
      <c r="AM490" s="448"/>
      <c r="AN490" s="448"/>
      <c r="AO490" s="448"/>
      <c r="AP490" s="590"/>
      <c r="AQ490" s="991">
        <v>6</v>
      </c>
      <c r="AR490" s="991">
        <v>5</v>
      </c>
      <c r="AS490" s="996" t="s">
        <v>2135</v>
      </c>
      <c r="AT490" s="991"/>
      <c r="AU490" s="991"/>
      <c r="AV490" s="991"/>
      <c r="AW490" s="991"/>
      <c r="AX490" s="991">
        <v>16</v>
      </c>
      <c r="AY490" s="990" t="s">
        <v>41</v>
      </c>
      <c r="AZ490" s="995" t="s">
        <v>136</v>
      </c>
      <c r="BA490" s="991"/>
      <c r="BB490" s="991"/>
      <c r="BC490" s="991"/>
      <c r="BD490" s="448"/>
      <c r="BE490" s="448"/>
      <c r="BF490" s="990"/>
      <c r="BG490" s="991">
        <v>4</v>
      </c>
      <c r="BH490" s="991"/>
      <c r="BI490" s="991"/>
      <c r="BJ490" s="991">
        <v>2</v>
      </c>
      <c r="BK490" s="991"/>
      <c r="BL490" s="448">
        <v>5</v>
      </c>
      <c r="BM490" s="448">
        <v>5</v>
      </c>
      <c r="BN490" s="448"/>
      <c r="BO490" s="448"/>
      <c r="BP490" s="990"/>
      <c r="BQ490" s="424">
        <v>12</v>
      </c>
      <c r="BR490" s="423">
        <v>0.1</v>
      </c>
      <c r="BS490" s="425"/>
      <c r="BT490" s="423">
        <v>1</v>
      </c>
      <c r="BU490" s="423">
        <v>0.8</v>
      </c>
      <c r="BV490" s="425"/>
      <c r="BW490" s="423">
        <v>0.9</v>
      </c>
      <c r="BX490" s="448"/>
      <c r="BY490" s="448"/>
      <c r="BZ490" s="448"/>
      <c r="CA490" s="448"/>
      <c r="CB490" s="448"/>
      <c r="CC490" s="777"/>
      <c r="CD490" s="448"/>
      <c r="CE490" s="998" t="str">
        <f>IFERROR(WWWW[[#This Row],['#_Water sources passed]]/WWWW[[#This Row],['#_Water sources tested for fecal coliform ]],"no test")</f>
        <v>no test</v>
      </c>
      <c r="CF490" s="996" t="str">
        <f>IFERROR(WWWW[[#This Row],['#_Household passed]]/WWWW[[#This Row],['#_Household water samples tested for fecal coliform]],"no test")</f>
        <v>no test</v>
      </c>
      <c r="CG490" s="997" t="str">
        <f>IF(AND(WWWW[[#This Row],[% of water sources passed]]="no test",WWWW[[#This Row],[% Household passed]]="no test"),"No Test","Tested")</f>
        <v>No Test</v>
      </c>
      <c r="CH490" s="997">
        <f>WWWW[[#This Row],['#_Constructed/existing protected hand dug well]]-WWWW[[#This Row],['#_Non-functional protected hand dug well]]</f>
        <v>2</v>
      </c>
      <c r="CI490" s="997">
        <f>(WWWW[[#This Row],['#_Constructed/Existing tube wells/boreholes/handpumps_WASH_agency]]+WWWW[[#This Row],['#_Non-Cluster partner water tube-wells/boreholes/handpumps]])-WWWW[[#This Row],['#_Non-functional tube wells/boreholes/handpumps]]</f>
        <v>0</v>
      </c>
      <c r="CJ490" s="997">
        <f>WWWW[[#This Row],['#_Constructed/Existingwater storage tank with gravity fed reticulation system]]-WWWW[[#This Row],['#_Non-functional storage tank gravity fed reticulation system]]</f>
        <v>0</v>
      </c>
      <c r="CK490" s="997">
        <f>(WWWW[[#This Row],['#_Water_Liters_supplied_by_Water boating or water trucking]]/90)/15</f>
        <v>0</v>
      </c>
      <c r="CL490" s="997">
        <f>WWWW[[#This Row],['#_Water_Liters_from_Constructed/Existing water distribution system from river or natural spring]]/90/15</f>
        <v>2.2222222222222223</v>
      </c>
      <c r="CM490" s="424">
        <f>IF(WWWW[[#This Row],['#_of water points in TLS/CFS]]*500&gt;WWWW[[#This Row],[Total PoP ]],WWWW[[#This Row],[Total PoP ]],WWWW[[#This Row],['#_of water points in TLS/CFS]]*500)</f>
        <v>0</v>
      </c>
      <c r="CN490" s="424">
        <f>IF(WWWW[[#This Row],['#_of water points in THF]]*500&gt;WWWW[[#This Row],[Total PoP ]],WWWW[[#This Row],[Total PoP ]],WWWW[[#This Row],['#_of water points in THF]]*500)</f>
        <v>0</v>
      </c>
      <c r="CO49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9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90" s="996">
        <f>IF(WWWW[[#This Row],[Location Type 1]]="Village",WWWW[[#This Row],[Access to safe drinking water for Village]],WWWW[[#This Row],[Access to safe drinking water for Camp]])</f>
        <v>1</v>
      </c>
      <c r="CR490" s="994">
        <f>WWWW[[#This Row],[%Equitable and continuous access to sufficient quantity of safe drinking water]]*WWWW[[#This Row],[Total PoP ]]</f>
        <v>441</v>
      </c>
      <c r="CS490" s="996">
        <f>IF((WWWW[[#This Row],['#_Constructed/Existing protected/fenced ponds]]*250)/WWWW[[#This Row],[Total PoP ]]&gt;1,1,(WWWW[[#This Row],['#_Constructed/Existing protected/fenced ponds]]*250)/WWWW[[#This Row],[Total PoP ]])</f>
        <v>1</v>
      </c>
      <c r="CT490" s="994">
        <f>WWWW[[#This Row],[% Access to unimproved water points]]*WWWW[[#This Row],[Total PoP ]]</f>
        <v>441</v>
      </c>
      <c r="CU49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441</v>
      </c>
      <c r="CW490" s="994">
        <f>WWWW[[#This Row],[HRP1]]/500</f>
        <v>0.88200000000000001</v>
      </c>
      <c r="CX490" s="999">
        <f>1-WWWW[[#This Row],[% Equitable and continuous access to sufficient quantity of domestic water]]</f>
        <v>0</v>
      </c>
      <c r="CY490" s="994">
        <f>WWWW[[#This Row],[%equitable and continuous access to sufficient quantity of safe drinking and domestic water''s GAP]]*WWWW[[#This Row],[Total PoP ]]</f>
        <v>0</v>
      </c>
      <c r="CZ490" s="997">
        <f>IF(WWWW[[#This Row],[Total required water points]]-WWWW[[#This Row],['#Water points coverage]]&lt;0,0,WWWW[[#This Row],[Total required water points]]-WWWW[[#This Row],['#Water points coverage]])</f>
        <v>0.11799999999999999</v>
      </c>
      <c r="DA490" s="997">
        <f>ROUND(IF(WWWW[[#This Row],[Total PoP ]]&lt;500,1,WWWW[[#This Row],[Total PoP ]]/500),0)</f>
        <v>1</v>
      </c>
      <c r="DB490" s="997">
        <f>(WWWW[[#This Row],['#_Constructed latrines_by_WASHAgencies]]+WWWW[[#This Row],['#_Non Cluster partner latrines]])-WWWW[[#This Row],['#_Non-functional latrines]]</f>
        <v>11</v>
      </c>
      <c r="DC490" s="631">
        <f>WWWW[[#This Row],[HRP2]]/WWWW[[#This Row],[Total PoP ]]</f>
        <v>0.49886621315192742</v>
      </c>
      <c r="DD49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49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9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0" s="424">
        <f>IF(WWWW[[#This Row],['# of functional latrines in THF supported by WASH partners during the reporting period2]]="",0,WWWW[[#This Row],['# of functional latrines in THF supported by WASH partners during the reporting period2]]*50)</f>
        <v>0</v>
      </c>
      <c r="DH490" s="997">
        <f>ROUND(IF(WWWW[[#This Row],[Location Type 1]]="camp",WWWW[[#This Row],[Total PoP ]]/20,IF(WWWW[[#This Row],[Location Type 1]]="Temporary Location",WWWW[[#This Row],[Total PoP ]]/50,(WWWW[[#This Row],[Total PoP ]]/6))),0)</f>
        <v>22</v>
      </c>
      <c r="DI490" s="997">
        <f>IF(WWWW[[#This Row],[Total required Latrines]]-(WWWW[[#This Row],['#_Constructed latrines_by_WASHAgencies]]+WWWW[[#This Row],['#_Non Cluster partner latrines]])&lt;0,0,WWWW[[#This Row],[Total required Latrines]]-(WWWW[[#This Row],['#_Constructed latrines_by_WASHAgencies]]+WWWW[[#This Row],['#_Non Cluster partner latrines]]))</f>
        <v>11</v>
      </c>
      <c r="DJ490" s="999">
        <f>1-WWWW[[#This Row],[% people access to functioning Latrine]]</f>
        <v>0.50113378684807253</v>
      </c>
      <c r="DK490" s="998">
        <f>IF(OR(WWWW[[#This Row],['#_Non-functional latrines]]="",WWWW[[#This Row],['#_Non-functional latrines]]=0),0,WWWW[[#This Row],['#_Non-functional latrines]]/(WWWW[[#This Row],['#_Constructed latrines_by_WASHAgencies]]+WWWW[[#This Row],['#_Non Cluster partner latrines]]))</f>
        <v>0</v>
      </c>
      <c r="DL490" s="994">
        <f>IF(500*(WWWW[[#This Row],['#_male hygiene promoters]]+WWWW[[#This Row],['#_female hygiene promoters]])&gt;WWWW[[#This Row],[Total PoP ]],WWWW[[#This Row],[Total PoP ]],500*(WWWW[[#This Row],['#_male hygiene promoters]]+WWWW[[#This Row],['#_female hygiene promoters]]))</f>
        <v>441</v>
      </c>
      <c r="DM49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9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90" s="997">
        <f>IF(WWWW[[#This Row],['# People with access to soap]]&gt;WWWW[[#This Row],['# People with access to Sanity Pads]],WWWW[[#This Row],['# People with access to soap]],WWWW[[#This Row],['# People with access to Sanity Pads]])</f>
        <v>0</v>
      </c>
      <c r="DP490" s="997">
        <f>IF(WWWW[[#This Row],['# people reached by regular dedicated hygiene promotion_5]]&gt;WWWW[[#This Row],['# People received regular supply of hygiene items_6]],WWWW[[#This Row],['# people reached by regular dedicated hygiene promotion_5]],WWWW[[#This Row],['# People received regular supply of hygiene items_6]])</f>
        <v>441</v>
      </c>
      <c r="DQ490" s="999">
        <f>IF(WWWW[[#This Row],[HRP3]]/WWWW[[#This Row],[Total PoP ]]&gt;1,1,WWWW[[#This Row],[HRP3]]/WWWW[[#This Row],[Total PoP ]])</f>
        <v>1</v>
      </c>
      <c r="DR490" s="998">
        <f>1-WWWW[[#This Row],[Hygiene Coverage%]]</f>
        <v>0</v>
      </c>
      <c r="DS490" s="996">
        <f>WWWW[[#This Row],['# people reached by regular dedicated hygiene promotion_5]]/WWWW[[#This Row],[Total PoP ]]</f>
        <v>1</v>
      </c>
      <c r="DT49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9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90" s="997">
        <f>WWWW[[#This Row],['#_Constructed/Existing hand washing stations]]-WWWW[[#This Row],['#_Non-Functional_hand_washing_stations]]</f>
        <v>4</v>
      </c>
      <c r="DW490" s="994">
        <f>IF(WWWW[[#This Row],['# Functional hand washing stations during reporting period]]*20&gt;WWWW[[#This Row],[Total HH]],WWWW[[#This Row],[Total HH]],WWWW[[#This Row],['# Functional hand washing stations during reporting period]]*20)</f>
        <v>80</v>
      </c>
      <c r="DX490" s="994">
        <f>IF(WWWW[[#This Row],[Is sufficient soap available for TLS? (Yes/No)]]="yes",WWWW[[#This Row],['#_Constructed/Existing hand washing stations at TLS/CFS/THF]],0)</f>
        <v>0</v>
      </c>
      <c r="DY490" s="428">
        <f>IF(WWWW[[#This Row],['# Functional hand washing stations during reporting period]]*100&gt;WWWW[[#This Row],[Total PoP ]],WWWW[[#This Row],[Total PoP ]],WWWW[[#This Row],['# Functional hand washing stations during reporting period]]*100)</f>
        <v>400</v>
      </c>
      <c r="DZ490" s="428" t="str">
        <f>IF(OR(WWWW[[#This Row],['#_students at TLS_CFS]]="",WWWW[[#This Row],['#_students at TLS_CFS]]=0),"No","Yes")</f>
        <v>No</v>
      </c>
      <c r="EA49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9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9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0" s="990" t="str">
        <f>VLOOKUP(WWWW[[#This Row],[Site Name]],SiteDB6[[Site Name]:[CCCM Management]],6,FALSE)</f>
        <v>Yes</v>
      </c>
      <c r="EF490" s="990" t="str">
        <f>VLOOKUP(WWWW[[#This Row],[Site Name]],SiteDB6[[Site Name]:[CCCM Focal Agency]],7,FALSE)</f>
        <v>Shalom</v>
      </c>
      <c r="EG490" s="990" t="str">
        <f>VLOOKUP(WWWW[[#This Row],[Site Name]],SiteDB6[[Site Name]:[Location Type 1]],9,FALSE)</f>
        <v>Camp</v>
      </c>
      <c r="EH490" s="990" t="str">
        <f>VLOOKUP(WWWW[[#This Row],[Site Name]],SiteDB6[[Site Name]:[Type of Accommodation]],10,FALSE)</f>
        <v>Camp</v>
      </c>
      <c r="EI490" s="990" t="str">
        <f>VLOOKUP(WWWW[[#This Row],[Site Name]],SiteDB6[[Site Name]:[Ethnic or GCA/NGCA]],11,FALSE)</f>
        <v>GCA</v>
      </c>
      <c r="EJ490" s="990">
        <f>VLOOKUP(WWWW[[#This Row],[Site Name]],SiteDB6[[Site Name]:[Lat]],12,FALSE)</f>
        <v>25.635300000000001</v>
      </c>
      <c r="EK490" s="990">
        <f>VLOOKUP(WWWW[[#This Row],[Site Name]],SiteDB6[[Site Name]:[Long]],13,FALSE)</f>
        <v>96.345569999999995</v>
      </c>
      <c r="EL490" s="990" t="str">
        <f>VLOOKUP(WWWW[[#This Row],[Site Name]],SiteDB6[[Site Name]:[Pcode]],3,FALSE)</f>
        <v>MMR001CMP176</v>
      </c>
      <c r="EM490" s="995" t="str">
        <f t="shared" si="9"/>
        <v>Covered</v>
      </c>
      <c r="EN490" s="995"/>
      <c r="EO490" s="990">
        <f>VLOOKUP(WWWW[[#This Row],[Site Name]],SiteDB6[[Site Name]:[Pop
(Kachin/Shan-CCCM as of July 2021)]],16,FALSE)</f>
        <v>94</v>
      </c>
      <c r="EP490" s="990">
        <f>VLOOKUP(WWWW[[#This Row],[Site Name]],SiteDB6[[Site Name]:[Pop
(Kachin/Shan-CCCM as of July 2021)]],17,FALSE)</f>
        <v>438</v>
      </c>
    </row>
    <row r="491" spans="1:146">
      <c r="A491" s="988" t="s">
        <v>2765</v>
      </c>
      <c r="B491" s="988" t="s">
        <v>242</v>
      </c>
      <c r="C491" s="989" t="s">
        <v>242</v>
      </c>
      <c r="D491" s="989" t="s">
        <v>299</v>
      </c>
      <c r="E491" s="989" t="s">
        <v>37</v>
      </c>
      <c r="F491" s="989" t="s">
        <v>148</v>
      </c>
      <c r="G491" s="591" t="str">
        <f>VLOOKUP(WWWW[[#This Row],[Site Name]],SiteDB6[[Site Name]:[Location Type]],8,FALSE)</f>
        <v>Camp</v>
      </c>
      <c r="H491" s="989" t="s">
        <v>255</v>
      </c>
      <c r="I491" s="448">
        <v>19</v>
      </c>
      <c r="J491" s="448">
        <v>103</v>
      </c>
      <c r="K491" s="588">
        <v>44562</v>
      </c>
      <c r="L491" s="589">
        <v>44926</v>
      </c>
      <c r="M491" s="448">
        <v>15</v>
      </c>
      <c r="N491" s="991"/>
      <c r="O491" s="991"/>
      <c r="P491" s="991"/>
      <c r="Q491" s="994" t="s">
        <v>41</v>
      </c>
      <c r="R491" s="991">
        <v>3</v>
      </c>
      <c r="S491" s="991">
        <v>2</v>
      </c>
      <c r="T491" s="448"/>
      <c r="U491" s="991"/>
      <c r="V491" s="991"/>
      <c r="W491" s="991"/>
      <c r="X491" s="991"/>
      <c r="Y491" s="991"/>
      <c r="Z491" s="991"/>
      <c r="AA491" s="991">
        <v>2</v>
      </c>
      <c r="AB491" s="991"/>
      <c r="AC491" s="991"/>
      <c r="AD491" s="991"/>
      <c r="AE491" s="991"/>
      <c r="AF491" s="448">
        <v>4000</v>
      </c>
      <c r="AG491" s="448"/>
      <c r="AH491" s="448"/>
      <c r="AI491" s="448"/>
      <c r="AJ491" s="448"/>
      <c r="AK491" s="991"/>
      <c r="AL491" s="448">
        <v>19</v>
      </c>
      <c r="AM491" s="448">
        <v>2</v>
      </c>
      <c r="AN491" s="448"/>
      <c r="AO491" s="448"/>
      <c r="AP491" s="995"/>
      <c r="AQ491" s="991">
        <v>8</v>
      </c>
      <c r="AR491" s="991"/>
      <c r="AS491" s="996"/>
      <c r="AT491" s="991"/>
      <c r="AU491" s="991"/>
      <c r="AV491" s="991">
        <v>1</v>
      </c>
      <c r="AW491" s="448">
        <v>1000</v>
      </c>
      <c r="AX491" s="991"/>
      <c r="AY491" s="990" t="s">
        <v>41</v>
      </c>
      <c r="AZ491" s="995" t="s">
        <v>137</v>
      </c>
      <c r="BA491" s="991"/>
      <c r="BB491" s="991"/>
      <c r="BC491" s="991"/>
      <c r="BD491" s="448"/>
      <c r="BE491" s="448"/>
      <c r="BF491" s="990"/>
      <c r="BG491" s="991">
        <v>2</v>
      </c>
      <c r="BH491" s="991">
        <v>3</v>
      </c>
      <c r="BI491" s="991"/>
      <c r="BJ491" s="991">
        <v>2</v>
      </c>
      <c r="BK491" s="991"/>
      <c r="BL491" s="991"/>
      <c r="BM491" s="991"/>
      <c r="BN491" s="991"/>
      <c r="BO491" s="991"/>
      <c r="BP491" s="990"/>
      <c r="BQ491" s="997"/>
      <c r="BR491" s="423">
        <v>0.85</v>
      </c>
      <c r="BS491" s="425"/>
      <c r="BT491" s="423">
        <v>0.99</v>
      </c>
      <c r="BU491" s="423">
        <v>0.95</v>
      </c>
      <c r="BV491" s="425"/>
      <c r="BW491" s="423">
        <v>0.99</v>
      </c>
      <c r="BX491" s="448"/>
      <c r="BY491" s="448"/>
      <c r="BZ491" s="448"/>
      <c r="CA491" s="448"/>
      <c r="CB491" s="448"/>
      <c r="CC491" s="777"/>
      <c r="CD491" s="448"/>
      <c r="CE491" s="998" t="str">
        <f>IFERROR(WWWW[[#This Row],['#_Water sources passed]]/WWWW[[#This Row],['#_Water sources tested for fecal coliform ]],"no test")</f>
        <v>no test</v>
      </c>
      <c r="CF491" s="996" t="str">
        <f>IFERROR(WWWW[[#This Row],['#_Household passed]]/WWWW[[#This Row],['#_Household water samples tested for fecal coliform]],"no test")</f>
        <v>no test</v>
      </c>
      <c r="CG491" s="997" t="str">
        <f>IF(AND(WWWW[[#This Row],[% of water sources passed]]="no test",WWWW[[#This Row],[% Household passed]]="no test"),"No Test","Tested")</f>
        <v>No Test</v>
      </c>
      <c r="CH491" s="997">
        <f>WWWW[[#This Row],['#_Constructed/existing protected hand dug well]]-WWWW[[#This Row],['#_Non-functional protected hand dug well]]</f>
        <v>0</v>
      </c>
      <c r="CI491" s="997">
        <f>(WWWW[[#This Row],['#_Constructed/Existing tube wells/boreholes/handpumps_WASH_agency]]+WWWW[[#This Row],['#_Non-Cluster partner water tube-wells/boreholes/handpumps]])-WWWW[[#This Row],['#_Non-functional tube wells/boreholes/handpumps]]</f>
        <v>0</v>
      </c>
      <c r="CJ491" s="997">
        <f>WWWW[[#This Row],['#_Constructed/Existingwater storage tank with gravity fed reticulation system]]-WWWW[[#This Row],['#_Non-functional storage tank gravity fed reticulation system]]</f>
        <v>2</v>
      </c>
      <c r="CK491" s="997">
        <f>(WWWW[[#This Row],['#_Water_Liters_supplied_by_Water boating or water trucking]]/90)/15</f>
        <v>0</v>
      </c>
      <c r="CL491" s="997">
        <f>WWWW[[#This Row],['#_Water_Liters_from_Constructed/Existing water distribution system from river or natural spring]]/90/15</f>
        <v>2.9629629629629628</v>
      </c>
      <c r="CM491" s="424">
        <f>IF(WWWW[[#This Row],['#_of water points in TLS/CFS]]*500&gt;WWWW[[#This Row],[Total PoP ]],WWWW[[#This Row],[Total PoP ]],WWWW[[#This Row],['#_of water points in TLS/CFS]]*500)</f>
        <v>0</v>
      </c>
      <c r="CN491" s="424">
        <f>IF(WWWW[[#This Row],['#_of water points in THF]]*500&gt;WWWW[[#This Row],[Total PoP ]],WWWW[[#This Row],[Total PoP ]],WWWW[[#This Row],['#_of water points in THF]]*500)</f>
        <v>0</v>
      </c>
      <c r="CO49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9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91" s="996">
        <f>IF(WWWW[[#This Row],[Location Type 1]]="Village",WWWW[[#This Row],[Access to safe drinking water for Village]],WWWW[[#This Row],[Access to safe drinking water for Camp]])</f>
        <v>1</v>
      </c>
      <c r="CR491" s="994">
        <f>WWWW[[#This Row],[%Equitable and continuous access to sufficient quantity of safe drinking water]]*WWWW[[#This Row],[Total PoP ]]</f>
        <v>103</v>
      </c>
      <c r="CS491" s="996">
        <f>IF((WWWW[[#This Row],['#_Constructed/Existing protected/fenced ponds]]*250)/WWWW[[#This Row],[Total PoP ]]&gt;1,1,(WWWW[[#This Row],['#_Constructed/Existing protected/fenced ponds]]*250)/WWWW[[#This Row],[Total PoP ]])</f>
        <v>0</v>
      </c>
      <c r="CT491" s="994">
        <f>WWWW[[#This Row],[% Access to unimproved water points]]*WWWW[[#This Row],[Total PoP ]]</f>
        <v>0</v>
      </c>
      <c r="CU49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491" s="994">
        <f>WWWW[[#This Row],[HRP1]]/500</f>
        <v>0.20599999999999999</v>
      </c>
      <c r="CX491" s="999">
        <f>1-WWWW[[#This Row],[% Equitable and continuous access to sufficient quantity of domestic water]]</f>
        <v>0</v>
      </c>
      <c r="CY491" s="994">
        <f>WWWW[[#This Row],[%equitable and continuous access to sufficient quantity of safe drinking and domestic water''s GAP]]*WWWW[[#This Row],[Total PoP ]]</f>
        <v>0</v>
      </c>
      <c r="CZ491" s="997">
        <f>IF(WWWW[[#This Row],[Total required water points]]-WWWW[[#This Row],['#Water points coverage]]&lt;0,0,WWWW[[#This Row],[Total required water points]]-WWWW[[#This Row],['#Water points coverage]])</f>
        <v>0.79400000000000004</v>
      </c>
      <c r="DA491" s="997">
        <f>ROUND(IF(WWWW[[#This Row],[Total PoP ]]&lt;500,1,WWWW[[#This Row],[Total PoP ]]/500),0)</f>
        <v>1</v>
      </c>
      <c r="DB491" s="997">
        <f>(WWWW[[#This Row],['#_Constructed latrines_by_WASHAgencies]]+WWWW[[#This Row],['#_Non Cluster partner latrines]])-WWWW[[#This Row],['#_Non-functional latrines]]</f>
        <v>8</v>
      </c>
      <c r="DC491" s="631">
        <f>WWWW[[#This Row],[HRP2]]/WWWW[[#This Row],[Total PoP ]]</f>
        <v>1</v>
      </c>
      <c r="DD49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49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v>
      </c>
      <c r="DF49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1" s="424">
        <f>IF(WWWW[[#This Row],['# of functional latrines in THF supported by WASH partners during the reporting period2]]="",0,WWWW[[#This Row],['# of functional latrines in THF supported by WASH partners during the reporting period2]]*50)</f>
        <v>0</v>
      </c>
      <c r="DH491" s="997">
        <f>ROUND(IF(WWWW[[#This Row],[Location Type 1]]="camp",WWWW[[#This Row],[Total PoP ]]/20,IF(WWWW[[#This Row],[Location Type 1]]="Temporary Location",WWWW[[#This Row],[Total PoP ]]/50,(WWWW[[#This Row],[Total PoP ]]/6))),0)</f>
        <v>5</v>
      </c>
      <c r="DI491" s="997">
        <f>IF(WWWW[[#This Row],[Total required Latrines]]-(WWWW[[#This Row],['#_Constructed latrines_by_WASHAgencies]]+WWWW[[#This Row],['#_Non Cluster partner latrines]])&lt;0,0,WWWW[[#This Row],[Total required Latrines]]-(WWWW[[#This Row],['#_Constructed latrines_by_WASHAgencies]]+WWWW[[#This Row],['#_Non Cluster partner latrines]]))</f>
        <v>0</v>
      </c>
      <c r="DJ491" s="999">
        <f>1-WWWW[[#This Row],[% people access to functioning Latrine]]</f>
        <v>0</v>
      </c>
      <c r="DK491" s="998">
        <f>IF(OR(WWWW[[#This Row],['#_Non-functional latrines]]="",WWWW[[#This Row],['#_Non-functional latrines]]=0),0,WWWW[[#This Row],['#_Non-functional latrines]]/(WWWW[[#This Row],['#_Constructed latrines_by_WASHAgencies]]+WWWW[[#This Row],['#_Non Cluster partner latrines]]))</f>
        <v>0</v>
      </c>
      <c r="DL491" s="994">
        <f>IF(500*(WWWW[[#This Row],['#_male hygiene promoters]]+WWWW[[#This Row],['#_female hygiene promoters]])&gt;WWWW[[#This Row],[Total PoP ]],WWWW[[#This Row],[Total PoP ]],500*(WWWW[[#This Row],['#_male hygiene promoters]]+WWWW[[#This Row],['#_female hygiene promoters]]))</f>
        <v>0</v>
      </c>
      <c r="DM49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9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91" s="997">
        <f>IF(WWWW[[#This Row],['# People with access to soap]]&gt;WWWW[[#This Row],['# People with access to Sanity Pads]],WWWW[[#This Row],['# People with access to soap]],WWWW[[#This Row],['# People with access to Sanity Pads]])</f>
        <v>0</v>
      </c>
      <c r="DP491"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91" s="999">
        <f>IF(WWWW[[#This Row],[HRP3]]/WWWW[[#This Row],[Total PoP ]]&gt;1,1,WWWW[[#This Row],[HRP3]]/WWWW[[#This Row],[Total PoP ]])</f>
        <v>0</v>
      </c>
      <c r="DR491" s="998">
        <f>1-WWWW[[#This Row],[Hygiene Coverage%]]</f>
        <v>1</v>
      </c>
      <c r="DS491" s="996">
        <f>WWWW[[#This Row],['# people reached by regular dedicated hygiene promotion_5]]/WWWW[[#This Row],[Total PoP ]]</f>
        <v>0</v>
      </c>
      <c r="DT49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9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91" s="997">
        <f>WWWW[[#This Row],['#_Constructed/Existing hand washing stations]]-WWWW[[#This Row],['#_Non-Functional_hand_washing_stations]]</f>
        <v>-1</v>
      </c>
      <c r="DW491" s="994">
        <f>IF(WWWW[[#This Row],['# Functional hand washing stations during reporting period]]*20&gt;WWWW[[#This Row],[Total HH]],WWWW[[#This Row],[Total HH]],WWWW[[#This Row],['# Functional hand washing stations during reporting period]]*20)</f>
        <v>-20</v>
      </c>
      <c r="DX491" s="994">
        <f>IF(WWWW[[#This Row],[Is sufficient soap available for TLS? (Yes/No)]]="yes",WWWW[[#This Row],['#_Constructed/Existing hand washing stations at TLS/CFS/THF]],0)</f>
        <v>0</v>
      </c>
      <c r="DY491" s="428">
        <f>IF(WWWW[[#This Row],['# Functional hand washing stations during reporting period]]*100&gt;WWWW[[#This Row],[Total PoP ]],WWWW[[#This Row],[Total PoP ]],WWWW[[#This Row],['# Functional hand washing stations during reporting period]]*100)</f>
        <v>-100</v>
      </c>
      <c r="DZ491" s="428" t="str">
        <f>IF(OR(WWWW[[#This Row],['#_students at TLS_CFS]]="",WWWW[[#This Row],['#_students at TLS_CFS]]=0),"No","Yes")</f>
        <v>Yes</v>
      </c>
      <c r="EA49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9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9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1" s="990" t="str">
        <f>VLOOKUP(WWWW[[#This Row],[Site Name]],SiteDB6[[Site Name]:[CCCM Management]],6,FALSE)</f>
        <v>Yes</v>
      </c>
      <c r="EF491" s="990" t="str">
        <f>VLOOKUP(WWWW[[#This Row],[Site Name]],SiteDB6[[Site Name]:[CCCM Focal Agency]],7,FALSE)</f>
        <v>Shalom</v>
      </c>
      <c r="EG491" s="990" t="str">
        <f>VLOOKUP(WWWW[[#This Row],[Site Name]],SiteDB6[[Site Name]:[Location Type 1]],9,FALSE)</f>
        <v>Camp</v>
      </c>
      <c r="EH491" s="990" t="str">
        <f>VLOOKUP(WWWW[[#This Row],[Site Name]],SiteDB6[[Site Name]:[Type of Accommodation]],10,FALSE)</f>
        <v>Camp</v>
      </c>
      <c r="EI491" s="990" t="str">
        <f>VLOOKUP(WWWW[[#This Row],[Site Name]],SiteDB6[[Site Name]:[Ethnic or GCA/NGCA]],11,FALSE)</f>
        <v>GCA</v>
      </c>
      <c r="EJ491" s="990">
        <f>VLOOKUP(WWWW[[#This Row],[Site Name]],SiteDB6[[Site Name]:[Lat]],12,FALSE)</f>
        <v>25.566510000000001</v>
      </c>
      <c r="EK491" s="990">
        <f>VLOOKUP(WWWW[[#This Row],[Site Name]],SiteDB6[[Site Name]:[Long]],13,FALSE)</f>
        <v>96.269199999999998</v>
      </c>
      <c r="EL491" s="990" t="str">
        <f>VLOOKUP(WWWW[[#This Row],[Site Name]],SiteDB6[[Site Name]:[Pcode]],3,FALSE)</f>
        <v>MMR001CMP181</v>
      </c>
      <c r="EM491" s="995" t="str">
        <f t="shared" si="9"/>
        <v>Covered</v>
      </c>
      <c r="EN491" s="995"/>
      <c r="EO491" s="990">
        <f>VLOOKUP(WWWW[[#This Row],[Site Name]],SiteDB6[[Site Name]:[Pop
(Kachin/Shan-CCCM as of July 2021)]],16,FALSE)</f>
        <v>19</v>
      </c>
      <c r="EP491" s="990">
        <f>VLOOKUP(WWWW[[#This Row],[Site Name]],SiteDB6[[Site Name]:[Pop
(Kachin/Shan-CCCM as of July 2021)]],17,FALSE)</f>
        <v>100</v>
      </c>
    </row>
    <row r="492" spans="1:146">
      <c r="A492" s="988" t="s">
        <v>2765</v>
      </c>
      <c r="B492" s="988" t="s">
        <v>309</v>
      </c>
      <c r="C492" s="989" t="s">
        <v>309</v>
      </c>
      <c r="D492" s="989"/>
      <c r="E492" s="989" t="s">
        <v>37</v>
      </c>
      <c r="F492" s="989" t="s">
        <v>142</v>
      </c>
      <c r="G492" s="591" t="str">
        <f>VLOOKUP(WWWW[[#This Row],[Site Name]],SiteDB6[[Site Name]:[Location Type]],8,FALSE)</f>
        <v>Camp</v>
      </c>
      <c r="H492" s="989" t="s">
        <v>2783</v>
      </c>
      <c r="I492" s="991">
        <v>12</v>
      </c>
      <c r="J492" s="991">
        <v>59</v>
      </c>
      <c r="K492" s="992"/>
      <c r="L492" s="993"/>
      <c r="M492" s="991"/>
      <c r="N492" s="991"/>
      <c r="O492" s="991"/>
      <c r="P492" s="991"/>
      <c r="Q492" s="994"/>
      <c r="R492" s="991"/>
      <c r="S492" s="991"/>
      <c r="T492" s="448"/>
      <c r="U492" s="991"/>
      <c r="V492" s="991"/>
      <c r="W492" s="991"/>
      <c r="X492" s="991"/>
      <c r="Y492" s="991"/>
      <c r="Z492" s="991"/>
      <c r="AA492" s="991"/>
      <c r="AB492" s="991"/>
      <c r="AC492" s="991"/>
      <c r="AD492" s="991"/>
      <c r="AE492" s="991"/>
      <c r="AF492" s="991"/>
      <c r="AG492" s="991"/>
      <c r="AH492" s="991"/>
      <c r="AI492" s="991"/>
      <c r="AJ492" s="991"/>
      <c r="AK492" s="991"/>
      <c r="AL492" s="991"/>
      <c r="AM492" s="991"/>
      <c r="AN492" s="991"/>
      <c r="AO492" s="448"/>
      <c r="AP492" s="995"/>
      <c r="AQ492" s="991"/>
      <c r="AR492" s="991"/>
      <c r="AS492" s="996"/>
      <c r="AT492" s="991"/>
      <c r="AU492" s="991"/>
      <c r="AV492" s="991"/>
      <c r="AW492" s="991"/>
      <c r="AX492" s="991"/>
      <c r="AY492" s="990" t="s">
        <v>140</v>
      </c>
      <c r="AZ492" s="995" t="s">
        <v>140</v>
      </c>
      <c r="BA492" s="991"/>
      <c r="BB492" s="991"/>
      <c r="BC492" s="991"/>
      <c r="BD492" s="448"/>
      <c r="BE492" s="448"/>
      <c r="BF492" s="990"/>
      <c r="BG492" s="991">
        <v>7</v>
      </c>
      <c r="BH492" s="991"/>
      <c r="BI492" s="991"/>
      <c r="BJ492" s="991">
        <v>7</v>
      </c>
      <c r="BK492" s="991"/>
      <c r="BL492" s="991"/>
      <c r="BM492" s="991"/>
      <c r="BN492" s="991"/>
      <c r="BO492" s="991"/>
      <c r="BP492" s="990"/>
      <c r="BQ492" s="997"/>
      <c r="BR492" s="996"/>
      <c r="BS492" s="990"/>
      <c r="BT492" s="423"/>
      <c r="BU492" s="423"/>
      <c r="BV492" s="425"/>
      <c r="BW492" s="423"/>
      <c r="BX492" s="448"/>
      <c r="BY492" s="448"/>
      <c r="BZ492" s="448"/>
      <c r="CA492" s="448"/>
      <c r="CB492" s="448"/>
      <c r="CC492" s="777"/>
      <c r="CD492" s="448"/>
      <c r="CE492" s="998" t="str">
        <f>IFERROR(WWWW[[#This Row],['#_Water sources passed]]/WWWW[[#This Row],['#_Water sources tested for fecal coliform ]],"no test")</f>
        <v>no test</v>
      </c>
      <c r="CF492" s="996" t="str">
        <f>IFERROR(WWWW[[#This Row],['#_Household passed]]/WWWW[[#This Row],['#_Household water samples tested for fecal coliform]],"no test")</f>
        <v>no test</v>
      </c>
      <c r="CG492" s="997" t="str">
        <f>IF(AND(WWWW[[#This Row],[% of water sources passed]]="no test",WWWW[[#This Row],[% Household passed]]="no test"),"No Test","Tested")</f>
        <v>No Test</v>
      </c>
      <c r="CH492" s="997">
        <f>WWWW[[#This Row],['#_Constructed/existing protected hand dug well]]-WWWW[[#This Row],['#_Non-functional protected hand dug well]]</f>
        <v>0</v>
      </c>
      <c r="CI492" s="997">
        <f>(WWWW[[#This Row],['#_Constructed/Existing tube wells/boreholes/handpumps_WASH_agency]]+WWWW[[#This Row],['#_Non-Cluster partner water tube-wells/boreholes/handpumps]])-WWWW[[#This Row],['#_Non-functional tube wells/boreholes/handpumps]]</f>
        <v>0</v>
      </c>
      <c r="CJ492" s="997">
        <f>WWWW[[#This Row],['#_Constructed/Existingwater storage tank with gravity fed reticulation system]]-WWWW[[#This Row],['#_Non-functional storage tank gravity fed reticulation system]]</f>
        <v>0</v>
      </c>
      <c r="CK492" s="997">
        <f>(WWWW[[#This Row],['#_Water_Liters_supplied_by_Water boating or water trucking]]/90)/15</f>
        <v>0</v>
      </c>
      <c r="CL492" s="997">
        <f>WWWW[[#This Row],['#_Water_Liters_from_Constructed/Existing water distribution system from river or natural spring]]/90/15</f>
        <v>0</v>
      </c>
      <c r="CM492" s="424">
        <f>IF(WWWW[[#This Row],['#_of water points in TLS/CFS]]*500&gt;WWWW[[#This Row],[Total PoP ]],WWWW[[#This Row],[Total PoP ]],WWWW[[#This Row],['#_of water points in TLS/CFS]]*500)</f>
        <v>0</v>
      </c>
      <c r="CN492" s="424">
        <f>IF(WWWW[[#This Row],['#_of water points in THF]]*500&gt;WWWW[[#This Row],[Total PoP ]],WWWW[[#This Row],[Total PoP ]],WWWW[[#This Row],['#_of water points in THF]]*500)</f>
        <v>0</v>
      </c>
      <c r="CO49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9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92" s="996">
        <f>IF(WWWW[[#This Row],[Location Type 1]]="Village",WWWW[[#This Row],[Access to safe drinking water for Village]],WWWW[[#This Row],[Access to safe drinking water for Camp]])</f>
        <v>0</v>
      </c>
      <c r="CR492" s="994">
        <f>WWWW[[#This Row],[%Equitable and continuous access to sufficient quantity of safe drinking water]]*WWWW[[#This Row],[Total PoP ]]</f>
        <v>0</v>
      </c>
      <c r="CS492" s="996">
        <f>IF((WWWW[[#This Row],['#_Constructed/Existing protected/fenced ponds]]*250)/WWWW[[#This Row],[Total PoP ]]&gt;1,1,(WWWW[[#This Row],['#_Constructed/Existing protected/fenced ponds]]*250)/WWWW[[#This Row],[Total PoP ]])</f>
        <v>0</v>
      </c>
      <c r="CT492" s="994">
        <f>WWWW[[#This Row],[% Access to unimproved water points]]*WWWW[[#This Row],[Total PoP ]]</f>
        <v>0</v>
      </c>
      <c r="CU49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9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92" s="994">
        <f>WWWW[[#This Row],[HRP1]]/500</f>
        <v>0</v>
      </c>
      <c r="CX492" s="999">
        <f>1-WWWW[[#This Row],[% Equitable and continuous access to sufficient quantity of domestic water]]</f>
        <v>1</v>
      </c>
      <c r="CY492" s="994">
        <f>WWWW[[#This Row],[%equitable and continuous access to sufficient quantity of safe drinking and domestic water''s GAP]]*WWWW[[#This Row],[Total PoP ]]</f>
        <v>59</v>
      </c>
      <c r="CZ492" s="997">
        <f>IF(WWWW[[#This Row],[Total required water points]]-WWWW[[#This Row],['#Water points coverage]]&lt;0,0,WWWW[[#This Row],[Total required water points]]-WWWW[[#This Row],['#Water points coverage]])</f>
        <v>1</v>
      </c>
      <c r="DA492" s="997">
        <f>ROUND(IF(WWWW[[#This Row],[Total PoP ]]&lt;500,1,WWWW[[#This Row],[Total PoP ]]/500),0)</f>
        <v>1</v>
      </c>
      <c r="DB492" s="997">
        <f>(WWWW[[#This Row],['#_Constructed latrines_by_WASHAgencies]]+WWWW[[#This Row],['#_Non Cluster partner latrines]])-WWWW[[#This Row],['#_Non-functional latrines]]</f>
        <v>0</v>
      </c>
      <c r="DC492" s="631">
        <f>WWWW[[#This Row],[HRP2]]/WWWW[[#This Row],[Total PoP ]]</f>
        <v>0</v>
      </c>
      <c r="DD49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9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9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2" s="424">
        <f>IF(WWWW[[#This Row],['# of functional latrines in THF supported by WASH partners during the reporting period2]]="",0,WWWW[[#This Row],['# of functional latrines in THF supported by WASH partners during the reporting period2]]*50)</f>
        <v>0</v>
      </c>
      <c r="DH492" s="997">
        <f>ROUND(IF(WWWW[[#This Row],[Location Type 1]]="camp",WWWW[[#This Row],[Total PoP ]]/20,IF(WWWW[[#This Row],[Location Type 1]]="Temporary Location",WWWW[[#This Row],[Total PoP ]]/50,(WWWW[[#This Row],[Total PoP ]]/6))),0)</f>
        <v>3</v>
      </c>
      <c r="DI492" s="997">
        <f>IF(WWWW[[#This Row],[Total required Latrines]]-(WWWW[[#This Row],['#_Constructed latrines_by_WASHAgencies]]+WWWW[[#This Row],['#_Non Cluster partner latrines]])&lt;0,0,WWWW[[#This Row],[Total required Latrines]]-(WWWW[[#This Row],['#_Constructed latrines_by_WASHAgencies]]+WWWW[[#This Row],['#_Non Cluster partner latrines]]))</f>
        <v>3</v>
      </c>
      <c r="DJ492" s="999">
        <f>1-WWWW[[#This Row],[% people access to functioning Latrine]]</f>
        <v>1</v>
      </c>
      <c r="DK492" s="998">
        <f>IF(OR(WWWW[[#This Row],['#_Non-functional latrines]]="",WWWW[[#This Row],['#_Non-functional latrines]]=0),0,WWWW[[#This Row],['#_Non-functional latrines]]/(WWWW[[#This Row],['#_Constructed latrines_by_WASHAgencies]]+WWWW[[#This Row],['#_Non Cluster partner latrines]]))</f>
        <v>0</v>
      </c>
      <c r="DL492" s="994">
        <f>IF(500*(WWWW[[#This Row],['#_male hygiene promoters]]+WWWW[[#This Row],['#_female hygiene promoters]])&gt;WWWW[[#This Row],[Total PoP ]],WWWW[[#This Row],[Total PoP ]],500*(WWWW[[#This Row],['#_male hygiene promoters]]+WWWW[[#This Row],['#_female hygiene promoters]]))</f>
        <v>0</v>
      </c>
      <c r="DM49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9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92" s="997">
        <f>IF(WWWW[[#This Row],['# People with access to soap]]&gt;WWWW[[#This Row],['# People with access to Sanity Pads]],WWWW[[#This Row],['# People with access to soap]],WWWW[[#This Row],['# People with access to Sanity Pads]])</f>
        <v>0</v>
      </c>
      <c r="DP492"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92" s="999">
        <f>IF(WWWW[[#This Row],[HRP3]]/WWWW[[#This Row],[Total PoP ]]&gt;1,1,WWWW[[#This Row],[HRP3]]/WWWW[[#This Row],[Total PoP ]])</f>
        <v>0</v>
      </c>
      <c r="DR492" s="998">
        <f>1-WWWW[[#This Row],[Hygiene Coverage%]]</f>
        <v>1</v>
      </c>
      <c r="DS492" s="996">
        <f>WWWW[[#This Row],['# people reached by regular dedicated hygiene promotion_5]]/WWWW[[#This Row],[Total PoP ]]</f>
        <v>0</v>
      </c>
      <c r="DT49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9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92" s="997">
        <f>WWWW[[#This Row],['#_Constructed/Existing hand washing stations]]-WWWW[[#This Row],['#_Non-Functional_hand_washing_stations]]</f>
        <v>7</v>
      </c>
      <c r="DW492" s="994">
        <f>IF(WWWW[[#This Row],['# Functional hand washing stations during reporting period]]*20&gt;WWWW[[#This Row],[Total HH]],WWWW[[#This Row],[Total HH]],WWWW[[#This Row],['# Functional hand washing stations during reporting period]]*20)</f>
        <v>12</v>
      </c>
      <c r="DX492" s="994">
        <f>IF(WWWW[[#This Row],[Is sufficient soap available for TLS? (Yes/No)]]="yes",WWWW[[#This Row],['#_Constructed/Existing hand washing stations at TLS/CFS/THF]],0)</f>
        <v>0</v>
      </c>
      <c r="DY492" s="428">
        <f>IF(WWWW[[#This Row],['# Functional hand washing stations during reporting period]]*100&gt;WWWW[[#This Row],[Total PoP ]],WWWW[[#This Row],[Total PoP ]],WWWW[[#This Row],['# Functional hand washing stations during reporting period]]*100)</f>
        <v>59</v>
      </c>
      <c r="DZ492" s="428" t="str">
        <f>IF(OR(WWWW[[#This Row],['#_students at TLS_CFS]]="",WWWW[[#This Row],['#_students at TLS_CFS]]=0),"No","Yes")</f>
        <v>No</v>
      </c>
      <c r="EA49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9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9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2" s="990">
        <f>VLOOKUP(WWWW[[#This Row],[Site Name]],SiteDB6[[Site Name]:[CCCM Management]],6,FALSE)</f>
        <v>0</v>
      </c>
      <c r="EF492" s="990" t="str">
        <f>VLOOKUP(WWWW[[#This Row],[Site Name]],SiteDB6[[Site Name]:[CCCM Focal Agency]],7,FALSE)</f>
        <v xml:space="preserve">Uncovered  </v>
      </c>
      <c r="EG492" s="990" t="str">
        <f>VLOOKUP(WWWW[[#This Row],[Site Name]],SiteDB6[[Site Name]:[Location Type 1]],9,FALSE)</f>
        <v>Camp</v>
      </c>
      <c r="EH492" s="990" t="str">
        <f>VLOOKUP(WWWW[[#This Row],[Site Name]],SiteDB6[[Site Name]:[Type of Accommodation]],10,FALSE)</f>
        <v>Camp like setting</v>
      </c>
      <c r="EI492" s="990" t="str">
        <f>VLOOKUP(WWWW[[#This Row],[Site Name]],SiteDB6[[Site Name]:[Ethnic or GCA/NGCA]],11,FALSE)</f>
        <v>GCA</v>
      </c>
      <c r="EJ492" s="990">
        <f>VLOOKUP(WWWW[[#This Row],[Site Name]],SiteDB6[[Site Name]:[Lat]],12,FALSE)</f>
        <v>0</v>
      </c>
      <c r="EK492" s="990">
        <f>VLOOKUP(WWWW[[#This Row],[Site Name]],SiteDB6[[Site Name]:[Long]],13,FALSE)</f>
        <v>0</v>
      </c>
      <c r="EL492" s="990" t="str">
        <f>VLOOKUP(WWWW[[#This Row],[Site Name]],SiteDB6[[Site Name]:[Pcode]],3,FALSE)</f>
        <v>MMR001CMP295</v>
      </c>
      <c r="EM492" s="995" t="str">
        <f t="shared" si="9"/>
        <v>Notcovered</v>
      </c>
      <c r="EN492" s="995"/>
      <c r="EO492" s="990">
        <f>VLOOKUP(WWWW[[#This Row],[Site Name]],SiteDB6[[Site Name]:[Pop
(Kachin/Shan-CCCM as of July 2021)]],16,FALSE)</f>
        <v>12</v>
      </c>
      <c r="EP492" s="990">
        <f>VLOOKUP(WWWW[[#This Row],[Site Name]],SiteDB6[[Site Name]:[Pop
(Kachin/Shan-CCCM as of July 2021)]],17,FALSE)</f>
        <v>59</v>
      </c>
    </row>
    <row r="493" spans="1:146">
      <c r="A493" s="988" t="s">
        <v>2765</v>
      </c>
      <c r="B493" s="988" t="s">
        <v>242</v>
      </c>
      <c r="C493" s="989" t="s">
        <v>242</v>
      </c>
      <c r="D493" s="989" t="s">
        <v>299</v>
      </c>
      <c r="E493" s="989" t="s">
        <v>37</v>
      </c>
      <c r="F493" s="989" t="s">
        <v>148</v>
      </c>
      <c r="G493" s="591" t="str">
        <f>VLOOKUP(WWWW[[#This Row],[Site Name]],SiteDB6[[Site Name]:[Location Type]],8,FALSE)</f>
        <v>Camp</v>
      </c>
      <c r="H493" s="989" t="s">
        <v>259</v>
      </c>
      <c r="I493" s="448">
        <v>16</v>
      </c>
      <c r="J493" s="448">
        <v>70</v>
      </c>
      <c r="K493" s="588">
        <v>44562</v>
      </c>
      <c r="L493" s="589">
        <v>44926</v>
      </c>
      <c r="M493" s="448">
        <v>18</v>
      </c>
      <c r="N493" s="991">
        <v>1</v>
      </c>
      <c r="O493" s="991">
        <v>1</v>
      </c>
      <c r="P493" s="991"/>
      <c r="Q493" s="994" t="s">
        <v>41</v>
      </c>
      <c r="R493" s="991">
        <v>1</v>
      </c>
      <c r="S493" s="991">
        <v>3</v>
      </c>
      <c r="T493" s="448">
        <v>1</v>
      </c>
      <c r="U493" s="991"/>
      <c r="V493" s="991"/>
      <c r="W493" s="991">
        <v>1</v>
      </c>
      <c r="X493" s="991"/>
      <c r="Y493" s="991"/>
      <c r="Z493" s="991"/>
      <c r="AA493" s="991">
        <v>1</v>
      </c>
      <c r="AB493" s="991"/>
      <c r="AC493" s="991">
        <v>1</v>
      </c>
      <c r="AD493" s="991"/>
      <c r="AE493" s="991"/>
      <c r="AF493" s="991"/>
      <c r="AG493" s="991">
        <v>1</v>
      </c>
      <c r="AH493" s="991"/>
      <c r="AI493" s="991"/>
      <c r="AJ493" s="991"/>
      <c r="AK493" s="991"/>
      <c r="AL493" s="448"/>
      <c r="AM493" s="991">
        <v>1</v>
      </c>
      <c r="AN493" s="991"/>
      <c r="AO493" s="448"/>
      <c r="AP493" s="995"/>
      <c r="AQ493" s="991">
        <v>2</v>
      </c>
      <c r="AR493" s="991"/>
      <c r="AS493" s="996"/>
      <c r="AT493" s="991"/>
      <c r="AU493" s="991"/>
      <c r="AV493" s="991"/>
      <c r="AW493" s="991"/>
      <c r="AX493" s="991"/>
      <c r="AY493" s="990" t="s">
        <v>41</v>
      </c>
      <c r="AZ493" s="995" t="s">
        <v>137</v>
      </c>
      <c r="BA493" s="991"/>
      <c r="BB493" s="991"/>
      <c r="BC493" s="991"/>
      <c r="BD493" s="448"/>
      <c r="BE493" s="448"/>
      <c r="BF493" s="990"/>
      <c r="BG493" s="991">
        <v>3</v>
      </c>
      <c r="BH493" s="991"/>
      <c r="BI493" s="991"/>
      <c r="BJ493" s="991">
        <v>2</v>
      </c>
      <c r="BK493" s="991"/>
      <c r="BL493" s="991">
        <v>1</v>
      </c>
      <c r="BM493" s="991"/>
      <c r="BN493" s="991">
        <v>16</v>
      </c>
      <c r="BO493" s="991"/>
      <c r="BP493" s="990"/>
      <c r="BQ493" s="997"/>
      <c r="BR493" s="423">
        <v>0.9</v>
      </c>
      <c r="BS493" s="990"/>
      <c r="BT493" s="423">
        <v>1</v>
      </c>
      <c r="BU493" s="423">
        <v>1</v>
      </c>
      <c r="BV493" s="425">
        <v>4</v>
      </c>
      <c r="BW493" s="423">
        <v>0.9</v>
      </c>
      <c r="BX493" s="448"/>
      <c r="BY493" s="448"/>
      <c r="BZ493" s="448"/>
      <c r="CA493" s="448"/>
      <c r="CB493" s="448"/>
      <c r="CC493" s="777"/>
      <c r="CD493" s="448"/>
      <c r="CE493" s="998" t="str">
        <f>IFERROR(WWWW[[#This Row],['#_Water sources passed]]/WWWW[[#This Row],['#_Water sources tested for fecal coliform ]],"no test")</f>
        <v>no test</v>
      </c>
      <c r="CF493" s="996" t="str">
        <f>IFERROR(WWWW[[#This Row],['#_Household passed]]/WWWW[[#This Row],['#_Household water samples tested for fecal coliform]],"no test")</f>
        <v>no test</v>
      </c>
      <c r="CG493" s="997" t="str">
        <f>IF(AND(WWWW[[#This Row],[% of water sources passed]]="no test",WWWW[[#This Row],[% Household passed]]="no test"),"No Test","Tested")</f>
        <v>No Test</v>
      </c>
      <c r="CH493" s="997">
        <f>WWWW[[#This Row],['#_Constructed/existing protected hand dug well]]-WWWW[[#This Row],['#_Non-functional protected hand dug well]]</f>
        <v>1</v>
      </c>
      <c r="CI493" s="997">
        <f>(WWWW[[#This Row],['#_Constructed/Existing tube wells/boreholes/handpumps_WASH_agency]]+WWWW[[#This Row],['#_Non-Cluster partner water tube-wells/boreholes/handpumps]])-WWWW[[#This Row],['#_Non-functional tube wells/boreholes/handpumps]]</f>
        <v>1</v>
      </c>
      <c r="CJ493" s="997">
        <f>WWWW[[#This Row],['#_Constructed/Existingwater storage tank with gravity fed reticulation system]]-WWWW[[#This Row],['#_Non-functional storage tank gravity fed reticulation system]]</f>
        <v>1</v>
      </c>
      <c r="CK493" s="997">
        <f>(WWWW[[#This Row],['#_Water_Liters_supplied_by_Water boating or water trucking]]/90)/15</f>
        <v>0</v>
      </c>
      <c r="CL493" s="997">
        <f>WWWW[[#This Row],['#_Water_Liters_from_Constructed/Existing water distribution system from river or natural spring]]/90/15</f>
        <v>0</v>
      </c>
      <c r="CM493" s="424">
        <f>IF(WWWW[[#This Row],['#_of water points in TLS/CFS]]*500&gt;WWWW[[#This Row],[Total PoP ]],WWWW[[#This Row],[Total PoP ]],WWWW[[#This Row],['#_of water points in TLS/CFS]]*500)</f>
        <v>0</v>
      </c>
      <c r="CN493" s="424">
        <f>IF(WWWW[[#This Row],['#_of water points in THF]]*500&gt;WWWW[[#This Row],[Total PoP ]],WWWW[[#This Row],[Total PoP ]],WWWW[[#This Row],['#_of water points in THF]]*500)</f>
        <v>0</v>
      </c>
      <c r="CO49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9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93" s="996">
        <f>IF(WWWW[[#This Row],[Location Type 1]]="Village",WWWW[[#This Row],[Access to safe drinking water for Village]],WWWW[[#This Row],[Access to safe drinking water for Camp]])</f>
        <v>1</v>
      </c>
      <c r="CR493" s="994">
        <f>WWWW[[#This Row],[%Equitable and continuous access to sufficient quantity of safe drinking water]]*WWWW[[#This Row],[Total PoP ]]</f>
        <v>70</v>
      </c>
      <c r="CS493" s="996">
        <f>IF((WWWW[[#This Row],['#_Constructed/Existing protected/fenced ponds]]*250)/WWWW[[#This Row],[Total PoP ]]&gt;1,1,(WWWW[[#This Row],['#_Constructed/Existing protected/fenced ponds]]*250)/WWWW[[#This Row],[Total PoP ]])</f>
        <v>0</v>
      </c>
      <c r="CT493" s="994">
        <f>WWWW[[#This Row],[% Access to unimproved water points]]*WWWW[[#This Row],[Total PoP ]]</f>
        <v>0</v>
      </c>
      <c r="CU49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W493" s="994">
        <f>WWWW[[#This Row],[HRP1]]/500</f>
        <v>0.14000000000000001</v>
      </c>
      <c r="CX493" s="999">
        <f>1-WWWW[[#This Row],[% Equitable and continuous access to sufficient quantity of domestic water]]</f>
        <v>0</v>
      </c>
      <c r="CY493" s="994">
        <f>WWWW[[#This Row],[%equitable and continuous access to sufficient quantity of safe drinking and domestic water''s GAP]]*WWWW[[#This Row],[Total PoP ]]</f>
        <v>0</v>
      </c>
      <c r="CZ493" s="997">
        <f>IF(WWWW[[#This Row],[Total required water points]]-WWWW[[#This Row],['#Water points coverage]]&lt;0,0,WWWW[[#This Row],[Total required water points]]-WWWW[[#This Row],['#Water points coverage]])</f>
        <v>0.86</v>
      </c>
      <c r="DA493" s="997">
        <f>ROUND(IF(WWWW[[#This Row],[Total PoP ]]&lt;500,1,WWWW[[#This Row],[Total PoP ]]/500),0)</f>
        <v>1</v>
      </c>
      <c r="DB493" s="997">
        <f>(WWWW[[#This Row],['#_Constructed latrines_by_WASHAgencies]]+WWWW[[#This Row],['#_Non Cluster partner latrines]])-WWWW[[#This Row],['#_Non-functional latrines]]</f>
        <v>2</v>
      </c>
      <c r="DC493" s="631">
        <f>WWWW[[#This Row],[HRP2]]/WWWW[[#This Row],[Total PoP ]]</f>
        <v>0.5714285714285714</v>
      </c>
      <c r="DD49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49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9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3" s="424">
        <f>IF(WWWW[[#This Row],['# of functional latrines in THF supported by WASH partners during the reporting period2]]="",0,WWWW[[#This Row],['# of functional latrines in THF supported by WASH partners during the reporting period2]]*50)</f>
        <v>0</v>
      </c>
      <c r="DH493" s="997">
        <f>ROUND(IF(WWWW[[#This Row],[Location Type 1]]="camp",WWWW[[#This Row],[Total PoP ]]/20,IF(WWWW[[#This Row],[Location Type 1]]="Temporary Location",WWWW[[#This Row],[Total PoP ]]/50,(WWWW[[#This Row],[Total PoP ]]/6))),0)</f>
        <v>4</v>
      </c>
      <c r="DI493" s="997">
        <f>IF(WWWW[[#This Row],[Total required Latrines]]-(WWWW[[#This Row],['#_Constructed latrines_by_WASHAgencies]]+WWWW[[#This Row],['#_Non Cluster partner latrines]])&lt;0,0,WWWW[[#This Row],[Total required Latrines]]-(WWWW[[#This Row],['#_Constructed latrines_by_WASHAgencies]]+WWWW[[#This Row],['#_Non Cluster partner latrines]]))</f>
        <v>2</v>
      </c>
      <c r="DJ493" s="999">
        <f>1-WWWW[[#This Row],[% people access to functioning Latrine]]</f>
        <v>0.4285714285714286</v>
      </c>
      <c r="DK493" s="998">
        <f>IF(OR(WWWW[[#This Row],['#_Non-functional latrines]]="",WWWW[[#This Row],['#_Non-functional latrines]]=0),0,WWWW[[#This Row],['#_Non-functional latrines]]/(WWWW[[#This Row],['#_Constructed latrines_by_WASHAgencies]]+WWWW[[#This Row],['#_Non Cluster partner latrines]]))</f>
        <v>0</v>
      </c>
      <c r="DL493" s="994">
        <f>IF(500*(WWWW[[#This Row],['#_male hygiene promoters]]+WWWW[[#This Row],['#_female hygiene promoters]])&gt;WWWW[[#This Row],[Total PoP ]],WWWW[[#This Row],[Total PoP ]],500*(WWWW[[#This Row],['#_male hygiene promoters]]+WWWW[[#This Row],['#_female hygiene promoters]]))</f>
        <v>70</v>
      </c>
      <c r="DM49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N49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93" s="997">
        <f>IF(WWWW[[#This Row],['# People with access to soap]]&gt;WWWW[[#This Row],['# People with access to Sanity Pads]],WWWW[[#This Row],['# People with access to soap]],WWWW[[#This Row],['# People with access to Sanity Pads]])</f>
        <v>70</v>
      </c>
      <c r="DP493" s="997">
        <f>IF(WWWW[[#This Row],['# people reached by regular dedicated hygiene promotion_5]]&gt;WWWW[[#This Row],['# People received regular supply of hygiene items_6]],WWWW[[#This Row],['# people reached by regular dedicated hygiene promotion_5]],WWWW[[#This Row],['# People received regular supply of hygiene items_6]])</f>
        <v>70</v>
      </c>
      <c r="DQ493" s="999">
        <f>IF(WWWW[[#This Row],[HRP3]]/WWWW[[#This Row],[Total PoP ]]&gt;1,1,WWWW[[#This Row],[HRP3]]/WWWW[[#This Row],[Total PoP ]])</f>
        <v>1</v>
      </c>
      <c r="DR493" s="998">
        <f>1-WWWW[[#This Row],[Hygiene Coverage%]]</f>
        <v>0</v>
      </c>
      <c r="DS493" s="996">
        <f>WWWW[[#This Row],['# people reached by regular dedicated hygiene promotion_5]]/WWWW[[#This Row],[Total PoP ]]</f>
        <v>1</v>
      </c>
      <c r="DT49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9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93" s="997">
        <f>WWWW[[#This Row],['#_Constructed/Existing hand washing stations]]-WWWW[[#This Row],['#_Non-Functional_hand_washing_stations]]</f>
        <v>3</v>
      </c>
      <c r="DW493" s="994">
        <f>IF(WWWW[[#This Row],['# Functional hand washing stations during reporting period]]*20&gt;WWWW[[#This Row],[Total HH]],WWWW[[#This Row],[Total HH]],WWWW[[#This Row],['# Functional hand washing stations during reporting period]]*20)</f>
        <v>16</v>
      </c>
      <c r="DX493" s="994">
        <f>IF(WWWW[[#This Row],[Is sufficient soap available for TLS? (Yes/No)]]="yes",WWWW[[#This Row],['#_Constructed/Existing hand washing stations at TLS/CFS/THF]],0)</f>
        <v>0</v>
      </c>
      <c r="DY493" s="428">
        <f>IF(WWWW[[#This Row],['# Functional hand washing stations during reporting period]]*100&gt;WWWW[[#This Row],[Total PoP ]],WWWW[[#This Row],[Total PoP ]],WWWW[[#This Row],['# Functional hand washing stations during reporting period]]*100)</f>
        <v>70</v>
      </c>
      <c r="DZ493" s="428" t="str">
        <f>IF(OR(WWWW[[#This Row],['#_students at TLS_CFS]]="",WWWW[[#This Row],['#_students at TLS_CFS]]=0),"No","Yes")</f>
        <v>Yes</v>
      </c>
      <c r="EA493" s="631">
        <f>IF(WWWW[[#This Row],['#_of_affected_people_surveyed_who_report_feeling_informed_about_the_different_WASH_services_available_to_them]]="","",WWWW[[#This Row],['#_of_affected_people_surveyed_who_report_feeling_informed_about_the_different_WASH_services_available_to_them]]/WWWW[[#This Row],[Total PoP ]])</f>
        <v>5.7142857142857141E-2</v>
      </c>
      <c r="EB49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9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3" s="990" t="str">
        <f>VLOOKUP(WWWW[[#This Row],[Site Name]],SiteDB6[[Site Name]:[CCCM Management]],6,FALSE)</f>
        <v>Yes</v>
      </c>
      <c r="EF493" s="990" t="str">
        <f>VLOOKUP(WWWW[[#This Row],[Site Name]],SiteDB6[[Site Name]:[CCCM Focal Agency]],7,FALSE)</f>
        <v>Shalom</v>
      </c>
      <c r="EG493" s="990" t="str">
        <f>VLOOKUP(WWWW[[#This Row],[Site Name]],SiteDB6[[Site Name]:[Location Type 1]],9,FALSE)</f>
        <v>Camp</v>
      </c>
      <c r="EH493" s="990" t="str">
        <f>VLOOKUP(WWWW[[#This Row],[Site Name]],SiteDB6[[Site Name]:[Type of Accommodation]],10,FALSE)</f>
        <v>Camp like setting</v>
      </c>
      <c r="EI493" s="990" t="str">
        <f>VLOOKUP(WWWW[[#This Row],[Site Name]],SiteDB6[[Site Name]:[Ethnic or GCA/NGCA]],11,FALSE)</f>
        <v>GCA</v>
      </c>
      <c r="EJ493" s="990">
        <f>VLOOKUP(WWWW[[#This Row],[Site Name]],SiteDB6[[Site Name]:[Lat]],12,FALSE)</f>
        <v>25.56551</v>
      </c>
      <c r="EK493" s="990">
        <f>VLOOKUP(WWWW[[#This Row],[Site Name]],SiteDB6[[Site Name]:[Long]],13,FALSE)</f>
        <v>96.279200000000003</v>
      </c>
      <c r="EL493" s="990" t="str">
        <f>VLOOKUP(WWWW[[#This Row],[Site Name]],SiteDB6[[Site Name]:[Pcode]],3,FALSE)</f>
        <v>MMR001CMP182</v>
      </c>
      <c r="EM493" s="995" t="str">
        <f t="shared" ref="EM493:EM524" si="10">IF(C493="none","Notcovered","Covered")</f>
        <v>Covered</v>
      </c>
      <c r="EN493" s="995"/>
      <c r="EO493" s="990">
        <f>VLOOKUP(WWWW[[#This Row],[Site Name]],SiteDB6[[Site Name]:[Pop
(Kachin/Shan-CCCM as of July 2021)]],16,FALSE)</f>
        <v>16</v>
      </c>
      <c r="EP493" s="990">
        <f>VLOOKUP(WWWW[[#This Row],[Site Name]],SiteDB6[[Site Name]:[Pop
(Kachin/Shan-CCCM as of July 2021)]],17,FALSE)</f>
        <v>70</v>
      </c>
    </row>
    <row r="494" spans="1:146">
      <c r="A494" s="988" t="s">
        <v>2765</v>
      </c>
      <c r="B494" s="988" t="s">
        <v>242</v>
      </c>
      <c r="C494" s="989" t="s">
        <v>242</v>
      </c>
      <c r="D494" s="989" t="s">
        <v>299</v>
      </c>
      <c r="E494" s="989" t="s">
        <v>37</v>
      </c>
      <c r="F494" s="989" t="s">
        <v>148</v>
      </c>
      <c r="G494" s="591" t="str">
        <f>VLOOKUP(WWWW[[#This Row],[Site Name]],SiteDB6[[Site Name]:[Location Type]],8,FALSE)</f>
        <v>Camp</v>
      </c>
      <c r="H494" s="989" t="s">
        <v>261</v>
      </c>
      <c r="I494" s="448">
        <v>25</v>
      </c>
      <c r="J494" s="448">
        <v>133</v>
      </c>
      <c r="K494" s="588">
        <v>44562</v>
      </c>
      <c r="L494" s="589">
        <v>44926</v>
      </c>
      <c r="M494" s="448"/>
      <c r="N494" s="991"/>
      <c r="O494" s="991">
        <v>1</v>
      </c>
      <c r="P494" s="991"/>
      <c r="Q494" s="994" t="s">
        <v>41</v>
      </c>
      <c r="R494" s="991">
        <v>2</v>
      </c>
      <c r="S494" s="991">
        <v>2</v>
      </c>
      <c r="T494" s="448">
        <v>1</v>
      </c>
      <c r="U494" s="991"/>
      <c r="V494" s="991"/>
      <c r="W494" s="991"/>
      <c r="X494" s="991">
        <v>1</v>
      </c>
      <c r="Y494" s="991"/>
      <c r="Z494" s="991">
        <v>1</v>
      </c>
      <c r="AA494" s="991">
        <v>2</v>
      </c>
      <c r="AB494" s="991"/>
      <c r="AC494" s="991">
        <v>2</v>
      </c>
      <c r="AD494" s="991"/>
      <c r="AE494" s="991">
        <v>4</v>
      </c>
      <c r="AF494" s="991"/>
      <c r="AG494" s="991"/>
      <c r="AH494" s="991"/>
      <c r="AI494" s="991"/>
      <c r="AJ494" s="991"/>
      <c r="AK494" s="991"/>
      <c r="AL494" s="991"/>
      <c r="AM494" s="991"/>
      <c r="AN494" s="991"/>
      <c r="AO494" s="448"/>
      <c r="AP494" s="995"/>
      <c r="AQ494" s="991">
        <v>8</v>
      </c>
      <c r="AR494" s="991">
        <v>4</v>
      </c>
      <c r="AS494" s="996" t="s">
        <v>2684</v>
      </c>
      <c r="AT494" s="991"/>
      <c r="AU494" s="991"/>
      <c r="AV494" s="991"/>
      <c r="AW494" s="991"/>
      <c r="AX494" s="991"/>
      <c r="AY494" s="990" t="s">
        <v>41</v>
      </c>
      <c r="AZ494" s="995" t="s">
        <v>137</v>
      </c>
      <c r="BA494" s="991"/>
      <c r="BB494" s="991">
        <v>2</v>
      </c>
      <c r="BC494" s="991"/>
      <c r="BD494" s="448"/>
      <c r="BE494" s="448"/>
      <c r="BF494" s="990"/>
      <c r="BG494" s="991">
        <v>4</v>
      </c>
      <c r="BH494" s="991">
        <v>1</v>
      </c>
      <c r="BI494" s="991"/>
      <c r="BJ494" s="991">
        <v>2</v>
      </c>
      <c r="BK494" s="991"/>
      <c r="BL494" s="991"/>
      <c r="BM494" s="991"/>
      <c r="BN494" s="991"/>
      <c r="BO494" s="991"/>
      <c r="BP494" s="990"/>
      <c r="BQ494" s="997"/>
      <c r="BR494" s="423">
        <v>0.7</v>
      </c>
      <c r="BS494" s="990"/>
      <c r="BT494" s="423">
        <v>0.8</v>
      </c>
      <c r="BU494" s="423"/>
      <c r="BV494" s="425"/>
      <c r="BW494" s="423">
        <v>0.8</v>
      </c>
      <c r="BX494" s="448"/>
      <c r="BY494" s="448"/>
      <c r="BZ494" s="448"/>
      <c r="CA494" s="448"/>
      <c r="CB494" s="448"/>
      <c r="CC494" s="777"/>
      <c r="CD494" s="448"/>
      <c r="CE494" s="998" t="str">
        <f>IFERROR(WWWW[[#This Row],['#_Water sources passed]]/WWWW[[#This Row],['#_Water sources tested for fecal coliform ]],"no test")</f>
        <v>no test</v>
      </c>
      <c r="CF494" s="996" t="str">
        <f>IFERROR(WWWW[[#This Row],['#_Household passed]]/WWWW[[#This Row],['#_Household water samples tested for fecal coliform]],"no test")</f>
        <v>no test</v>
      </c>
      <c r="CG494" s="997" t="str">
        <f>IF(AND(WWWW[[#This Row],[% of water sources passed]]="no test",WWWW[[#This Row],[% Household passed]]="no test"),"No Test","Tested")</f>
        <v>No Test</v>
      </c>
      <c r="CH494" s="997">
        <f>WWWW[[#This Row],['#_Constructed/existing protected hand dug well]]-WWWW[[#This Row],['#_Non-functional protected hand dug well]]</f>
        <v>1</v>
      </c>
      <c r="CI494" s="997">
        <f>(WWWW[[#This Row],['#_Constructed/Existing tube wells/boreholes/handpumps_WASH_agency]]+WWWW[[#This Row],['#_Non-Cluster partner water tube-wells/boreholes/handpumps]])-WWWW[[#This Row],['#_Non-functional tube wells/boreholes/handpumps]]</f>
        <v>1</v>
      </c>
      <c r="CJ494" s="997">
        <f>WWWW[[#This Row],['#_Constructed/Existingwater storage tank with gravity fed reticulation system]]-WWWW[[#This Row],['#_Non-functional storage tank gravity fed reticulation system]]</f>
        <v>2</v>
      </c>
      <c r="CK494" s="997">
        <f>(WWWW[[#This Row],['#_Water_Liters_supplied_by_Water boating or water trucking]]/90)/15</f>
        <v>0</v>
      </c>
      <c r="CL494" s="997">
        <f>WWWW[[#This Row],['#_Water_Liters_from_Constructed/Existing water distribution system from river or natural spring]]/90/15</f>
        <v>0</v>
      </c>
      <c r="CM494" s="424">
        <f>IF(WWWW[[#This Row],['#_of water points in TLS/CFS]]*500&gt;WWWW[[#This Row],[Total PoP ]],WWWW[[#This Row],[Total PoP ]],WWWW[[#This Row],['#_of water points in TLS/CFS]]*500)</f>
        <v>0</v>
      </c>
      <c r="CN494" s="424">
        <f>IF(WWWW[[#This Row],['#_of water points in THF]]*500&gt;WWWW[[#This Row],[Total PoP ]],WWWW[[#This Row],[Total PoP ]],WWWW[[#This Row],['#_of water points in THF]]*500)</f>
        <v>0</v>
      </c>
      <c r="CO49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9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94" s="996">
        <f>IF(WWWW[[#This Row],[Location Type 1]]="Village",WWWW[[#This Row],[Access to safe drinking water for Village]],WWWW[[#This Row],[Access to safe drinking water for Camp]])</f>
        <v>1</v>
      </c>
      <c r="CR494" s="994">
        <f>WWWW[[#This Row],[%Equitable and continuous access to sufficient quantity of safe drinking water]]*WWWW[[#This Row],[Total PoP ]]</f>
        <v>133</v>
      </c>
      <c r="CS494" s="996">
        <f>IF((WWWW[[#This Row],['#_Constructed/Existing protected/fenced ponds]]*250)/WWWW[[#This Row],[Total PoP ]]&gt;1,1,(WWWW[[#This Row],['#_Constructed/Existing protected/fenced ponds]]*250)/WWWW[[#This Row],[Total PoP ]])</f>
        <v>1</v>
      </c>
      <c r="CT494" s="994">
        <f>WWWW[[#This Row],[% Access to unimproved water points]]*WWWW[[#This Row],[Total PoP ]]</f>
        <v>133</v>
      </c>
      <c r="CU49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W494" s="994">
        <f>WWWW[[#This Row],[HRP1]]/500</f>
        <v>0.26600000000000001</v>
      </c>
      <c r="CX494" s="999">
        <f>1-WWWW[[#This Row],[% Equitable and continuous access to sufficient quantity of domestic water]]</f>
        <v>0</v>
      </c>
      <c r="CY494" s="994">
        <f>WWWW[[#This Row],[%equitable and continuous access to sufficient quantity of safe drinking and domestic water''s GAP]]*WWWW[[#This Row],[Total PoP ]]</f>
        <v>0</v>
      </c>
      <c r="CZ494" s="997">
        <f>IF(WWWW[[#This Row],[Total required water points]]-WWWW[[#This Row],['#Water points coverage]]&lt;0,0,WWWW[[#This Row],[Total required water points]]-WWWW[[#This Row],['#Water points coverage]])</f>
        <v>0.73399999999999999</v>
      </c>
      <c r="DA494" s="997">
        <f>ROUND(IF(WWWW[[#This Row],[Total PoP ]]&lt;500,1,WWWW[[#This Row],[Total PoP ]]/500),0)</f>
        <v>1</v>
      </c>
      <c r="DB494" s="997">
        <f>(WWWW[[#This Row],['#_Constructed latrines_by_WASHAgencies]]+WWWW[[#This Row],['#_Non Cluster partner latrines]])-WWWW[[#This Row],['#_Non-functional latrines]]</f>
        <v>12</v>
      </c>
      <c r="DC494" s="631">
        <f>WWWW[[#This Row],[HRP2]]/WWWW[[#This Row],[Total PoP ]]</f>
        <v>1</v>
      </c>
      <c r="DD49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133</v>
      </c>
      <c r="DE49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9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4" s="424">
        <f>IF(WWWW[[#This Row],['# of functional latrines in THF supported by WASH partners during the reporting period2]]="",0,WWWW[[#This Row],['# of functional latrines in THF supported by WASH partners during the reporting period2]]*50)</f>
        <v>0</v>
      </c>
      <c r="DH494" s="997">
        <f>ROUND(IF(WWWW[[#This Row],[Location Type 1]]="camp",WWWW[[#This Row],[Total PoP ]]/20,IF(WWWW[[#This Row],[Location Type 1]]="Temporary Location",WWWW[[#This Row],[Total PoP ]]/50,(WWWW[[#This Row],[Total PoP ]]/6))),0)</f>
        <v>7</v>
      </c>
      <c r="DI494" s="997">
        <f>IF(WWWW[[#This Row],[Total required Latrines]]-(WWWW[[#This Row],['#_Constructed latrines_by_WASHAgencies]]+WWWW[[#This Row],['#_Non Cluster partner latrines]])&lt;0,0,WWWW[[#This Row],[Total required Latrines]]-(WWWW[[#This Row],['#_Constructed latrines_by_WASHAgencies]]+WWWW[[#This Row],['#_Non Cluster partner latrines]]))</f>
        <v>0</v>
      </c>
      <c r="DJ494" s="999">
        <f>1-WWWW[[#This Row],[% people access to functioning Latrine]]</f>
        <v>0</v>
      </c>
      <c r="DK494" s="998">
        <f>IF(OR(WWWW[[#This Row],['#_Non-functional latrines]]="",WWWW[[#This Row],['#_Non-functional latrines]]=0),0,WWWW[[#This Row],['#_Non-functional latrines]]/(WWWW[[#This Row],['#_Constructed latrines_by_WASHAgencies]]+WWWW[[#This Row],['#_Non Cluster partner latrines]]))</f>
        <v>0</v>
      </c>
      <c r="DL494" s="994">
        <f>IF(500*(WWWW[[#This Row],['#_male hygiene promoters]]+WWWW[[#This Row],['#_female hygiene promoters]])&gt;WWWW[[#This Row],[Total PoP ]],WWWW[[#This Row],[Total PoP ]],500*(WWWW[[#This Row],['#_male hygiene promoters]]+WWWW[[#This Row],['#_female hygiene promoters]]))</f>
        <v>0</v>
      </c>
      <c r="DM49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9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94" s="997">
        <f>IF(WWWW[[#This Row],['# People with access to soap]]&gt;WWWW[[#This Row],['# People with access to Sanity Pads]],WWWW[[#This Row],['# People with access to soap]],WWWW[[#This Row],['# People with access to Sanity Pads]])</f>
        <v>0</v>
      </c>
      <c r="DP494"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494" s="999">
        <f>IF(WWWW[[#This Row],[HRP3]]/WWWW[[#This Row],[Total PoP ]]&gt;1,1,WWWW[[#This Row],[HRP3]]/WWWW[[#This Row],[Total PoP ]])</f>
        <v>0</v>
      </c>
      <c r="DR494" s="998">
        <f>1-WWWW[[#This Row],[Hygiene Coverage%]]</f>
        <v>1</v>
      </c>
      <c r="DS494" s="996">
        <f>WWWW[[#This Row],['# people reached by regular dedicated hygiene promotion_5]]/WWWW[[#This Row],[Total PoP ]]</f>
        <v>0</v>
      </c>
      <c r="DT49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9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94" s="997">
        <f>WWWW[[#This Row],['#_Constructed/Existing hand washing stations]]-WWWW[[#This Row],['#_Non-Functional_hand_washing_stations]]</f>
        <v>3</v>
      </c>
      <c r="DW494" s="994">
        <f>IF(WWWW[[#This Row],['# Functional hand washing stations during reporting period]]*20&gt;WWWW[[#This Row],[Total HH]],WWWW[[#This Row],[Total HH]],WWWW[[#This Row],['# Functional hand washing stations during reporting period]]*20)</f>
        <v>25</v>
      </c>
      <c r="DX494" s="994">
        <f>IF(WWWW[[#This Row],[Is sufficient soap available for TLS? (Yes/No)]]="yes",WWWW[[#This Row],['#_Constructed/Existing hand washing stations at TLS/CFS/THF]],0)</f>
        <v>0</v>
      </c>
      <c r="DY494" s="428">
        <f>IF(WWWW[[#This Row],['# Functional hand washing stations during reporting period]]*100&gt;WWWW[[#This Row],[Total PoP ]],WWWW[[#This Row],[Total PoP ]],WWWW[[#This Row],['# Functional hand washing stations during reporting period]]*100)</f>
        <v>133</v>
      </c>
      <c r="DZ494" s="428" t="str">
        <f>IF(OR(WWWW[[#This Row],['#_students at TLS_CFS]]="",WWWW[[#This Row],['#_students at TLS_CFS]]=0),"No","Yes")</f>
        <v>No</v>
      </c>
      <c r="EA49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9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9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4" s="990" t="str">
        <f>VLOOKUP(WWWW[[#This Row],[Site Name]],SiteDB6[[Site Name]:[CCCM Management]],6,FALSE)</f>
        <v>Yes</v>
      </c>
      <c r="EF494" s="990" t="str">
        <f>VLOOKUP(WWWW[[#This Row],[Site Name]],SiteDB6[[Site Name]:[CCCM Focal Agency]],7,FALSE)</f>
        <v>KBC-MYT</v>
      </c>
      <c r="EG494" s="990" t="str">
        <f>VLOOKUP(WWWW[[#This Row],[Site Name]],SiteDB6[[Site Name]:[Location Type 1]],9,FALSE)</f>
        <v>Camp</v>
      </c>
      <c r="EH494" s="990" t="str">
        <f>VLOOKUP(WWWW[[#This Row],[Site Name]],SiteDB6[[Site Name]:[Type of Accommodation]],10,FALSE)</f>
        <v>Camp</v>
      </c>
      <c r="EI494" s="990" t="str">
        <f>VLOOKUP(WWWW[[#This Row],[Site Name]],SiteDB6[[Site Name]:[Ethnic or GCA/NGCA]],11,FALSE)</f>
        <v>GCA</v>
      </c>
      <c r="EJ494" s="990">
        <f>VLOOKUP(WWWW[[#This Row],[Site Name]],SiteDB6[[Site Name]:[Lat]],12,FALSE)</f>
        <v>25.577559999999998</v>
      </c>
      <c r="EK494" s="990">
        <f>VLOOKUP(WWWW[[#This Row],[Site Name]],SiteDB6[[Site Name]:[Long]],13,FALSE)</f>
        <v>96.286680000000004</v>
      </c>
      <c r="EL494" s="990" t="str">
        <f>VLOOKUP(WWWW[[#This Row],[Site Name]],SiteDB6[[Site Name]:[Pcode]],3,FALSE)</f>
        <v>MMR001CMP184</v>
      </c>
      <c r="EM494" s="995" t="str">
        <f t="shared" si="10"/>
        <v>Covered</v>
      </c>
      <c r="EN494" s="995"/>
      <c r="EO494" s="990">
        <f>VLOOKUP(WWWW[[#This Row],[Site Name]],SiteDB6[[Site Name]:[Pop
(Kachin/Shan-CCCM as of July 2021)]],16,FALSE)</f>
        <v>25</v>
      </c>
      <c r="EP494" s="990">
        <f>VLOOKUP(WWWW[[#This Row],[Site Name]],SiteDB6[[Site Name]:[Pop
(Kachin/Shan-CCCM as of July 2021)]],17,FALSE)</f>
        <v>133</v>
      </c>
    </row>
    <row r="495" spans="1:146">
      <c r="A495" s="988" t="s">
        <v>2765</v>
      </c>
      <c r="B495" s="988" t="s">
        <v>242</v>
      </c>
      <c r="C495" s="989" t="s">
        <v>242</v>
      </c>
      <c r="D495" s="989" t="s">
        <v>299</v>
      </c>
      <c r="E495" s="989" t="s">
        <v>37</v>
      </c>
      <c r="F495" s="989" t="s">
        <v>148</v>
      </c>
      <c r="G495" s="591" t="str">
        <f>VLOOKUP(WWWW[[#This Row],[Site Name]],SiteDB6[[Site Name]:[Location Type]],8,FALSE)</f>
        <v>Camp</v>
      </c>
      <c r="H495" s="989" t="s">
        <v>249</v>
      </c>
      <c r="I495" s="448">
        <v>13</v>
      </c>
      <c r="J495" s="448">
        <v>70</v>
      </c>
      <c r="K495" s="588">
        <v>44562</v>
      </c>
      <c r="L495" s="589">
        <v>44926</v>
      </c>
      <c r="M495" s="448"/>
      <c r="N495" s="448"/>
      <c r="O495" s="448"/>
      <c r="P495" s="448"/>
      <c r="Q495" s="717" t="s">
        <v>41</v>
      </c>
      <c r="R495" s="448">
        <v>2</v>
      </c>
      <c r="S495" s="448">
        <v>3</v>
      </c>
      <c r="T495" s="448">
        <v>1</v>
      </c>
      <c r="U495" s="448"/>
      <c r="V495" s="448"/>
      <c r="W495" s="448"/>
      <c r="X495" s="991"/>
      <c r="Y495" s="991"/>
      <c r="Z495" s="991"/>
      <c r="AA495" s="991"/>
      <c r="AB495" s="991"/>
      <c r="AC495" s="991"/>
      <c r="AD495" s="991"/>
      <c r="AE495" s="991"/>
      <c r="AF495" s="448">
        <v>1000</v>
      </c>
      <c r="AG495" s="448">
        <v>2</v>
      </c>
      <c r="AH495" s="991"/>
      <c r="AI495" s="991"/>
      <c r="AJ495" s="991"/>
      <c r="AK495" s="991"/>
      <c r="AL495" s="991"/>
      <c r="AM495" s="448">
        <v>1</v>
      </c>
      <c r="AN495" s="448"/>
      <c r="AO495" s="448"/>
      <c r="AP495" s="590" t="s">
        <v>3171</v>
      </c>
      <c r="AQ495" s="991">
        <v>5</v>
      </c>
      <c r="AR495" s="991"/>
      <c r="AS495" s="996"/>
      <c r="AT495" s="991"/>
      <c r="AU495" s="991"/>
      <c r="AV495" s="991"/>
      <c r="AW495" s="991"/>
      <c r="AX495" s="991"/>
      <c r="AY495" s="990" t="s">
        <v>41</v>
      </c>
      <c r="AZ495" s="995" t="s">
        <v>137</v>
      </c>
      <c r="BA495" s="991"/>
      <c r="BB495" s="991"/>
      <c r="BC495" s="991"/>
      <c r="BD495" s="448"/>
      <c r="BE495" s="448"/>
      <c r="BF495" s="425" t="s">
        <v>3172</v>
      </c>
      <c r="BG495" s="991">
        <v>3</v>
      </c>
      <c r="BH495" s="991"/>
      <c r="BI495" s="991"/>
      <c r="BJ495" s="991">
        <v>1</v>
      </c>
      <c r="BK495" s="991"/>
      <c r="BL495" s="448">
        <v>2</v>
      </c>
      <c r="BM495" s="448">
        <v>2</v>
      </c>
      <c r="BN495" s="448"/>
      <c r="BO495" s="448"/>
      <c r="BP495" s="990"/>
      <c r="BQ495" s="424"/>
      <c r="BR495" s="423">
        <v>0.4</v>
      </c>
      <c r="BS495" s="425"/>
      <c r="BT495" s="423">
        <v>0.5</v>
      </c>
      <c r="BU495" s="423">
        <v>1</v>
      </c>
      <c r="BV495" s="425">
        <v>50</v>
      </c>
      <c r="BW495" s="423">
        <v>0.5</v>
      </c>
      <c r="BX495" s="448"/>
      <c r="BY495" s="448"/>
      <c r="BZ495" s="448"/>
      <c r="CA495" s="448"/>
      <c r="CB495" s="448"/>
      <c r="CC495" s="777"/>
      <c r="CD495" s="448"/>
      <c r="CE495" s="998" t="str">
        <f>IFERROR(WWWW[[#This Row],['#_Water sources passed]]/WWWW[[#This Row],['#_Water sources tested for fecal coliform ]],"no test")</f>
        <v>no test</v>
      </c>
      <c r="CF495" s="996" t="str">
        <f>IFERROR(WWWW[[#This Row],['#_Household passed]]/WWWW[[#This Row],['#_Household water samples tested for fecal coliform]],"no test")</f>
        <v>no test</v>
      </c>
      <c r="CG495" s="997" t="str">
        <f>IF(AND(WWWW[[#This Row],[% of water sources passed]]="no test",WWWW[[#This Row],[% Household passed]]="no test"),"No Test","Tested")</f>
        <v>No Test</v>
      </c>
      <c r="CH495" s="997">
        <f>WWWW[[#This Row],['#_Constructed/existing protected hand dug well]]-WWWW[[#This Row],['#_Non-functional protected hand dug well]]</f>
        <v>1</v>
      </c>
      <c r="CI495" s="997">
        <f>(WWWW[[#This Row],['#_Constructed/Existing tube wells/boreholes/handpumps_WASH_agency]]+WWWW[[#This Row],['#_Non-Cluster partner water tube-wells/boreholes/handpumps]])-WWWW[[#This Row],['#_Non-functional tube wells/boreholes/handpumps]]</f>
        <v>0</v>
      </c>
      <c r="CJ495" s="997">
        <f>WWWW[[#This Row],['#_Constructed/Existingwater storage tank with gravity fed reticulation system]]-WWWW[[#This Row],['#_Non-functional storage tank gravity fed reticulation system]]</f>
        <v>0</v>
      </c>
      <c r="CK495" s="997">
        <f>(WWWW[[#This Row],['#_Water_Liters_supplied_by_Water boating or water trucking]]/90)/15</f>
        <v>0</v>
      </c>
      <c r="CL495" s="997">
        <f>WWWW[[#This Row],['#_Water_Liters_from_Constructed/Existing water distribution system from river or natural spring]]/90/15</f>
        <v>0.7407407407407407</v>
      </c>
      <c r="CM495" s="424">
        <f>IF(WWWW[[#This Row],['#_of water points in TLS/CFS]]*500&gt;WWWW[[#This Row],[Total PoP ]],WWWW[[#This Row],[Total PoP ]],WWWW[[#This Row],['#_of water points in TLS/CFS]]*500)</f>
        <v>0</v>
      </c>
      <c r="CN495" s="424">
        <f>IF(WWWW[[#This Row],['#_of water points in THF]]*500&gt;WWWW[[#This Row],[Total PoP ]],WWWW[[#This Row],[Total PoP ]],WWWW[[#This Row],['#_of water points in THF]]*500)</f>
        <v>0</v>
      </c>
      <c r="CO49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9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95" s="996">
        <f>IF(WWWW[[#This Row],[Location Type 1]]="Village",WWWW[[#This Row],[Access to safe drinking water for Village]],WWWW[[#This Row],[Access to safe drinking water for Camp]])</f>
        <v>1</v>
      </c>
      <c r="CR495" s="994">
        <f>WWWW[[#This Row],[%Equitable and continuous access to sufficient quantity of safe drinking water]]*WWWW[[#This Row],[Total PoP ]]</f>
        <v>70</v>
      </c>
      <c r="CS495" s="996">
        <f>IF((WWWW[[#This Row],['#_Constructed/Existing protected/fenced ponds]]*250)/WWWW[[#This Row],[Total PoP ]]&gt;1,1,(WWWW[[#This Row],['#_Constructed/Existing protected/fenced ponds]]*250)/WWWW[[#This Row],[Total PoP ]])</f>
        <v>0</v>
      </c>
      <c r="CT495" s="994">
        <f>WWWW[[#This Row],[% Access to unimproved water points]]*WWWW[[#This Row],[Total PoP ]]</f>
        <v>0</v>
      </c>
      <c r="CU49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W495" s="994">
        <f>WWWW[[#This Row],[HRP1]]/500</f>
        <v>0.14000000000000001</v>
      </c>
      <c r="CX495" s="999">
        <f>1-WWWW[[#This Row],[% Equitable and continuous access to sufficient quantity of domestic water]]</f>
        <v>0</v>
      </c>
      <c r="CY495" s="994">
        <f>WWWW[[#This Row],[%equitable and continuous access to sufficient quantity of safe drinking and domestic water''s GAP]]*WWWW[[#This Row],[Total PoP ]]</f>
        <v>0</v>
      </c>
      <c r="CZ495" s="997">
        <f>IF(WWWW[[#This Row],[Total required water points]]-WWWW[[#This Row],['#Water points coverage]]&lt;0,0,WWWW[[#This Row],[Total required water points]]-WWWW[[#This Row],['#Water points coverage]])</f>
        <v>0.86</v>
      </c>
      <c r="DA495" s="997">
        <f>ROUND(IF(WWWW[[#This Row],[Total PoP ]]&lt;500,1,WWWW[[#This Row],[Total PoP ]]/500),0)</f>
        <v>1</v>
      </c>
      <c r="DB495" s="997">
        <f>(WWWW[[#This Row],['#_Constructed latrines_by_WASHAgencies]]+WWWW[[#This Row],['#_Non Cluster partner latrines]])-WWWW[[#This Row],['#_Non-functional latrines]]</f>
        <v>5</v>
      </c>
      <c r="DC495" s="631">
        <f>WWWW[[#This Row],[HRP2]]/WWWW[[#This Row],[Total PoP ]]</f>
        <v>1</v>
      </c>
      <c r="DD49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70</v>
      </c>
      <c r="DE49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9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5" s="424">
        <f>IF(WWWW[[#This Row],['# of functional latrines in THF supported by WASH partners during the reporting period2]]="",0,WWWW[[#This Row],['# of functional latrines in THF supported by WASH partners during the reporting period2]]*50)</f>
        <v>0</v>
      </c>
      <c r="DH495" s="997">
        <f>ROUND(IF(WWWW[[#This Row],[Location Type 1]]="camp",WWWW[[#This Row],[Total PoP ]]/20,IF(WWWW[[#This Row],[Location Type 1]]="Temporary Location",WWWW[[#This Row],[Total PoP ]]/50,(WWWW[[#This Row],[Total PoP ]]/6))),0)</f>
        <v>4</v>
      </c>
      <c r="DI495" s="997">
        <f>IF(WWWW[[#This Row],[Total required Latrines]]-(WWWW[[#This Row],['#_Constructed latrines_by_WASHAgencies]]+WWWW[[#This Row],['#_Non Cluster partner latrines]])&lt;0,0,WWWW[[#This Row],[Total required Latrines]]-(WWWW[[#This Row],['#_Constructed latrines_by_WASHAgencies]]+WWWW[[#This Row],['#_Non Cluster partner latrines]]))</f>
        <v>0</v>
      </c>
      <c r="DJ495" s="999">
        <f>1-WWWW[[#This Row],[% people access to functioning Latrine]]</f>
        <v>0</v>
      </c>
      <c r="DK495" s="998">
        <f>IF(OR(WWWW[[#This Row],['#_Non-functional latrines]]="",WWWW[[#This Row],['#_Non-functional latrines]]=0),0,WWWW[[#This Row],['#_Non-functional latrines]]/(WWWW[[#This Row],['#_Constructed latrines_by_WASHAgencies]]+WWWW[[#This Row],['#_Non Cluster partner latrines]]))</f>
        <v>0</v>
      </c>
      <c r="DL495" s="994">
        <f>IF(500*(WWWW[[#This Row],['#_male hygiene promoters]]+WWWW[[#This Row],['#_female hygiene promoters]])&gt;WWWW[[#This Row],[Total PoP ]],WWWW[[#This Row],[Total PoP ]],500*(WWWW[[#This Row],['#_male hygiene promoters]]+WWWW[[#This Row],['#_female hygiene promoters]]))</f>
        <v>70</v>
      </c>
      <c r="DM49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9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95" s="997">
        <f>IF(WWWW[[#This Row],['# People with access to soap]]&gt;WWWW[[#This Row],['# People with access to Sanity Pads]],WWWW[[#This Row],['# People with access to soap]],WWWW[[#This Row],['# People with access to Sanity Pads]])</f>
        <v>0</v>
      </c>
      <c r="DP495" s="997">
        <f>IF(WWWW[[#This Row],['# people reached by regular dedicated hygiene promotion_5]]&gt;WWWW[[#This Row],['# People received regular supply of hygiene items_6]],WWWW[[#This Row],['# people reached by regular dedicated hygiene promotion_5]],WWWW[[#This Row],['# People received regular supply of hygiene items_6]])</f>
        <v>70</v>
      </c>
      <c r="DQ495" s="999">
        <f>IF(WWWW[[#This Row],[HRP3]]/WWWW[[#This Row],[Total PoP ]]&gt;1,1,WWWW[[#This Row],[HRP3]]/WWWW[[#This Row],[Total PoP ]])</f>
        <v>1</v>
      </c>
      <c r="DR495" s="998">
        <f>1-WWWW[[#This Row],[Hygiene Coverage%]]</f>
        <v>0</v>
      </c>
      <c r="DS495" s="996">
        <f>WWWW[[#This Row],['# people reached by regular dedicated hygiene promotion_5]]/WWWW[[#This Row],[Total PoP ]]</f>
        <v>1</v>
      </c>
      <c r="DT49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9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95" s="997">
        <f>WWWW[[#This Row],['#_Constructed/Existing hand washing stations]]-WWWW[[#This Row],['#_Non-Functional_hand_washing_stations]]</f>
        <v>3</v>
      </c>
      <c r="DW495" s="994">
        <f>IF(WWWW[[#This Row],['# Functional hand washing stations during reporting period]]*20&gt;WWWW[[#This Row],[Total HH]],WWWW[[#This Row],[Total HH]],WWWW[[#This Row],['# Functional hand washing stations during reporting period]]*20)</f>
        <v>13</v>
      </c>
      <c r="DX495" s="994">
        <f>IF(WWWW[[#This Row],[Is sufficient soap available for TLS? (Yes/No)]]="yes",WWWW[[#This Row],['#_Constructed/Existing hand washing stations at TLS/CFS/THF]],0)</f>
        <v>0</v>
      </c>
      <c r="DY495" s="428">
        <f>IF(WWWW[[#This Row],['# Functional hand washing stations during reporting period]]*100&gt;WWWW[[#This Row],[Total PoP ]],WWWW[[#This Row],[Total PoP ]],WWWW[[#This Row],['# Functional hand washing stations during reporting period]]*100)</f>
        <v>70</v>
      </c>
      <c r="DZ495" s="428" t="str">
        <f>IF(OR(WWWW[[#This Row],['#_students at TLS_CFS]]="",WWWW[[#This Row],['#_students at TLS_CFS]]=0),"No","Yes")</f>
        <v>No</v>
      </c>
      <c r="EA495" s="631">
        <f>IF(WWWW[[#This Row],['#_of_affected_people_surveyed_who_report_feeling_informed_about_the_different_WASH_services_available_to_them]]="","",WWWW[[#This Row],['#_of_affected_people_surveyed_who_report_feeling_informed_about_the_different_WASH_services_available_to_them]]/WWWW[[#This Row],[Total PoP ]])</f>
        <v>0.7142857142857143</v>
      </c>
      <c r="EB49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9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5" s="990" t="str">
        <f>VLOOKUP(WWWW[[#This Row],[Site Name]],SiteDB6[[Site Name]:[CCCM Management]],6,FALSE)</f>
        <v>Yes</v>
      </c>
      <c r="EF495" s="990" t="str">
        <f>VLOOKUP(WWWW[[#This Row],[Site Name]],SiteDB6[[Site Name]:[CCCM Focal Agency]],7,FALSE)</f>
        <v>Shalom</v>
      </c>
      <c r="EG495" s="990" t="str">
        <f>VLOOKUP(WWWW[[#This Row],[Site Name]],SiteDB6[[Site Name]:[Location Type 1]],9,FALSE)</f>
        <v>Camp</v>
      </c>
      <c r="EH495" s="990" t="str">
        <f>VLOOKUP(WWWW[[#This Row],[Site Name]],SiteDB6[[Site Name]:[Type of Accommodation]],10,FALSE)</f>
        <v>Camp</v>
      </c>
      <c r="EI495" s="990" t="str">
        <f>VLOOKUP(WWWW[[#This Row],[Site Name]],SiteDB6[[Site Name]:[Ethnic or GCA/NGCA]],11,FALSE)</f>
        <v>GCA</v>
      </c>
      <c r="EJ495" s="990">
        <f>VLOOKUP(WWWW[[#This Row],[Site Name]],SiteDB6[[Site Name]:[Lat]],12,FALSE)</f>
        <v>25.616509000000001</v>
      </c>
      <c r="EK495" s="990">
        <f>VLOOKUP(WWWW[[#This Row],[Site Name]],SiteDB6[[Site Name]:[Long]],13,FALSE)</f>
        <v>96.317350000000005</v>
      </c>
      <c r="EL495" s="990" t="str">
        <f>VLOOKUP(WWWW[[#This Row],[Site Name]],SiteDB6[[Site Name]:[Pcode]],3,FALSE)</f>
        <v>MMR001CMP190</v>
      </c>
      <c r="EM495" s="995" t="str">
        <f t="shared" si="10"/>
        <v>Covered</v>
      </c>
      <c r="EN495" s="995"/>
      <c r="EO495" s="990">
        <f>VLOOKUP(WWWW[[#This Row],[Site Name]],SiteDB6[[Site Name]:[Pop
(Kachin/Shan-CCCM as of July 2021)]],16,FALSE)</f>
        <v>14</v>
      </c>
      <c r="EP495" s="990">
        <f>VLOOKUP(WWWW[[#This Row],[Site Name]],SiteDB6[[Site Name]:[Pop
(Kachin/Shan-CCCM as of July 2021)]],17,FALSE)</f>
        <v>72</v>
      </c>
    </row>
    <row r="496" spans="1:146">
      <c r="A496" s="988" t="s">
        <v>2765</v>
      </c>
      <c r="B496" s="988" t="s">
        <v>242</v>
      </c>
      <c r="C496" s="989" t="s">
        <v>242</v>
      </c>
      <c r="D496" s="989" t="s">
        <v>299</v>
      </c>
      <c r="E496" s="989" t="s">
        <v>37</v>
      </c>
      <c r="F496" s="989" t="s">
        <v>148</v>
      </c>
      <c r="G496" s="591" t="str">
        <f>VLOOKUP(WWWW[[#This Row],[Site Name]],SiteDB6[[Site Name]:[Location Type]],8,FALSE)</f>
        <v>Camp</v>
      </c>
      <c r="H496" s="989" t="s">
        <v>258</v>
      </c>
      <c r="I496" s="448">
        <v>7</v>
      </c>
      <c r="J496" s="448">
        <v>24</v>
      </c>
      <c r="K496" s="588">
        <v>44562</v>
      </c>
      <c r="L496" s="589">
        <v>44926</v>
      </c>
      <c r="M496" s="448">
        <v>6</v>
      </c>
      <c r="N496" s="991">
        <v>1</v>
      </c>
      <c r="O496" s="991"/>
      <c r="P496" s="991"/>
      <c r="Q496" s="994" t="s">
        <v>41</v>
      </c>
      <c r="R496" s="991">
        <v>2</v>
      </c>
      <c r="S496" s="991">
        <v>2</v>
      </c>
      <c r="T496" s="448">
        <v>1</v>
      </c>
      <c r="U496" s="991">
        <v>1</v>
      </c>
      <c r="V496" s="991"/>
      <c r="W496" s="991">
        <v>1</v>
      </c>
      <c r="X496" s="991"/>
      <c r="Y496" s="991"/>
      <c r="Z496" s="991"/>
      <c r="AA496" s="991">
        <v>1</v>
      </c>
      <c r="AB496" s="991">
        <v>1</v>
      </c>
      <c r="AC496" s="991"/>
      <c r="AD496" s="991"/>
      <c r="AE496" s="991"/>
      <c r="AF496" s="448">
        <v>1000</v>
      </c>
      <c r="AG496" s="991"/>
      <c r="AH496" s="991"/>
      <c r="AI496" s="991"/>
      <c r="AJ496" s="991"/>
      <c r="AK496" s="991"/>
      <c r="AL496" s="448"/>
      <c r="AM496" s="448"/>
      <c r="AN496" s="448">
        <v>2</v>
      </c>
      <c r="AO496" s="448"/>
      <c r="AP496" s="995"/>
      <c r="AQ496" s="991">
        <v>3</v>
      </c>
      <c r="AR496" s="991"/>
      <c r="AS496" s="996"/>
      <c r="AT496" s="991"/>
      <c r="AU496" s="991"/>
      <c r="AV496" s="991"/>
      <c r="AW496" s="991"/>
      <c r="AX496" s="991"/>
      <c r="AY496" s="990" t="s">
        <v>41</v>
      </c>
      <c r="AZ496" s="995" t="s">
        <v>136</v>
      </c>
      <c r="BA496" s="991"/>
      <c r="BB496" s="991"/>
      <c r="BC496" s="448">
        <v>3</v>
      </c>
      <c r="BD496" s="448">
        <v>3</v>
      </c>
      <c r="BE496" s="448"/>
      <c r="BF496" s="425" t="s">
        <v>3174</v>
      </c>
      <c r="BG496" s="991">
        <v>2</v>
      </c>
      <c r="BH496" s="991">
        <v>1</v>
      </c>
      <c r="BI496" s="991"/>
      <c r="BJ496" s="991">
        <v>2</v>
      </c>
      <c r="BK496" s="991"/>
      <c r="BL496" s="991">
        <v>3</v>
      </c>
      <c r="BM496" s="991">
        <v>5</v>
      </c>
      <c r="BN496" s="991"/>
      <c r="BO496" s="991"/>
      <c r="BP496" s="990"/>
      <c r="BQ496" s="997"/>
      <c r="BR496" s="423">
        <v>0.75</v>
      </c>
      <c r="BS496" s="990"/>
      <c r="BT496" s="423">
        <v>0.9</v>
      </c>
      <c r="BU496" s="423">
        <v>0.9</v>
      </c>
      <c r="BV496" s="425">
        <v>5</v>
      </c>
      <c r="BW496" s="423">
        <v>0.75</v>
      </c>
      <c r="BX496" s="448"/>
      <c r="BY496" s="448"/>
      <c r="BZ496" s="448"/>
      <c r="CA496" s="448"/>
      <c r="CB496" s="448"/>
      <c r="CC496" s="777"/>
      <c r="CD496" s="448"/>
      <c r="CE496" s="998" t="str">
        <f>IFERROR(WWWW[[#This Row],['#_Water sources passed]]/WWWW[[#This Row],['#_Water sources tested for fecal coliform ]],"no test")</f>
        <v>no test</v>
      </c>
      <c r="CF496" s="996" t="str">
        <f>IFERROR(WWWW[[#This Row],['#_Household passed]]/WWWW[[#This Row],['#_Household water samples tested for fecal coliform]],"no test")</f>
        <v>no test</v>
      </c>
      <c r="CG496" s="997" t="str">
        <f>IF(AND(WWWW[[#This Row],[% of water sources passed]]="no test",WWWW[[#This Row],[% Household passed]]="no test"),"No Test","Tested")</f>
        <v>No Test</v>
      </c>
      <c r="CH496" s="997">
        <f>WWWW[[#This Row],['#_Constructed/existing protected hand dug well]]-WWWW[[#This Row],['#_Non-functional protected hand dug well]]</f>
        <v>0</v>
      </c>
      <c r="CI496" s="997">
        <f>(WWWW[[#This Row],['#_Constructed/Existing tube wells/boreholes/handpumps_WASH_agency]]+WWWW[[#This Row],['#_Non-Cluster partner water tube-wells/boreholes/handpumps]])-WWWW[[#This Row],['#_Non-functional tube wells/boreholes/handpumps]]</f>
        <v>1</v>
      </c>
      <c r="CJ496" s="997">
        <f>WWWW[[#This Row],['#_Constructed/Existingwater storage tank with gravity fed reticulation system]]-WWWW[[#This Row],['#_Non-functional storage tank gravity fed reticulation system]]</f>
        <v>0</v>
      </c>
      <c r="CK496" s="997">
        <f>(WWWW[[#This Row],['#_Water_Liters_supplied_by_Water boating or water trucking]]/90)/15</f>
        <v>0</v>
      </c>
      <c r="CL496" s="997">
        <f>WWWW[[#This Row],['#_Water_Liters_from_Constructed/Existing water distribution system from river or natural spring]]/90/15</f>
        <v>0.7407407407407407</v>
      </c>
      <c r="CM496" s="424">
        <f>IF(WWWW[[#This Row],['#_of water points in TLS/CFS]]*500&gt;WWWW[[#This Row],[Total PoP ]],WWWW[[#This Row],[Total PoP ]],WWWW[[#This Row],['#_of water points in TLS/CFS]]*500)</f>
        <v>24</v>
      </c>
      <c r="CN496" s="424">
        <f>IF(WWWW[[#This Row],['#_of water points in THF]]*500&gt;WWWW[[#This Row],[Total PoP ]],WWWW[[#This Row],[Total PoP ]],WWWW[[#This Row],['#_of water points in THF]]*500)</f>
        <v>0</v>
      </c>
      <c r="CO49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9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96" s="996">
        <f>IF(WWWW[[#This Row],[Location Type 1]]="Village",WWWW[[#This Row],[Access to safe drinking water for Village]],WWWW[[#This Row],[Access to safe drinking water for Camp]])</f>
        <v>1</v>
      </c>
      <c r="CR496" s="994">
        <f>WWWW[[#This Row],[%Equitable and continuous access to sufficient quantity of safe drinking water]]*WWWW[[#This Row],[Total PoP ]]</f>
        <v>24</v>
      </c>
      <c r="CS496" s="996">
        <f>IF((WWWW[[#This Row],['#_Constructed/Existing protected/fenced ponds]]*250)/WWWW[[#This Row],[Total PoP ]]&gt;1,1,(WWWW[[#This Row],['#_Constructed/Existing protected/fenced ponds]]*250)/WWWW[[#This Row],[Total PoP ]])</f>
        <v>0</v>
      </c>
      <c r="CT496" s="994">
        <f>WWWW[[#This Row],[% Access to unimproved water points]]*WWWW[[#This Row],[Total PoP ]]</f>
        <v>0</v>
      </c>
      <c r="CU49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W496" s="994">
        <f>WWWW[[#This Row],[HRP1]]/500</f>
        <v>4.8000000000000001E-2</v>
      </c>
      <c r="CX496" s="999">
        <f>1-WWWW[[#This Row],[% Equitable and continuous access to sufficient quantity of domestic water]]</f>
        <v>0</v>
      </c>
      <c r="CY496" s="994">
        <f>WWWW[[#This Row],[%equitable and continuous access to sufficient quantity of safe drinking and domestic water''s GAP]]*WWWW[[#This Row],[Total PoP ]]</f>
        <v>0</v>
      </c>
      <c r="CZ496" s="997">
        <f>IF(WWWW[[#This Row],[Total required water points]]-WWWW[[#This Row],['#Water points coverage]]&lt;0,0,WWWW[[#This Row],[Total required water points]]-WWWW[[#This Row],['#Water points coverage]])</f>
        <v>0.95199999999999996</v>
      </c>
      <c r="DA496" s="997">
        <f>ROUND(IF(WWWW[[#This Row],[Total PoP ]]&lt;500,1,WWWW[[#This Row],[Total PoP ]]/500),0)</f>
        <v>1</v>
      </c>
      <c r="DB496" s="997">
        <f>(WWWW[[#This Row],['#_Constructed latrines_by_WASHAgencies]]+WWWW[[#This Row],['#_Non Cluster partner latrines]])-WWWW[[#This Row],['#_Non-functional latrines]]</f>
        <v>3</v>
      </c>
      <c r="DC496" s="631">
        <f>WWWW[[#This Row],[HRP2]]/WWWW[[#This Row],[Total PoP ]]</f>
        <v>1</v>
      </c>
      <c r="DD49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49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9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6</v>
      </c>
      <c r="DG496" s="424">
        <f>IF(WWWW[[#This Row],['# of functional latrines in THF supported by WASH partners during the reporting period2]]="",0,WWWW[[#This Row],['# of functional latrines in THF supported by WASH partners during the reporting period2]]*50)</f>
        <v>150</v>
      </c>
      <c r="DH496" s="997">
        <f>ROUND(IF(WWWW[[#This Row],[Location Type 1]]="camp",WWWW[[#This Row],[Total PoP ]]/20,IF(WWWW[[#This Row],[Location Type 1]]="Temporary Location",WWWW[[#This Row],[Total PoP ]]/50,(WWWW[[#This Row],[Total PoP ]]/6))),0)</f>
        <v>1</v>
      </c>
      <c r="DI496" s="997">
        <f>IF(WWWW[[#This Row],[Total required Latrines]]-(WWWW[[#This Row],['#_Constructed latrines_by_WASHAgencies]]+WWWW[[#This Row],['#_Non Cluster partner latrines]])&lt;0,0,WWWW[[#This Row],[Total required Latrines]]-(WWWW[[#This Row],['#_Constructed latrines_by_WASHAgencies]]+WWWW[[#This Row],['#_Non Cluster partner latrines]]))</f>
        <v>0</v>
      </c>
      <c r="DJ496" s="999">
        <f>1-WWWW[[#This Row],[% people access to functioning Latrine]]</f>
        <v>0</v>
      </c>
      <c r="DK496" s="998">
        <f>IF(OR(WWWW[[#This Row],['#_Non-functional latrines]]="",WWWW[[#This Row],['#_Non-functional latrines]]=0),0,WWWW[[#This Row],['#_Non-functional latrines]]/(WWWW[[#This Row],['#_Constructed latrines_by_WASHAgencies]]+WWWW[[#This Row],['#_Non Cluster partner latrines]]))</f>
        <v>0</v>
      </c>
      <c r="DL496" s="994">
        <f>IF(500*(WWWW[[#This Row],['#_male hygiene promoters]]+WWWW[[#This Row],['#_female hygiene promoters]])&gt;WWWW[[#This Row],[Total PoP ]],WWWW[[#This Row],[Total PoP ]],500*(WWWW[[#This Row],['#_male hygiene promoters]]+WWWW[[#This Row],['#_female hygiene promoters]]))</f>
        <v>24</v>
      </c>
      <c r="DM49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49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96" s="997">
        <f>IF(WWWW[[#This Row],['# People with access to soap]]&gt;WWWW[[#This Row],['# People with access to Sanity Pads]],WWWW[[#This Row],['# People with access to soap]],WWWW[[#This Row],['# People with access to Sanity Pads]])</f>
        <v>0</v>
      </c>
      <c r="DP496" s="997">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496" s="999">
        <f>IF(WWWW[[#This Row],[HRP3]]/WWWW[[#This Row],[Total PoP ]]&gt;1,1,WWWW[[#This Row],[HRP3]]/WWWW[[#This Row],[Total PoP ]])</f>
        <v>1</v>
      </c>
      <c r="DR496" s="998">
        <f>1-WWWW[[#This Row],[Hygiene Coverage%]]</f>
        <v>0</v>
      </c>
      <c r="DS496" s="996">
        <f>WWWW[[#This Row],['# people reached by regular dedicated hygiene promotion_5]]/WWWW[[#This Row],[Total PoP ]]</f>
        <v>1</v>
      </c>
      <c r="DT49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49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96" s="997">
        <f>WWWW[[#This Row],['#_Constructed/Existing hand washing stations]]-WWWW[[#This Row],['#_Non-Functional_hand_washing_stations]]</f>
        <v>1</v>
      </c>
      <c r="DW496" s="994">
        <f>IF(WWWW[[#This Row],['# Functional hand washing stations during reporting period]]*20&gt;WWWW[[#This Row],[Total HH]],WWWW[[#This Row],[Total HH]],WWWW[[#This Row],['# Functional hand washing stations during reporting period]]*20)</f>
        <v>7</v>
      </c>
      <c r="DX496" s="994">
        <f>IF(WWWW[[#This Row],[Is sufficient soap available for TLS? (Yes/No)]]="yes",WWWW[[#This Row],['#_Constructed/Existing hand washing stations at TLS/CFS/THF]],0)</f>
        <v>0</v>
      </c>
      <c r="DY496" s="428">
        <f>IF(WWWW[[#This Row],['# Functional hand washing stations during reporting period]]*100&gt;WWWW[[#This Row],[Total PoP ]],WWWW[[#This Row],[Total PoP ]],WWWW[[#This Row],['# Functional hand washing stations during reporting period]]*100)</f>
        <v>24</v>
      </c>
      <c r="DZ496" s="428" t="str">
        <f>IF(OR(WWWW[[#This Row],['#_students at TLS_CFS]]="",WWWW[[#This Row],['#_students at TLS_CFS]]=0),"No","Yes")</f>
        <v>Yes</v>
      </c>
      <c r="EA496" s="631">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49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24</v>
      </c>
      <c r="ED49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150</v>
      </c>
      <c r="EE496" s="990" t="str">
        <f>VLOOKUP(WWWW[[#This Row],[Site Name]],SiteDB6[[Site Name]:[CCCM Management]],6,FALSE)</f>
        <v>Yes</v>
      </c>
      <c r="EF496" s="990" t="str">
        <f>VLOOKUP(WWWW[[#This Row],[Site Name]],SiteDB6[[Site Name]:[CCCM Focal Agency]],7,FALSE)</f>
        <v>Shalom</v>
      </c>
      <c r="EG496" s="990" t="str">
        <f>VLOOKUP(WWWW[[#This Row],[Site Name]],SiteDB6[[Site Name]:[Location Type 1]],9,FALSE)</f>
        <v>Camp</v>
      </c>
      <c r="EH496" s="990" t="str">
        <f>VLOOKUP(WWWW[[#This Row],[Site Name]],SiteDB6[[Site Name]:[Type of Accommodation]],10,FALSE)</f>
        <v>Camp like setting</v>
      </c>
      <c r="EI496" s="990" t="str">
        <f>VLOOKUP(WWWW[[#This Row],[Site Name]],SiteDB6[[Site Name]:[Ethnic or GCA/NGCA]],11,FALSE)</f>
        <v>GCA</v>
      </c>
      <c r="EJ496" s="990">
        <f>VLOOKUP(WWWW[[#This Row],[Site Name]],SiteDB6[[Site Name]:[Lat]],12,FALSE)</f>
        <v>25.617998</v>
      </c>
      <c r="EK496" s="990">
        <f>VLOOKUP(WWWW[[#This Row],[Site Name]],SiteDB6[[Site Name]:[Long]],13,FALSE)</f>
        <v>96.339590000000001</v>
      </c>
      <c r="EL496" s="990" t="str">
        <f>VLOOKUP(WWWW[[#This Row],[Site Name]],SiteDB6[[Site Name]:[Pcode]],3,FALSE)</f>
        <v>MMR001CMP192</v>
      </c>
      <c r="EM496" s="995" t="str">
        <f t="shared" si="10"/>
        <v>Covered</v>
      </c>
      <c r="EN496" s="995"/>
      <c r="EO496" s="990">
        <f>VLOOKUP(WWWW[[#This Row],[Site Name]],SiteDB6[[Site Name]:[Pop
(Kachin/Shan-CCCM as of July 2021)]],16,FALSE)</f>
        <v>7</v>
      </c>
      <c r="EP496" s="990">
        <f>VLOOKUP(WWWW[[#This Row],[Site Name]],SiteDB6[[Site Name]:[Pop
(Kachin/Shan-CCCM as of July 2021)]],17,FALSE)</f>
        <v>24</v>
      </c>
    </row>
    <row r="497" spans="1:146">
      <c r="A497" s="988" t="s">
        <v>2765</v>
      </c>
      <c r="B497" s="988" t="s">
        <v>276</v>
      </c>
      <c r="C497" s="989" t="s">
        <v>276</v>
      </c>
      <c r="D497" s="989" t="s">
        <v>3037</v>
      </c>
      <c r="E497" s="989" t="s">
        <v>37</v>
      </c>
      <c r="F497" s="989" t="s">
        <v>195</v>
      </c>
      <c r="G497" s="591" t="str">
        <f>VLOOKUP(WWWW[[#This Row],[Site Name]],SiteDB6[[Site Name]:[Location Type]],8,FALSE)</f>
        <v>Camp</v>
      </c>
      <c r="H497" s="989" t="s">
        <v>279</v>
      </c>
      <c r="I497" s="991">
        <v>65</v>
      </c>
      <c r="J497" s="991">
        <v>334</v>
      </c>
      <c r="K497" s="992">
        <v>44713</v>
      </c>
      <c r="L497" s="993">
        <v>44895</v>
      </c>
      <c r="M497" s="991"/>
      <c r="N497" s="991"/>
      <c r="O497" s="991"/>
      <c r="P497" s="991"/>
      <c r="Q497" s="994" t="s">
        <v>41</v>
      </c>
      <c r="R497" s="991">
        <v>2</v>
      </c>
      <c r="S497" s="991">
        <v>4</v>
      </c>
      <c r="T497" s="448">
        <v>1</v>
      </c>
      <c r="U497" s="991"/>
      <c r="V497" s="991"/>
      <c r="W497" s="991">
        <v>2</v>
      </c>
      <c r="X497" s="991"/>
      <c r="Y497" s="991"/>
      <c r="Z497" s="991">
        <v>1</v>
      </c>
      <c r="AA497" s="991"/>
      <c r="AB497" s="991"/>
      <c r="AC497" s="991"/>
      <c r="AD497" s="991"/>
      <c r="AE497" s="991"/>
      <c r="AF497" s="991"/>
      <c r="AG497" s="991">
        <v>1</v>
      </c>
      <c r="AH497" s="991"/>
      <c r="AI497" s="991">
        <v>2</v>
      </c>
      <c r="AJ497" s="991">
        <v>2</v>
      </c>
      <c r="AK497" s="991">
        <v>9</v>
      </c>
      <c r="AL497" s="991">
        <v>9</v>
      </c>
      <c r="AM497" s="991"/>
      <c r="AN497" s="991"/>
      <c r="AO497" s="448"/>
      <c r="AP497" s="995"/>
      <c r="AQ497" s="991">
        <v>33</v>
      </c>
      <c r="AR497" s="991"/>
      <c r="AS497" s="996"/>
      <c r="AT497" s="991"/>
      <c r="AU497" s="991">
        <v>7</v>
      </c>
      <c r="AV497" s="991">
        <v>33</v>
      </c>
      <c r="AW497" s="991">
        <v>38.35</v>
      </c>
      <c r="AX497" s="991"/>
      <c r="AY497" s="990" t="s">
        <v>41</v>
      </c>
      <c r="AZ497" s="995" t="s">
        <v>137</v>
      </c>
      <c r="BA497" s="991"/>
      <c r="BB497" s="991"/>
      <c r="BC497" s="991"/>
      <c r="BD497" s="448"/>
      <c r="BE497" s="448"/>
      <c r="BF497" s="990"/>
      <c r="BG497" s="991">
        <v>19</v>
      </c>
      <c r="BH497" s="991"/>
      <c r="BI497" s="991"/>
      <c r="BJ497" s="991">
        <v>7</v>
      </c>
      <c r="BK497" s="991"/>
      <c r="BL497" s="991"/>
      <c r="BM497" s="991"/>
      <c r="BN497" s="991">
        <v>65</v>
      </c>
      <c r="BO497" s="991"/>
      <c r="BP497" s="990"/>
      <c r="BQ497" s="997"/>
      <c r="BR497" s="996"/>
      <c r="BS497" s="990"/>
      <c r="BT497" s="423"/>
      <c r="BU497" s="423"/>
      <c r="BV497" s="425"/>
      <c r="BW497" s="423"/>
      <c r="BX497" s="448"/>
      <c r="BY497" s="448"/>
      <c r="BZ497" s="448"/>
      <c r="CA497" s="448"/>
      <c r="CB497" s="448"/>
      <c r="CC497" s="777"/>
      <c r="CD497" s="448"/>
      <c r="CE497" s="998">
        <f>IFERROR(WWWW[[#This Row],['#_Water sources passed]]/WWWW[[#This Row],['#_Water sources tested for fecal coliform ]],"no test")</f>
        <v>1</v>
      </c>
      <c r="CF497" s="996">
        <f>IFERROR(WWWW[[#This Row],['#_Household passed]]/WWWW[[#This Row],['#_Household water samples tested for fecal coliform]],"no test")</f>
        <v>1</v>
      </c>
      <c r="CG497" s="997" t="str">
        <f>IF(AND(WWWW[[#This Row],[% of water sources passed]]="no test",WWWW[[#This Row],[% Household passed]]="no test"),"No Test","Tested")</f>
        <v>Tested</v>
      </c>
      <c r="CH497" s="997">
        <f>WWWW[[#This Row],['#_Constructed/existing protected hand dug well]]-WWWW[[#This Row],['#_Non-functional protected hand dug well]]</f>
        <v>1</v>
      </c>
      <c r="CI497" s="997">
        <f>(WWWW[[#This Row],['#_Constructed/Existing tube wells/boreholes/handpumps_WASH_agency]]+WWWW[[#This Row],['#_Non-Cluster partner water tube-wells/boreholes/handpumps]])-WWWW[[#This Row],['#_Non-functional tube wells/boreholes/handpumps]]</f>
        <v>2</v>
      </c>
      <c r="CJ497" s="997">
        <f>WWWW[[#This Row],['#_Constructed/Existingwater storage tank with gravity fed reticulation system]]-WWWW[[#This Row],['#_Non-functional storage tank gravity fed reticulation system]]</f>
        <v>0</v>
      </c>
      <c r="CK497" s="997">
        <f>(WWWW[[#This Row],['#_Water_Liters_supplied_by_Water boating or water trucking]]/90)/15</f>
        <v>0</v>
      </c>
      <c r="CL497" s="997">
        <f>WWWW[[#This Row],['#_Water_Liters_from_Constructed/Existing water distribution system from river or natural spring]]/90/15</f>
        <v>0</v>
      </c>
      <c r="CM497" s="424">
        <f>IF(WWWW[[#This Row],['#_of water points in TLS/CFS]]*500&gt;WWWW[[#This Row],[Total PoP ]],WWWW[[#This Row],[Total PoP ]],WWWW[[#This Row],['#_of water points in TLS/CFS]]*500)</f>
        <v>0</v>
      </c>
      <c r="CN497" s="424">
        <f>IF(WWWW[[#This Row],['#_of water points in THF]]*500&gt;WWWW[[#This Row],[Total PoP ]],WWWW[[#This Row],[Total PoP ]],WWWW[[#This Row],['#_of water points in THF]]*500)</f>
        <v>0</v>
      </c>
      <c r="CO49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9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97" s="996">
        <f>IF(WWWW[[#This Row],[Location Type 1]]="Village",WWWW[[#This Row],[Access to safe drinking water for Village]],WWWW[[#This Row],[Access to safe drinking water for Camp]])</f>
        <v>1</v>
      </c>
      <c r="CR497" s="994">
        <f>WWWW[[#This Row],[%Equitable and continuous access to sufficient quantity of safe drinking water]]*WWWW[[#This Row],[Total PoP ]]</f>
        <v>334</v>
      </c>
      <c r="CS497" s="996">
        <f>IF((WWWW[[#This Row],['#_Constructed/Existing protected/fenced ponds]]*250)/WWWW[[#This Row],[Total PoP ]]&gt;1,1,(WWWW[[#This Row],['#_Constructed/Existing protected/fenced ponds]]*250)/WWWW[[#This Row],[Total PoP ]])</f>
        <v>0</v>
      </c>
      <c r="CT497" s="994">
        <f>WWWW[[#This Row],[% Access to unimproved water points]]*WWWW[[#This Row],[Total PoP ]]</f>
        <v>0</v>
      </c>
      <c r="CU49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W497" s="994">
        <f>WWWW[[#This Row],[HRP1]]/500</f>
        <v>0.66800000000000004</v>
      </c>
      <c r="CX497" s="999">
        <f>1-WWWW[[#This Row],[% Equitable and continuous access to sufficient quantity of domestic water]]</f>
        <v>0</v>
      </c>
      <c r="CY497" s="994">
        <f>WWWW[[#This Row],[%equitable and continuous access to sufficient quantity of safe drinking and domestic water''s GAP]]*WWWW[[#This Row],[Total PoP ]]</f>
        <v>0</v>
      </c>
      <c r="CZ497" s="997">
        <f>IF(WWWW[[#This Row],[Total required water points]]-WWWW[[#This Row],['#Water points coverage]]&lt;0,0,WWWW[[#This Row],[Total required water points]]-WWWW[[#This Row],['#Water points coverage]])</f>
        <v>0.33199999999999996</v>
      </c>
      <c r="DA497" s="997">
        <f>ROUND(IF(WWWW[[#This Row],[Total PoP ]]&lt;500,1,WWWW[[#This Row],[Total PoP ]]/500),0)</f>
        <v>1</v>
      </c>
      <c r="DB497" s="997">
        <f>(WWWW[[#This Row],['#_Constructed latrines_by_WASHAgencies]]+WWWW[[#This Row],['#_Non Cluster partner latrines]])-WWWW[[#This Row],['#_Non-functional latrines]]</f>
        <v>33</v>
      </c>
      <c r="DC497" s="631">
        <f>WWWW[[#This Row],[HRP2]]/WWWW[[#This Row],[Total PoP ]]</f>
        <v>1</v>
      </c>
      <c r="DD49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334</v>
      </c>
      <c r="DE49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334</v>
      </c>
      <c r="DF49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7" s="424">
        <f>IF(WWWW[[#This Row],['# of functional latrines in THF supported by WASH partners during the reporting period2]]="",0,WWWW[[#This Row],['# of functional latrines in THF supported by WASH partners during the reporting period2]]*50)</f>
        <v>0</v>
      </c>
      <c r="DH497" s="997">
        <f>ROUND(IF(WWWW[[#This Row],[Location Type 1]]="camp",WWWW[[#This Row],[Total PoP ]]/20,IF(WWWW[[#This Row],[Location Type 1]]="Temporary Location",WWWW[[#This Row],[Total PoP ]]/50,(WWWW[[#This Row],[Total PoP ]]/6))),0)</f>
        <v>17</v>
      </c>
      <c r="DI497" s="997">
        <f>IF(WWWW[[#This Row],[Total required Latrines]]-(WWWW[[#This Row],['#_Constructed latrines_by_WASHAgencies]]+WWWW[[#This Row],['#_Non Cluster partner latrines]])&lt;0,0,WWWW[[#This Row],[Total required Latrines]]-(WWWW[[#This Row],['#_Constructed latrines_by_WASHAgencies]]+WWWW[[#This Row],['#_Non Cluster partner latrines]]))</f>
        <v>0</v>
      </c>
      <c r="DJ497" s="999">
        <f>1-WWWW[[#This Row],[% people access to functioning Latrine]]</f>
        <v>0</v>
      </c>
      <c r="DK497" s="998">
        <f>IF(OR(WWWW[[#This Row],['#_Non-functional latrines]]="",WWWW[[#This Row],['#_Non-functional latrines]]=0),0,WWWW[[#This Row],['#_Non-functional latrines]]/(WWWW[[#This Row],['#_Constructed latrines_by_WASHAgencies]]+WWWW[[#This Row],['#_Non Cluster partner latrines]]))</f>
        <v>0</v>
      </c>
      <c r="DL497" s="994">
        <f>IF(500*(WWWW[[#This Row],['#_male hygiene promoters]]+WWWW[[#This Row],['#_female hygiene promoters]])&gt;WWWW[[#This Row],[Total PoP ]],WWWW[[#This Row],[Total PoP ]],500*(WWWW[[#This Row],['#_male hygiene promoters]]+WWWW[[#This Row],['#_female hygiene promoters]]))</f>
        <v>0</v>
      </c>
      <c r="DM49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334</v>
      </c>
      <c r="DN49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97" s="997">
        <f>IF(WWWW[[#This Row],['# People with access to soap]]&gt;WWWW[[#This Row],['# People with access to Sanity Pads]],WWWW[[#This Row],['# People with access to soap]],WWWW[[#This Row],['# People with access to Sanity Pads]])</f>
        <v>334</v>
      </c>
      <c r="DP497" s="997">
        <f>IF(WWWW[[#This Row],['# people reached by regular dedicated hygiene promotion_5]]&gt;WWWW[[#This Row],['# People received regular supply of hygiene items_6]],WWWW[[#This Row],['# people reached by regular dedicated hygiene promotion_5]],WWWW[[#This Row],['# People received regular supply of hygiene items_6]])</f>
        <v>334</v>
      </c>
      <c r="DQ497" s="999">
        <f>IF(WWWW[[#This Row],[HRP3]]/WWWW[[#This Row],[Total PoP ]]&gt;1,1,WWWW[[#This Row],[HRP3]]/WWWW[[#This Row],[Total PoP ]])</f>
        <v>1</v>
      </c>
      <c r="DR497" s="998">
        <f>1-WWWW[[#This Row],[Hygiene Coverage%]]</f>
        <v>0</v>
      </c>
      <c r="DS497" s="996">
        <f>WWWW[[#This Row],['# people reached by regular dedicated hygiene promotion_5]]/WWWW[[#This Row],[Total PoP ]]</f>
        <v>0</v>
      </c>
      <c r="DT49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9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97" s="997">
        <f>WWWW[[#This Row],['#_Constructed/Existing hand washing stations]]-WWWW[[#This Row],['#_Non-Functional_hand_washing_stations]]</f>
        <v>19</v>
      </c>
      <c r="DW497" s="994">
        <f>IF(WWWW[[#This Row],['# Functional hand washing stations during reporting period]]*20&gt;WWWW[[#This Row],[Total HH]],WWWW[[#This Row],[Total HH]],WWWW[[#This Row],['# Functional hand washing stations during reporting period]]*20)</f>
        <v>65</v>
      </c>
      <c r="DX497" s="994">
        <f>IF(WWWW[[#This Row],[Is sufficient soap available for TLS? (Yes/No)]]="yes",WWWW[[#This Row],['#_Constructed/Existing hand washing stations at TLS/CFS/THF]],0)</f>
        <v>0</v>
      </c>
      <c r="DY497" s="428">
        <f>IF(WWWW[[#This Row],['# Functional hand washing stations during reporting period]]*100&gt;WWWW[[#This Row],[Total PoP ]],WWWW[[#This Row],[Total PoP ]],WWWW[[#This Row],['# Functional hand washing stations during reporting period]]*100)</f>
        <v>334</v>
      </c>
      <c r="DZ497" s="428" t="str">
        <f>IF(OR(WWWW[[#This Row],['#_students at TLS_CFS]]="",WWWW[[#This Row],['#_students at TLS_CFS]]=0),"No","Yes")</f>
        <v>No</v>
      </c>
      <c r="EA49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9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9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7" s="990" t="str">
        <f>VLOOKUP(WWWW[[#This Row],[Site Name]],SiteDB6[[Site Name]:[CCCM Management]],6,FALSE)</f>
        <v>Yes</v>
      </c>
      <c r="EF497" s="990" t="str">
        <f>VLOOKUP(WWWW[[#This Row],[Site Name]],SiteDB6[[Site Name]:[CCCM Focal Agency]],7,FALSE)</f>
        <v>KBC-BMO</v>
      </c>
      <c r="EG497" s="990" t="str">
        <f>VLOOKUP(WWWW[[#This Row],[Site Name]],SiteDB6[[Site Name]:[Location Type 1]],9,FALSE)</f>
        <v>Camp</v>
      </c>
      <c r="EH497" s="990" t="str">
        <f>VLOOKUP(WWWW[[#This Row],[Site Name]],SiteDB6[[Site Name]:[Type of Accommodation]],10,FALSE)</f>
        <v>Camp</v>
      </c>
      <c r="EI497" s="990" t="str">
        <f>VLOOKUP(WWWW[[#This Row],[Site Name]],SiteDB6[[Site Name]:[Ethnic or GCA/NGCA]],11,FALSE)</f>
        <v>GCA</v>
      </c>
      <c r="EJ497" s="990">
        <f>VLOOKUP(WWWW[[#This Row],[Site Name]],SiteDB6[[Site Name]:[Lat]],12,FALSE)</f>
        <v>24.222349999999999</v>
      </c>
      <c r="EK497" s="990">
        <f>VLOOKUP(WWWW[[#This Row],[Site Name]],SiteDB6[[Site Name]:[Long]],13,FALSE)</f>
        <v>97.252650000000003</v>
      </c>
      <c r="EL497" s="990" t="str">
        <f>VLOOKUP(WWWW[[#This Row],[Site Name]],SiteDB6[[Site Name]:[Pcode]],3,FALSE)</f>
        <v>MMR001CMP193</v>
      </c>
      <c r="EM497" s="995" t="str">
        <f t="shared" si="10"/>
        <v>Covered</v>
      </c>
      <c r="EN497" s="995"/>
      <c r="EO497" s="990">
        <f>VLOOKUP(WWWW[[#This Row],[Site Name]],SiteDB6[[Site Name]:[Pop
(Kachin/Shan-CCCM as of July 2021)]],16,FALSE)</f>
        <v>64</v>
      </c>
      <c r="EP497" s="990">
        <f>VLOOKUP(WWWW[[#This Row],[Site Name]],SiteDB6[[Site Name]:[Pop
(Kachin/Shan-CCCM as of July 2021)]],17,FALSE)</f>
        <v>339</v>
      </c>
    </row>
    <row r="498" spans="1:146">
      <c r="A498" s="988" t="s">
        <v>2765</v>
      </c>
      <c r="B498" s="988" t="s">
        <v>276</v>
      </c>
      <c r="C498" s="989" t="s">
        <v>276</v>
      </c>
      <c r="D498" s="989" t="s">
        <v>3037</v>
      </c>
      <c r="E498" s="989" t="s">
        <v>37</v>
      </c>
      <c r="F498" s="989" t="s">
        <v>195</v>
      </c>
      <c r="G498" s="591" t="str">
        <f>VLOOKUP(WWWW[[#This Row],[Site Name]],SiteDB6[[Site Name]:[Location Type]],8,FALSE)</f>
        <v>Camp</v>
      </c>
      <c r="H498" s="989" t="s">
        <v>196</v>
      </c>
      <c r="I498" s="991">
        <v>36</v>
      </c>
      <c r="J498" s="991">
        <v>222</v>
      </c>
      <c r="K498" s="992">
        <v>44713</v>
      </c>
      <c r="L498" s="993">
        <v>44895</v>
      </c>
      <c r="M498" s="991"/>
      <c r="N498" s="991"/>
      <c r="O498" s="991"/>
      <c r="P498" s="991"/>
      <c r="Q498" s="994" t="s">
        <v>41</v>
      </c>
      <c r="R498" s="991">
        <v>1</v>
      </c>
      <c r="S498" s="991">
        <v>1</v>
      </c>
      <c r="T498" s="448">
        <v>1</v>
      </c>
      <c r="U498" s="991"/>
      <c r="V498" s="991"/>
      <c r="W498" s="991">
        <v>1</v>
      </c>
      <c r="X498" s="991"/>
      <c r="Y498" s="991"/>
      <c r="Z498" s="991">
        <v>1</v>
      </c>
      <c r="AA498" s="991"/>
      <c r="AB498" s="991"/>
      <c r="AC498" s="991"/>
      <c r="AD498" s="991"/>
      <c r="AE498" s="991"/>
      <c r="AF498" s="991"/>
      <c r="AG498" s="991">
        <v>1</v>
      </c>
      <c r="AH498" s="991"/>
      <c r="AI498" s="991">
        <v>1</v>
      </c>
      <c r="AJ498" s="991">
        <v>1</v>
      </c>
      <c r="AK498" s="991">
        <v>3</v>
      </c>
      <c r="AL498" s="991">
        <v>3</v>
      </c>
      <c r="AM498" s="991"/>
      <c r="AN498" s="991"/>
      <c r="AO498" s="448"/>
      <c r="AP498" s="995"/>
      <c r="AQ498" s="991">
        <v>2</v>
      </c>
      <c r="AR498" s="991"/>
      <c r="AS498" s="996"/>
      <c r="AT498" s="991"/>
      <c r="AU498" s="991"/>
      <c r="AV498" s="991"/>
      <c r="AW498" s="991"/>
      <c r="AX498" s="991"/>
      <c r="AY498" s="990" t="s">
        <v>41</v>
      </c>
      <c r="AZ498" s="995" t="s">
        <v>137</v>
      </c>
      <c r="BA498" s="991"/>
      <c r="BB498" s="991"/>
      <c r="BC498" s="991"/>
      <c r="BD498" s="448"/>
      <c r="BE498" s="448"/>
      <c r="BF498" s="990"/>
      <c r="BG498" s="991"/>
      <c r="BH498" s="991"/>
      <c r="BI498" s="991">
        <v>3</v>
      </c>
      <c r="BJ498" s="991"/>
      <c r="BK498" s="991"/>
      <c r="BL498" s="991"/>
      <c r="BM498" s="991"/>
      <c r="BN498" s="991">
        <v>4</v>
      </c>
      <c r="BO498" s="991"/>
      <c r="BP498" s="990"/>
      <c r="BQ498" s="997"/>
      <c r="BR498" s="996"/>
      <c r="BS498" s="990"/>
      <c r="BT498" s="423"/>
      <c r="BU498" s="423"/>
      <c r="BV498" s="425"/>
      <c r="BW498" s="423"/>
      <c r="BX498" s="448"/>
      <c r="BY498" s="448"/>
      <c r="BZ498" s="448"/>
      <c r="CA498" s="448"/>
      <c r="CB498" s="448"/>
      <c r="CC498" s="777"/>
      <c r="CD498" s="448"/>
      <c r="CE498" s="998">
        <f>IFERROR(WWWW[[#This Row],['#_Water sources passed]]/WWWW[[#This Row],['#_Water sources tested for fecal coliform ]],"no test")</f>
        <v>1</v>
      </c>
      <c r="CF498" s="996">
        <f>IFERROR(WWWW[[#This Row],['#_Household passed]]/WWWW[[#This Row],['#_Household water samples tested for fecal coliform]],"no test")</f>
        <v>1</v>
      </c>
      <c r="CG498" s="997" t="str">
        <f>IF(AND(WWWW[[#This Row],[% of water sources passed]]="no test",WWWW[[#This Row],[% Household passed]]="no test"),"No Test","Tested")</f>
        <v>Tested</v>
      </c>
      <c r="CH498" s="997">
        <f>WWWW[[#This Row],['#_Constructed/existing protected hand dug well]]-WWWW[[#This Row],['#_Non-functional protected hand dug well]]</f>
        <v>1</v>
      </c>
      <c r="CI498" s="997">
        <f>(WWWW[[#This Row],['#_Constructed/Existing tube wells/boreholes/handpumps_WASH_agency]]+WWWW[[#This Row],['#_Non-Cluster partner water tube-wells/boreholes/handpumps]])-WWWW[[#This Row],['#_Non-functional tube wells/boreholes/handpumps]]</f>
        <v>1</v>
      </c>
      <c r="CJ498" s="997">
        <f>WWWW[[#This Row],['#_Constructed/Existingwater storage tank with gravity fed reticulation system]]-WWWW[[#This Row],['#_Non-functional storage tank gravity fed reticulation system]]</f>
        <v>0</v>
      </c>
      <c r="CK498" s="997">
        <f>(WWWW[[#This Row],['#_Water_Liters_supplied_by_Water boating or water trucking]]/90)/15</f>
        <v>0</v>
      </c>
      <c r="CL498" s="997">
        <f>WWWW[[#This Row],['#_Water_Liters_from_Constructed/Existing water distribution system from river or natural spring]]/90/15</f>
        <v>0</v>
      </c>
      <c r="CM498" s="424">
        <f>IF(WWWW[[#This Row],['#_of water points in TLS/CFS]]*500&gt;WWWW[[#This Row],[Total PoP ]],WWWW[[#This Row],[Total PoP ]],WWWW[[#This Row],['#_of water points in TLS/CFS]]*500)</f>
        <v>0</v>
      </c>
      <c r="CN498" s="424">
        <f>IF(WWWW[[#This Row],['#_of water points in THF]]*500&gt;WWWW[[#This Row],[Total PoP ]],WWWW[[#This Row],[Total PoP ]],WWWW[[#This Row],['#_of water points in THF]]*500)</f>
        <v>0</v>
      </c>
      <c r="CO49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9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98" s="996">
        <f>IF(WWWW[[#This Row],[Location Type 1]]="Village",WWWW[[#This Row],[Access to safe drinking water for Village]],WWWW[[#This Row],[Access to safe drinking water for Camp]])</f>
        <v>1</v>
      </c>
      <c r="CR498" s="994">
        <f>WWWW[[#This Row],[%Equitable and continuous access to sufficient quantity of safe drinking water]]*WWWW[[#This Row],[Total PoP ]]</f>
        <v>222</v>
      </c>
      <c r="CS498" s="996">
        <f>IF((WWWW[[#This Row],['#_Constructed/Existing protected/fenced ponds]]*250)/WWWW[[#This Row],[Total PoP ]]&gt;1,1,(WWWW[[#This Row],['#_Constructed/Existing protected/fenced ponds]]*250)/WWWW[[#This Row],[Total PoP ]])</f>
        <v>0</v>
      </c>
      <c r="CT498" s="994">
        <f>WWWW[[#This Row],[% Access to unimproved water points]]*WWWW[[#This Row],[Total PoP ]]</f>
        <v>0</v>
      </c>
      <c r="CU49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W498" s="994">
        <f>WWWW[[#This Row],[HRP1]]/500</f>
        <v>0.44400000000000001</v>
      </c>
      <c r="CX498" s="999">
        <f>1-WWWW[[#This Row],[% Equitable and continuous access to sufficient quantity of domestic water]]</f>
        <v>0</v>
      </c>
      <c r="CY498" s="994">
        <f>WWWW[[#This Row],[%equitable and continuous access to sufficient quantity of safe drinking and domestic water''s GAP]]*WWWW[[#This Row],[Total PoP ]]</f>
        <v>0</v>
      </c>
      <c r="CZ498" s="997">
        <f>IF(WWWW[[#This Row],[Total required water points]]-WWWW[[#This Row],['#Water points coverage]]&lt;0,0,WWWW[[#This Row],[Total required water points]]-WWWW[[#This Row],['#Water points coverage]])</f>
        <v>0.55600000000000005</v>
      </c>
      <c r="DA498" s="997">
        <f>ROUND(IF(WWWW[[#This Row],[Total PoP ]]&lt;500,1,WWWW[[#This Row],[Total PoP ]]/500),0)</f>
        <v>1</v>
      </c>
      <c r="DB498" s="997">
        <f>(WWWW[[#This Row],['#_Constructed latrines_by_WASHAgencies]]+WWWW[[#This Row],['#_Non Cluster partner latrines]])-WWWW[[#This Row],['#_Non-functional latrines]]</f>
        <v>2</v>
      </c>
      <c r="DC498" s="631">
        <f>WWWW[[#This Row],[HRP2]]/WWWW[[#This Row],[Total PoP ]]</f>
        <v>0.18018018018018017</v>
      </c>
      <c r="DD49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49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9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8" s="424">
        <f>IF(WWWW[[#This Row],['# of functional latrines in THF supported by WASH partners during the reporting period2]]="",0,WWWW[[#This Row],['# of functional latrines in THF supported by WASH partners during the reporting period2]]*50)</f>
        <v>0</v>
      </c>
      <c r="DH498" s="997">
        <f>ROUND(IF(WWWW[[#This Row],[Location Type 1]]="camp",WWWW[[#This Row],[Total PoP ]]/20,IF(WWWW[[#This Row],[Location Type 1]]="Temporary Location",WWWW[[#This Row],[Total PoP ]]/50,(WWWW[[#This Row],[Total PoP ]]/6))),0)</f>
        <v>11</v>
      </c>
      <c r="DI498" s="997">
        <f>IF(WWWW[[#This Row],[Total required Latrines]]-(WWWW[[#This Row],['#_Constructed latrines_by_WASHAgencies]]+WWWW[[#This Row],['#_Non Cluster partner latrines]])&lt;0,0,WWWW[[#This Row],[Total required Latrines]]-(WWWW[[#This Row],['#_Constructed latrines_by_WASHAgencies]]+WWWW[[#This Row],['#_Non Cluster partner latrines]]))</f>
        <v>9</v>
      </c>
      <c r="DJ498" s="999">
        <f>1-WWWW[[#This Row],[% people access to functioning Latrine]]</f>
        <v>0.81981981981981988</v>
      </c>
      <c r="DK498" s="998">
        <f>IF(OR(WWWW[[#This Row],['#_Non-functional latrines]]="",WWWW[[#This Row],['#_Non-functional latrines]]=0),0,WWWW[[#This Row],['#_Non-functional latrines]]/(WWWW[[#This Row],['#_Constructed latrines_by_WASHAgencies]]+WWWW[[#This Row],['#_Non Cluster partner latrines]]))</f>
        <v>0</v>
      </c>
      <c r="DL498" s="994">
        <f>IF(500*(WWWW[[#This Row],['#_male hygiene promoters]]+WWWW[[#This Row],['#_female hygiene promoters]])&gt;WWWW[[#This Row],[Total PoP ]],WWWW[[#This Row],[Total PoP ]],500*(WWWW[[#This Row],['#_male hygiene promoters]]+WWWW[[#This Row],['#_female hygiene promoters]]))</f>
        <v>0</v>
      </c>
      <c r="DM49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v>
      </c>
      <c r="DN49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498" s="997">
        <f>IF(WWWW[[#This Row],['# People with access to soap]]&gt;WWWW[[#This Row],['# People with access to Sanity Pads]],WWWW[[#This Row],['# People with access to soap]],WWWW[[#This Row],['# People with access to Sanity Pads]])</f>
        <v>20</v>
      </c>
      <c r="DP498" s="997">
        <f>IF(WWWW[[#This Row],['# people reached by regular dedicated hygiene promotion_5]]&gt;WWWW[[#This Row],['# People received regular supply of hygiene items_6]],WWWW[[#This Row],['# people reached by regular dedicated hygiene promotion_5]],WWWW[[#This Row],['# People received regular supply of hygiene items_6]])</f>
        <v>20</v>
      </c>
      <c r="DQ498" s="999">
        <f>IF(WWWW[[#This Row],[HRP3]]/WWWW[[#This Row],[Total PoP ]]&gt;1,1,WWWW[[#This Row],[HRP3]]/WWWW[[#This Row],[Total PoP ]])</f>
        <v>9.0090090090090086E-2</v>
      </c>
      <c r="DR498" s="998">
        <f>1-WWWW[[#This Row],[Hygiene Coverage%]]</f>
        <v>0.90990990990990994</v>
      </c>
      <c r="DS498" s="996">
        <f>WWWW[[#This Row],['# people reached by regular dedicated hygiene promotion_5]]/WWWW[[#This Row],[Total PoP ]]</f>
        <v>0</v>
      </c>
      <c r="DT49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0.44444444444444442</v>
      </c>
      <c r="DU49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498" s="997">
        <f>WWWW[[#This Row],['#_Constructed/Existing hand washing stations]]-WWWW[[#This Row],['#_Non-Functional_hand_washing_stations]]</f>
        <v>0</v>
      </c>
      <c r="DW498" s="994">
        <f>IF(WWWW[[#This Row],['# Functional hand washing stations during reporting period]]*20&gt;WWWW[[#This Row],[Total HH]],WWWW[[#This Row],[Total HH]],WWWW[[#This Row],['# Functional hand washing stations during reporting period]]*20)</f>
        <v>0</v>
      </c>
      <c r="DX498" s="994">
        <f>IF(WWWW[[#This Row],[Is sufficient soap available for TLS? (Yes/No)]]="yes",WWWW[[#This Row],['#_Constructed/Existing hand washing stations at TLS/CFS/THF]],0)</f>
        <v>0</v>
      </c>
      <c r="DY498" s="428">
        <f>IF(WWWW[[#This Row],['# Functional hand washing stations during reporting period]]*100&gt;WWWW[[#This Row],[Total PoP ]],WWWW[[#This Row],[Total PoP ]],WWWW[[#This Row],['# Functional hand washing stations during reporting period]]*100)</f>
        <v>0</v>
      </c>
      <c r="DZ498" s="428" t="str">
        <f>IF(OR(WWWW[[#This Row],['#_students at TLS_CFS]]="",WWWW[[#This Row],['#_students at TLS_CFS]]=0),"No","Yes")</f>
        <v>No</v>
      </c>
      <c r="EA49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9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9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8" s="990" t="str">
        <f>VLOOKUP(WWWW[[#This Row],[Site Name]],SiteDB6[[Site Name]:[CCCM Management]],6,FALSE)</f>
        <v>Yes</v>
      </c>
      <c r="EF498" s="990" t="str">
        <f>VLOOKUP(WWWW[[#This Row],[Site Name]],SiteDB6[[Site Name]:[CCCM Focal Agency]],7,FALSE)</f>
        <v>KBC-BMO</v>
      </c>
      <c r="EG498" s="990" t="str">
        <f>VLOOKUP(WWWW[[#This Row],[Site Name]],SiteDB6[[Site Name]:[Location Type 1]],9,FALSE)</f>
        <v>Camp</v>
      </c>
      <c r="EH498" s="990" t="str">
        <f>VLOOKUP(WWWW[[#This Row],[Site Name]],SiteDB6[[Site Name]:[Type of Accommodation]],10,FALSE)</f>
        <v>Camp</v>
      </c>
      <c r="EI498" s="990" t="str">
        <f>VLOOKUP(WWWW[[#This Row],[Site Name]],SiteDB6[[Site Name]:[Ethnic or GCA/NGCA]],11,FALSE)</f>
        <v>GCA</v>
      </c>
      <c r="EJ498" s="990">
        <f>VLOOKUP(WWWW[[#This Row],[Site Name]],SiteDB6[[Site Name]:[Lat]],12,FALSE)</f>
        <v>24.260466999999998</v>
      </c>
      <c r="EK498" s="990">
        <f>VLOOKUP(WWWW[[#This Row],[Site Name]],SiteDB6[[Site Name]:[Long]],13,FALSE)</f>
        <v>97.252650000000003</v>
      </c>
      <c r="EL498" s="990" t="str">
        <f>VLOOKUP(WWWW[[#This Row],[Site Name]],SiteDB6[[Site Name]:[Pcode]],3,FALSE)</f>
        <v>MMR001CMP194</v>
      </c>
      <c r="EM498" s="995" t="str">
        <f t="shared" si="10"/>
        <v>Covered</v>
      </c>
      <c r="EN498" s="995"/>
      <c r="EO498" s="990">
        <f>VLOOKUP(WWWW[[#This Row],[Site Name]],SiteDB6[[Site Name]:[Pop
(Kachin/Shan-CCCM as of July 2021)]],16,FALSE)</f>
        <v>9</v>
      </c>
      <c r="EP498" s="990">
        <f>VLOOKUP(WWWW[[#This Row],[Site Name]],SiteDB6[[Site Name]:[Pop
(Kachin/Shan-CCCM as of July 2021)]],17,FALSE)</f>
        <v>37</v>
      </c>
    </row>
    <row r="499" spans="1:146">
      <c r="A499" s="988" t="s">
        <v>2765</v>
      </c>
      <c r="B499" s="988" t="s">
        <v>242</v>
      </c>
      <c r="C499" s="989" t="s">
        <v>242</v>
      </c>
      <c r="D499" s="989" t="s">
        <v>299</v>
      </c>
      <c r="E499" s="989" t="s">
        <v>37</v>
      </c>
      <c r="F499" s="989" t="s">
        <v>146</v>
      </c>
      <c r="G499" s="591" t="str">
        <f>VLOOKUP(WWWW[[#This Row],[Site Name]],SiteDB6[[Site Name]:[Location Type]],8,FALSE)</f>
        <v>Camp</v>
      </c>
      <c r="H499" s="989" t="s">
        <v>247</v>
      </c>
      <c r="I499" s="448">
        <v>201</v>
      </c>
      <c r="J499" s="448">
        <v>885</v>
      </c>
      <c r="K499" s="588">
        <v>44562</v>
      </c>
      <c r="L499" s="589">
        <v>44926</v>
      </c>
      <c r="M499" s="448">
        <v>400</v>
      </c>
      <c r="N499" s="448">
        <v>1</v>
      </c>
      <c r="O499" s="448">
        <v>1</v>
      </c>
      <c r="P499" s="448"/>
      <c r="Q499" s="717" t="s">
        <v>41</v>
      </c>
      <c r="R499" s="991">
        <v>4</v>
      </c>
      <c r="S499" s="991">
        <v>2</v>
      </c>
      <c r="T499" s="448">
        <v>1</v>
      </c>
      <c r="U499" s="991"/>
      <c r="V499" s="991"/>
      <c r="W499" s="991"/>
      <c r="X499" s="991"/>
      <c r="Y499" s="991"/>
      <c r="Z499" s="991"/>
      <c r="AA499" s="991">
        <v>3</v>
      </c>
      <c r="AB499" s="991"/>
      <c r="AC499" s="448">
        <v>3</v>
      </c>
      <c r="AD499" s="991"/>
      <c r="AE499" s="991">
        <v>16</v>
      </c>
      <c r="AF499" s="991"/>
      <c r="AG499" s="991">
        <v>10</v>
      </c>
      <c r="AH499" s="991"/>
      <c r="AI499" s="991"/>
      <c r="AJ499" s="991"/>
      <c r="AK499" s="991"/>
      <c r="AL499" s="991"/>
      <c r="AM499" s="448">
        <v>2</v>
      </c>
      <c r="AN499" s="448">
        <v>2</v>
      </c>
      <c r="AO499" s="448"/>
      <c r="AP499" s="995"/>
      <c r="AQ499" s="991">
        <v>50</v>
      </c>
      <c r="AR499" s="991">
        <v>8</v>
      </c>
      <c r="AS499" s="996" t="s">
        <v>3059</v>
      </c>
      <c r="AT499" s="991">
        <v>10</v>
      </c>
      <c r="AU499" s="448">
        <v>3</v>
      </c>
      <c r="AV499" s="448">
        <v>5</v>
      </c>
      <c r="AW499" s="448">
        <v>37.854120000000002</v>
      </c>
      <c r="AX499" s="991">
        <v>50</v>
      </c>
      <c r="AY499" s="990" t="s">
        <v>41</v>
      </c>
      <c r="AZ499" s="995" t="s">
        <v>137</v>
      </c>
      <c r="BA499" s="991"/>
      <c r="BB499" s="991"/>
      <c r="BC499" s="991"/>
      <c r="BD499" s="448"/>
      <c r="BE499" s="448"/>
      <c r="BF499" s="990"/>
      <c r="BG499" s="991">
        <v>1</v>
      </c>
      <c r="BH499" s="991"/>
      <c r="BI499" s="991"/>
      <c r="BJ499" s="991">
        <v>1</v>
      </c>
      <c r="BK499" s="991"/>
      <c r="BL499" s="991">
        <v>1</v>
      </c>
      <c r="BM499" s="991">
        <v>1</v>
      </c>
      <c r="BN499" s="991">
        <v>50</v>
      </c>
      <c r="BO499" s="448">
        <v>295</v>
      </c>
      <c r="BP499" s="990"/>
      <c r="BQ499" s="424">
        <v>5</v>
      </c>
      <c r="BR499" s="423">
        <v>0.5</v>
      </c>
      <c r="BS499" s="990"/>
      <c r="BT499" s="423">
        <v>0.8</v>
      </c>
      <c r="BU499" s="423">
        <v>0.8</v>
      </c>
      <c r="BV499" s="425"/>
      <c r="BW499" s="423">
        <v>1</v>
      </c>
      <c r="BX499" s="448"/>
      <c r="BY499" s="448"/>
      <c r="BZ499" s="448"/>
      <c r="CA499" s="448"/>
      <c r="CB499" s="448"/>
      <c r="CC499" s="777"/>
      <c r="CD499" s="448"/>
      <c r="CE499" s="998" t="str">
        <f>IFERROR(WWWW[[#This Row],['#_Water sources passed]]/WWWW[[#This Row],['#_Water sources tested for fecal coliform ]],"no test")</f>
        <v>no test</v>
      </c>
      <c r="CF499" s="996" t="str">
        <f>IFERROR(WWWW[[#This Row],['#_Household passed]]/WWWW[[#This Row],['#_Household water samples tested for fecal coliform]],"no test")</f>
        <v>no test</v>
      </c>
      <c r="CG499" s="997" t="str">
        <f>IF(AND(WWWW[[#This Row],[% of water sources passed]]="no test",WWWW[[#This Row],[% Household passed]]="no test"),"No Test","Tested")</f>
        <v>No Test</v>
      </c>
      <c r="CH499" s="997">
        <f>WWWW[[#This Row],['#_Constructed/existing protected hand dug well]]-WWWW[[#This Row],['#_Non-functional protected hand dug well]]</f>
        <v>1</v>
      </c>
      <c r="CI499" s="997">
        <f>(WWWW[[#This Row],['#_Constructed/Existing tube wells/boreholes/handpumps_WASH_agency]]+WWWW[[#This Row],['#_Non-Cluster partner water tube-wells/boreholes/handpumps]])-WWWW[[#This Row],['#_Non-functional tube wells/boreholes/handpumps]]</f>
        <v>0</v>
      </c>
      <c r="CJ499" s="997">
        <f>WWWW[[#This Row],['#_Constructed/Existingwater storage tank with gravity fed reticulation system]]-WWWW[[#This Row],['#_Non-functional storage tank gravity fed reticulation system]]</f>
        <v>3</v>
      </c>
      <c r="CK499" s="997">
        <f>(WWWW[[#This Row],['#_Water_Liters_supplied_by_Water boating or water trucking]]/90)/15</f>
        <v>0</v>
      </c>
      <c r="CL499" s="997">
        <f>WWWW[[#This Row],['#_Water_Liters_from_Constructed/Existing water distribution system from river or natural spring]]/90/15</f>
        <v>0</v>
      </c>
      <c r="CM499" s="424">
        <f>IF(WWWW[[#This Row],['#_of water points in TLS/CFS]]*500&gt;WWWW[[#This Row],[Total PoP ]],WWWW[[#This Row],[Total PoP ]],WWWW[[#This Row],['#_of water points in TLS/CFS]]*500)</f>
        <v>885</v>
      </c>
      <c r="CN499" s="424">
        <f>IF(WWWW[[#This Row],['#_of water points in THF]]*500&gt;WWWW[[#This Row],[Total PoP ]],WWWW[[#This Row],[Total PoP ]],WWWW[[#This Row],['#_of water points in THF]]*500)</f>
        <v>0</v>
      </c>
      <c r="CO49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0.67796610169491522</v>
      </c>
      <c r="CP49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0.50847457627118642</v>
      </c>
      <c r="CQ499" s="996">
        <f>IF(WWWW[[#This Row],[Location Type 1]]="Village",WWWW[[#This Row],[Access to safe drinking water for Village]],WWWW[[#This Row],[Access to safe drinking water for Camp]])</f>
        <v>0.67796610169491522</v>
      </c>
      <c r="CR499" s="994">
        <f>WWWW[[#This Row],[%Equitable and continuous access to sufficient quantity of safe drinking water]]*WWWW[[#This Row],[Total PoP ]]</f>
        <v>600</v>
      </c>
      <c r="CS499" s="996">
        <f>IF((WWWW[[#This Row],['#_Constructed/Existing protected/fenced ponds]]*250)/WWWW[[#This Row],[Total PoP ]]&gt;1,1,(WWWW[[#This Row],['#_Constructed/Existing protected/fenced ponds]]*250)/WWWW[[#This Row],[Total PoP ]])</f>
        <v>1</v>
      </c>
      <c r="CT499" s="994">
        <f>WWWW[[#This Row],[% Access to unimproved water points]]*WWWW[[#This Row],[Total PoP ]]</f>
        <v>885</v>
      </c>
      <c r="CU49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885</v>
      </c>
      <c r="CW499" s="994">
        <f>WWWW[[#This Row],[HRP1]]/500</f>
        <v>1.77</v>
      </c>
      <c r="CX499" s="999">
        <f>1-WWWW[[#This Row],[% Equitable and continuous access to sufficient quantity of domestic water]]</f>
        <v>0</v>
      </c>
      <c r="CY499" s="994">
        <f>WWWW[[#This Row],[%equitable and continuous access to sufficient quantity of safe drinking and domestic water''s GAP]]*WWWW[[#This Row],[Total PoP ]]</f>
        <v>0</v>
      </c>
      <c r="CZ499" s="997">
        <f>IF(WWWW[[#This Row],[Total required water points]]-WWWW[[#This Row],['#Water points coverage]]&lt;0,0,WWWW[[#This Row],[Total required water points]]-WWWW[[#This Row],['#Water points coverage]])</f>
        <v>0.22999999999999998</v>
      </c>
      <c r="DA499" s="997">
        <f>ROUND(IF(WWWW[[#This Row],[Total PoP ]]&lt;500,1,WWWW[[#This Row],[Total PoP ]]/500),0)</f>
        <v>2</v>
      </c>
      <c r="DB499" s="997">
        <f>(WWWW[[#This Row],['#_Constructed latrines_by_WASHAgencies]]+WWWW[[#This Row],['#_Non Cluster partner latrines]])-WWWW[[#This Row],['#_Non-functional latrines]]</f>
        <v>48</v>
      </c>
      <c r="DC499" s="631">
        <f>WWWW[[#This Row],[HRP2]]/WWWW[[#This Row],[Total PoP ]]</f>
        <v>1</v>
      </c>
      <c r="DD49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885</v>
      </c>
      <c r="DE49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49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9" s="424">
        <f>IF(WWWW[[#This Row],['# of functional latrines in THF supported by WASH partners during the reporting period2]]="",0,WWWW[[#This Row],['# of functional latrines in THF supported by WASH partners during the reporting period2]]*50)</f>
        <v>0</v>
      </c>
      <c r="DH499" s="997">
        <f>ROUND(IF(WWWW[[#This Row],[Location Type 1]]="camp",WWWW[[#This Row],[Total PoP ]]/20,IF(WWWW[[#This Row],[Location Type 1]]="Temporary Location",WWWW[[#This Row],[Total PoP ]]/50,(WWWW[[#This Row],[Total PoP ]]/6))),0)</f>
        <v>44</v>
      </c>
      <c r="DI499" s="997">
        <f>IF(WWWW[[#This Row],[Total required Latrines]]-(WWWW[[#This Row],['#_Constructed latrines_by_WASHAgencies]]+WWWW[[#This Row],['#_Non Cluster partner latrines]])&lt;0,0,WWWW[[#This Row],[Total required Latrines]]-(WWWW[[#This Row],['#_Constructed latrines_by_WASHAgencies]]+WWWW[[#This Row],['#_Non Cluster partner latrines]]))</f>
        <v>0</v>
      </c>
      <c r="DJ499" s="999">
        <f>1-WWWW[[#This Row],[% people access to functioning Latrine]]</f>
        <v>0</v>
      </c>
      <c r="DK499" s="998">
        <f>IF(OR(WWWW[[#This Row],['#_Non-functional latrines]]="",WWWW[[#This Row],['#_Non-functional latrines]]=0),0,WWWW[[#This Row],['#_Non-functional latrines]]/(WWWW[[#This Row],['#_Constructed latrines_by_WASHAgencies]]+WWWW[[#This Row],['#_Non Cluster partner latrines]]))</f>
        <v>0.17241379310344829</v>
      </c>
      <c r="DL499" s="994">
        <f>IF(500*(WWWW[[#This Row],['#_male hygiene promoters]]+WWWW[[#This Row],['#_female hygiene promoters]])&gt;WWWW[[#This Row],[Total PoP ]],WWWW[[#This Row],[Total PoP ]],500*(WWWW[[#This Row],['#_male hygiene promoters]]+WWWW[[#This Row],['#_female hygiene promoters]]))</f>
        <v>885</v>
      </c>
      <c r="DM49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49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295</v>
      </c>
      <c r="DO499" s="997">
        <f>IF(WWWW[[#This Row],['# People with access to soap]]&gt;WWWW[[#This Row],['# People with access to Sanity Pads]],WWWW[[#This Row],['# People with access to soap]],WWWW[[#This Row],['# People with access to Sanity Pads]])</f>
        <v>295</v>
      </c>
      <c r="DP499" s="997">
        <f>IF(WWWW[[#This Row],['# people reached by regular dedicated hygiene promotion_5]]&gt;WWWW[[#This Row],['# People received regular supply of hygiene items_6]],WWWW[[#This Row],['# people reached by regular dedicated hygiene promotion_5]],WWWW[[#This Row],['# People received regular supply of hygiene items_6]])</f>
        <v>885</v>
      </c>
      <c r="DQ499" s="999">
        <f>IF(WWWW[[#This Row],[HRP3]]/WWWW[[#This Row],[Total PoP ]]&gt;1,1,WWWW[[#This Row],[HRP3]]/WWWW[[#This Row],[Total PoP ]])</f>
        <v>1</v>
      </c>
      <c r="DR499" s="998">
        <f>1-WWWW[[#This Row],[Hygiene Coverage%]]</f>
        <v>0</v>
      </c>
      <c r="DS499" s="996">
        <f>WWWW[[#This Row],['# people reached by regular dedicated hygiene promotion_5]]/WWWW[[#This Row],[Total PoP ]]</f>
        <v>1</v>
      </c>
      <c r="DT49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0.99502487562189057</v>
      </c>
      <c r="DU49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99" s="997">
        <f>WWWW[[#This Row],['#_Constructed/Existing hand washing stations]]-WWWW[[#This Row],['#_Non-Functional_hand_washing_stations]]</f>
        <v>1</v>
      </c>
      <c r="DW499" s="994">
        <f>IF(WWWW[[#This Row],['# Functional hand washing stations during reporting period]]*20&gt;WWWW[[#This Row],[Total HH]],WWWW[[#This Row],[Total HH]],WWWW[[#This Row],['# Functional hand washing stations during reporting period]]*20)</f>
        <v>20</v>
      </c>
      <c r="DX499" s="994">
        <f>IF(WWWW[[#This Row],[Is sufficient soap available for TLS? (Yes/No)]]="yes",WWWW[[#This Row],['#_Constructed/Existing hand washing stations at TLS/CFS/THF]],0)</f>
        <v>0</v>
      </c>
      <c r="DY499" s="428">
        <f>IF(WWWW[[#This Row],['# Functional hand washing stations during reporting period]]*100&gt;WWWW[[#This Row],[Total PoP ]],WWWW[[#This Row],[Total PoP ]],WWWW[[#This Row],['# Functional hand washing stations during reporting period]]*100)</f>
        <v>100</v>
      </c>
      <c r="DZ499" s="428" t="str">
        <f>IF(OR(WWWW[[#This Row],['#_students at TLS_CFS]]="",WWWW[[#This Row],['#_students at TLS_CFS]]=0),"No","Yes")</f>
        <v>Yes</v>
      </c>
      <c r="EA49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9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885</v>
      </c>
      <c r="ED49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9" s="990" t="str">
        <f>VLOOKUP(WWWW[[#This Row],[Site Name]],SiteDB6[[Site Name]:[CCCM Management]],6,FALSE)</f>
        <v>Yes</v>
      </c>
      <c r="EF499" s="990" t="str">
        <f>VLOOKUP(WWWW[[#This Row],[Site Name]],SiteDB6[[Site Name]:[CCCM Focal Agency]],7,FALSE)</f>
        <v>Shalom</v>
      </c>
      <c r="EG499" s="990" t="str">
        <f>VLOOKUP(WWWW[[#This Row],[Site Name]],SiteDB6[[Site Name]:[Location Type 1]],9,FALSE)</f>
        <v>Camp</v>
      </c>
      <c r="EH499" s="990" t="str">
        <f>VLOOKUP(WWWW[[#This Row],[Site Name]],SiteDB6[[Site Name]:[Type of Accommodation]],10,FALSE)</f>
        <v>Camp</v>
      </c>
      <c r="EI499" s="990" t="str">
        <f>VLOOKUP(WWWW[[#This Row],[Site Name]],SiteDB6[[Site Name]:[Ethnic or GCA/NGCA]],11,FALSE)</f>
        <v>GCA</v>
      </c>
      <c r="EJ499" s="990">
        <f>VLOOKUP(WWWW[[#This Row],[Site Name]],SiteDB6[[Site Name]:[Lat]],12,FALSE)</f>
        <v>25.887339999999998</v>
      </c>
      <c r="EK499" s="990">
        <f>VLOOKUP(WWWW[[#This Row],[Site Name]],SiteDB6[[Site Name]:[Long]],13,FALSE)</f>
        <v>98.129990000000006</v>
      </c>
      <c r="EL499" s="990" t="str">
        <f>VLOOKUP(WWWW[[#This Row],[Site Name]],SiteDB6[[Site Name]:[Pcode]],3,FALSE)</f>
        <v>MMR001CMP195</v>
      </c>
      <c r="EM499" s="995" t="str">
        <f t="shared" si="10"/>
        <v>Covered</v>
      </c>
      <c r="EN499" s="995"/>
      <c r="EO499" s="990">
        <f>VLOOKUP(WWWW[[#This Row],[Site Name]],SiteDB6[[Site Name]:[Pop
(Kachin/Shan-CCCM as of July 2021)]],16,FALSE)</f>
        <v>195</v>
      </c>
      <c r="EP499" s="990">
        <f>VLOOKUP(WWWW[[#This Row],[Site Name]],SiteDB6[[Site Name]:[Pop
(Kachin/Shan-CCCM as of July 2021)]],17,FALSE)</f>
        <v>854</v>
      </c>
    </row>
    <row r="500" spans="1:146">
      <c r="A500" s="988" t="s">
        <v>2765</v>
      </c>
      <c r="B500" s="988" t="s">
        <v>309</v>
      </c>
      <c r="C500" s="989" t="s">
        <v>309</v>
      </c>
      <c r="D500" s="989"/>
      <c r="E500" s="989" t="s">
        <v>37</v>
      </c>
      <c r="F500" s="989" t="s">
        <v>38</v>
      </c>
      <c r="G500" s="591" t="str">
        <f>VLOOKUP(WWWW[[#This Row],[Site Name]],SiteDB6[[Site Name]:[Location Type]],8,FALSE)</f>
        <v>Camp</v>
      </c>
      <c r="H500" s="989" t="s">
        <v>3025</v>
      </c>
      <c r="I500" s="991">
        <v>67</v>
      </c>
      <c r="J500" s="991">
        <v>308</v>
      </c>
      <c r="K500" s="992"/>
      <c r="L500" s="993"/>
      <c r="M500" s="991"/>
      <c r="N500" s="991"/>
      <c r="O500" s="991"/>
      <c r="P500" s="991"/>
      <c r="Q500" s="994"/>
      <c r="R500" s="991"/>
      <c r="S500" s="991">
        <v>4</v>
      </c>
      <c r="T500" s="448"/>
      <c r="U500" s="991"/>
      <c r="V500" s="991"/>
      <c r="W500" s="991"/>
      <c r="X500" s="991"/>
      <c r="Y500" s="991"/>
      <c r="Z500" s="991"/>
      <c r="AA500" s="991"/>
      <c r="AB500" s="991"/>
      <c r="AC500" s="991"/>
      <c r="AD500" s="991"/>
      <c r="AE500" s="991"/>
      <c r="AF500" s="991"/>
      <c r="AG500" s="991"/>
      <c r="AH500" s="991"/>
      <c r="AI500" s="991"/>
      <c r="AJ500" s="991"/>
      <c r="AK500" s="991"/>
      <c r="AL500" s="991"/>
      <c r="AM500" s="991"/>
      <c r="AN500" s="991"/>
      <c r="AO500" s="448"/>
      <c r="AP500" s="995"/>
      <c r="AQ500" s="991"/>
      <c r="AR500" s="991"/>
      <c r="AS500" s="996"/>
      <c r="AT500" s="991"/>
      <c r="AU500" s="991"/>
      <c r="AV500" s="991"/>
      <c r="AW500" s="991"/>
      <c r="AX500" s="991"/>
      <c r="AY500" s="990" t="s">
        <v>140</v>
      </c>
      <c r="AZ500" s="995" t="s">
        <v>140</v>
      </c>
      <c r="BA500" s="991"/>
      <c r="BB500" s="991"/>
      <c r="BC500" s="991"/>
      <c r="BD500" s="448"/>
      <c r="BE500" s="448"/>
      <c r="BF500" s="990"/>
      <c r="BG500" s="991">
        <v>7</v>
      </c>
      <c r="BH500" s="991"/>
      <c r="BI500" s="991"/>
      <c r="BJ500" s="991">
        <v>7</v>
      </c>
      <c r="BK500" s="991"/>
      <c r="BL500" s="991"/>
      <c r="BM500" s="991"/>
      <c r="BN500" s="991"/>
      <c r="BO500" s="991"/>
      <c r="BP500" s="990"/>
      <c r="BQ500" s="997"/>
      <c r="BR500" s="996"/>
      <c r="BS500" s="990"/>
      <c r="BT500" s="423"/>
      <c r="BU500" s="423"/>
      <c r="BV500" s="425"/>
      <c r="BW500" s="423"/>
      <c r="BX500" s="448"/>
      <c r="BY500" s="448"/>
      <c r="BZ500" s="448"/>
      <c r="CA500" s="448"/>
      <c r="CB500" s="448"/>
      <c r="CC500" s="777"/>
      <c r="CD500" s="448"/>
      <c r="CE500" s="998" t="str">
        <f>IFERROR(WWWW[[#This Row],['#_Water sources passed]]/WWWW[[#This Row],['#_Water sources tested for fecal coliform ]],"no test")</f>
        <v>no test</v>
      </c>
      <c r="CF500" s="996" t="str">
        <f>IFERROR(WWWW[[#This Row],['#_Household passed]]/WWWW[[#This Row],['#_Household water samples tested for fecal coliform]],"no test")</f>
        <v>no test</v>
      </c>
      <c r="CG500" s="997" t="str">
        <f>IF(AND(WWWW[[#This Row],[% of water sources passed]]="no test",WWWW[[#This Row],[% Household passed]]="no test"),"No Test","Tested")</f>
        <v>No Test</v>
      </c>
      <c r="CH500" s="997">
        <f>WWWW[[#This Row],['#_Constructed/existing protected hand dug well]]-WWWW[[#This Row],['#_Non-functional protected hand dug well]]</f>
        <v>0</v>
      </c>
      <c r="CI500" s="997">
        <f>(WWWW[[#This Row],['#_Constructed/Existing tube wells/boreholes/handpumps_WASH_agency]]+WWWW[[#This Row],['#_Non-Cluster partner water tube-wells/boreholes/handpumps]])-WWWW[[#This Row],['#_Non-functional tube wells/boreholes/handpumps]]</f>
        <v>0</v>
      </c>
      <c r="CJ500" s="997">
        <f>WWWW[[#This Row],['#_Constructed/Existingwater storage tank with gravity fed reticulation system]]-WWWW[[#This Row],['#_Non-functional storage tank gravity fed reticulation system]]</f>
        <v>0</v>
      </c>
      <c r="CK500" s="997">
        <f>(WWWW[[#This Row],['#_Water_Liters_supplied_by_Water boating or water trucking]]/90)/15</f>
        <v>0</v>
      </c>
      <c r="CL500" s="997">
        <f>WWWW[[#This Row],['#_Water_Liters_from_Constructed/Existing water distribution system from river or natural spring]]/90/15</f>
        <v>0</v>
      </c>
      <c r="CM500" s="424">
        <f>IF(WWWW[[#This Row],['#_of water points in TLS/CFS]]*500&gt;WWWW[[#This Row],[Total PoP ]],WWWW[[#This Row],[Total PoP ]],WWWW[[#This Row],['#_of water points in TLS/CFS]]*500)</f>
        <v>0</v>
      </c>
      <c r="CN500" s="424">
        <f>IF(WWWW[[#This Row],['#_of water points in THF]]*500&gt;WWWW[[#This Row],[Total PoP ]],WWWW[[#This Row],[Total PoP ]],WWWW[[#This Row],['#_of water points in THF]]*500)</f>
        <v>0</v>
      </c>
      <c r="CO50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0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00" s="996">
        <f>IF(WWWW[[#This Row],[Location Type 1]]="Village",WWWW[[#This Row],[Access to safe drinking water for Village]],WWWW[[#This Row],[Access to safe drinking water for Camp]])</f>
        <v>0</v>
      </c>
      <c r="CR500" s="994">
        <f>WWWW[[#This Row],[%Equitable and continuous access to sufficient quantity of safe drinking water]]*WWWW[[#This Row],[Total PoP ]]</f>
        <v>0</v>
      </c>
      <c r="CS500" s="996">
        <f>IF((WWWW[[#This Row],['#_Constructed/Existing protected/fenced ponds]]*250)/WWWW[[#This Row],[Total PoP ]]&gt;1,1,(WWWW[[#This Row],['#_Constructed/Existing protected/fenced ponds]]*250)/WWWW[[#This Row],[Total PoP ]])</f>
        <v>0</v>
      </c>
      <c r="CT500" s="994">
        <f>WWWW[[#This Row],[% Access to unimproved water points]]*WWWW[[#This Row],[Total PoP ]]</f>
        <v>0</v>
      </c>
      <c r="CU50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0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00" s="994">
        <f>WWWW[[#This Row],[HRP1]]/500</f>
        <v>0</v>
      </c>
      <c r="CX500" s="999">
        <f>1-WWWW[[#This Row],[% Equitable and continuous access to sufficient quantity of domestic water]]</f>
        <v>1</v>
      </c>
      <c r="CY500" s="994">
        <f>WWWW[[#This Row],[%equitable and continuous access to sufficient quantity of safe drinking and domestic water''s GAP]]*WWWW[[#This Row],[Total PoP ]]</f>
        <v>308</v>
      </c>
      <c r="CZ500" s="997">
        <f>IF(WWWW[[#This Row],[Total required water points]]-WWWW[[#This Row],['#Water points coverage]]&lt;0,0,WWWW[[#This Row],[Total required water points]]-WWWW[[#This Row],['#Water points coverage]])</f>
        <v>1</v>
      </c>
      <c r="DA500" s="997">
        <f>ROUND(IF(WWWW[[#This Row],[Total PoP ]]&lt;500,1,WWWW[[#This Row],[Total PoP ]]/500),0)</f>
        <v>1</v>
      </c>
      <c r="DB500" s="997">
        <f>(WWWW[[#This Row],['#_Constructed latrines_by_WASHAgencies]]+WWWW[[#This Row],['#_Non Cluster partner latrines]])-WWWW[[#This Row],['#_Non-functional latrines]]</f>
        <v>0</v>
      </c>
      <c r="DC500" s="631">
        <f>WWWW[[#This Row],[HRP2]]/WWWW[[#This Row],[Total PoP ]]</f>
        <v>0</v>
      </c>
      <c r="DD50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0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0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0" s="424">
        <f>IF(WWWW[[#This Row],['# of functional latrines in THF supported by WASH partners during the reporting period2]]="",0,WWWW[[#This Row],['# of functional latrines in THF supported by WASH partners during the reporting period2]]*50)</f>
        <v>0</v>
      </c>
      <c r="DH500" s="997">
        <f>ROUND(IF(WWWW[[#This Row],[Location Type 1]]="camp",WWWW[[#This Row],[Total PoP ]]/20,IF(WWWW[[#This Row],[Location Type 1]]="Temporary Location",WWWW[[#This Row],[Total PoP ]]/50,(WWWW[[#This Row],[Total PoP ]]/6))),0)</f>
        <v>15</v>
      </c>
      <c r="DI500" s="997">
        <f>IF(WWWW[[#This Row],[Total required Latrines]]-(WWWW[[#This Row],['#_Constructed latrines_by_WASHAgencies]]+WWWW[[#This Row],['#_Non Cluster partner latrines]])&lt;0,0,WWWW[[#This Row],[Total required Latrines]]-(WWWW[[#This Row],['#_Constructed latrines_by_WASHAgencies]]+WWWW[[#This Row],['#_Non Cluster partner latrines]]))</f>
        <v>15</v>
      </c>
      <c r="DJ500" s="999">
        <f>1-WWWW[[#This Row],[% people access to functioning Latrine]]</f>
        <v>1</v>
      </c>
      <c r="DK500" s="998">
        <f>IF(OR(WWWW[[#This Row],['#_Non-functional latrines]]="",WWWW[[#This Row],['#_Non-functional latrines]]=0),0,WWWW[[#This Row],['#_Non-functional latrines]]/(WWWW[[#This Row],['#_Constructed latrines_by_WASHAgencies]]+WWWW[[#This Row],['#_Non Cluster partner latrines]]))</f>
        <v>0</v>
      </c>
      <c r="DL500" s="994">
        <f>IF(500*(WWWW[[#This Row],['#_male hygiene promoters]]+WWWW[[#This Row],['#_female hygiene promoters]])&gt;WWWW[[#This Row],[Total PoP ]],WWWW[[#This Row],[Total PoP ]],500*(WWWW[[#This Row],['#_male hygiene promoters]]+WWWW[[#This Row],['#_female hygiene promoters]]))</f>
        <v>0</v>
      </c>
      <c r="DM50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0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00" s="997">
        <f>IF(WWWW[[#This Row],['# People with access to soap]]&gt;WWWW[[#This Row],['# People with access to Sanity Pads]],WWWW[[#This Row],['# People with access to soap]],WWWW[[#This Row],['# People with access to Sanity Pads]])</f>
        <v>0</v>
      </c>
      <c r="DP500"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00" s="999">
        <f>IF(WWWW[[#This Row],[HRP3]]/WWWW[[#This Row],[Total PoP ]]&gt;1,1,WWWW[[#This Row],[HRP3]]/WWWW[[#This Row],[Total PoP ]])</f>
        <v>0</v>
      </c>
      <c r="DR500" s="998">
        <f>1-WWWW[[#This Row],[Hygiene Coverage%]]</f>
        <v>1</v>
      </c>
      <c r="DS500" s="996">
        <f>WWWW[[#This Row],['# people reached by regular dedicated hygiene promotion_5]]/WWWW[[#This Row],[Total PoP ]]</f>
        <v>0</v>
      </c>
      <c r="DT50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0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00" s="997">
        <f>WWWW[[#This Row],['#_Constructed/Existing hand washing stations]]-WWWW[[#This Row],['#_Non-Functional_hand_washing_stations]]</f>
        <v>7</v>
      </c>
      <c r="DW500" s="994">
        <f>IF(WWWW[[#This Row],['# Functional hand washing stations during reporting period]]*20&gt;WWWW[[#This Row],[Total HH]],WWWW[[#This Row],[Total HH]],WWWW[[#This Row],['# Functional hand washing stations during reporting period]]*20)</f>
        <v>67</v>
      </c>
      <c r="DX500" s="994">
        <f>IF(WWWW[[#This Row],[Is sufficient soap available for TLS? (Yes/No)]]="yes",WWWW[[#This Row],['#_Constructed/Existing hand washing stations at TLS/CFS/THF]],0)</f>
        <v>0</v>
      </c>
      <c r="DY500" s="428">
        <f>IF(WWWW[[#This Row],['# Functional hand washing stations during reporting period]]*100&gt;WWWW[[#This Row],[Total PoP ]],WWWW[[#This Row],[Total PoP ]],WWWW[[#This Row],['# Functional hand washing stations during reporting period]]*100)</f>
        <v>308</v>
      </c>
      <c r="DZ500" s="428" t="str">
        <f>IF(OR(WWWW[[#This Row],['#_students at TLS_CFS]]="",WWWW[[#This Row],['#_students at TLS_CFS]]=0),"No","Yes")</f>
        <v>No</v>
      </c>
      <c r="EA50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0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0" s="990">
        <f>VLOOKUP(WWWW[[#This Row],[Site Name]],SiteDB6[[Site Name]:[CCCM Management]],6,FALSE)</f>
        <v>0</v>
      </c>
      <c r="EF500" s="990" t="str">
        <f>VLOOKUP(WWWW[[#This Row],[Site Name]],SiteDB6[[Site Name]:[CCCM Focal Agency]],7,FALSE)</f>
        <v>uncovered</v>
      </c>
      <c r="EG500" s="990" t="str">
        <f>VLOOKUP(WWWW[[#This Row],[Site Name]],SiteDB6[[Site Name]:[Location Type 1]],9,FALSE)</f>
        <v>Camp</v>
      </c>
      <c r="EH500" s="990" t="str">
        <f>VLOOKUP(WWWW[[#This Row],[Site Name]],SiteDB6[[Site Name]:[Type of Accommodation]],10,FALSE)</f>
        <v>IDPs in host</v>
      </c>
      <c r="EI500" s="990" t="str">
        <f>VLOOKUP(WWWW[[#This Row],[Site Name]],SiteDB6[[Site Name]:[Ethnic or GCA/NGCA]],11,FALSE)</f>
        <v>GCA</v>
      </c>
      <c r="EJ500" s="990">
        <f>VLOOKUP(WWWW[[#This Row],[Site Name]],SiteDB6[[Site Name]:[Lat]],12,FALSE)</f>
        <v>24.118618999999999</v>
      </c>
      <c r="EK500" s="990">
        <f>VLOOKUP(WWWW[[#This Row],[Site Name]],SiteDB6[[Site Name]:[Long]],13,FALSE)</f>
        <v>97.298055000000005</v>
      </c>
      <c r="EL500" s="990" t="str">
        <f>VLOOKUP(WWWW[[#This Row],[Site Name]],SiteDB6[[Site Name]:[Pcode]],3,FALSE)</f>
        <v>MMR001CMP196</v>
      </c>
      <c r="EM500" s="995" t="str">
        <f t="shared" si="10"/>
        <v>Notcovered</v>
      </c>
      <c r="EN500" s="995"/>
      <c r="EO500" s="990">
        <f>VLOOKUP(WWWW[[#This Row],[Site Name]],SiteDB6[[Site Name]:[Pop
(Kachin/Shan-CCCM as of July 2021)]],16,FALSE)</f>
        <v>70</v>
      </c>
      <c r="EP500" s="990">
        <f>VLOOKUP(WWWW[[#This Row],[Site Name]],SiteDB6[[Site Name]:[Pop
(Kachin/Shan-CCCM as of July 2021)]],17,FALSE)</f>
        <v>344</v>
      </c>
    </row>
    <row r="501" spans="1:146">
      <c r="A501" s="988" t="s">
        <v>2765</v>
      </c>
      <c r="B501" s="988" t="s">
        <v>309</v>
      </c>
      <c r="C501" s="989" t="s">
        <v>309</v>
      </c>
      <c r="D501" s="989"/>
      <c r="E501" s="989" t="s">
        <v>37</v>
      </c>
      <c r="F501" s="989" t="s">
        <v>205</v>
      </c>
      <c r="G501" s="591" t="str">
        <f>VLOOKUP(WWWW[[#This Row],[Site Name]],SiteDB6[[Site Name]:[Location Type]],8,FALSE)</f>
        <v>Camp</v>
      </c>
      <c r="H501" s="989" t="s">
        <v>3022</v>
      </c>
      <c r="I501" s="991">
        <v>223</v>
      </c>
      <c r="J501" s="991">
        <v>1067</v>
      </c>
      <c r="K501" s="992"/>
      <c r="L501" s="993"/>
      <c r="M501" s="991"/>
      <c r="N501" s="991"/>
      <c r="O501" s="991"/>
      <c r="P501" s="991"/>
      <c r="Q501" s="994"/>
      <c r="R501" s="991"/>
      <c r="S501" s="991">
        <v>4</v>
      </c>
      <c r="T501" s="448"/>
      <c r="U501" s="991"/>
      <c r="V501" s="991"/>
      <c r="W501" s="991"/>
      <c r="X501" s="991"/>
      <c r="Y501" s="991"/>
      <c r="Z501" s="991"/>
      <c r="AA501" s="991"/>
      <c r="AB501" s="991"/>
      <c r="AC501" s="991"/>
      <c r="AD501" s="991"/>
      <c r="AE501" s="991"/>
      <c r="AF501" s="991"/>
      <c r="AG501" s="991"/>
      <c r="AH501" s="991"/>
      <c r="AI501" s="991"/>
      <c r="AJ501" s="991"/>
      <c r="AK501" s="991"/>
      <c r="AL501" s="991"/>
      <c r="AM501" s="991"/>
      <c r="AN501" s="991"/>
      <c r="AO501" s="448"/>
      <c r="AP501" s="995"/>
      <c r="AQ501" s="991"/>
      <c r="AR501" s="991"/>
      <c r="AS501" s="996"/>
      <c r="AT501" s="991"/>
      <c r="AU501" s="991"/>
      <c r="AV501" s="991"/>
      <c r="AW501" s="991"/>
      <c r="AX501" s="991"/>
      <c r="AY501" s="990" t="s">
        <v>140</v>
      </c>
      <c r="AZ501" s="995" t="s">
        <v>140</v>
      </c>
      <c r="BA501" s="991"/>
      <c r="BB501" s="991"/>
      <c r="BC501" s="991"/>
      <c r="BD501" s="448"/>
      <c r="BE501" s="448"/>
      <c r="BF501" s="990"/>
      <c r="BG501" s="991">
        <v>3</v>
      </c>
      <c r="BH501" s="991"/>
      <c r="BI501" s="991"/>
      <c r="BJ501" s="991">
        <v>2</v>
      </c>
      <c r="BK501" s="991"/>
      <c r="BL501" s="991"/>
      <c r="BM501" s="991"/>
      <c r="BN501" s="991"/>
      <c r="BO501" s="991"/>
      <c r="BP501" s="990"/>
      <c r="BQ501" s="997"/>
      <c r="BR501" s="996"/>
      <c r="BS501" s="990"/>
      <c r="BT501" s="423"/>
      <c r="BU501" s="423"/>
      <c r="BV501" s="425"/>
      <c r="BW501" s="423"/>
      <c r="BX501" s="448"/>
      <c r="BY501" s="448"/>
      <c r="BZ501" s="448"/>
      <c r="CA501" s="448"/>
      <c r="CB501" s="448"/>
      <c r="CC501" s="777"/>
      <c r="CD501" s="448"/>
      <c r="CE501" s="998" t="str">
        <f>IFERROR(WWWW[[#This Row],['#_Water sources passed]]/WWWW[[#This Row],['#_Water sources tested for fecal coliform ]],"no test")</f>
        <v>no test</v>
      </c>
      <c r="CF501" s="996" t="str">
        <f>IFERROR(WWWW[[#This Row],['#_Household passed]]/WWWW[[#This Row],['#_Household water samples tested for fecal coliform]],"no test")</f>
        <v>no test</v>
      </c>
      <c r="CG501" s="997" t="str">
        <f>IF(AND(WWWW[[#This Row],[% of water sources passed]]="no test",WWWW[[#This Row],[% Household passed]]="no test"),"No Test","Tested")</f>
        <v>No Test</v>
      </c>
      <c r="CH501" s="997">
        <f>WWWW[[#This Row],['#_Constructed/existing protected hand dug well]]-WWWW[[#This Row],['#_Non-functional protected hand dug well]]</f>
        <v>0</v>
      </c>
      <c r="CI501" s="997">
        <f>(WWWW[[#This Row],['#_Constructed/Existing tube wells/boreholes/handpumps_WASH_agency]]+WWWW[[#This Row],['#_Non-Cluster partner water tube-wells/boreholes/handpumps]])-WWWW[[#This Row],['#_Non-functional tube wells/boreholes/handpumps]]</f>
        <v>0</v>
      </c>
      <c r="CJ501" s="997">
        <f>WWWW[[#This Row],['#_Constructed/Existingwater storage tank with gravity fed reticulation system]]-WWWW[[#This Row],['#_Non-functional storage tank gravity fed reticulation system]]</f>
        <v>0</v>
      </c>
      <c r="CK501" s="997">
        <f>(WWWW[[#This Row],['#_Water_Liters_supplied_by_Water boating or water trucking]]/90)/15</f>
        <v>0</v>
      </c>
      <c r="CL501" s="997">
        <f>WWWW[[#This Row],['#_Water_Liters_from_Constructed/Existing water distribution system from river or natural spring]]/90/15</f>
        <v>0</v>
      </c>
      <c r="CM501" s="424">
        <f>IF(WWWW[[#This Row],['#_of water points in TLS/CFS]]*500&gt;WWWW[[#This Row],[Total PoP ]],WWWW[[#This Row],[Total PoP ]],WWWW[[#This Row],['#_of water points in TLS/CFS]]*500)</f>
        <v>0</v>
      </c>
      <c r="CN501" s="424">
        <f>IF(WWWW[[#This Row],['#_of water points in THF]]*500&gt;WWWW[[#This Row],[Total PoP ]],WWWW[[#This Row],[Total PoP ]],WWWW[[#This Row],['#_of water points in THF]]*500)</f>
        <v>0</v>
      </c>
      <c r="CO50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0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01" s="996">
        <f>IF(WWWW[[#This Row],[Location Type 1]]="Village",WWWW[[#This Row],[Access to safe drinking water for Village]],WWWW[[#This Row],[Access to safe drinking water for Camp]])</f>
        <v>0</v>
      </c>
      <c r="CR501" s="994">
        <f>WWWW[[#This Row],[%Equitable and continuous access to sufficient quantity of safe drinking water]]*WWWW[[#This Row],[Total PoP ]]</f>
        <v>0</v>
      </c>
      <c r="CS501" s="996">
        <f>IF((WWWW[[#This Row],['#_Constructed/Existing protected/fenced ponds]]*250)/WWWW[[#This Row],[Total PoP ]]&gt;1,1,(WWWW[[#This Row],['#_Constructed/Existing protected/fenced ponds]]*250)/WWWW[[#This Row],[Total PoP ]])</f>
        <v>0</v>
      </c>
      <c r="CT501" s="994">
        <f>WWWW[[#This Row],[% Access to unimproved water points]]*WWWW[[#This Row],[Total PoP ]]</f>
        <v>0</v>
      </c>
      <c r="CU50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0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01" s="994">
        <f>WWWW[[#This Row],[HRP1]]/500</f>
        <v>0</v>
      </c>
      <c r="CX501" s="999">
        <f>1-WWWW[[#This Row],[% Equitable and continuous access to sufficient quantity of domestic water]]</f>
        <v>1</v>
      </c>
      <c r="CY501" s="994">
        <f>WWWW[[#This Row],[%equitable and continuous access to sufficient quantity of safe drinking and domestic water''s GAP]]*WWWW[[#This Row],[Total PoP ]]</f>
        <v>1067</v>
      </c>
      <c r="CZ501" s="997">
        <f>IF(WWWW[[#This Row],[Total required water points]]-WWWW[[#This Row],['#Water points coverage]]&lt;0,0,WWWW[[#This Row],[Total required water points]]-WWWW[[#This Row],['#Water points coverage]])</f>
        <v>2</v>
      </c>
      <c r="DA501" s="997">
        <f>ROUND(IF(WWWW[[#This Row],[Total PoP ]]&lt;500,1,WWWW[[#This Row],[Total PoP ]]/500),0)</f>
        <v>2</v>
      </c>
      <c r="DB501" s="997">
        <f>(WWWW[[#This Row],['#_Constructed latrines_by_WASHAgencies]]+WWWW[[#This Row],['#_Non Cluster partner latrines]])-WWWW[[#This Row],['#_Non-functional latrines]]</f>
        <v>0</v>
      </c>
      <c r="DC501" s="631">
        <f>WWWW[[#This Row],[HRP2]]/WWWW[[#This Row],[Total PoP ]]</f>
        <v>0</v>
      </c>
      <c r="DD50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0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0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1" s="424">
        <f>IF(WWWW[[#This Row],['# of functional latrines in THF supported by WASH partners during the reporting period2]]="",0,WWWW[[#This Row],['# of functional latrines in THF supported by WASH partners during the reporting period2]]*50)</f>
        <v>0</v>
      </c>
      <c r="DH501" s="997">
        <f>ROUND(IF(WWWW[[#This Row],[Location Type 1]]="camp",WWWW[[#This Row],[Total PoP ]]/20,IF(WWWW[[#This Row],[Location Type 1]]="Temporary Location",WWWW[[#This Row],[Total PoP ]]/50,(WWWW[[#This Row],[Total PoP ]]/6))),0)</f>
        <v>53</v>
      </c>
      <c r="DI501" s="997">
        <f>IF(WWWW[[#This Row],[Total required Latrines]]-(WWWW[[#This Row],['#_Constructed latrines_by_WASHAgencies]]+WWWW[[#This Row],['#_Non Cluster partner latrines]])&lt;0,0,WWWW[[#This Row],[Total required Latrines]]-(WWWW[[#This Row],['#_Constructed latrines_by_WASHAgencies]]+WWWW[[#This Row],['#_Non Cluster partner latrines]]))</f>
        <v>53</v>
      </c>
      <c r="DJ501" s="999">
        <f>1-WWWW[[#This Row],[% people access to functioning Latrine]]</f>
        <v>1</v>
      </c>
      <c r="DK501" s="998">
        <f>IF(OR(WWWW[[#This Row],['#_Non-functional latrines]]="",WWWW[[#This Row],['#_Non-functional latrines]]=0),0,WWWW[[#This Row],['#_Non-functional latrines]]/(WWWW[[#This Row],['#_Constructed latrines_by_WASHAgencies]]+WWWW[[#This Row],['#_Non Cluster partner latrines]]))</f>
        <v>0</v>
      </c>
      <c r="DL501" s="994">
        <f>IF(500*(WWWW[[#This Row],['#_male hygiene promoters]]+WWWW[[#This Row],['#_female hygiene promoters]])&gt;WWWW[[#This Row],[Total PoP ]],WWWW[[#This Row],[Total PoP ]],500*(WWWW[[#This Row],['#_male hygiene promoters]]+WWWW[[#This Row],['#_female hygiene promoters]]))</f>
        <v>0</v>
      </c>
      <c r="DM50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0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01" s="997">
        <f>IF(WWWW[[#This Row],['# People with access to soap]]&gt;WWWW[[#This Row],['# People with access to Sanity Pads]],WWWW[[#This Row],['# People with access to soap]],WWWW[[#This Row],['# People with access to Sanity Pads]])</f>
        <v>0</v>
      </c>
      <c r="DP501"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01" s="999">
        <f>IF(WWWW[[#This Row],[HRP3]]/WWWW[[#This Row],[Total PoP ]]&gt;1,1,WWWW[[#This Row],[HRP3]]/WWWW[[#This Row],[Total PoP ]])</f>
        <v>0</v>
      </c>
      <c r="DR501" s="998">
        <f>1-WWWW[[#This Row],[Hygiene Coverage%]]</f>
        <v>1</v>
      </c>
      <c r="DS501" s="996">
        <f>WWWW[[#This Row],['# people reached by regular dedicated hygiene promotion_5]]/WWWW[[#This Row],[Total PoP ]]</f>
        <v>0</v>
      </c>
      <c r="DT50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0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01" s="997">
        <f>WWWW[[#This Row],['#_Constructed/Existing hand washing stations]]-WWWW[[#This Row],['#_Non-Functional_hand_washing_stations]]</f>
        <v>3</v>
      </c>
      <c r="DW501" s="994">
        <f>IF(WWWW[[#This Row],['# Functional hand washing stations during reporting period]]*20&gt;WWWW[[#This Row],[Total HH]],WWWW[[#This Row],[Total HH]],WWWW[[#This Row],['# Functional hand washing stations during reporting period]]*20)</f>
        <v>60</v>
      </c>
      <c r="DX501" s="994">
        <f>IF(WWWW[[#This Row],[Is sufficient soap available for TLS? (Yes/No)]]="yes",WWWW[[#This Row],['#_Constructed/Existing hand washing stations at TLS/CFS/THF]],0)</f>
        <v>0</v>
      </c>
      <c r="DY501" s="428">
        <f>IF(WWWW[[#This Row],['# Functional hand washing stations during reporting period]]*100&gt;WWWW[[#This Row],[Total PoP ]],WWWW[[#This Row],[Total PoP ]],WWWW[[#This Row],['# Functional hand washing stations during reporting period]]*100)</f>
        <v>300</v>
      </c>
      <c r="DZ501" s="428" t="str">
        <f>IF(OR(WWWW[[#This Row],['#_students at TLS_CFS]]="",WWWW[[#This Row],['#_students at TLS_CFS]]=0),"No","Yes")</f>
        <v>No</v>
      </c>
      <c r="EA50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0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1" s="990">
        <f>VLOOKUP(WWWW[[#This Row],[Site Name]],SiteDB6[[Site Name]:[CCCM Management]],6,FALSE)</f>
        <v>0</v>
      </c>
      <c r="EF501" s="990" t="str">
        <f>VLOOKUP(WWWW[[#This Row],[Site Name]],SiteDB6[[Site Name]:[CCCM Focal Agency]],7,FALSE)</f>
        <v>uncovered</v>
      </c>
      <c r="EG501" s="990" t="str">
        <f>VLOOKUP(WWWW[[#This Row],[Site Name]],SiteDB6[[Site Name]:[Location Type 1]],9,FALSE)</f>
        <v>Camp</v>
      </c>
      <c r="EH501" s="990" t="str">
        <f>VLOOKUP(WWWW[[#This Row],[Site Name]],SiteDB6[[Site Name]:[Type of Accommodation]],10,FALSE)</f>
        <v>IDPs in host</v>
      </c>
      <c r="EI501" s="990" t="str">
        <f>VLOOKUP(WWWW[[#This Row],[Site Name]],SiteDB6[[Site Name]:[Ethnic or GCA/NGCA]],11,FALSE)</f>
        <v>GCA</v>
      </c>
      <c r="EJ501" s="990">
        <f>VLOOKUP(WWWW[[#This Row],[Site Name]],SiteDB6[[Site Name]:[Lat]],12,FALSE)</f>
        <v>24.251232000000002</v>
      </c>
      <c r="EK501" s="990">
        <f>VLOOKUP(WWWW[[#This Row],[Site Name]],SiteDB6[[Site Name]:[Long]],13,FALSE)</f>
        <v>97.348405</v>
      </c>
      <c r="EL501" s="990" t="str">
        <f>VLOOKUP(WWWW[[#This Row],[Site Name]],SiteDB6[[Site Name]:[Pcode]],3,FALSE)</f>
        <v>MMR001CMP197</v>
      </c>
      <c r="EM501" s="995" t="str">
        <f t="shared" si="10"/>
        <v>Notcovered</v>
      </c>
      <c r="EN501" s="995"/>
      <c r="EO501" s="990">
        <f>VLOOKUP(WWWW[[#This Row],[Site Name]],SiteDB6[[Site Name]:[Pop
(Kachin/Shan-CCCM as of July 2021)]],16,FALSE)</f>
        <v>171</v>
      </c>
      <c r="EP501" s="990">
        <f>VLOOKUP(WWWW[[#This Row],[Site Name]],SiteDB6[[Site Name]:[Pop
(Kachin/Shan-CCCM as of July 2021)]],17,FALSE)</f>
        <v>882</v>
      </c>
    </row>
    <row r="502" spans="1:146">
      <c r="A502" s="988" t="s">
        <v>2765</v>
      </c>
      <c r="B502" s="988" t="s">
        <v>3082</v>
      </c>
      <c r="C502" s="989" t="s">
        <v>141</v>
      </c>
      <c r="D502" s="989" t="s">
        <v>3166</v>
      </c>
      <c r="E502" s="989" t="s">
        <v>37</v>
      </c>
      <c r="F502" s="989" t="s">
        <v>142</v>
      </c>
      <c r="G502" s="591" t="str">
        <f>VLOOKUP(WWWW[[#This Row],[Site Name]],SiteDB6[[Site Name]:[Location Type]],8,FALSE)</f>
        <v>Camp</v>
      </c>
      <c r="H502" s="989" t="s">
        <v>181</v>
      </c>
      <c r="I502" s="991">
        <v>81</v>
      </c>
      <c r="J502" s="991">
        <v>396</v>
      </c>
      <c r="K502" s="992">
        <v>44682</v>
      </c>
      <c r="L502" s="993">
        <v>45169</v>
      </c>
      <c r="M502" s="991"/>
      <c r="N502" s="991">
        <v>1</v>
      </c>
      <c r="O502" s="991"/>
      <c r="P502" s="991"/>
      <c r="Q502" s="994" t="s">
        <v>41</v>
      </c>
      <c r="R502" s="991">
        <v>3</v>
      </c>
      <c r="S502" s="991">
        <v>3</v>
      </c>
      <c r="T502" s="448">
        <v>2</v>
      </c>
      <c r="U502" s="991"/>
      <c r="V502" s="991"/>
      <c r="W502" s="991"/>
      <c r="X502" s="991"/>
      <c r="Y502" s="991"/>
      <c r="Z502" s="991"/>
      <c r="AA502" s="991"/>
      <c r="AB502" s="991"/>
      <c r="AC502" s="991"/>
      <c r="AD502" s="991"/>
      <c r="AE502" s="991"/>
      <c r="AF502" s="991"/>
      <c r="AG502" s="991"/>
      <c r="AH502" s="991">
        <v>1</v>
      </c>
      <c r="AI502" s="991"/>
      <c r="AJ502" s="991"/>
      <c r="AK502" s="991"/>
      <c r="AL502" s="991"/>
      <c r="AM502" s="991"/>
      <c r="AN502" s="991"/>
      <c r="AO502" s="448"/>
      <c r="AP502" s="995"/>
      <c r="AQ502" s="991">
        <v>14</v>
      </c>
      <c r="AR502" s="991"/>
      <c r="AS502" s="996"/>
      <c r="AT502" s="991"/>
      <c r="AU502" s="991"/>
      <c r="AV502" s="991"/>
      <c r="AW502" s="991"/>
      <c r="AX502" s="991">
        <v>10</v>
      </c>
      <c r="AY502" s="990" t="s">
        <v>41</v>
      </c>
      <c r="AZ502" s="995" t="s">
        <v>137</v>
      </c>
      <c r="BA502" s="991"/>
      <c r="BB502" s="991"/>
      <c r="BC502" s="991"/>
      <c r="BD502" s="448"/>
      <c r="BE502" s="448"/>
      <c r="BF502" s="990"/>
      <c r="BG502" s="991">
        <v>1</v>
      </c>
      <c r="BH502" s="991"/>
      <c r="BI502" s="991"/>
      <c r="BJ502" s="991">
        <v>3</v>
      </c>
      <c r="BK502" s="991"/>
      <c r="BL502" s="991">
        <v>1</v>
      </c>
      <c r="BM502" s="991">
        <v>1</v>
      </c>
      <c r="BN502" s="991"/>
      <c r="BO502" s="991"/>
      <c r="BP502" s="990"/>
      <c r="BQ502" s="997"/>
      <c r="BR502" s="996"/>
      <c r="BS502" s="990"/>
      <c r="BT502" s="423"/>
      <c r="BU502" s="423"/>
      <c r="BV502" s="425"/>
      <c r="BW502" s="423"/>
      <c r="BX502" s="448"/>
      <c r="BY502" s="448"/>
      <c r="BZ502" s="448"/>
      <c r="CA502" s="448"/>
      <c r="CB502" s="448"/>
      <c r="CC502" s="777"/>
      <c r="CD502" s="448"/>
      <c r="CE502" s="998" t="str">
        <f>IFERROR(WWWW[[#This Row],['#_Water sources passed]]/WWWW[[#This Row],['#_Water sources tested for fecal coliform ]],"no test")</f>
        <v>no test</v>
      </c>
      <c r="CF502" s="996" t="str">
        <f>IFERROR(WWWW[[#This Row],['#_Household passed]]/WWWW[[#This Row],['#_Household water samples tested for fecal coliform]],"no test")</f>
        <v>no test</v>
      </c>
      <c r="CG502" s="997" t="str">
        <f>IF(AND(WWWW[[#This Row],[% of water sources passed]]="no test",WWWW[[#This Row],[% Household passed]]="no test"),"No Test","Tested")</f>
        <v>No Test</v>
      </c>
      <c r="CH502" s="997">
        <f>WWWW[[#This Row],['#_Constructed/existing protected hand dug well]]-WWWW[[#This Row],['#_Non-functional protected hand dug well]]</f>
        <v>2</v>
      </c>
      <c r="CI502" s="997">
        <f>(WWWW[[#This Row],['#_Constructed/Existing tube wells/boreholes/handpumps_WASH_agency]]+WWWW[[#This Row],['#_Non-Cluster partner water tube-wells/boreholes/handpumps]])-WWWW[[#This Row],['#_Non-functional tube wells/boreholes/handpumps]]</f>
        <v>0</v>
      </c>
      <c r="CJ502" s="997">
        <f>WWWW[[#This Row],['#_Constructed/Existingwater storage tank with gravity fed reticulation system]]-WWWW[[#This Row],['#_Non-functional storage tank gravity fed reticulation system]]</f>
        <v>0</v>
      </c>
      <c r="CK502" s="997">
        <f>(WWWW[[#This Row],['#_Water_Liters_supplied_by_Water boating or water trucking]]/90)/15</f>
        <v>0</v>
      </c>
      <c r="CL502" s="997">
        <f>WWWW[[#This Row],['#_Water_Liters_from_Constructed/Existing water distribution system from river or natural spring]]/90/15</f>
        <v>0</v>
      </c>
      <c r="CM502" s="424">
        <f>IF(WWWW[[#This Row],['#_of water points in TLS/CFS]]*500&gt;WWWW[[#This Row],[Total PoP ]],WWWW[[#This Row],[Total PoP ]],WWWW[[#This Row],['#_of water points in TLS/CFS]]*500)</f>
        <v>0</v>
      </c>
      <c r="CN502" s="424">
        <f>IF(WWWW[[#This Row],['#_of water points in THF]]*500&gt;WWWW[[#This Row],[Total PoP ]],WWWW[[#This Row],[Total PoP ]],WWWW[[#This Row],['#_of water points in THF]]*500)</f>
        <v>0</v>
      </c>
      <c r="CO50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0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02" s="996">
        <f>IF(WWWW[[#This Row],[Location Type 1]]="Village",WWWW[[#This Row],[Access to safe drinking water for Village]],WWWW[[#This Row],[Access to safe drinking water for Camp]])</f>
        <v>1</v>
      </c>
      <c r="CR502" s="994">
        <f>WWWW[[#This Row],[%Equitable and continuous access to sufficient quantity of safe drinking water]]*WWWW[[#This Row],[Total PoP ]]</f>
        <v>396</v>
      </c>
      <c r="CS502" s="996">
        <f>IF((WWWW[[#This Row],['#_Constructed/Existing protected/fenced ponds]]*250)/WWWW[[#This Row],[Total PoP ]]&gt;1,1,(WWWW[[#This Row],['#_Constructed/Existing protected/fenced ponds]]*250)/WWWW[[#This Row],[Total PoP ]])</f>
        <v>0</v>
      </c>
      <c r="CT502" s="994">
        <f>WWWW[[#This Row],[% Access to unimproved water points]]*WWWW[[#This Row],[Total PoP ]]</f>
        <v>0</v>
      </c>
      <c r="CU50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0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W502" s="994">
        <f>WWWW[[#This Row],[HRP1]]/500</f>
        <v>0.79200000000000004</v>
      </c>
      <c r="CX502" s="999">
        <f>1-WWWW[[#This Row],[% Equitable and continuous access to sufficient quantity of domestic water]]</f>
        <v>0</v>
      </c>
      <c r="CY502" s="994">
        <f>WWWW[[#This Row],[%equitable and continuous access to sufficient quantity of safe drinking and domestic water''s GAP]]*WWWW[[#This Row],[Total PoP ]]</f>
        <v>0</v>
      </c>
      <c r="CZ502" s="997">
        <f>IF(WWWW[[#This Row],[Total required water points]]-WWWW[[#This Row],['#Water points coverage]]&lt;0,0,WWWW[[#This Row],[Total required water points]]-WWWW[[#This Row],['#Water points coverage]])</f>
        <v>0.20799999999999996</v>
      </c>
      <c r="DA502" s="997">
        <f>ROUND(IF(WWWW[[#This Row],[Total PoP ]]&lt;500,1,WWWW[[#This Row],[Total PoP ]]/500),0)</f>
        <v>1</v>
      </c>
      <c r="DB502" s="997">
        <f>(WWWW[[#This Row],['#_Constructed latrines_by_WASHAgencies]]+WWWW[[#This Row],['#_Non Cluster partner latrines]])-WWWW[[#This Row],['#_Non-functional latrines]]</f>
        <v>14</v>
      </c>
      <c r="DC502" s="631">
        <f>WWWW[[#This Row],[HRP2]]/WWWW[[#This Row],[Total PoP ]]</f>
        <v>0.70707070707070707</v>
      </c>
      <c r="DD50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50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0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2" s="424">
        <f>IF(WWWW[[#This Row],['# of functional latrines in THF supported by WASH partners during the reporting period2]]="",0,WWWW[[#This Row],['# of functional latrines in THF supported by WASH partners during the reporting period2]]*50)</f>
        <v>0</v>
      </c>
      <c r="DH502" s="997">
        <f>ROUND(IF(WWWW[[#This Row],[Location Type 1]]="camp",WWWW[[#This Row],[Total PoP ]]/20,IF(WWWW[[#This Row],[Location Type 1]]="Temporary Location",WWWW[[#This Row],[Total PoP ]]/50,(WWWW[[#This Row],[Total PoP ]]/6))),0)</f>
        <v>20</v>
      </c>
      <c r="DI502" s="997">
        <f>IF(WWWW[[#This Row],[Total required Latrines]]-(WWWW[[#This Row],['#_Constructed latrines_by_WASHAgencies]]+WWWW[[#This Row],['#_Non Cluster partner latrines]])&lt;0,0,WWWW[[#This Row],[Total required Latrines]]-(WWWW[[#This Row],['#_Constructed latrines_by_WASHAgencies]]+WWWW[[#This Row],['#_Non Cluster partner latrines]]))</f>
        <v>6</v>
      </c>
      <c r="DJ502" s="999">
        <f>1-WWWW[[#This Row],[% people access to functioning Latrine]]</f>
        <v>0.29292929292929293</v>
      </c>
      <c r="DK502" s="998">
        <f>IF(OR(WWWW[[#This Row],['#_Non-functional latrines]]="",WWWW[[#This Row],['#_Non-functional latrines]]=0),0,WWWW[[#This Row],['#_Non-functional latrines]]/(WWWW[[#This Row],['#_Constructed latrines_by_WASHAgencies]]+WWWW[[#This Row],['#_Non Cluster partner latrines]]))</f>
        <v>0</v>
      </c>
      <c r="DL502" s="994">
        <f>IF(500*(WWWW[[#This Row],['#_male hygiene promoters]]+WWWW[[#This Row],['#_female hygiene promoters]])&gt;WWWW[[#This Row],[Total PoP ]],WWWW[[#This Row],[Total PoP ]],500*(WWWW[[#This Row],['#_male hygiene promoters]]+WWWW[[#This Row],['#_female hygiene promoters]]))</f>
        <v>396</v>
      </c>
      <c r="DM50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0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02" s="997">
        <f>IF(WWWW[[#This Row],['# People with access to soap]]&gt;WWWW[[#This Row],['# People with access to Sanity Pads]],WWWW[[#This Row],['# People with access to soap]],WWWW[[#This Row],['# People with access to Sanity Pads]])</f>
        <v>0</v>
      </c>
      <c r="DP502" s="997">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Q502" s="999">
        <f>IF(WWWW[[#This Row],[HRP3]]/WWWW[[#This Row],[Total PoP ]]&gt;1,1,WWWW[[#This Row],[HRP3]]/WWWW[[#This Row],[Total PoP ]])</f>
        <v>1</v>
      </c>
      <c r="DR502" s="998">
        <f>1-WWWW[[#This Row],[Hygiene Coverage%]]</f>
        <v>0</v>
      </c>
      <c r="DS502" s="996">
        <f>WWWW[[#This Row],['# people reached by regular dedicated hygiene promotion_5]]/WWWW[[#This Row],[Total PoP ]]</f>
        <v>1</v>
      </c>
      <c r="DT50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0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02" s="997">
        <f>WWWW[[#This Row],['#_Constructed/Existing hand washing stations]]-WWWW[[#This Row],['#_Non-Functional_hand_washing_stations]]</f>
        <v>1</v>
      </c>
      <c r="DW502" s="994">
        <f>IF(WWWW[[#This Row],['# Functional hand washing stations during reporting period]]*20&gt;WWWW[[#This Row],[Total HH]],WWWW[[#This Row],[Total HH]],WWWW[[#This Row],['# Functional hand washing stations during reporting period]]*20)</f>
        <v>20</v>
      </c>
      <c r="DX502" s="994">
        <f>IF(WWWW[[#This Row],[Is sufficient soap available for TLS? (Yes/No)]]="yes",WWWW[[#This Row],['#_Constructed/Existing hand washing stations at TLS/CFS/THF]],0)</f>
        <v>0</v>
      </c>
      <c r="DY502" s="428">
        <f>IF(WWWW[[#This Row],['# Functional hand washing stations during reporting period]]*100&gt;WWWW[[#This Row],[Total PoP ]],WWWW[[#This Row],[Total PoP ]],WWWW[[#This Row],['# Functional hand washing stations during reporting period]]*100)</f>
        <v>100</v>
      </c>
      <c r="DZ502" s="428" t="str">
        <f>IF(OR(WWWW[[#This Row],['#_students at TLS_CFS]]="",WWWW[[#This Row],['#_students at TLS_CFS]]=0),"No","Yes")</f>
        <v>No</v>
      </c>
      <c r="EA50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0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2" s="990" t="str">
        <f>VLOOKUP(WWWW[[#This Row],[Site Name]],SiteDB6[[Site Name]:[CCCM Management]],6,FALSE)</f>
        <v>Yes</v>
      </c>
      <c r="EF502" s="990" t="str">
        <f>VLOOKUP(WWWW[[#This Row],[Site Name]],SiteDB6[[Site Name]:[CCCM Focal Agency]],7,FALSE)</f>
        <v>KBC-MYT</v>
      </c>
      <c r="EG502" s="990" t="str">
        <f>VLOOKUP(WWWW[[#This Row],[Site Name]],SiteDB6[[Site Name]:[Location Type 1]],9,FALSE)</f>
        <v>Camp</v>
      </c>
      <c r="EH502" s="990" t="str">
        <f>VLOOKUP(WWWW[[#This Row],[Site Name]],SiteDB6[[Site Name]:[Type of Accommodation]],10,FALSE)</f>
        <v>Camp</v>
      </c>
      <c r="EI502" s="990" t="str">
        <f>VLOOKUP(WWWW[[#This Row],[Site Name]],SiteDB6[[Site Name]:[Ethnic or GCA/NGCA]],11,FALSE)</f>
        <v>GCA</v>
      </c>
      <c r="EJ502" s="990">
        <f>VLOOKUP(WWWW[[#This Row],[Site Name]],SiteDB6[[Site Name]:[Lat]],12,FALSE)</f>
        <v>25.351724999999998</v>
      </c>
      <c r="EK502" s="990">
        <f>VLOOKUP(WWWW[[#This Row],[Site Name]],SiteDB6[[Site Name]:[Long]],13,FALSE)</f>
        <v>97.438432380952406</v>
      </c>
      <c r="EL502" s="990" t="str">
        <f>VLOOKUP(WWWW[[#This Row],[Site Name]],SiteDB6[[Site Name]:[Pcode]],3,FALSE)</f>
        <v>MMR001CMP025</v>
      </c>
      <c r="EM502" s="995" t="str">
        <f t="shared" si="10"/>
        <v>Covered</v>
      </c>
      <c r="EN502" s="995"/>
      <c r="EO502" s="990">
        <f>VLOOKUP(WWWW[[#This Row],[Site Name]],SiteDB6[[Site Name]:[Pop
(Kachin/Shan-CCCM as of July 2021)]],16,FALSE)</f>
        <v>72</v>
      </c>
      <c r="EP502" s="990">
        <f>VLOOKUP(WWWW[[#This Row],[Site Name]],SiteDB6[[Site Name]:[Pop
(Kachin/Shan-CCCM as of July 2021)]],17,FALSE)</f>
        <v>360</v>
      </c>
    </row>
    <row r="503" spans="1:146">
      <c r="A503" s="988" t="s">
        <v>2765</v>
      </c>
      <c r="B503" s="988" t="s">
        <v>309</v>
      </c>
      <c r="C503" s="989" t="s">
        <v>309</v>
      </c>
      <c r="D503" s="989"/>
      <c r="E503" s="989" t="s">
        <v>37</v>
      </c>
      <c r="F503" s="989" t="s">
        <v>146</v>
      </c>
      <c r="G503" s="591" t="str">
        <f>VLOOKUP(WWWW[[#This Row],[Site Name]],SiteDB6[[Site Name]:[Location Type]],8,FALSE)</f>
        <v>Camp</v>
      </c>
      <c r="H503" s="989" t="s">
        <v>3023</v>
      </c>
      <c r="I503" s="991">
        <v>57</v>
      </c>
      <c r="J503" s="991">
        <v>264</v>
      </c>
      <c r="K503" s="992"/>
      <c r="L503" s="993"/>
      <c r="M503" s="991"/>
      <c r="N503" s="991"/>
      <c r="O503" s="991"/>
      <c r="P503" s="991"/>
      <c r="Q503" s="994" t="s">
        <v>41</v>
      </c>
      <c r="R503" s="991"/>
      <c r="S503" s="991"/>
      <c r="T503" s="448"/>
      <c r="U503" s="991"/>
      <c r="V503" s="991"/>
      <c r="W503" s="991"/>
      <c r="X503" s="991"/>
      <c r="Y503" s="991"/>
      <c r="Z503" s="991"/>
      <c r="AA503" s="991"/>
      <c r="AB503" s="991"/>
      <c r="AC503" s="991"/>
      <c r="AD503" s="991"/>
      <c r="AE503" s="991"/>
      <c r="AF503" s="991"/>
      <c r="AG503" s="991"/>
      <c r="AH503" s="991"/>
      <c r="AI503" s="991"/>
      <c r="AJ503" s="991"/>
      <c r="AK503" s="991"/>
      <c r="AL503" s="991"/>
      <c r="AM503" s="991"/>
      <c r="AN503" s="991"/>
      <c r="AO503" s="448"/>
      <c r="AP503" s="995"/>
      <c r="AQ503" s="991">
        <v>28</v>
      </c>
      <c r="AR503" s="991"/>
      <c r="AS503" s="996"/>
      <c r="AT503" s="991"/>
      <c r="AU503" s="991"/>
      <c r="AV503" s="991"/>
      <c r="AW503" s="991"/>
      <c r="AX503" s="991"/>
      <c r="AY503" s="990" t="s">
        <v>41</v>
      </c>
      <c r="AZ503" s="995" t="s">
        <v>137</v>
      </c>
      <c r="BA503" s="991">
        <v>2</v>
      </c>
      <c r="BB503" s="991"/>
      <c r="BC503" s="991"/>
      <c r="BD503" s="448"/>
      <c r="BE503" s="448"/>
      <c r="BF503" s="990"/>
      <c r="BG503" s="991">
        <v>3</v>
      </c>
      <c r="BH503" s="991"/>
      <c r="BI503" s="991"/>
      <c r="BJ503" s="991">
        <v>2</v>
      </c>
      <c r="BK503" s="991"/>
      <c r="BL503" s="991"/>
      <c r="BM503" s="991"/>
      <c r="BN503" s="991"/>
      <c r="BO503" s="991"/>
      <c r="BP503" s="990"/>
      <c r="BQ503" s="997"/>
      <c r="BR503" s="996"/>
      <c r="BS503" s="990"/>
      <c r="BT503" s="423"/>
      <c r="BU503" s="423"/>
      <c r="BV503" s="425"/>
      <c r="BW503" s="423"/>
      <c r="BX503" s="448"/>
      <c r="BY503" s="448"/>
      <c r="BZ503" s="448"/>
      <c r="CA503" s="448"/>
      <c r="CB503" s="448"/>
      <c r="CC503" s="777"/>
      <c r="CD503" s="448"/>
      <c r="CE503" s="998" t="str">
        <f>IFERROR(WWWW[[#This Row],['#_Water sources passed]]/WWWW[[#This Row],['#_Water sources tested for fecal coliform ]],"no test")</f>
        <v>no test</v>
      </c>
      <c r="CF503" s="996" t="str">
        <f>IFERROR(WWWW[[#This Row],['#_Household passed]]/WWWW[[#This Row],['#_Household water samples tested for fecal coliform]],"no test")</f>
        <v>no test</v>
      </c>
      <c r="CG503" s="997" t="str">
        <f>IF(AND(WWWW[[#This Row],[% of water sources passed]]="no test",WWWW[[#This Row],[% Household passed]]="no test"),"No Test","Tested")</f>
        <v>No Test</v>
      </c>
      <c r="CH503" s="997">
        <f>WWWW[[#This Row],['#_Constructed/existing protected hand dug well]]-WWWW[[#This Row],['#_Non-functional protected hand dug well]]</f>
        <v>0</v>
      </c>
      <c r="CI503" s="997">
        <f>(WWWW[[#This Row],['#_Constructed/Existing tube wells/boreholes/handpumps_WASH_agency]]+WWWW[[#This Row],['#_Non-Cluster partner water tube-wells/boreholes/handpumps]])-WWWW[[#This Row],['#_Non-functional tube wells/boreholes/handpumps]]</f>
        <v>0</v>
      </c>
      <c r="CJ503" s="997">
        <f>WWWW[[#This Row],['#_Constructed/Existingwater storage tank with gravity fed reticulation system]]-WWWW[[#This Row],['#_Non-functional storage tank gravity fed reticulation system]]</f>
        <v>0</v>
      </c>
      <c r="CK503" s="997">
        <f>(WWWW[[#This Row],['#_Water_Liters_supplied_by_Water boating or water trucking]]/90)/15</f>
        <v>0</v>
      </c>
      <c r="CL503" s="997">
        <f>WWWW[[#This Row],['#_Water_Liters_from_Constructed/Existing water distribution system from river or natural spring]]/90/15</f>
        <v>0</v>
      </c>
      <c r="CM503" s="424">
        <f>IF(WWWW[[#This Row],['#_of water points in TLS/CFS]]*500&gt;WWWW[[#This Row],[Total PoP ]],WWWW[[#This Row],[Total PoP ]],WWWW[[#This Row],['#_of water points in TLS/CFS]]*500)</f>
        <v>0</v>
      </c>
      <c r="CN503" s="424">
        <f>IF(WWWW[[#This Row],['#_of water points in THF]]*500&gt;WWWW[[#This Row],[Total PoP ]],WWWW[[#This Row],[Total PoP ]],WWWW[[#This Row],['#_of water points in THF]]*500)</f>
        <v>0</v>
      </c>
      <c r="CO50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0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03" s="996">
        <f>IF(WWWW[[#This Row],[Location Type 1]]="Village",WWWW[[#This Row],[Access to safe drinking water for Village]],WWWW[[#This Row],[Access to safe drinking water for Camp]])</f>
        <v>0</v>
      </c>
      <c r="CR503" s="994">
        <f>WWWW[[#This Row],[%Equitable and continuous access to sufficient quantity of safe drinking water]]*WWWW[[#This Row],[Total PoP ]]</f>
        <v>0</v>
      </c>
      <c r="CS503" s="996">
        <f>IF((WWWW[[#This Row],['#_Constructed/Existing protected/fenced ponds]]*250)/WWWW[[#This Row],[Total PoP ]]&gt;1,1,(WWWW[[#This Row],['#_Constructed/Existing protected/fenced ponds]]*250)/WWWW[[#This Row],[Total PoP ]])</f>
        <v>0</v>
      </c>
      <c r="CT503" s="994">
        <f>WWWW[[#This Row],[% Access to unimproved water points]]*WWWW[[#This Row],[Total PoP ]]</f>
        <v>0</v>
      </c>
      <c r="CU50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0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03" s="994">
        <f>WWWW[[#This Row],[HRP1]]/500</f>
        <v>0</v>
      </c>
      <c r="CX503" s="999">
        <f>1-WWWW[[#This Row],[% Equitable and continuous access to sufficient quantity of domestic water]]</f>
        <v>1</v>
      </c>
      <c r="CY503" s="994">
        <f>WWWW[[#This Row],[%equitable and continuous access to sufficient quantity of safe drinking and domestic water''s GAP]]*WWWW[[#This Row],[Total PoP ]]</f>
        <v>264</v>
      </c>
      <c r="CZ503" s="997">
        <f>IF(WWWW[[#This Row],[Total required water points]]-WWWW[[#This Row],['#Water points coverage]]&lt;0,0,WWWW[[#This Row],[Total required water points]]-WWWW[[#This Row],['#Water points coverage]])</f>
        <v>1</v>
      </c>
      <c r="DA503" s="997">
        <f>ROUND(IF(WWWW[[#This Row],[Total PoP ]]&lt;500,1,WWWW[[#This Row],[Total PoP ]]/500),0)</f>
        <v>1</v>
      </c>
      <c r="DB503" s="997">
        <f>(WWWW[[#This Row],['#_Constructed latrines_by_WASHAgencies]]+WWWW[[#This Row],['#_Non Cluster partner latrines]])-WWWW[[#This Row],['#_Non-functional latrines]]</f>
        <v>28</v>
      </c>
      <c r="DC503" s="631">
        <f>WWWW[[#This Row],[HRP2]]/WWWW[[#This Row],[Total PoP ]]</f>
        <v>1</v>
      </c>
      <c r="DD50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DE50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0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3" s="424">
        <f>IF(WWWW[[#This Row],['# of functional latrines in THF supported by WASH partners during the reporting period2]]="",0,WWWW[[#This Row],['# of functional latrines in THF supported by WASH partners during the reporting period2]]*50)</f>
        <v>0</v>
      </c>
      <c r="DH503" s="997">
        <f>ROUND(IF(WWWW[[#This Row],[Location Type 1]]="camp",WWWW[[#This Row],[Total PoP ]]/20,IF(WWWW[[#This Row],[Location Type 1]]="Temporary Location",WWWW[[#This Row],[Total PoP ]]/50,(WWWW[[#This Row],[Total PoP ]]/6))),0)</f>
        <v>13</v>
      </c>
      <c r="DI503" s="997">
        <f>IF(WWWW[[#This Row],[Total required Latrines]]-(WWWW[[#This Row],['#_Constructed latrines_by_WASHAgencies]]+WWWW[[#This Row],['#_Non Cluster partner latrines]])&lt;0,0,WWWW[[#This Row],[Total required Latrines]]-(WWWW[[#This Row],['#_Constructed latrines_by_WASHAgencies]]+WWWW[[#This Row],['#_Non Cluster partner latrines]]))</f>
        <v>0</v>
      </c>
      <c r="DJ503" s="999">
        <f>1-WWWW[[#This Row],[% people access to functioning Latrine]]</f>
        <v>0</v>
      </c>
      <c r="DK503" s="998">
        <f>IF(OR(WWWW[[#This Row],['#_Non-functional latrines]]="",WWWW[[#This Row],['#_Non-functional latrines]]=0),0,WWWW[[#This Row],['#_Non-functional latrines]]/(WWWW[[#This Row],['#_Constructed latrines_by_WASHAgencies]]+WWWW[[#This Row],['#_Non Cluster partner latrines]]))</f>
        <v>0</v>
      </c>
      <c r="DL503" s="994">
        <f>IF(500*(WWWW[[#This Row],['#_male hygiene promoters]]+WWWW[[#This Row],['#_female hygiene promoters]])&gt;WWWW[[#This Row],[Total PoP ]],WWWW[[#This Row],[Total PoP ]],500*(WWWW[[#This Row],['#_male hygiene promoters]]+WWWW[[#This Row],['#_female hygiene promoters]]))</f>
        <v>0</v>
      </c>
      <c r="DM50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0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03" s="997">
        <f>IF(WWWW[[#This Row],['# People with access to soap]]&gt;WWWW[[#This Row],['# People with access to Sanity Pads]],WWWW[[#This Row],['# People with access to soap]],WWWW[[#This Row],['# People with access to Sanity Pads]])</f>
        <v>0</v>
      </c>
      <c r="DP503"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03" s="999">
        <f>IF(WWWW[[#This Row],[HRP3]]/WWWW[[#This Row],[Total PoP ]]&gt;1,1,WWWW[[#This Row],[HRP3]]/WWWW[[#This Row],[Total PoP ]])</f>
        <v>0</v>
      </c>
      <c r="DR503" s="998">
        <f>1-WWWW[[#This Row],[Hygiene Coverage%]]</f>
        <v>1</v>
      </c>
      <c r="DS503" s="996">
        <f>WWWW[[#This Row],['# people reached by regular dedicated hygiene promotion_5]]/WWWW[[#This Row],[Total PoP ]]</f>
        <v>0</v>
      </c>
      <c r="DT50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0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03" s="997">
        <f>WWWW[[#This Row],['#_Constructed/Existing hand washing stations]]-WWWW[[#This Row],['#_Non-Functional_hand_washing_stations]]</f>
        <v>3</v>
      </c>
      <c r="DW503" s="994">
        <f>IF(WWWW[[#This Row],['# Functional hand washing stations during reporting period]]*20&gt;WWWW[[#This Row],[Total HH]],WWWW[[#This Row],[Total HH]],WWWW[[#This Row],['# Functional hand washing stations during reporting period]]*20)</f>
        <v>57</v>
      </c>
      <c r="DX503" s="994">
        <f>IF(WWWW[[#This Row],[Is sufficient soap available for TLS? (Yes/No)]]="yes",WWWW[[#This Row],['#_Constructed/Existing hand washing stations at TLS/CFS/THF]],0)</f>
        <v>0</v>
      </c>
      <c r="DY503" s="428">
        <f>IF(WWWW[[#This Row],['# Functional hand washing stations during reporting period]]*100&gt;WWWW[[#This Row],[Total PoP ]],WWWW[[#This Row],[Total PoP ]],WWWW[[#This Row],['# Functional hand washing stations during reporting period]]*100)</f>
        <v>264</v>
      </c>
      <c r="DZ503" s="428" t="str">
        <f>IF(OR(WWWW[[#This Row],['#_students at TLS_CFS]]="",WWWW[[#This Row],['#_students at TLS_CFS]]=0),"No","Yes")</f>
        <v>No</v>
      </c>
      <c r="EA50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0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3" s="990" t="str">
        <f>VLOOKUP(WWWW[[#This Row],[Site Name]],SiteDB6[[Site Name]:[CCCM Management]],6,FALSE)</f>
        <v>Yes</v>
      </c>
      <c r="EF503" s="990" t="str">
        <f>VLOOKUP(WWWW[[#This Row],[Site Name]],SiteDB6[[Site Name]:[CCCM Focal Agency]],7,FALSE)</f>
        <v>KMSS-MYT</v>
      </c>
      <c r="EG503" s="990" t="str">
        <f>VLOOKUP(WWWW[[#This Row],[Site Name]],SiteDB6[[Site Name]:[Location Type 1]],9,FALSE)</f>
        <v>Camp</v>
      </c>
      <c r="EH503" s="990" t="str">
        <f>VLOOKUP(WWWW[[#This Row],[Site Name]],SiteDB6[[Site Name]:[Type of Accommodation]],10,FALSE)</f>
        <v>IDPs in host</v>
      </c>
      <c r="EI503" s="990" t="str">
        <f>VLOOKUP(WWWW[[#This Row],[Site Name]],SiteDB6[[Site Name]:[Ethnic or GCA/NGCA]],11,FALSE)</f>
        <v>GCA</v>
      </c>
      <c r="EJ503" s="990">
        <f>VLOOKUP(WWWW[[#This Row],[Site Name]],SiteDB6[[Site Name]:[Lat]],12,FALSE)</f>
        <v>25.60867</v>
      </c>
      <c r="EK503" s="990">
        <f>VLOOKUP(WWWW[[#This Row],[Site Name]],SiteDB6[[Site Name]:[Long]],13,FALSE)</f>
        <v>98.377780000000001</v>
      </c>
      <c r="EL503" s="990" t="str">
        <f>VLOOKUP(WWWW[[#This Row],[Site Name]],SiteDB6[[Site Name]:[Pcode]],3,FALSE)</f>
        <v>MMR001CMP210</v>
      </c>
      <c r="EM503" s="995" t="str">
        <f t="shared" si="10"/>
        <v>Notcovered</v>
      </c>
      <c r="EN503" s="995"/>
      <c r="EO503" s="990">
        <f>VLOOKUP(WWWW[[#This Row],[Site Name]],SiteDB6[[Site Name]:[Pop
(Kachin/Shan-CCCM as of July 2021)]],16,FALSE)</f>
        <v>4</v>
      </c>
      <c r="EP503" s="990">
        <f>VLOOKUP(WWWW[[#This Row],[Site Name]],SiteDB6[[Site Name]:[Pop
(Kachin/Shan-CCCM as of July 2021)]],17,FALSE)</f>
        <v>20</v>
      </c>
    </row>
    <row r="504" spans="1:146">
      <c r="A504" s="988" t="s">
        <v>2765</v>
      </c>
      <c r="B504" s="988" t="s">
        <v>36</v>
      </c>
      <c r="C504" s="989" t="s">
        <v>36</v>
      </c>
      <c r="D504" s="989" t="s">
        <v>241</v>
      </c>
      <c r="E504" s="989" t="s">
        <v>37</v>
      </c>
      <c r="F504" s="989" t="s">
        <v>159</v>
      </c>
      <c r="G504" s="591" t="str">
        <f>VLOOKUP(WWWW[[#This Row],[Site Name]],SiteDB6[[Site Name]:[Location Type]],8,FALSE)</f>
        <v>Camp_not registered</v>
      </c>
      <c r="H504" s="989" t="s">
        <v>2205</v>
      </c>
      <c r="I504" s="991">
        <v>25</v>
      </c>
      <c r="J504" s="991">
        <v>127</v>
      </c>
      <c r="K504" s="992">
        <v>44414</v>
      </c>
      <c r="L504" s="993">
        <v>44778</v>
      </c>
      <c r="M504" s="991"/>
      <c r="N504" s="991">
        <v>1</v>
      </c>
      <c r="O504" s="991"/>
      <c r="P504" s="991"/>
      <c r="Q504" s="994" t="s">
        <v>41</v>
      </c>
      <c r="R504" s="991">
        <v>2</v>
      </c>
      <c r="S504" s="991">
        <v>2</v>
      </c>
      <c r="T504" s="448"/>
      <c r="U504" s="991"/>
      <c r="V504" s="991"/>
      <c r="W504" s="991">
        <v>2</v>
      </c>
      <c r="X504" s="991"/>
      <c r="Y504" s="991"/>
      <c r="Z504" s="991"/>
      <c r="AA504" s="991"/>
      <c r="AB504" s="991"/>
      <c r="AC504" s="991"/>
      <c r="AD504" s="991"/>
      <c r="AE504" s="991"/>
      <c r="AF504" s="991"/>
      <c r="AG504" s="991"/>
      <c r="AH504" s="991"/>
      <c r="AI504" s="991"/>
      <c r="AJ504" s="991"/>
      <c r="AK504" s="991"/>
      <c r="AL504" s="991"/>
      <c r="AM504" s="991">
        <v>3</v>
      </c>
      <c r="AN504" s="991"/>
      <c r="AO504" s="448"/>
      <c r="AP504" s="995"/>
      <c r="AQ504" s="991">
        <v>6</v>
      </c>
      <c r="AR504" s="991"/>
      <c r="AS504" s="996"/>
      <c r="AT504" s="991"/>
      <c r="AU504" s="991"/>
      <c r="AV504" s="991"/>
      <c r="AW504" s="991"/>
      <c r="AX504" s="991"/>
      <c r="AY504" s="990" t="s">
        <v>41</v>
      </c>
      <c r="AZ504" s="995" t="s">
        <v>136</v>
      </c>
      <c r="BA504" s="991"/>
      <c r="BB504" s="991"/>
      <c r="BC504" s="991"/>
      <c r="BD504" s="448"/>
      <c r="BE504" s="448"/>
      <c r="BF504" s="990"/>
      <c r="BG504" s="991">
        <v>3</v>
      </c>
      <c r="BH504" s="991"/>
      <c r="BI504" s="991"/>
      <c r="BJ504" s="991">
        <v>2</v>
      </c>
      <c r="BK504" s="991"/>
      <c r="BL504" s="991"/>
      <c r="BM504" s="991">
        <v>1</v>
      </c>
      <c r="BN504" s="991"/>
      <c r="BO504" s="991"/>
      <c r="BP504" s="990" t="s">
        <v>41</v>
      </c>
      <c r="BQ504" s="997"/>
      <c r="BR504" s="996"/>
      <c r="BS504" s="990"/>
      <c r="BT504" s="423"/>
      <c r="BU504" s="423"/>
      <c r="BV504" s="425"/>
      <c r="BW504" s="423"/>
      <c r="BX504" s="448"/>
      <c r="BY504" s="448"/>
      <c r="BZ504" s="448"/>
      <c r="CA504" s="448"/>
      <c r="CB504" s="448"/>
      <c r="CC504" s="777"/>
      <c r="CD504" s="448"/>
      <c r="CE504" s="998" t="str">
        <f>IFERROR(WWWW[[#This Row],['#_Water sources passed]]/WWWW[[#This Row],['#_Water sources tested for fecal coliform ]],"no test")</f>
        <v>no test</v>
      </c>
      <c r="CF504" s="996" t="str">
        <f>IFERROR(WWWW[[#This Row],['#_Household passed]]/WWWW[[#This Row],['#_Household water samples tested for fecal coliform]],"no test")</f>
        <v>no test</v>
      </c>
      <c r="CG504" s="997" t="str">
        <f>IF(AND(WWWW[[#This Row],[% of water sources passed]]="no test",WWWW[[#This Row],[% Household passed]]="no test"),"No Test","Tested")</f>
        <v>No Test</v>
      </c>
      <c r="CH504" s="997">
        <f>WWWW[[#This Row],['#_Constructed/existing protected hand dug well]]-WWWW[[#This Row],['#_Non-functional protected hand dug well]]</f>
        <v>0</v>
      </c>
      <c r="CI504" s="997">
        <f>(WWWW[[#This Row],['#_Constructed/Existing tube wells/boreholes/handpumps_WASH_agency]]+WWWW[[#This Row],['#_Non-Cluster partner water tube-wells/boreholes/handpumps]])-WWWW[[#This Row],['#_Non-functional tube wells/boreholes/handpumps]]</f>
        <v>2</v>
      </c>
      <c r="CJ504" s="997">
        <f>WWWW[[#This Row],['#_Constructed/Existingwater storage tank with gravity fed reticulation system]]-WWWW[[#This Row],['#_Non-functional storage tank gravity fed reticulation system]]</f>
        <v>0</v>
      </c>
      <c r="CK504" s="997">
        <f>(WWWW[[#This Row],['#_Water_Liters_supplied_by_Water boating or water trucking]]/90)/15</f>
        <v>0</v>
      </c>
      <c r="CL504" s="997">
        <f>WWWW[[#This Row],['#_Water_Liters_from_Constructed/Existing water distribution system from river or natural spring]]/90/15</f>
        <v>0</v>
      </c>
      <c r="CM504" s="424">
        <f>IF(WWWW[[#This Row],['#_of water points in TLS/CFS]]*500&gt;WWWW[[#This Row],[Total PoP ]],WWWW[[#This Row],[Total PoP ]],WWWW[[#This Row],['#_of water points in TLS/CFS]]*500)</f>
        <v>0</v>
      </c>
      <c r="CN504" s="424">
        <f>IF(WWWW[[#This Row],['#_of water points in THF]]*500&gt;WWWW[[#This Row],[Total PoP ]],WWWW[[#This Row],[Total PoP ]],WWWW[[#This Row],['#_of water points in THF]]*500)</f>
        <v>0</v>
      </c>
      <c r="CO50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0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04" s="996">
        <f>IF(WWWW[[#This Row],[Location Type 1]]="Village",WWWW[[#This Row],[Access to safe drinking water for Village]],WWWW[[#This Row],[Access to safe drinking water for Camp]])</f>
        <v>1</v>
      </c>
      <c r="CR504" s="994">
        <f>WWWW[[#This Row],[%Equitable and continuous access to sufficient quantity of safe drinking water]]*WWWW[[#This Row],[Total PoP ]]</f>
        <v>127</v>
      </c>
      <c r="CS504" s="996">
        <f>IF((WWWW[[#This Row],['#_Constructed/Existing protected/fenced ponds]]*250)/WWWW[[#This Row],[Total PoP ]]&gt;1,1,(WWWW[[#This Row],['#_Constructed/Existing protected/fenced ponds]]*250)/WWWW[[#This Row],[Total PoP ]])</f>
        <v>0</v>
      </c>
      <c r="CT504" s="994">
        <f>WWWW[[#This Row],[% Access to unimproved water points]]*WWWW[[#This Row],[Total PoP ]]</f>
        <v>0</v>
      </c>
      <c r="CU50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0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W504" s="994">
        <f>WWWW[[#This Row],[HRP1]]/500</f>
        <v>0.254</v>
      </c>
      <c r="CX504" s="999">
        <f>1-WWWW[[#This Row],[% Equitable and continuous access to sufficient quantity of domestic water]]</f>
        <v>0</v>
      </c>
      <c r="CY504" s="994">
        <f>WWWW[[#This Row],[%equitable and continuous access to sufficient quantity of safe drinking and domestic water''s GAP]]*WWWW[[#This Row],[Total PoP ]]</f>
        <v>0</v>
      </c>
      <c r="CZ504" s="997">
        <f>IF(WWWW[[#This Row],[Total required water points]]-WWWW[[#This Row],['#Water points coverage]]&lt;0,0,WWWW[[#This Row],[Total required water points]]-WWWW[[#This Row],['#Water points coverage]])</f>
        <v>0.746</v>
      </c>
      <c r="DA504" s="997">
        <f>ROUND(IF(WWWW[[#This Row],[Total PoP ]]&lt;500,1,WWWW[[#This Row],[Total PoP ]]/500),0)</f>
        <v>1</v>
      </c>
      <c r="DB504" s="997">
        <f>(WWWW[[#This Row],['#_Constructed latrines_by_WASHAgencies]]+WWWW[[#This Row],['#_Non Cluster partner latrines]])-WWWW[[#This Row],['#_Non-functional latrines]]</f>
        <v>6</v>
      </c>
      <c r="DC504" s="631">
        <f>WWWW[[#This Row],[HRP2]]/WWWW[[#This Row],[Total PoP ]]</f>
        <v>0.94488188976377951</v>
      </c>
      <c r="DD50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50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0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4" s="424">
        <f>IF(WWWW[[#This Row],['# of functional latrines in THF supported by WASH partners during the reporting period2]]="",0,WWWW[[#This Row],['# of functional latrines in THF supported by WASH partners during the reporting period2]]*50)</f>
        <v>0</v>
      </c>
      <c r="DH504" s="997">
        <f>ROUND(IF(WWWW[[#This Row],[Location Type 1]]="camp",WWWW[[#This Row],[Total PoP ]]/20,IF(WWWW[[#This Row],[Location Type 1]]="Temporary Location",WWWW[[#This Row],[Total PoP ]]/50,(WWWW[[#This Row],[Total PoP ]]/6))),0)</f>
        <v>6</v>
      </c>
      <c r="DI504" s="997">
        <f>IF(WWWW[[#This Row],[Total required Latrines]]-(WWWW[[#This Row],['#_Constructed latrines_by_WASHAgencies]]+WWWW[[#This Row],['#_Non Cluster partner latrines]])&lt;0,0,WWWW[[#This Row],[Total required Latrines]]-(WWWW[[#This Row],['#_Constructed latrines_by_WASHAgencies]]+WWWW[[#This Row],['#_Non Cluster partner latrines]]))</f>
        <v>0</v>
      </c>
      <c r="DJ504" s="999">
        <f>1-WWWW[[#This Row],[% people access to functioning Latrine]]</f>
        <v>5.5118110236220486E-2</v>
      </c>
      <c r="DK504" s="998">
        <f>IF(OR(WWWW[[#This Row],['#_Non-functional latrines]]="",WWWW[[#This Row],['#_Non-functional latrines]]=0),0,WWWW[[#This Row],['#_Non-functional latrines]]/(WWWW[[#This Row],['#_Constructed latrines_by_WASHAgencies]]+WWWW[[#This Row],['#_Non Cluster partner latrines]]))</f>
        <v>0</v>
      </c>
      <c r="DL504" s="994">
        <f>IF(500*(WWWW[[#This Row],['#_male hygiene promoters]]+WWWW[[#This Row],['#_female hygiene promoters]])&gt;WWWW[[#This Row],[Total PoP ]],WWWW[[#This Row],[Total PoP ]],500*(WWWW[[#This Row],['#_male hygiene promoters]]+WWWW[[#This Row],['#_female hygiene promoters]]))</f>
        <v>127</v>
      </c>
      <c r="DM50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0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04" s="997">
        <f>IF(WWWW[[#This Row],['# People with access to soap]]&gt;WWWW[[#This Row],['# People with access to Sanity Pads]],WWWW[[#This Row],['# People with access to soap]],WWWW[[#This Row],['# People with access to Sanity Pads]])</f>
        <v>0</v>
      </c>
      <c r="DP504" s="997">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Q504" s="999">
        <f>IF(WWWW[[#This Row],[HRP3]]/WWWW[[#This Row],[Total PoP ]]&gt;1,1,WWWW[[#This Row],[HRP3]]/WWWW[[#This Row],[Total PoP ]])</f>
        <v>1</v>
      </c>
      <c r="DR504" s="998">
        <f>1-WWWW[[#This Row],[Hygiene Coverage%]]</f>
        <v>0</v>
      </c>
      <c r="DS504" s="996">
        <f>WWWW[[#This Row],['# people reached by regular dedicated hygiene promotion_5]]/WWWW[[#This Row],[Total PoP ]]</f>
        <v>1</v>
      </c>
      <c r="DT50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0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04" s="997">
        <f>WWWW[[#This Row],['#_Constructed/Existing hand washing stations]]-WWWW[[#This Row],['#_Non-Functional_hand_washing_stations]]</f>
        <v>3</v>
      </c>
      <c r="DW504" s="994">
        <f>IF(WWWW[[#This Row],['# Functional hand washing stations during reporting period]]*20&gt;WWWW[[#This Row],[Total HH]],WWWW[[#This Row],[Total HH]],WWWW[[#This Row],['# Functional hand washing stations during reporting period]]*20)</f>
        <v>25</v>
      </c>
      <c r="DX504" s="994">
        <f>IF(WWWW[[#This Row],[Is sufficient soap available for TLS? (Yes/No)]]="yes",WWWW[[#This Row],['#_Constructed/Existing hand washing stations at TLS/CFS/THF]],0)</f>
        <v>3</v>
      </c>
      <c r="DY504" s="428">
        <f>IF(WWWW[[#This Row],['# Functional hand washing stations during reporting period]]*100&gt;WWWW[[#This Row],[Total PoP ]],WWWW[[#This Row],[Total PoP ]],WWWW[[#This Row],['# Functional hand washing stations during reporting period]]*100)</f>
        <v>127</v>
      </c>
      <c r="DZ504" s="428" t="str">
        <f>IF(OR(WWWW[[#This Row],['#_students at TLS_CFS]]="",WWWW[[#This Row],['#_students at TLS_CFS]]=0),"No","Yes")</f>
        <v>No</v>
      </c>
      <c r="EA50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0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4" s="990">
        <f>VLOOKUP(WWWW[[#This Row],[Site Name]],SiteDB6[[Site Name]:[CCCM Management]],6,FALSE)</f>
        <v>0</v>
      </c>
      <c r="EF504" s="990">
        <f>VLOOKUP(WWWW[[#This Row],[Site Name]],SiteDB6[[Site Name]:[CCCM Focal Agency]],7,FALSE)</f>
        <v>0</v>
      </c>
      <c r="EG504" s="990" t="str">
        <f>VLOOKUP(WWWW[[#This Row],[Site Name]],SiteDB6[[Site Name]:[Location Type 1]],9,FALSE)</f>
        <v>Camp</v>
      </c>
      <c r="EH504" s="990" t="str">
        <f>VLOOKUP(WWWW[[#This Row],[Site Name]],SiteDB6[[Site Name]:[Type of Accommodation]],10,FALSE)</f>
        <v>Camp</v>
      </c>
      <c r="EI504" s="990" t="str">
        <f>VLOOKUP(WWWW[[#This Row],[Site Name]],SiteDB6[[Site Name]:[Ethnic or GCA/NGCA]],11,FALSE)</f>
        <v>GCA</v>
      </c>
      <c r="EJ504" s="990">
        <f>VLOOKUP(WWWW[[#This Row],[Site Name]],SiteDB6[[Site Name]:[Lat]],12,FALSE)</f>
        <v>0</v>
      </c>
      <c r="EK504" s="990">
        <f>VLOOKUP(WWWW[[#This Row],[Site Name]],SiteDB6[[Site Name]:[Long]],13,FALSE)</f>
        <v>0</v>
      </c>
      <c r="EL504" s="990">
        <f>VLOOKUP(WWWW[[#This Row],[Site Name]],SiteDB6[[Site Name]:[Pcode]],3,FALSE)</f>
        <v>0</v>
      </c>
      <c r="EM504" s="995" t="str">
        <f t="shared" si="10"/>
        <v>Covered</v>
      </c>
      <c r="EN504" s="995"/>
      <c r="EO504" s="990">
        <f>VLOOKUP(WWWW[[#This Row],[Site Name]],SiteDB6[[Site Name]:[Pop
(Kachin/Shan-CCCM as of July 2021)]],16,FALSE)</f>
        <v>0</v>
      </c>
      <c r="EP504" s="990">
        <f>VLOOKUP(WWWW[[#This Row],[Site Name]],SiteDB6[[Site Name]:[Pop
(Kachin/Shan-CCCM as of July 2021)]],17,FALSE)</f>
        <v>0</v>
      </c>
    </row>
    <row r="505" spans="1:146">
      <c r="A505" s="988" t="s">
        <v>2765</v>
      </c>
      <c r="B505" s="988" t="s">
        <v>141</v>
      </c>
      <c r="C505" s="989" t="s">
        <v>141</v>
      </c>
      <c r="D505" s="989" t="s">
        <v>299</v>
      </c>
      <c r="E505" s="989" t="s">
        <v>37</v>
      </c>
      <c r="F505" s="989" t="s">
        <v>38</v>
      </c>
      <c r="G505" s="591" t="str">
        <f>VLOOKUP(WWWW[[#This Row],[Site Name]],SiteDB6[[Site Name]:[Location Type]],8,FALSE)</f>
        <v>Camp</v>
      </c>
      <c r="H505" s="989" t="s">
        <v>183</v>
      </c>
      <c r="I505" s="991">
        <v>365</v>
      </c>
      <c r="J505" s="991">
        <v>1772</v>
      </c>
      <c r="K505" s="992">
        <v>44652</v>
      </c>
      <c r="L505" s="993">
        <v>44865</v>
      </c>
      <c r="M505" s="991">
        <v>489</v>
      </c>
      <c r="N505" s="991"/>
      <c r="O505" s="991"/>
      <c r="P505" s="991"/>
      <c r="Q505" s="994" t="s">
        <v>41</v>
      </c>
      <c r="R505" s="991">
        <v>5</v>
      </c>
      <c r="S505" s="991">
        <v>5</v>
      </c>
      <c r="T505" s="448">
        <v>1</v>
      </c>
      <c r="U505" s="991"/>
      <c r="V505" s="991"/>
      <c r="W505" s="991">
        <v>1</v>
      </c>
      <c r="X505" s="991"/>
      <c r="Y505" s="991">
        <v>1</v>
      </c>
      <c r="Z505" s="991">
        <v>1</v>
      </c>
      <c r="AA505" s="991"/>
      <c r="AB505" s="991"/>
      <c r="AC505" s="991"/>
      <c r="AD505" s="991"/>
      <c r="AE505" s="991"/>
      <c r="AF505" s="991"/>
      <c r="AG505" s="991"/>
      <c r="AH505" s="991"/>
      <c r="AI505" s="991">
        <v>8</v>
      </c>
      <c r="AJ505" s="991">
        <v>8</v>
      </c>
      <c r="AK505" s="991">
        <v>28</v>
      </c>
      <c r="AL505" s="991">
        <v>27</v>
      </c>
      <c r="AM505" s="991">
        <v>3</v>
      </c>
      <c r="AN505" s="991">
        <v>3</v>
      </c>
      <c r="AO505" s="448"/>
      <c r="AP505" s="995" t="s">
        <v>3014</v>
      </c>
      <c r="AQ505" s="991">
        <v>119</v>
      </c>
      <c r="AR505" s="991"/>
      <c r="AS505" s="996"/>
      <c r="AT505" s="991"/>
      <c r="AU505" s="991"/>
      <c r="AV505" s="991">
        <v>41</v>
      </c>
      <c r="AW505" s="991">
        <v>74.496904000000001</v>
      </c>
      <c r="AX505" s="991"/>
      <c r="AY505" s="990" t="s">
        <v>41</v>
      </c>
      <c r="AZ505" s="995" t="s">
        <v>137</v>
      </c>
      <c r="BA505" s="991"/>
      <c r="BB505" s="991"/>
      <c r="BC505" s="991"/>
      <c r="BD505" s="448"/>
      <c r="BE505" s="448"/>
      <c r="BF505" s="990" t="s">
        <v>140</v>
      </c>
      <c r="BG505" s="991">
        <v>55</v>
      </c>
      <c r="BH505" s="991"/>
      <c r="BI505" s="991"/>
      <c r="BJ505" s="991">
        <v>3</v>
      </c>
      <c r="BK505" s="991">
        <v>1</v>
      </c>
      <c r="BL505" s="991">
        <v>5</v>
      </c>
      <c r="BM505" s="991">
        <v>5</v>
      </c>
      <c r="BN505" s="991"/>
      <c r="BO505" s="991"/>
      <c r="BP505" s="990" t="s">
        <v>41</v>
      </c>
      <c r="BQ505" s="997">
        <v>1</v>
      </c>
      <c r="BR505" s="996">
        <v>0.6</v>
      </c>
      <c r="BS505" s="990" t="s">
        <v>3014</v>
      </c>
      <c r="BT505" s="423">
        <v>0.6</v>
      </c>
      <c r="BU505" s="423">
        <v>0.8</v>
      </c>
      <c r="BV505" s="425">
        <v>20</v>
      </c>
      <c r="BW505" s="423">
        <v>0.8</v>
      </c>
      <c r="BX505" s="448"/>
      <c r="BY505" s="448"/>
      <c r="BZ505" s="448"/>
      <c r="CA505" s="448"/>
      <c r="CB505" s="448"/>
      <c r="CC505" s="777"/>
      <c r="CD505" s="448"/>
      <c r="CE505" s="998">
        <f>IFERROR(WWWW[[#This Row],['#_Water sources passed]]/WWWW[[#This Row],['#_Water sources tested for fecal coliform ]],"no test")</f>
        <v>1</v>
      </c>
      <c r="CF505" s="996">
        <f>IFERROR(WWWW[[#This Row],['#_Household passed]]/WWWW[[#This Row],['#_Household water samples tested for fecal coliform]],"no test")</f>
        <v>0.9642857142857143</v>
      </c>
      <c r="CG505" s="997" t="str">
        <f>IF(AND(WWWW[[#This Row],[% of water sources passed]]="no test",WWWW[[#This Row],[% Household passed]]="no test"),"No Test","Tested")</f>
        <v>Tested</v>
      </c>
      <c r="CH505" s="997">
        <f>WWWW[[#This Row],['#_Constructed/existing protected hand dug well]]-WWWW[[#This Row],['#_Non-functional protected hand dug well]]</f>
        <v>1</v>
      </c>
      <c r="CI505" s="997">
        <f>(WWWW[[#This Row],['#_Constructed/Existing tube wells/boreholes/handpumps_WASH_agency]]+WWWW[[#This Row],['#_Non-Cluster partner water tube-wells/boreholes/handpumps]])-WWWW[[#This Row],['#_Non-functional tube wells/boreholes/handpumps]]</f>
        <v>0</v>
      </c>
      <c r="CJ505" s="997">
        <f>WWWW[[#This Row],['#_Constructed/Existingwater storage tank with gravity fed reticulation system]]-WWWW[[#This Row],['#_Non-functional storage tank gravity fed reticulation system]]</f>
        <v>0</v>
      </c>
      <c r="CK505" s="997">
        <f>(WWWW[[#This Row],['#_Water_Liters_supplied_by_Water boating or water trucking]]/90)/15</f>
        <v>0</v>
      </c>
      <c r="CL505" s="997">
        <f>WWWW[[#This Row],['#_Water_Liters_from_Constructed/Existing water distribution system from river or natural spring]]/90/15</f>
        <v>0</v>
      </c>
      <c r="CM505" s="424">
        <f>IF(WWWW[[#This Row],['#_of water points in TLS/CFS]]*500&gt;WWWW[[#This Row],[Total PoP ]],WWWW[[#This Row],[Total PoP ]],WWWW[[#This Row],['#_of water points in TLS/CFS]]*500)</f>
        <v>1500</v>
      </c>
      <c r="CN505" s="424">
        <f>IF(WWWW[[#This Row],['#_of water points in THF]]*500&gt;WWWW[[#This Row],[Total PoP ]],WWWW[[#This Row],[Total PoP ]],WWWW[[#This Row],['#_of water points in THF]]*500)</f>
        <v>0</v>
      </c>
      <c r="CO50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0.22573363431151242</v>
      </c>
      <c r="CP50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0.14108352144469527</v>
      </c>
      <c r="CQ505" s="996">
        <f>IF(WWWW[[#This Row],[Location Type 1]]="Village",WWWW[[#This Row],[Access to safe drinking water for Village]],WWWW[[#This Row],[Access to safe drinking water for Camp]])</f>
        <v>0.22573363431151242</v>
      </c>
      <c r="CR505" s="994">
        <f>WWWW[[#This Row],[%Equitable and continuous access to sufficient quantity of safe drinking water]]*WWWW[[#This Row],[Total PoP ]]</f>
        <v>400</v>
      </c>
      <c r="CS505" s="996">
        <f>IF((WWWW[[#This Row],['#_Constructed/Existing protected/fenced ponds]]*250)/WWWW[[#This Row],[Total PoP ]]&gt;1,1,(WWWW[[#This Row],['#_Constructed/Existing protected/fenced ponds]]*250)/WWWW[[#This Row],[Total PoP ]])</f>
        <v>0</v>
      </c>
      <c r="CT505" s="994">
        <f>WWWW[[#This Row],[% Access to unimproved water points]]*WWWW[[#This Row],[Total PoP ]]</f>
        <v>0</v>
      </c>
      <c r="CU50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0.22573363431151242</v>
      </c>
      <c r="CV50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505" s="994">
        <f>WWWW[[#This Row],[HRP1]]/500</f>
        <v>0.8</v>
      </c>
      <c r="CX505" s="999">
        <f>1-WWWW[[#This Row],[% Equitable and continuous access to sufficient quantity of domestic water]]</f>
        <v>0.77426636568848761</v>
      </c>
      <c r="CY505" s="994">
        <f>WWWW[[#This Row],[%equitable and continuous access to sufficient quantity of safe drinking and domestic water''s GAP]]*WWWW[[#This Row],[Total PoP ]]</f>
        <v>1372</v>
      </c>
      <c r="CZ505" s="997">
        <f>IF(WWWW[[#This Row],[Total required water points]]-WWWW[[#This Row],['#Water points coverage]]&lt;0,0,WWWW[[#This Row],[Total required water points]]-WWWW[[#This Row],['#Water points coverage]])</f>
        <v>3.2</v>
      </c>
      <c r="DA505" s="997">
        <f>ROUND(IF(WWWW[[#This Row],[Total PoP ]]&lt;500,1,WWWW[[#This Row],[Total PoP ]]/500),0)</f>
        <v>4</v>
      </c>
      <c r="DB505" s="997">
        <f>(WWWW[[#This Row],['#_Constructed latrines_by_WASHAgencies]]+WWWW[[#This Row],['#_Non Cluster partner latrines]])-WWWW[[#This Row],['#_Non-functional latrines]]</f>
        <v>119</v>
      </c>
      <c r="DC505" s="631">
        <f>WWWW[[#This Row],[HRP2]]/WWWW[[#This Row],[Total PoP ]]</f>
        <v>1</v>
      </c>
      <c r="DD50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1772</v>
      </c>
      <c r="DE50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820</v>
      </c>
      <c r="DF50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5" s="424">
        <f>IF(WWWW[[#This Row],['# of functional latrines in THF supported by WASH partners during the reporting period2]]="",0,WWWW[[#This Row],['# of functional latrines in THF supported by WASH partners during the reporting period2]]*50)</f>
        <v>0</v>
      </c>
      <c r="DH505" s="997">
        <f>ROUND(IF(WWWW[[#This Row],[Location Type 1]]="camp",WWWW[[#This Row],[Total PoP ]]/20,IF(WWWW[[#This Row],[Location Type 1]]="Temporary Location",WWWW[[#This Row],[Total PoP ]]/50,(WWWW[[#This Row],[Total PoP ]]/6))),0)</f>
        <v>89</v>
      </c>
      <c r="DI505" s="997">
        <f>IF(WWWW[[#This Row],[Total required Latrines]]-(WWWW[[#This Row],['#_Constructed latrines_by_WASHAgencies]]+WWWW[[#This Row],['#_Non Cluster partner latrines]])&lt;0,0,WWWW[[#This Row],[Total required Latrines]]-(WWWW[[#This Row],['#_Constructed latrines_by_WASHAgencies]]+WWWW[[#This Row],['#_Non Cluster partner latrines]]))</f>
        <v>0</v>
      </c>
      <c r="DJ505" s="999">
        <f>1-WWWW[[#This Row],[% people access to functioning Latrine]]</f>
        <v>0</v>
      </c>
      <c r="DK505" s="998">
        <f>IF(OR(WWWW[[#This Row],['#_Non-functional latrines]]="",WWWW[[#This Row],['#_Non-functional latrines]]=0),0,WWWW[[#This Row],['#_Non-functional latrines]]/(WWWW[[#This Row],['#_Constructed latrines_by_WASHAgencies]]+WWWW[[#This Row],['#_Non Cluster partner latrines]]))</f>
        <v>0</v>
      </c>
      <c r="DL505" s="994">
        <f>IF(500*(WWWW[[#This Row],['#_male hygiene promoters]]+WWWW[[#This Row],['#_female hygiene promoters]])&gt;WWWW[[#This Row],[Total PoP ]],WWWW[[#This Row],[Total PoP ]],500*(WWWW[[#This Row],['#_male hygiene promoters]]+WWWW[[#This Row],['#_female hygiene promoters]]))</f>
        <v>1772</v>
      </c>
      <c r="DM50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0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05" s="997">
        <f>IF(WWWW[[#This Row],['# People with access to soap]]&gt;WWWW[[#This Row],['# People with access to Sanity Pads]],WWWW[[#This Row],['# People with access to soap]],WWWW[[#This Row],['# People with access to Sanity Pads]])</f>
        <v>0</v>
      </c>
      <c r="DP505" s="997">
        <f>IF(WWWW[[#This Row],['# people reached by regular dedicated hygiene promotion_5]]&gt;WWWW[[#This Row],['# People received regular supply of hygiene items_6]],WWWW[[#This Row],['# people reached by regular dedicated hygiene promotion_5]],WWWW[[#This Row],['# People received regular supply of hygiene items_6]])</f>
        <v>1772</v>
      </c>
      <c r="DQ505" s="999">
        <f>IF(WWWW[[#This Row],[HRP3]]/WWWW[[#This Row],[Total PoP ]]&gt;1,1,WWWW[[#This Row],[HRP3]]/WWWW[[#This Row],[Total PoP ]])</f>
        <v>1</v>
      </c>
      <c r="DR505" s="998">
        <f>1-WWWW[[#This Row],[Hygiene Coverage%]]</f>
        <v>0</v>
      </c>
      <c r="DS505" s="996">
        <f>WWWW[[#This Row],['# people reached by regular dedicated hygiene promotion_5]]/WWWW[[#This Row],[Total PoP ]]</f>
        <v>1</v>
      </c>
      <c r="DT50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0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05" s="997">
        <f>WWWW[[#This Row],['#_Constructed/Existing hand washing stations]]-WWWW[[#This Row],['#_Non-Functional_hand_washing_stations]]</f>
        <v>55</v>
      </c>
      <c r="DW505" s="994">
        <f>IF(WWWW[[#This Row],['# Functional hand washing stations during reporting period]]*20&gt;WWWW[[#This Row],[Total HH]],WWWW[[#This Row],[Total HH]],WWWW[[#This Row],['# Functional hand washing stations during reporting period]]*20)</f>
        <v>365</v>
      </c>
      <c r="DX505" s="994">
        <f>IF(WWWW[[#This Row],[Is sufficient soap available for TLS? (Yes/No)]]="yes",WWWW[[#This Row],['#_Constructed/Existing hand washing stations at TLS/CFS/THF]],0)</f>
        <v>3</v>
      </c>
      <c r="DY505" s="428">
        <f>IF(WWWW[[#This Row],['# Functional hand washing stations during reporting period]]*100&gt;WWWW[[#This Row],[Total PoP ]],WWWW[[#This Row],[Total PoP ]],WWWW[[#This Row],['# Functional hand washing stations during reporting period]]*100)</f>
        <v>1772</v>
      </c>
      <c r="DZ505" s="428" t="str">
        <f>IF(OR(WWWW[[#This Row],['#_students at TLS_CFS]]="",WWWW[[#This Row],['#_students at TLS_CFS]]=0),"No","Yes")</f>
        <v>Yes</v>
      </c>
      <c r="EA505" s="631">
        <f>IF(WWWW[[#This Row],['#_of_affected_people_surveyed_who_report_feeling_informed_about_the_different_WASH_services_available_to_them]]="","",WWWW[[#This Row],['#_of_affected_people_surveyed_who_report_feeling_informed_about_the_different_WASH_services_available_to_them]]/WWWW[[#This Row],[Total PoP ]])</f>
        <v>1.1286681715575621E-2</v>
      </c>
      <c r="EB50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50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5" s="990" t="str">
        <f>VLOOKUP(WWWW[[#This Row],[Site Name]],SiteDB6[[Site Name]:[CCCM Management]],6,FALSE)</f>
        <v>Yes</v>
      </c>
      <c r="EF505" s="990" t="str">
        <f>VLOOKUP(WWWW[[#This Row],[Site Name]],SiteDB6[[Site Name]:[CCCM Focal Agency]],7,FALSE)</f>
        <v>KBC-BMO</v>
      </c>
      <c r="EG505" s="990" t="str">
        <f>VLOOKUP(WWWW[[#This Row],[Site Name]],SiteDB6[[Site Name]:[Location Type 1]],9,FALSE)</f>
        <v>Camp</v>
      </c>
      <c r="EH505" s="990" t="str">
        <f>VLOOKUP(WWWW[[#This Row],[Site Name]],SiteDB6[[Site Name]:[Type of Accommodation]],10,FALSE)</f>
        <v>Camp</v>
      </c>
      <c r="EI505" s="990" t="str">
        <f>VLOOKUP(WWWW[[#This Row],[Site Name]],SiteDB6[[Site Name]:[Ethnic or GCA/NGCA]],11,FALSE)</f>
        <v>GCA</v>
      </c>
      <c r="EJ505" s="990">
        <f>VLOOKUP(WWWW[[#This Row],[Site Name]],SiteDB6[[Site Name]:[Lat]],12,FALSE)</f>
        <v>23.972453000000002</v>
      </c>
      <c r="EK505" s="990">
        <f>VLOOKUP(WWWW[[#This Row],[Site Name]],SiteDB6[[Site Name]:[Long]],13,FALSE)</f>
        <v>97.225881000000001</v>
      </c>
      <c r="EL505" s="990" t="str">
        <f>VLOOKUP(WWWW[[#This Row],[Site Name]],SiteDB6[[Site Name]:[Pcode]],3,FALSE)</f>
        <v>MMR001CMP218</v>
      </c>
      <c r="EM505" s="995" t="str">
        <f t="shared" si="10"/>
        <v>Covered</v>
      </c>
      <c r="EN505" s="995"/>
      <c r="EO505" s="990">
        <f>VLOOKUP(WWWW[[#This Row],[Site Name]],SiteDB6[[Site Name]:[Pop
(Kachin/Shan-CCCM as of July 2021)]],16,FALSE)</f>
        <v>363</v>
      </c>
      <c r="EP505" s="990">
        <f>VLOOKUP(WWWW[[#This Row],[Site Name]],SiteDB6[[Site Name]:[Pop
(Kachin/Shan-CCCM as of July 2021)]],17,FALSE)</f>
        <v>1757</v>
      </c>
    </row>
    <row r="506" spans="1:146">
      <c r="A506" s="988" t="s">
        <v>2765</v>
      </c>
      <c r="B506" s="988" t="s">
        <v>36</v>
      </c>
      <c r="C506" s="989" t="s">
        <v>36</v>
      </c>
      <c r="D506" s="989" t="s">
        <v>241</v>
      </c>
      <c r="E506" s="989" t="s">
        <v>37</v>
      </c>
      <c r="F506" s="989" t="s">
        <v>38</v>
      </c>
      <c r="G506" s="591" t="str">
        <f>VLOOKUP(WWWW[[#This Row],[Site Name]],SiteDB6[[Site Name]:[Location Type]],8,FALSE)</f>
        <v>Camp</v>
      </c>
      <c r="H506" s="989" t="s">
        <v>39</v>
      </c>
      <c r="I506" s="991">
        <v>154</v>
      </c>
      <c r="J506" s="991">
        <v>694</v>
      </c>
      <c r="K506" s="992">
        <v>44414</v>
      </c>
      <c r="L506" s="993">
        <v>44778</v>
      </c>
      <c r="M506" s="991"/>
      <c r="N506" s="991">
        <v>5</v>
      </c>
      <c r="O506" s="991"/>
      <c r="P506" s="991"/>
      <c r="Q506" s="994" t="s">
        <v>41</v>
      </c>
      <c r="R506" s="991">
        <v>3</v>
      </c>
      <c r="S506" s="991">
        <v>4</v>
      </c>
      <c r="T506" s="448">
        <v>1</v>
      </c>
      <c r="U506" s="991"/>
      <c r="V506" s="991"/>
      <c r="W506" s="991">
        <v>3</v>
      </c>
      <c r="X506" s="991">
        <v>2</v>
      </c>
      <c r="Y506" s="991"/>
      <c r="Z506" s="991"/>
      <c r="AA506" s="991"/>
      <c r="AB506" s="991"/>
      <c r="AC506" s="991"/>
      <c r="AD506" s="991"/>
      <c r="AE506" s="991"/>
      <c r="AF506" s="991"/>
      <c r="AG506" s="991"/>
      <c r="AH506" s="991"/>
      <c r="AI506" s="991"/>
      <c r="AJ506" s="991"/>
      <c r="AK506" s="991"/>
      <c r="AL506" s="991"/>
      <c r="AM506" s="991"/>
      <c r="AN506" s="991"/>
      <c r="AO506" s="448"/>
      <c r="AP506" s="995"/>
      <c r="AQ506" s="991">
        <v>61</v>
      </c>
      <c r="AR506" s="991"/>
      <c r="AS506" s="996"/>
      <c r="AT506" s="991"/>
      <c r="AU506" s="991"/>
      <c r="AV506" s="991"/>
      <c r="AW506" s="991"/>
      <c r="AX506" s="991"/>
      <c r="AY506" s="990" t="s">
        <v>41</v>
      </c>
      <c r="AZ506" s="995" t="s">
        <v>137</v>
      </c>
      <c r="BA506" s="991"/>
      <c r="BB506" s="991"/>
      <c r="BC506" s="991"/>
      <c r="BD506" s="448"/>
      <c r="BE506" s="448"/>
      <c r="BF506" s="990"/>
      <c r="BG506" s="991">
        <v>10</v>
      </c>
      <c r="BH506" s="991"/>
      <c r="BI506" s="991"/>
      <c r="BJ506" s="991">
        <v>7</v>
      </c>
      <c r="BK506" s="991"/>
      <c r="BL506" s="991"/>
      <c r="BM506" s="991">
        <v>2</v>
      </c>
      <c r="BN506" s="991"/>
      <c r="BO506" s="991"/>
      <c r="BP506" s="990" t="s">
        <v>41</v>
      </c>
      <c r="BQ506" s="997"/>
      <c r="BR506" s="996"/>
      <c r="BS506" s="990"/>
      <c r="BT506" s="423"/>
      <c r="BU506" s="423"/>
      <c r="BV506" s="425"/>
      <c r="BW506" s="423"/>
      <c r="BX506" s="448"/>
      <c r="BY506" s="448"/>
      <c r="BZ506" s="448"/>
      <c r="CA506" s="448"/>
      <c r="CB506" s="448"/>
      <c r="CC506" s="777"/>
      <c r="CD506" s="448"/>
      <c r="CE506" s="998" t="str">
        <f>IFERROR(WWWW[[#This Row],['#_Water sources passed]]/WWWW[[#This Row],['#_Water sources tested for fecal coliform ]],"no test")</f>
        <v>no test</v>
      </c>
      <c r="CF506" s="996" t="str">
        <f>IFERROR(WWWW[[#This Row],['#_Household passed]]/WWWW[[#This Row],['#_Household water samples tested for fecal coliform]],"no test")</f>
        <v>no test</v>
      </c>
      <c r="CG506" s="997" t="str">
        <f>IF(AND(WWWW[[#This Row],[% of water sources passed]]="no test",WWWW[[#This Row],[% Household passed]]="no test"),"No Test","Tested")</f>
        <v>No Test</v>
      </c>
      <c r="CH506" s="997">
        <f>WWWW[[#This Row],['#_Constructed/existing protected hand dug well]]-WWWW[[#This Row],['#_Non-functional protected hand dug well]]</f>
        <v>1</v>
      </c>
      <c r="CI506" s="997">
        <f>(WWWW[[#This Row],['#_Constructed/Existing tube wells/boreholes/handpumps_WASH_agency]]+WWWW[[#This Row],['#_Non-Cluster partner water tube-wells/boreholes/handpumps]])-WWWW[[#This Row],['#_Non-functional tube wells/boreholes/handpumps]]</f>
        <v>5</v>
      </c>
      <c r="CJ506" s="997">
        <f>WWWW[[#This Row],['#_Constructed/Existingwater storage tank with gravity fed reticulation system]]-WWWW[[#This Row],['#_Non-functional storage tank gravity fed reticulation system]]</f>
        <v>0</v>
      </c>
      <c r="CK506" s="997">
        <f>(WWWW[[#This Row],['#_Water_Liters_supplied_by_Water boating or water trucking]]/90)/15</f>
        <v>0</v>
      </c>
      <c r="CL506" s="997">
        <f>WWWW[[#This Row],['#_Water_Liters_from_Constructed/Existing water distribution system from river or natural spring]]/90/15</f>
        <v>0</v>
      </c>
      <c r="CM506" s="424">
        <f>IF(WWWW[[#This Row],['#_of water points in TLS/CFS]]*500&gt;WWWW[[#This Row],[Total PoP ]],WWWW[[#This Row],[Total PoP ]],WWWW[[#This Row],['#_of water points in TLS/CFS]]*500)</f>
        <v>0</v>
      </c>
      <c r="CN506" s="424">
        <f>IF(WWWW[[#This Row],['#_of water points in THF]]*500&gt;WWWW[[#This Row],[Total PoP ]],WWWW[[#This Row],[Total PoP ]],WWWW[[#This Row],['#_of water points in THF]]*500)</f>
        <v>0</v>
      </c>
      <c r="CO50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0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06" s="996">
        <f>IF(WWWW[[#This Row],[Location Type 1]]="Village",WWWW[[#This Row],[Access to safe drinking water for Village]],WWWW[[#This Row],[Access to safe drinking water for Camp]])</f>
        <v>1</v>
      </c>
      <c r="CR506" s="994">
        <f>WWWW[[#This Row],[%Equitable and continuous access to sufficient quantity of safe drinking water]]*WWWW[[#This Row],[Total PoP ]]</f>
        <v>694</v>
      </c>
      <c r="CS506" s="996">
        <f>IF((WWWW[[#This Row],['#_Constructed/Existing protected/fenced ponds]]*250)/WWWW[[#This Row],[Total PoP ]]&gt;1,1,(WWWW[[#This Row],['#_Constructed/Existing protected/fenced ponds]]*250)/WWWW[[#This Row],[Total PoP ]])</f>
        <v>0</v>
      </c>
      <c r="CT506" s="994">
        <f>WWWW[[#This Row],[% Access to unimproved water points]]*WWWW[[#This Row],[Total PoP ]]</f>
        <v>0</v>
      </c>
      <c r="CU50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0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W506" s="994">
        <f>WWWW[[#This Row],[HRP1]]/500</f>
        <v>1.3879999999999999</v>
      </c>
      <c r="CX506" s="999">
        <f>1-WWWW[[#This Row],[% Equitable and continuous access to sufficient quantity of domestic water]]</f>
        <v>0</v>
      </c>
      <c r="CY506" s="994">
        <f>WWWW[[#This Row],[%equitable and continuous access to sufficient quantity of safe drinking and domestic water''s GAP]]*WWWW[[#This Row],[Total PoP ]]</f>
        <v>0</v>
      </c>
      <c r="CZ506" s="997">
        <f>IF(WWWW[[#This Row],[Total required water points]]-WWWW[[#This Row],['#Water points coverage]]&lt;0,0,WWWW[[#This Row],[Total required water points]]-WWWW[[#This Row],['#Water points coverage]])</f>
        <v>0</v>
      </c>
      <c r="DA506" s="997">
        <f>ROUND(IF(WWWW[[#This Row],[Total PoP ]]&lt;500,1,WWWW[[#This Row],[Total PoP ]]/500),0)</f>
        <v>1</v>
      </c>
      <c r="DB506" s="997">
        <f>(WWWW[[#This Row],['#_Constructed latrines_by_WASHAgencies]]+WWWW[[#This Row],['#_Non Cluster partner latrines]])-WWWW[[#This Row],['#_Non-functional latrines]]</f>
        <v>61</v>
      </c>
      <c r="DC506" s="631">
        <f>WWWW[[#This Row],[HRP2]]/WWWW[[#This Row],[Total PoP ]]</f>
        <v>1</v>
      </c>
      <c r="DD50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694</v>
      </c>
      <c r="DE50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0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6" s="424">
        <f>IF(WWWW[[#This Row],['# of functional latrines in THF supported by WASH partners during the reporting period2]]="",0,WWWW[[#This Row],['# of functional latrines in THF supported by WASH partners during the reporting period2]]*50)</f>
        <v>0</v>
      </c>
      <c r="DH506" s="997">
        <f>ROUND(IF(WWWW[[#This Row],[Location Type 1]]="camp",WWWW[[#This Row],[Total PoP ]]/20,IF(WWWW[[#This Row],[Location Type 1]]="Temporary Location",WWWW[[#This Row],[Total PoP ]]/50,(WWWW[[#This Row],[Total PoP ]]/6))),0)</f>
        <v>35</v>
      </c>
      <c r="DI506" s="997">
        <f>IF(WWWW[[#This Row],[Total required Latrines]]-(WWWW[[#This Row],['#_Constructed latrines_by_WASHAgencies]]+WWWW[[#This Row],['#_Non Cluster partner latrines]])&lt;0,0,WWWW[[#This Row],[Total required Latrines]]-(WWWW[[#This Row],['#_Constructed latrines_by_WASHAgencies]]+WWWW[[#This Row],['#_Non Cluster partner latrines]]))</f>
        <v>0</v>
      </c>
      <c r="DJ506" s="999">
        <f>1-WWWW[[#This Row],[% people access to functioning Latrine]]</f>
        <v>0</v>
      </c>
      <c r="DK506" s="998">
        <f>IF(OR(WWWW[[#This Row],['#_Non-functional latrines]]="",WWWW[[#This Row],['#_Non-functional latrines]]=0),0,WWWW[[#This Row],['#_Non-functional latrines]]/(WWWW[[#This Row],['#_Constructed latrines_by_WASHAgencies]]+WWWW[[#This Row],['#_Non Cluster partner latrines]]))</f>
        <v>0</v>
      </c>
      <c r="DL506" s="994">
        <f>IF(500*(WWWW[[#This Row],['#_male hygiene promoters]]+WWWW[[#This Row],['#_female hygiene promoters]])&gt;WWWW[[#This Row],[Total PoP ]],WWWW[[#This Row],[Total PoP ]],500*(WWWW[[#This Row],['#_male hygiene promoters]]+WWWW[[#This Row],['#_female hygiene promoters]]))</f>
        <v>694</v>
      </c>
      <c r="DM50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0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06" s="997">
        <f>IF(WWWW[[#This Row],['# People with access to soap]]&gt;WWWW[[#This Row],['# People with access to Sanity Pads]],WWWW[[#This Row],['# People with access to soap]],WWWW[[#This Row],['# People with access to Sanity Pads]])</f>
        <v>0</v>
      </c>
      <c r="DP506" s="997">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Q506" s="999">
        <f>IF(WWWW[[#This Row],[HRP3]]/WWWW[[#This Row],[Total PoP ]]&gt;1,1,WWWW[[#This Row],[HRP3]]/WWWW[[#This Row],[Total PoP ]])</f>
        <v>1</v>
      </c>
      <c r="DR506" s="998">
        <f>1-WWWW[[#This Row],[Hygiene Coverage%]]</f>
        <v>0</v>
      </c>
      <c r="DS506" s="996">
        <f>WWWW[[#This Row],['# people reached by regular dedicated hygiene promotion_5]]/WWWW[[#This Row],[Total PoP ]]</f>
        <v>1</v>
      </c>
      <c r="DT50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0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06" s="997">
        <f>WWWW[[#This Row],['#_Constructed/Existing hand washing stations]]-WWWW[[#This Row],['#_Non-Functional_hand_washing_stations]]</f>
        <v>10</v>
      </c>
      <c r="DW506" s="994">
        <f>IF(WWWW[[#This Row],['# Functional hand washing stations during reporting period]]*20&gt;WWWW[[#This Row],[Total HH]],WWWW[[#This Row],[Total HH]],WWWW[[#This Row],['# Functional hand washing stations during reporting period]]*20)</f>
        <v>154</v>
      </c>
      <c r="DX506" s="994">
        <f>IF(WWWW[[#This Row],[Is sufficient soap available for TLS? (Yes/No)]]="yes",WWWW[[#This Row],['#_Constructed/Existing hand washing stations at TLS/CFS/THF]],0)</f>
        <v>0</v>
      </c>
      <c r="DY506" s="428">
        <f>IF(WWWW[[#This Row],['# Functional hand washing stations during reporting period]]*100&gt;WWWW[[#This Row],[Total PoP ]],WWWW[[#This Row],[Total PoP ]],WWWW[[#This Row],['# Functional hand washing stations during reporting period]]*100)</f>
        <v>694</v>
      </c>
      <c r="DZ506" s="428" t="str">
        <f>IF(OR(WWWW[[#This Row],['#_students at TLS_CFS]]="",WWWW[[#This Row],['#_students at TLS_CFS]]=0),"No","Yes")</f>
        <v>No</v>
      </c>
      <c r="EA50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0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6" s="990" t="str">
        <f>VLOOKUP(WWWW[[#This Row],[Site Name]],SiteDB6[[Site Name]:[CCCM Management]],6,FALSE)</f>
        <v>Yes</v>
      </c>
      <c r="EF506" s="990" t="str">
        <f>VLOOKUP(WWWW[[#This Row],[Site Name]],SiteDB6[[Site Name]:[CCCM Focal Agency]],7,FALSE)</f>
        <v>KMSS-BMO</v>
      </c>
      <c r="EG506" s="990" t="str">
        <f>VLOOKUP(WWWW[[#This Row],[Site Name]],SiteDB6[[Site Name]:[Location Type 1]],9,FALSE)</f>
        <v>Camp</v>
      </c>
      <c r="EH506" s="990" t="str">
        <f>VLOOKUP(WWWW[[#This Row],[Site Name]],SiteDB6[[Site Name]:[Type of Accommodation]],10,FALSE)</f>
        <v>Camp</v>
      </c>
      <c r="EI506" s="990" t="str">
        <f>VLOOKUP(WWWW[[#This Row],[Site Name]],SiteDB6[[Site Name]:[Ethnic or GCA/NGCA]],11,FALSE)</f>
        <v>GCA</v>
      </c>
      <c r="EJ506" s="990">
        <f>VLOOKUP(WWWW[[#This Row],[Site Name]],SiteDB6[[Site Name]:[Lat]],12,FALSE)</f>
        <v>23.976571</v>
      </c>
      <c r="EK506" s="990">
        <f>VLOOKUP(WWWW[[#This Row],[Site Name]],SiteDB6[[Site Name]:[Long]],13,FALSE)</f>
        <v>97.227057000000002</v>
      </c>
      <c r="EL506" s="990" t="str">
        <f>VLOOKUP(WWWW[[#This Row],[Site Name]],SiteDB6[[Site Name]:[Pcode]],3,FALSE)</f>
        <v>MMR001CMP223</v>
      </c>
      <c r="EM506" s="995" t="str">
        <f t="shared" si="10"/>
        <v>Covered</v>
      </c>
      <c r="EN506" s="995"/>
      <c r="EO506" s="990">
        <f>VLOOKUP(WWWW[[#This Row],[Site Name]],SiteDB6[[Site Name]:[Pop
(Kachin/Shan-CCCM as of July 2021)]],16,FALSE)</f>
        <v>151</v>
      </c>
      <c r="EP506" s="990">
        <f>VLOOKUP(WWWW[[#This Row],[Site Name]],SiteDB6[[Site Name]:[Pop
(Kachin/Shan-CCCM as of July 2021)]],17,FALSE)</f>
        <v>732</v>
      </c>
    </row>
    <row r="507" spans="1:146">
      <c r="A507" s="1041" t="s">
        <v>2765</v>
      </c>
      <c r="B507" s="1041" t="s">
        <v>2730</v>
      </c>
      <c r="C507" s="1042" t="s">
        <v>2730</v>
      </c>
      <c r="D507" s="1042" t="s">
        <v>2731</v>
      </c>
      <c r="E507" s="1042" t="s">
        <v>37</v>
      </c>
      <c r="F507" s="1042" t="s">
        <v>38</v>
      </c>
      <c r="G507" s="1043" t="str">
        <f>VLOOKUP(WWWW[[#This Row],[Site Name]],SiteDB6[[Site Name]:[Location Type]],8,FALSE)</f>
        <v>Camp</v>
      </c>
      <c r="H507" s="1042" t="s">
        <v>302</v>
      </c>
      <c r="I507" s="991">
        <v>142</v>
      </c>
      <c r="J507" s="991">
        <v>737</v>
      </c>
      <c r="K507" s="992">
        <v>44511</v>
      </c>
      <c r="L507" s="993">
        <v>44875</v>
      </c>
      <c r="M507" s="991"/>
      <c r="N507" s="991">
        <v>3</v>
      </c>
      <c r="O507" s="991"/>
      <c r="P507" s="991"/>
      <c r="Q507" s="994" t="s">
        <v>41</v>
      </c>
      <c r="R507" s="991">
        <v>3</v>
      </c>
      <c r="S507" s="991">
        <v>4</v>
      </c>
      <c r="T507" s="448">
        <v>1</v>
      </c>
      <c r="U507" s="991"/>
      <c r="V507" s="991"/>
      <c r="W507" s="991"/>
      <c r="X507" s="991">
        <v>1</v>
      </c>
      <c r="Y507" s="991"/>
      <c r="Z507" s="991"/>
      <c r="AA507" s="991">
        <v>1</v>
      </c>
      <c r="AB507" s="991"/>
      <c r="AC507" s="991"/>
      <c r="AD507" s="991"/>
      <c r="AE507" s="991"/>
      <c r="AF507" s="991"/>
      <c r="AG507" s="991"/>
      <c r="AH507" s="991"/>
      <c r="AI507" s="991"/>
      <c r="AJ507" s="991"/>
      <c r="AK507" s="991"/>
      <c r="AL507" s="991"/>
      <c r="AM507" s="991"/>
      <c r="AN507" s="991"/>
      <c r="AO507" s="448"/>
      <c r="AP507" s="995"/>
      <c r="AQ507" s="991">
        <v>48</v>
      </c>
      <c r="AR507" s="991"/>
      <c r="AS507" s="996"/>
      <c r="AT507" s="991"/>
      <c r="AU507" s="991"/>
      <c r="AV507" s="991"/>
      <c r="AW507" s="991"/>
      <c r="AX507" s="991"/>
      <c r="AY507" s="990" t="s">
        <v>140</v>
      </c>
      <c r="AZ507" s="995" t="s">
        <v>140</v>
      </c>
      <c r="BA507" s="991"/>
      <c r="BB507" s="991"/>
      <c r="BC507" s="991"/>
      <c r="BD507" s="448"/>
      <c r="BE507" s="448"/>
      <c r="BF507" s="990"/>
      <c r="BG507" s="991">
        <v>1</v>
      </c>
      <c r="BH507" s="991"/>
      <c r="BI507" s="991"/>
      <c r="BJ507" s="991">
        <v>1</v>
      </c>
      <c r="BK507" s="991"/>
      <c r="BL507" s="991"/>
      <c r="BM507" s="991">
        <v>2</v>
      </c>
      <c r="BN507" s="991"/>
      <c r="BO507" s="991"/>
      <c r="BP507" s="990" t="s">
        <v>41</v>
      </c>
      <c r="BQ507" s="997"/>
      <c r="BR507" s="996">
        <v>1</v>
      </c>
      <c r="BS507" s="990"/>
      <c r="BT507" s="423"/>
      <c r="BU507" s="423"/>
      <c r="BV507" s="425"/>
      <c r="BW507" s="423"/>
      <c r="BX507" s="448"/>
      <c r="BY507" s="448"/>
      <c r="BZ507" s="448"/>
      <c r="CA507" s="448"/>
      <c r="CB507" s="448"/>
      <c r="CC507" s="777"/>
      <c r="CD507" s="448"/>
      <c r="CE507" s="998" t="str">
        <f>IFERROR(WWWW[[#This Row],['#_Water sources passed]]/WWWW[[#This Row],['#_Water sources tested for fecal coliform ]],"no test")</f>
        <v>no test</v>
      </c>
      <c r="CF507" s="996" t="str">
        <f>IFERROR(WWWW[[#This Row],['#_Household passed]]/WWWW[[#This Row],['#_Household water samples tested for fecal coliform]],"no test")</f>
        <v>no test</v>
      </c>
      <c r="CG507" s="997" t="str">
        <f>IF(AND(WWWW[[#This Row],[% of water sources passed]]="no test",WWWW[[#This Row],[% Household passed]]="no test"),"No Test","Tested")</f>
        <v>No Test</v>
      </c>
      <c r="CH507" s="997">
        <f>WWWW[[#This Row],['#_Constructed/existing protected hand dug well]]-WWWW[[#This Row],['#_Non-functional protected hand dug well]]</f>
        <v>1</v>
      </c>
      <c r="CI507" s="997">
        <f>(WWWW[[#This Row],['#_Constructed/Existing tube wells/boreholes/handpumps_WASH_agency]]+WWWW[[#This Row],['#_Non-Cluster partner water tube-wells/boreholes/handpumps]])-WWWW[[#This Row],['#_Non-functional tube wells/boreholes/handpumps]]</f>
        <v>1</v>
      </c>
      <c r="CJ507" s="997">
        <f>WWWW[[#This Row],['#_Constructed/Existingwater storage tank with gravity fed reticulation system]]-WWWW[[#This Row],['#_Non-functional storage tank gravity fed reticulation system]]</f>
        <v>1</v>
      </c>
      <c r="CK507" s="997">
        <f>(WWWW[[#This Row],['#_Water_Liters_supplied_by_Water boating or water trucking]]/90)/15</f>
        <v>0</v>
      </c>
      <c r="CL507" s="997">
        <f>WWWW[[#This Row],['#_Water_Liters_from_Constructed/Existing water distribution system from river or natural spring]]/90/15</f>
        <v>0</v>
      </c>
      <c r="CM507" s="424">
        <f>IF(WWWW[[#This Row],['#_of water points in TLS/CFS]]*500&gt;WWWW[[#This Row],[Total PoP ]],WWWW[[#This Row],[Total PoP ]],WWWW[[#This Row],['#_of water points in TLS/CFS]]*500)</f>
        <v>0</v>
      </c>
      <c r="CN507" s="424">
        <f>IF(WWWW[[#This Row],['#_of water points in THF]]*500&gt;WWWW[[#This Row],[Total PoP ]],WWWW[[#This Row],[Total PoP ]],WWWW[[#This Row],['#_of water points in THF]]*500)</f>
        <v>0</v>
      </c>
      <c r="CO50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0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0.76888285843509718</v>
      </c>
      <c r="CQ507" s="996">
        <f>IF(WWWW[[#This Row],[Location Type 1]]="Village",WWWW[[#This Row],[Access to safe drinking water for Village]],WWWW[[#This Row],[Access to safe drinking water for Camp]])</f>
        <v>1</v>
      </c>
      <c r="CR507" s="994">
        <f>WWWW[[#This Row],[%Equitable and continuous access to sufficient quantity of safe drinking water]]*WWWW[[#This Row],[Total PoP ]]</f>
        <v>737</v>
      </c>
      <c r="CS507" s="996">
        <f>IF((WWWW[[#This Row],['#_Constructed/Existing protected/fenced ponds]]*250)/WWWW[[#This Row],[Total PoP ]]&gt;1,1,(WWWW[[#This Row],['#_Constructed/Existing protected/fenced ponds]]*250)/WWWW[[#This Row],[Total PoP ]])</f>
        <v>0</v>
      </c>
      <c r="CT507" s="994">
        <f>WWWW[[#This Row],[% Access to unimproved water points]]*WWWW[[#This Row],[Total PoP ]]</f>
        <v>0</v>
      </c>
      <c r="CU50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0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737</v>
      </c>
      <c r="CW507" s="994">
        <f>WWWW[[#This Row],[HRP1]]/500</f>
        <v>1.474</v>
      </c>
      <c r="CX507" s="999">
        <f>1-WWWW[[#This Row],[% Equitable and continuous access to sufficient quantity of domestic water]]</f>
        <v>0</v>
      </c>
      <c r="CY507" s="994">
        <f>WWWW[[#This Row],[%equitable and continuous access to sufficient quantity of safe drinking and domestic water''s GAP]]*WWWW[[#This Row],[Total PoP ]]</f>
        <v>0</v>
      </c>
      <c r="CZ507" s="997">
        <f>IF(WWWW[[#This Row],[Total required water points]]-WWWW[[#This Row],['#Water points coverage]]&lt;0,0,WWWW[[#This Row],[Total required water points]]-WWWW[[#This Row],['#Water points coverage]])</f>
        <v>0</v>
      </c>
      <c r="DA507" s="997">
        <f>ROUND(IF(WWWW[[#This Row],[Total PoP ]]&lt;500,1,WWWW[[#This Row],[Total PoP ]]/500),0)</f>
        <v>1</v>
      </c>
      <c r="DB507" s="997">
        <f>(WWWW[[#This Row],['#_Constructed latrines_by_WASHAgencies]]+WWWW[[#This Row],['#_Non Cluster partner latrines]])-WWWW[[#This Row],['#_Non-functional latrines]]</f>
        <v>48</v>
      </c>
      <c r="DC507" s="631">
        <f>WWWW[[#This Row],[HRP2]]/WWWW[[#This Row],[Total PoP ]]</f>
        <v>1</v>
      </c>
      <c r="DD50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737</v>
      </c>
      <c r="DE50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0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7" s="424">
        <f>IF(WWWW[[#This Row],['# of functional latrines in THF supported by WASH partners during the reporting period2]]="",0,WWWW[[#This Row],['# of functional latrines in THF supported by WASH partners during the reporting period2]]*50)</f>
        <v>0</v>
      </c>
      <c r="DH507" s="997">
        <f>ROUND(IF(WWWW[[#This Row],[Location Type 1]]="camp",WWWW[[#This Row],[Total PoP ]]/20,IF(WWWW[[#This Row],[Location Type 1]]="Temporary Location",WWWW[[#This Row],[Total PoP ]]/50,(WWWW[[#This Row],[Total PoP ]]/6))),0)</f>
        <v>37</v>
      </c>
      <c r="DI507" s="997">
        <f>IF(WWWW[[#This Row],[Total required Latrines]]-(WWWW[[#This Row],['#_Constructed latrines_by_WASHAgencies]]+WWWW[[#This Row],['#_Non Cluster partner latrines]])&lt;0,0,WWWW[[#This Row],[Total required Latrines]]-(WWWW[[#This Row],['#_Constructed latrines_by_WASHAgencies]]+WWWW[[#This Row],['#_Non Cluster partner latrines]]))</f>
        <v>0</v>
      </c>
      <c r="DJ507" s="999">
        <f>1-WWWW[[#This Row],[% people access to functioning Latrine]]</f>
        <v>0</v>
      </c>
      <c r="DK507" s="998">
        <f>IF(OR(WWWW[[#This Row],['#_Non-functional latrines]]="",WWWW[[#This Row],['#_Non-functional latrines]]=0),0,WWWW[[#This Row],['#_Non-functional latrines]]/(WWWW[[#This Row],['#_Constructed latrines_by_WASHAgencies]]+WWWW[[#This Row],['#_Non Cluster partner latrines]]))</f>
        <v>0</v>
      </c>
      <c r="DL507" s="994">
        <f>IF(500*(WWWW[[#This Row],['#_male hygiene promoters]]+WWWW[[#This Row],['#_female hygiene promoters]])&gt;WWWW[[#This Row],[Total PoP ]],WWWW[[#This Row],[Total PoP ]],500*(WWWW[[#This Row],['#_male hygiene promoters]]+WWWW[[#This Row],['#_female hygiene promoters]]))</f>
        <v>737</v>
      </c>
      <c r="DM50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0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07" s="997">
        <f>IF(WWWW[[#This Row],['# People with access to soap]]&gt;WWWW[[#This Row],['# People with access to Sanity Pads]],WWWW[[#This Row],['# People with access to soap]],WWWW[[#This Row],['# People with access to Sanity Pads]])</f>
        <v>0</v>
      </c>
      <c r="DP507" s="997">
        <f>IF(WWWW[[#This Row],['# people reached by regular dedicated hygiene promotion_5]]&gt;WWWW[[#This Row],['# People received regular supply of hygiene items_6]],WWWW[[#This Row],['# people reached by regular dedicated hygiene promotion_5]],WWWW[[#This Row],['# People received regular supply of hygiene items_6]])</f>
        <v>737</v>
      </c>
      <c r="DQ507" s="999">
        <f>IF(WWWW[[#This Row],[HRP3]]/WWWW[[#This Row],[Total PoP ]]&gt;1,1,WWWW[[#This Row],[HRP3]]/WWWW[[#This Row],[Total PoP ]])</f>
        <v>1</v>
      </c>
      <c r="DR507" s="998">
        <f>1-WWWW[[#This Row],[Hygiene Coverage%]]</f>
        <v>0</v>
      </c>
      <c r="DS507" s="996">
        <f>WWWW[[#This Row],['# people reached by regular dedicated hygiene promotion_5]]/WWWW[[#This Row],[Total PoP ]]</f>
        <v>1</v>
      </c>
      <c r="DT50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0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07" s="997">
        <f>WWWW[[#This Row],['#_Constructed/Existing hand washing stations]]-WWWW[[#This Row],['#_Non-Functional_hand_washing_stations]]</f>
        <v>1</v>
      </c>
      <c r="DW507" s="994">
        <f>IF(WWWW[[#This Row],['# Functional hand washing stations during reporting period]]*20&gt;WWWW[[#This Row],[Total HH]],WWWW[[#This Row],[Total HH]],WWWW[[#This Row],['# Functional hand washing stations during reporting period]]*20)</f>
        <v>20</v>
      </c>
      <c r="DX507" s="994">
        <f>IF(WWWW[[#This Row],[Is sufficient soap available for TLS? (Yes/No)]]="yes",WWWW[[#This Row],['#_Constructed/Existing hand washing stations at TLS/CFS/THF]],0)</f>
        <v>0</v>
      </c>
      <c r="DY507" s="428">
        <f>IF(WWWW[[#This Row],['# Functional hand washing stations during reporting period]]*100&gt;WWWW[[#This Row],[Total PoP ]],WWWW[[#This Row],[Total PoP ]],WWWW[[#This Row],['# Functional hand washing stations during reporting period]]*100)</f>
        <v>100</v>
      </c>
      <c r="DZ507" s="428" t="str">
        <f>IF(OR(WWWW[[#This Row],['#_students at TLS_CFS]]="",WWWW[[#This Row],['#_students at TLS_CFS]]=0),"No","Yes")</f>
        <v>No</v>
      </c>
      <c r="EA50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0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7" s="990" t="str">
        <f>VLOOKUP(WWWW[[#This Row],[Site Name]],SiteDB6[[Site Name]:[CCCM Management]],6,FALSE)</f>
        <v>Yes</v>
      </c>
      <c r="EF507" s="990" t="str">
        <f>VLOOKUP(WWWW[[#This Row],[Site Name]],SiteDB6[[Site Name]:[CCCM Focal Agency]],7,FALSE)</f>
        <v>KMSS-BMO</v>
      </c>
      <c r="EG507" s="990" t="str">
        <f>VLOOKUP(WWWW[[#This Row],[Site Name]],SiteDB6[[Site Name]:[Location Type 1]],9,FALSE)</f>
        <v>Camp</v>
      </c>
      <c r="EH507" s="990" t="str">
        <f>VLOOKUP(WWWW[[#This Row],[Site Name]],SiteDB6[[Site Name]:[Type of Accommodation]],10,FALSE)</f>
        <v>Camp</v>
      </c>
      <c r="EI507" s="990" t="str">
        <f>VLOOKUP(WWWW[[#This Row],[Site Name]],SiteDB6[[Site Name]:[Ethnic or GCA/NGCA]],11,FALSE)</f>
        <v>GCA</v>
      </c>
      <c r="EJ507" s="990">
        <f>VLOOKUP(WWWW[[#This Row],[Site Name]],SiteDB6[[Site Name]:[Lat]],12,FALSE)</f>
        <v>23.833477999999999</v>
      </c>
      <c r="EK507" s="990">
        <f>VLOOKUP(WWWW[[#This Row],[Site Name]],SiteDB6[[Site Name]:[Long]],13,FALSE)</f>
        <v>97.578367</v>
      </c>
      <c r="EL507" s="990" t="str">
        <f>VLOOKUP(WWWW[[#This Row],[Site Name]],SiteDB6[[Site Name]:[Pcode]],3,FALSE)</f>
        <v>MMR001CMP228</v>
      </c>
      <c r="EM507" s="995" t="str">
        <f t="shared" si="10"/>
        <v>Covered</v>
      </c>
      <c r="EN507" s="995"/>
      <c r="EO507" s="990">
        <f>VLOOKUP(WWWW[[#This Row],[Site Name]],SiteDB6[[Site Name]:[Pop
(Kachin/Shan-CCCM as of July 2021)]],16,FALSE)</f>
        <v>142</v>
      </c>
      <c r="EP507" s="990">
        <f>VLOOKUP(WWWW[[#This Row],[Site Name]],SiteDB6[[Site Name]:[Pop
(Kachin/Shan-CCCM as of July 2021)]],17,FALSE)</f>
        <v>830</v>
      </c>
    </row>
    <row r="508" spans="1:146">
      <c r="A508" s="988" t="s">
        <v>2765</v>
      </c>
      <c r="B508" s="988" t="s">
        <v>242</v>
      </c>
      <c r="C508" s="989" t="s">
        <v>242</v>
      </c>
      <c r="D508" s="989" t="s">
        <v>299</v>
      </c>
      <c r="E508" s="989" t="s">
        <v>37</v>
      </c>
      <c r="F508" s="989" t="s">
        <v>148</v>
      </c>
      <c r="G508" s="591" t="str">
        <f>VLOOKUP(WWWW[[#This Row],[Site Name]],SiteDB6[[Site Name]:[Location Type]],8,FALSE)</f>
        <v>Camp</v>
      </c>
      <c r="H508" s="989" t="s">
        <v>254</v>
      </c>
      <c r="I508" s="448">
        <v>100</v>
      </c>
      <c r="J508" s="448">
        <v>504</v>
      </c>
      <c r="K508" s="588">
        <v>44562</v>
      </c>
      <c r="L508" s="589">
        <v>44926</v>
      </c>
      <c r="M508" s="448"/>
      <c r="N508" s="448"/>
      <c r="O508" s="448"/>
      <c r="P508" s="448"/>
      <c r="Q508" s="717" t="s">
        <v>41</v>
      </c>
      <c r="R508" s="448">
        <v>7</v>
      </c>
      <c r="S508" s="448">
        <v>2</v>
      </c>
      <c r="T508" s="448"/>
      <c r="U508" s="991"/>
      <c r="V508" s="991"/>
      <c r="W508" s="991"/>
      <c r="X508" s="991"/>
      <c r="Y508" s="991"/>
      <c r="Z508" s="991"/>
      <c r="AA508" s="991">
        <v>3</v>
      </c>
      <c r="AB508" s="991"/>
      <c r="AC508" s="991"/>
      <c r="AD508" s="991"/>
      <c r="AE508" s="991">
        <v>1</v>
      </c>
      <c r="AF508" s="448">
        <v>67500</v>
      </c>
      <c r="AG508" s="448">
        <v>5</v>
      </c>
      <c r="AH508" s="991"/>
      <c r="AI508" s="991"/>
      <c r="AJ508" s="991"/>
      <c r="AK508" s="991"/>
      <c r="AL508" s="991"/>
      <c r="AM508" s="991"/>
      <c r="AN508" s="991"/>
      <c r="AO508" s="448"/>
      <c r="AP508" s="995"/>
      <c r="AQ508" s="991">
        <v>14</v>
      </c>
      <c r="AR508" s="991"/>
      <c r="AS508" s="996"/>
      <c r="AT508" s="448">
        <v>14</v>
      </c>
      <c r="AU508" s="448"/>
      <c r="AV508" s="448">
        <v>2</v>
      </c>
      <c r="AW508" s="448">
        <v>300</v>
      </c>
      <c r="AX508" s="991"/>
      <c r="AY508" s="990" t="s">
        <v>41</v>
      </c>
      <c r="AZ508" s="995" t="s">
        <v>137</v>
      </c>
      <c r="BA508" s="991"/>
      <c r="BB508" s="991"/>
      <c r="BC508" s="991"/>
      <c r="BD508" s="448"/>
      <c r="BE508" s="448"/>
      <c r="BF508" s="990"/>
      <c r="BG508" s="991">
        <v>4</v>
      </c>
      <c r="BH508" s="991"/>
      <c r="BI508" s="991"/>
      <c r="BJ508" s="991">
        <v>2</v>
      </c>
      <c r="BK508" s="991"/>
      <c r="BL508" s="448">
        <v>5</v>
      </c>
      <c r="BM508" s="448">
        <v>10</v>
      </c>
      <c r="BN508" s="991"/>
      <c r="BO508" s="991"/>
      <c r="BP508" s="990" t="s">
        <v>136</v>
      </c>
      <c r="BQ508" s="424">
        <v>3</v>
      </c>
      <c r="BR508" s="423">
        <v>0.5</v>
      </c>
      <c r="BS508" s="990"/>
      <c r="BT508" s="423">
        <v>1</v>
      </c>
      <c r="BU508" s="423">
        <v>1</v>
      </c>
      <c r="BV508" s="425">
        <v>10</v>
      </c>
      <c r="BW508" s="423">
        <v>1</v>
      </c>
      <c r="BX508" s="448"/>
      <c r="BY508" s="448"/>
      <c r="BZ508" s="448"/>
      <c r="CA508" s="448"/>
      <c r="CB508" s="448"/>
      <c r="CC508" s="777"/>
      <c r="CD508" s="448"/>
      <c r="CE508" s="998" t="str">
        <f>IFERROR(WWWW[[#This Row],['#_Water sources passed]]/WWWW[[#This Row],['#_Water sources tested for fecal coliform ]],"no test")</f>
        <v>no test</v>
      </c>
      <c r="CF508" s="996" t="str">
        <f>IFERROR(WWWW[[#This Row],['#_Household passed]]/WWWW[[#This Row],['#_Household water samples tested for fecal coliform]],"no test")</f>
        <v>no test</v>
      </c>
      <c r="CG508" s="997" t="str">
        <f>IF(AND(WWWW[[#This Row],[% of water sources passed]]="no test",WWWW[[#This Row],[% Household passed]]="no test"),"No Test","Tested")</f>
        <v>No Test</v>
      </c>
      <c r="CH508" s="997">
        <f>WWWW[[#This Row],['#_Constructed/existing protected hand dug well]]-WWWW[[#This Row],['#_Non-functional protected hand dug well]]</f>
        <v>0</v>
      </c>
      <c r="CI508" s="997">
        <f>(WWWW[[#This Row],['#_Constructed/Existing tube wells/boreholes/handpumps_WASH_agency]]+WWWW[[#This Row],['#_Non-Cluster partner water tube-wells/boreholes/handpumps]])-WWWW[[#This Row],['#_Non-functional tube wells/boreholes/handpumps]]</f>
        <v>0</v>
      </c>
      <c r="CJ508" s="997">
        <f>WWWW[[#This Row],['#_Constructed/Existingwater storage tank with gravity fed reticulation system]]-WWWW[[#This Row],['#_Non-functional storage tank gravity fed reticulation system]]</f>
        <v>3</v>
      </c>
      <c r="CK508" s="997">
        <f>(WWWW[[#This Row],['#_Water_Liters_supplied_by_Water boating or water trucking]]/90)/15</f>
        <v>0</v>
      </c>
      <c r="CL508" s="997">
        <f>WWWW[[#This Row],['#_Water_Liters_from_Constructed/Existing water distribution system from river or natural spring]]/90/15</f>
        <v>50</v>
      </c>
      <c r="CM508" s="424">
        <f>IF(WWWW[[#This Row],['#_of water points in TLS/CFS]]*500&gt;WWWW[[#This Row],[Total PoP ]],WWWW[[#This Row],[Total PoP ]],WWWW[[#This Row],['#_of water points in TLS/CFS]]*500)</f>
        <v>0</v>
      </c>
      <c r="CN508" s="424">
        <f>IF(WWWW[[#This Row],['#_of water points in THF]]*500&gt;WWWW[[#This Row],[Total PoP ]],WWWW[[#This Row],[Total PoP ]],WWWW[[#This Row],['#_of water points in THF]]*500)</f>
        <v>0</v>
      </c>
      <c r="CO50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0.49603174603174605</v>
      </c>
      <c r="CP50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0.49603174603174605</v>
      </c>
      <c r="CQ508" s="996">
        <f>IF(WWWW[[#This Row],[Location Type 1]]="Village",WWWW[[#This Row],[Access to safe drinking water for Village]],WWWW[[#This Row],[Access to safe drinking water for Camp]])</f>
        <v>0.49603174603174605</v>
      </c>
      <c r="CR508" s="994">
        <f>WWWW[[#This Row],[%Equitable and continuous access to sufficient quantity of safe drinking water]]*WWWW[[#This Row],[Total PoP ]]</f>
        <v>250</v>
      </c>
      <c r="CS508" s="996">
        <f>IF((WWWW[[#This Row],['#_Constructed/Existing protected/fenced ponds]]*250)/WWWW[[#This Row],[Total PoP ]]&gt;1,1,(WWWW[[#This Row],['#_Constructed/Existing protected/fenced ponds]]*250)/WWWW[[#This Row],[Total PoP ]])</f>
        <v>0.49603174603174605</v>
      </c>
      <c r="CT508" s="994">
        <f>WWWW[[#This Row],[% Access to unimproved water points]]*WWWW[[#This Row],[Total PoP ]]</f>
        <v>250</v>
      </c>
      <c r="CU50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0.99206349206349209</v>
      </c>
      <c r="CV50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508" s="994">
        <f>WWWW[[#This Row],[HRP1]]/500</f>
        <v>1</v>
      </c>
      <c r="CX508" s="999">
        <f>1-WWWW[[#This Row],[% Equitable and continuous access to sufficient quantity of domestic water]]</f>
        <v>7.9365079365079083E-3</v>
      </c>
      <c r="CY508" s="994">
        <f>WWWW[[#This Row],[%equitable and continuous access to sufficient quantity of safe drinking and domestic water''s GAP]]*WWWW[[#This Row],[Total PoP ]]</f>
        <v>3.9999999999999858</v>
      </c>
      <c r="CZ508" s="997">
        <f>IF(WWWW[[#This Row],[Total required water points]]-WWWW[[#This Row],['#Water points coverage]]&lt;0,0,WWWW[[#This Row],[Total required water points]]-WWWW[[#This Row],['#Water points coverage]])</f>
        <v>0</v>
      </c>
      <c r="DA508" s="997">
        <f>ROUND(IF(WWWW[[#This Row],[Total PoP ]]&lt;500,1,WWWW[[#This Row],[Total PoP ]]/500),0)</f>
        <v>1</v>
      </c>
      <c r="DB508" s="997">
        <f>(WWWW[[#This Row],['#_Constructed latrines_by_WASHAgencies]]+WWWW[[#This Row],['#_Non Cluster partner latrines]])-WWWW[[#This Row],['#_Non-functional latrines]]</f>
        <v>0</v>
      </c>
      <c r="DC508" s="631">
        <f>WWWW[[#This Row],[HRP2]]/WWWW[[#This Row],[Total PoP ]]</f>
        <v>0</v>
      </c>
      <c r="DD50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0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F50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8" s="424">
        <f>IF(WWWW[[#This Row],['# of functional latrines in THF supported by WASH partners during the reporting period2]]="",0,WWWW[[#This Row],['# of functional latrines in THF supported by WASH partners during the reporting period2]]*50)</f>
        <v>0</v>
      </c>
      <c r="DH508" s="997">
        <f>ROUND(IF(WWWW[[#This Row],[Location Type 1]]="camp",WWWW[[#This Row],[Total PoP ]]/20,IF(WWWW[[#This Row],[Location Type 1]]="Temporary Location",WWWW[[#This Row],[Total PoP ]]/50,(WWWW[[#This Row],[Total PoP ]]/6))),0)</f>
        <v>25</v>
      </c>
      <c r="DI508" s="997">
        <f>IF(WWWW[[#This Row],[Total required Latrines]]-(WWWW[[#This Row],['#_Constructed latrines_by_WASHAgencies]]+WWWW[[#This Row],['#_Non Cluster partner latrines]])&lt;0,0,WWWW[[#This Row],[Total required Latrines]]-(WWWW[[#This Row],['#_Constructed latrines_by_WASHAgencies]]+WWWW[[#This Row],['#_Non Cluster partner latrines]]))</f>
        <v>11</v>
      </c>
      <c r="DJ508" s="999">
        <f>1-WWWW[[#This Row],[% people access to functioning Latrine]]</f>
        <v>1</v>
      </c>
      <c r="DK508" s="998">
        <f>IF(OR(WWWW[[#This Row],['#_Non-functional latrines]]="",WWWW[[#This Row],['#_Non-functional latrines]]=0),0,WWWW[[#This Row],['#_Non-functional latrines]]/(WWWW[[#This Row],['#_Constructed latrines_by_WASHAgencies]]+WWWW[[#This Row],['#_Non Cluster partner latrines]]))</f>
        <v>1</v>
      </c>
      <c r="DL508" s="994">
        <f>IF(500*(WWWW[[#This Row],['#_male hygiene promoters]]+WWWW[[#This Row],['#_female hygiene promoters]])&gt;WWWW[[#This Row],[Total PoP ]],WWWW[[#This Row],[Total PoP ]],500*(WWWW[[#This Row],['#_male hygiene promoters]]+WWWW[[#This Row],['#_female hygiene promoters]]))</f>
        <v>504</v>
      </c>
      <c r="DM50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0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08" s="997">
        <f>IF(WWWW[[#This Row],['# People with access to soap]]&gt;WWWW[[#This Row],['# People with access to Sanity Pads]],WWWW[[#This Row],['# People with access to soap]],WWWW[[#This Row],['# People with access to Sanity Pads]])</f>
        <v>0</v>
      </c>
      <c r="DP508" s="997">
        <f>IF(WWWW[[#This Row],['# people reached by regular dedicated hygiene promotion_5]]&gt;WWWW[[#This Row],['# People received regular supply of hygiene items_6]],WWWW[[#This Row],['# people reached by regular dedicated hygiene promotion_5]],WWWW[[#This Row],['# People received regular supply of hygiene items_6]])</f>
        <v>504</v>
      </c>
      <c r="DQ508" s="999">
        <f>IF(WWWW[[#This Row],[HRP3]]/WWWW[[#This Row],[Total PoP ]]&gt;1,1,WWWW[[#This Row],[HRP3]]/WWWW[[#This Row],[Total PoP ]])</f>
        <v>1</v>
      </c>
      <c r="DR508" s="998">
        <f>1-WWWW[[#This Row],[Hygiene Coverage%]]</f>
        <v>0</v>
      </c>
      <c r="DS508" s="996">
        <f>WWWW[[#This Row],['# people reached by regular dedicated hygiene promotion_5]]/WWWW[[#This Row],[Total PoP ]]</f>
        <v>1</v>
      </c>
      <c r="DT50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0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08" s="997">
        <f>WWWW[[#This Row],['#_Constructed/Existing hand washing stations]]-WWWW[[#This Row],['#_Non-Functional_hand_washing_stations]]</f>
        <v>4</v>
      </c>
      <c r="DW508" s="994">
        <f>IF(WWWW[[#This Row],['# Functional hand washing stations during reporting period]]*20&gt;WWWW[[#This Row],[Total HH]],WWWW[[#This Row],[Total HH]],WWWW[[#This Row],['# Functional hand washing stations during reporting period]]*20)</f>
        <v>80</v>
      </c>
      <c r="DX508" s="994">
        <f>IF(WWWW[[#This Row],[Is sufficient soap available for TLS? (Yes/No)]]="yes",WWWW[[#This Row],['#_Constructed/Existing hand washing stations at TLS/CFS/THF]],0)</f>
        <v>0</v>
      </c>
      <c r="DY508" s="428">
        <f>IF(WWWW[[#This Row],['# Functional hand washing stations during reporting period]]*100&gt;WWWW[[#This Row],[Total PoP ]],WWWW[[#This Row],[Total PoP ]],WWWW[[#This Row],['# Functional hand washing stations during reporting period]]*100)</f>
        <v>400</v>
      </c>
      <c r="DZ508" s="428" t="str">
        <f>IF(OR(WWWW[[#This Row],['#_students at TLS_CFS]]="",WWWW[[#This Row],['#_students at TLS_CFS]]=0),"No","Yes")</f>
        <v>No</v>
      </c>
      <c r="EA508" s="631">
        <f>IF(WWWW[[#This Row],['#_of_affected_people_surveyed_who_report_feeling_informed_about_the_different_WASH_services_available_to_them]]="","",WWWW[[#This Row],['#_of_affected_people_surveyed_who_report_feeling_informed_about_the_different_WASH_services_available_to_them]]/WWWW[[#This Row],[Total PoP ]])</f>
        <v>1.984126984126984E-2</v>
      </c>
      <c r="EB50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8" s="990" t="str">
        <f>VLOOKUP(WWWW[[#This Row],[Site Name]],SiteDB6[[Site Name]:[CCCM Management]],6,FALSE)</f>
        <v>Yes</v>
      </c>
      <c r="EF508" s="990" t="str">
        <f>VLOOKUP(WWWW[[#This Row],[Site Name]],SiteDB6[[Site Name]:[CCCM Focal Agency]],7,FALSE)</f>
        <v>KBC-MYT</v>
      </c>
      <c r="EG508" s="990" t="str">
        <f>VLOOKUP(WWWW[[#This Row],[Site Name]],SiteDB6[[Site Name]:[Location Type 1]],9,FALSE)</f>
        <v>Camp</v>
      </c>
      <c r="EH508" s="990" t="str">
        <f>VLOOKUP(WWWW[[#This Row],[Site Name]],SiteDB6[[Site Name]:[Type of Accommodation]],10,FALSE)</f>
        <v>Camp</v>
      </c>
      <c r="EI508" s="990" t="str">
        <f>VLOOKUP(WWWW[[#This Row],[Site Name]],SiteDB6[[Site Name]:[Ethnic or GCA/NGCA]],11,FALSE)</f>
        <v>GCA</v>
      </c>
      <c r="EJ508" s="990">
        <f>VLOOKUP(WWWW[[#This Row],[Site Name]],SiteDB6[[Site Name]:[Lat]],12,FALSE)</f>
        <v>25.611160000000002</v>
      </c>
      <c r="EK508" s="990">
        <f>VLOOKUP(WWWW[[#This Row],[Site Name]],SiteDB6[[Site Name]:[Long]],13,FALSE)</f>
        <v>96.312790000000007</v>
      </c>
      <c r="EL508" s="990" t="str">
        <f>VLOOKUP(WWWW[[#This Row],[Site Name]],SiteDB6[[Site Name]:[Pcode]],3,FALSE)</f>
        <v>MMR001CMP229</v>
      </c>
      <c r="EM508" s="995" t="str">
        <f t="shared" si="10"/>
        <v>Covered</v>
      </c>
      <c r="EN508" s="995"/>
      <c r="EO508" s="990">
        <f>VLOOKUP(WWWW[[#This Row],[Site Name]],SiteDB6[[Site Name]:[Pop
(Kachin/Shan-CCCM as of July 2021)]],16,FALSE)</f>
        <v>97</v>
      </c>
      <c r="EP508" s="990">
        <f>VLOOKUP(WWWW[[#This Row],[Site Name]],SiteDB6[[Site Name]:[Pop
(Kachin/Shan-CCCM as of July 2021)]],17,FALSE)</f>
        <v>484</v>
      </c>
    </row>
    <row r="509" spans="1:146">
      <c r="A509" s="1041" t="s">
        <v>2765</v>
      </c>
      <c r="B509" s="1041" t="s">
        <v>2730</v>
      </c>
      <c r="C509" s="1042" t="s">
        <v>2730</v>
      </c>
      <c r="D509" s="1042" t="s">
        <v>2731</v>
      </c>
      <c r="E509" s="1042" t="s">
        <v>37</v>
      </c>
      <c r="F509" s="1042" t="s">
        <v>38</v>
      </c>
      <c r="G509" s="1043" t="str">
        <f>VLOOKUP(WWWW[[#This Row],[Site Name]],SiteDB6[[Site Name]:[Location Type]],8,FALSE)</f>
        <v>Camp</v>
      </c>
      <c r="H509" s="1042" t="s">
        <v>300</v>
      </c>
      <c r="I509" s="991">
        <v>119</v>
      </c>
      <c r="J509" s="991">
        <v>538</v>
      </c>
      <c r="K509" s="800" t="s">
        <v>3175</v>
      </c>
      <c r="L509" s="56" t="s">
        <v>3176</v>
      </c>
      <c r="M509" s="991"/>
      <c r="N509" s="991">
        <v>2</v>
      </c>
      <c r="O509" s="991"/>
      <c r="P509" s="991"/>
      <c r="Q509" s="994" t="s">
        <v>41</v>
      </c>
      <c r="R509" s="991">
        <v>3</v>
      </c>
      <c r="S509" s="991">
        <v>4</v>
      </c>
      <c r="T509" s="448">
        <v>3</v>
      </c>
      <c r="U509" s="991"/>
      <c r="V509" s="991"/>
      <c r="W509" s="991"/>
      <c r="X509" s="991">
        <v>2</v>
      </c>
      <c r="Y509" s="991"/>
      <c r="Z509" s="991"/>
      <c r="AA509" s="991">
        <v>1</v>
      </c>
      <c r="AB509" s="991"/>
      <c r="AC509" s="991"/>
      <c r="AD509" s="991"/>
      <c r="AE509" s="991"/>
      <c r="AF509" s="991"/>
      <c r="AG509" s="991"/>
      <c r="AH509" s="991"/>
      <c r="AI509" s="991"/>
      <c r="AJ509" s="991"/>
      <c r="AK509" s="991"/>
      <c r="AL509" s="991"/>
      <c r="AM509" s="991"/>
      <c r="AN509" s="991"/>
      <c r="AO509" s="448"/>
      <c r="AP509" s="995"/>
      <c r="AQ509" s="991">
        <v>29</v>
      </c>
      <c r="AR509" s="991"/>
      <c r="AS509" s="996"/>
      <c r="AT509" s="991"/>
      <c r="AU509" s="991"/>
      <c r="AV509" s="991"/>
      <c r="AW509" s="991">
        <v>2</v>
      </c>
      <c r="AX509" s="991"/>
      <c r="AY509" s="990" t="s">
        <v>140</v>
      </c>
      <c r="AZ509" s="995" t="s">
        <v>140</v>
      </c>
      <c r="BA509" s="991"/>
      <c r="BB509" s="991"/>
      <c r="BC509" s="991"/>
      <c r="BD509" s="448"/>
      <c r="BE509" s="448"/>
      <c r="BF509" s="990"/>
      <c r="BG509" s="991">
        <v>3</v>
      </c>
      <c r="BH509" s="991"/>
      <c r="BI509" s="991"/>
      <c r="BJ509" s="991">
        <v>2</v>
      </c>
      <c r="BK509" s="991"/>
      <c r="BL509" s="991"/>
      <c r="BM509" s="991">
        <v>2</v>
      </c>
      <c r="BN509" s="991"/>
      <c r="BO509" s="991"/>
      <c r="BP509" s="990" t="s">
        <v>41</v>
      </c>
      <c r="BQ509" s="997"/>
      <c r="BR509" s="996">
        <v>1</v>
      </c>
      <c r="BS509" s="990"/>
      <c r="BT509" s="423"/>
      <c r="BU509" s="423"/>
      <c r="BV509" s="425"/>
      <c r="BW509" s="423"/>
      <c r="BX509" s="448"/>
      <c r="BY509" s="448"/>
      <c r="BZ509" s="448"/>
      <c r="CA509" s="448"/>
      <c r="CB509" s="448"/>
      <c r="CC509" s="777"/>
      <c r="CD509" s="448"/>
      <c r="CE509" s="998" t="str">
        <f>IFERROR(WWWW[[#This Row],['#_Water sources passed]]/WWWW[[#This Row],['#_Water sources tested for fecal coliform ]],"no test")</f>
        <v>no test</v>
      </c>
      <c r="CF509" s="996" t="str">
        <f>IFERROR(WWWW[[#This Row],['#_Household passed]]/WWWW[[#This Row],['#_Household water samples tested for fecal coliform]],"no test")</f>
        <v>no test</v>
      </c>
      <c r="CG509" s="997" t="str">
        <f>IF(AND(WWWW[[#This Row],[% of water sources passed]]="no test",WWWW[[#This Row],[% Household passed]]="no test"),"No Test","Tested")</f>
        <v>No Test</v>
      </c>
      <c r="CH509" s="997">
        <f>WWWW[[#This Row],['#_Constructed/existing protected hand dug well]]-WWWW[[#This Row],['#_Non-functional protected hand dug well]]</f>
        <v>3</v>
      </c>
      <c r="CI509" s="997">
        <f>(WWWW[[#This Row],['#_Constructed/Existing tube wells/boreholes/handpumps_WASH_agency]]+WWWW[[#This Row],['#_Non-Cluster partner water tube-wells/boreholes/handpumps]])-WWWW[[#This Row],['#_Non-functional tube wells/boreholes/handpumps]]</f>
        <v>2</v>
      </c>
      <c r="CJ509" s="997">
        <f>WWWW[[#This Row],['#_Constructed/Existingwater storage tank with gravity fed reticulation system]]-WWWW[[#This Row],['#_Non-functional storage tank gravity fed reticulation system]]</f>
        <v>1</v>
      </c>
      <c r="CK509" s="997">
        <f>(WWWW[[#This Row],['#_Water_Liters_supplied_by_Water boating or water trucking]]/90)/15</f>
        <v>0</v>
      </c>
      <c r="CL509" s="997">
        <f>WWWW[[#This Row],['#_Water_Liters_from_Constructed/Existing water distribution system from river or natural spring]]/90/15</f>
        <v>0</v>
      </c>
      <c r="CM509" s="424">
        <f>IF(WWWW[[#This Row],['#_of water points in TLS/CFS]]*500&gt;WWWW[[#This Row],[Total PoP ]],WWWW[[#This Row],[Total PoP ]],WWWW[[#This Row],['#_of water points in TLS/CFS]]*500)</f>
        <v>0</v>
      </c>
      <c r="CN509" s="424">
        <f>IF(WWWW[[#This Row],['#_of water points in THF]]*500&gt;WWWW[[#This Row],[Total PoP ]],WWWW[[#This Row],[Total PoP ]],WWWW[[#This Row],['#_of water points in THF]]*500)</f>
        <v>0</v>
      </c>
      <c r="CO50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0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09" s="996">
        <f>IF(WWWW[[#This Row],[Location Type 1]]="Village",WWWW[[#This Row],[Access to safe drinking water for Village]],WWWW[[#This Row],[Access to safe drinking water for Camp]])</f>
        <v>1</v>
      </c>
      <c r="CR509" s="994">
        <f>WWWW[[#This Row],[%Equitable and continuous access to sufficient quantity of safe drinking water]]*WWWW[[#This Row],[Total PoP ]]</f>
        <v>538</v>
      </c>
      <c r="CS509" s="996">
        <f>IF((WWWW[[#This Row],['#_Constructed/Existing protected/fenced ponds]]*250)/WWWW[[#This Row],[Total PoP ]]&gt;1,1,(WWWW[[#This Row],['#_Constructed/Existing protected/fenced ponds]]*250)/WWWW[[#This Row],[Total PoP ]])</f>
        <v>0</v>
      </c>
      <c r="CT509" s="994">
        <f>WWWW[[#This Row],[% Access to unimproved water points]]*WWWW[[#This Row],[Total PoP ]]</f>
        <v>0</v>
      </c>
      <c r="CU50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0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538</v>
      </c>
      <c r="CW509" s="994">
        <f>WWWW[[#This Row],[HRP1]]/500</f>
        <v>1.0760000000000001</v>
      </c>
      <c r="CX509" s="999">
        <f>1-WWWW[[#This Row],[% Equitable and continuous access to sufficient quantity of domestic water]]</f>
        <v>0</v>
      </c>
      <c r="CY509" s="994">
        <f>WWWW[[#This Row],[%equitable and continuous access to sufficient quantity of safe drinking and domestic water''s GAP]]*WWWW[[#This Row],[Total PoP ]]</f>
        <v>0</v>
      </c>
      <c r="CZ509" s="997">
        <f>IF(WWWW[[#This Row],[Total required water points]]-WWWW[[#This Row],['#Water points coverage]]&lt;0,0,WWWW[[#This Row],[Total required water points]]-WWWW[[#This Row],['#Water points coverage]])</f>
        <v>0</v>
      </c>
      <c r="DA509" s="997">
        <f>ROUND(IF(WWWW[[#This Row],[Total PoP ]]&lt;500,1,WWWW[[#This Row],[Total PoP ]]/500),0)</f>
        <v>1</v>
      </c>
      <c r="DB509" s="997">
        <f>(WWWW[[#This Row],['#_Constructed latrines_by_WASHAgencies]]+WWWW[[#This Row],['#_Non Cluster partner latrines]])-WWWW[[#This Row],['#_Non-functional latrines]]</f>
        <v>29</v>
      </c>
      <c r="DC509" s="631">
        <f>WWWW[[#This Row],[HRP2]]/WWWW[[#This Row],[Total PoP ]]</f>
        <v>1</v>
      </c>
      <c r="DD50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538</v>
      </c>
      <c r="DE50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0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9" s="424">
        <f>IF(WWWW[[#This Row],['# of functional latrines in THF supported by WASH partners during the reporting period2]]="",0,WWWW[[#This Row],['# of functional latrines in THF supported by WASH partners during the reporting period2]]*50)</f>
        <v>0</v>
      </c>
      <c r="DH509" s="997">
        <f>ROUND(IF(WWWW[[#This Row],[Location Type 1]]="camp",WWWW[[#This Row],[Total PoP ]]/20,IF(WWWW[[#This Row],[Location Type 1]]="Temporary Location",WWWW[[#This Row],[Total PoP ]]/50,(WWWW[[#This Row],[Total PoP ]]/6))),0)</f>
        <v>27</v>
      </c>
      <c r="DI509" s="997">
        <f>IF(WWWW[[#This Row],[Total required Latrines]]-(WWWW[[#This Row],['#_Constructed latrines_by_WASHAgencies]]+WWWW[[#This Row],['#_Non Cluster partner latrines]])&lt;0,0,WWWW[[#This Row],[Total required Latrines]]-(WWWW[[#This Row],['#_Constructed latrines_by_WASHAgencies]]+WWWW[[#This Row],['#_Non Cluster partner latrines]]))</f>
        <v>0</v>
      </c>
      <c r="DJ509" s="999">
        <f>1-WWWW[[#This Row],[% people access to functioning Latrine]]</f>
        <v>0</v>
      </c>
      <c r="DK509" s="998">
        <f>IF(OR(WWWW[[#This Row],['#_Non-functional latrines]]="",WWWW[[#This Row],['#_Non-functional latrines]]=0),0,WWWW[[#This Row],['#_Non-functional latrines]]/(WWWW[[#This Row],['#_Constructed latrines_by_WASHAgencies]]+WWWW[[#This Row],['#_Non Cluster partner latrines]]))</f>
        <v>0</v>
      </c>
      <c r="DL509" s="994">
        <f>IF(500*(WWWW[[#This Row],['#_male hygiene promoters]]+WWWW[[#This Row],['#_female hygiene promoters]])&gt;WWWW[[#This Row],[Total PoP ]],WWWW[[#This Row],[Total PoP ]],500*(WWWW[[#This Row],['#_male hygiene promoters]]+WWWW[[#This Row],['#_female hygiene promoters]]))</f>
        <v>538</v>
      </c>
      <c r="DM50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0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09" s="997">
        <f>IF(WWWW[[#This Row],['# People with access to soap]]&gt;WWWW[[#This Row],['# People with access to Sanity Pads]],WWWW[[#This Row],['# People with access to soap]],WWWW[[#This Row],['# People with access to Sanity Pads]])</f>
        <v>0</v>
      </c>
      <c r="DP509" s="997">
        <f>IF(WWWW[[#This Row],['# people reached by regular dedicated hygiene promotion_5]]&gt;WWWW[[#This Row],['# People received regular supply of hygiene items_6]],WWWW[[#This Row],['# people reached by regular dedicated hygiene promotion_5]],WWWW[[#This Row],['# People received regular supply of hygiene items_6]])</f>
        <v>538</v>
      </c>
      <c r="DQ509" s="999">
        <f>IF(WWWW[[#This Row],[HRP3]]/WWWW[[#This Row],[Total PoP ]]&gt;1,1,WWWW[[#This Row],[HRP3]]/WWWW[[#This Row],[Total PoP ]])</f>
        <v>1</v>
      </c>
      <c r="DR509" s="998">
        <f>1-WWWW[[#This Row],[Hygiene Coverage%]]</f>
        <v>0</v>
      </c>
      <c r="DS509" s="996">
        <f>WWWW[[#This Row],['# people reached by regular dedicated hygiene promotion_5]]/WWWW[[#This Row],[Total PoP ]]</f>
        <v>1</v>
      </c>
      <c r="DT50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0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09" s="997">
        <f>WWWW[[#This Row],['#_Constructed/Existing hand washing stations]]-WWWW[[#This Row],['#_Non-Functional_hand_washing_stations]]</f>
        <v>3</v>
      </c>
      <c r="DW509" s="994">
        <f>IF(WWWW[[#This Row],['# Functional hand washing stations during reporting period]]*20&gt;WWWW[[#This Row],[Total HH]],WWWW[[#This Row],[Total HH]],WWWW[[#This Row],['# Functional hand washing stations during reporting period]]*20)</f>
        <v>60</v>
      </c>
      <c r="DX509" s="994">
        <f>IF(WWWW[[#This Row],[Is sufficient soap available for TLS? (Yes/No)]]="yes",WWWW[[#This Row],['#_Constructed/Existing hand washing stations at TLS/CFS/THF]],0)</f>
        <v>0</v>
      </c>
      <c r="DY509" s="428">
        <f>IF(WWWW[[#This Row],['# Functional hand washing stations during reporting period]]*100&gt;WWWW[[#This Row],[Total PoP ]],WWWW[[#This Row],[Total PoP ]],WWWW[[#This Row],['# Functional hand washing stations during reporting period]]*100)</f>
        <v>300</v>
      </c>
      <c r="DZ509" s="428" t="str">
        <f>IF(OR(WWWW[[#This Row],['#_students at TLS_CFS]]="",WWWW[[#This Row],['#_students at TLS_CFS]]=0),"No","Yes")</f>
        <v>No</v>
      </c>
      <c r="EA50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0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9" s="990" t="str">
        <f>VLOOKUP(WWWW[[#This Row],[Site Name]],SiteDB6[[Site Name]:[CCCM Management]],6,FALSE)</f>
        <v>Yes</v>
      </c>
      <c r="EF509" s="990" t="str">
        <f>VLOOKUP(WWWW[[#This Row],[Site Name]],SiteDB6[[Site Name]:[CCCM Focal Agency]],7,FALSE)</f>
        <v>KBC-NSS</v>
      </c>
      <c r="EG509" s="990" t="str">
        <f>VLOOKUP(WWWW[[#This Row],[Site Name]],SiteDB6[[Site Name]:[Location Type 1]],9,FALSE)</f>
        <v>Camp</v>
      </c>
      <c r="EH509" s="990" t="str">
        <f>VLOOKUP(WWWW[[#This Row],[Site Name]],SiteDB6[[Site Name]:[Type of Accommodation]],10,FALSE)</f>
        <v>Camp</v>
      </c>
      <c r="EI509" s="990" t="str">
        <f>VLOOKUP(WWWW[[#This Row],[Site Name]],SiteDB6[[Site Name]:[Ethnic or GCA/NGCA]],11,FALSE)</f>
        <v>GCA</v>
      </c>
      <c r="EJ509" s="990">
        <f>VLOOKUP(WWWW[[#This Row],[Site Name]],SiteDB6[[Site Name]:[Lat]],12,FALSE)</f>
        <v>23.829599000000002</v>
      </c>
      <c r="EK509" s="990">
        <f>VLOOKUP(WWWW[[#This Row],[Site Name]],SiteDB6[[Site Name]:[Long]],13,FALSE)</f>
        <v>97.590767</v>
      </c>
      <c r="EL509" s="990" t="str">
        <f>VLOOKUP(WWWW[[#This Row],[Site Name]],SiteDB6[[Site Name]:[Pcode]],3,FALSE)</f>
        <v>MMR001CMP230</v>
      </c>
      <c r="EM509" s="995" t="str">
        <f t="shared" si="10"/>
        <v>Covered</v>
      </c>
      <c r="EN509" s="995"/>
      <c r="EO509" s="990">
        <f>VLOOKUP(WWWW[[#This Row],[Site Name]],SiteDB6[[Site Name]:[Pop
(Kachin/Shan-CCCM as of July 2021)]],16,FALSE)</f>
        <v>155</v>
      </c>
      <c r="EP509" s="990">
        <f>VLOOKUP(WWWW[[#This Row],[Site Name]],SiteDB6[[Site Name]:[Pop
(Kachin/Shan-CCCM as of July 2021)]],17,FALSE)</f>
        <v>677</v>
      </c>
    </row>
    <row r="510" spans="1:146">
      <c r="A510" s="988" t="s">
        <v>2765</v>
      </c>
      <c r="B510" s="988" t="s">
        <v>309</v>
      </c>
      <c r="C510" s="989" t="s">
        <v>309</v>
      </c>
      <c r="D510" s="989"/>
      <c r="E510" s="989" t="s">
        <v>37</v>
      </c>
      <c r="F510" s="989" t="s">
        <v>157</v>
      </c>
      <c r="G510" s="591" t="str">
        <f>VLOOKUP(WWWW[[#This Row],[Site Name]],SiteDB6[[Site Name]:[Location Type]],8,FALSE)</f>
        <v>Camp</v>
      </c>
      <c r="H510" s="989" t="s">
        <v>3026</v>
      </c>
      <c r="I510" s="991">
        <v>27</v>
      </c>
      <c r="J510" s="991">
        <v>126</v>
      </c>
      <c r="K510" s="992"/>
      <c r="L510" s="993"/>
      <c r="M510" s="991"/>
      <c r="N510" s="991"/>
      <c r="O510" s="991"/>
      <c r="P510" s="991"/>
      <c r="Q510" s="994"/>
      <c r="R510" s="991"/>
      <c r="S510" s="991"/>
      <c r="T510" s="448"/>
      <c r="U510" s="991"/>
      <c r="V510" s="991"/>
      <c r="W510" s="991"/>
      <c r="X510" s="991"/>
      <c r="Y510" s="991"/>
      <c r="Z510" s="991"/>
      <c r="AA510" s="991"/>
      <c r="AB510" s="991"/>
      <c r="AC510" s="991"/>
      <c r="AD510" s="991"/>
      <c r="AE510" s="991"/>
      <c r="AF510" s="991"/>
      <c r="AG510" s="991"/>
      <c r="AH510" s="991"/>
      <c r="AI510" s="991"/>
      <c r="AJ510" s="991"/>
      <c r="AK510" s="991"/>
      <c r="AL510" s="991"/>
      <c r="AM510" s="991"/>
      <c r="AN510" s="991"/>
      <c r="AO510" s="448"/>
      <c r="AP510" s="995"/>
      <c r="AQ510" s="991"/>
      <c r="AR510" s="991"/>
      <c r="AS510" s="996"/>
      <c r="AT510" s="991"/>
      <c r="AU510" s="991"/>
      <c r="AV510" s="991"/>
      <c r="AW510" s="991"/>
      <c r="AX510" s="991"/>
      <c r="AY510" s="990" t="s">
        <v>140</v>
      </c>
      <c r="AZ510" s="995" t="s">
        <v>140</v>
      </c>
      <c r="BA510" s="991"/>
      <c r="BB510" s="991"/>
      <c r="BC510" s="991"/>
      <c r="BD510" s="448"/>
      <c r="BE510" s="448"/>
      <c r="BF510" s="990"/>
      <c r="BG510" s="991">
        <v>8</v>
      </c>
      <c r="BH510" s="991"/>
      <c r="BI510" s="991"/>
      <c r="BJ510" s="991">
        <v>3</v>
      </c>
      <c r="BK510" s="991"/>
      <c r="BL510" s="991"/>
      <c r="BM510" s="991"/>
      <c r="BN510" s="991"/>
      <c r="BO510" s="991"/>
      <c r="BP510" s="990"/>
      <c r="BQ510" s="997"/>
      <c r="BR510" s="996"/>
      <c r="BS510" s="990"/>
      <c r="BT510" s="423"/>
      <c r="BU510" s="423"/>
      <c r="BV510" s="425"/>
      <c r="BW510" s="423"/>
      <c r="BX510" s="448"/>
      <c r="BY510" s="448"/>
      <c r="BZ510" s="448"/>
      <c r="CA510" s="448"/>
      <c r="CB510" s="448"/>
      <c r="CC510" s="777"/>
      <c r="CD510" s="448"/>
      <c r="CE510" s="998" t="str">
        <f>IFERROR(WWWW[[#This Row],['#_Water sources passed]]/WWWW[[#This Row],['#_Water sources tested for fecal coliform ]],"no test")</f>
        <v>no test</v>
      </c>
      <c r="CF510" s="996" t="str">
        <f>IFERROR(WWWW[[#This Row],['#_Household passed]]/WWWW[[#This Row],['#_Household water samples tested for fecal coliform]],"no test")</f>
        <v>no test</v>
      </c>
      <c r="CG510" s="997" t="str">
        <f>IF(AND(WWWW[[#This Row],[% of water sources passed]]="no test",WWWW[[#This Row],[% Household passed]]="no test"),"No Test","Tested")</f>
        <v>No Test</v>
      </c>
      <c r="CH510" s="997">
        <f>WWWW[[#This Row],['#_Constructed/existing protected hand dug well]]-WWWW[[#This Row],['#_Non-functional protected hand dug well]]</f>
        <v>0</v>
      </c>
      <c r="CI510" s="997">
        <f>(WWWW[[#This Row],['#_Constructed/Existing tube wells/boreholes/handpumps_WASH_agency]]+WWWW[[#This Row],['#_Non-Cluster partner water tube-wells/boreholes/handpumps]])-WWWW[[#This Row],['#_Non-functional tube wells/boreholes/handpumps]]</f>
        <v>0</v>
      </c>
      <c r="CJ510" s="997">
        <f>WWWW[[#This Row],['#_Constructed/Existingwater storage tank with gravity fed reticulation system]]-WWWW[[#This Row],['#_Non-functional storage tank gravity fed reticulation system]]</f>
        <v>0</v>
      </c>
      <c r="CK510" s="997">
        <f>(WWWW[[#This Row],['#_Water_Liters_supplied_by_Water boating or water trucking]]/90)/15</f>
        <v>0</v>
      </c>
      <c r="CL510" s="997">
        <f>WWWW[[#This Row],['#_Water_Liters_from_Constructed/Existing water distribution system from river or natural spring]]/90/15</f>
        <v>0</v>
      </c>
      <c r="CM510" s="424">
        <f>IF(WWWW[[#This Row],['#_of water points in TLS/CFS]]*500&gt;WWWW[[#This Row],[Total PoP ]],WWWW[[#This Row],[Total PoP ]],WWWW[[#This Row],['#_of water points in TLS/CFS]]*500)</f>
        <v>0</v>
      </c>
      <c r="CN510" s="424">
        <f>IF(WWWW[[#This Row],['#_of water points in THF]]*500&gt;WWWW[[#This Row],[Total PoP ]],WWWW[[#This Row],[Total PoP ]],WWWW[[#This Row],['#_of water points in THF]]*500)</f>
        <v>0</v>
      </c>
      <c r="CO51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1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10" s="996">
        <f>IF(WWWW[[#This Row],[Location Type 1]]="Village",WWWW[[#This Row],[Access to safe drinking water for Village]],WWWW[[#This Row],[Access to safe drinking water for Camp]])</f>
        <v>0</v>
      </c>
      <c r="CR510" s="994">
        <f>WWWW[[#This Row],[%Equitable and continuous access to sufficient quantity of safe drinking water]]*WWWW[[#This Row],[Total PoP ]]</f>
        <v>0</v>
      </c>
      <c r="CS510" s="996">
        <f>IF((WWWW[[#This Row],['#_Constructed/Existing protected/fenced ponds]]*250)/WWWW[[#This Row],[Total PoP ]]&gt;1,1,(WWWW[[#This Row],['#_Constructed/Existing protected/fenced ponds]]*250)/WWWW[[#This Row],[Total PoP ]])</f>
        <v>0</v>
      </c>
      <c r="CT510" s="994">
        <f>WWWW[[#This Row],[% Access to unimproved water points]]*WWWW[[#This Row],[Total PoP ]]</f>
        <v>0</v>
      </c>
      <c r="CU51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1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10" s="994">
        <f>WWWW[[#This Row],[HRP1]]/500</f>
        <v>0</v>
      </c>
      <c r="CX510" s="999">
        <f>1-WWWW[[#This Row],[% Equitable and continuous access to sufficient quantity of domestic water]]</f>
        <v>1</v>
      </c>
      <c r="CY510" s="994">
        <f>WWWW[[#This Row],[%equitable and continuous access to sufficient quantity of safe drinking and domestic water''s GAP]]*WWWW[[#This Row],[Total PoP ]]</f>
        <v>126</v>
      </c>
      <c r="CZ510" s="997">
        <f>IF(WWWW[[#This Row],[Total required water points]]-WWWW[[#This Row],['#Water points coverage]]&lt;0,0,WWWW[[#This Row],[Total required water points]]-WWWW[[#This Row],['#Water points coverage]])</f>
        <v>1</v>
      </c>
      <c r="DA510" s="997">
        <f>ROUND(IF(WWWW[[#This Row],[Total PoP ]]&lt;500,1,WWWW[[#This Row],[Total PoP ]]/500),0)</f>
        <v>1</v>
      </c>
      <c r="DB510" s="997">
        <f>(WWWW[[#This Row],['#_Constructed latrines_by_WASHAgencies]]+WWWW[[#This Row],['#_Non Cluster partner latrines]])-WWWW[[#This Row],['#_Non-functional latrines]]</f>
        <v>0</v>
      </c>
      <c r="DC510" s="631">
        <f>WWWW[[#This Row],[HRP2]]/WWWW[[#This Row],[Total PoP ]]</f>
        <v>0</v>
      </c>
      <c r="DD51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1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0" s="424">
        <f>IF(WWWW[[#This Row],['# of functional latrines in THF supported by WASH partners during the reporting period2]]="",0,WWWW[[#This Row],['# of functional latrines in THF supported by WASH partners during the reporting period2]]*50)</f>
        <v>0</v>
      </c>
      <c r="DH510" s="997">
        <f>ROUND(IF(WWWW[[#This Row],[Location Type 1]]="camp",WWWW[[#This Row],[Total PoP ]]/20,IF(WWWW[[#This Row],[Location Type 1]]="Temporary Location",WWWW[[#This Row],[Total PoP ]]/50,(WWWW[[#This Row],[Total PoP ]]/6))),0)</f>
        <v>6</v>
      </c>
      <c r="DI510" s="997">
        <f>IF(WWWW[[#This Row],[Total required Latrines]]-(WWWW[[#This Row],['#_Constructed latrines_by_WASHAgencies]]+WWWW[[#This Row],['#_Non Cluster partner latrines]])&lt;0,0,WWWW[[#This Row],[Total required Latrines]]-(WWWW[[#This Row],['#_Constructed latrines_by_WASHAgencies]]+WWWW[[#This Row],['#_Non Cluster partner latrines]]))</f>
        <v>6</v>
      </c>
      <c r="DJ510" s="999">
        <f>1-WWWW[[#This Row],[% people access to functioning Latrine]]</f>
        <v>1</v>
      </c>
      <c r="DK510" s="998">
        <f>IF(OR(WWWW[[#This Row],['#_Non-functional latrines]]="",WWWW[[#This Row],['#_Non-functional latrines]]=0),0,WWWW[[#This Row],['#_Non-functional latrines]]/(WWWW[[#This Row],['#_Constructed latrines_by_WASHAgencies]]+WWWW[[#This Row],['#_Non Cluster partner latrines]]))</f>
        <v>0</v>
      </c>
      <c r="DL510" s="994">
        <f>IF(500*(WWWW[[#This Row],['#_male hygiene promoters]]+WWWW[[#This Row],['#_female hygiene promoters]])&gt;WWWW[[#This Row],[Total PoP ]],WWWW[[#This Row],[Total PoP ]],500*(WWWW[[#This Row],['#_male hygiene promoters]]+WWWW[[#This Row],['#_female hygiene promoters]]))</f>
        <v>0</v>
      </c>
      <c r="DM51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1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10" s="997">
        <f>IF(WWWW[[#This Row],['# People with access to soap]]&gt;WWWW[[#This Row],['# People with access to Sanity Pads]],WWWW[[#This Row],['# People with access to soap]],WWWW[[#This Row],['# People with access to Sanity Pads]])</f>
        <v>0</v>
      </c>
      <c r="DP510"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10" s="999">
        <f>IF(WWWW[[#This Row],[HRP3]]/WWWW[[#This Row],[Total PoP ]]&gt;1,1,WWWW[[#This Row],[HRP3]]/WWWW[[#This Row],[Total PoP ]])</f>
        <v>0</v>
      </c>
      <c r="DR510" s="998">
        <f>1-WWWW[[#This Row],[Hygiene Coverage%]]</f>
        <v>1</v>
      </c>
      <c r="DS510" s="996">
        <f>WWWW[[#This Row],['# people reached by regular dedicated hygiene promotion_5]]/WWWW[[#This Row],[Total PoP ]]</f>
        <v>0</v>
      </c>
      <c r="DT51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1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10" s="997">
        <f>WWWW[[#This Row],['#_Constructed/Existing hand washing stations]]-WWWW[[#This Row],['#_Non-Functional_hand_washing_stations]]</f>
        <v>8</v>
      </c>
      <c r="DW510" s="994">
        <f>IF(WWWW[[#This Row],['# Functional hand washing stations during reporting period]]*20&gt;WWWW[[#This Row],[Total HH]],WWWW[[#This Row],[Total HH]],WWWW[[#This Row],['# Functional hand washing stations during reporting period]]*20)</f>
        <v>27</v>
      </c>
      <c r="DX510" s="994">
        <f>IF(WWWW[[#This Row],[Is sufficient soap available for TLS? (Yes/No)]]="yes",WWWW[[#This Row],['#_Constructed/Existing hand washing stations at TLS/CFS/THF]],0)</f>
        <v>0</v>
      </c>
      <c r="DY510" s="428">
        <f>IF(WWWW[[#This Row],['# Functional hand washing stations during reporting period]]*100&gt;WWWW[[#This Row],[Total PoP ]],WWWW[[#This Row],[Total PoP ]],WWWW[[#This Row],['# Functional hand washing stations during reporting period]]*100)</f>
        <v>126</v>
      </c>
      <c r="DZ510" s="428" t="str">
        <f>IF(OR(WWWW[[#This Row],['#_students at TLS_CFS]]="",WWWW[[#This Row],['#_students at TLS_CFS]]=0),"No","Yes")</f>
        <v>No</v>
      </c>
      <c r="EA51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1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10" s="990">
        <f>VLOOKUP(WWWW[[#This Row],[Site Name]],SiteDB6[[Site Name]:[CCCM Management]],6,FALSE)</f>
        <v>0</v>
      </c>
      <c r="EF510" s="990" t="str">
        <f>VLOOKUP(WWWW[[#This Row],[Site Name]],SiteDB6[[Site Name]:[CCCM Focal Agency]],7,FALSE)</f>
        <v>uncovered</v>
      </c>
      <c r="EG510" s="990" t="str">
        <f>VLOOKUP(WWWW[[#This Row],[Site Name]],SiteDB6[[Site Name]:[Location Type 1]],9,FALSE)</f>
        <v>Camp</v>
      </c>
      <c r="EH510" s="990" t="str">
        <f>VLOOKUP(WWWW[[#This Row],[Site Name]],SiteDB6[[Site Name]:[Type of Accommodation]],10,FALSE)</f>
        <v>IDPs in host</v>
      </c>
      <c r="EI510" s="990" t="str">
        <f>VLOOKUP(WWWW[[#This Row],[Site Name]],SiteDB6[[Site Name]:[Ethnic or GCA/NGCA]],11,FALSE)</f>
        <v>GCA</v>
      </c>
      <c r="EJ510" s="990">
        <f>VLOOKUP(WWWW[[#This Row],[Site Name]],SiteDB6[[Site Name]:[Lat]],12,FALSE)</f>
        <v>24.996279999999999</v>
      </c>
      <c r="EK510" s="990">
        <f>VLOOKUP(WWWW[[#This Row],[Site Name]],SiteDB6[[Site Name]:[Long]],13,FALSE)</f>
        <v>96.52534</v>
      </c>
      <c r="EL510" s="990" t="str">
        <f>VLOOKUP(WWWW[[#This Row],[Site Name]],SiteDB6[[Site Name]:[Pcode]],3,FALSE)</f>
        <v>MMR001CMP232</v>
      </c>
      <c r="EM510" s="995" t="str">
        <f t="shared" si="10"/>
        <v>Notcovered</v>
      </c>
      <c r="EN510" s="995"/>
      <c r="EO510" s="990">
        <f>VLOOKUP(WWWW[[#This Row],[Site Name]],SiteDB6[[Site Name]:[Pop
(Kachin/Shan-CCCM as of July 2021)]],16,FALSE)</f>
        <v>26</v>
      </c>
      <c r="EP510" s="990">
        <f>VLOOKUP(WWWW[[#This Row],[Site Name]],SiteDB6[[Site Name]:[Pop
(Kachin/Shan-CCCM as of July 2021)]],17,FALSE)</f>
        <v>125</v>
      </c>
    </row>
    <row r="511" spans="1:146">
      <c r="A511" s="988" t="s">
        <v>2765</v>
      </c>
      <c r="B511" s="988" t="s">
        <v>309</v>
      </c>
      <c r="C511" s="989" t="s">
        <v>309</v>
      </c>
      <c r="D511" s="989"/>
      <c r="E511" s="989" t="s">
        <v>37</v>
      </c>
      <c r="F511" s="989" t="s">
        <v>157</v>
      </c>
      <c r="G511" s="591" t="str">
        <f>VLOOKUP(WWWW[[#This Row],[Site Name]],SiteDB6[[Site Name]:[Location Type]],8,FALSE)</f>
        <v>Camp</v>
      </c>
      <c r="H511" s="989" t="s">
        <v>3027</v>
      </c>
      <c r="I511" s="991">
        <v>15</v>
      </c>
      <c r="J511" s="991">
        <v>71</v>
      </c>
      <c r="K511" s="992"/>
      <c r="L511" s="993"/>
      <c r="M511" s="991"/>
      <c r="N511" s="991"/>
      <c r="O511" s="991"/>
      <c r="P511" s="991"/>
      <c r="Q511" s="994"/>
      <c r="R511" s="991"/>
      <c r="S511" s="991">
        <v>4</v>
      </c>
      <c r="T511" s="448"/>
      <c r="U511" s="991"/>
      <c r="V511" s="991"/>
      <c r="W511" s="991"/>
      <c r="X511" s="991"/>
      <c r="Y511" s="991"/>
      <c r="Z511" s="991"/>
      <c r="AA511" s="991"/>
      <c r="AB511" s="991"/>
      <c r="AC511" s="991"/>
      <c r="AD511" s="991"/>
      <c r="AE511" s="991"/>
      <c r="AF511" s="991"/>
      <c r="AG511" s="991"/>
      <c r="AH511" s="991"/>
      <c r="AI511" s="991"/>
      <c r="AJ511" s="991"/>
      <c r="AK511" s="991"/>
      <c r="AL511" s="991"/>
      <c r="AM511" s="991"/>
      <c r="AN511" s="991"/>
      <c r="AO511" s="448"/>
      <c r="AP511" s="995"/>
      <c r="AQ511" s="991"/>
      <c r="AR511" s="991"/>
      <c r="AS511" s="996"/>
      <c r="AT511" s="991"/>
      <c r="AU511" s="991"/>
      <c r="AV511" s="991"/>
      <c r="AW511" s="991"/>
      <c r="AX511" s="991"/>
      <c r="AY511" s="990" t="s">
        <v>140</v>
      </c>
      <c r="AZ511" s="995" t="s">
        <v>140</v>
      </c>
      <c r="BA511" s="991"/>
      <c r="BB511" s="991"/>
      <c r="BC511" s="991"/>
      <c r="BD511" s="448"/>
      <c r="BE511" s="448"/>
      <c r="BF511" s="990"/>
      <c r="BG511" s="991">
        <v>3</v>
      </c>
      <c r="BH511" s="991"/>
      <c r="BI511" s="991"/>
      <c r="BJ511" s="991">
        <v>2</v>
      </c>
      <c r="BK511" s="991"/>
      <c r="BL511" s="991"/>
      <c r="BM511" s="991"/>
      <c r="BN511" s="991"/>
      <c r="BO511" s="991"/>
      <c r="BP511" s="990"/>
      <c r="BQ511" s="997"/>
      <c r="BR511" s="996"/>
      <c r="BS511" s="990"/>
      <c r="BT511" s="423"/>
      <c r="BU511" s="423"/>
      <c r="BV511" s="425"/>
      <c r="BW511" s="423"/>
      <c r="BX511" s="448"/>
      <c r="BY511" s="448"/>
      <c r="BZ511" s="448"/>
      <c r="CA511" s="448"/>
      <c r="CB511" s="448"/>
      <c r="CC511" s="777"/>
      <c r="CD511" s="448"/>
      <c r="CE511" s="998" t="str">
        <f>IFERROR(WWWW[[#This Row],['#_Water sources passed]]/WWWW[[#This Row],['#_Water sources tested for fecal coliform ]],"no test")</f>
        <v>no test</v>
      </c>
      <c r="CF511" s="996" t="str">
        <f>IFERROR(WWWW[[#This Row],['#_Household passed]]/WWWW[[#This Row],['#_Household water samples tested for fecal coliform]],"no test")</f>
        <v>no test</v>
      </c>
      <c r="CG511" s="997" t="str">
        <f>IF(AND(WWWW[[#This Row],[% of water sources passed]]="no test",WWWW[[#This Row],[% Household passed]]="no test"),"No Test","Tested")</f>
        <v>No Test</v>
      </c>
      <c r="CH511" s="997">
        <f>WWWW[[#This Row],['#_Constructed/existing protected hand dug well]]-WWWW[[#This Row],['#_Non-functional protected hand dug well]]</f>
        <v>0</v>
      </c>
      <c r="CI511" s="997">
        <f>(WWWW[[#This Row],['#_Constructed/Existing tube wells/boreholes/handpumps_WASH_agency]]+WWWW[[#This Row],['#_Non-Cluster partner water tube-wells/boreholes/handpumps]])-WWWW[[#This Row],['#_Non-functional tube wells/boreholes/handpumps]]</f>
        <v>0</v>
      </c>
      <c r="CJ511" s="997">
        <f>WWWW[[#This Row],['#_Constructed/Existingwater storage tank with gravity fed reticulation system]]-WWWW[[#This Row],['#_Non-functional storage tank gravity fed reticulation system]]</f>
        <v>0</v>
      </c>
      <c r="CK511" s="997">
        <f>(WWWW[[#This Row],['#_Water_Liters_supplied_by_Water boating or water trucking]]/90)/15</f>
        <v>0</v>
      </c>
      <c r="CL511" s="997">
        <f>WWWW[[#This Row],['#_Water_Liters_from_Constructed/Existing water distribution system from river or natural spring]]/90/15</f>
        <v>0</v>
      </c>
      <c r="CM511" s="424">
        <f>IF(WWWW[[#This Row],['#_of water points in TLS/CFS]]*500&gt;WWWW[[#This Row],[Total PoP ]],WWWW[[#This Row],[Total PoP ]],WWWW[[#This Row],['#_of water points in TLS/CFS]]*500)</f>
        <v>0</v>
      </c>
      <c r="CN511" s="424">
        <f>IF(WWWW[[#This Row],['#_of water points in THF]]*500&gt;WWWW[[#This Row],[Total PoP ]],WWWW[[#This Row],[Total PoP ]],WWWW[[#This Row],['#_of water points in THF]]*500)</f>
        <v>0</v>
      </c>
      <c r="CO51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1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11" s="996">
        <f>IF(WWWW[[#This Row],[Location Type 1]]="Village",WWWW[[#This Row],[Access to safe drinking water for Village]],WWWW[[#This Row],[Access to safe drinking water for Camp]])</f>
        <v>0</v>
      </c>
      <c r="CR511" s="994">
        <f>WWWW[[#This Row],[%Equitable and continuous access to sufficient quantity of safe drinking water]]*WWWW[[#This Row],[Total PoP ]]</f>
        <v>0</v>
      </c>
      <c r="CS511" s="996">
        <f>IF((WWWW[[#This Row],['#_Constructed/Existing protected/fenced ponds]]*250)/WWWW[[#This Row],[Total PoP ]]&gt;1,1,(WWWW[[#This Row],['#_Constructed/Existing protected/fenced ponds]]*250)/WWWW[[#This Row],[Total PoP ]])</f>
        <v>0</v>
      </c>
      <c r="CT511" s="994">
        <f>WWWW[[#This Row],[% Access to unimproved water points]]*WWWW[[#This Row],[Total PoP ]]</f>
        <v>0</v>
      </c>
      <c r="CU51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1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11" s="994">
        <f>WWWW[[#This Row],[HRP1]]/500</f>
        <v>0</v>
      </c>
      <c r="CX511" s="999">
        <f>1-WWWW[[#This Row],[% Equitable and continuous access to sufficient quantity of domestic water]]</f>
        <v>1</v>
      </c>
      <c r="CY511" s="994">
        <f>WWWW[[#This Row],[%equitable and continuous access to sufficient quantity of safe drinking and domestic water''s GAP]]*WWWW[[#This Row],[Total PoP ]]</f>
        <v>71</v>
      </c>
      <c r="CZ511" s="997">
        <f>IF(WWWW[[#This Row],[Total required water points]]-WWWW[[#This Row],['#Water points coverage]]&lt;0,0,WWWW[[#This Row],[Total required water points]]-WWWW[[#This Row],['#Water points coverage]])</f>
        <v>1</v>
      </c>
      <c r="DA511" s="997">
        <f>ROUND(IF(WWWW[[#This Row],[Total PoP ]]&lt;500,1,WWWW[[#This Row],[Total PoP ]]/500),0)</f>
        <v>1</v>
      </c>
      <c r="DB511" s="997">
        <f>(WWWW[[#This Row],['#_Constructed latrines_by_WASHAgencies]]+WWWW[[#This Row],['#_Non Cluster partner latrines]])-WWWW[[#This Row],['#_Non-functional latrines]]</f>
        <v>0</v>
      </c>
      <c r="DC511" s="631">
        <f>WWWW[[#This Row],[HRP2]]/WWWW[[#This Row],[Total PoP ]]</f>
        <v>0</v>
      </c>
      <c r="DD51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1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1" s="424">
        <f>IF(WWWW[[#This Row],['# of functional latrines in THF supported by WASH partners during the reporting period2]]="",0,WWWW[[#This Row],['# of functional latrines in THF supported by WASH partners during the reporting period2]]*50)</f>
        <v>0</v>
      </c>
      <c r="DH511" s="997">
        <f>ROUND(IF(WWWW[[#This Row],[Location Type 1]]="camp",WWWW[[#This Row],[Total PoP ]]/20,IF(WWWW[[#This Row],[Location Type 1]]="Temporary Location",WWWW[[#This Row],[Total PoP ]]/50,(WWWW[[#This Row],[Total PoP ]]/6))),0)</f>
        <v>4</v>
      </c>
      <c r="DI511" s="997">
        <f>IF(WWWW[[#This Row],[Total required Latrines]]-(WWWW[[#This Row],['#_Constructed latrines_by_WASHAgencies]]+WWWW[[#This Row],['#_Non Cluster partner latrines]])&lt;0,0,WWWW[[#This Row],[Total required Latrines]]-(WWWW[[#This Row],['#_Constructed latrines_by_WASHAgencies]]+WWWW[[#This Row],['#_Non Cluster partner latrines]]))</f>
        <v>4</v>
      </c>
      <c r="DJ511" s="999">
        <f>1-WWWW[[#This Row],[% people access to functioning Latrine]]</f>
        <v>1</v>
      </c>
      <c r="DK511" s="998">
        <f>IF(OR(WWWW[[#This Row],['#_Non-functional latrines]]="",WWWW[[#This Row],['#_Non-functional latrines]]=0),0,WWWW[[#This Row],['#_Non-functional latrines]]/(WWWW[[#This Row],['#_Constructed latrines_by_WASHAgencies]]+WWWW[[#This Row],['#_Non Cluster partner latrines]]))</f>
        <v>0</v>
      </c>
      <c r="DL511" s="994">
        <f>IF(500*(WWWW[[#This Row],['#_male hygiene promoters]]+WWWW[[#This Row],['#_female hygiene promoters]])&gt;WWWW[[#This Row],[Total PoP ]],WWWW[[#This Row],[Total PoP ]],500*(WWWW[[#This Row],['#_male hygiene promoters]]+WWWW[[#This Row],['#_female hygiene promoters]]))</f>
        <v>0</v>
      </c>
      <c r="DM51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1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11" s="997">
        <f>IF(WWWW[[#This Row],['# People with access to soap]]&gt;WWWW[[#This Row],['# People with access to Sanity Pads]],WWWW[[#This Row],['# People with access to soap]],WWWW[[#This Row],['# People with access to Sanity Pads]])</f>
        <v>0</v>
      </c>
      <c r="DP511"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11" s="999">
        <f>IF(WWWW[[#This Row],[HRP3]]/WWWW[[#This Row],[Total PoP ]]&gt;1,1,WWWW[[#This Row],[HRP3]]/WWWW[[#This Row],[Total PoP ]])</f>
        <v>0</v>
      </c>
      <c r="DR511" s="998">
        <f>1-WWWW[[#This Row],[Hygiene Coverage%]]</f>
        <v>1</v>
      </c>
      <c r="DS511" s="996">
        <f>WWWW[[#This Row],['# people reached by regular dedicated hygiene promotion_5]]/WWWW[[#This Row],[Total PoP ]]</f>
        <v>0</v>
      </c>
      <c r="DT51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1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11" s="997">
        <f>WWWW[[#This Row],['#_Constructed/Existing hand washing stations]]-WWWW[[#This Row],['#_Non-Functional_hand_washing_stations]]</f>
        <v>3</v>
      </c>
      <c r="DW511" s="994">
        <f>IF(WWWW[[#This Row],['# Functional hand washing stations during reporting period]]*20&gt;WWWW[[#This Row],[Total HH]],WWWW[[#This Row],[Total HH]],WWWW[[#This Row],['# Functional hand washing stations during reporting period]]*20)</f>
        <v>15</v>
      </c>
      <c r="DX511" s="994">
        <f>IF(WWWW[[#This Row],[Is sufficient soap available for TLS? (Yes/No)]]="yes",WWWW[[#This Row],['#_Constructed/Existing hand washing stations at TLS/CFS/THF]],0)</f>
        <v>0</v>
      </c>
      <c r="DY511" s="428">
        <f>IF(WWWW[[#This Row],['# Functional hand washing stations during reporting period]]*100&gt;WWWW[[#This Row],[Total PoP ]],WWWW[[#This Row],[Total PoP ]],WWWW[[#This Row],['# Functional hand washing stations during reporting period]]*100)</f>
        <v>71</v>
      </c>
      <c r="DZ511" s="428" t="str">
        <f>IF(OR(WWWW[[#This Row],['#_students at TLS_CFS]]="",WWWW[[#This Row],['#_students at TLS_CFS]]=0),"No","Yes")</f>
        <v>No</v>
      </c>
      <c r="EA51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1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11" s="990">
        <f>VLOOKUP(WWWW[[#This Row],[Site Name]],SiteDB6[[Site Name]:[CCCM Management]],6,FALSE)</f>
        <v>0</v>
      </c>
      <c r="EF511" s="990" t="str">
        <f>VLOOKUP(WWWW[[#This Row],[Site Name]],SiteDB6[[Site Name]:[CCCM Focal Agency]],7,FALSE)</f>
        <v>uncovered</v>
      </c>
      <c r="EG511" s="990" t="str">
        <f>VLOOKUP(WWWW[[#This Row],[Site Name]],SiteDB6[[Site Name]:[Location Type 1]],9,FALSE)</f>
        <v>Camp</v>
      </c>
      <c r="EH511" s="990" t="str">
        <f>VLOOKUP(WWWW[[#This Row],[Site Name]],SiteDB6[[Site Name]:[Type of Accommodation]],10,FALSE)</f>
        <v>IDPs in host</v>
      </c>
      <c r="EI511" s="990" t="str">
        <f>VLOOKUP(WWWW[[#This Row],[Site Name]],SiteDB6[[Site Name]:[Ethnic or GCA/NGCA]],11,FALSE)</f>
        <v>GCA</v>
      </c>
      <c r="EJ511" s="990">
        <f>VLOOKUP(WWWW[[#This Row],[Site Name]],SiteDB6[[Site Name]:[Lat]],12,FALSE)</f>
        <v>24.764959999999999</v>
      </c>
      <c r="EK511" s="990">
        <f>VLOOKUP(WWWW[[#This Row],[Site Name]],SiteDB6[[Site Name]:[Long]],13,FALSE)</f>
        <v>96.366919999999993</v>
      </c>
      <c r="EL511" s="990" t="str">
        <f>VLOOKUP(WWWW[[#This Row],[Site Name]],SiteDB6[[Site Name]:[Pcode]],3,FALSE)</f>
        <v>MMR001CMP233</v>
      </c>
      <c r="EM511" s="995" t="str">
        <f t="shared" si="10"/>
        <v>Notcovered</v>
      </c>
      <c r="EN511" s="995"/>
      <c r="EO511" s="990">
        <f>VLOOKUP(WWWW[[#This Row],[Site Name]],SiteDB6[[Site Name]:[Pop
(Kachin/Shan-CCCM as of July 2021)]],16,FALSE)</f>
        <v>7</v>
      </c>
      <c r="EP511" s="990">
        <f>VLOOKUP(WWWW[[#This Row],[Site Name]],SiteDB6[[Site Name]:[Pop
(Kachin/Shan-CCCM as of July 2021)]],17,FALSE)</f>
        <v>35</v>
      </c>
    </row>
    <row r="512" spans="1:146">
      <c r="A512" s="988" t="s">
        <v>2765</v>
      </c>
      <c r="B512" s="988" t="s">
        <v>919</v>
      </c>
      <c r="C512" s="989" t="s">
        <v>141</v>
      </c>
      <c r="D512" s="989" t="s">
        <v>3164</v>
      </c>
      <c r="E512" s="989" t="s">
        <v>37</v>
      </c>
      <c r="F512" s="989" t="s">
        <v>152</v>
      </c>
      <c r="G512" s="591" t="str">
        <f>VLOOKUP(WWWW[[#This Row],[Site Name]],SiteDB6[[Site Name]:[Location Type]],8,FALSE)</f>
        <v>Camp</v>
      </c>
      <c r="H512" s="989" t="s">
        <v>156</v>
      </c>
      <c r="I512" s="991">
        <v>27</v>
      </c>
      <c r="J512" s="991">
        <v>136</v>
      </c>
      <c r="K512" s="992">
        <v>44682</v>
      </c>
      <c r="L512" s="993">
        <v>45169</v>
      </c>
      <c r="M512" s="991"/>
      <c r="N512" s="991">
        <v>1</v>
      </c>
      <c r="O512" s="991"/>
      <c r="P512" s="991"/>
      <c r="Q512" s="994" t="s">
        <v>41</v>
      </c>
      <c r="R512" s="991">
        <v>2</v>
      </c>
      <c r="S512" s="991">
        <v>2</v>
      </c>
      <c r="T512" s="448"/>
      <c r="U512" s="991"/>
      <c r="V512" s="991"/>
      <c r="W512" s="991">
        <v>1</v>
      </c>
      <c r="X512" s="991"/>
      <c r="Y512" s="991"/>
      <c r="Z512" s="991"/>
      <c r="AA512" s="991"/>
      <c r="AB512" s="991"/>
      <c r="AC512" s="991"/>
      <c r="AD512" s="991"/>
      <c r="AE512" s="991"/>
      <c r="AF512" s="991"/>
      <c r="AG512" s="991"/>
      <c r="AH512" s="991">
        <v>3</v>
      </c>
      <c r="AI512" s="991"/>
      <c r="AJ512" s="991"/>
      <c r="AK512" s="991"/>
      <c r="AL512" s="991"/>
      <c r="AM512" s="991"/>
      <c r="AN512" s="991"/>
      <c r="AO512" s="448"/>
      <c r="AP512" s="995"/>
      <c r="AQ512" s="991">
        <v>12</v>
      </c>
      <c r="AR512" s="991"/>
      <c r="AS512" s="996"/>
      <c r="AT512" s="991"/>
      <c r="AU512" s="991"/>
      <c r="AV512" s="991"/>
      <c r="AW512" s="991"/>
      <c r="AX512" s="991">
        <v>12</v>
      </c>
      <c r="AY512" s="990" t="s">
        <v>41</v>
      </c>
      <c r="AZ512" s="995" t="s">
        <v>904</v>
      </c>
      <c r="BA512" s="991"/>
      <c r="BB512" s="991"/>
      <c r="BC512" s="991"/>
      <c r="BD512" s="448"/>
      <c r="BE512" s="448"/>
      <c r="BF512" s="990"/>
      <c r="BG512" s="991">
        <v>8</v>
      </c>
      <c r="BH512" s="991"/>
      <c r="BI512" s="991"/>
      <c r="BJ512" s="991">
        <v>3</v>
      </c>
      <c r="BK512" s="991"/>
      <c r="BL512" s="991"/>
      <c r="BM512" s="991"/>
      <c r="BN512" s="991"/>
      <c r="BO512" s="991"/>
      <c r="BP512" s="990"/>
      <c r="BQ512" s="997"/>
      <c r="BR512" s="996"/>
      <c r="BS512" s="990"/>
      <c r="BT512" s="423"/>
      <c r="BU512" s="423"/>
      <c r="BV512" s="425"/>
      <c r="BW512" s="423"/>
      <c r="BX512" s="448"/>
      <c r="BY512" s="448"/>
      <c r="BZ512" s="448"/>
      <c r="CA512" s="448"/>
      <c r="CB512" s="448"/>
      <c r="CC512" s="777"/>
      <c r="CD512" s="448"/>
      <c r="CE512" s="998" t="str">
        <f>IFERROR(WWWW[[#This Row],['#_Water sources passed]]/WWWW[[#This Row],['#_Water sources tested for fecal coliform ]],"no test")</f>
        <v>no test</v>
      </c>
      <c r="CF512" s="996" t="str">
        <f>IFERROR(WWWW[[#This Row],['#_Household passed]]/WWWW[[#This Row],['#_Household water samples tested for fecal coliform]],"no test")</f>
        <v>no test</v>
      </c>
      <c r="CG512" s="997" t="str">
        <f>IF(AND(WWWW[[#This Row],[% of water sources passed]]="no test",WWWW[[#This Row],[% Household passed]]="no test"),"No Test","Tested")</f>
        <v>No Test</v>
      </c>
      <c r="CH512" s="997">
        <f>WWWW[[#This Row],['#_Constructed/existing protected hand dug well]]-WWWW[[#This Row],['#_Non-functional protected hand dug well]]</f>
        <v>0</v>
      </c>
      <c r="CI512" s="997">
        <f>(WWWW[[#This Row],['#_Constructed/Existing tube wells/boreholes/handpumps_WASH_agency]]+WWWW[[#This Row],['#_Non-Cluster partner water tube-wells/boreholes/handpumps]])-WWWW[[#This Row],['#_Non-functional tube wells/boreholes/handpumps]]</f>
        <v>1</v>
      </c>
      <c r="CJ512" s="997">
        <f>WWWW[[#This Row],['#_Constructed/Existingwater storage tank with gravity fed reticulation system]]-WWWW[[#This Row],['#_Non-functional storage tank gravity fed reticulation system]]</f>
        <v>0</v>
      </c>
      <c r="CK512" s="997">
        <f>(WWWW[[#This Row],['#_Water_Liters_supplied_by_Water boating or water trucking]]/90)/15</f>
        <v>0</v>
      </c>
      <c r="CL512" s="997">
        <f>WWWW[[#This Row],['#_Water_Liters_from_Constructed/Existing water distribution system from river or natural spring]]/90/15</f>
        <v>0</v>
      </c>
      <c r="CM512" s="424">
        <f>IF(WWWW[[#This Row],['#_of water points in TLS/CFS]]*500&gt;WWWW[[#This Row],[Total PoP ]],WWWW[[#This Row],[Total PoP ]],WWWW[[#This Row],['#_of water points in TLS/CFS]]*500)</f>
        <v>0</v>
      </c>
      <c r="CN512" s="424">
        <f>IF(WWWW[[#This Row],['#_of water points in THF]]*500&gt;WWWW[[#This Row],[Total PoP ]],WWWW[[#This Row],[Total PoP ]],WWWW[[#This Row],['#_of water points in THF]]*500)</f>
        <v>0</v>
      </c>
      <c r="CO51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1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12" s="996">
        <f>IF(WWWW[[#This Row],[Location Type 1]]="Village",WWWW[[#This Row],[Access to safe drinking water for Village]],WWWW[[#This Row],[Access to safe drinking water for Camp]])</f>
        <v>1</v>
      </c>
      <c r="CR512" s="994">
        <f>WWWW[[#This Row],[%Equitable and continuous access to sufficient quantity of safe drinking water]]*WWWW[[#This Row],[Total PoP ]]</f>
        <v>136</v>
      </c>
      <c r="CS512" s="996">
        <f>IF((WWWW[[#This Row],['#_Constructed/Existing protected/fenced ponds]]*250)/WWWW[[#This Row],[Total PoP ]]&gt;1,1,(WWWW[[#This Row],['#_Constructed/Existing protected/fenced ponds]]*250)/WWWW[[#This Row],[Total PoP ]])</f>
        <v>0</v>
      </c>
      <c r="CT512" s="994">
        <f>WWWW[[#This Row],[% Access to unimproved water points]]*WWWW[[#This Row],[Total PoP ]]</f>
        <v>0</v>
      </c>
      <c r="CU51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1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W512" s="994">
        <f>WWWW[[#This Row],[HRP1]]/500</f>
        <v>0.27200000000000002</v>
      </c>
      <c r="CX512" s="999">
        <f>1-WWWW[[#This Row],[% Equitable and continuous access to sufficient quantity of domestic water]]</f>
        <v>0</v>
      </c>
      <c r="CY512" s="994">
        <f>WWWW[[#This Row],[%equitable and continuous access to sufficient quantity of safe drinking and domestic water''s GAP]]*WWWW[[#This Row],[Total PoP ]]</f>
        <v>0</v>
      </c>
      <c r="CZ512" s="997">
        <f>IF(WWWW[[#This Row],[Total required water points]]-WWWW[[#This Row],['#Water points coverage]]&lt;0,0,WWWW[[#This Row],[Total required water points]]-WWWW[[#This Row],['#Water points coverage]])</f>
        <v>0.72799999999999998</v>
      </c>
      <c r="DA512" s="997">
        <f>ROUND(IF(WWWW[[#This Row],[Total PoP ]]&lt;500,1,WWWW[[#This Row],[Total PoP ]]/500),0)</f>
        <v>1</v>
      </c>
      <c r="DB512" s="997">
        <f>(WWWW[[#This Row],['#_Constructed latrines_by_WASHAgencies]]+WWWW[[#This Row],['#_Non Cluster partner latrines]])-WWWW[[#This Row],['#_Non-functional latrines]]</f>
        <v>12</v>
      </c>
      <c r="DC512" s="631">
        <f>WWWW[[#This Row],[HRP2]]/WWWW[[#This Row],[Total PoP ]]</f>
        <v>1</v>
      </c>
      <c r="DD51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136</v>
      </c>
      <c r="DE51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2" s="424">
        <f>IF(WWWW[[#This Row],['# of functional latrines in THF supported by WASH partners during the reporting period2]]="",0,WWWW[[#This Row],['# of functional latrines in THF supported by WASH partners during the reporting period2]]*50)</f>
        <v>0</v>
      </c>
      <c r="DH512" s="997">
        <f>ROUND(IF(WWWW[[#This Row],[Location Type 1]]="camp",WWWW[[#This Row],[Total PoP ]]/20,IF(WWWW[[#This Row],[Location Type 1]]="Temporary Location",WWWW[[#This Row],[Total PoP ]]/50,(WWWW[[#This Row],[Total PoP ]]/6))),0)</f>
        <v>7</v>
      </c>
      <c r="DI512" s="997">
        <f>IF(WWWW[[#This Row],[Total required Latrines]]-(WWWW[[#This Row],['#_Constructed latrines_by_WASHAgencies]]+WWWW[[#This Row],['#_Non Cluster partner latrines]])&lt;0,0,WWWW[[#This Row],[Total required Latrines]]-(WWWW[[#This Row],['#_Constructed latrines_by_WASHAgencies]]+WWWW[[#This Row],['#_Non Cluster partner latrines]]))</f>
        <v>0</v>
      </c>
      <c r="DJ512" s="999">
        <f>1-WWWW[[#This Row],[% people access to functioning Latrine]]</f>
        <v>0</v>
      </c>
      <c r="DK512" s="998">
        <f>IF(OR(WWWW[[#This Row],['#_Non-functional latrines]]="",WWWW[[#This Row],['#_Non-functional latrines]]=0),0,WWWW[[#This Row],['#_Non-functional latrines]]/(WWWW[[#This Row],['#_Constructed latrines_by_WASHAgencies]]+WWWW[[#This Row],['#_Non Cluster partner latrines]]))</f>
        <v>0</v>
      </c>
      <c r="DL512" s="994">
        <f>IF(500*(WWWW[[#This Row],['#_male hygiene promoters]]+WWWW[[#This Row],['#_female hygiene promoters]])&gt;WWWW[[#This Row],[Total PoP ]],WWWW[[#This Row],[Total PoP ]],500*(WWWW[[#This Row],['#_male hygiene promoters]]+WWWW[[#This Row],['#_female hygiene promoters]]))</f>
        <v>0</v>
      </c>
      <c r="DM51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1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12" s="997">
        <f>IF(WWWW[[#This Row],['# People with access to soap]]&gt;WWWW[[#This Row],['# People with access to Sanity Pads]],WWWW[[#This Row],['# People with access to soap]],WWWW[[#This Row],['# People with access to Sanity Pads]])</f>
        <v>0</v>
      </c>
      <c r="DP512"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12" s="999">
        <f>IF(WWWW[[#This Row],[HRP3]]/WWWW[[#This Row],[Total PoP ]]&gt;1,1,WWWW[[#This Row],[HRP3]]/WWWW[[#This Row],[Total PoP ]])</f>
        <v>0</v>
      </c>
      <c r="DR512" s="998">
        <f>1-WWWW[[#This Row],[Hygiene Coverage%]]</f>
        <v>1</v>
      </c>
      <c r="DS512" s="996">
        <f>WWWW[[#This Row],['# people reached by regular dedicated hygiene promotion_5]]/WWWW[[#This Row],[Total PoP ]]</f>
        <v>0</v>
      </c>
      <c r="DT51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1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12" s="997">
        <f>WWWW[[#This Row],['#_Constructed/Existing hand washing stations]]-WWWW[[#This Row],['#_Non-Functional_hand_washing_stations]]</f>
        <v>8</v>
      </c>
      <c r="DW512" s="994">
        <f>IF(WWWW[[#This Row],['# Functional hand washing stations during reporting period]]*20&gt;WWWW[[#This Row],[Total HH]],WWWW[[#This Row],[Total HH]],WWWW[[#This Row],['# Functional hand washing stations during reporting period]]*20)</f>
        <v>27</v>
      </c>
      <c r="DX512" s="994">
        <f>IF(WWWW[[#This Row],[Is sufficient soap available for TLS? (Yes/No)]]="yes",WWWW[[#This Row],['#_Constructed/Existing hand washing stations at TLS/CFS/THF]],0)</f>
        <v>0</v>
      </c>
      <c r="DY512" s="428">
        <f>IF(WWWW[[#This Row],['# Functional hand washing stations during reporting period]]*100&gt;WWWW[[#This Row],[Total PoP ]],WWWW[[#This Row],[Total PoP ]],WWWW[[#This Row],['# Functional hand washing stations during reporting period]]*100)</f>
        <v>136</v>
      </c>
      <c r="DZ512" s="428" t="str">
        <f>IF(OR(WWWW[[#This Row],['#_students at TLS_CFS]]="",WWWW[[#This Row],['#_students at TLS_CFS]]=0),"No","Yes")</f>
        <v>No</v>
      </c>
      <c r="EA51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1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12" s="990" t="str">
        <f>VLOOKUP(WWWW[[#This Row],[Site Name]],SiteDB6[[Site Name]:[CCCM Management]],6,FALSE)</f>
        <v>Yes</v>
      </c>
      <c r="EF512" s="990" t="str">
        <f>VLOOKUP(WWWW[[#This Row],[Site Name]],SiteDB6[[Site Name]:[CCCM Focal Agency]],7,FALSE)</f>
        <v>KBC-MYT</v>
      </c>
      <c r="EG512" s="990" t="str">
        <f>VLOOKUP(WWWW[[#This Row],[Site Name]],SiteDB6[[Site Name]:[Location Type 1]],9,FALSE)</f>
        <v>Camp</v>
      </c>
      <c r="EH512" s="990" t="str">
        <f>VLOOKUP(WWWW[[#This Row],[Site Name]],SiteDB6[[Site Name]:[Type of Accommodation]],10,FALSE)</f>
        <v>Camp</v>
      </c>
      <c r="EI512" s="990" t="str">
        <f>VLOOKUP(WWWW[[#This Row],[Site Name]],SiteDB6[[Site Name]:[Ethnic or GCA/NGCA]],11,FALSE)</f>
        <v>GCA</v>
      </c>
      <c r="EJ512" s="990">
        <f>VLOOKUP(WWWW[[#This Row],[Site Name]],SiteDB6[[Site Name]:[Lat]],12,FALSE)</f>
        <v>25.225000000000001</v>
      </c>
      <c r="EK512" s="990">
        <f>VLOOKUP(WWWW[[#This Row],[Site Name]],SiteDB6[[Site Name]:[Long]],13,FALSE)</f>
        <v>96.793999999999997</v>
      </c>
      <c r="EL512" s="990" t="str">
        <f>VLOOKUP(WWWW[[#This Row],[Site Name]],SiteDB6[[Site Name]:[Pcode]],3,FALSE)</f>
        <v>MMR001CMP236</v>
      </c>
      <c r="EM512" s="995" t="str">
        <f t="shared" si="10"/>
        <v>Covered</v>
      </c>
      <c r="EN512" s="995"/>
      <c r="EO512" s="990">
        <f>VLOOKUP(WWWW[[#This Row],[Site Name]],SiteDB6[[Site Name]:[Pop
(Kachin/Shan-CCCM as of July 2021)]],16,FALSE)</f>
        <v>27</v>
      </c>
      <c r="EP512" s="990">
        <f>VLOOKUP(WWWW[[#This Row],[Site Name]],SiteDB6[[Site Name]:[Pop
(Kachin/Shan-CCCM as of July 2021)]],17,FALSE)</f>
        <v>137</v>
      </c>
    </row>
    <row r="513" spans="1:146">
      <c r="A513" s="988" t="s">
        <v>2765</v>
      </c>
      <c r="B513" s="988" t="s">
        <v>2081</v>
      </c>
      <c r="C513" s="989" t="s">
        <v>141</v>
      </c>
      <c r="D513" s="989" t="s">
        <v>3160</v>
      </c>
      <c r="E513" s="989" t="s">
        <v>37</v>
      </c>
      <c r="F513" s="989" t="s">
        <v>184</v>
      </c>
      <c r="G513" s="591" t="str">
        <f>VLOOKUP(WWWW[[#This Row],[Site Name]],SiteDB6[[Site Name]:[Location Type]],8,FALSE)</f>
        <v>Camp</v>
      </c>
      <c r="H513" s="989" t="s">
        <v>185</v>
      </c>
      <c r="I513" s="991">
        <v>72</v>
      </c>
      <c r="J513" s="991">
        <v>323</v>
      </c>
      <c r="K513" s="992">
        <v>44682</v>
      </c>
      <c r="L513" s="993">
        <v>45169</v>
      </c>
      <c r="M513" s="991">
        <v>35</v>
      </c>
      <c r="N513" s="991">
        <v>2</v>
      </c>
      <c r="O513" s="991"/>
      <c r="P513" s="991"/>
      <c r="Q513" s="994" t="s">
        <v>41</v>
      </c>
      <c r="R513" s="991">
        <v>3</v>
      </c>
      <c r="S513" s="991">
        <v>1</v>
      </c>
      <c r="T513" s="448">
        <v>27</v>
      </c>
      <c r="U513" s="991"/>
      <c r="V513" s="991"/>
      <c r="W513" s="991"/>
      <c r="X513" s="991"/>
      <c r="Y513" s="991"/>
      <c r="Z513" s="991"/>
      <c r="AA513" s="991"/>
      <c r="AB513" s="991"/>
      <c r="AC513" s="991"/>
      <c r="AD513" s="991"/>
      <c r="AE513" s="991"/>
      <c r="AF513" s="991"/>
      <c r="AG513" s="991"/>
      <c r="AH513" s="991"/>
      <c r="AI513" s="991"/>
      <c r="AJ513" s="991"/>
      <c r="AK513" s="991"/>
      <c r="AL513" s="991"/>
      <c r="AM513" s="991"/>
      <c r="AN513" s="991"/>
      <c r="AO513" s="448"/>
      <c r="AP513" s="995"/>
      <c r="AQ513" s="991">
        <v>65</v>
      </c>
      <c r="AR513" s="991">
        <v>15</v>
      </c>
      <c r="AS513" s="996"/>
      <c r="AT513" s="991"/>
      <c r="AU513" s="991"/>
      <c r="AV513" s="991"/>
      <c r="AW513" s="991"/>
      <c r="AX513" s="991"/>
      <c r="AY513" s="990" t="s">
        <v>41</v>
      </c>
      <c r="AZ513" s="995" t="s">
        <v>137</v>
      </c>
      <c r="BA513" s="991"/>
      <c r="BB513" s="991">
        <v>2</v>
      </c>
      <c r="BC513" s="991"/>
      <c r="BD513" s="448"/>
      <c r="BE513" s="448"/>
      <c r="BF513" s="990"/>
      <c r="BG513" s="991">
        <v>3</v>
      </c>
      <c r="BH513" s="991"/>
      <c r="BI513" s="991"/>
      <c r="BJ513" s="991">
        <v>2</v>
      </c>
      <c r="BK513" s="991"/>
      <c r="BL513" s="991">
        <v>1</v>
      </c>
      <c r="BM513" s="991"/>
      <c r="BN513" s="991"/>
      <c r="BO513" s="991"/>
      <c r="BP513" s="990"/>
      <c r="BQ513" s="997"/>
      <c r="BR513" s="996"/>
      <c r="BS513" s="990"/>
      <c r="BT513" s="423"/>
      <c r="BU513" s="423"/>
      <c r="BV513" s="425"/>
      <c r="BW513" s="423"/>
      <c r="BX513" s="448"/>
      <c r="BY513" s="448"/>
      <c r="BZ513" s="448"/>
      <c r="CA513" s="448"/>
      <c r="CB513" s="448"/>
      <c r="CC513" s="777"/>
      <c r="CD513" s="448"/>
      <c r="CE513" s="998" t="str">
        <f>IFERROR(WWWW[[#This Row],['#_Water sources passed]]/WWWW[[#This Row],['#_Water sources tested for fecal coliform ]],"no test")</f>
        <v>no test</v>
      </c>
      <c r="CF513" s="996" t="str">
        <f>IFERROR(WWWW[[#This Row],['#_Household passed]]/WWWW[[#This Row],['#_Household water samples tested for fecal coliform]],"no test")</f>
        <v>no test</v>
      </c>
      <c r="CG513" s="997" t="str">
        <f>IF(AND(WWWW[[#This Row],[% of water sources passed]]="no test",WWWW[[#This Row],[% Household passed]]="no test"),"No Test","Tested")</f>
        <v>No Test</v>
      </c>
      <c r="CH513" s="997">
        <f>WWWW[[#This Row],['#_Constructed/existing protected hand dug well]]-WWWW[[#This Row],['#_Non-functional protected hand dug well]]</f>
        <v>27</v>
      </c>
      <c r="CI513" s="997">
        <f>(WWWW[[#This Row],['#_Constructed/Existing tube wells/boreholes/handpumps_WASH_agency]]+WWWW[[#This Row],['#_Non-Cluster partner water tube-wells/boreholes/handpumps]])-WWWW[[#This Row],['#_Non-functional tube wells/boreholes/handpumps]]</f>
        <v>0</v>
      </c>
      <c r="CJ513" s="997">
        <f>WWWW[[#This Row],['#_Constructed/Existingwater storage tank with gravity fed reticulation system]]-WWWW[[#This Row],['#_Non-functional storage tank gravity fed reticulation system]]</f>
        <v>0</v>
      </c>
      <c r="CK513" s="997">
        <f>(WWWW[[#This Row],['#_Water_Liters_supplied_by_Water boating or water trucking]]/90)/15</f>
        <v>0</v>
      </c>
      <c r="CL513" s="997">
        <f>WWWW[[#This Row],['#_Water_Liters_from_Constructed/Existing water distribution system from river or natural spring]]/90/15</f>
        <v>0</v>
      </c>
      <c r="CM513" s="424">
        <f>IF(WWWW[[#This Row],['#_of water points in TLS/CFS]]*500&gt;WWWW[[#This Row],[Total PoP ]],WWWW[[#This Row],[Total PoP ]],WWWW[[#This Row],['#_of water points in TLS/CFS]]*500)</f>
        <v>0</v>
      </c>
      <c r="CN513" s="424">
        <f>IF(WWWW[[#This Row],['#_of water points in THF]]*500&gt;WWWW[[#This Row],[Total PoP ]],WWWW[[#This Row],[Total PoP ]],WWWW[[#This Row],['#_of water points in THF]]*500)</f>
        <v>0</v>
      </c>
      <c r="CO51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1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13" s="996">
        <f>IF(WWWW[[#This Row],[Location Type 1]]="Village",WWWW[[#This Row],[Access to safe drinking water for Village]],WWWW[[#This Row],[Access to safe drinking water for Camp]])</f>
        <v>1</v>
      </c>
      <c r="CR513" s="994">
        <f>WWWW[[#This Row],[%Equitable and continuous access to sufficient quantity of safe drinking water]]*WWWW[[#This Row],[Total PoP ]]</f>
        <v>323</v>
      </c>
      <c r="CS513" s="996">
        <f>IF((WWWW[[#This Row],['#_Constructed/Existing protected/fenced ponds]]*250)/WWWW[[#This Row],[Total PoP ]]&gt;1,1,(WWWW[[#This Row],['#_Constructed/Existing protected/fenced ponds]]*250)/WWWW[[#This Row],[Total PoP ]])</f>
        <v>0</v>
      </c>
      <c r="CT513" s="994">
        <f>WWWW[[#This Row],[% Access to unimproved water points]]*WWWW[[#This Row],[Total PoP ]]</f>
        <v>0</v>
      </c>
      <c r="CU51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1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513" s="994">
        <f>WWWW[[#This Row],[HRP1]]/500</f>
        <v>0.64600000000000002</v>
      </c>
      <c r="CX513" s="999">
        <f>1-WWWW[[#This Row],[% Equitable and continuous access to sufficient quantity of domestic water]]</f>
        <v>0</v>
      </c>
      <c r="CY513" s="994">
        <f>WWWW[[#This Row],[%equitable and continuous access to sufficient quantity of safe drinking and domestic water''s GAP]]*WWWW[[#This Row],[Total PoP ]]</f>
        <v>0</v>
      </c>
      <c r="CZ513" s="997">
        <f>IF(WWWW[[#This Row],[Total required water points]]-WWWW[[#This Row],['#Water points coverage]]&lt;0,0,WWWW[[#This Row],[Total required water points]]-WWWW[[#This Row],['#Water points coverage]])</f>
        <v>0.35399999999999998</v>
      </c>
      <c r="DA513" s="997">
        <f>ROUND(IF(WWWW[[#This Row],[Total PoP ]]&lt;500,1,WWWW[[#This Row],[Total PoP ]]/500),0)</f>
        <v>1</v>
      </c>
      <c r="DB513" s="997">
        <f>(WWWW[[#This Row],['#_Constructed latrines_by_WASHAgencies]]+WWWW[[#This Row],['#_Non Cluster partner latrines]])-WWWW[[#This Row],['#_Non-functional latrines]]</f>
        <v>80</v>
      </c>
      <c r="DC513" s="631">
        <f>WWWW[[#This Row],[HRP2]]/WWWW[[#This Row],[Total PoP ]]</f>
        <v>1</v>
      </c>
      <c r="DD51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323</v>
      </c>
      <c r="DE51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3" s="424">
        <f>IF(WWWW[[#This Row],['# of functional latrines in THF supported by WASH partners during the reporting period2]]="",0,WWWW[[#This Row],['# of functional latrines in THF supported by WASH partners during the reporting period2]]*50)</f>
        <v>0</v>
      </c>
      <c r="DH513" s="997">
        <f>ROUND(IF(WWWW[[#This Row],[Location Type 1]]="camp",WWWW[[#This Row],[Total PoP ]]/20,IF(WWWW[[#This Row],[Location Type 1]]="Temporary Location",WWWW[[#This Row],[Total PoP ]]/50,(WWWW[[#This Row],[Total PoP ]]/6))),0)</f>
        <v>16</v>
      </c>
      <c r="DI513" s="997">
        <f>IF(WWWW[[#This Row],[Total required Latrines]]-(WWWW[[#This Row],['#_Constructed latrines_by_WASHAgencies]]+WWWW[[#This Row],['#_Non Cluster partner latrines]])&lt;0,0,WWWW[[#This Row],[Total required Latrines]]-(WWWW[[#This Row],['#_Constructed latrines_by_WASHAgencies]]+WWWW[[#This Row],['#_Non Cluster partner latrines]]))</f>
        <v>0</v>
      </c>
      <c r="DJ513" s="999">
        <f>1-WWWW[[#This Row],[% people access to functioning Latrine]]</f>
        <v>0</v>
      </c>
      <c r="DK513" s="998">
        <f>IF(OR(WWWW[[#This Row],['#_Non-functional latrines]]="",WWWW[[#This Row],['#_Non-functional latrines]]=0),0,WWWW[[#This Row],['#_Non-functional latrines]]/(WWWW[[#This Row],['#_Constructed latrines_by_WASHAgencies]]+WWWW[[#This Row],['#_Non Cluster partner latrines]]))</f>
        <v>0</v>
      </c>
      <c r="DL513" s="994">
        <f>IF(500*(WWWW[[#This Row],['#_male hygiene promoters]]+WWWW[[#This Row],['#_female hygiene promoters]])&gt;WWWW[[#This Row],[Total PoP ]],WWWW[[#This Row],[Total PoP ]],500*(WWWW[[#This Row],['#_male hygiene promoters]]+WWWW[[#This Row],['#_female hygiene promoters]]))</f>
        <v>323</v>
      </c>
      <c r="DM51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1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13" s="997">
        <f>IF(WWWW[[#This Row],['# People with access to soap]]&gt;WWWW[[#This Row],['# People with access to Sanity Pads]],WWWW[[#This Row],['# People with access to soap]],WWWW[[#This Row],['# People with access to Sanity Pads]])</f>
        <v>0</v>
      </c>
      <c r="DP513" s="997">
        <f>IF(WWWW[[#This Row],['# people reached by regular dedicated hygiene promotion_5]]&gt;WWWW[[#This Row],['# People received regular supply of hygiene items_6]],WWWW[[#This Row],['# people reached by regular dedicated hygiene promotion_5]],WWWW[[#This Row],['# People received regular supply of hygiene items_6]])</f>
        <v>323</v>
      </c>
      <c r="DQ513" s="999">
        <f>IF(WWWW[[#This Row],[HRP3]]/WWWW[[#This Row],[Total PoP ]]&gt;1,1,WWWW[[#This Row],[HRP3]]/WWWW[[#This Row],[Total PoP ]])</f>
        <v>1</v>
      </c>
      <c r="DR513" s="998">
        <f>1-WWWW[[#This Row],[Hygiene Coverage%]]</f>
        <v>0</v>
      </c>
      <c r="DS513" s="996">
        <f>WWWW[[#This Row],['# people reached by regular dedicated hygiene promotion_5]]/WWWW[[#This Row],[Total PoP ]]</f>
        <v>1</v>
      </c>
      <c r="DT51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1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13" s="997">
        <f>WWWW[[#This Row],['#_Constructed/Existing hand washing stations]]-WWWW[[#This Row],['#_Non-Functional_hand_washing_stations]]</f>
        <v>3</v>
      </c>
      <c r="DW513" s="994">
        <f>IF(WWWW[[#This Row],['# Functional hand washing stations during reporting period]]*20&gt;WWWW[[#This Row],[Total HH]],WWWW[[#This Row],[Total HH]],WWWW[[#This Row],['# Functional hand washing stations during reporting period]]*20)</f>
        <v>60</v>
      </c>
      <c r="DX513" s="994">
        <f>IF(WWWW[[#This Row],[Is sufficient soap available for TLS? (Yes/No)]]="yes",WWWW[[#This Row],['#_Constructed/Existing hand washing stations at TLS/CFS/THF]],0)</f>
        <v>0</v>
      </c>
      <c r="DY513" s="428">
        <f>IF(WWWW[[#This Row],['# Functional hand washing stations during reporting period]]*100&gt;WWWW[[#This Row],[Total PoP ]],WWWW[[#This Row],[Total PoP ]],WWWW[[#This Row],['# Functional hand washing stations during reporting period]]*100)</f>
        <v>300</v>
      </c>
      <c r="DZ513" s="428" t="str">
        <f>IF(OR(WWWW[[#This Row],['#_students at TLS_CFS]]="",WWWW[[#This Row],['#_students at TLS_CFS]]=0),"No","Yes")</f>
        <v>Yes</v>
      </c>
      <c r="EA51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1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13" s="990" t="str">
        <f>VLOOKUP(WWWW[[#This Row],[Site Name]],SiteDB6[[Site Name]:[CCCM Management]],6,FALSE)</f>
        <v>Yes</v>
      </c>
      <c r="EF513" s="990" t="str">
        <f>VLOOKUP(WWWW[[#This Row],[Site Name]],SiteDB6[[Site Name]:[CCCM Focal Agency]],7,FALSE)</f>
        <v>KBC-MYT</v>
      </c>
      <c r="EG513" s="990" t="str">
        <f>VLOOKUP(WWWW[[#This Row],[Site Name]],SiteDB6[[Site Name]:[Location Type 1]],9,FALSE)</f>
        <v>Camp</v>
      </c>
      <c r="EH513" s="990" t="str">
        <f>VLOOKUP(WWWW[[#This Row],[Site Name]],SiteDB6[[Site Name]:[Type of Accommodation]],10,FALSE)</f>
        <v>Camp</v>
      </c>
      <c r="EI513" s="990" t="str">
        <f>VLOOKUP(WWWW[[#This Row],[Site Name]],SiteDB6[[Site Name]:[Ethnic or GCA/NGCA]],11,FALSE)</f>
        <v>NGCA</v>
      </c>
      <c r="EJ513" s="990">
        <f>VLOOKUP(WWWW[[#This Row],[Site Name]],SiteDB6[[Site Name]:[Lat]],12,FALSE)</f>
        <v>26.569633</v>
      </c>
      <c r="EK513" s="990">
        <f>VLOOKUP(WWWW[[#This Row],[Site Name]],SiteDB6[[Site Name]:[Long]],13,FALSE)</f>
        <v>97.745480999999998</v>
      </c>
      <c r="EL513" s="990" t="str">
        <f>VLOOKUP(WWWW[[#This Row],[Site Name]],SiteDB6[[Site Name]:[Pcode]],3,FALSE)</f>
        <v>MMR001CMP238</v>
      </c>
      <c r="EM513" s="995" t="str">
        <f t="shared" si="10"/>
        <v>Covered</v>
      </c>
      <c r="EN513" s="995"/>
      <c r="EO513" s="990">
        <f>VLOOKUP(WWWW[[#This Row],[Site Name]],SiteDB6[[Site Name]:[Pop
(Kachin/Shan-CCCM as of July 2021)]],16,FALSE)</f>
        <v>123</v>
      </c>
      <c r="EP513" s="990">
        <f>VLOOKUP(WWWW[[#This Row],[Site Name]],SiteDB6[[Site Name]:[Pop
(Kachin/Shan-CCCM as of July 2021)]],17,FALSE)</f>
        <v>646</v>
      </c>
    </row>
    <row r="514" spans="1:146">
      <c r="A514" s="988" t="s">
        <v>2765</v>
      </c>
      <c r="B514" s="988" t="s">
        <v>2081</v>
      </c>
      <c r="C514" s="989" t="s">
        <v>141</v>
      </c>
      <c r="D514" s="989" t="s">
        <v>3160</v>
      </c>
      <c r="E514" s="989" t="s">
        <v>37</v>
      </c>
      <c r="F514" s="989" t="s">
        <v>184</v>
      </c>
      <c r="G514" s="591" t="str">
        <f>VLOOKUP(WWWW[[#This Row],[Site Name]],SiteDB6[[Site Name]:[Location Type]],8,FALSE)</f>
        <v>Camp</v>
      </c>
      <c r="H514" s="989" t="s">
        <v>187</v>
      </c>
      <c r="I514" s="991">
        <v>68</v>
      </c>
      <c r="J514" s="991">
        <v>353</v>
      </c>
      <c r="K514" s="992">
        <v>44682</v>
      </c>
      <c r="L514" s="993">
        <v>45169</v>
      </c>
      <c r="M514" s="991">
        <v>20</v>
      </c>
      <c r="N514" s="991">
        <v>2</v>
      </c>
      <c r="O514" s="991"/>
      <c r="P514" s="991"/>
      <c r="Q514" s="994" t="s">
        <v>41</v>
      </c>
      <c r="R514" s="991">
        <v>3</v>
      </c>
      <c r="S514" s="991">
        <v>2</v>
      </c>
      <c r="T514" s="448">
        <v>16</v>
      </c>
      <c r="U514" s="991"/>
      <c r="V514" s="991"/>
      <c r="W514" s="991"/>
      <c r="X514" s="991"/>
      <c r="Y514" s="991"/>
      <c r="Z514" s="991"/>
      <c r="AA514" s="991"/>
      <c r="AB514" s="991"/>
      <c r="AC514" s="991"/>
      <c r="AD514" s="991"/>
      <c r="AE514" s="991"/>
      <c r="AF514" s="991"/>
      <c r="AG514" s="991"/>
      <c r="AH514" s="991"/>
      <c r="AI514" s="991"/>
      <c r="AJ514" s="991"/>
      <c r="AK514" s="991"/>
      <c r="AL514" s="991"/>
      <c r="AM514" s="991"/>
      <c r="AN514" s="991"/>
      <c r="AO514" s="448"/>
      <c r="AP514" s="995"/>
      <c r="AQ514" s="991">
        <v>73</v>
      </c>
      <c r="AR514" s="991">
        <v>23</v>
      </c>
      <c r="AS514" s="996"/>
      <c r="AT514" s="991"/>
      <c r="AU514" s="991"/>
      <c r="AV514" s="991"/>
      <c r="AW514" s="991"/>
      <c r="AX514" s="991"/>
      <c r="AY514" s="990" t="s">
        <v>41</v>
      </c>
      <c r="AZ514" s="995" t="s">
        <v>137</v>
      </c>
      <c r="BA514" s="991"/>
      <c r="BB514" s="991">
        <v>24</v>
      </c>
      <c r="BC514" s="991">
        <v>5</v>
      </c>
      <c r="BD514" s="448">
        <v>5</v>
      </c>
      <c r="BE514" s="448"/>
      <c r="BF514" s="990"/>
      <c r="BG514" s="991">
        <v>1</v>
      </c>
      <c r="BH514" s="991"/>
      <c r="BI514" s="991"/>
      <c r="BJ514" s="991">
        <v>1</v>
      </c>
      <c r="BK514" s="991"/>
      <c r="BL514" s="991"/>
      <c r="BM514" s="991"/>
      <c r="BN514" s="991"/>
      <c r="BO514" s="991"/>
      <c r="BP514" s="990"/>
      <c r="BQ514" s="997"/>
      <c r="BR514" s="996"/>
      <c r="BS514" s="990"/>
      <c r="BT514" s="423"/>
      <c r="BU514" s="423"/>
      <c r="BV514" s="425"/>
      <c r="BW514" s="423"/>
      <c r="BX514" s="448"/>
      <c r="BY514" s="448"/>
      <c r="BZ514" s="448"/>
      <c r="CA514" s="448"/>
      <c r="CB514" s="448"/>
      <c r="CC514" s="777"/>
      <c r="CD514" s="448"/>
      <c r="CE514" s="998" t="str">
        <f>IFERROR(WWWW[[#This Row],['#_Water sources passed]]/WWWW[[#This Row],['#_Water sources tested for fecal coliform ]],"no test")</f>
        <v>no test</v>
      </c>
      <c r="CF514" s="996" t="str">
        <f>IFERROR(WWWW[[#This Row],['#_Household passed]]/WWWW[[#This Row],['#_Household water samples tested for fecal coliform]],"no test")</f>
        <v>no test</v>
      </c>
      <c r="CG514" s="997" t="str">
        <f>IF(AND(WWWW[[#This Row],[% of water sources passed]]="no test",WWWW[[#This Row],[% Household passed]]="no test"),"No Test","Tested")</f>
        <v>No Test</v>
      </c>
      <c r="CH514" s="997">
        <f>WWWW[[#This Row],['#_Constructed/existing protected hand dug well]]-WWWW[[#This Row],['#_Non-functional protected hand dug well]]</f>
        <v>16</v>
      </c>
      <c r="CI514" s="997">
        <f>(WWWW[[#This Row],['#_Constructed/Existing tube wells/boreholes/handpumps_WASH_agency]]+WWWW[[#This Row],['#_Non-Cluster partner water tube-wells/boreholes/handpumps]])-WWWW[[#This Row],['#_Non-functional tube wells/boreholes/handpumps]]</f>
        <v>0</v>
      </c>
      <c r="CJ514" s="997">
        <f>WWWW[[#This Row],['#_Constructed/Existingwater storage tank with gravity fed reticulation system]]-WWWW[[#This Row],['#_Non-functional storage tank gravity fed reticulation system]]</f>
        <v>0</v>
      </c>
      <c r="CK514" s="997">
        <f>(WWWW[[#This Row],['#_Water_Liters_supplied_by_Water boating or water trucking]]/90)/15</f>
        <v>0</v>
      </c>
      <c r="CL514" s="997">
        <f>WWWW[[#This Row],['#_Water_Liters_from_Constructed/Existing water distribution system from river or natural spring]]/90/15</f>
        <v>0</v>
      </c>
      <c r="CM514" s="424">
        <f>IF(WWWW[[#This Row],['#_of water points in TLS/CFS]]*500&gt;WWWW[[#This Row],[Total PoP ]],WWWW[[#This Row],[Total PoP ]],WWWW[[#This Row],['#_of water points in TLS/CFS]]*500)</f>
        <v>0</v>
      </c>
      <c r="CN514" s="424">
        <f>IF(WWWW[[#This Row],['#_of water points in THF]]*500&gt;WWWW[[#This Row],[Total PoP ]],WWWW[[#This Row],[Total PoP ]],WWWW[[#This Row],['#_of water points in THF]]*500)</f>
        <v>0</v>
      </c>
      <c r="CO51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1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14" s="996">
        <f>IF(WWWW[[#This Row],[Location Type 1]]="Village",WWWW[[#This Row],[Access to safe drinking water for Village]],WWWW[[#This Row],[Access to safe drinking water for Camp]])</f>
        <v>1</v>
      </c>
      <c r="CR514" s="994">
        <f>WWWW[[#This Row],[%Equitable and continuous access to sufficient quantity of safe drinking water]]*WWWW[[#This Row],[Total PoP ]]</f>
        <v>353</v>
      </c>
      <c r="CS514" s="996">
        <f>IF((WWWW[[#This Row],['#_Constructed/Existing protected/fenced ponds]]*250)/WWWW[[#This Row],[Total PoP ]]&gt;1,1,(WWWW[[#This Row],['#_Constructed/Existing protected/fenced ponds]]*250)/WWWW[[#This Row],[Total PoP ]])</f>
        <v>0</v>
      </c>
      <c r="CT514" s="994">
        <f>WWWW[[#This Row],[% Access to unimproved water points]]*WWWW[[#This Row],[Total PoP ]]</f>
        <v>0</v>
      </c>
      <c r="CU51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1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353</v>
      </c>
      <c r="CW514" s="994">
        <f>WWWW[[#This Row],[HRP1]]/500</f>
        <v>0.70599999999999996</v>
      </c>
      <c r="CX514" s="999">
        <f>1-WWWW[[#This Row],[% Equitable and continuous access to sufficient quantity of domestic water]]</f>
        <v>0</v>
      </c>
      <c r="CY514" s="994">
        <f>WWWW[[#This Row],[%equitable and continuous access to sufficient quantity of safe drinking and domestic water''s GAP]]*WWWW[[#This Row],[Total PoP ]]</f>
        <v>0</v>
      </c>
      <c r="CZ514" s="997">
        <f>IF(WWWW[[#This Row],[Total required water points]]-WWWW[[#This Row],['#Water points coverage]]&lt;0,0,WWWW[[#This Row],[Total required water points]]-WWWW[[#This Row],['#Water points coverage]])</f>
        <v>0.29400000000000004</v>
      </c>
      <c r="DA514" s="997">
        <f>ROUND(IF(WWWW[[#This Row],[Total PoP ]]&lt;500,1,WWWW[[#This Row],[Total PoP ]]/500),0)</f>
        <v>1</v>
      </c>
      <c r="DB514" s="997">
        <f>(WWWW[[#This Row],['#_Constructed latrines_by_WASHAgencies]]+WWWW[[#This Row],['#_Non Cluster partner latrines]])-WWWW[[#This Row],['#_Non-functional latrines]]</f>
        <v>96</v>
      </c>
      <c r="DC514" s="631">
        <f>WWWW[[#This Row],[HRP2]]/WWWW[[#This Row],[Total PoP ]]</f>
        <v>1</v>
      </c>
      <c r="DD51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353</v>
      </c>
      <c r="DE51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20</v>
      </c>
      <c r="DG514" s="424">
        <f>IF(WWWW[[#This Row],['# of functional latrines in THF supported by WASH partners during the reporting period2]]="",0,WWWW[[#This Row],['# of functional latrines in THF supported by WASH partners during the reporting period2]]*50)</f>
        <v>250</v>
      </c>
      <c r="DH514" s="997">
        <f>ROUND(IF(WWWW[[#This Row],[Location Type 1]]="camp",WWWW[[#This Row],[Total PoP ]]/20,IF(WWWW[[#This Row],[Location Type 1]]="Temporary Location",WWWW[[#This Row],[Total PoP ]]/50,(WWWW[[#This Row],[Total PoP ]]/6))),0)</f>
        <v>18</v>
      </c>
      <c r="DI514" s="997">
        <f>IF(WWWW[[#This Row],[Total required Latrines]]-(WWWW[[#This Row],['#_Constructed latrines_by_WASHAgencies]]+WWWW[[#This Row],['#_Non Cluster partner latrines]])&lt;0,0,WWWW[[#This Row],[Total required Latrines]]-(WWWW[[#This Row],['#_Constructed latrines_by_WASHAgencies]]+WWWW[[#This Row],['#_Non Cluster partner latrines]]))</f>
        <v>0</v>
      </c>
      <c r="DJ514" s="999">
        <f>1-WWWW[[#This Row],[% people access to functioning Latrine]]</f>
        <v>0</v>
      </c>
      <c r="DK514" s="998">
        <f>IF(OR(WWWW[[#This Row],['#_Non-functional latrines]]="",WWWW[[#This Row],['#_Non-functional latrines]]=0),0,WWWW[[#This Row],['#_Non-functional latrines]]/(WWWW[[#This Row],['#_Constructed latrines_by_WASHAgencies]]+WWWW[[#This Row],['#_Non Cluster partner latrines]]))</f>
        <v>0</v>
      </c>
      <c r="DL514" s="994">
        <f>IF(500*(WWWW[[#This Row],['#_male hygiene promoters]]+WWWW[[#This Row],['#_female hygiene promoters]])&gt;WWWW[[#This Row],[Total PoP ]],WWWW[[#This Row],[Total PoP ]],500*(WWWW[[#This Row],['#_male hygiene promoters]]+WWWW[[#This Row],['#_female hygiene promoters]]))</f>
        <v>0</v>
      </c>
      <c r="DM51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1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14" s="997">
        <f>IF(WWWW[[#This Row],['# People with access to soap]]&gt;WWWW[[#This Row],['# People with access to Sanity Pads]],WWWW[[#This Row],['# People with access to soap]],WWWW[[#This Row],['# People with access to Sanity Pads]])</f>
        <v>0</v>
      </c>
      <c r="DP514"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14" s="999">
        <f>IF(WWWW[[#This Row],[HRP3]]/WWWW[[#This Row],[Total PoP ]]&gt;1,1,WWWW[[#This Row],[HRP3]]/WWWW[[#This Row],[Total PoP ]])</f>
        <v>0</v>
      </c>
      <c r="DR514" s="998">
        <f>1-WWWW[[#This Row],[Hygiene Coverage%]]</f>
        <v>1</v>
      </c>
      <c r="DS514" s="996">
        <f>WWWW[[#This Row],['# people reached by regular dedicated hygiene promotion_5]]/WWWW[[#This Row],[Total PoP ]]</f>
        <v>0</v>
      </c>
      <c r="DT51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1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14" s="997">
        <f>WWWW[[#This Row],['#_Constructed/Existing hand washing stations]]-WWWW[[#This Row],['#_Non-Functional_hand_washing_stations]]</f>
        <v>1</v>
      </c>
      <c r="DW514" s="994">
        <f>IF(WWWW[[#This Row],['# Functional hand washing stations during reporting period]]*20&gt;WWWW[[#This Row],[Total HH]],WWWW[[#This Row],[Total HH]],WWWW[[#This Row],['# Functional hand washing stations during reporting period]]*20)</f>
        <v>20</v>
      </c>
      <c r="DX514" s="994">
        <f>IF(WWWW[[#This Row],[Is sufficient soap available for TLS? (Yes/No)]]="yes",WWWW[[#This Row],['#_Constructed/Existing hand washing stations at TLS/CFS/THF]],0)</f>
        <v>0</v>
      </c>
      <c r="DY514" s="428">
        <f>IF(WWWW[[#This Row],['# Functional hand washing stations during reporting period]]*100&gt;WWWW[[#This Row],[Total PoP ]],WWWW[[#This Row],[Total PoP ]],WWWW[[#This Row],['# Functional hand washing stations during reporting period]]*100)</f>
        <v>100</v>
      </c>
      <c r="DZ514" s="428" t="str">
        <f>IF(OR(WWWW[[#This Row],['#_students at TLS_CFS]]="",WWWW[[#This Row],['#_students at TLS_CFS]]=0),"No","Yes")</f>
        <v>Yes</v>
      </c>
      <c r="EA51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20</v>
      </c>
      <c r="ED51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E514" s="990" t="str">
        <f>VLOOKUP(WWWW[[#This Row],[Site Name]],SiteDB6[[Site Name]:[CCCM Management]],6,FALSE)</f>
        <v>Yes</v>
      </c>
      <c r="EF514" s="990" t="str">
        <f>VLOOKUP(WWWW[[#This Row],[Site Name]],SiteDB6[[Site Name]:[CCCM Focal Agency]],7,FALSE)</f>
        <v>KBC-MYT</v>
      </c>
      <c r="EG514" s="990" t="str">
        <f>VLOOKUP(WWWW[[#This Row],[Site Name]],SiteDB6[[Site Name]:[Location Type 1]],9,FALSE)</f>
        <v>Camp</v>
      </c>
      <c r="EH514" s="990" t="str">
        <f>VLOOKUP(WWWW[[#This Row],[Site Name]],SiteDB6[[Site Name]:[Type of Accommodation]],10,FALSE)</f>
        <v>Camp</v>
      </c>
      <c r="EI514" s="990" t="str">
        <f>VLOOKUP(WWWW[[#This Row],[Site Name]],SiteDB6[[Site Name]:[Ethnic or GCA/NGCA]],11,FALSE)</f>
        <v>NGCA</v>
      </c>
      <c r="EJ514" s="990">
        <f>VLOOKUP(WWWW[[#This Row],[Site Name]],SiteDB6[[Site Name]:[Lat]],12,FALSE)</f>
        <v>26.548506</v>
      </c>
      <c r="EK514" s="990">
        <f>VLOOKUP(WWWW[[#This Row],[Site Name]],SiteDB6[[Site Name]:[Long]],13,FALSE)</f>
        <v>97.75609</v>
      </c>
      <c r="EL514" s="990" t="str">
        <f>VLOOKUP(WWWW[[#This Row],[Site Name]],SiteDB6[[Site Name]:[Pcode]],3,FALSE)</f>
        <v>MMR001CMP239</v>
      </c>
      <c r="EM514" s="995" t="str">
        <f t="shared" si="10"/>
        <v>Covered</v>
      </c>
      <c r="EN514" s="995"/>
      <c r="EO514" s="990">
        <f>VLOOKUP(WWWW[[#This Row],[Site Name]],SiteDB6[[Site Name]:[Pop
(Kachin/Shan-CCCM as of July 2021)]],16,FALSE)</f>
        <v>68</v>
      </c>
      <c r="EP514" s="990">
        <f>VLOOKUP(WWWW[[#This Row],[Site Name]],SiteDB6[[Site Name]:[Pop
(Kachin/Shan-CCCM as of July 2021)]],17,FALSE)</f>
        <v>353</v>
      </c>
    </row>
    <row r="515" spans="1:146">
      <c r="A515" s="988" t="s">
        <v>2765</v>
      </c>
      <c r="B515" s="988" t="s">
        <v>3073</v>
      </c>
      <c r="C515" s="989" t="s">
        <v>141</v>
      </c>
      <c r="D515" s="989" t="s">
        <v>3162</v>
      </c>
      <c r="E515" s="989" t="s">
        <v>37</v>
      </c>
      <c r="F515" s="989" t="s">
        <v>148</v>
      </c>
      <c r="G515" s="591" t="str">
        <f>VLOOKUP(WWWW[[#This Row],[Site Name]],SiteDB6[[Site Name]:[Location Type]],8,FALSE)</f>
        <v>Camp</v>
      </c>
      <c r="H515" s="989" t="s">
        <v>188</v>
      </c>
      <c r="I515" s="991">
        <v>28</v>
      </c>
      <c r="J515" s="991">
        <v>103</v>
      </c>
      <c r="K515" s="992">
        <v>44682</v>
      </c>
      <c r="L515" s="993">
        <v>45169</v>
      </c>
      <c r="M515" s="991"/>
      <c r="N515" s="991">
        <v>1</v>
      </c>
      <c r="O515" s="991"/>
      <c r="P515" s="991"/>
      <c r="Q515" s="994" t="s">
        <v>41</v>
      </c>
      <c r="R515" s="991">
        <v>2</v>
      </c>
      <c r="S515" s="991">
        <v>2</v>
      </c>
      <c r="T515" s="448">
        <v>1</v>
      </c>
      <c r="U515" s="991"/>
      <c r="V515" s="991"/>
      <c r="W515" s="991">
        <v>2</v>
      </c>
      <c r="X515" s="991"/>
      <c r="Y515" s="991"/>
      <c r="Z515" s="991"/>
      <c r="AA515" s="991"/>
      <c r="AB515" s="991"/>
      <c r="AC515" s="991"/>
      <c r="AD515" s="991"/>
      <c r="AE515" s="991"/>
      <c r="AF515" s="991"/>
      <c r="AG515" s="991"/>
      <c r="AH515" s="991"/>
      <c r="AI515" s="991"/>
      <c r="AJ515" s="991"/>
      <c r="AK515" s="991"/>
      <c r="AL515" s="991"/>
      <c r="AM515" s="991"/>
      <c r="AN515" s="991"/>
      <c r="AO515" s="448"/>
      <c r="AP515" s="995"/>
      <c r="AQ515" s="991">
        <v>5</v>
      </c>
      <c r="AR515" s="991"/>
      <c r="AS515" s="996"/>
      <c r="AT515" s="991"/>
      <c r="AU515" s="991"/>
      <c r="AV515" s="991"/>
      <c r="AW515" s="991"/>
      <c r="AX515" s="991">
        <v>5</v>
      </c>
      <c r="AY515" s="990" t="s">
        <v>41</v>
      </c>
      <c r="AZ515" s="995" t="s">
        <v>904</v>
      </c>
      <c r="BA515" s="991"/>
      <c r="BB515" s="991"/>
      <c r="BC515" s="991"/>
      <c r="BD515" s="448"/>
      <c r="BE515" s="448"/>
      <c r="BF515" s="990"/>
      <c r="BG515" s="991">
        <v>2</v>
      </c>
      <c r="BH515" s="991"/>
      <c r="BI515" s="991"/>
      <c r="BJ515" s="991">
        <v>2</v>
      </c>
      <c r="BK515" s="991"/>
      <c r="BL515" s="991"/>
      <c r="BM515" s="991"/>
      <c r="BN515" s="991"/>
      <c r="BO515" s="991"/>
      <c r="BP515" s="990"/>
      <c r="BQ515" s="997"/>
      <c r="BR515" s="996"/>
      <c r="BS515" s="990"/>
      <c r="BT515" s="423"/>
      <c r="BU515" s="423"/>
      <c r="BV515" s="425"/>
      <c r="BW515" s="423"/>
      <c r="BX515" s="448"/>
      <c r="BY515" s="448"/>
      <c r="BZ515" s="448"/>
      <c r="CA515" s="448"/>
      <c r="CB515" s="448"/>
      <c r="CC515" s="777"/>
      <c r="CD515" s="448"/>
      <c r="CE515" s="998" t="str">
        <f>IFERROR(WWWW[[#This Row],['#_Water sources passed]]/WWWW[[#This Row],['#_Water sources tested for fecal coliform ]],"no test")</f>
        <v>no test</v>
      </c>
      <c r="CF515" s="996" t="str">
        <f>IFERROR(WWWW[[#This Row],['#_Household passed]]/WWWW[[#This Row],['#_Household water samples tested for fecal coliform]],"no test")</f>
        <v>no test</v>
      </c>
      <c r="CG515" s="997" t="str">
        <f>IF(AND(WWWW[[#This Row],[% of water sources passed]]="no test",WWWW[[#This Row],[% Household passed]]="no test"),"No Test","Tested")</f>
        <v>No Test</v>
      </c>
      <c r="CH515" s="997">
        <f>WWWW[[#This Row],['#_Constructed/existing protected hand dug well]]-WWWW[[#This Row],['#_Non-functional protected hand dug well]]</f>
        <v>1</v>
      </c>
      <c r="CI515" s="997">
        <f>(WWWW[[#This Row],['#_Constructed/Existing tube wells/boreholes/handpumps_WASH_agency]]+WWWW[[#This Row],['#_Non-Cluster partner water tube-wells/boreholes/handpumps]])-WWWW[[#This Row],['#_Non-functional tube wells/boreholes/handpumps]]</f>
        <v>2</v>
      </c>
      <c r="CJ515" s="997">
        <f>WWWW[[#This Row],['#_Constructed/Existingwater storage tank with gravity fed reticulation system]]-WWWW[[#This Row],['#_Non-functional storage tank gravity fed reticulation system]]</f>
        <v>0</v>
      </c>
      <c r="CK515" s="997">
        <f>(WWWW[[#This Row],['#_Water_Liters_supplied_by_Water boating or water trucking]]/90)/15</f>
        <v>0</v>
      </c>
      <c r="CL515" s="997">
        <f>WWWW[[#This Row],['#_Water_Liters_from_Constructed/Existing water distribution system from river or natural spring]]/90/15</f>
        <v>0</v>
      </c>
      <c r="CM515" s="424">
        <f>IF(WWWW[[#This Row],['#_of water points in TLS/CFS]]*500&gt;WWWW[[#This Row],[Total PoP ]],WWWW[[#This Row],[Total PoP ]],WWWW[[#This Row],['#_of water points in TLS/CFS]]*500)</f>
        <v>0</v>
      </c>
      <c r="CN515" s="424">
        <f>IF(WWWW[[#This Row],['#_of water points in THF]]*500&gt;WWWW[[#This Row],[Total PoP ]],WWWW[[#This Row],[Total PoP ]],WWWW[[#This Row],['#_of water points in THF]]*500)</f>
        <v>0</v>
      </c>
      <c r="CO51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1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15" s="996">
        <f>IF(WWWW[[#This Row],[Location Type 1]]="Village",WWWW[[#This Row],[Access to safe drinking water for Village]],WWWW[[#This Row],[Access to safe drinking water for Camp]])</f>
        <v>1</v>
      </c>
      <c r="CR515" s="994">
        <f>WWWW[[#This Row],[%Equitable and continuous access to sufficient quantity of safe drinking water]]*WWWW[[#This Row],[Total PoP ]]</f>
        <v>103</v>
      </c>
      <c r="CS515" s="996">
        <f>IF((WWWW[[#This Row],['#_Constructed/Existing protected/fenced ponds]]*250)/WWWW[[#This Row],[Total PoP ]]&gt;1,1,(WWWW[[#This Row],['#_Constructed/Existing protected/fenced ponds]]*250)/WWWW[[#This Row],[Total PoP ]])</f>
        <v>0</v>
      </c>
      <c r="CT515" s="994">
        <f>WWWW[[#This Row],[% Access to unimproved water points]]*WWWW[[#This Row],[Total PoP ]]</f>
        <v>0</v>
      </c>
      <c r="CU51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1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515" s="994">
        <f>WWWW[[#This Row],[HRP1]]/500</f>
        <v>0.20599999999999999</v>
      </c>
      <c r="CX515" s="999">
        <f>1-WWWW[[#This Row],[% Equitable and continuous access to sufficient quantity of domestic water]]</f>
        <v>0</v>
      </c>
      <c r="CY515" s="994">
        <f>WWWW[[#This Row],[%equitable and continuous access to sufficient quantity of safe drinking and domestic water''s GAP]]*WWWW[[#This Row],[Total PoP ]]</f>
        <v>0</v>
      </c>
      <c r="CZ515" s="997">
        <f>IF(WWWW[[#This Row],[Total required water points]]-WWWW[[#This Row],['#Water points coverage]]&lt;0,0,WWWW[[#This Row],[Total required water points]]-WWWW[[#This Row],['#Water points coverage]])</f>
        <v>0.79400000000000004</v>
      </c>
      <c r="DA515" s="997">
        <f>ROUND(IF(WWWW[[#This Row],[Total PoP ]]&lt;500,1,WWWW[[#This Row],[Total PoP ]]/500),0)</f>
        <v>1</v>
      </c>
      <c r="DB515" s="997">
        <f>(WWWW[[#This Row],['#_Constructed latrines_by_WASHAgencies]]+WWWW[[#This Row],['#_Non Cluster partner latrines]])-WWWW[[#This Row],['#_Non-functional latrines]]</f>
        <v>5</v>
      </c>
      <c r="DC515" s="631">
        <f>WWWW[[#This Row],[HRP2]]/WWWW[[#This Row],[Total PoP ]]</f>
        <v>0.970873786407767</v>
      </c>
      <c r="DD51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51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5" s="424">
        <f>IF(WWWW[[#This Row],['# of functional latrines in THF supported by WASH partners during the reporting period2]]="",0,WWWW[[#This Row],['# of functional latrines in THF supported by WASH partners during the reporting period2]]*50)</f>
        <v>0</v>
      </c>
      <c r="DH515" s="997">
        <f>ROUND(IF(WWWW[[#This Row],[Location Type 1]]="camp",WWWW[[#This Row],[Total PoP ]]/20,IF(WWWW[[#This Row],[Location Type 1]]="Temporary Location",WWWW[[#This Row],[Total PoP ]]/50,(WWWW[[#This Row],[Total PoP ]]/6))),0)</f>
        <v>5</v>
      </c>
      <c r="DI515" s="997">
        <f>IF(WWWW[[#This Row],[Total required Latrines]]-(WWWW[[#This Row],['#_Constructed latrines_by_WASHAgencies]]+WWWW[[#This Row],['#_Non Cluster partner latrines]])&lt;0,0,WWWW[[#This Row],[Total required Latrines]]-(WWWW[[#This Row],['#_Constructed latrines_by_WASHAgencies]]+WWWW[[#This Row],['#_Non Cluster partner latrines]]))</f>
        <v>0</v>
      </c>
      <c r="DJ515" s="999">
        <f>1-WWWW[[#This Row],[% people access to functioning Latrine]]</f>
        <v>2.9126213592232997E-2</v>
      </c>
      <c r="DK515" s="998">
        <f>IF(OR(WWWW[[#This Row],['#_Non-functional latrines]]="",WWWW[[#This Row],['#_Non-functional latrines]]=0),0,WWWW[[#This Row],['#_Non-functional latrines]]/(WWWW[[#This Row],['#_Constructed latrines_by_WASHAgencies]]+WWWW[[#This Row],['#_Non Cluster partner latrines]]))</f>
        <v>0</v>
      </c>
      <c r="DL515" s="994">
        <f>IF(500*(WWWW[[#This Row],['#_male hygiene promoters]]+WWWW[[#This Row],['#_female hygiene promoters]])&gt;WWWW[[#This Row],[Total PoP ]],WWWW[[#This Row],[Total PoP ]],500*(WWWW[[#This Row],['#_male hygiene promoters]]+WWWW[[#This Row],['#_female hygiene promoters]]))</f>
        <v>0</v>
      </c>
      <c r="DM51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1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15" s="997">
        <f>IF(WWWW[[#This Row],['# People with access to soap]]&gt;WWWW[[#This Row],['# People with access to Sanity Pads]],WWWW[[#This Row],['# People with access to soap]],WWWW[[#This Row],['# People with access to Sanity Pads]])</f>
        <v>0</v>
      </c>
      <c r="DP515"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15" s="999">
        <f>IF(WWWW[[#This Row],[HRP3]]/WWWW[[#This Row],[Total PoP ]]&gt;1,1,WWWW[[#This Row],[HRP3]]/WWWW[[#This Row],[Total PoP ]])</f>
        <v>0</v>
      </c>
      <c r="DR515" s="998">
        <f>1-WWWW[[#This Row],[Hygiene Coverage%]]</f>
        <v>1</v>
      </c>
      <c r="DS515" s="996">
        <f>WWWW[[#This Row],['# people reached by regular dedicated hygiene promotion_5]]/WWWW[[#This Row],[Total PoP ]]</f>
        <v>0</v>
      </c>
      <c r="DT51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1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15" s="997">
        <f>WWWW[[#This Row],['#_Constructed/Existing hand washing stations]]-WWWW[[#This Row],['#_Non-Functional_hand_washing_stations]]</f>
        <v>2</v>
      </c>
      <c r="DW515" s="994">
        <f>IF(WWWW[[#This Row],['# Functional hand washing stations during reporting period]]*20&gt;WWWW[[#This Row],[Total HH]],WWWW[[#This Row],[Total HH]],WWWW[[#This Row],['# Functional hand washing stations during reporting period]]*20)</f>
        <v>28</v>
      </c>
      <c r="DX515" s="994">
        <f>IF(WWWW[[#This Row],[Is sufficient soap available for TLS? (Yes/No)]]="yes",WWWW[[#This Row],['#_Constructed/Existing hand washing stations at TLS/CFS/THF]],0)</f>
        <v>0</v>
      </c>
      <c r="DY515" s="428">
        <f>IF(WWWW[[#This Row],['# Functional hand washing stations during reporting period]]*100&gt;WWWW[[#This Row],[Total PoP ]],WWWW[[#This Row],[Total PoP ]],WWWW[[#This Row],['# Functional hand washing stations during reporting period]]*100)</f>
        <v>103</v>
      </c>
      <c r="DZ515" s="428" t="str">
        <f>IF(OR(WWWW[[#This Row],['#_students at TLS_CFS]]="",WWWW[[#This Row],['#_students at TLS_CFS]]=0),"No","Yes")</f>
        <v>No</v>
      </c>
      <c r="EA51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1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15" s="990" t="str">
        <f>VLOOKUP(WWWW[[#This Row],[Site Name]],SiteDB6[[Site Name]:[CCCM Management]],6,FALSE)</f>
        <v>Yes</v>
      </c>
      <c r="EF515" s="990" t="str">
        <f>VLOOKUP(WWWW[[#This Row],[Site Name]],SiteDB6[[Site Name]:[CCCM Focal Agency]],7,FALSE)</f>
        <v>KBC-MYT</v>
      </c>
      <c r="EG515" s="990" t="str">
        <f>VLOOKUP(WWWW[[#This Row],[Site Name]],SiteDB6[[Site Name]:[Location Type 1]],9,FALSE)</f>
        <v>Camp</v>
      </c>
      <c r="EH515" s="990" t="str">
        <f>VLOOKUP(WWWW[[#This Row],[Site Name]],SiteDB6[[Site Name]:[Type of Accommodation]],10,FALSE)</f>
        <v>Camp</v>
      </c>
      <c r="EI515" s="990" t="str">
        <f>VLOOKUP(WWWW[[#This Row],[Site Name]],SiteDB6[[Site Name]:[Ethnic or GCA/NGCA]],11,FALSE)</f>
        <v>GCA</v>
      </c>
      <c r="EJ515" s="990">
        <f>VLOOKUP(WWWW[[#This Row],[Site Name]],SiteDB6[[Site Name]:[Lat]],12,FALSE)</f>
        <v>25.920006000000001</v>
      </c>
      <c r="EK515" s="990">
        <f>VLOOKUP(WWWW[[#This Row],[Site Name]],SiteDB6[[Site Name]:[Long]],13,FALSE)</f>
        <v>96.662092000000001</v>
      </c>
      <c r="EL515" s="990" t="str">
        <f>VLOOKUP(WWWW[[#This Row],[Site Name]],SiteDB6[[Site Name]:[Pcode]],3,FALSE)</f>
        <v>MMR001CMP244</v>
      </c>
      <c r="EM515" s="995" t="str">
        <f t="shared" si="10"/>
        <v>Covered</v>
      </c>
      <c r="EN515" s="995"/>
      <c r="EO515" s="990">
        <f>VLOOKUP(WWWW[[#This Row],[Site Name]],SiteDB6[[Site Name]:[Pop
(Kachin/Shan-CCCM as of July 2021)]],16,FALSE)</f>
        <v>24</v>
      </c>
      <c r="EP515" s="990">
        <f>VLOOKUP(WWWW[[#This Row],[Site Name]],SiteDB6[[Site Name]:[Pop
(Kachin/Shan-CCCM as of July 2021)]],17,FALSE)</f>
        <v>110</v>
      </c>
    </row>
    <row r="516" spans="1:146">
      <c r="A516" s="988" t="s">
        <v>2765</v>
      </c>
      <c r="B516" s="988" t="s">
        <v>3073</v>
      </c>
      <c r="C516" s="989" t="s">
        <v>141</v>
      </c>
      <c r="D516" s="989" t="s">
        <v>3161</v>
      </c>
      <c r="E516" s="989" t="s">
        <v>37</v>
      </c>
      <c r="F516" s="989" t="s">
        <v>148</v>
      </c>
      <c r="G516" s="591" t="str">
        <f>VLOOKUP(WWWW[[#This Row],[Site Name]],SiteDB6[[Site Name]:[Location Type]],8,FALSE)</f>
        <v>Camp</v>
      </c>
      <c r="H516" s="989" t="s">
        <v>190</v>
      </c>
      <c r="I516" s="991">
        <v>10</v>
      </c>
      <c r="J516" s="991">
        <v>18</v>
      </c>
      <c r="K516" s="992">
        <v>44682</v>
      </c>
      <c r="L516" s="993">
        <v>45169</v>
      </c>
      <c r="M516" s="991"/>
      <c r="N516" s="991">
        <v>1</v>
      </c>
      <c r="O516" s="991"/>
      <c r="P516" s="991"/>
      <c r="Q516" s="994"/>
      <c r="R516" s="991">
        <v>2</v>
      </c>
      <c r="S516" s="991">
        <v>2</v>
      </c>
      <c r="T516" s="448">
        <v>1</v>
      </c>
      <c r="U516" s="991"/>
      <c r="V516" s="991"/>
      <c r="W516" s="991">
        <v>1</v>
      </c>
      <c r="X516" s="991"/>
      <c r="Y516" s="991"/>
      <c r="Z516" s="991"/>
      <c r="AA516" s="991"/>
      <c r="AB516" s="991"/>
      <c r="AC516" s="991"/>
      <c r="AD516" s="991"/>
      <c r="AE516" s="991"/>
      <c r="AF516" s="991"/>
      <c r="AG516" s="991"/>
      <c r="AH516" s="991"/>
      <c r="AI516" s="991"/>
      <c r="AJ516" s="991"/>
      <c r="AK516" s="991"/>
      <c r="AL516" s="991"/>
      <c r="AM516" s="991"/>
      <c r="AN516" s="991"/>
      <c r="AO516" s="448"/>
      <c r="AP516" s="995"/>
      <c r="AQ516" s="991"/>
      <c r="AR516" s="991"/>
      <c r="AS516" s="996"/>
      <c r="AT516" s="991"/>
      <c r="AU516" s="991"/>
      <c r="AV516" s="991"/>
      <c r="AW516" s="991"/>
      <c r="AX516" s="991"/>
      <c r="AY516" s="990" t="s">
        <v>140</v>
      </c>
      <c r="AZ516" s="995" t="s">
        <v>140</v>
      </c>
      <c r="BA516" s="991"/>
      <c r="BB516" s="991"/>
      <c r="BC516" s="991"/>
      <c r="BD516" s="448"/>
      <c r="BE516" s="448"/>
      <c r="BF516" s="990"/>
      <c r="BG516" s="991">
        <v>5</v>
      </c>
      <c r="BH516" s="991"/>
      <c r="BI516" s="991"/>
      <c r="BJ516" s="991">
        <v>3</v>
      </c>
      <c r="BK516" s="991"/>
      <c r="BL516" s="991"/>
      <c r="BM516" s="991"/>
      <c r="BN516" s="991"/>
      <c r="BO516" s="991"/>
      <c r="BP516" s="990"/>
      <c r="BQ516" s="997"/>
      <c r="BR516" s="996"/>
      <c r="BS516" s="990"/>
      <c r="BT516" s="423"/>
      <c r="BU516" s="423"/>
      <c r="BV516" s="425"/>
      <c r="BW516" s="423"/>
      <c r="BX516" s="448"/>
      <c r="BY516" s="448"/>
      <c r="BZ516" s="448"/>
      <c r="CA516" s="448"/>
      <c r="CB516" s="448"/>
      <c r="CC516" s="777"/>
      <c r="CD516" s="448"/>
      <c r="CE516" s="998" t="str">
        <f>IFERROR(WWWW[[#This Row],['#_Water sources passed]]/WWWW[[#This Row],['#_Water sources tested for fecal coliform ]],"no test")</f>
        <v>no test</v>
      </c>
      <c r="CF516" s="996" t="str">
        <f>IFERROR(WWWW[[#This Row],['#_Household passed]]/WWWW[[#This Row],['#_Household water samples tested for fecal coliform]],"no test")</f>
        <v>no test</v>
      </c>
      <c r="CG516" s="997" t="str">
        <f>IF(AND(WWWW[[#This Row],[% of water sources passed]]="no test",WWWW[[#This Row],[% Household passed]]="no test"),"No Test","Tested")</f>
        <v>No Test</v>
      </c>
      <c r="CH516" s="997">
        <f>WWWW[[#This Row],['#_Constructed/existing protected hand dug well]]-WWWW[[#This Row],['#_Non-functional protected hand dug well]]</f>
        <v>1</v>
      </c>
      <c r="CI516" s="997">
        <f>(WWWW[[#This Row],['#_Constructed/Existing tube wells/boreholes/handpumps_WASH_agency]]+WWWW[[#This Row],['#_Non-Cluster partner water tube-wells/boreholes/handpumps]])-WWWW[[#This Row],['#_Non-functional tube wells/boreholes/handpumps]]</f>
        <v>1</v>
      </c>
      <c r="CJ516" s="997">
        <f>WWWW[[#This Row],['#_Constructed/Existingwater storage tank with gravity fed reticulation system]]-WWWW[[#This Row],['#_Non-functional storage tank gravity fed reticulation system]]</f>
        <v>0</v>
      </c>
      <c r="CK516" s="997">
        <f>(WWWW[[#This Row],['#_Water_Liters_supplied_by_Water boating or water trucking]]/90)/15</f>
        <v>0</v>
      </c>
      <c r="CL516" s="997">
        <f>WWWW[[#This Row],['#_Water_Liters_from_Constructed/Existing water distribution system from river or natural spring]]/90/15</f>
        <v>0</v>
      </c>
      <c r="CM516" s="424">
        <f>IF(WWWW[[#This Row],['#_of water points in TLS/CFS]]*500&gt;WWWW[[#This Row],[Total PoP ]],WWWW[[#This Row],[Total PoP ]],WWWW[[#This Row],['#_of water points in TLS/CFS]]*500)</f>
        <v>0</v>
      </c>
      <c r="CN516" s="424">
        <f>IF(WWWW[[#This Row],['#_of water points in THF]]*500&gt;WWWW[[#This Row],[Total PoP ]],WWWW[[#This Row],[Total PoP ]],WWWW[[#This Row],['#_of water points in THF]]*500)</f>
        <v>0</v>
      </c>
      <c r="CO51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1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16" s="996">
        <f>IF(WWWW[[#This Row],[Location Type 1]]="Village",WWWW[[#This Row],[Access to safe drinking water for Village]],WWWW[[#This Row],[Access to safe drinking water for Camp]])</f>
        <v>1</v>
      </c>
      <c r="CR516" s="994">
        <f>WWWW[[#This Row],[%Equitable and continuous access to sufficient quantity of safe drinking water]]*WWWW[[#This Row],[Total PoP ]]</f>
        <v>18</v>
      </c>
      <c r="CS516" s="996">
        <f>IF((WWWW[[#This Row],['#_Constructed/Existing protected/fenced ponds]]*250)/WWWW[[#This Row],[Total PoP ]]&gt;1,1,(WWWW[[#This Row],['#_Constructed/Existing protected/fenced ponds]]*250)/WWWW[[#This Row],[Total PoP ]])</f>
        <v>0</v>
      </c>
      <c r="CT516" s="994">
        <f>WWWW[[#This Row],[% Access to unimproved water points]]*WWWW[[#This Row],[Total PoP ]]</f>
        <v>0</v>
      </c>
      <c r="CU51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1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v>
      </c>
      <c r="CW516" s="994">
        <f>WWWW[[#This Row],[HRP1]]/500</f>
        <v>3.5999999999999997E-2</v>
      </c>
      <c r="CX516" s="999">
        <f>1-WWWW[[#This Row],[% Equitable and continuous access to sufficient quantity of domestic water]]</f>
        <v>0</v>
      </c>
      <c r="CY516" s="994">
        <f>WWWW[[#This Row],[%equitable and continuous access to sufficient quantity of safe drinking and domestic water''s GAP]]*WWWW[[#This Row],[Total PoP ]]</f>
        <v>0</v>
      </c>
      <c r="CZ516" s="997">
        <f>IF(WWWW[[#This Row],[Total required water points]]-WWWW[[#This Row],['#Water points coverage]]&lt;0,0,WWWW[[#This Row],[Total required water points]]-WWWW[[#This Row],['#Water points coverage]])</f>
        <v>0.96399999999999997</v>
      </c>
      <c r="DA516" s="997">
        <f>ROUND(IF(WWWW[[#This Row],[Total PoP ]]&lt;500,1,WWWW[[#This Row],[Total PoP ]]/500),0)</f>
        <v>1</v>
      </c>
      <c r="DB516" s="997">
        <f>(WWWW[[#This Row],['#_Constructed latrines_by_WASHAgencies]]+WWWW[[#This Row],['#_Non Cluster partner latrines]])-WWWW[[#This Row],['#_Non-functional latrines]]</f>
        <v>0</v>
      </c>
      <c r="DC516" s="631">
        <f>WWWW[[#This Row],[HRP2]]/WWWW[[#This Row],[Total PoP ]]</f>
        <v>0</v>
      </c>
      <c r="DD51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1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6" s="424">
        <f>IF(WWWW[[#This Row],['# of functional latrines in THF supported by WASH partners during the reporting period2]]="",0,WWWW[[#This Row],['# of functional latrines in THF supported by WASH partners during the reporting period2]]*50)</f>
        <v>0</v>
      </c>
      <c r="DH516" s="997">
        <f>ROUND(IF(WWWW[[#This Row],[Location Type 1]]="camp",WWWW[[#This Row],[Total PoP ]]/20,IF(WWWW[[#This Row],[Location Type 1]]="Temporary Location",WWWW[[#This Row],[Total PoP ]]/50,(WWWW[[#This Row],[Total PoP ]]/6))),0)</f>
        <v>1</v>
      </c>
      <c r="DI516" s="997">
        <f>IF(WWWW[[#This Row],[Total required Latrines]]-(WWWW[[#This Row],['#_Constructed latrines_by_WASHAgencies]]+WWWW[[#This Row],['#_Non Cluster partner latrines]])&lt;0,0,WWWW[[#This Row],[Total required Latrines]]-(WWWW[[#This Row],['#_Constructed latrines_by_WASHAgencies]]+WWWW[[#This Row],['#_Non Cluster partner latrines]]))</f>
        <v>1</v>
      </c>
      <c r="DJ516" s="999">
        <f>1-WWWW[[#This Row],[% people access to functioning Latrine]]</f>
        <v>1</v>
      </c>
      <c r="DK516" s="998">
        <f>IF(OR(WWWW[[#This Row],['#_Non-functional latrines]]="",WWWW[[#This Row],['#_Non-functional latrines]]=0),0,WWWW[[#This Row],['#_Non-functional latrines]]/(WWWW[[#This Row],['#_Constructed latrines_by_WASHAgencies]]+WWWW[[#This Row],['#_Non Cluster partner latrines]]))</f>
        <v>0</v>
      </c>
      <c r="DL516" s="994">
        <f>IF(500*(WWWW[[#This Row],['#_male hygiene promoters]]+WWWW[[#This Row],['#_female hygiene promoters]])&gt;WWWW[[#This Row],[Total PoP ]],WWWW[[#This Row],[Total PoP ]],500*(WWWW[[#This Row],['#_male hygiene promoters]]+WWWW[[#This Row],['#_female hygiene promoters]]))</f>
        <v>0</v>
      </c>
      <c r="DM51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1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16" s="997">
        <f>IF(WWWW[[#This Row],['# People with access to soap]]&gt;WWWW[[#This Row],['# People with access to Sanity Pads]],WWWW[[#This Row],['# People with access to soap]],WWWW[[#This Row],['# People with access to Sanity Pads]])</f>
        <v>0</v>
      </c>
      <c r="DP516"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16" s="999">
        <f>IF(WWWW[[#This Row],[HRP3]]/WWWW[[#This Row],[Total PoP ]]&gt;1,1,WWWW[[#This Row],[HRP3]]/WWWW[[#This Row],[Total PoP ]])</f>
        <v>0</v>
      </c>
      <c r="DR516" s="998">
        <f>1-WWWW[[#This Row],[Hygiene Coverage%]]</f>
        <v>1</v>
      </c>
      <c r="DS516" s="996">
        <f>WWWW[[#This Row],['# people reached by regular dedicated hygiene promotion_5]]/WWWW[[#This Row],[Total PoP ]]</f>
        <v>0</v>
      </c>
      <c r="DT51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1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16" s="997">
        <f>WWWW[[#This Row],['#_Constructed/Existing hand washing stations]]-WWWW[[#This Row],['#_Non-Functional_hand_washing_stations]]</f>
        <v>5</v>
      </c>
      <c r="DW516" s="994">
        <f>IF(WWWW[[#This Row],['# Functional hand washing stations during reporting period]]*20&gt;WWWW[[#This Row],[Total HH]],WWWW[[#This Row],[Total HH]],WWWW[[#This Row],['# Functional hand washing stations during reporting period]]*20)</f>
        <v>10</v>
      </c>
      <c r="DX516" s="994">
        <f>IF(WWWW[[#This Row],[Is sufficient soap available for TLS? (Yes/No)]]="yes",WWWW[[#This Row],['#_Constructed/Existing hand washing stations at TLS/CFS/THF]],0)</f>
        <v>0</v>
      </c>
      <c r="DY516" s="428">
        <f>IF(WWWW[[#This Row],['# Functional hand washing stations during reporting period]]*100&gt;WWWW[[#This Row],[Total PoP ]],WWWW[[#This Row],[Total PoP ]],WWWW[[#This Row],['# Functional hand washing stations during reporting period]]*100)</f>
        <v>18</v>
      </c>
      <c r="DZ516" s="428" t="str">
        <f>IF(OR(WWWW[[#This Row],['#_students at TLS_CFS]]="",WWWW[[#This Row],['#_students at TLS_CFS]]=0),"No","Yes")</f>
        <v>No</v>
      </c>
      <c r="EA51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1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16" s="990" t="str">
        <f>VLOOKUP(WWWW[[#This Row],[Site Name]],SiteDB6[[Site Name]:[CCCM Management]],6,FALSE)</f>
        <v>Yes</v>
      </c>
      <c r="EF516" s="990" t="str">
        <f>VLOOKUP(WWWW[[#This Row],[Site Name]],SiteDB6[[Site Name]:[CCCM Focal Agency]],7,FALSE)</f>
        <v>KMSS-MYT</v>
      </c>
      <c r="EG516" s="990" t="str">
        <f>VLOOKUP(WWWW[[#This Row],[Site Name]],SiteDB6[[Site Name]:[Location Type 1]],9,FALSE)</f>
        <v>Camp</v>
      </c>
      <c r="EH516" s="990" t="str">
        <f>VLOOKUP(WWWW[[#This Row],[Site Name]],SiteDB6[[Site Name]:[Type of Accommodation]],10,FALSE)</f>
        <v>Camp</v>
      </c>
      <c r="EI516" s="990" t="str">
        <f>VLOOKUP(WWWW[[#This Row],[Site Name]],SiteDB6[[Site Name]:[Ethnic or GCA/NGCA]],11,FALSE)</f>
        <v>GCA</v>
      </c>
      <c r="EJ516" s="990">
        <f>VLOOKUP(WWWW[[#This Row],[Site Name]],SiteDB6[[Site Name]:[Lat]],12,FALSE)</f>
        <v>25.920006000000001</v>
      </c>
      <c r="EK516" s="990">
        <f>VLOOKUP(WWWW[[#This Row],[Site Name]],SiteDB6[[Site Name]:[Long]],13,FALSE)</f>
        <v>96.662092000000001</v>
      </c>
      <c r="EL516" s="990" t="str">
        <f>VLOOKUP(WWWW[[#This Row],[Site Name]],SiteDB6[[Site Name]:[Pcode]],3,FALSE)</f>
        <v>MMR001CMP247</v>
      </c>
      <c r="EM516" s="995" t="str">
        <f t="shared" si="10"/>
        <v>Covered</v>
      </c>
      <c r="EN516" s="995"/>
      <c r="EO516" s="990">
        <f>VLOOKUP(WWWW[[#This Row],[Site Name]],SiteDB6[[Site Name]:[Pop
(Kachin/Shan-CCCM as of July 2021)]],16,FALSE)</f>
        <v>24</v>
      </c>
      <c r="EP516" s="990">
        <f>VLOOKUP(WWWW[[#This Row],[Site Name]],SiteDB6[[Site Name]:[Pop
(Kachin/Shan-CCCM as of July 2021)]],17,FALSE)</f>
        <v>101</v>
      </c>
    </row>
    <row r="517" spans="1:146">
      <c r="A517" s="988" t="s">
        <v>2765</v>
      </c>
      <c r="B517" s="988" t="s">
        <v>309</v>
      </c>
      <c r="C517" s="989" t="s">
        <v>309</v>
      </c>
      <c r="D517" s="989"/>
      <c r="E517" s="989" t="s">
        <v>37</v>
      </c>
      <c r="F517" s="989" t="s">
        <v>142</v>
      </c>
      <c r="G517" s="591" t="str">
        <f>VLOOKUP(WWWW[[#This Row],[Site Name]],SiteDB6[[Site Name]:[Location Type]],8,FALSE)</f>
        <v>Camp</v>
      </c>
      <c r="H517" s="989" t="s">
        <v>778</v>
      </c>
      <c r="I517" s="991">
        <v>45</v>
      </c>
      <c r="J517" s="991">
        <v>247</v>
      </c>
      <c r="K517" s="992"/>
      <c r="L517" s="993"/>
      <c r="M517" s="991"/>
      <c r="N517" s="991"/>
      <c r="O517" s="991"/>
      <c r="P517" s="991"/>
      <c r="Q517" s="994"/>
      <c r="R517" s="991"/>
      <c r="S517" s="991">
        <v>2</v>
      </c>
      <c r="T517" s="448"/>
      <c r="U517" s="991"/>
      <c r="V517" s="991"/>
      <c r="W517" s="991"/>
      <c r="X517" s="991"/>
      <c r="Y517" s="991"/>
      <c r="Z517" s="991"/>
      <c r="AA517" s="991"/>
      <c r="AB517" s="991"/>
      <c r="AC517" s="991"/>
      <c r="AD517" s="991"/>
      <c r="AE517" s="991"/>
      <c r="AF517" s="991"/>
      <c r="AG517" s="991"/>
      <c r="AH517" s="991"/>
      <c r="AI517" s="991"/>
      <c r="AJ517" s="991"/>
      <c r="AK517" s="991"/>
      <c r="AL517" s="991"/>
      <c r="AM517" s="991"/>
      <c r="AN517" s="991"/>
      <c r="AO517" s="448"/>
      <c r="AP517" s="995"/>
      <c r="AQ517" s="991"/>
      <c r="AR517" s="991"/>
      <c r="AS517" s="996"/>
      <c r="AT517" s="991"/>
      <c r="AU517" s="991"/>
      <c r="AV517" s="991"/>
      <c r="AW517" s="991"/>
      <c r="AX517" s="991"/>
      <c r="AY517" s="990" t="s">
        <v>140</v>
      </c>
      <c r="AZ517" s="995" t="s">
        <v>140</v>
      </c>
      <c r="BA517" s="991"/>
      <c r="BB517" s="991"/>
      <c r="BC517" s="991"/>
      <c r="BD517" s="448"/>
      <c r="BE517" s="448"/>
      <c r="BF517" s="990"/>
      <c r="BG517" s="991">
        <v>1</v>
      </c>
      <c r="BH517" s="991"/>
      <c r="BI517" s="991"/>
      <c r="BJ517" s="991">
        <v>3</v>
      </c>
      <c r="BK517" s="991"/>
      <c r="BL517" s="991"/>
      <c r="BM517" s="991"/>
      <c r="BN517" s="991"/>
      <c r="BO517" s="991"/>
      <c r="BP517" s="990"/>
      <c r="BQ517" s="997"/>
      <c r="BR517" s="996"/>
      <c r="BS517" s="990"/>
      <c r="BT517" s="423"/>
      <c r="BU517" s="423"/>
      <c r="BV517" s="425"/>
      <c r="BW517" s="423"/>
      <c r="BX517" s="448"/>
      <c r="BY517" s="448"/>
      <c r="BZ517" s="448"/>
      <c r="CA517" s="448"/>
      <c r="CB517" s="448"/>
      <c r="CC517" s="777"/>
      <c r="CD517" s="448"/>
      <c r="CE517" s="998" t="str">
        <f>IFERROR(WWWW[[#This Row],['#_Water sources passed]]/WWWW[[#This Row],['#_Water sources tested for fecal coliform ]],"no test")</f>
        <v>no test</v>
      </c>
      <c r="CF517" s="996" t="str">
        <f>IFERROR(WWWW[[#This Row],['#_Household passed]]/WWWW[[#This Row],['#_Household water samples tested for fecal coliform]],"no test")</f>
        <v>no test</v>
      </c>
      <c r="CG517" s="997" t="str">
        <f>IF(AND(WWWW[[#This Row],[% of water sources passed]]="no test",WWWW[[#This Row],[% Household passed]]="no test"),"No Test","Tested")</f>
        <v>No Test</v>
      </c>
      <c r="CH517" s="997">
        <f>WWWW[[#This Row],['#_Constructed/existing protected hand dug well]]-WWWW[[#This Row],['#_Non-functional protected hand dug well]]</f>
        <v>0</v>
      </c>
      <c r="CI517" s="997">
        <f>(WWWW[[#This Row],['#_Constructed/Existing tube wells/boreholes/handpumps_WASH_agency]]+WWWW[[#This Row],['#_Non-Cluster partner water tube-wells/boreholes/handpumps]])-WWWW[[#This Row],['#_Non-functional tube wells/boreholes/handpumps]]</f>
        <v>0</v>
      </c>
      <c r="CJ517" s="997">
        <f>WWWW[[#This Row],['#_Constructed/Existingwater storage tank with gravity fed reticulation system]]-WWWW[[#This Row],['#_Non-functional storage tank gravity fed reticulation system]]</f>
        <v>0</v>
      </c>
      <c r="CK517" s="997">
        <f>(WWWW[[#This Row],['#_Water_Liters_supplied_by_Water boating or water trucking]]/90)/15</f>
        <v>0</v>
      </c>
      <c r="CL517" s="997">
        <f>WWWW[[#This Row],['#_Water_Liters_from_Constructed/Existing water distribution system from river or natural spring]]/90/15</f>
        <v>0</v>
      </c>
      <c r="CM517" s="424">
        <f>IF(WWWW[[#This Row],['#_of water points in TLS/CFS]]*500&gt;WWWW[[#This Row],[Total PoP ]],WWWW[[#This Row],[Total PoP ]],WWWW[[#This Row],['#_of water points in TLS/CFS]]*500)</f>
        <v>0</v>
      </c>
      <c r="CN517" s="424">
        <f>IF(WWWW[[#This Row],['#_of water points in THF]]*500&gt;WWWW[[#This Row],[Total PoP ]],WWWW[[#This Row],[Total PoP ]],WWWW[[#This Row],['#_of water points in THF]]*500)</f>
        <v>0</v>
      </c>
      <c r="CO51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1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17" s="996">
        <f>IF(WWWW[[#This Row],[Location Type 1]]="Village",WWWW[[#This Row],[Access to safe drinking water for Village]],WWWW[[#This Row],[Access to safe drinking water for Camp]])</f>
        <v>0</v>
      </c>
      <c r="CR517" s="994">
        <f>WWWW[[#This Row],[%Equitable and continuous access to sufficient quantity of safe drinking water]]*WWWW[[#This Row],[Total PoP ]]</f>
        <v>0</v>
      </c>
      <c r="CS517" s="996">
        <f>IF((WWWW[[#This Row],['#_Constructed/Existing protected/fenced ponds]]*250)/WWWW[[#This Row],[Total PoP ]]&gt;1,1,(WWWW[[#This Row],['#_Constructed/Existing protected/fenced ponds]]*250)/WWWW[[#This Row],[Total PoP ]])</f>
        <v>0</v>
      </c>
      <c r="CT517" s="994">
        <f>WWWW[[#This Row],[% Access to unimproved water points]]*WWWW[[#This Row],[Total PoP ]]</f>
        <v>0</v>
      </c>
      <c r="CU51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1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17" s="994">
        <f>WWWW[[#This Row],[HRP1]]/500</f>
        <v>0</v>
      </c>
      <c r="CX517" s="999">
        <f>1-WWWW[[#This Row],[% Equitable and continuous access to sufficient quantity of domestic water]]</f>
        <v>1</v>
      </c>
      <c r="CY517" s="994">
        <f>WWWW[[#This Row],[%equitable and continuous access to sufficient quantity of safe drinking and domestic water''s GAP]]*WWWW[[#This Row],[Total PoP ]]</f>
        <v>247</v>
      </c>
      <c r="CZ517" s="997">
        <f>IF(WWWW[[#This Row],[Total required water points]]-WWWW[[#This Row],['#Water points coverage]]&lt;0,0,WWWW[[#This Row],[Total required water points]]-WWWW[[#This Row],['#Water points coverage]])</f>
        <v>1</v>
      </c>
      <c r="DA517" s="997">
        <f>ROUND(IF(WWWW[[#This Row],[Total PoP ]]&lt;500,1,WWWW[[#This Row],[Total PoP ]]/500),0)</f>
        <v>1</v>
      </c>
      <c r="DB517" s="997">
        <f>(WWWW[[#This Row],['#_Constructed latrines_by_WASHAgencies]]+WWWW[[#This Row],['#_Non Cluster partner latrines]])-WWWW[[#This Row],['#_Non-functional latrines]]</f>
        <v>0</v>
      </c>
      <c r="DC517" s="631">
        <f>WWWW[[#This Row],[HRP2]]/WWWW[[#This Row],[Total PoP ]]</f>
        <v>0</v>
      </c>
      <c r="DD51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1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7" s="424">
        <f>IF(WWWW[[#This Row],['# of functional latrines in THF supported by WASH partners during the reporting period2]]="",0,WWWW[[#This Row],['# of functional latrines in THF supported by WASH partners during the reporting period2]]*50)</f>
        <v>0</v>
      </c>
      <c r="DH517" s="997">
        <f>ROUND(IF(WWWW[[#This Row],[Location Type 1]]="camp",WWWW[[#This Row],[Total PoP ]]/20,IF(WWWW[[#This Row],[Location Type 1]]="Temporary Location",WWWW[[#This Row],[Total PoP ]]/50,(WWWW[[#This Row],[Total PoP ]]/6))),0)</f>
        <v>12</v>
      </c>
      <c r="DI517" s="997">
        <f>IF(WWWW[[#This Row],[Total required Latrines]]-(WWWW[[#This Row],['#_Constructed latrines_by_WASHAgencies]]+WWWW[[#This Row],['#_Non Cluster partner latrines]])&lt;0,0,WWWW[[#This Row],[Total required Latrines]]-(WWWW[[#This Row],['#_Constructed latrines_by_WASHAgencies]]+WWWW[[#This Row],['#_Non Cluster partner latrines]]))</f>
        <v>12</v>
      </c>
      <c r="DJ517" s="999">
        <f>1-WWWW[[#This Row],[% people access to functioning Latrine]]</f>
        <v>1</v>
      </c>
      <c r="DK517" s="998">
        <f>IF(OR(WWWW[[#This Row],['#_Non-functional latrines]]="",WWWW[[#This Row],['#_Non-functional latrines]]=0),0,WWWW[[#This Row],['#_Non-functional latrines]]/(WWWW[[#This Row],['#_Constructed latrines_by_WASHAgencies]]+WWWW[[#This Row],['#_Non Cluster partner latrines]]))</f>
        <v>0</v>
      </c>
      <c r="DL517" s="994">
        <f>IF(500*(WWWW[[#This Row],['#_male hygiene promoters]]+WWWW[[#This Row],['#_female hygiene promoters]])&gt;WWWW[[#This Row],[Total PoP ]],WWWW[[#This Row],[Total PoP ]],500*(WWWW[[#This Row],['#_male hygiene promoters]]+WWWW[[#This Row],['#_female hygiene promoters]]))</f>
        <v>0</v>
      </c>
      <c r="DM51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1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17" s="997">
        <f>IF(WWWW[[#This Row],['# People with access to soap]]&gt;WWWW[[#This Row],['# People with access to Sanity Pads]],WWWW[[#This Row],['# People with access to soap]],WWWW[[#This Row],['# People with access to Sanity Pads]])</f>
        <v>0</v>
      </c>
      <c r="DP517"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17" s="999">
        <f>IF(WWWW[[#This Row],[HRP3]]/WWWW[[#This Row],[Total PoP ]]&gt;1,1,WWWW[[#This Row],[HRP3]]/WWWW[[#This Row],[Total PoP ]])</f>
        <v>0</v>
      </c>
      <c r="DR517" s="998">
        <f>1-WWWW[[#This Row],[Hygiene Coverage%]]</f>
        <v>1</v>
      </c>
      <c r="DS517" s="996">
        <f>WWWW[[#This Row],['# people reached by regular dedicated hygiene promotion_5]]/WWWW[[#This Row],[Total PoP ]]</f>
        <v>0</v>
      </c>
      <c r="DT51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1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17" s="997">
        <f>WWWW[[#This Row],['#_Constructed/Existing hand washing stations]]-WWWW[[#This Row],['#_Non-Functional_hand_washing_stations]]</f>
        <v>1</v>
      </c>
      <c r="DW517" s="994">
        <f>IF(WWWW[[#This Row],['# Functional hand washing stations during reporting period]]*20&gt;WWWW[[#This Row],[Total HH]],WWWW[[#This Row],[Total HH]],WWWW[[#This Row],['# Functional hand washing stations during reporting period]]*20)</f>
        <v>20</v>
      </c>
      <c r="DX517" s="994">
        <f>IF(WWWW[[#This Row],[Is sufficient soap available for TLS? (Yes/No)]]="yes",WWWW[[#This Row],['#_Constructed/Existing hand washing stations at TLS/CFS/THF]],0)</f>
        <v>0</v>
      </c>
      <c r="DY517" s="428">
        <f>IF(WWWW[[#This Row],['# Functional hand washing stations during reporting period]]*100&gt;WWWW[[#This Row],[Total PoP ]],WWWW[[#This Row],[Total PoP ]],WWWW[[#This Row],['# Functional hand washing stations during reporting period]]*100)</f>
        <v>100</v>
      </c>
      <c r="DZ517" s="428" t="str">
        <f>IF(OR(WWWW[[#This Row],['#_students at TLS_CFS]]="",WWWW[[#This Row],['#_students at TLS_CFS]]=0),"No","Yes")</f>
        <v>No</v>
      </c>
      <c r="EA51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1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17" s="990">
        <f>VLOOKUP(WWWW[[#This Row],[Site Name]],SiteDB6[[Site Name]:[CCCM Management]],6,FALSE)</f>
        <v>0</v>
      </c>
      <c r="EF517" s="990" t="str">
        <f>VLOOKUP(WWWW[[#This Row],[Site Name]],SiteDB6[[Site Name]:[CCCM Focal Agency]],7,FALSE)</f>
        <v>uncovered</v>
      </c>
      <c r="EG517" s="990" t="str">
        <f>VLOOKUP(WWWW[[#This Row],[Site Name]],SiteDB6[[Site Name]:[Location Type 1]],9,FALSE)</f>
        <v>Camp</v>
      </c>
      <c r="EH517" s="990" t="str">
        <f>VLOOKUP(WWWW[[#This Row],[Site Name]],SiteDB6[[Site Name]:[Type of Accommodation]],10,FALSE)</f>
        <v>Camp like setting</v>
      </c>
      <c r="EI517" s="990" t="str">
        <f>VLOOKUP(WWWW[[#This Row],[Site Name]],SiteDB6[[Site Name]:[Ethnic or GCA/NGCA]],11,FALSE)</f>
        <v>GCA</v>
      </c>
      <c r="EJ517" s="990">
        <f>VLOOKUP(WWWW[[#This Row],[Site Name]],SiteDB6[[Site Name]:[Lat]],12,FALSE)</f>
        <v>25.391428000000001</v>
      </c>
      <c r="EK517" s="990">
        <f>VLOOKUP(WWWW[[#This Row],[Site Name]],SiteDB6[[Site Name]:[Long]],13,FALSE)</f>
        <v>97.898184999999998</v>
      </c>
      <c r="EL517" s="990" t="str">
        <f>VLOOKUP(WWWW[[#This Row],[Site Name]],SiteDB6[[Site Name]:[Pcode]],3,FALSE)</f>
        <v>MMR001CMP258</v>
      </c>
      <c r="EM517" s="995" t="str">
        <f t="shared" si="10"/>
        <v>Notcovered</v>
      </c>
      <c r="EN517" s="995"/>
      <c r="EO517" s="990">
        <f>VLOOKUP(WWWW[[#This Row],[Site Name]],SiteDB6[[Site Name]:[Pop
(Kachin/Shan-CCCM as of July 2021)]],16,FALSE)</f>
        <v>45</v>
      </c>
      <c r="EP517" s="990">
        <f>VLOOKUP(WWWW[[#This Row],[Site Name]],SiteDB6[[Site Name]:[Pop
(Kachin/Shan-CCCM as of July 2021)]],17,FALSE)</f>
        <v>247</v>
      </c>
    </row>
    <row r="518" spans="1:146">
      <c r="A518" s="988" t="s">
        <v>2765</v>
      </c>
      <c r="B518" s="988" t="s">
        <v>2081</v>
      </c>
      <c r="C518" s="989" t="s">
        <v>141</v>
      </c>
      <c r="D518" s="989" t="s">
        <v>3160</v>
      </c>
      <c r="E518" s="989" t="s">
        <v>37</v>
      </c>
      <c r="F518" s="989" t="s">
        <v>142</v>
      </c>
      <c r="G518" s="591" t="str">
        <f>VLOOKUP(WWWW[[#This Row],[Site Name]],SiteDB6[[Site Name]:[Location Type]],8,FALSE)</f>
        <v>Camp</v>
      </c>
      <c r="H518" s="989" t="s">
        <v>143</v>
      </c>
      <c r="I518" s="991">
        <v>380</v>
      </c>
      <c r="J518" s="991">
        <v>1881</v>
      </c>
      <c r="K518" s="992">
        <v>44682</v>
      </c>
      <c r="L518" s="993">
        <v>45169</v>
      </c>
      <c r="M518" s="991">
        <v>112</v>
      </c>
      <c r="N518" s="991">
        <v>5</v>
      </c>
      <c r="O518" s="991"/>
      <c r="P518" s="991"/>
      <c r="Q518" s="994" t="s">
        <v>41</v>
      </c>
      <c r="R518" s="991">
        <v>9</v>
      </c>
      <c r="S518" s="991">
        <v>6</v>
      </c>
      <c r="T518" s="448"/>
      <c r="U518" s="991"/>
      <c r="V518" s="991"/>
      <c r="W518" s="991">
        <v>5</v>
      </c>
      <c r="X518" s="991"/>
      <c r="Y518" s="991"/>
      <c r="Z518" s="991"/>
      <c r="AA518" s="991"/>
      <c r="AB518" s="991"/>
      <c r="AC518" s="991"/>
      <c r="AD518" s="991"/>
      <c r="AE518" s="991"/>
      <c r="AF518" s="991"/>
      <c r="AG518" s="991"/>
      <c r="AH518" s="991"/>
      <c r="AI518" s="991"/>
      <c r="AJ518" s="991"/>
      <c r="AK518" s="991"/>
      <c r="AL518" s="991"/>
      <c r="AM518" s="991"/>
      <c r="AN518" s="991"/>
      <c r="AO518" s="448"/>
      <c r="AP518" s="995"/>
      <c r="AQ518" s="991">
        <v>413</v>
      </c>
      <c r="AR518" s="991"/>
      <c r="AS518" s="996"/>
      <c r="AT518" s="991"/>
      <c r="AU518" s="991"/>
      <c r="AV518" s="991"/>
      <c r="AW518" s="991"/>
      <c r="AX518" s="991">
        <v>413</v>
      </c>
      <c r="AY518" s="990" t="s">
        <v>41</v>
      </c>
      <c r="AZ518" s="995" t="s">
        <v>137</v>
      </c>
      <c r="BA518" s="991"/>
      <c r="BB518" s="991"/>
      <c r="BC518" s="991"/>
      <c r="BD518" s="448"/>
      <c r="BE518" s="448"/>
      <c r="BF518" s="990"/>
      <c r="BG518" s="991">
        <v>315</v>
      </c>
      <c r="BH518" s="991"/>
      <c r="BI518" s="991">
        <v>5</v>
      </c>
      <c r="BJ518" s="991">
        <v>1</v>
      </c>
      <c r="BK518" s="991"/>
      <c r="BL518" s="991">
        <v>1</v>
      </c>
      <c r="BM518" s="991">
        <v>3</v>
      </c>
      <c r="BN518" s="991"/>
      <c r="BO518" s="991"/>
      <c r="BP518" s="990"/>
      <c r="BQ518" s="997"/>
      <c r="BR518" s="996"/>
      <c r="BS518" s="990"/>
      <c r="BT518" s="423"/>
      <c r="BU518" s="423"/>
      <c r="BV518" s="425"/>
      <c r="BW518" s="423"/>
      <c r="BX518" s="448"/>
      <c r="BY518" s="448"/>
      <c r="BZ518" s="448"/>
      <c r="CA518" s="448"/>
      <c r="CB518" s="448"/>
      <c r="CC518" s="777"/>
      <c r="CD518" s="448"/>
      <c r="CE518" s="998" t="str">
        <f>IFERROR(WWWW[[#This Row],['#_Water sources passed]]/WWWW[[#This Row],['#_Water sources tested for fecal coliform ]],"no test")</f>
        <v>no test</v>
      </c>
      <c r="CF518" s="996" t="str">
        <f>IFERROR(WWWW[[#This Row],['#_Household passed]]/WWWW[[#This Row],['#_Household water samples tested for fecal coliform]],"no test")</f>
        <v>no test</v>
      </c>
      <c r="CG518" s="997" t="str">
        <f>IF(AND(WWWW[[#This Row],[% of water sources passed]]="no test",WWWW[[#This Row],[% Household passed]]="no test"),"No Test","Tested")</f>
        <v>No Test</v>
      </c>
      <c r="CH518" s="997">
        <f>WWWW[[#This Row],['#_Constructed/existing protected hand dug well]]-WWWW[[#This Row],['#_Non-functional protected hand dug well]]</f>
        <v>0</v>
      </c>
      <c r="CI518" s="997">
        <f>(WWWW[[#This Row],['#_Constructed/Existing tube wells/boreholes/handpumps_WASH_agency]]+WWWW[[#This Row],['#_Non-Cluster partner water tube-wells/boreholes/handpumps]])-WWWW[[#This Row],['#_Non-functional tube wells/boreholes/handpumps]]</f>
        <v>5</v>
      </c>
      <c r="CJ518" s="997">
        <f>WWWW[[#This Row],['#_Constructed/Existingwater storage tank with gravity fed reticulation system]]-WWWW[[#This Row],['#_Non-functional storage tank gravity fed reticulation system]]</f>
        <v>0</v>
      </c>
      <c r="CK518" s="997">
        <f>(WWWW[[#This Row],['#_Water_Liters_supplied_by_Water boating or water trucking]]/90)/15</f>
        <v>0</v>
      </c>
      <c r="CL518" s="997">
        <f>WWWW[[#This Row],['#_Water_Liters_from_Constructed/Existing water distribution system from river or natural spring]]/90/15</f>
        <v>0</v>
      </c>
      <c r="CM518" s="424">
        <f>IF(WWWW[[#This Row],['#_of water points in TLS/CFS]]*500&gt;WWWW[[#This Row],[Total PoP ]],WWWW[[#This Row],[Total PoP ]],WWWW[[#This Row],['#_of water points in TLS/CFS]]*500)</f>
        <v>0</v>
      </c>
      <c r="CN518" s="424">
        <f>IF(WWWW[[#This Row],['#_of water points in THF]]*500&gt;WWWW[[#This Row],[Total PoP ]],WWWW[[#This Row],[Total PoP ]],WWWW[[#This Row],['#_of water points in THF]]*500)</f>
        <v>0</v>
      </c>
      <c r="CO51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1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0.66454013822434876</v>
      </c>
      <c r="CQ518" s="996">
        <f>IF(WWWW[[#This Row],[Location Type 1]]="Village",WWWW[[#This Row],[Access to safe drinking water for Village]],WWWW[[#This Row],[Access to safe drinking water for Camp]])</f>
        <v>1</v>
      </c>
      <c r="CR518" s="994">
        <f>WWWW[[#This Row],[%Equitable and continuous access to sufficient quantity of safe drinking water]]*WWWW[[#This Row],[Total PoP ]]</f>
        <v>1881</v>
      </c>
      <c r="CS518" s="996">
        <f>IF((WWWW[[#This Row],['#_Constructed/Existing protected/fenced ponds]]*250)/WWWW[[#This Row],[Total PoP ]]&gt;1,1,(WWWW[[#This Row],['#_Constructed/Existing protected/fenced ponds]]*250)/WWWW[[#This Row],[Total PoP ]])</f>
        <v>0</v>
      </c>
      <c r="CT518" s="994">
        <f>WWWW[[#This Row],[% Access to unimproved water points]]*WWWW[[#This Row],[Total PoP ]]</f>
        <v>0</v>
      </c>
      <c r="CU51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1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1881</v>
      </c>
      <c r="CW518" s="994">
        <f>WWWW[[#This Row],[HRP1]]/500</f>
        <v>3.762</v>
      </c>
      <c r="CX518" s="999">
        <f>1-WWWW[[#This Row],[% Equitable and continuous access to sufficient quantity of domestic water]]</f>
        <v>0</v>
      </c>
      <c r="CY518" s="994">
        <f>WWWW[[#This Row],[%equitable and continuous access to sufficient quantity of safe drinking and domestic water''s GAP]]*WWWW[[#This Row],[Total PoP ]]</f>
        <v>0</v>
      </c>
      <c r="CZ518" s="997">
        <f>IF(WWWW[[#This Row],[Total required water points]]-WWWW[[#This Row],['#Water points coverage]]&lt;0,0,WWWW[[#This Row],[Total required water points]]-WWWW[[#This Row],['#Water points coverage]])</f>
        <v>0.23799999999999999</v>
      </c>
      <c r="DA518" s="997">
        <f>ROUND(IF(WWWW[[#This Row],[Total PoP ]]&lt;500,1,WWWW[[#This Row],[Total PoP ]]/500),0)</f>
        <v>4</v>
      </c>
      <c r="DB518" s="997">
        <f>(WWWW[[#This Row],['#_Constructed latrines_by_WASHAgencies]]+WWWW[[#This Row],['#_Non Cluster partner latrines]])-WWWW[[#This Row],['#_Non-functional latrines]]</f>
        <v>413</v>
      </c>
      <c r="DC518" s="631">
        <f>WWWW[[#This Row],[HRP2]]/WWWW[[#This Row],[Total PoP ]]</f>
        <v>1</v>
      </c>
      <c r="DD51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1881</v>
      </c>
      <c r="DE51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8" s="424">
        <f>IF(WWWW[[#This Row],['# of functional latrines in THF supported by WASH partners during the reporting period2]]="",0,WWWW[[#This Row],['# of functional latrines in THF supported by WASH partners during the reporting period2]]*50)</f>
        <v>0</v>
      </c>
      <c r="DH518" s="997">
        <f>ROUND(IF(WWWW[[#This Row],[Location Type 1]]="camp",WWWW[[#This Row],[Total PoP ]]/20,IF(WWWW[[#This Row],[Location Type 1]]="Temporary Location",WWWW[[#This Row],[Total PoP ]]/50,(WWWW[[#This Row],[Total PoP ]]/6))),0)</f>
        <v>94</v>
      </c>
      <c r="DI518" s="997">
        <f>IF(WWWW[[#This Row],[Total required Latrines]]-(WWWW[[#This Row],['#_Constructed latrines_by_WASHAgencies]]+WWWW[[#This Row],['#_Non Cluster partner latrines]])&lt;0,0,WWWW[[#This Row],[Total required Latrines]]-(WWWW[[#This Row],['#_Constructed latrines_by_WASHAgencies]]+WWWW[[#This Row],['#_Non Cluster partner latrines]]))</f>
        <v>0</v>
      </c>
      <c r="DJ518" s="999">
        <f>1-WWWW[[#This Row],[% people access to functioning Latrine]]</f>
        <v>0</v>
      </c>
      <c r="DK518" s="998">
        <f>IF(OR(WWWW[[#This Row],['#_Non-functional latrines]]="",WWWW[[#This Row],['#_Non-functional latrines]]=0),0,WWWW[[#This Row],['#_Non-functional latrines]]/(WWWW[[#This Row],['#_Constructed latrines_by_WASHAgencies]]+WWWW[[#This Row],['#_Non Cluster partner latrines]]))</f>
        <v>0</v>
      </c>
      <c r="DL518" s="994">
        <f>IF(500*(WWWW[[#This Row],['#_male hygiene promoters]]+WWWW[[#This Row],['#_female hygiene promoters]])&gt;WWWW[[#This Row],[Total PoP ]],WWWW[[#This Row],[Total PoP ]],500*(WWWW[[#This Row],['#_male hygiene promoters]]+WWWW[[#This Row],['#_female hygiene promoters]]))</f>
        <v>1881</v>
      </c>
      <c r="DM51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1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18" s="997">
        <f>IF(WWWW[[#This Row],['# People with access to soap]]&gt;WWWW[[#This Row],['# People with access to Sanity Pads]],WWWW[[#This Row],['# People with access to soap]],WWWW[[#This Row],['# People with access to Sanity Pads]])</f>
        <v>0</v>
      </c>
      <c r="DP518" s="997">
        <f>IF(WWWW[[#This Row],['# people reached by regular dedicated hygiene promotion_5]]&gt;WWWW[[#This Row],['# People received regular supply of hygiene items_6]],WWWW[[#This Row],['# people reached by regular dedicated hygiene promotion_5]],WWWW[[#This Row],['# People received regular supply of hygiene items_6]])</f>
        <v>1881</v>
      </c>
      <c r="DQ518" s="999">
        <f>IF(WWWW[[#This Row],[HRP3]]/WWWW[[#This Row],[Total PoP ]]&gt;1,1,WWWW[[#This Row],[HRP3]]/WWWW[[#This Row],[Total PoP ]])</f>
        <v>1</v>
      </c>
      <c r="DR518" s="998">
        <f>1-WWWW[[#This Row],[Hygiene Coverage%]]</f>
        <v>0</v>
      </c>
      <c r="DS518" s="996">
        <f>WWWW[[#This Row],['# people reached by regular dedicated hygiene promotion_5]]/WWWW[[#This Row],[Total PoP ]]</f>
        <v>1</v>
      </c>
      <c r="DT51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1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18" s="997">
        <f>WWWW[[#This Row],['#_Constructed/Existing hand washing stations]]-WWWW[[#This Row],['#_Non-Functional_hand_washing_stations]]</f>
        <v>315</v>
      </c>
      <c r="DW518" s="994">
        <f>IF(WWWW[[#This Row],['# Functional hand washing stations during reporting period]]*20&gt;WWWW[[#This Row],[Total HH]],WWWW[[#This Row],[Total HH]],WWWW[[#This Row],['# Functional hand washing stations during reporting period]]*20)</f>
        <v>380</v>
      </c>
      <c r="DX518" s="994">
        <f>IF(WWWW[[#This Row],[Is sufficient soap available for TLS? (Yes/No)]]="yes",WWWW[[#This Row],['#_Constructed/Existing hand washing stations at TLS/CFS/THF]],0)</f>
        <v>0</v>
      </c>
      <c r="DY518" s="428">
        <f>IF(WWWW[[#This Row],['# Functional hand washing stations during reporting period]]*100&gt;WWWW[[#This Row],[Total PoP ]],WWWW[[#This Row],[Total PoP ]],WWWW[[#This Row],['# Functional hand washing stations during reporting period]]*100)</f>
        <v>1881</v>
      </c>
      <c r="DZ518" s="428" t="str">
        <f>IF(OR(WWWW[[#This Row],['#_students at TLS_CFS]]="",WWWW[[#This Row],['#_students at TLS_CFS]]=0),"No","Yes")</f>
        <v>Yes</v>
      </c>
      <c r="EA51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1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18" s="990" t="str">
        <f>VLOOKUP(WWWW[[#This Row],[Site Name]],SiteDB6[[Site Name]:[CCCM Management]],6,FALSE)</f>
        <v>Yes</v>
      </c>
      <c r="EF518" s="990" t="str">
        <f>VLOOKUP(WWWW[[#This Row],[Site Name]],SiteDB6[[Site Name]:[CCCM Focal Agency]],7,FALSE)</f>
        <v>KBC-MYT</v>
      </c>
      <c r="EG518" s="990" t="str">
        <f>VLOOKUP(WWWW[[#This Row],[Site Name]],SiteDB6[[Site Name]:[Location Type 1]],9,FALSE)</f>
        <v>Camp</v>
      </c>
      <c r="EH518" s="990" t="str">
        <f>VLOOKUP(WWWW[[#This Row],[Site Name]],SiteDB6[[Site Name]:[Type of Accommodation]],10,FALSE)</f>
        <v>Camp</v>
      </c>
      <c r="EI518" s="990" t="str">
        <f>VLOOKUP(WWWW[[#This Row],[Site Name]],SiteDB6[[Site Name]:[Ethnic or GCA/NGCA]],11,FALSE)</f>
        <v>NGCA</v>
      </c>
      <c r="EJ518" s="990">
        <f>VLOOKUP(WWWW[[#This Row],[Site Name]],SiteDB6[[Site Name]:[Lat]],12,FALSE)</f>
        <v>25.418084</v>
      </c>
      <c r="EK518" s="990">
        <f>VLOOKUP(WWWW[[#This Row],[Site Name]],SiteDB6[[Site Name]:[Long]],13,FALSE)</f>
        <v>98.025662999999994</v>
      </c>
      <c r="EL518" s="990" t="str">
        <f>VLOOKUP(WWWW[[#This Row],[Site Name]],SiteDB6[[Site Name]:[Pcode]],3,FALSE)</f>
        <v>MMR001CMP249</v>
      </c>
      <c r="EM518" s="995" t="str">
        <f t="shared" si="10"/>
        <v>Covered</v>
      </c>
      <c r="EN518" s="995"/>
      <c r="EO518" s="990">
        <f>VLOOKUP(WWWW[[#This Row],[Site Name]],SiteDB6[[Site Name]:[Pop
(Kachin/Shan-CCCM as of July 2021)]],16,FALSE)</f>
        <v>380</v>
      </c>
      <c r="EP518" s="990">
        <f>VLOOKUP(WWWW[[#This Row],[Site Name]],SiteDB6[[Site Name]:[Pop
(Kachin/Shan-CCCM as of July 2021)]],17,FALSE)</f>
        <v>1877</v>
      </c>
    </row>
    <row r="519" spans="1:146">
      <c r="A519" s="988" t="s">
        <v>2765</v>
      </c>
      <c r="B519" s="988" t="s">
        <v>242</v>
      </c>
      <c r="C519" s="989" t="s">
        <v>242</v>
      </c>
      <c r="D519" s="989" t="s">
        <v>299</v>
      </c>
      <c r="E519" s="989" t="s">
        <v>37</v>
      </c>
      <c r="F519" s="989" t="s">
        <v>148</v>
      </c>
      <c r="G519" s="591" t="str">
        <f>VLOOKUP(WWWW[[#This Row],[Site Name]],SiteDB6[[Site Name]:[Location Type]],8,FALSE)</f>
        <v>Camp</v>
      </c>
      <c r="H519" s="989" t="s">
        <v>243</v>
      </c>
      <c r="I519" s="448">
        <v>124</v>
      </c>
      <c r="J519" s="448">
        <v>633</v>
      </c>
      <c r="K519" s="588">
        <v>44562</v>
      </c>
      <c r="L519" s="589">
        <v>44926</v>
      </c>
      <c r="M519" s="448">
        <v>40</v>
      </c>
      <c r="N519" s="448"/>
      <c r="O519" s="448"/>
      <c r="P519" s="448"/>
      <c r="Q519" s="717" t="s">
        <v>41</v>
      </c>
      <c r="R519" s="448">
        <v>30</v>
      </c>
      <c r="S519" s="448">
        <v>40</v>
      </c>
      <c r="T519" s="448">
        <v>1</v>
      </c>
      <c r="U519" s="448">
        <v>1</v>
      </c>
      <c r="V519" s="991"/>
      <c r="W519" s="991"/>
      <c r="X519" s="991"/>
      <c r="Y519" s="991"/>
      <c r="Z519" s="991"/>
      <c r="AA519" s="991">
        <v>1</v>
      </c>
      <c r="AB519" s="991"/>
      <c r="AC519" s="991"/>
      <c r="AD519" s="991"/>
      <c r="AE519" s="991"/>
      <c r="AF519" s="448"/>
      <c r="AG519" s="448">
        <v>5</v>
      </c>
      <c r="AH519" s="991"/>
      <c r="AI519" s="991"/>
      <c r="AJ519" s="991"/>
      <c r="AK519" s="991"/>
      <c r="AL519" s="991"/>
      <c r="AM519" s="991"/>
      <c r="AN519" s="991"/>
      <c r="AO519" s="448"/>
      <c r="AP519" s="995"/>
      <c r="AQ519" s="991">
        <v>29</v>
      </c>
      <c r="AR519" s="991"/>
      <c r="AS519" s="996"/>
      <c r="AT519" s="448"/>
      <c r="AU519" s="448"/>
      <c r="AV519" s="448">
        <v>5</v>
      </c>
      <c r="AW519" s="448">
        <v>700</v>
      </c>
      <c r="AX519" s="991"/>
      <c r="AY519" s="990" t="s">
        <v>41</v>
      </c>
      <c r="AZ519" s="995" t="s">
        <v>137</v>
      </c>
      <c r="BA519" s="991"/>
      <c r="BB519" s="991"/>
      <c r="BC519" s="991"/>
      <c r="BD519" s="448"/>
      <c r="BE519" s="448"/>
      <c r="BF519" s="990"/>
      <c r="BG519" s="991">
        <v>7</v>
      </c>
      <c r="BH519" s="991">
        <v>7</v>
      </c>
      <c r="BI519" s="991"/>
      <c r="BJ519" s="991">
        <v>4</v>
      </c>
      <c r="BK519" s="991"/>
      <c r="BL519" s="448"/>
      <c r="BM519" s="448">
        <v>1</v>
      </c>
      <c r="BN519" s="991"/>
      <c r="BO519" s="991"/>
      <c r="BP519" s="990"/>
      <c r="BQ519" s="997"/>
      <c r="BR519" s="423">
        <v>0.2</v>
      </c>
      <c r="BS519" s="425" t="s">
        <v>3067</v>
      </c>
      <c r="BT519" s="423">
        <v>0.5</v>
      </c>
      <c r="BU519" s="423">
        <v>0.8</v>
      </c>
      <c r="BV519" s="425">
        <v>40</v>
      </c>
      <c r="BW519" s="423">
        <v>0.8</v>
      </c>
      <c r="BX519" s="448"/>
      <c r="BY519" s="448"/>
      <c r="BZ519" s="448"/>
      <c r="CA519" s="448"/>
      <c r="CB519" s="448"/>
      <c r="CC519" s="777"/>
      <c r="CD519" s="448"/>
      <c r="CE519" s="998" t="str">
        <f>IFERROR(WWWW[[#This Row],['#_Water sources passed]]/WWWW[[#This Row],['#_Water sources tested for fecal coliform ]],"no test")</f>
        <v>no test</v>
      </c>
      <c r="CF519" s="996" t="str">
        <f>IFERROR(WWWW[[#This Row],['#_Household passed]]/WWWW[[#This Row],['#_Household water samples tested for fecal coliform]],"no test")</f>
        <v>no test</v>
      </c>
      <c r="CG519" s="997" t="str">
        <f>IF(AND(WWWW[[#This Row],[% of water sources passed]]="no test",WWWW[[#This Row],[% Household passed]]="no test"),"No Test","Tested")</f>
        <v>No Test</v>
      </c>
      <c r="CH519" s="997">
        <f>WWWW[[#This Row],['#_Constructed/existing protected hand dug well]]-WWWW[[#This Row],['#_Non-functional protected hand dug well]]</f>
        <v>0</v>
      </c>
      <c r="CI519" s="997">
        <f>(WWWW[[#This Row],['#_Constructed/Existing tube wells/boreholes/handpumps_WASH_agency]]+WWWW[[#This Row],['#_Non-Cluster partner water tube-wells/boreholes/handpumps]])-WWWW[[#This Row],['#_Non-functional tube wells/boreholes/handpumps]]</f>
        <v>0</v>
      </c>
      <c r="CJ519" s="997">
        <f>WWWW[[#This Row],['#_Constructed/Existingwater storage tank with gravity fed reticulation system]]-WWWW[[#This Row],['#_Non-functional storage tank gravity fed reticulation system]]</f>
        <v>1</v>
      </c>
      <c r="CK519" s="997">
        <f>(WWWW[[#This Row],['#_Water_Liters_supplied_by_Water boating or water trucking]]/90)/15</f>
        <v>0</v>
      </c>
      <c r="CL519" s="997">
        <f>WWWW[[#This Row],['#_Water_Liters_from_Constructed/Existing water distribution system from river or natural spring]]/90/15</f>
        <v>0</v>
      </c>
      <c r="CM519" s="424">
        <f>IF(WWWW[[#This Row],['#_of water points in TLS/CFS]]*500&gt;WWWW[[#This Row],[Total PoP ]],WWWW[[#This Row],[Total PoP ]],WWWW[[#This Row],['#_of water points in TLS/CFS]]*500)</f>
        <v>0</v>
      </c>
      <c r="CN519" s="424">
        <f>IF(WWWW[[#This Row],['#_of water points in THF]]*500&gt;WWWW[[#This Row],[Total PoP ]],WWWW[[#This Row],[Total PoP ]],WWWW[[#This Row],['#_of water points in THF]]*500)</f>
        <v>0</v>
      </c>
      <c r="CO51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0.10531858873091102</v>
      </c>
      <c r="CP51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0.10531858873091102</v>
      </c>
      <c r="CQ519" s="996">
        <f>IF(WWWW[[#This Row],[Location Type 1]]="Village",WWWW[[#This Row],[Access to safe drinking water for Village]],WWWW[[#This Row],[Access to safe drinking water for Camp]])</f>
        <v>0.10531858873091102</v>
      </c>
      <c r="CR519" s="994">
        <f>WWWW[[#This Row],[%Equitable and continuous access to sufficient quantity of safe drinking water]]*WWWW[[#This Row],[Total PoP ]]</f>
        <v>66.666666666666671</v>
      </c>
      <c r="CS519" s="996">
        <f>IF((WWWW[[#This Row],['#_Constructed/Existing protected/fenced ponds]]*250)/WWWW[[#This Row],[Total PoP ]]&gt;1,1,(WWWW[[#This Row],['#_Constructed/Existing protected/fenced ponds]]*250)/WWWW[[#This Row],[Total PoP ]])</f>
        <v>0</v>
      </c>
      <c r="CT519" s="994">
        <f>WWWW[[#This Row],[% Access to unimproved water points]]*WWWW[[#This Row],[Total PoP ]]</f>
        <v>0</v>
      </c>
      <c r="CU51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0.10531858873091102</v>
      </c>
      <c r="CV51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W519" s="994">
        <f>WWWW[[#This Row],[HRP1]]/500</f>
        <v>0.13333333333333333</v>
      </c>
      <c r="CX519" s="999">
        <f>1-WWWW[[#This Row],[% Equitable and continuous access to sufficient quantity of domestic water]]</f>
        <v>0.89468141126908896</v>
      </c>
      <c r="CY519" s="994">
        <f>WWWW[[#This Row],[%equitable and continuous access to sufficient quantity of safe drinking and domestic water''s GAP]]*WWWW[[#This Row],[Total PoP ]]</f>
        <v>566.33333333333326</v>
      </c>
      <c r="CZ519" s="997">
        <f>IF(WWWW[[#This Row],[Total required water points]]-WWWW[[#This Row],['#Water points coverage]]&lt;0,0,WWWW[[#This Row],[Total required water points]]-WWWW[[#This Row],['#Water points coverage]])</f>
        <v>0.8666666666666667</v>
      </c>
      <c r="DA519" s="997">
        <f>ROUND(IF(WWWW[[#This Row],[Total PoP ]]&lt;500,1,WWWW[[#This Row],[Total PoP ]]/500),0)</f>
        <v>1</v>
      </c>
      <c r="DB519" s="997">
        <f>(WWWW[[#This Row],['#_Constructed latrines_by_WASHAgencies]]+WWWW[[#This Row],['#_Non Cluster partner latrines]])-WWWW[[#This Row],['#_Non-functional latrines]]</f>
        <v>29</v>
      </c>
      <c r="DC519" s="631">
        <f>WWWW[[#This Row],[HRP2]]/WWWW[[#This Row],[Total PoP ]]</f>
        <v>0.9162717219589257</v>
      </c>
      <c r="DD51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580</v>
      </c>
      <c r="DE51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51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9" s="424">
        <f>IF(WWWW[[#This Row],['# of functional latrines in THF supported by WASH partners during the reporting period2]]="",0,WWWW[[#This Row],['# of functional latrines in THF supported by WASH partners during the reporting period2]]*50)</f>
        <v>0</v>
      </c>
      <c r="DH519" s="997">
        <f>ROUND(IF(WWWW[[#This Row],[Location Type 1]]="camp",WWWW[[#This Row],[Total PoP ]]/20,IF(WWWW[[#This Row],[Location Type 1]]="Temporary Location",WWWW[[#This Row],[Total PoP ]]/50,(WWWW[[#This Row],[Total PoP ]]/6))),0)</f>
        <v>32</v>
      </c>
      <c r="DI519" s="997">
        <f>IF(WWWW[[#This Row],[Total required Latrines]]-(WWWW[[#This Row],['#_Constructed latrines_by_WASHAgencies]]+WWWW[[#This Row],['#_Non Cluster partner latrines]])&lt;0,0,WWWW[[#This Row],[Total required Latrines]]-(WWWW[[#This Row],['#_Constructed latrines_by_WASHAgencies]]+WWWW[[#This Row],['#_Non Cluster partner latrines]]))</f>
        <v>3</v>
      </c>
      <c r="DJ519" s="999">
        <f>1-WWWW[[#This Row],[% people access to functioning Latrine]]</f>
        <v>8.37282780410743E-2</v>
      </c>
      <c r="DK519" s="998">
        <f>IF(OR(WWWW[[#This Row],['#_Non-functional latrines]]="",WWWW[[#This Row],['#_Non-functional latrines]]=0),0,WWWW[[#This Row],['#_Non-functional latrines]]/(WWWW[[#This Row],['#_Constructed latrines_by_WASHAgencies]]+WWWW[[#This Row],['#_Non Cluster partner latrines]]))</f>
        <v>0</v>
      </c>
      <c r="DL519" s="994">
        <f>IF(500*(WWWW[[#This Row],['#_male hygiene promoters]]+WWWW[[#This Row],['#_female hygiene promoters]])&gt;WWWW[[#This Row],[Total PoP ]],WWWW[[#This Row],[Total PoP ]],500*(WWWW[[#This Row],['#_male hygiene promoters]]+WWWW[[#This Row],['#_female hygiene promoters]]))</f>
        <v>500</v>
      </c>
      <c r="DM51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1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19" s="997">
        <f>IF(WWWW[[#This Row],['# People with access to soap]]&gt;WWWW[[#This Row],['# People with access to Sanity Pads]],WWWW[[#This Row],['# People with access to soap]],WWWW[[#This Row],['# People with access to Sanity Pads]])</f>
        <v>0</v>
      </c>
      <c r="DP519" s="99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519" s="999">
        <f>IF(WWWW[[#This Row],[HRP3]]/WWWW[[#This Row],[Total PoP ]]&gt;1,1,WWWW[[#This Row],[HRP3]]/WWWW[[#This Row],[Total PoP ]])</f>
        <v>0.78988941548183256</v>
      </c>
      <c r="DR519" s="998">
        <f>1-WWWW[[#This Row],[Hygiene Coverage%]]</f>
        <v>0.21011058451816744</v>
      </c>
      <c r="DS519" s="996">
        <f>WWWW[[#This Row],['# people reached by regular dedicated hygiene promotion_5]]/WWWW[[#This Row],[Total PoP ]]</f>
        <v>0.78988941548183256</v>
      </c>
      <c r="DT51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1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19" s="997">
        <f>WWWW[[#This Row],['#_Constructed/Existing hand washing stations]]-WWWW[[#This Row],['#_Non-Functional_hand_washing_stations]]</f>
        <v>0</v>
      </c>
      <c r="DW519" s="994">
        <f>IF(WWWW[[#This Row],['# Functional hand washing stations during reporting period]]*20&gt;WWWW[[#This Row],[Total HH]],WWWW[[#This Row],[Total HH]],WWWW[[#This Row],['# Functional hand washing stations during reporting period]]*20)</f>
        <v>0</v>
      </c>
      <c r="DX519" s="994">
        <f>IF(WWWW[[#This Row],[Is sufficient soap available for TLS? (Yes/No)]]="yes",WWWW[[#This Row],['#_Constructed/Existing hand washing stations at TLS/CFS/THF]],0)</f>
        <v>0</v>
      </c>
      <c r="DY519" s="428">
        <f>IF(WWWW[[#This Row],['# Functional hand washing stations during reporting period]]*100&gt;WWWW[[#This Row],[Total PoP ]],WWWW[[#This Row],[Total PoP ]],WWWW[[#This Row],['# Functional hand washing stations during reporting period]]*100)</f>
        <v>0</v>
      </c>
      <c r="DZ519" s="428" t="str">
        <f>IF(OR(WWWW[[#This Row],['#_students at TLS_CFS]]="",WWWW[[#This Row],['#_students at TLS_CFS]]=0),"No","Yes")</f>
        <v>Yes</v>
      </c>
      <c r="EA519" s="631">
        <f>IF(WWWW[[#This Row],['#_of_affected_people_surveyed_who_report_feeling_informed_about_the_different_WASH_services_available_to_them]]="","",WWWW[[#This Row],['#_of_affected_people_surveyed_who_report_feeling_informed_about_the_different_WASH_services_available_to_them]]/WWWW[[#This Row],[Total PoP ]])</f>
        <v>6.3191153238546599E-2</v>
      </c>
      <c r="EB51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1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19" s="990" t="str">
        <f>VLOOKUP(WWWW[[#This Row],[Site Name]],SiteDB6[[Site Name]:[CCCM Management]],6,FALSE)</f>
        <v>Yes</v>
      </c>
      <c r="EF519" s="990" t="str">
        <f>VLOOKUP(WWWW[[#This Row],[Site Name]],SiteDB6[[Site Name]:[CCCM Focal Agency]],7,FALSE)</f>
        <v>KBC-MYT</v>
      </c>
      <c r="EG519" s="990" t="str">
        <f>VLOOKUP(WWWW[[#This Row],[Site Name]],SiteDB6[[Site Name]:[Location Type 1]],9,FALSE)</f>
        <v>Camp</v>
      </c>
      <c r="EH519" s="990" t="str">
        <f>VLOOKUP(WWWW[[#This Row],[Site Name]],SiteDB6[[Site Name]:[Type of Accommodation]],10,FALSE)</f>
        <v>camp</v>
      </c>
      <c r="EI519" s="990" t="str">
        <f>VLOOKUP(WWWW[[#This Row],[Site Name]],SiteDB6[[Site Name]:[Ethnic or GCA/NGCA]],11,FALSE)</f>
        <v>GCA</v>
      </c>
      <c r="EJ519" s="990">
        <f>VLOOKUP(WWWW[[#This Row],[Site Name]],SiteDB6[[Site Name]:[Lat]],12,FALSE)</f>
        <v>25.664000000000001</v>
      </c>
      <c r="EK519" s="990">
        <f>VLOOKUP(WWWW[[#This Row],[Site Name]],SiteDB6[[Site Name]:[Long]],13,FALSE)</f>
        <v>96.34</v>
      </c>
      <c r="EL519" s="990" t="str">
        <f>VLOOKUP(WWWW[[#This Row],[Site Name]],SiteDB6[[Site Name]:[Pcode]],3,FALSE)</f>
        <v>MMR001CMP250</v>
      </c>
      <c r="EM519" s="995" t="str">
        <f t="shared" si="10"/>
        <v>Covered</v>
      </c>
      <c r="EN519" s="995"/>
      <c r="EO519" s="990">
        <f>VLOOKUP(WWWW[[#This Row],[Site Name]],SiteDB6[[Site Name]:[Pop
(Kachin/Shan-CCCM as of July 2021)]],16,FALSE)</f>
        <v>124</v>
      </c>
      <c r="EP519" s="990">
        <f>VLOOKUP(WWWW[[#This Row],[Site Name]],SiteDB6[[Site Name]:[Pop
(Kachin/Shan-CCCM as of July 2021)]],17,FALSE)</f>
        <v>634</v>
      </c>
    </row>
    <row r="520" spans="1:146">
      <c r="A520" s="988" t="s">
        <v>2765</v>
      </c>
      <c r="B520" s="988" t="s">
        <v>36</v>
      </c>
      <c r="C520" s="989" t="s">
        <v>36</v>
      </c>
      <c r="D520" s="989" t="s">
        <v>241</v>
      </c>
      <c r="E520" s="989" t="s">
        <v>37</v>
      </c>
      <c r="F520" s="989" t="s">
        <v>863</v>
      </c>
      <c r="G520" s="591" t="str">
        <f>VLOOKUP(WWWW[[#This Row],[Site Name]],SiteDB6[[Site Name]:[Location Type]],8,FALSE)</f>
        <v>Camp</v>
      </c>
      <c r="H520" s="989" t="s">
        <v>1717</v>
      </c>
      <c r="I520" s="991">
        <v>133</v>
      </c>
      <c r="J520" s="991">
        <v>625</v>
      </c>
      <c r="K520" s="992">
        <v>44414</v>
      </c>
      <c r="L520" s="993">
        <v>44778</v>
      </c>
      <c r="M520" s="991"/>
      <c r="N520" s="991">
        <v>3</v>
      </c>
      <c r="O520" s="991"/>
      <c r="P520" s="991"/>
      <c r="Q520" s="994" t="s">
        <v>41</v>
      </c>
      <c r="R520" s="991">
        <v>4</v>
      </c>
      <c r="S520" s="991">
        <v>2</v>
      </c>
      <c r="T520" s="448">
        <v>1</v>
      </c>
      <c r="U520" s="991"/>
      <c r="V520" s="991"/>
      <c r="W520" s="991">
        <v>1</v>
      </c>
      <c r="X520" s="991"/>
      <c r="Y520" s="991"/>
      <c r="Z520" s="991"/>
      <c r="AA520" s="991"/>
      <c r="AB520" s="991"/>
      <c r="AC520" s="991"/>
      <c r="AD520" s="991"/>
      <c r="AE520" s="991"/>
      <c r="AF520" s="991"/>
      <c r="AG520" s="991"/>
      <c r="AH520" s="991"/>
      <c r="AI520" s="991"/>
      <c r="AJ520" s="991"/>
      <c r="AK520" s="991"/>
      <c r="AL520" s="991"/>
      <c r="AM520" s="991">
        <v>5</v>
      </c>
      <c r="AN520" s="991"/>
      <c r="AO520" s="448"/>
      <c r="AP520" s="995"/>
      <c r="AQ520" s="991">
        <v>1</v>
      </c>
      <c r="AR520" s="991"/>
      <c r="AS520" s="996"/>
      <c r="AT520" s="991"/>
      <c r="AU520" s="991"/>
      <c r="AV520" s="991"/>
      <c r="AW520" s="991"/>
      <c r="AX520" s="991"/>
      <c r="AY520" s="990" t="s">
        <v>41</v>
      </c>
      <c r="AZ520" s="995" t="s">
        <v>137</v>
      </c>
      <c r="BA520" s="991"/>
      <c r="BB520" s="991"/>
      <c r="BC520" s="991"/>
      <c r="BD520" s="448"/>
      <c r="BE520" s="448"/>
      <c r="BF520" s="990"/>
      <c r="BG520" s="991">
        <v>5</v>
      </c>
      <c r="BH520" s="991"/>
      <c r="BI520" s="991"/>
      <c r="BJ520" s="991">
        <v>7</v>
      </c>
      <c r="BK520" s="991"/>
      <c r="BL520" s="991"/>
      <c r="BM520" s="991">
        <v>1</v>
      </c>
      <c r="BN520" s="991"/>
      <c r="BO520" s="991"/>
      <c r="BP520" s="990" t="s">
        <v>41</v>
      </c>
      <c r="BQ520" s="997"/>
      <c r="BR520" s="996"/>
      <c r="BS520" s="990"/>
      <c r="BT520" s="423"/>
      <c r="BU520" s="423"/>
      <c r="BV520" s="425"/>
      <c r="BW520" s="423"/>
      <c r="BX520" s="448"/>
      <c r="BY520" s="448"/>
      <c r="BZ520" s="448"/>
      <c r="CA520" s="448"/>
      <c r="CB520" s="448"/>
      <c r="CC520" s="777"/>
      <c r="CD520" s="448"/>
      <c r="CE520" s="998" t="str">
        <f>IFERROR(WWWW[[#This Row],['#_Water sources passed]]/WWWW[[#This Row],['#_Water sources tested for fecal coliform ]],"no test")</f>
        <v>no test</v>
      </c>
      <c r="CF520" s="996" t="str">
        <f>IFERROR(WWWW[[#This Row],['#_Household passed]]/WWWW[[#This Row],['#_Household water samples tested for fecal coliform]],"no test")</f>
        <v>no test</v>
      </c>
      <c r="CG520" s="997" t="str">
        <f>IF(AND(WWWW[[#This Row],[% of water sources passed]]="no test",WWWW[[#This Row],[% Household passed]]="no test"),"No Test","Tested")</f>
        <v>No Test</v>
      </c>
      <c r="CH520" s="997">
        <f>WWWW[[#This Row],['#_Constructed/existing protected hand dug well]]-WWWW[[#This Row],['#_Non-functional protected hand dug well]]</f>
        <v>1</v>
      </c>
      <c r="CI520" s="997">
        <f>(WWWW[[#This Row],['#_Constructed/Existing tube wells/boreholes/handpumps_WASH_agency]]+WWWW[[#This Row],['#_Non-Cluster partner water tube-wells/boreholes/handpumps]])-WWWW[[#This Row],['#_Non-functional tube wells/boreholes/handpumps]]</f>
        <v>1</v>
      </c>
      <c r="CJ520" s="997">
        <f>WWWW[[#This Row],['#_Constructed/Existingwater storage tank with gravity fed reticulation system]]-WWWW[[#This Row],['#_Non-functional storage tank gravity fed reticulation system]]</f>
        <v>0</v>
      </c>
      <c r="CK520" s="997">
        <f>(WWWW[[#This Row],['#_Water_Liters_supplied_by_Water boating or water trucking]]/90)/15</f>
        <v>0</v>
      </c>
      <c r="CL520" s="997">
        <f>WWWW[[#This Row],['#_Water_Liters_from_Constructed/Existing water distribution system from river or natural spring]]/90/15</f>
        <v>0</v>
      </c>
      <c r="CM520" s="424">
        <f>IF(WWWW[[#This Row],['#_of water points in TLS/CFS]]*500&gt;WWWW[[#This Row],[Total PoP ]],WWWW[[#This Row],[Total PoP ]],WWWW[[#This Row],['#_of water points in TLS/CFS]]*500)</f>
        <v>0</v>
      </c>
      <c r="CN520" s="424">
        <f>IF(WWWW[[#This Row],['#_of water points in THF]]*500&gt;WWWW[[#This Row],[Total PoP ]],WWWW[[#This Row],[Total PoP ]],WWWW[[#This Row],['#_of water points in THF]]*500)</f>
        <v>0</v>
      </c>
      <c r="CO52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2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v>
      </c>
      <c r="CQ520" s="996">
        <f>IF(WWWW[[#This Row],[Location Type 1]]="Village",WWWW[[#This Row],[Access to safe drinking water for Village]],WWWW[[#This Row],[Access to safe drinking water for Camp]])</f>
        <v>1</v>
      </c>
      <c r="CR520" s="994">
        <f>WWWW[[#This Row],[%Equitable and continuous access to sufficient quantity of safe drinking water]]*WWWW[[#This Row],[Total PoP ]]</f>
        <v>625</v>
      </c>
      <c r="CS520" s="996">
        <f>IF((WWWW[[#This Row],['#_Constructed/Existing protected/fenced ponds]]*250)/WWWW[[#This Row],[Total PoP ]]&gt;1,1,(WWWW[[#This Row],['#_Constructed/Existing protected/fenced ponds]]*250)/WWWW[[#This Row],[Total PoP ]])</f>
        <v>0</v>
      </c>
      <c r="CT520" s="994">
        <f>WWWW[[#This Row],[% Access to unimproved water points]]*WWWW[[#This Row],[Total PoP ]]</f>
        <v>0</v>
      </c>
      <c r="CU52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2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625</v>
      </c>
      <c r="CW520" s="994">
        <f>WWWW[[#This Row],[HRP1]]/500</f>
        <v>1.25</v>
      </c>
      <c r="CX520" s="999">
        <f>1-WWWW[[#This Row],[% Equitable and continuous access to sufficient quantity of domestic water]]</f>
        <v>0</v>
      </c>
      <c r="CY520" s="994">
        <f>WWWW[[#This Row],[%equitable and continuous access to sufficient quantity of safe drinking and domestic water''s GAP]]*WWWW[[#This Row],[Total PoP ]]</f>
        <v>0</v>
      </c>
      <c r="CZ520" s="997">
        <f>IF(WWWW[[#This Row],[Total required water points]]-WWWW[[#This Row],['#Water points coverage]]&lt;0,0,WWWW[[#This Row],[Total required water points]]-WWWW[[#This Row],['#Water points coverage]])</f>
        <v>0</v>
      </c>
      <c r="DA520" s="997">
        <f>ROUND(IF(WWWW[[#This Row],[Total PoP ]]&lt;500,1,WWWW[[#This Row],[Total PoP ]]/500),0)</f>
        <v>1</v>
      </c>
      <c r="DB520" s="997">
        <f>(WWWW[[#This Row],['#_Constructed latrines_by_WASHAgencies]]+WWWW[[#This Row],['#_Non Cluster partner latrines]])-WWWW[[#This Row],['#_Non-functional latrines]]</f>
        <v>1</v>
      </c>
      <c r="DC520" s="631">
        <f>WWWW[[#This Row],[HRP2]]/WWWW[[#This Row],[Total PoP ]]</f>
        <v>3.2000000000000001E-2</v>
      </c>
      <c r="DD52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DE52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0" s="424">
        <f>IF(WWWW[[#This Row],['# of functional latrines in THF supported by WASH partners during the reporting period2]]="",0,WWWW[[#This Row],['# of functional latrines in THF supported by WASH partners during the reporting period2]]*50)</f>
        <v>0</v>
      </c>
      <c r="DH520" s="997">
        <f>ROUND(IF(WWWW[[#This Row],[Location Type 1]]="camp",WWWW[[#This Row],[Total PoP ]]/20,IF(WWWW[[#This Row],[Location Type 1]]="Temporary Location",WWWW[[#This Row],[Total PoP ]]/50,(WWWW[[#This Row],[Total PoP ]]/6))),0)</f>
        <v>31</v>
      </c>
      <c r="DI520" s="997">
        <f>IF(WWWW[[#This Row],[Total required Latrines]]-(WWWW[[#This Row],['#_Constructed latrines_by_WASHAgencies]]+WWWW[[#This Row],['#_Non Cluster partner latrines]])&lt;0,0,WWWW[[#This Row],[Total required Latrines]]-(WWWW[[#This Row],['#_Constructed latrines_by_WASHAgencies]]+WWWW[[#This Row],['#_Non Cluster partner latrines]]))</f>
        <v>30</v>
      </c>
      <c r="DJ520" s="999">
        <f>1-WWWW[[#This Row],[% people access to functioning Latrine]]</f>
        <v>0.96799999999999997</v>
      </c>
      <c r="DK520" s="998">
        <f>IF(OR(WWWW[[#This Row],['#_Non-functional latrines]]="",WWWW[[#This Row],['#_Non-functional latrines]]=0),0,WWWW[[#This Row],['#_Non-functional latrines]]/(WWWW[[#This Row],['#_Constructed latrines_by_WASHAgencies]]+WWWW[[#This Row],['#_Non Cluster partner latrines]]))</f>
        <v>0</v>
      </c>
      <c r="DL520" s="994">
        <f>IF(500*(WWWW[[#This Row],['#_male hygiene promoters]]+WWWW[[#This Row],['#_female hygiene promoters]])&gt;WWWW[[#This Row],[Total PoP ]],WWWW[[#This Row],[Total PoP ]],500*(WWWW[[#This Row],['#_male hygiene promoters]]+WWWW[[#This Row],['#_female hygiene promoters]]))</f>
        <v>500</v>
      </c>
      <c r="DM52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2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20" s="997">
        <f>IF(WWWW[[#This Row],['# People with access to soap]]&gt;WWWW[[#This Row],['# People with access to Sanity Pads]],WWWW[[#This Row],['# People with access to soap]],WWWW[[#This Row],['# People with access to Sanity Pads]])</f>
        <v>0</v>
      </c>
      <c r="DP520" s="99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520" s="999">
        <f>IF(WWWW[[#This Row],[HRP3]]/WWWW[[#This Row],[Total PoP ]]&gt;1,1,WWWW[[#This Row],[HRP3]]/WWWW[[#This Row],[Total PoP ]])</f>
        <v>0.8</v>
      </c>
      <c r="DR520" s="998">
        <f>1-WWWW[[#This Row],[Hygiene Coverage%]]</f>
        <v>0.19999999999999996</v>
      </c>
      <c r="DS520" s="996">
        <f>WWWW[[#This Row],['# people reached by regular dedicated hygiene promotion_5]]/WWWW[[#This Row],[Total PoP ]]</f>
        <v>0.8</v>
      </c>
      <c r="DT52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2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20" s="997">
        <f>WWWW[[#This Row],['#_Constructed/Existing hand washing stations]]-WWWW[[#This Row],['#_Non-Functional_hand_washing_stations]]</f>
        <v>5</v>
      </c>
      <c r="DW520" s="994">
        <f>IF(WWWW[[#This Row],['# Functional hand washing stations during reporting period]]*20&gt;WWWW[[#This Row],[Total HH]],WWWW[[#This Row],[Total HH]],WWWW[[#This Row],['# Functional hand washing stations during reporting period]]*20)</f>
        <v>100</v>
      </c>
      <c r="DX520" s="994">
        <f>IF(WWWW[[#This Row],[Is sufficient soap available for TLS? (Yes/No)]]="yes",WWWW[[#This Row],['#_Constructed/Existing hand washing stations at TLS/CFS/THF]],0)</f>
        <v>5</v>
      </c>
      <c r="DY520" s="428">
        <f>IF(WWWW[[#This Row],['# Functional hand washing stations during reporting period]]*100&gt;WWWW[[#This Row],[Total PoP ]],WWWW[[#This Row],[Total PoP ]],WWWW[[#This Row],['# Functional hand washing stations during reporting period]]*100)</f>
        <v>500</v>
      </c>
      <c r="DZ520" s="428" t="str">
        <f>IF(OR(WWWW[[#This Row],['#_students at TLS_CFS]]="",WWWW[[#This Row],['#_students at TLS_CFS]]=0),"No","Yes")</f>
        <v>No</v>
      </c>
      <c r="EA52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0" s="990" t="str">
        <f>VLOOKUP(WWWW[[#This Row],[Site Name]],SiteDB6[[Site Name]:[CCCM Management]],6,FALSE)</f>
        <v>Yes</v>
      </c>
      <c r="EF520" s="990" t="str">
        <f>VLOOKUP(WWWW[[#This Row],[Site Name]],SiteDB6[[Site Name]:[CCCM Focal Agency]],7,FALSE)</f>
        <v>KMSS-MYT</v>
      </c>
      <c r="EG520" s="990" t="str">
        <f>VLOOKUP(WWWW[[#This Row],[Site Name]],SiteDB6[[Site Name]:[Location Type 1]],9,FALSE)</f>
        <v>Camp</v>
      </c>
      <c r="EH520" s="990" t="str">
        <f>VLOOKUP(WWWW[[#This Row],[Site Name]],SiteDB6[[Site Name]:[Type of Accommodation]],10,FALSE)</f>
        <v>Camp</v>
      </c>
      <c r="EI520" s="990" t="str">
        <f>VLOOKUP(WWWW[[#This Row],[Site Name]],SiteDB6[[Site Name]:[Ethnic or GCA/NGCA]],11,FALSE)</f>
        <v>GCA</v>
      </c>
      <c r="EJ520" s="990">
        <f>VLOOKUP(WWWW[[#This Row],[Site Name]],SiteDB6[[Site Name]:[Lat]],12,FALSE)</f>
        <v>26.350176000000001</v>
      </c>
      <c r="EK520" s="990">
        <f>VLOOKUP(WWWW[[#This Row],[Site Name]],SiteDB6[[Site Name]:[Long]],13,FALSE)</f>
        <v>96.711387999999999</v>
      </c>
      <c r="EL520" s="990" t="str">
        <f>VLOOKUP(WWWW[[#This Row],[Site Name]],SiteDB6[[Site Name]:[Pcode]],3,FALSE)</f>
        <v>MMR001CMP251</v>
      </c>
      <c r="EM520" s="995" t="str">
        <f t="shared" si="10"/>
        <v>Covered</v>
      </c>
      <c r="EN520" s="995"/>
      <c r="EO520" s="990">
        <f>VLOOKUP(WWWW[[#This Row],[Site Name]],SiteDB6[[Site Name]:[Pop
(Kachin/Shan-CCCM as of July 2021)]],16,FALSE)</f>
        <v>133</v>
      </c>
      <c r="EP520" s="990">
        <f>VLOOKUP(WWWW[[#This Row],[Site Name]],SiteDB6[[Site Name]:[Pop
(Kachin/Shan-CCCM as of July 2021)]],17,FALSE)</f>
        <v>622</v>
      </c>
    </row>
    <row r="521" spans="1:146">
      <c r="A521" s="988" t="s">
        <v>2765</v>
      </c>
      <c r="B521" s="988" t="s">
        <v>2081</v>
      </c>
      <c r="C521" s="989" t="s">
        <v>141</v>
      </c>
      <c r="D521" s="989" t="s">
        <v>3160</v>
      </c>
      <c r="E521" s="989" t="s">
        <v>37</v>
      </c>
      <c r="F521" s="989" t="s">
        <v>863</v>
      </c>
      <c r="G521" s="591" t="str">
        <f>VLOOKUP(WWWW[[#This Row],[Site Name]],SiteDB6[[Site Name]:[Location Type]],8,FALSE)</f>
        <v>Camp</v>
      </c>
      <c r="H521" s="989" t="s">
        <v>1615</v>
      </c>
      <c r="I521" s="991">
        <v>109</v>
      </c>
      <c r="J521" s="991">
        <v>483</v>
      </c>
      <c r="K521" s="992">
        <v>44682</v>
      </c>
      <c r="L521" s="993">
        <v>45169</v>
      </c>
      <c r="M521" s="991"/>
      <c r="N521" s="991">
        <v>2</v>
      </c>
      <c r="O521" s="991"/>
      <c r="P521" s="991"/>
      <c r="Q521" s="994" t="s">
        <v>136</v>
      </c>
      <c r="R521" s="991">
        <v>2</v>
      </c>
      <c r="S521" s="991">
        <v>2</v>
      </c>
      <c r="T521" s="448">
        <v>4</v>
      </c>
      <c r="U521" s="991"/>
      <c r="V521" s="991"/>
      <c r="W521" s="991">
        <v>3</v>
      </c>
      <c r="X521" s="991"/>
      <c r="Y521" s="991"/>
      <c r="Z521" s="991"/>
      <c r="AA521" s="991"/>
      <c r="AB521" s="991"/>
      <c r="AC521" s="991"/>
      <c r="AD521" s="991"/>
      <c r="AE521" s="991"/>
      <c r="AF521" s="991"/>
      <c r="AG521" s="991"/>
      <c r="AH521" s="991"/>
      <c r="AI521" s="991"/>
      <c r="AJ521" s="991"/>
      <c r="AK521" s="991"/>
      <c r="AL521" s="991"/>
      <c r="AM521" s="991"/>
      <c r="AN521" s="991"/>
      <c r="AO521" s="448"/>
      <c r="AP521" s="995"/>
      <c r="AQ521" s="991">
        <v>30</v>
      </c>
      <c r="AR521" s="991">
        <v>30</v>
      </c>
      <c r="AS521" s="996"/>
      <c r="AT521" s="991"/>
      <c r="AU521" s="991"/>
      <c r="AV521" s="991"/>
      <c r="AW521" s="991"/>
      <c r="AX521" s="991"/>
      <c r="AY521" s="990" t="s">
        <v>140</v>
      </c>
      <c r="AZ521" s="995" t="s">
        <v>140</v>
      </c>
      <c r="BA521" s="991"/>
      <c r="BB521" s="991"/>
      <c r="BC521" s="991"/>
      <c r="BD521" s="448"/>
      <c r="BE521" s="448"/>
      <c r="BF521" s="990"/>
      <c r="BG521" s="991">
        <v>3</v>
      </c>
      <c r="BH521" s="991"/>
      <c r="BI521" s="991">
        <v>5</v>
      </c>
      <c r="BJ521" s="991">
        <v>3</v>
      </c>
      <c r="BK521" s="991"/>
      <c r="BL521" s="991"/>
      <c r="BM521" s="991"/>
      <c r="BN521" s="991"/>
      <c r="BO521" s="991"/>
      <c r="BP521" s="990"/>
      <c r="BQ521" s="997"/>
      <c r="BR521" s="996"/>
      <c r="BS521" s="990"/>
      <c r="BT521" s="423"/>
      <c r="BU521" s="423"/>
      <c r="BV521" s="425"/>
      <c r="BW521" s="423"/>
      <c r="BX521" s="448"/>
      <c r="BY521" s="448"/>
      <c r="BZ521" s="448"/>
      <c r="CA521" s="448"/>
      <c r="CB521" s="448"/>
      <c r="CC521" s="777"/>
      <c r="CD521" s="448"/>
      <c r="CE521" s="998" t="str">
        <f>IFERROR(WWWW[[#This Row],['#_Water sources passed]]/WWWW[[#This Row],['#_Water sources tested for fecal coliform ]],"no test")</f>
        <v>no test</v>
      </c>
      <c r="CF521" s="996" t="str">
        <f>IFERROR(WWWW[[#This Row],['#_Household passed]]/WWWW[[#This Row],['#_Household water samples tested for fecal coliform]],"no test")</f>
        <v>no test</v>
      </c>
      <c r="CG521" s="997" t="str">
        <f>IF(AND(WWWW[[#This Row],[% of water sources passed]]="no test",WWWW[[#This Row],[% Household passed]]="no test"),"No Test","Tested")</f>
        <v>No Test</v>
      </c>
      <c r="CH521" s="997">
        <f>WWWW[[#This Row],['#_Constructed/existing protected hand dug well]]-WWWW[[#This Row],['#_Non-functional protected hand dug well]]</f>
        <v>4</v>
      </c>
      <c r="CI521" s="997">
        <f>(WWWW[[#This Row],['#_Constructed/Existing tube wells/boreholes/handpumps_WASH_agency]]+WWWW[[#This Row],['#_Non-Cluster partner water tube-wells/boreholes/handpumps]])-WWWW[[#This Row],['#_Non-functional tube wells/boreholes/handpumps]]</f>
        <v>3</v>
      </c>
      <c r="CJ521" s="997">
        <f>WWWW[[#This Row],['#_Constructed/Existingwater storage tank with gravity fed reticulation system]]-WWWW[[#This Row],['#_Non-functional storage tank gravity fed reticulation system]]</f>
        <v>0</v>
      </c>
      <c r="CK521" s="997">
        <f>(WWWW[[#This Row],['#_Water_Liters_supplied_by_Water boating or water trucking]]/90)/15</f>
        <v>0</v>
      </c>
      <c r="CL521" s="997">
        <f>WWWW[[#This Row],['#_Water_Liters_from_Constructed/Existing water distribution system from river or natural spring]]/90/15</f>
        <v>0</v>
      </c>
      <c r="CM521" s="424">
        <f>IF(WWWW[[#This Row],['#_of water points in TLS/CFS]]*500&gt;WWWW[[#This Row],[Total PoP ]],WWWW[[#This Row],[Total PoP ]],WWWW[[#This Row],['#_of water points in TLS/CFS]]*500)</f>
        <v>0</v>
      </c>
      <c r="CN521" s="424">
        <f>IF(WWWW[[#This Row],['#_of water points in THF]]*500&gt;WWWW[[#This Row],[Total PoP ]],WWWW[[#This Row],[Total PoP ]],WWWW[[#This Row],['#_of water points in THF]]*500)</f>
        <v>0</v>
      </c>
      <c r="CO52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2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21" s="996">
        <f>IF(WWWW[[#This Row],[Location Type 1]]="Village",WWWW[[#This Row],[Access to safe drinking water for Village]],WWWW[[#This Row],[Access to safe drinking water for Camp]])</f>
        <v>1</v>
      </c>
      <c r="CR521" s="994">
        <f>WWWW[[#This Row],[%Equitable and continuous access to sufficient quantity of safe drinking water]]*WWWW[[#This Row],[Total PoP ]]</f>
        <v>483</v>
      </c>
      <c r="CS521" s="996">
        <f>IF((WWWW[[#This Row],['#_Constructed/Existing protected/fenced ponds]]*250)/WWWW[[#This Row],[Total PoP ]]&gt;1,1,(WWWW[[#This Row],['#_Constructed/Existing protected/fenced ponds]]*250)/WWWW[[#This Row],[Total PoP ]])</f>
        <v>0</v>
      </c>
      <c r="CT521" s="994">
        <f>WWWW[[#This Row],[% Access to unimproved water points]]*WWWW[[#This Row],[Total PoP ]]</f>
        <v>0</v>
      </c>
      <c r="CU52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2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483</v>
      </c>
      <c r="CW521" s="994">
        <f>WWWW[[#This Row],[HRP1]]/500</f>
        <v>0.96599999999999997</v>
      </c>
      <c r="CX521" s="999">
        <f>1-WWWW[[#This Row],[% Equitable and continuous access to sufficient quantity of domestic water]]</f>
        <v>0</v>
      </c>
      <c r="CY521" s="994">
        <f>WWWW[[#This Row],[%equitable and continuous access to sufficient quantity of safe drinking and domestic water''s GAP]]*WWWW[[#This Row],[Total PoP ]]</f>
        <v>0</v>
      </c>
      <c r="CZ521" s="997">
        <f>IF(WWWW[[#This Row],[Total required water points]]-WWWW[[#This Row],['#Water points coverage]]&lt;0,0,WWWW[[#This Row],[Total required water points]]-WWWW[[#This Row],['#Water points coverage]])</f>
        <v>3.400000000000003E-2</v>
      </c>
      <c r="DA521" s="997">
        <f>ROUND(IF(WWWW[[#This Row],[Total PoP ]]&lt;500,1,WWWW[[#This Row],[Total PoP ]]/500),0)</f>
        <v>1</v>
      </c>
      <c r="DB521" s="997">
        <f>(WWWW[[#This Row],['#_Constructed latrines_by_WASHAgencies]]+WWWW[[#This Row],['#_Non Cluster partner latrines]])-WWWW[[#This Row],['#_Non-functional latrines]]</f>
        <v>60</v>
      </c>
      <c r="DC521" s="631">
        <f>WWWW[[#This Row],[HRP2]]/WWWW[[#This Row],[Total PoP ]]</f>
        <v>1</v>
      </c>
      <c r="DD52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483</v>
      </c>
      <c r="DE52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1" s="424">
        <f>IF(WWWW[[#This Row],['# of functional latrines in THF supported by WASH partners during the reporting period2]]="",0,WWWW[[#This Row],['# of functional latrines in THF supported by WASH partners during the reporting period2]]*50)</f>
        <v>0</v>
      </c>
      <c r="DH521" s="997">
        <f>ROUND(IF(WWWW[[#This Row],[Location Type 1]]="camp",WWWW[[#This Row],[Total PoP ]]/20,IF(WWWW[[#This Row],[Location Type 1]]="Temporary Location",WWWW[[#This Row],[Total PoP ]]/50,(WWWW[[#This Row],[Total PoP ]]/6))),0)</f>
        <v>24</v>
      </c>
      <c r="DI521" s="997">
        <f>IF(WWWW[[#This Row],[Total required Latrines]]-(WWWW[[#This Row],['#_Constructed latrines_by_WASHAgencies]]+WWWW[[#This Row],['#_Non Cluster partner latrines]])&lt;0,0,WWWW[[#This Row],[Total required Latrines]]-(WWWW[[#This Row],['#_Constructed latrines_by_WASHAgencies]]+WWWW[[#This Row],['#_Non Cluster partner latrines]]))</f>
        <v>0</v>
      </c>
      <c r="DJ521" s="999">
        <f>1-WWWW[[#This Row],[% people access to functioning Latrine]]</f>
        <v>0</v>
      </c>
      <c r="DK521" s="998">
        <f>IF(OR(WWWW[[#This Row],['#_Non-functional latrines]]="",WWWW[[#This Row],['#_Non-functional latrines]]=0),0,WWWW[[#This Row],['#_Non-functional latrines]]/(WWWW[[#This Row],['#_Constructed latrines_by_WASHAgencies]]+WWWW[[#This Row],['#_Non Cluster partner latrines]]))</f>
        <v>0</v>
      </c>
      <c r="DL521" s="994">
        <f>IF(500*(WWWW[[#This Row],['#_male hygiene promoters]]+WWWW[[#This Row],['#_female hygiene promoters]])&gt;WWWW[[#This Row],[Total PoP ]],WWWW[[#This Row],[Total PoP ]],500*(WWWW[[#This Row],['#_male hygiene promoters]]+WWWW[[#This Row],['#_female hygiene promoters]]))</f>
        <v>0</v>
      </c>
      <c r="DM52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2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21" s="997">
        <f>IF(WWWW[[#This Row],['# People with access to soap]]&gt;WWWW[[#This Row],['# People with access to Sanity Pads]],WWWW[[#This Row],['# People with access to soap]],WWWW[[#This Row],['# People with access to Sanity Pads]])</f>
        <v>0</v>
      </c>
      <c r="DP521"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21" s="999">
        <f>IF(WWWW[[#This Row],[HRP3]]/WWWW[[#This Row],[Total PoP ]]&gt;1,1,WWWW[[#This Row],[HRP3]]/WWWW[[#This Row],[Total PoP ]])</f>
        <v>0</v>
      </c>
      <c r="DR521" s="998">
        <f>1-WWWW[[#This Row],[Hygiene Coverage%]]</f>
        <v>1</v>
      </c>
      <c r="DS521" s="996">
        <f>WWWW[[#This Row],['# people reached by regular dedicated hygiene promotion_5]]/WWWW[[#This Row],[Total PoP ]]</f>
        <v>0</v>
      </c>
      <c r="DT52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2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21" s="997">
        <f>WWWW[[#This Row],['#_Constructed/Existing hand washing stations]]-WWWW[[#This Row],['#_Non-Functional_hand_washing_stations]]</f>
        <v>3</v>
      </c>
      <c r="DW521" s="994">
        <f>IF(WWWW[[#This Row],['# Functional hand washing stations during reporting period]]*20&gt;WWWW[[#This Row],[Total HH]],WWWW[[#This Row],[Total HH]],WWWW[[#This Row],['# Functional hand washing stations during reporting period]]*20)</f>
        <v>60</v>
      </c>
      <c r="DX521" s="994">
        <f>IF(WWWW[[#This Row],[Is sufficient soap available for TLS? (Yes/No)]]="yes",WWWW[[#This Row],['#_Constructed/Existing hand washing stations at TLS/CFS/THF]],0)</f>
        <v>0</v>
      </c>
      <c r="DY521" s="428">
        <f>IF(WWWW[[#This Row],['# Functional hand washing stations during reporting period]]*100&gt;WWWW[[#This Row],[Total PoP ]],WWWW[[#This Row],[Total PoP ]],WWWW[[#This Row],['# Functional hand washing stations during reporting period]]*100)</f>
        <v>300</v>
      </c>
      <c r="DZ521" s="428" t="str">
        <f>IF(OR(WWWW[[#This Row],['#_students at TLS_CFS]]="",WWWW[[#This Row],['#_students at TLS_CFS]]=0),"No","Yes")</f>
        <v>No</v>
      </c>
      <c r="EA52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1" s="990" t="str">
        <f>VLOOKUP(WWWW[[#This Row],[Site Name]],SiteDB6[[Site Name]:[CCCM Management]],6,FALSE)</f>
        <v>Yes</v>
      </c>
      <c r="EF521" s="990" t="str">
        <f>VLOOKUP(WWWW[[#This Row],[Site Name]],SiteDB6[[Site Name]:[CCCM Focal Agency]],7,FALSE)</f>
        <v>KBC-MYT</v>
      </c>
      <c r="EG521" s="990" t="str">
        <f>VLOOKUP(WWWW[[#This Row],[Site Name]],SiteDB6[[Site Name]:[Location Type 1]],9,FALSE)</f>
        <v>Camp</v>
      </c>
      <c r="EH521" s="990" t="str">
        <f>VLOOKUP(WWWW[[#This Row],[Site Name]],SiteDB6[[Site Name]:[Type of Accommodation]],10,FALSE)</f>
        <v>Camp</v>
      </c>
      <c r="EI521" s="990" t="str">
        <f>VLOOKUP(WWWW[[#This Row],[Site Name]],SiteDB6[[Site Name]:[Ethnic or GCA/NGCA]],11,FALSE)</f>
        <v>GCA</v>
      </c>
      <c r="EJ521" s="990">
        <f>VLOOKUP(WWWW[[#This Row],[Site Name]],SiteDB6[[Site Name]:[Lat]],12,FALSE)</f>
        <v>26.356223</v>
      </c>
      <c r="EK521" s="990">
        <f>VLOOKUP(WWWW[[#This Row],[Site Name]],SiteDB6[[Site Name]:[Long]],13,FALSE)</f>
        <v>96.721439000000004</v>
      </c>
      <c r="EL521" s="990" t="str">
        <f>VLOOKUP(WWWW[[#This Row],[Site Name]],SiteDB6[[Site Name]:[Pcode]],3,FALSE)</f>
        <v>MMR001CMP253</v>
      </c>
      <c r="EM521" s="995" t="str">
        <f t="shared" si="10"/>
        <v>Covered</v>
      </c>
      <c r="EN521" s="995"/>
      <c r="EO521" s="990">
        <f>VLOOKUP(WWWW[[#This Row],[Site Name]],SiteDB6[[Site Name]:[Pop
(Kachin/Shan-CCCM as of July 2021)]],16,FALSE)</f>
        <v>110</v>
      </c>
      <c r="EP521" s="990">
        <f>VLOOKUP(WWWW[[#This Row],[Site Name]],SiteDB6[[Site Name]:[Pop
(Kachin/Shan-CCCM as of July 2021)]],17,FALSE)</f>
        <v>486</v>
      </c>
    </row>
    <row r="522" spans="1:146">
      <c r="A522" s="988" t="s">
        <v>2765</v>
      </c>
      <c r="B522" s="988" t="s">
        <v>36</v>
      </c>
      <c r="C522" s="989" t="s">
        <v>36</v>
      </c>
      <c r="D522" s="989" t="s">
        <v>241</v>
      </c>
      <c r="E522" s="989" t="s">
        <v>37</v>
      </c>
      <c r="F522" s="989" t="s">
        <v>863</v>
      </c>
      <c r="G522" s="591" t="str">
        <f>VLOOKUP(WWWW[[#This Row],[Site Name]],SiteDB6[[Site Name]:[Location Type]],8,FALSE)</f>
        <v>Camp</v>
      </c>
      <c r="H522" s="989" t="s">
        <v>865</v>
      </c>
      <c r="I522" s="991">
        <v>36</v>
      </c>
      <c r="J522" s="991">
        <v>169</v>
      </c>
      <c r="K522" s="992">
        <v>44414</v>
      </c>
      <c r="L522" s="993">
        <v>44778</v>
      </c>
      <c r="M522" s="991"/>
      <c r="N522" s="991">
        <v>1</v>
      </c>
      <c r="O522" s="991"/>
      <c r="P522" s="991"/>
      <c r="Q522" s="994" t="s">
        <v>41</v>
      </c>
      <c r="R522" s="991">
        <v>4</v>
      </c>
      <c r="S522" s="991">
        <v>1</v>
      </c>
      <c r="T522" s="448"/>
      <c r="U522" s="991"/>
      <c r="V522" s="991"/>
      <c r="W522" s="991">
        <v>2</v>
      </c>
      <c r="X522" s="991"/>
      <c r="Y522" s="991"/>
      <c r="Z522" s="991"/>
      <c r="AA522" s="991"/>
      <c r="AB522" s="991"/>
      <c r="AC522" s="991"/>
      <c r="AD522" s="991"/>
      <c r="AE522" s="991"/>
      <c r="AF522" s="991"/>
      <c r="AG522" s="991"/>
      <c r="AH522" s="991"/>
      <c r="AI522" s="991"/>
      <c r="AJ522" s="991"/>
      <c r="AK522" s="991"/>
      <c r="AL522" s="991"/>
      <c r="AM522" s="991">
        <v>5</v>
      </c>
      <c r="AN522" s="991"/>
      <c r="AO522" s="448"/>
      <c r="AP522" s="995"/>
      <c r="AQ522" s="991">
        <v>2</v>
      </c>
      <c r="AR522" s="991"/>
      <c r="AS522" s="996"/>
      <c r="AT522" s="991"/>
      <c r="AU522" s="991"/>
      <c r="AV522" s="991"/>
      <c r="AW522" s="991"/>
      <c r="AX522" s="991"/>
      <c r="AY522" s="990" t="s">
        <v>41</v>
      </c>
      <c r="AZ522" s="995" t="s">
        <v>136</v>
      </c>
      <c r="BA522" s="991"/>
      <c r="BB522" s="991"/>
      <c r="BC522" s="991"/>
      <c r="BD522" s="448"/>
      <c r="BE522" s="448"/>
      <c r="BF522" s="990"/>
      <c r="BG522" s="991">
        <v>7</v>
      </c>
      <c r="BH522" s="991"/>
      <c r="BI522" s="991">
        <v>2</v>
      </c>
      <c r="BJ522" s="991">
        <v>2</v>
      </c>
      <c r="BK522" s="991"/>
      <c r="BL522" s="991"/>
      <c r="BM522" s="991">
        <v>1</v>
      </c>
      <c r="BN522" s="991"/>
      <c r="BO522" s="991"/>
      <c r="BP522" s="990" t="s">
        <v>41</v>
      </c>
      <c r="BQ522" s="997"/>
      <c r="BR522" s="996"/>
      <c r="BS522" s="990"/>
      <c r="BT522" s="423"/>
      <c r="BU522" s="423"/>
      <c r="BV522" s="425"/>
      <c r="BW522" s="423"/>
      <c r="BX522" s="448"/>
      <c r="BY522" s="448"/>
      <c r="BZ522" s="448"/>
      <c r="CA522" s="448"/>
      <c r="CB522" s="448"/>
      <c r="CC522" s="777"/>
      <c r="CD522" s="448"/>
      <c r="CE522" s="998" t="str">
        <f>IFERROR(WWWW[[#This Row],['#_Water sources passed]]/WWWW[[#This Row],['#_Water sources tested for fecal coliform ]],"no test")</f>
        <v>no test</v>
      </c>
      <c r="CF522" s="996" t="str">
        <f>IFERROR(WWWW[[#This Row],['#_Household passed]]/WWWW[[#This Row],['#_Household water samples tested for fecal coliform]],"no test")</f>
        <v>no test</v>
      </c>
      <c r="CG522" s="997" t="str">
        <f>IF(AND(WWWW[[#This Row],[% of water sources passed]]="no test",WWWW[[#This Row],[% Household passed]]="no test"),"No Test","Tested")</f>
        <v>No Test</v>
      </c>
      <c r="CH522" s="997">
        <f>WWWW[[#This Row],['#_Constructed/existing protected hand dug well]]-WWWW[[#This Row],['#_Non-functional protected hand dug well]]</f>
        <v>0</v>
      </c>
      <c r="CI522" s="997">
        <f>(WWWW[[#This Row],['#_Constructed/Existing tube wells/boreholes/handpumps_WASH_agency]]+WWWW[[#This Row],['#_Non-Cluster partner water tube-wells/boreholes/handpumps]])-WWWW[[#This Row],['#_Non-functional tube wells/boreholes/handpumps]]</f>
        <v>2</v>
      </c>
      <c r="CJ522" s="997">
        <f>WWWW[[#This Row],['#_Constructed/Existingwater storage tank with gravity fed reticulation system]]-WWWW[[#This Row],['#_Non-functional storage tank gravity fed reticulation system]]</f>
        <v>0</v>
      </c>
      <c r="CK522" s="997">
        <f>(WWWW[[#This Row],['#_Water_Liters_supplied_by_Water boating or water trucking]]/90)/15</f>
        <v>0</v>
      </c>
      <c r="CL522" s="997">
        <f>WWWW[[#This Row],['#_Water_Liters_from_Constructed/Existing water distribution system from river or natural spring]]/90/15</f>
        <v>0</v>
      </c>
      <c r="CM522" s="424">
        <f>IF(WWWW[[#This Row],['#_of water points in TLS/CFS]]*500&gt;WWWW[[#This Row],[Total PoP ]],WWWW[[#This Row],[Total PoP ]],WWWW[[#This Row],['#_of water points in TLS/CFS]]*500)</f>
        <v>0</v>
      </c>
      <c r="CN522" s="424">
        <f>IF(WWWW[[#This Row],['#_of water points in THF]]*500&gt;WWWW[[#This Row],[Total PoP ]],WWWW[[#This Row],[Total PoP ]],WWWW[[#This Row],['#_of water points in THF]]*500)</f>
        <v>0</v>
      </c>
      <c r="CO52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2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22" s="996">
        <f>IF(WWWW[[#This Row],[Location Type 1]]="Village",WWWW[[#This Row],[Access to safe drinking water for Village]],WWWW[[#This Row],[Access to safe drinking water for Camp]])</f>
        <v>1</v>
      </c>
      <c r="CR522" s="994">
        <f>WWWW[[#This Row],[%Equitable and continuous access to sufficient quantity of safe drinking water]]*WWWW[[#This Row],[Total PoP ]]</f>
        <v>169</v>
      </c>
      <c r="CS522" s="996">
        <f>IF((WWWW[[#This Row],['#_Constructed/Existing protected/fenced ponds]]*250)/WWWW[[#This Row],[Total PoP ]]&gt;1,1,(WWWW[[#This Row],['#_Constructed/Existing protected/fenced ponds]]*250)/WWWW[[#This Row],[Total PoP ]])</f>
        <v>0</v>
      </c>
      <c r="CT522" s="994">
        <f>WWWW[[#This Row],[% Access to unimproved water points]]*WWWW[[#This Row],[Total PoP ]]</f>
        <v>0</v>
      </c>
      <c r="CU52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2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v>
      </c>
      <c r="CW522" s="994">
        <f>WWWW[[#This Row],[HRP1]]/500</f>
        <v>0.33800000000000002</v>
      </c>
      <c r="CX522" s="999">
        <f>1-WWWW[[#This Row],[% Equitable and continuous access to sufficient quantity of domestic water]]</f>
        <v>0</v>
      </c>
      <c r="CY522" s="994">
        <f>WWWW[[#This Row],[%equitable and continuous access to sufficient quantity of safe drinking and domestic water''s GAP]]*WWWW[[#This Row],[Total PoP ]]</f>
        <v>0</v>
      </c>
      <c r="CZ522" s="997">
        <f>IF(WWWW[[#This Row],[Total required water points]]-WWWW[[#This Row],['#Water points coverage]]&lt;0,0,WWWW[[#This Row],[Total required water points]]-WWWW[[#This Row],['#Water points coverage]])</f>
        <v>0.66199999999999992</v>
      </c>
      <c r="DA522" s="997">
        <f>ROUND(IF(WWWW[[#This Row],[Total PoP ]]&lt;500,1,WWWW[[#This Row],[Total PoP ]]/500),0)</f>
        <v>1</v>
      </c>
      <c r="DB522" s="997">
        <f>(WWWW[[#This Row],['#_Constructed latrines_by_WASHAgencies]]+WWWW[[#This Row],['#_Non Cluster partner latrines]])-WWWW[[#This Row],['#_Non-functional latrines]]</f>
        <v>2</v>
      </c>
      <c r="DC522" s="631">
        <f>WWWW[[#This Row],[HRP2]]/WWWW[[#This Row],[Total PoP ]]</f>
        <v>0.23668639053254437</v>
      </c>
      <c r="DD52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52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2" s="424">
        <f>IF(WWWW[[#This Row],['# of functional latrines in THF supported by WASH partners during the reporting period2]]="",0,WWWW[[#This Row],['# of functional latrines in THF supported by WASH partners during the reporting period2]]*50)</f>
        <v>0</v>
      </c>
      <c r="DH522" s="997">
        <f>ROUND(IF(WWWW[[#This Row],[Location Type 1]]="camp",WWWW[[#This Row],[Total PoP ]]/20,IF(WWWW[[#This Row],[Location Type 1]]="Temporary Location",WWWW[[#This Row],[Total PoP ]]/50,(WWWW[[#This Row],[Total PoP ]]/6))),0)</f>
        <v>8</v>
      </c>
      <c r="DI522" s="997">
        <f>IF(WWWW[[#This Row],[Total required Latrines]]-(WWWW[[#This Row],['#_Constructed latrines_by_WASHAgencies]]+WWWW[[#This Row],['#_Non Cluster partner latrines]])&lt;0,0,WWWW[[#This Row],[Total required Latrines]]-(WWWW[[#This Row],['#_Constructed latrines_by_WASHAgencies]]+WWWW[[#This Row],['#_Non Cluster partner latrines]]))</f>
        <v>6</v>
      </c>
      <c r="DJ522" s="999">
        <f>1-WWWW[[#This Row],[% people access to functioning Latrine]]</f>
        <v>0.76331360946745563</v>
      </c>
      <c r="DK522" s="998">
        <f>IF(OR(WWWW[[#This Row],['#_Non-functional latrines]]="",WWWW[[#This Row],['#_Non-functional latrines]]=0),0,WWWW[[#This Row],['#_Non-functional latrines]]/(WWWW[[#This Row],['#_Constructed latrines_by_WASHAgencies]]+WWWW[[#This Row],['#_Non Cluster partner latrines]]))</f>
        <v>0</v>
      </c>
      <c r="DL522" s="994">
        <f>IF(500*(WWWW[[#This Row],['#_male hygiene promoters]]+WWWW[[#This Row],['#_female hygiene promoters]])&gt;WWWW[[#This Row],[Total PoP ]],WWWW[[#This Row],[Total PoP ]],500*(WWWW[[#This Row],['#_male hygiene promoters]]+WWWW[[#This Row],['#_female hygiene promoters]]))</f>
        <v>169</v>
      </c>
      <c r="DM52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2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22" s="997">
        <f>IF(WWWW[[#This Row],['# People with access to soap]]&gt;WWWW[[#This Row],['# People with access to Sanity Pads]],WWWW[[#This Row],['# People with access to soap]],WWWW[[#This Row],['# People with access to Sanity Pads]])</f>
        <v>0</v>
      </c>
      <c r="DP522" s="997">
        <f>IF(WWWW[[#This Row],['# people reached by regular dedicated hygiene promotion_5]]&gt;WWWW[[#This Row],['# People received regular supply of hygiene items_6]],WWWW[[#This Row],['# people reached by regular dedicated hygiene promotion_5]],WWWW[[#This Row],['# People received regular supply of hygiene items_6]])</f>
        <v>169</v>
      </c>
      <c r="DQ522" s="999">
        <f>IF(WWWW[[#This Row],[HRP3]]/WWWW[[#This Row],[Total PoP ]]&gt;1,1,WWWW[[#This Row],[HRP3]]/WWWW[[#This Row],[Total PoP ]])</f>
        <v>1</v>
      </c>
      <c r="DR522" s="998">
        <f>1-WWWW[[#This Row],[Hygiene Coverage%]]</f>
        <v>0</v>
      </c>
      <c r="DS522" s="996">
        <f>WWWW[[#This Row],['# people reached by regular dedicated hygiene promotion_5]]/WWWW[[#This Row],[Total PoP ]]</f>
        <v>1</v>
      </c>
      <c r="DT52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2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22" s="997">
        <f>WWWW[[#This Row],['#_Constructed/Existing hand washing stations]]-WWWW[[#This Row],['#_Non-Functional_hand_washing_stations]]</f>
        <v>7</v>
      </c>
      <c r="DW522" s="994">
        <f>IF(WWWW[[#This Row],['# Functional hand washing stations during reporting period]]*20&gt;WWWW[[#This Row],[Total HH]],WWWW[[#This Row],[Total HH]],WWWW[[#This Row],['# Functional hand washing stations during reporting period]]*20)</f>
        <v>36</v>
      </c>
      <c r="DX522" s="994">
        <f>IF(WWWW[[#This Row],[Is sufficient soap available for TLS? (Yes/No)]]="yes",WWWW[[#This Row],['#_Constructed/Existing hand washing stations at TLS/CFS/THF]],0)</f>
        <v>5</v>
      </c>
      <c r="DY522" s="428">
        <f>IF(WWWW[[#This Row],['# Functional hand washing stations during reporting period]]*100&gt;WWWW[[#This Row],[Total PoP ]],WWWW[[#This Row],[Total PoP ]],WWWW[[#This Row],['# Functional hand washing stations during reporting period]]*100)</f>
        <v>169</v>
      </c>
      <c r="DZ522" s="428" t="str">
        <f>IF(OR(WWWW[[#This Row],['#_students at TLS_CFS]]="",WWWW[[#This Row],['#_students at TLS_CFS]]=0),"No","Yes")</f>
        <v>No</v>
      </c>
      <c r="EA52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2" s="990" t="str">
        <f>VLOOKUP(WWWW[[#This Row],[Site Name]],SiteDB6[[Site Name]:[CCCM Management]],6,FALSE)</f>
        <v>Yes</v>
      </c>
      <c r="EF522" s="990" t="str">
        <f>VLOOKUP(WWWW[[#This Row],[Site Name]],SiteDB6[[Site Name]:[CCCM Focal Agency]],7,FALSE)</f>
        <v>KMSS-MYT</v>
      </c>
      <c r="EG522" s="990" t="str">
        <f>VLOOKUP(WWWW[[#This Row],[Site Name]],SiteDB6[[Site Name]:[Location Type 1]],9,FALSE)</f>
        <v>Camp</v>
      </c>
      <c r="EH522" s="990" t="str">
        <f>VLOOKUP(WWWW[[#This Row],[Site Name]],SiteDB6[[Site Name]:[Type of Accommodation]],10,FALSE)</f>
        <v>Camp</v>
      </c>
      <c r="EI522" s="990" t="str">
        <f>VLOOKUP(WWWW[[#This Row],[Site Name]],SiteDB6[[Site Name]:[Ethnic or GCA/NGCA]],11,FALSE)</f>
        <v>GCA</v>
      </c>
      <c r="EJ522" s="990">
        <f>VLOOKUP(WWWW[[#This Row],[Site Name]],SiteDB6[[Site Name]:[Lat]],12,FALSE)</f>
        <v>26.351690999999999</v>
      </c>
      <c r="EK522" s="990">
        <f>VLOOKUP(WWWW[[#This Row],[Site Name]],SiteDB6[[Site Name]:[Long]],13,FALSE)</f>
        <v>96.690871999999999</v>
      </c>
      <c r="EL522" s="990" t="str">
        <f>VLOOKUP(WWWW[[#This Row],[Site Name]],SiteDB6[[Site Name]:[Pcode]],3,FALSE)</f>
        <v>MMR001CMP254</v>
      </c>
      <c r="EM522" s="995" t="str">
        <f t="shared" si="10"/>
        <v>Covered</v>
      </c>
      <c r="EN522" s="995"/>
      <c r="EO522" s="990">
        <f>VLOOKUP(WWWW[[#This Row],[Site Name]],SiteDB6[[Site Name]:[Pop
(Kachin/Shan-CCCM as of July 2021)]],16,FALSE)</f>
        <v>35</v>
      </c>
      <c r="EP522" s="990">
        <f>VLOOKUP(WWWW[[#This Row],[Site Name]],SiteDB6[[Site Name]:[Pop
(Kachin/Shan-CCCM as of July 2021)]],17,FALSE)</f>
        <v>161</v>
      </c>
    </row>
    <row r="523" spans="1:146">
      <c r="A523" s="988" t="s">
        <v>2765</v>
      </c>
      <c r="B523" s="988" t="s">
        <v>3073</v>
      </c>
      <c r="C523" s="989" t="s">
        <v>141</v>
      </c>
      <c r="D523" s="989" t="s">
        <v>3166</v>
      </c>
      <c r="E523" s="989" t="s">
        <v>37</v>
      </c>
      <c r="F523" s="989" t="s">
        <v>159</v>
      </c>
      <c r="G523" s="591" t="str">
        <f>VLOOKUP(WWWW[[#This Row],[Site Name]],SiteDB6[[Site Name]:[Location Type]],8,FALSE)</f>
        <v>Camp</v>
      </c>
      <c r="H523" s="989" t="s">
        <v>170</v>
      </c>
      <c r="I523" s="991">
        <v>96</v>
      </c>
      <c r="J523" s="991">
        <v>531</v>
      </c>
      <c r="K523" s="992">
        <v>44682</v>
      </c>
      <c r="L523" s="993">
        <v>45169</v>
      </c>
      <c r="M523" s="991"/>
      <c r="N523" s="991">
        <v>1</v>
      </c>
      <c r="O523" s="991"/>
      <c r="P523" s="991"/>
      <c r="Q523" s="994" t="s">
        <v>41</v>
      </c>
      <c r="R523" s="991">
        <v>2</v>
      </c>
      <c r="S523" s="991">
        <v>2</v>
      </c>
      <c r="T523" s="448">
        <v>2</v>
      </c>
      <c r="U523" s="991"/>
      <c r="V523" s="991"/>
      <c r="W523" s="991">
        <v>3</v>
      </c>
      <c r="X523" s="991"/>
      <c r="Y523" s="991"/>
      <c r="Z523" s="991"/>
      <c r="AA523" s="991"/>
      <c r="AB523" s="991"/>
      <c r="AC523" s="991"/>
      <c r="AD523" s="991"/>
      <c r="AE523" s="991"/>
      <c r="AF523" s="991"/>
      <c r="AG523" s="991"/>
      <c r="AH523" s="991">
        <v>2</v>
      </c>
      <c r="AI523" s="991"/>
      <c r="AJ523" s="991"/>
      <c r="AK523" s="991"/>
      <c r="AL523" s="991"/>
      <c r="AM523" s="991"/>
      <c r="AN523" s="991"/>
      <c r="AO523" s="448"/>
      <c r="AP523" s="995"/>
      <c r="AQ523" s="991">
        <v>11</v>
      </c>
      <c r="AR523" s="991"/>
      <c r="AS523" s="996"/>
      <c r="AT523" s="991"/>
      <c r="AU523" s="991"/>
      <c r="AV523" s="991"/>
      <c r="AW523" s="991"/>
      <c r="AX523" s="991">
        <v>11</v>
      </c>
      <c r="AY523" s="990" t="s">
        <v>41</v>
      </c>
      <c r="AZ523" s="995" t="s">
        <v>137</v>
      </c>
      <c r="BA523" s="991"/>
      <c r="BB523" s="991"/>
      <c r="BC523" s="991"/>
      <c r="BD523" s="448"/>
      <c r="BE523" s="448"/>
      <c r="BF523" s="990"/>
      <c r="BG523" s="991">
        <v>3</v>
      </c>
      <c r="BH523" s="991"/>
      <c r="BI523" s="991"/>
      <c r="BJ523" s="991">
        <v>2</v>
      </c>
      <c r="BK523" s="991"/>
      <c r="BL523" s="991">
        <v>1</v>
      </c>
      <c r="BM523" s="991"/>
      <c r="BN523" s="991"/>
      <c r="BO523" s="991"/>
      <c r="BP523" s="990"/>
      <c r="BQ523" s="997"/>
      <c r="BR523" s="996"/>
      <c r="BS523" s="990"/>
      <c r="BT523" s="423"/>
      <c r="BU523" s="423"/>
      <c r="BV523" s="425"/>
      <c r="BW523" s="423"/>
      <c r="BX523" s="448"/>
      <c r="BY523" s="448"/>
      <c r="BZ523" s="448"/>
      <c r="CA523" s="448"/>
      <c r="CB523" s="448"/>
      <c r="CC523" s="777"/>
      <c r="CD523" s="448"/>
      <c r="CE523" s="998" t="str">
        <f>IFERROR(WWWW[[#This Row],['#_Water sources passed]]/WWWW[[#This Row],['#_Water sources tested for fecal coliform ]],"no test")</f>
        <v>no test</v>
      </c>
      <c r="CF523" s="996" t="str">
        <f>IFERROR(WWWW[[#This Row],['#_Household passed]]/WWWW[[#This Row],['#_Household water samples tested for fecal coliform]],"no test")</f>
        <v>no test</v>
      </c>
      <c r="CG523" s="997" t="str">
        <f>IF(AND(WWWW[[#This Row],[% of water sources passed]]="no test",WWWW[[#This Row],[% Household passed]]="no test"),"No Test","Tested")</f>
        <v>No Test</v>
      </c>
      <c r="CH523" s="997">
        <f>WWWW[[#This Row],['#_Constructed/existing protected hand dug well]]-WWWW[[#This Row],['#_Non-functional protected hand dug well]]</f>
        <v>2</v>
      </c>
      <c r="CI523" s="997">
        <f>(WWWW[[#This Row],['#_Constructed/Existing tube wells/boreholes/handpumps_WASH_agency]]+WWWW[[#This Row],['#_Non-Cluster partner water tube-wells/boreholes/handpumps]])-WWWW[[#This Row],['#_Non-functional tube wells/boreholes/handpumps]]</f>
        <v>3</v>
      </c>
      <c r="CJ523" s="997">
        <f>WWWW[[#This Row],['#_Constructed/Existingwater storage tank with gravity fed reticulation system]]-WWWW[[#This Row],['#_Non-functional storage tank gravity fed reticulation system]]</f>
        <v>0</v>
      </c>
      <c r="CK523" s="997">
        <f>(WWWW[[#This Row],['#_Water_Liters_supplied_by_Water boating or water trucking]]/90)/15</f>
        <v>0</v>
      </c>
      <c r="CL523" s="997">
        <f>WWWW[[#This Row],['#_Water_Liters_from_Constructed/Existing water distribution system from river or natural spring]]/90/15</f>
        <v>0</v>
      </c>
      <c r="CM523" s="424">
        <f>IF(WWWW[[#This Row],['#_of water points in TLS/CFS]]*500&gt;WWWW[[#This Row],[Total PoP ]],WWWW[[#This Row],[Total PoP ]],WWWW[[#This Row],['#_of water points in TLS/CFS]]*500)</f>
        <v>0</v>
      </c>
      <c r="CN523" s="424">
        <f>IF(WWWW[[#This Row],['#_of water points in THF]]*500&gt;WWWW[[#This Row],[Total PoP ]],WWWW[[#This Row],[Total PoP ]],WWWW[[#This Row],['#_of water points in THF]]*500)</f>
        <v>0</v>
      </c>
      <c r="CO52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2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23" s="996">
        <f>IF(WWWW[[#This Row],[Location Type 1]]="Village",WWWW[[#This Row],[Access to safe drinking water for Village]],WWWW[[#This Row],[Access to safe drinking water for Camp]])</f>
        <v>1</v>
      </c>
      <c r="CR523" s="994">
        <f>WWWW[[#This Row],[%Equitable and continuous access to sufficient quantity of safe drinking water]]*WWWW[[#This Row],[Total PoP ]]</f>
        <v>531</v>
      </c>
      <c r="CS523" s="996">
        <f>IF((WWWW[[#This Row],['#_Constructed/Existing protected/fenced ponds]]*250)/WWWW[[#This Row],[Total PoP ]]&gt;1,1,(WWWW[[#This Row],['#_Constructed/Existing protected/fenced ponds]]*250)/WWWW[[#This Row],[Total PoP ]])</f>
        <v>0</v>
      </c>
      <c r="CT523" s="994">
        <f>WWWW[[#This Row],[% Access to unimproved water points]]*WWWW[[#This Row],[Total PoP ]]</f>
        <v>0</v>
      </c>
      <c r="CU52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2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531</v>
      </c>
      <c r="CW523" s="994">
        <f>WWWW[[#This Row],[HRP1]]/500</f>
        <v>1.0620000000000001</v>
      </c>
      <c r="CX523" s="999">
        <f>1-WWWW[[#This Row],[% Equitable and continuous access to sufficient quantity of domestic water]]</f>
        <v>0</v>
      </c>
      <c r="CY523" s="994">
        <f>WWWW[[#This Row],[%equitable and continuous access to sufficient quantity of safe drinking and domestic water''s GAP]]*WWWW[[#This Row],[Total PoP ]]</f>
        <v>0</v>
      </c>
      <c r="CZ523" s="997">
        <f>IF(WWWW[[#This Row],[Total required water points]]-WWWW[[#This Row],['#Water points coverage]]&lt;0,0,WWWW[[#This Row],[Total required water points]]-WWWW[[#This Row],['#Water points coverage]])</f>
        <v>0</v>
      </c>
      <c r="DA523" s="997">
        <f>ROUND(IF(WWWW[[#This Row],[Total PoP ]]&lt;500,1,WWWW[[#This Row],[Total PoP ]]/500),0)</f>
        <v>1</v>
      </c>
      <c r="DB523" s="997">
        <f>(WWWW[[#This Row],['#_Constructed latrines_by_WASHAgencies]]+WWWW[[#This Row],['#_Non Cluster partner latrines]])-WWWW[[#This Row],['#_Non-functional latrines]]</f>
        <v>11</v>
      </c>
      <c r="DC523" s="631">
        <f>WWWW[[#This Row],[HRP2]]/WWWW[[#This Row],[Total PoP ]]</f>
        <v>0.4143126177024482</v>
      </c>
      <c r="DD52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52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3" s="424">
        <f>IF(WWWW[[#This Row],['# of functional latrines in THF supported by WASH partners during the reporting period2]]="",0,WWWW[[#This Row],['# of functional latrines in THF supported by WASH partners during the reporting period2]]*50)</f>
        <v>0</v>
      </c>
      <c r="DH523" s="997">
        <f>ROUND(IF(WWWW[[#This Row],[Location Type 1]]="camp",WWWW[[#This Row],[Total PoP ]]/20,IF(WWWW[[#This Row],[Location Type 1]]="Temporary Location",WWWW[[#This Row],[Total PoP ]]/50,(WWWW[[#This Row],[Total PoP ]]/6))),0)</f>
        <v>27</v>
      </c>
      <c r="DI523" s="997">
        <f>IF(WWWW[[#This Row],[Total required Latrines]]-(WWWW[[#This Row],['#_Constructed latrines_by_WASHAgencies]]+WWWW[[#This Row],['#_Non Cluster partner latrines]])&lt;0,0,WWWW[[#This Row],[Total required Latrines]]-(WWWW[[#This Row],['#_Constructed latrines_by_WASHAgencies]]+WWWW[[#This Row],['#_Non Cluster partner latrines]]))</f>
        <v>16</v>
      </c>
      <c r="DJ523" s="999">
        <f>1-WWWW[[#This Row],[% people access to functioning Latrine]]</f>
        <v>0.5856873822975518</v>
      </c>
      <c r="DK523" s="998">
        <f>IF(OR(WWWW[[#This Row],['#_Non-functional latrines]]="",WWWW[[#This Row],['#_Non-functional latrines]]=0),0,WWWW[[#This Row],['#_Non-functional latrines]]/(WWWW[[#This Row],['#_Constructed latrines_by_WASHAgencies]]+WWWW[[#This Row],['#_Non Cluster partner latrines]]))</f>
        <v>0</v>
      </c>
      <c r="DL523" s="994">
        <f>IF(500*(WWWW[[#This Row],['#_male hygiene promoters]]+WWWW[[#This Row],['#_female hygiene promoters]])&gt;WWWW[[#This Row],[Total PoP ]],WWWW[[#This Row],[Total PoP ]],500*(WWWW[[#This Row],['#_male hygiene promoters]]+WWWW[[#This Row],['#_female hygiene promoters]]))</f>
        <v>500</v>
      </c>
      <c r="DM52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2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23" s="997">
        <f>IF(WWWW[[#This Row],['# People with access to soap]]&gt;WWWW[[#This Row],['# People with access to Sanity Pads]],WWWW[[#This Row],['# People with access to soap]],WWWW[[#This Row],['# People with access to Sanity Pads]])</f>
        <v>0</v>
      </c>
      <c r="DP523" s="99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523" s="999">
        <f>IF(WWWW[[#This Row],[HRP3]]/WWWW[[#This Row],[Total PoP ]]&gt;1,1,WWWW[[#This Row],[HRP3]]/WWWW[[#This Row],[Total PoP ]])</f>
        <v>0.94161958568738224</v>
      </c>
      <c r="DR523" s="998">
        <f>1-WWWW[[#This Row],[Hygiene Coverage%]]</f>
        <v>5.8380414312617757E-2</v>
      </c>
      <c r="DS523" s="996">
        <f>WWWW[[#This Row],['# people reached by regular dedicated hygiene promotion_5]]/WWWW[[#This Row],[Total PoP ]]</f>
        <v>0.94161958568738224</v>
      </c>
      <c r="DT52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2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23" s="997">
        <f>WWWW[[#This Row],['#_Constructed/Existing hand washing stations]]-WWWW[[#This Row],['#_Non-Functional_hand_washing_stations]]</f>
        <v>3</v>
      </c>
      <c r="DW523" s="994">
        <f>IF(WWWW[[#This Row],['# Functional hand washing stations during reporting period]]*20&gt;WWWW[[#This Row],[Total HH]],WWWW[[#This Row],[Total HH]],WWWW[[#This Row],['# Functional hand washing stations during reporting period]]*20)</f>
        <v>60</v>
      </c>
      <c r="DX523" s="994">
        <f>IF(WWWW[[#This Row],[Is sufficient soap available for TLS? (Yes/No)]]="yes",WWWW[[#This Row],['#_Constructed/Existing hand washing stations at TLS/CFS/THF]],0)</f>
        <v>0</v>
      </c>
      <c r="DY523" s="428">
        <f>IF(WWWW[[#This Row],['# Functional hand washing stations during reporting period]]*100&gt;WWWW[[#This Row],[Total PoP ]],WWWW[[#This Row],[Total PoP ]],WWWW[[#This Row],['# Functional hand washing stations during reporting period]]*100)</f>
        <v>300</v>
      </c>
      <c r="DZ523" s="428" t="str">
        <f>IF(OR(WWWW[[#This Row],['#_students at TLS_CFS]]="",WWWW[[#This Row],['#_students at TLS_CFS]]=0),"No","Yes")</f>
        <v>No</v>
      </c>
      <c r="EA52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3" s="990" t="str">
        <f>VLOOKUP(WWWW[[#This Row],[Site Name]],SiteDB6[[Site Name]:[CCCM Management]],6,FALSE)</f>
        <v>Yes</v>
      </c>
      <c r="EF523" s="990" t="str">
        <f>VLOOKUP(WWWW[[#This Row],[Site Name]],SiteDB6[[Site Name]:[CCCM Focal Agency]],7,FALSE)</f>
        <v>KBC-MYT</v>
      </c>
      <c r="EG523" s="990" t="str">
        <f>VLOOKUP(WWWW[[#This Row],[Site Name]],SiteDB6[[Site Name]:[Location Type 1]],9,FALSE)</f>
        <v>Camp</v>
      </c>
      <c r="EH523" s="990" t="str">
        <f>VLOOKUP(WWWW[[#This Row],[Site Name]],SiteDB6[[Site Name]:[Type of Accommodation]],10,FALSE)</f>
        <v>Camp</v>
      </c>
      <c r="EI523" s="990" t="str">
        <f>VLOOKUP(WWWW[[#This Row],[Site Name]],SiteDB6[[Site Name]:[Ethnic or GCA/NGCA]],11,FALSE)</f>
        <v>GCA</v>
      </c>
      <c r="EJ523" s="990">
        <f>VLOOKUP(WWWW[[#This Row],[Site Name]],SiteDB6[[Site Name]:[Lat]],12,FALSE)</f>
        <v>25.415482000000001</v>
      </c>
      <c r="EK523" s="990">
        <f>VLOOKUP(WWWW[[#This Row],[Site Name]],SiteDB6[[Site Name]:[Long]],13,FALSE)</f>
        <v>97.386718999999999</v>
      </c>
      <c r="EL523" s="990" t="str">
        <f>VLOOKUP(WWWW[[#This Row],[Site Name]],SiteDB6[[Site Name]:[Pcode]],3,FALSE)</f>
        <v>MMR001CMP001</v>
      </c>
      <c r="EM523" s="995" t="str">
        <f t="shared" si="10"/>
        <v>Covered</v>
      </c>
      <c r="EN523" s="995"/>
      <c r="EO523" s="990">
        <f>VLOOKUP(WWWW[[#This Row],[Site Name]],SiteDB6[[Site Name]:[Pop
(Kachin/Shan-CCCM as of July 2021)]],16,FALSE)</f>
        <v>98</v>
      </c>
      <c r="EP523" s="990">
        <f>VLOOKUP(WWWW[[#This Row],[Site Name]],SiteDB6[[Site Name]:[Pop
(Kachin/Shan-CCCM as of July 2021)]],17,FALSE)</f>
        <v>540</v>
      </c>
    </row>
    <row r="524" spans="1:146">
      <c r="A524" s="988" t="s">
        <v>2765</v>
      </c>
      <c r="B524" s="988" t="s">
        <v>2081</v>
      </c>
      <c r="C524" s="989" t="s">
        <v>141</v>
      </c>
      <c r="D524" s="989" t="s">
        <v>3166</v>
      </c>
      <c r="E524" s="989" t="s">
        <v>37</v>
      </c>
      <c r="F524" s="989" t="s">
        <v>142</v>
      </c>
      <c r="G524" s="591" t="str">
        <f>VLOOKUP(WWWW[[#This Row],[Site Name]],SiteDB6[[Site Name]:[Location Type]],8,FALSE)</f>
        <v>Camp</v>
      </c>
      <c r="H524" s="989" t="s">
        <v>182</v>
      </c>
      <c r="I524" s="991">
        <v>214</v>
      </c>
      <c r="J524" s="991">
        <v>1176</v>
      </c>
      <c r="K524" s="992">
        <v>44682</v>
      </c>
      <c r="L524" s="993">
        <v>45169</v>
      </c>
      <c r="M524" s="991"/>
      <c r="N524" s="991">
        <v>1</v>
      </c>
      <c r="O524" s="991"/>
      <c r="P524" s="991"/>
      <c r="Q524" s="994" t="s">
        <v>41</v>
      </c>
      <c r="R524" s="991">
        <v>2</v>
      </c>
      <c r="S524" s="991">
        <v>3</v>
      </c>
      <c r="T524" s="448"/>
      <c r="U524" s="991"/>
      <c r="V524" s="991"/>
      <c r="W524" s="991"/>
      <c r="X524" s="991"/>
      <c r="Y524" s="991"/>
      <c r="Z524" s="991"/>
      <c r="AA524" s="991"/>
      <c r="AB524" s="991"/>
      <c r="AC524" s="991"/>
      <c r="AD524" s="991"/>
      <c r="AE524" s="991"/>
      <c r="AF524" s="991"/>
      <c r="AG524" s="991"/>
      <c r="AH524" s="991"/>
      <c r="AI524" s="991"/>
      <c r="AJ524" s="991"/>
      <c r="AK524" s="991"/>
      <c r="AL524" s="991"/>
      <c r="AM524" s="991"/>
      <c r="AN524" s="991"/>
      <c r="AO524" s="448"/>
      <c r="AP524" s="995"/>
      <c r="AQ524" s="991">
        <v>158</v>
      </c>
      <c r="AR524" s="991"/>
      <c r="AS524" s="996"/>
      <c r="AT524" s="991"/>
      <c r="AU524" s="991"/>
      <c r="AV524" s="991"/>
      <c r="AW524" s="991"/>
      <c r="AX524" s="991">
        <v>158</v>
      </c>
      <c r="AY524" s="990" t="s">
        <v>41</v>
      </c>
      <c r="AZ524" s="995" t="s">
        <v>137</v>
      </c>
      <c r="BA524" s="991"/>
      <c r="BB524" s="991"/>
      <c r="BC524" s="991"/>
      <c r="BD524" s="448"/>
      <c r="BE524" s="448"/>
      <c r="BF524" s="990"/>
      <c r="BG524" s="991">
        <v>7</v>
      </c>
      <c r="BH524" s="991"/>
      <c r="BI524" s="991"/>
      <c r="BJ524" s="991">
        <v>4</v>
      </c>
      <c r="BK524" s="991"/>
      <c r="BL524" s="991">
        <v>2</v>
      </c>
      <c r="BM524" s="991">
        <v>1</v>
      </c>
      <c r="BN524" s="991"/>
      <c r="BO524" s="991"/>
      <c r="BP524" s="990"/>
      <c r="BQ524" s="997"/>
      <c r="BR524" s="996"/>
      <c r="BS524" s="990"/>
      <c r="BT524" s="423"/>
      <c r="BU524" s="423"/>
      <c r="BV524" s="425"/>
      <c r="BW524" s="423"/>
      <c r="BX524" s="448"/>
      <c r="BY524" s="448"/>
      <c r="BZ524" s="448"/>
      <c r="CA524" s="448"/>
      <c r="CB524" s="448"/>
      <c r="CC524" s="777"/>
      <c r="CD524" s="448"/>
      <c r="CE524" s="998" t="str">
        <f>IFERROR(WWWW[[#This Row],['#_Water sources passed]]/WWWW[[#This Row],['#_Water sources tested for fecal coliform ]],"no test")</f>
        <v>no test</v>
      </c>
      <c r="CF524" s="996" t="str">
        <f>IFERROR(WWWW[[#This Row],['#_Household passed]]/WWWW[[#This Row],['#_Household water samples tested for fecal coliform]],"no test")</f>
        <v>no test</v>
      </c>
      <c r="CG524" s="997" t="str">
        <f>IF(AND(WWWW[[#This Row],[% of water sources passed]]="no test",WWWW[[#This Row],[% Household passed]]="no test"),"No Test","Tested")</f>
        <v>No Test</v>
      </c>
      <c r="CH524" s="997">
        <f>WWWW[[#This Row],['#_Constructed/existing protected hand dug well]]-WWWW[[#This Row],['#_Non-functional protected hand dug well]]</f>
        <v>0</v>
      </c>
      <c r="CI524" s="997">
        <f>(WWWW[[#This Row],['#_Constructed/Existing tube wells/boreholes/handpumps_WASH_agency]]+WWWW[[#This Row],['#_Non-Cluster partner water tube-wells/boreholes/handpumps]])-WWWW[[#This Row],['#_Non-functional tube wells/boreholes/handpumps]]</f>
        <v>0</v>
      </c>
      <c r="CJ524" s="997">
        <f>WWWW[[#This Row],['#_Constructed/Existingwater storage tank with gravity fed reticulation system]]-WWWW[[#This Row],['#_Non-functional storage tank gravity fed reticulation system]]</f>
        <v>0</v>
      </c>
      <c r="CK524" s="997">
        <f>(WWWW[[#This Row],['#_Water_Liters_supplied_by_Water boating or water trucking]]/90)/15</f>
        <v>0</v>
      </c>
      <c r="CL524" s="997">
        <f>WWWW[[#This Row],['#_Water_Liters_from_Constructed/Existing water distribution system from river or natural spring]]/90/15</f>
        <v>0</v>
      </c>
      <c r="CM524" s="424">
        <f>IF(WWWW[[#This Row],['#_of water points in TLS/CFS]]*500&gt;WWWW[[#This Row],[Total PoP ]],WWWW[[#This Row],[Total PoP ]],WWWW[[#This Row],['#_of water points in TLS/CFS]]*500)</f>
        <v>0</v>
      </c>
      <c r="CN524" s="424">
        <f>IF(WWWW[[#This Row],['#_of water points in THF]]*500&gt;WWWW[[#This Row],[Total PoP ]],WWWW[[#This Row],[Total PoP ]],WWWW[[#This Row],['#_of water points in THF]]*500)</f>
        <v>0</v>
      </c>
      <c r="CO52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2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24" s="996">
        <f>IF(WWWW[[#This Row],[Location Type 1]]="Village",WWWW[[#This Row],[Access to safe drinking water for Village]],WWWW[[#This Row],[Access to safe drinking water for Camp]])</f>
        <v>0</v>
      </c>
      <c r="CR524" s="994">
        <f>WWWW[[#This Row],[%Equitable and continuous access to sufficient quantity of safe drinking water]]*WWWW[[#This Row],[Total PoP ]]</f>
        <v>0</v>
      </c>
      <c r="CS524" s="996">
        <f>IF((WWWW[[#This Row],['#_Constructed/Existing protected/fenced ponds]]*250)/WWWW[[#This Row],[Total PoP ]]&gt;1,1,(WWWW[[#This Row],['#_Constructed/Existing protected/fenced ponds]]*250)/WWWW[[#This Row],[Total PoP ]])</f>
        <v>0</v>
      </c>
      <c r="CT524" s="994">
        <f>WWWW[[#This Row],[% Access to unimproved water points]]*WWWW[[#This Row],[Total PoP ]]</f>
        <v>0</v>
      </c>
      <c r="CU52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2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24" s="994">
        <f>WWWW[[#This Row],[HRP1]]/500</f>
        <v>0</v>
      </c>
      <c r="CX524" s="999">
        <f>1-WWWW[[#This Row],[% Equitable and continuous access to sufficient quantity of domestic water]]</f>
        <v>1</v>
      </c>
      <c r="CY524" s="994">
        <f>WWWW[[#This Row],[%equitable and continuous access to sufficient quantity of safe drinking and domestic water''s GAP]]*WWWW[[#This Row],[Total PoP ]]</f>
        <v>1176</v>
      </c>
      <c r="CZ524" s="997">
        <f>IF(WWWW[[#This Row],[Total required water points]]-WWWW[[#This Row],['#Water points coverage]]&lt;0,0,WWWW[[#This Row],[Total required water points]]-WWWW[[#This Row],['#Water points coverage]])</f>
        <v>2</v>
      </c>
      <c r="DA524" s="997">
        <f>ROUND(IF(WWWW[[#This Row],[Total PoP ]]&lt;500,1,WWWW[[#This Row],[Total PoP ]]/500),0)</f>
        <v>2</v>
      </c>
      <c r="DB524" s="997">
        <f>(WWWW[[#This Row],['#_Constructed latrines_by_WASHAgencies]]+WWWW[[#This Row],['#_Non Cluster partner latrines]])-WWWW[[#This Row],['#_Non-functional latrines]]</f>
        <v>158</v>
      </c>
      <c r="DC524" s="631">
        <f>WWWW[[#This Row],[HRP2]]/WWWW[[#This Row],[Total PoP ]]</f>
        <v>1</v>
      </c>
      <c r="DD52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1176</v>
      </c>
      <c r="DE52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4" s="424">
        <f>IF(WWWW[[#This Row],['# of functional latrines in THF supported by WASH partners during the reporting period2]]="",0,WWWW[[#This Row],['# of functional latrines in THF supported by WASH partners during the reporting period2]]*50)</f>
        <v>0</v>
      </c>
      <c r="DH524" s="997">
        <f>ROUND(IF(WWWW[[#This Row],[Location Type 1]]="camp",WWWW[[#This Row],[Total PoP ]]/20,IF(WWWW[[#This Row],[Location Type 1]]="Temporary Location",WWWW[[#This Row],[Total PoP ]]/50,(WWWW[[#This Row],[Total PoP ]]/6))),0)</f>
        <v>59</v>
      </c>
      <c r="DI524" s="997">
        <f>IF(WWWW[[#This Row],[Total required Latrines]]-(WWWW[[#This Row],['#_Constructed latrines_by_WASHAgencies]]+WWWW[[#This Row],['#_Non Cluster partner latrines]])&lt;0,0,WWWW[[#This Row],[Total required Latrines]]-(WWWW[[#This Row],['#_Constructed latrines_by_WASHAgencies]]+WWWW[[#This Row],['#_Non Cluster partner latrines]]))</f>
        <v>0</v>
      </c>
      <c r="DJ524" s="999">
        <f>1-WWWW[[#This Row],[% people access to functioning Latrine]]</f>
        <v>0</v>
      </c>
      <c r="DK524" s="998">
        <f>IF(OR(WWWW[[#This Row],['#_Non-functional latrines]]="",WWWW[[#This Row],['#_Non-functional latrines]]=0),0,WWWW[[#This Row],['#_Non-functional latrines]]/(WWWW[[#This Row],['#_Constructed latrines_by_WASHAgencies]]+WWWW[[#This Row],['#_Non Cluster partner latrines]]))</f>
        <v>0</v>
      </c>
      <c r="DL524" s="994">
        <f>IF(500*(WWWW[[#This Row],['#_male hygiene promoters]]+WWWW[[#This Row],['#_female hygiene promoters]])&gt;WWWW[[#This Row],[Total PoP ]],WWWW[[#This Row],[Total PoP ]],500*(WWWW[[#This Row],['#_male hygiene promoters]]+WWWW[[#This Row],['#_female hygiene promoters]]))</f>
        <v>1176</v>
      </c>
      <c r="DM52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2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24" s="997">
        <f>IF(WWWW[[#This Row],['# People with access to soap]]&gt;WWWW[[#This Row],['# People with access to Sanity Pads]],WWWW[[#This Row],['# People with access to soap]],WWWW[[#This Row],['# People with access to Sanity Pads]])</f>
        <v>0</v>
      </c>
      <c r="DP524" s="997">
        <f>IF(WWWW[[#This Row],['# people reached by regular dedicated hygiene promotion_5]]&gt;WWWW[[#This Row],['# People received regular supply of hygiene items_6]],WWWW[[#This Row],['# people reached by regular dedicated hygiene promotion_5]],WWWW[[#This Row],['# People received regular supply of hygiene items_6]])</f>
        <v>1176</v>
      </c>
      <c r="DQ524" s="999">
        <f>IF(WWWW[[#This Row],[HRP3]]/WWWW[[#This Row],[Total PoP ]]&gt;1,1,WWWW[[#This Row],[HRP3]]/WWWW[[#This Row],[Total PoP ]])</f>
        <v>1</v>
      </c>
      <c r="DR524" s="998">
        <f>1-WWWW[[#This Row],[Hygiene Coverage%]]</f>
        <v>0</v>
      </c>
      <c r="DS524" s="996">
        <f>WWWW[[#This Row],['# people reached by regular dedicated hygiene promotion_5]]/WWWW[[#This Row],[Total PoP ]]</f>
        <v>1</v>
      </c>
      <c r="DT52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2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24" s="997">
        <f>WWWW[[#This Row],['#_Constructed/Existing hand washing stations]]-WWWW[[#This Row],['#_Non-Functional_hand_washing_stations]]</f>
        <v>7</v>
      </c>
      <c r="DW524" s="994">
        <f>IF(WWWW[[#This Row],['# Functional hand washing stations during reporting period]]*20&gt;WWWW[[#This Row],[Total HH]],WWWW[[#This Row],[Total HH]],WWWW[[#This Row],['# Functional hand washing stations during reporting period]]*20)</f>
        <v>140</v>
      </c>
      <c r="DX524" s="994">
        <f>IF(WWWW[[#This Row],[Is sufficient soap available for TLS? (Yes/No)]]="yes",WWWW[[#This Row],['#_Constructed/Existing hand washing stations at TLS/CFS/THF]],0)</f>
        <v>0</v>
      </c>
      <c r="DY524" s="428">
        <f>IF(WWWW[[#This Row],['# Functional hand washing stations during reporting period]]*100&gt;WWWW[[#This Row],[Total PoP ]],WWWW[[#This Row],[Total PoP ]],WWWW[[#This Row],['# Functional hand washing stations during reporting period]]*100)</f>
        <v>700</v>
      </c>
      <c r="DZ524" s="428" t="str">
        <f>IF(OR(WWWW[[#This Row],['#_students at TLS_CFS]]="",WWWW[[#This Row],['#_students at TLS_CFS]]=0),"No","Yes")</f>
        <v>No</v>
      </c>
      <c r="EA52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4" s="990" t="str">
        <f>VLOOKUP(WWWW[[#This Row],[Site Name]],SiteDB6[[Site Name]:[CCCM Management]],6,FALSE)</f>
        <v>Yes</v>
      </c>
      <c r="EF524" s="990" t="str">
        <f>VLOOKUP(WWWW[[#This Row],[Site Name]],SiteDB6[[Site Name]:[CCCM Focal Agency]],7,FALSE)</f>
        <v>KBC-MYT</v>
      </c>
      <c r="EG524" s="990" t="str">
        <f>VLOOKUP(WWWW[[#This Row],[Site Name]],SiteDB6[[Site Name]:[Location Type 1]],9,FALSE)</f>
        <v>Camp</v>
      </c>
      <c r="EH524" s="990" t="str">
        <f>VLOOKUP(WWWW[[#This Row],[Site Name]],SiteDB6[[Site Name]:[Type of Accommodation]],10,FALSE)</f>
        <v>Camp</v>
      </c>
      <c r="EI524" s="990" t="str">
        <f>VLOOKUP(WWWW[[#This Row],[Site Name]],SiteDB6[[Site Name]:[Ethnic or GCA/NGCA]],11,FALSE)</f>
        <v>GCA</v>
      </c>
      <c r="EJ524" s="990">
        <f>VLOOKUP(WWWW[[#This Row],[Site Name]],SiteDB6[[Site Name]:[Lat]],12,FALSE)</f>
        <v>25.418084</v>
      </c>
      <c r="EK524" s="990">
        <f>VLOOKUP(WWWW[[#This Row],[Site Name]],SiteDB6[[Site Name]:[Long]],13,FALSE)</f>
        <v>98.025662999999994</v>
      </c>
      <c r="EL524" s="990" t="str">
        <f>VLOOKUP(WWWW[[#This Row],[Site Name]],SiteDB6[[Site Name]:[Pcode]],3,FALSE)</f>
        <v>MMR001CMP041</v>
      </c>
      <c r="EM524" s="995" t="str">
        <f t="shared" si="10"/>
        <v>Covered</v>
      </c>
      <c r="EN524" s="995"/>
      <c r="EO524" s="990">
        <f>VLOOKUP(WWWW[[#This Row],[Site Name]],SiteDB6[[Site Name]:[Pop
(Kachin/Shan-CCCM as of July 2021)]],16,FALSE)</f>
        <v>213</v>
      </c>
      <c r="EP524" s="990">
        <f>VLOOKUP(WWWW[[#This Row],[Site Name]],SiteDB6[[Site Name]:[Pop
(Kachin/Shan-CCCM as of July 2021)]],17,FALSE)</f>
        <v>1172</v>
      </c>
    </row>
    <row r="525" spans="1:146">
      <c r="A525" s="988" t="s">
        <v>2765</v>
      </c>
      <c r="B525" s="988" t="s">
        <v>36</v>
      </c>
      <c r="C525" s="989" t="s">
        <v>36</v>
      </c>
      <c r="D525" s="989" t="s">
        <v>241</v>
      </c>
      <c r="E525" s="989" t="s">
        <v>37</v>
      </c>
      <c r="F525" s="989" t="s">
        <v>152</v>
      </c>
      <c r="G525" s="591" t="str">
        <f>VLOOKUP(WWWW[[#This Row],[Site Name]],SiteDB6[[Site Name]:[Location Type]],8,FALSE)</f>
        <v>Camp</v>
      </c>
      <c r="H525" s="989" t="s">
        <v>3028</v>
      </c>
      <c r="I525" s="991">
        <v>48</v>
      </c>
      <c r="J525" s="991">
        <v>271</v>
      </c>
      <c r="K525" s="992">
        <v>44414</v>
      </c>
      <c r="L525" s="993">
        <v>44778</v>
      </c>
      <c r="M525" s="991"/>
      <c r="N525" s="991">
        <v>3</v>
      </c>
      <c r="O525" s="991"/>
      <c r="P525" s="991"/>
      <c r="Q525" s="994" t="s">
        <v>41</v>
      </c>
      <c r="R525" s="991">
        <v>3</v>
      </c>
      <c r="S525" s="991">
        <v>1</v>
      </c>
      <c r="T525" s="448">
        <v>2</v>
      </c>
      <c r="U525" s="991"/>
      <c r="V525" s="991"/>
      <c r="W525" s="991"/>
      <c r="X525" s="991"/>
      <c r="Y525" s="991"/>
      <c r="Z525" s="991"/>
      <c r="AA525" s="991"/>
      <c r="AB525" s="991"/>
      <c r="AC525" s="991"/>
      <c r="AD525" s="991"/>
      <c r="AE525" s="991"/>
      <c r="AF525" s="991"/>
      <c r="AG525" s="991"/>
      <c r="AH525" s="991"/>
      <c r="AI525" s="991"/>
      <c r="AJ525" s="991"/>
      <c r="AK525" s="991"/>
      <c r="AL525" s="991"/>
      <c r="AM525" s="991">
        <v>5</v>
      </c>
      <c r="AN525" s="991"/>
      <c r="AO525" s="448"/>
      <c r="AP525" s="995"/>
      <c r="AQ525" s="991">
        <v>18</v>
      </c>
      <c r="AR525" s="991"/>
      <c r="AS525" s="996"/>
      <c r="AT525" s="991"/>
      <c r="AU525" s="991"/>
      <c r="AV525" s="991"/>
      <c r="AW525" s="991"/>
      <c r="AX525" s="991"/>
      <c r="AY525" s="990" t="s">
        <v>41</v>
      </c>
      <c r="AZ525" s="995" t="s">
        <v>904</v>
      </c>
      <c r="BA525" s="991"/>
      <c r="BB525" s="991"/>
      <c r="BC525" s="991"/>
      <c r="BD525" s="448"/>
      <c r="BE525" s="448"/>
      <c r="BF525" s="990"/>
      <c r="BG525" s="991">
        <v>5</v>
      </c>
      <c r="BH525" s="991"/>
      <c r="BI525" s="991">
        <v>2</v>
      </c>
      <c r="BJ525" s="991">
        <v>2</v>
      </c>
      <c r="BK525" s="991"/>
      <c r="BL525" s="991"/>
      <c r="BM525" s="991">
        <v>1</v>
      </c>
      <c r="BN525" s="991"/>
      <c r="BO525" s="991"/>
      <c r="BP525" s="990" t="s">
        <v>41</v>
      </c>
      <c r="BQ525" s="997"/>
      <c r="BR525" s="996"/>
      <c r="BS525" s="990"/>
      <c r="BT525" s="423"/>
      <c r="BU525" s="423"/>
      <c r="BV525" s="425"/>
      <c r="BW525" s="423"/>
      <c r="BX525" s="448"/>
      <c r="BY525" s="448"/>
      <c r="BZ525" s="448"/>
      <c r="CA525" s="448"/>
      <c r="CB525" s="448"/>
      <c r="CC525" s="777"/>
      <c r="CD525" s="448"/>
      <c r="CE525" s="998" t="str">
        <f>IFERROR(WWWW[[#This Row],['#_Water sources passed]]/WWWW[[#This Row],['#_Water sources tested for fecal coliform ]],"no test")</f>
        <v>no test</v>
      </c>
      <c r="CF525" s="996" t="str">
        <f>IFERROR(WWWW[[#This Row],['#_Household passed]]/WWWW[[#This Row],['#_Household water samples tested for fecal coliform]],"no test")</f>
        <v>no test</v>
      </c>
      <c r="CG525" s="997" t="str">
        <f>IF(AND(WWWW[[#This Row],[% of water sources passed]]="no test",WWWW[[#This Row],[% Household passed]]="no test"),"No Test","Tested")</f>
        <v>No Test</v>
      </c>
      <c r="CH525" s="997">
        <f>WWWW[[#This Row],['#_Constructed/existing protected hand dug well]]-WWWW[[#This Row],['#_Non-functional protected hand dug well]]</f>
        <v>2</v>
      </c>
      <c r="CI525" s="997">
        <f>(WWWW[[#This Row],['#_Constructed/Existing tube wells/boreholes/handpumps_WASH_agency]]+WWWW[[#This Row],['#_Non-Cluster partner water tube-wells/boreholes/handpumps]])-WWWW[[#This Row],['#_Non-functional tube wells/boreholes/handpumps]]</f>
        <v>0</v>
      </c>
      <c r="CJ525" s="997">
        <f>WWWW[[#This Row],['#_Constructed/Existingwater storage tank with gravity fed reticulation system]]-WWWW[[#This Row],['#_Non-functional storage tank gravity fed reticulation system]]</f>
        <v>0</v>
      </c>
      <c r="CK525" s="997">
        <f>(WWWW[[#This Row],['#_Water_Liters_supplied_by_Water boating or water trucking]]/90)/15</f>
        <v>0</v>
      </c>
      <c r="CL525" s="997">
        <f>WWWW[[#This Row],['#_Water_Liters_from_Constructed/Existing water distribution system from river or natural spring]]/90/15</f>
        <v>0</v>
      </c>
      <c r="CM525" s="424">
        <f>IF(WWWW[[#This Row],['#_of water points in TLS/CFS]]*500&gt;WWWW[[#This Row],[Total PoP ]],WWWW[[#This Row],[Total PoP ]],WWWW[[#This Row],['#_of water points in TLS/CFS]]*500)</f>
        <v>0</v>
      </c>
      <c r="CN525" s="424">
        <f>IF(WWWW[[#This Row],['#_of water points in THF]]*500&gt;WWWW[[#This Row],[Total PoP ]],WWWW[[#This Row],[Total PoP ]],WWWW[[#This Row],['#_of water points in THF]]*500)</f>
        <v>0</v>
      </c>
      <c r="CO52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2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25" s="996">
        <f>IF(WWWW[[#This Row],[Location Type 1]]="Village",WWWW[[#This Row],[Access to safe drinking water for Village]],WWWW[[#This Row],[Access to safe drinking water for Camp]])</f>
        <v>1</v>
      </c>
      <c r="CR525" s="994">
        <f>WWWW[[#This Row],[%Equitable and continuous access to sufficient quantity of safe drinking water]]*WWWW[[#This Row],[Total PoP ]]</f>
        <v>271</v>
      </c>
      <c r="CS525" s="996">
        <f>IF((WWWW[[#This Row],['#_Constructed/Existing protected/fenced ponds]]*250)/WWWW[[#This Row],[Total PoP ]]&gt;1,1,(WWWW[[#This Row],['#_Constructed/Existing protected/fenced ponds]]*250)/WWWW[[#This Row],[Total PoP ]])</f>
        <v>0</v>
      </c>
      <c r="CT525" s="994">
        <f>WWWW[[#This Row],[% Access to unimproved water points]]*WWWW[[#This Row],[Total PoP ]]</f>
        <v>0</v>
      </c>
      <c r="CU52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2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271</v>
      </c>
      <c r="CW525" s="994">
        <f>WWWW[[#This Row],[HRP1]]/500</f>
        <v>0.54200000000000004</v>
      </c>
      <c r="CX525" s="999">
        <f>1-WWWW[[#This Row],[% Equitable and continuous access to sufficient quantity of domestic water]]</f>
        <v>0</v>
      </c>
      <c r="CY525" s="994">
        <f>WWWW[[#This Row],[%equitable and continuous access to sufficient quantity of safe drinking and domestic water''s GAP]]*WWWW[[#This Row],[Total PoP ]]</f>
        <v>0</v>
      </c>
      <c r="CZ525" s="997">
        <f>IF(WWWW[[#This Row],[Total required water points]]-WWWW[[#This Row],['#Water points coverage]]&lt;0,0,WWWW[[#This Row],[Total required water points]]-WWWW[[#This Row],['#Water points coverage]])</f>
        <v>0.45799999999999996</v>
      </c>
      <c r="DA525" s="997">
        <f>ROUND(IF(WWWW[[#This Row],[Total PoP ]]&lt;500,1,WWWW[[#This Row],[Total PoP ]]/500),0)</f>
        <v>1</v>
      </c>
      <c r="DB525" s="997">
        <f>(WWWW[[#This Row],['#_Constructed latrines_by_WASHAgencies]]+WWWW[[#This Row],['#_Non Cluster partner latrines]])-WWWW[[#This Row],['#_Non-functional latrines]]</f>
        <v>18</v>
      </c>
      <c r="DC525" s="631">
        <f>WWWW[[#This Row],[HRP2]]/WWWW[[#This Row],[Total PoP ]]</f>
        <v>1</v>
      </c>
      <c r="DD52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271</v>
      </c>
      <c r="DE52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5" s="424">
        <f>IF(WWWW[[#This Row],['# of functional latrines in THF supported by WASH partners during the reporting period2]]="",0,WWWW[[#This Row],['# of functional latrines in THF supported by WASH partners during the reporting period2]]*50)</f>
        <v>0</v>
      </c>
      <c r="DH525" s="997">
        <f>ROUND(IF(WWWW[[#This Row],[Location Type 1]]="camp",WWWW[[#This Row],[Total PoP ]]/20,IF(WWWW[[#This Row],[Location Type 1]]="Temporary Location",WWWW[[#This Row],[Total PoP ]]/50,(WWWW[[#This Row],[Total PoP ]]/6))),0)</f>
        <v>14</v>
      </c>
      <c r="DI525" s="997">
        <f>IF(WWWW[[#This Row],[Total required Latrines]]-(WWWW[[#This Row],['#_Constructed latrines_by_WASHAgencies]]+WWWW[[#This Row],['#_Non Cluster partner latrines]])&lt;0,0,WWWW[[#This Row],[Total required Latrines]]-(WWWW[[#This Row],['#_Constructed latrines_by_WASHAgencies]]+WWWW[[#This Row],['#_Non Cluster partner latrines]]))</f>
        <v>0</v>
      </c>
      <c r="DJ525" s="999">
        <f>1-WWWW[[#This Row],[% people access to functioning Latrine]]</f>
        <v>0</v>
      </c>
      <c r="DK525" s="998">
        <f>IF(OR(WWWW[[#This Row],['#_Non-functional latrines]]="",WWWW[[#This Row],['#_Non-functional latrines]]=0),0,WWWW[[#This Row],['#_Non-functional latrines]]/(WWWW[[#This Row],['#_Constructed latrines_by_WASHAgencies]]+WWWW[[#This Row],['#_Non Cluster partner latrines]]))</f>
        <v>0</v>
      </c>
      <c r="DL525" s="994">
        <f>IF(500*(WWWW[[#This Row],['#_male hygiene promoters]]+WWWW[[#This Row],['#_female hygiene promoters]])&gt;WWWW[[#This Row],[Total PoP ]],WWWW[[#This Row],[Total PoP ]],500*(WWWW[[#This Row],['#_male hygiene promoters]]+WWWW[[#This Row],['#_female hygiene promoters]]))</f>
        <v>271</v>
      </c>
      <c r="DM52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2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25" s="997">
        <f>IF(WWWW[[#This Row],['# People with access to soap]]&gt;WWWW[[#This Row],['# People with access to Sanity Pads]],WWWW[[#This Row],['# People with access to soap]],WWWW[[#This Row],['# People with access to Sanity Pads]])</f>
        <v>0</v>
      </c>
      <c r="DP525" s="997">
        <f>IF(WWWW[[#This Row],['# people reached by regular dedicated hygiene promotion_5]]&gt;WWWW[[#This Row],['# People received regular supply of hygiene items_6]],WWWW[[#This Row],['# people reached by regular dedicated hygiene promotion_5]],WWWW[[#This Row],['# People received regular supply of hygiene items_6]])</f>
        <v>271</v>
      </c>
      <c r="DQ525" s="999">
        <f>IF(WWWW[[#This Row],[HRP3]]/WWWW[[#This Row],[Total PoP ]]&gt;1,1,WWWW[[#This Row],[HRP3]]/WWWW[[#This Row],[Total PoP ]])</f>
        <v>1</v>
      </c>
      <c r="DR525" s="998">
        <f>1-WWWW[[#This Row],[Hygiene Coverage%]]</f>
        <v>0</v>
      </c>
      <c r="DS525" s="996">
        <f>WWWW[[#This Row],['# people reached by regular dedicated hygiene promotion_5]]/WWWW[[#This Row],[Total PoP ]]</f>
        <v>1</v>
      </c>
      <c r="DT52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2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25" s="997">
        <f>WWWW[[#This Row],['#_Constructed/Existing hand washing stations]]-WWWW[[#This Row],['#_Non-Functional_hand_washing_stations]]</f>
        <v>5</v>
      </c>
      <c r="DW525" s="994">
        <f>IF(WWWW[[#This Row],['# Functional hand washing stations during reporting period]]*20&gt;WWWW[[#This Row],[Total HH]],WWWW[[#This Row],[Total HH]],WWWW[[#This Row],['# Functional hand washing stations during reporting period]]*20)</f>
        <v>48</v>
      </c>
      <c r="DX525" s="994">
        <f>IF(WWWW[[#This Row],[Is sufficient soap available for TLS? (Yes/No)]]="yes",WWWW[[#This Row],['#_Constructed/Existing hand washing stations at TLS/CFS/THF]],0)</f>
        <v>5</v>
      </c>
      <c r="DY525" s="428">
        <f>IF(WWWW[[#This Row],['# Functional hand washing stations during reporting period]]*100&gt;WWWW[[#This Row],[Total PoP ]],WWWW[[#This Row],[Total PoP ]],WWWW[[#This Row],['# Functional hand washing stations during reporting period]]*100)</f>
        <v>271</v>
      </c>
      <c r="DZ525" s="428" t="str">
        <f>IF(OR(WWWW[[#This Row],['#_students at TLS_CFS]]="",WWWW[[#This Row],['#_students at TLS_CFS]]=0),"No","Yes")</f>
        <v>No</v>
      </c>
      <c r="EA52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5" s="990">
        <f>VLOOKUP(WWWW[[#This Row],[Site Name]],SiteDB6[[Site Name]:[CCCM Management]],6,FALSE)</f>
        <v>0</v>
      </c>
      <c r="EF525" s="990" t="str">
        <f>VLOOKUP(WWWW[[#This Row],[Site Name]],SiteDB6[[Site Name]:[CCCM Focal Agency]],7,FALSE)</f>
        <v>KMSS-MYT</v>
      </c>
      <c r="EG525" s="990" t="str">
        <f>VLOOKUP(WWWW[[#This Row],[Site Name]],SiteDB6[[Site Name]:[Location Type 1]],9,FALSE)</f>
        <v>Camp</v>
      </c>
      <c r="EH525" s="990" t="str">
        <f>VLOOKUP(WWWW[[#This Row],[Site Name]],SiteDB6[[Site Name]:[Type of Accommodation]],10,FALSE)</f>
        <v>Camp</v>
      </c>
      <c r="EI525" s="990" t="str">
        <f>VLOOKUP(WWWW[[#This Row],[Site Name]],SiteDB6[[Site Name]:[Ethnic or GCA/NGCA]],11,FALSE)</f>
        <v>GCA</v>
      </c>
      <c r="EJ525" s="990">
        <f>VLOOKUP(WWWW[[#This Row],[Site Name]],SiteDB6[[Site Name]:[Lat]],12,FALSE)</f>
        <v>25.383058999999999</v>
      </c>
      <c r="EK525" s="990">
        <f>VLOOKUP(WWWW[[#This Row],[Site Name]],SiteDB6[[Site Name]:[Long]],13,FALSE)</f>
        <v>97.014313000000001</v>
      </c>
      <c r="EL525" s="990" t="str">
        <f>VLOOKUP(WWWW[[#This Row],[Site Name]],SiteDB6[[Site Name]:[Pcode]],3,FALSE)</f>
        <v>MMR001CMP259</v>
      </c>
      <c r="EM525" s="995" t="str">
        <f t="shared" ref="EM525:EM545" si="11">IF(C525="none","Notcovered","Covered")</f>
        <v>Covered</v>
      </c>
      <c r="EN525" s="995"/>
      <c r="EO525" s="990">
        <f>VLOOKUP(WWWW[[#This Row],[Site Name]],SiteDB6[[Site Name]:[Pop
(Kachin/Shan-CCCM as of July 2021)]],16,FALSE)</f>
        <v>48</v>
      </c>
      <c r="EP525" s="990">
        <f>VLOOKUP(WWWW[[#This Row],[Site Name]],SiteDB6[[Site Name]:[Pop
(Kachin/Shan-CCCM as of July 2021)]],17,FALSE)</f>
        <v>268</v>
      </c>
    </row>
    <row r="526" spans="1:146">
      <c r="A526" s="988" t="s">
        <v>2765</v>
      </c>
      <c r="B526" s="988" t="s">
        <v>36</v>
      </c>
      <c r="C526" s="989" t="s">
        <v>36</v>
      </c>
      <c r="D526" s="989" t="s">
        <v>241</v>
      </c>
      <c r="E526" s="989" t="s">
        <v>37</v>
      </c>
      <c r="F526" s="989" t="s">
        <v>152</v>
      </c>
      <c r="G526" s="591" t="str">
        <f>VLOOKUP(WWWW[[#This Row],[Site Name]],SiteDB6[[Site Name]:[Location Type]],8,FALSE)</f>
        <v>Camp</v>
      </c>
      <c r="H526" s="989" t="s">
        <v>3029</v>
      </c>
      <c r="I526" s="991">
        <v>83</v>
      </c>
      <c r="J526" s="991">
        <v>653</v>
      </c>
      <c r="K526" s="992">
        <v>44414</v>
      </c>
      <c r="L526" s="993">
        <v>44778</v>
      </c>
      <c r="M526" s="991"/>
      <c r="N526" s="991">
        <v>2</v>
      </c>
      <c r="O526" s="991"/>
      <c r="P526" s="991"/>
      <c r="Q526" s="994" t="s">
        <v>41</v>
      </c>
      <c r="R526" s="991">
        <v>2</v>
      </c>
      <c r="S526" s="991">
        <v>3</v>
      </c>
      <c r="T526" s="448">
        <v>3</v>
      </c>
      <c r="U526" s="991"/>
      <c r="V526" s="991"/>
      <c r="W526" s="991"/>
      <c r="X526" s="991"/>
      <c r="Y526" s="991"/>
      <c r="Z526" s="991"/>
      <c r="AA526" s="991"/>
      <c r="AB526" s="991"/>
      <c r="AC526" s="991"/>
      <c r="AD526" s="991"/>
      <c r="AE526" s="991"/>
      <c r="AF526" s="991"/>
      <c r="AG526" s="991"/>
      <c r="AH526" s="991"/>
      <c r="AI526" s="991"/>
      <c r="AJ526" s="991"/>
      <c r="AK526" s="991"/>
      <c r="AL526" s="991"/>
      <c r="AM526" s="991">
        <v>10</v>
      </c>
      <c r="AN526" s="991"/>
      <c r="AO526" s="448"/>
      <c r="AP526" s="995"/>
      <c r="AQ526" s="991">
        <v>14</v>
      </c>
      <c r="AR526" s="991"/>
      <c r="AS526" s="996"/>
      <c r="AT526" s="991"/>
      <c r="AU526" s="991"/>
      <c r="AV526" s="991"/>
      <c r="AW526" s="991"/>
      <c r="AX526" s="991"/>
      <c r="AY526" s="990" t="s">
        <v>41</v>
      </c>
      <c r="AZ526" s="995" t="s">
        <v>136</v>
      </c>
      <c r="BA526" s="991">
        <v>1</v>
      </c>
      <c r="BB526" s="991"/>
      <c r="BC526" s="991"/>
      <c r="BD526" s="448"/>
      <c r="BE526" s="448"/>
      <c r="BF526" s="990"/>
      <c r="BG526" s="991">
        <v>10</v>
      </c>
      <c r="BH526" s="991"/>
      <c r="BI526" s="991">
        <v>2</v>
      </c>
      <c r="BJ526" s="991">
        <v>2</v>
      </c>
      <c r="BK526" s="991"/>
      <c r="BL526" s="991"/>
      <c r="BM526" s="991">
        <v>1</v>
      </c>
      <c r="BN526" s="991"/>
      <c r="BO526" s="991"/>
      <c r="BP526" s="990" t="s">
        <v>41</v>
      </c>
      <c r="BQ526" s="997"/>
      <c r="BR526" s="996"/>
      <c r="BS526" s="990"/>
      <c r="BT526" s="423"/>
      <c r="BU526" s="423"/>
      <c r="BV526" s="425"/>
      <c r="BW526" s="423"/>
      <c r="BX526" s="448"/>
      <c r="BY526" s="448"/>
      <c r="BZ526" s="448"/>
      <c r="CA526" s="448"/>
      <c r="CB526" s="448"/>
      <c r="CC526" s="777"/>
      <c r="CD526" s="448"/>
      <c r="CE526" s="998" t="str">
        <f>IFERROR(WWWW[[#This Row],['#_Water sources passed]]/WWWW[[#This Row],['#_Water sources tested for fecal coliform ]],"no test")</f>
        <v>no test</v>
      </c>
      <c r="CF526" s="996" t="str">
        <f>IFERROR(WWWW[[#This Row],['#_Household passed]]/WWWW[[#This Row],['#_Household water samples tested for fecal coliform]],"no test")</f>
        <v>no test</v>
      </c>
      <c r="CG526" s="997" t="str">
        <f>IF(AND(WWWW[[#This Row],[% of water sources passed]]="no test",WWWW[[#This Row],[% Household passed]]="no test"),"No Test","Tested")</f>
        <v>No Test</v>
      </c>
      <c r="CH526" s="997">
        <f>WWWW[[#This Row],['#_Constructed/existing protected hand dug well]]-WWWW[[#This Row],['#_Non-functional protected hand dug well]]</f>
        <v>3</v>
      </c>
      <c r="CI526" s="997">
        <f>(WWWW[[#This Row],['#_Constructed/Existing tube wells/boreholes/handpumps_WASH_agency]]+WWWW[[#This Row],['#_Non-Cluster partner water tube-wells/boreholes/handpumps]])-WWWW[[#This Row],['#_Non-functional tube wells/boreholes/handpumps]]</f>
        <v>0</v>
      </c>
      <c r="CJ526" s="997">
        <f>WWWW[[#This Row],['#_Constructed/Existingwater storage tank with gravity fed reticulation system]]-WWWW[[#This Row],['#_Non-functional storage tank gravity fed reticulation system]]</f>
        <v>0</v>
      </c>
      <c r="CK526" s="997">
        <f>(WWWW[[#This Row],['#_Water_Liters_supplied_by_Water boating or water trucking]]/90)/15</f>
        <v>0</v>
      </c>
      <c r="CL526" s="997">
        <f>WWWW[[#This Row],['#_Water_Liters_from_Constructed/Existing water distribution system from river or natural spring]]/90/15</f>
        <v>0</v>
      </c>
      <c r="CM526" s="424">
        <f>IF(WWWW[[#This Row],['#_of water points in TLS/CFS]]*500&gt;WWWW[[#This Row],[Total PoP ]],WWWW[[#This Row],[Total PoP ]],WWWW[[#This Row],['#_of water points in TLS/CFS]]*500)</f>
        <v>0</v>
      </c>
      <c r="CN526" s="424">
        <f>IF(WWWW[[#This Row],['#_of water points in THF]]*500&gt;WWWW[[#This Row],[Total PoP ]],WWWW[[#This Row],[Total PoP ]],WWWW[[#This Row],['#_of water points in THF]]*500)</f>
        <v>0</v>
      </c>
      <c r="CO52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2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26" s="996">
        <f>IF(WWWW[[#This Row],[Location Type 1]]="Village",WWWW[[#This Row],[Access to safe drinking water for Village]],WWWW[[#This Row],[Access to safe drinking water for Camp]])</f>
        <v>1</v>
      </c>
      <c r="CR526" s="994">
        <f>WWWW[[#This Row],[%Equitable and continuous access to sufficient quantity of safe drinking water]]*WWWW[[#This Row],[Total PoP ]]</f>
        <v>653</v>
      </c>
      <c r="CS526" s="996">
        <f>IF((WWWW[[#This Row],['#_Constructed/Existing protected/fenced ponds]]*250)/WWWW[[#This Row],[Total PoP ]]&gt;1,1,(WWWW[[#This Row],['#_Constructed/Existing protected/fenced ponds]]*250)/WWWW[[#This Row],[Total PoP ]])</f>
        <v>0</v>
      </c>
      <c r="CT526" s="994">
        <f>WWWW[[#This Row],[% Access to unimproved water points]]*WWWW[[#This Row],[Total PoP ]]</f>
        <v>0</v>
      </c>
      <c r="CU52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2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653</v>
      </c>
      <c r="CW526" s="994">
        <f>WWWW[[#This Row],[HRP1]]/500</f>
        <v>1.306</v>
      </c>
      <c r="CX526" s="999">
        <f>1-WWWW[[#This Row],[% Equitable and continuous access to sufficient quantity of domestic water]]</f>
        <v>0</v>
      </c>
      <c r="CY526" s="994">
        <f>WWWW[[#This Row],[%equitable and continuous access to sufficient quantity of safe drinking and domestic water''s GAP]]*WWWW[[#This Row],[Total PoP ]]</f>
        <v>0</v>
      </c>
      <c r="CZ526" s="997">
        <f>IF(WWWW[[#This Row],[Total required water points]]-WWWW[[#This Row],['#Water points coverage]]&lt;0,0,WWWW[[#This Row],[Total required water points]]-WWWW[[#This Row],['#Water points coverage]])</f>
        <v>0</v>
      </c>
      <c r="DA526" s="997">
        <f>ROUND(IF(WWWW[[#This Row],[Total PoP ]]&lt;500,1,WWWW[[#This Row],[Total PoP ]]/500),0)</f>
        <v>1</v>
      </c>
      <c r="DB526" s="997">
        <f>(WWWW[[#This Row],['#_Constructed latrines_by_WASHAgencies]]+WWWW[[#This Row],['#_Non Cluster partner latrines]])-WWWW[[#This Row],['#_Non-functional latrines]]</f>
        <v>14</v>
      </c>
      <c r="DC526" s="631">
        <f>WWWW[[#This Row],[HRP2]]/WWWW[[#This Row],[Total PoP ]]</f>
        <v>0.45941807044410415</v>
      </c>
      <c r="DD52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52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6" s="424">
        <f>IF(WWWW[[#This Row],['# of functional latrines in THF supported by WASH partners during the reporting period2]]="",0,WWWW[[#This Row],['# of functional latrines in THF supported by WASH partners during the reporting period2]]*50)</f>
        <v>0</v>
      </c>
      <c r="DH526" s="997">
        <f>ROUND(IF(WWWW[[#This Row],[Location Type 1]]="camp",WWWW[[#This Row],[Total PoP ]]/20,IF(WWWW[[#This Row],[Location Type 1]]="Temporary Location",WWWW[[#This Row],[Total PoP ]]/50,(WWWW[[#This Row],[Total PoP ]]/6))),0)</f>
        <v>33</v>
      </c>
      <c r="DI526" s="997">
        <f>IF(WWWW[[#This Row],[Total required Latrines]]-(WWWW[[#This Row],['#_Constructed latrines_by_WASHAgencies]]+WWWW[[#This Row],['#_Non Cluster partner latrines]])&lt;0,0,WWWW[[#This Row],[Total required Latrines]]-(WWWW[[#This Row],['#_Constructed latrines_by_WASHAgencies]]+WWWW[[#This Row],['#_Non Cluster partner latrines]]))</f>
        <v>19</v>
      </c>
      <c r="DJ526" s="999">
        <f>1-WWWW[[#This Row],[% people access to functioning Latrine]]</f>
        <v>0.54058192955589579</v>
      </c>
      <c r="DK526" s="998">
        <f>IF(OR(WWWW[[#This Row],['#_Non-functional latrines]]="",WWWW[[#This Row],['#_Non-functional latrines]]=0),0,WWWW[[#This Row],['#_Non-functional latrines]]/(WWWW[[#This Row],['#_Constructed latrines_by_WASHAgencies]]+WWWW[[#This Row],['#_Non Cluster partner latrines]]))</f>
        <v>0</v>
      </c>
      <c r="DL526" s="994">
        <f>IF(500*(WWWW[[#This Row],['#_male hygiene promoters]]+WWWW[[#This Row],['#_female hygiene promoters]])&gt;WWWW[[#This Row],[Total PoP ]],WWWW[[#This Row],[Total PoP ]],500*(WWWW[[#This Row],['#_male hygiene promoters]]+WWWW[[#This Row],['#_female hygiene promoters]]))</f>
        <v>500</v>
      </c>
      <c r="DM52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2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26" s="997">
        <f>IF(WWWW[[#This Row],['# People with access to soap]]&gt;WWWW[[#This Row],['# People with access to Sanity Pads]],WWWW[[#This Row],['# People with access to soap]],WWWW[[#This Row],['# People with access to Sanity Pads]])</f>
        <v>0</v>
      </c>
      <c r="DP526" s="99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526" s="999">
        <f>IF(WWWW[[#This Row],[HRP3]]/WWWW[[#This Row],[Total PoP ]]&gt;1,1,WWWW[[#This Row],[HRP3]]/WWWW[[#This Row],[Total PoP ]])</f>
        <v>0.76569678407350694</v>
      </c>
      <c r="DR526" s="998">
        <f>1-WWWW[[#This Row],[Hygiene Coverage%]]</f>
        <v>0.23430321592649306</v>
      </c>
      <c r="DS526" s="996">
        <f>WWWW[[#This Row],['# people reached by regular dedicated hygiene promotion_5]]/WWWW[[#This Row],[Total PoP ]]</f>
        <v>0.76569678407350694</v>
      </c>
      <c r="DT52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2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26" s="997">
        <f>WWWW[[#This Row],['#_Constructed/Existing hand washing stations]]-WWWW[[#This Row],['#_Non-Functional_hand_washing_stations]]</f>
        <v>10</v>
      </c>
      <c r="DW526" s="994">
        <f>IF(WWWW[[#This Row],['# Functional hand washing stations during reporting period]]*20&gt;WWWW[[#This Row],[Total HH]],WWWW[[#This Row],[Total HH]],WWWW[[#This Row],['# Functional hand washing stations during reporting period]]*20)</f>
        <v>83</v>
      </c>
      <c r="DX526" s="994">
        <f>IF(WWWW[[#This Row],[Is sufficient soap available for TLS? (Yes/No)]]="yes",WWWW[[#This Row],['#_Constructed/Existing hand washing stations at TLS/CFS/THF]],0)</f>
        <v>10</v>
      </c>
      <c r="DY526" s="428">
        <f>IF(WWWW[[#This Row],['# Functional hand washing stations during reporting period]]*100&gt;WWWW[[#This Row],[Total PoP ]],WWWW[[#This Row],[Total PoP ]],WWWW[[#This Row],['# Functional hand washing stations during reporting period]]*100)</f>
        <v>653</v>
      </c>
      <c r="DZ526" s="428" t="str">
        <f>IF(OR(WWWW[[#This Row],['#_students at TLS_CFS]]="",WWWW[[#This Row],['#_students at TLS_CFS]]=0),"No","Yes")</f>
        <v>No</v>
      </c>
      <c r="EA52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6" s="990">
        <f>VLOOKUP(WWWW[[#This Row],[Site Name]],SiteDB6[[Site Name]:[CCCM Management]],6,FALSE)</f>
        <v>0</v>
      </c>
      <c r="EF526" s="990" t="str">
        <f>VLOOKUP(WWWW[[#This Row],[Site Name]],SiteDB6[[Site Name]:[CCCM Focal Agency]],7,FALSE)</f>
        <v>KMSS-MYT</v>
      </c>
      <c r="EG526" s="990" t="str">
        <f>VLOOKUP(WWWW[[#This Row],[Site Name]],SiteDB6[[Site Name]:[Location Type 1]],9,FALSE)</f>
        <v>Camp</v>
      </c>
      <c r="EH526" s="990" t="str">
        <f>VLOOKUP(WWWW[[#This Row],[Site Name]],SiteDB6[[Site Name]:[Type of Accommodation]],10,FALSE)</f>
        <v>Camp</v>
      </c>
      <c r="EI526" s="990" t="str">
        <f>VLOOKUP(WWWW[[#This Row],[Site Name]],SiteDB6[[Site Name]:[Ethnic or GCA/NGCA]],11,FALSE)</f>
        <v>GCA</v>
      </c>
      <c r="EJ526" s="990">
        <f>VLOOKUP(WWWW[[#This Row],[Site Name]],SiteDB6[[Site Name]:[Lat]],12,FALSE)</f>
        <v>25.383058999999999</v>
      </c>
      <c r="EK526" s="990">
        <f>VLOOKUP(WWWW[[#This Row],[Site Name]],SiteDB6[[Site Name]:[Long]],13,FALSE)</f>
        <v>97.014313000000001</v>
      </c>
      <c r="EL526" s="990" t="str">
        <f>VLOOKUP(WWWW[[#This Row],[Site Name]],SiteDB6[[Site Name]:[Pcode]],3,FALSE)</f>
        <v>MMR001CMP260</v>
      </c>
      <c r="EM526" s="995" t="str">
        <f t="shared" si="11"/>
        <v>Covered</v>
      </c>
      <c r="EN526" s="995"/>
      <c r="EO526" s="990">
        <f>VLOOKUP(WWWW[[#This Row],[Site Name]],SiteDB6[[Site Name]:[Pop
(Kachin/Shan-CCCM as of July 2021)]],16,FALSE)</f>
        <v>83</v>
      </c>
      <c r="EP526" s="990">
        <f>VLOOKUP(WWWW[[#This Row],[Site Name]],SiteDB6[[Site Name]:[Pop
(Kachin/Shan-CCCM as of July 2021)]],17,FALSE)</f>
        <v>422</v>
      </c>
    </row>
    <row r="527" spans="1:146">
      <c r="A527" s="988" t="s">
        <v>2765</v>
      </c>
      <c r="B527" s="988" t="s">
        <v>3077</v>
      </c>
      <c r="C527" s="989" t="s">
        <v>141</v>
      </c>
      <c r="D527" s="989" t="s">
        <v>3163</v>
      </c>
      <c r="E527" s="989" t="s">
        <v>37</v>
      </c>
      <c r="F527" s="989" t="s">
        <v>152</v>
      </c>
      <c r="G527" s="591" t="str">
        <f>VLOOKUP(WWWW[[#This Row],[Site Name]],SiteDB6[[Site Name]:[Location Type]],8,FALSE)</f>
        <v>Camp</v>
      </c>
      <c r="H527" s="989" t="s">
        <v>1612</v>
      </c>
      <c r="I527" s="991">
        <v>110</v>
      </c>
      <c r="J527" s="991">
        <v>611</v>
      </c>
      <c r="K527" s="992">
        <v>44682</v>
      </c>
      <c r="L527" s="993">
        <v>45169</v>
      </c>
      <c r="M527" s="991"/>
      <c r="N527" s="991">
        <v>2</v>
      </c>
      <c r="O527" s="991"/>
      <c r="P527" s="991"/>
      <c r="Q527" s="994" t="s">
        <v>41</v>
      </c>
      <c r="R527" s="991">
        <v>1</v>
      </c>
      <c r="S527" s="991">
        <v>2</v>
      </c>
      <c r="T527" s="448">
        <v>5</v>
      </c>
      <c r="U527" s="991"/>
      <c r="V527" s="991"/>
      <c r="W527" s="991">
        <v>3</v>
      </c>
      <c r="X527" s="991"/>
      <c r="Y527" s="991"/>
      <c r="Z527" s="991"/>
      <c r="AA527" s="991"/>
      <c r="AB527" s="991"/>
      <c r="AC527" s="991"/>
      <c r="AD527" s="991"/>
      <c r="AE527" s="991"/>
      <c r="AF527" s="991"/>
      <c r="AG527" s="991"/>
      <c r="AH527" s="991">
        <v>2</v>
      </c>
      <c r="AI527" s="991"/>
      <c r="AJ527" s="991"/>
      <c r="AK527" s="991"/>
      <c r="AL527" s="991"/>
      <c r="AM527" s="991"/>
      <c r="AN527" s="991"/>
      <c r="AO527" s="448"/>
      <c r="AP527" s="995"/>
      <c r="AQ527" s="991">
        <v>20</v>
      </c>
      <c r="AR527" s="991"/>
      <c r="AS527" s="996"/>
      <c r="AT527" s="991"/>
      <c r="AU527" s="991"/>
      <c r="AV527" s="991"/>
      <c r="AW527" s="991"/>
      <c r="AX527" s="991">
        <v>12</v>
      </c>
      <c r="AY527" s="990" t="s">
        <v>41</v>
      </c>
      <c r="AZ527" s="995" t="s">
        <v>137</v>
      </c>
      <c r="BA527" s="991"/>
      <c r="BB527" s="991"/>
      <c r="BC527" s="991"/>
      <c r="BD527" s="448"/>
      <c r="BE527" s="448"/>
      <c r="BF527" s="990"/>
      <c r="BG527" s="991">
        <v>4</v>
      </c>
      <c r="BH527" s="991"/>
      <c r="BI527" s="991"/>
      <c r="BJ527" s="991">
        <v>5</v>
      </c>
      <c r="BK527" s="991"/>
      <c r="BL527" s="991">
        <v>2</v>
      </c>
      <c r="BM527" s="991">
        <v>1</v>
      </c>
      <c r="BN527" s="991"/>
      <c r="BO527" s="991"/>
      <c r="BP527" s="990"/>
      <c r="BQ527" s="997"/>
      <c r="BR527" s="996"/>
      <c r="BS527" s="990"/>
      <c r="BT527" s="423"/>
      <c r="BU527" s="423"/>
      <c r="BV527" s="425"/>
      <c r="BW527" s="423"/>
      <c r="BX527" s="448"/>
      <c r="BY527" s="448"/>
      <c r="BZ527" s="448"/>
      <c r="CA527" s="448"/>
      <c r="CB527" s="448"/>
      <c r="CC527" s="777"/>
      <c r="CD527" s="448"/>
      <c r="CE527" s="998" t="str">
        <f>IFERROR(WWWW[[#This Row],['#_Water sources passed]]/WWWW[[#This Row],['#_Water sources tested for fecal coliform ]],"no test")</f>
        <v>no test</v>
      </c>
      <c r="CF527" s="996" t="str">
        <f>IFERROR(WWWW[[#This Row],['#_Household passed]]/WWWW[[#This Row],['#_Household water samples tested for fecal coliform]],"no test")</f>
        <v>no test</v>
      </c>
      <c r="CG527" s="997" t="str">
        <f>IF(AND(WWWW[[#This Row],[% of water sources passed]]="no test",WWWW[[#This Row],[% Household passed]]="no test"),"No Test","Tested")</f>
        <v>No Test</v>
      </c>
      <c r="CH527" s="997">
        <f>WWWW[[#This Row],['#_Constructed/existing protected hand dug well]]-WWWW[[#This Row],['#_Non-functional protected hand dug well]]</f>
        <v>5</v>
      </c>
      <c r="CI527" s="997">
        <f>(WWWW[[#This Row],['#_Constructed/Existing tube wells/boreholes/handpumps_WASH_agency]]+WWWW[[#This Row],['#_Non-Cluster partner water tube-wells/boreholes/handpumps]])-WWWW[[#This Row],['#_Non-functional tube wells/boreholes/handpumps]]</f>
        <v>3</v>
      </c>
      <c r="CJ527" s="997">
        <f>WWWW[[#This Row],['#_Constructed/Existingwater storage tank with gravity fed reticulation system]]-WWWW[[#This Row],['#_Non-functional storage tank gravity fed reticulation system]]</f>
        <v>0</v>
      </c>
      <c r="CK527" s="997">
        <f>(WWWW[[#This Row],['#_Water_Liters_supplied_by_Water boating or water trucking]]/90)/15</f>
        <v>0</v>
      </c>
      <c r="CL527" s="997">
        <f>WWWW[[#This Row],['#_Water_Liters_from_Constructed/Existing water distribution system from river or natural spring]]/90/15</f>
        <v>0</v>
      </c>
      <c r="CM527" s="424">
        <f>IF(WWWW[[#This Row],['#_of water points in TLS/CFS]]*500&gt;WWWW[[#This Row],[Total PoP ]],WWWW[[#This Row],[Total PoP ]],WWWW[[#This Row],['#_of water points in TLS/CFS]]*500)</f>
        <v>0</v>
      </c>
      <c r="CN527" s="424">
        <f>IF(WWWW[[#This Row],['#_of water points in THF]]*500&gt;WWWW[[#This Row],[Total PoP ]],WWWW[[#This Row],[Total PoP ]],WWWW[[#This Row],['#_of water points in THF]]*500)</f>
        <v>0</v>
      </c>
      <c r="CO52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2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27" s="996">
        <f>IF(WWWW[[#This Row],[Location Type 1]]="Village",WWWW[[#This Row],[Access to safe drinking water for Village]],WWWW[[#This Row],[Access to safe drinking water for Camp]])</f>
        <v>1</v>
      </c>
      <c r="CR527" s="994">
        <f>WWWW[[#This Row],[%Equitable and continuous access to sufficient quantity of safe drinking water]]*WWWW[[#This Row],[Total PoP ]]</f>
        <v>611</v>
      </c>
      <c r="CS527" s="996">
        <f>IF((WWWW[[#This Row],['#_Constructed/Existing protected/fenced ponds]]*250)/WWWW[[#This Row],[Total PoP ]]&gt;1,1,(WWWW[[#This Row],['#_Constructed/Existing protected/fenced ponds]]*250)/WWWW[[#This Row],[Total PoP ]])</f>
        <v>0</v>
      </c>
      <c r="CT527" s="994">
        <f>WWWW[[#This Row],[% Access to unimproved water points]]*WWWW[[#This Row],[Total PoP ]]</f>
        <v>0</v>
      </c>
      <c r="CU52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2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611</v>
      </c>
      <c r="CW527" s="994">
        <f>WWWW[[#This Row],[HRP1]]/500</f>
        <v>1.222</v>
      </c>
      <c r="CX527" s="999">
        <f>1-WWWW[[#This Row],[% Equitable and continuous access to sufficient quantity of domestic water]]</f>
        <v>0</v>
      </c>
      <c r="CY527" s="994">
        <f>WWWW[[#This Row],[%equitable and continuous access to sufficient quantity of safe drinking and domestic water''s GAP]]*WWWW[[#This Row],[Total PoP ]]</f>
        <v>0</v>
      </c>
      <c r="CZ527" s="997">
        <f>IF(WWWW[[#This Row],[Total required water points]]-WWWW[[#This Row],['#Water points coverage]]&lt;0,0,WWWW[[#This Row],[Total required water points]]-WWWW[[#This Row],['#Water points coverage]])</f>
        <v>0</v>
      </c>
      <c r="DA527" s="997">
        <f>ROUND(IF(WWWW[[#This Row],[Total PoP ]]&lt;500,1,WWWW[[#This Row],[Total PoP ]]/500),0)</f>
        <v>1</v>
      </c>
      <c r="DB527" s="997">
        <f>(WWWW[[#This Row],['#_Constructed latrines_by_WASHAgencies]]+WWWW[[#This Row],['#_Non Cluster partner latrines]])-WWWW[[#This Row],['#_Non-functional latrines]]</f>
        <v>20</v>
      </c>
      <c r="DC527" s="631">
        <f>WWWW[[#This Row],[HRP2]]/WWWW[[#This Row],[Total PoP ]]</f>
        <v>0.65466448445171854</v>
      </c>
      <c r="DD52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400</v>
      </c>
      <c r="DE52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7" s="424">
        <f>IF(WWWW[[#This Row],['# of functional latrines in THF supported by WASH partners during the reporting period2]]="",0,WWWW[[#This Row],['# of functional latrines in THF supported by WASH partners during the reporting period2]]*50)</f>
        <v>0</v>
      </c>
      <c r="DH527" s="997">
        <f>ROUND(IF(WWWW[[#This Row],[Location Type 1]]="camp",WWWW[[#This Row],[Total PoP ]]/20,IF(WWWW[[#This Row],[Location Type 1]]="Temporary Location",WWWW[[#This Row],[Total PoP ]]/50,(WWWW[[#This Row],[Total PoP ]]/6))),0)</f>
        <v>31</v>
      </c>
      <c r="DI527" s="997">
        <f>IF(WWWW[[#This Row],[Total required Latrines]]-(WWWW[[#This Row],['#_Constructed latrines_by_WASHAgencies]]+WWWW[[#This Row],['#_Non Cluster partner latrines]])&lt;0,0,WWWW[[#This Row],[Total required Latrines]]-(WWWW[[#This Row],['#_Constructed latrines_by_WASHAgencies]]+WWWW[[#This Row],['#_Non Cluster partner latrines]]))</f>
        <v>11</v>
      </c>
      <c r="DJ527" s="999">
        <f>1-WWWW[[#This Row],[% people access to functioning Latrine]]</f>
        <v>0.34533551554828146</v>
      </c>
      <c r="DK527" s="998">
        <f>IF(OR(WWWW[[#This Row],['#_Non-functional latrines]]="",WWWW[[#This Row],['#_Non-functional latrines]]=0),0,WWWW[[#This Row],['#_Non-functional latrines]]/(WWWW[[#This Row],['#_Constructed latrines_by_WASHAgencies]]+WWWW[[#This Row],['#_Non Cluster partner latrines]]))</f>
        <v>0</v>
      </c>
      <c r="DL527" s="994">
        <f>IF(500*(WWWW[[#This Row],['#_male hygiene promoters]]+WWWW[[#This Row],['#_female hygiene promoters]])&gt;WWWW[[#This Row],[Total PoP ]],WWWW[[#This Row],[Total PoP ]],500*(WWWW[[#This Row],['#_male hygiene promoters]]+WWWW[[#This Row],['#_female hygiene promoters]]))</f>
        <v>611</v>
      </c>
      <c r="DM52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2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27" s="997">
        <f>IF(WWWW[[#This Row],['# People with access to soap]]&gt;WWWW[[#This Row],['# People with access to Sanity Pads]],WWWW[[#This Row],['# People with access to soap]],WWWW[[#This Row],['# People with access to Sanity Pads]])</f>
        <v>0</v>
      </c>
      <c r="DP527" s="997">
        <f>IF(WWWW[[#This Row],['# people reached by regular dedicated hygiene promotion_5]]&gt;WWWW[[#This Row],['# People received regular supply of hygiene items_6]],WWWW[[#This Row],['# people reached by regular dedicated hygiene promotion_5]],WWWW[[#This Row],['# People received regular supply of hygiene items_6]])</f>
        <v>611</v>
      </c>
      <c r="DQ527" s="999">
        <f>IF(WWWW[[#This Row],[HRP3]]/WWWW[[#This Row],[Total PoP ]]&gt;1,1,WWWW[[#This Row],[HRP3]]/WWWW[[#This Row],[Total PoP ]])</f>
        <v>1</v>
      </c>
      <c r="DR527" s="998">
        <f>1-WWWW[[#This Row],[Hygiene Coverage%]]</f>
        <v>0</v>
      </c>
      <c r="DS527" s="996">
        <f>WWWW[[#This Row],['# people reached by regular dedicated hygiene promotion_5]]/WWWW[[#This Row],[Total PoP ]]</f>
        <v>1</v>
      </c>
      <c r="DT52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2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27" s="997">
        <f>WWWW[[#This Row],['#_Constructed/Existing hand washing stations]]-WWWW[[#This Row],['#_Non-Functional_hand_washing_stations]]</f>
        <v>4</v>
      </c>
      <c r="DW527" s="994">
        <f>IF(WWWW[[#This Row],['# Functional hand washing stations during reporting period]]*20&gt;WWWW[[#This Row],[Total HH]],WWWW[[#This Row],[Total HH]],WWWW[[#This Row],['# Functional hand washing stations during reporting period]]*20)</f>
        <v>80</v>
      </c>
      <c r="DX527" s="994">
        <f>IF(WWWW[[#This Row],[Is sufficient soap available for TLS? (Yes/No)]]="yes",WWWW[[#This Row],['#_Constructed/Existing hand washing stations at TLS/CFS/THF]],0)</f>
        <v>0</v>
      </c>
      <c r="DY527" s="428">
        <f>IF(WWWW[[#This Row],['# Functional hand washing stations during reporting period]]*100&gt;WWWW[[#This Row],[Total PoP ]],WWWW[[#This Row],[Total PoP ]],WWWW[[#This Row],['# Functional hand washing stations during reporting period]]*100)</f>
        <v>400</v>
      </c>
      <c r="DZ527" s="428" t="str">
        <f>IF(OR(WWWW[[#This Row],['#_students at TLS_CFS]]="",WWWW[[#This Row],['#_students at TLS_CFS]]=0),"No","Yes")</f>
        <v>No</v>
      </c>
      <c r="EA52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7" s="990">
        <f>VLOOKUP(WWWW[[#This Row],[Site Name]],SiteDB6[[Site Name]:[CCCM Management]],6,FALSE)</f>
        <v>0</v>
      </c>
      <c r="EF527" s="990" t="str">
        <f>VLOOKUP(WWWW[[#This Row],[Site Name]],SiteDB6[[Site Name]:[CCCM Focal Agency]],7,FALSE)</f>
        <v>KBC-MYT</v>
      </c>
      <c r="EG527" s="990" t="str">
        <f>VLOOKUP(WWWW[[#This Row],[Site Name]],SiteDB6[[Site Name]:[Location Type 1]],9,FALSE)</f>
        <v>Camp</v>
      </c>
      <c r="EH527" s="990" t="str">
        <f>VLOOKUP(WWWW[[#This Row],[Site Name]],SiteDB6[[Site Name]:[Type of Accommodation]],10,FALSE)</f>
        <v>Camp</v>
      </c>
      <c r="EI527" s="990" t="str">
        <f>VLOOKUP(WWWW[[#This Row],[Site Name]],SiteDB6[[Site Name]:[Ethnic or GCA/NGCA]],11,FALSE)</f>
        <v>GCA</v>
      </c>
      <c r="EJ527" s="990">
        <f>VLOOKUP(WWWW[[#This Row],[Site Name]],SiteDB6[[Site Name]:[Lat]],12,FALSE)</f>
        <v>25.2226</v>
      </c>
      <c r="EK527" s="990">
        <f>VLOOKUP(WWWW[[#This Row],[Site Name]],SiteDB6[[Site Name]:[Long]],13,FALSE)</f>
        <v>97.012299999999996</v>
      </c>
      <c r="EL527" s="990" t="str">
        <f>VLOOKUP(WWWW[[#This Row],[Site Name]],SiteDB6[[Site Name]:[Pcode]],3,FALSE)</f>
        <v>MMR001CMP261</v>
      </c>
      <c r="EM527" s="995" t="str">
        <f t="shared" si="11"/>
        <v>Covered</v>
      </c>
      <c r="EN527" s="995"/>
      <c r="EO527" s="990">
        <f>VLOOKUP(WWWW[[#This Row],[Site Name]],SiteDB6[[Site Name]:[Pop
(Kachin/Shan-CCCM as of July 2021)]],16,FALSE)</f>
        <v>111</v>
      </c>
      <c r="EP527" s="990">
        <f>VLOOKUP(WWWW[[#This Row],[Site Name]],SiteDB6[[Site Name]:[Pop
(Kachin/Shan-CCCM as of July 2021)]],17,FALSE)</f>
        <v>599</v>
      </c>
    </row>
    <row r="528" spans="1:146">
      <c r="A528" s="988" t="s">
        <v>2765</v>
      </c>
      <c r="B528" s="988" t="s">
        <v>309</v>
      </c>
      <c r="C528" s="989" t="s">
        <v>309</v>
      </c>
      <c r="D528" s="989"/>
      <c r="E528" s="989" t="s">
        <v>37</v>
      </c>
      <c r="F528" s="989" t="s">
        <v>152</v>
      </c>
      <c r="G528" s="591" t="str">
        <f>VLOOKUP(WWWW[[#This Row],[Site Name]],SiteDB6[[Site Name]:[Location Type]],8,FALSE)</f>
        <v>Camp</v>
      </c>
      <c r="H528" s="989" t="s">
        <v>1546</v>
      </c>
      <c r="I528" s="991">
        <v>6</v>
      </c>
      <c r="J528" s="991">
        <v>32</v>
      </c>
      <c r="K528" s="992"/>
      <c r="L528" s="993"/>
      <c r="M528" s="991"/>
      <c r="N528" s="991"/>
      <c r="O528" s="991"/>
      <c r="P528" s="991"/>
      <c r="Q528" s="994"/>
      <c r="R528" s="991"/>
      <c r="S528" s="991"/>
      <c r="T528" s="448"/>
      <c r="U528" s="991"/>
      <c r="V528" s="991"/>
      <c r="W528" s="991"/>
      <c r="X528" s="991"/>
      <c r="Y528" s="991"/>
      <c r="Z528" s="991"/>
      <c r="AA528" s="991"/>
      <c r="AB528" s="991"/>
      <c r="AC528" s="991"/>
      <c r="AD528" s="991"/>
      <c r="AE528" s="991"/>
      <c r="AF528" s="991"/>
      <c r="AG528" s="991"/>
      <c r="AH528" s="991"/>
      <c r="AI528" s="991"/>
      <c r="AJ528" s="991"/>
      <c r="AK528" s="991"/>
      <c r="AL528" s="991"/>
      <c r="AM528" s="991"/>
      <c r="AN528" s="991"/>
      <c r="AO528" s="448"/>
      <c r="AP528" s="995"/>
      <c r="AQ528" s="991"/>
      <c r="AR528" s="991"/>
      <c r="AS528" s="996"/>
      <c r="AT528" s="991"/>
      <c r="AU528" s="991"/>
      <c r="AV528" s="991"/>
      <c r="AW528" s="991"/>
      <c r="AX528" s="991"/>
      <c r="AY528" s="990" t="s">
        <v>140</v>
      </c>
      <c r="AZ528" s="995" t="s">
        <v>140</v>
      </c>
      <c r="BA528" s="991"/>
      <c r="BB528" s="991"/>
      <c r="BC528" s="991"/>
      <c r="BD528" s="448"/>
      <c r="BE528" s="448"/>
      <c r="BF528" s="990"/>
      <c r="BG528" s="991">
        <v>3</v>
      </c>
      <c r="BH528" s="991"/>
      <c r="BI528" s="991"/>
      <c r="BJ528" s="991">
        <v>2</v>
      </c>
      <c r="BK528" s="991"/>
      <c r="BL528" s="991"/>
      <c r="BM528" s="991"/>
      <c r="BN528" s="991"/>
      <c r="BO528" s="991"/>
      <c r="BP528" s="990"/>
      <c r="BQ528" s="997"/>
      <c r="BR528" s="996"/>
      <c r="BS528" s="990"/>
      <c r="BT528" s="423"/>
      <c r="BU528" s="423"/>
      <c r="BV528" s="425"/>
      <c r="BW528" s="423"/>
      <c r="BX528" s="448"/>
      <c r="BY528" s="448"/>
      <c r="BZ528" s="448"/>
      <c r="CA528" s="448"/>
      <c r="CB528" s="448"/>
      <c r="CC528" s="777"/>
      <c r="CD528" s="448"/>
      <c r="CE528" s="998" t="str">
        <f>IFERROR(WWWW[[#This Row],['#_Water sources passed]]/WWWW[[#This Row],['#_Water sources tested for fecal coliform ]],"no test")</f>
        <v>no test</v>
      </c>
      <c r="CF528" s="996" t="str">
        <f>IFERROR(WWWW[[#This Row],['#_Household passed]]/WWWW[[#This Row],['#_Household water samples tested for fecal coliform]],"no test")</f>
        <v>no test</v>
      </c>
      <c r="CG528" s="997" t="str">
        <f>IF(AND(WWWW[[#This Row],[% of water sources passed]]="no test",WWWW[[#This Row],[% Household passed]]="no test"),"No Test","Tested")</f>
        <v>No Test</v>
      </c>
      <c r="CH528" s="997">
        <f>WWWW[[#This Row],['#_Constructed/existing protected hand dug well]]-WWWW[[#This Row],['#_Non-functional protected hand dug well]]</f>
        <v>0</v>
      </c>
      <c r="CI528" s="997">
        <f>(WWWW[[#This Row],['#_Constructed/Existing tube wells/boreholes/handpumps_WASH_agency]]+WWWW[[#This Row],['#_Non-Cluster partner water tube-wells/boreholes/handpumps]])-WWWW[[#This Row],['#_Non-functional tube wells/boreholes/handpumps]]</f>
        <v>0</v>
      </c>
      <c r="CJ528" s="997">
        <f>WWWW[[#This Row],['#_Constructed/Existingwater storage tank with gravity fed reticulation system]]-WWWW[[#This Row],['#_Non-functional storage tank gravity fed reticulation system]]</f>
        <v>0</v>
      </c>
      <c r="CK528" s="997">
        <f>(WWWW[[#This Row],['#_Water_Liters_supplied_by_Water boating or water trucking]]/90)/15</f>
        <v>0</v>
      </c>
      <c r="CL528" s="997">
        <f>WWWW[[#This Row],['#_Water_Liters_from_Constructed/Existing water distribution system from river or natural spring]]/90/15</f>
        <v>0</v>
      </c>
      <c r="CM528" s="424">
        <f>IF(WWWW[[#This Row],['#_of water points in TLS/CFS]]*500&gt;WWWW[[#This Row],[Total PoP ]],WWWW[[#This Row],[Total PoP ]],WWWW[[#This Row],['#_of water points in TLS/CFS]]*500)</f>
        <v>0</v>
      </c>
      <c r="CN528" s="424">
        <f>IF(WWWW[[#This Row],['#_of water points in THF]]*500&gt;WWWW[[#This Row],[Total PoP ]],WWWW[[#This Row],[Total PoP ]],WWWW[[#This Row],['#_of water points in THF]]*500)</f>
        <v>0</v>
      </c>
      <c r="CO52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2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28" s="996">
        <f>IF(WWWW[[#This Row],[Location Type 1]]="Village",WWWW[[#This Row],[Access to safe drinking water for Village]],WWWW[[#This Row],[Access to safe drinking water for Camp]])</f>
        <v>0</v>
      </c>
      <c r="CR528" s="994">
        <f>WWWW[[#This Row],[%Equitable and continuous access to sufficient quantity of safe drinking water]]*WWWW[[#This Row],[Total PoP ]]</f>
        <v>0</v>
      </c>
      <c r="CS528" s="996">
        <f>IF((WWWW[[#This Row],['#_Constructed/Existing protected/fenced ponds]]*250)/WWWW[[#This Row],[Total PoP ]]&gt;1,1,(WWWW[[#This Row],['#_Constructed/Existing protected/fenced ponds]]*250)/WWWW[[#This Row],[Total PoP ]])</f>
        <v>0</v>
      </c>
      <c r="CT528" s="994">
        <f>WWWW[[#This Row],[% Access to unimproved water points]]*WWWW[[#This Row],[Total PoP ]]</f>
        <v>0</v>
      </c>
      <c r="CU52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2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28" s="994">
        <f>WWWW[[#This Row],[HRP1]]/500</f>
        <v>0</v>
      </c>
      <c r="CX528" s="999">
        <f>1-WWWW[[#This Row],[% Equitable and continuous access to sufficient quantity of domestic water]]</f>
        <v>1</v>
      </c>
      <c r="CY528" s="994">
        <f>WWWW[[#This Row],[%equitable and continuous access to sufficient quantity of safe drinking and domestic water''s GAP]]*WWWW[[#This Row],[Total PoP ]]</f>
        <v>32</v>
      </c>
      <c r="CZ528" s="997">
        <f>IF(WWWW[[#This Row],[Total required water points]]-WWWW[[#This Row],['#Water points coverage]]&lt;0,0,WWWW[[#This Row],[Total required water points]]-WWWW[[#This Row],['#Water points coverage]])</f>
        <v>1</v>
      </c>
      <c r="DA528" s="997">
        <f>ROUND(IF(WWWW[[#This Row],[Total PoP ]]&lt;500,1,WWWW[[#This Row],[Total PoP ]]/500),0)</f>
        <v>1</v>
      </c>
      <c r="DB528" s="997">
        <f>(WWWW[[#This Row],['#_Constructed latrines_by_WASHAgencies]]+WWWW[[#This Row],['#_Non Cluster partner latrines]])-WWWW[[#This Row],['#_Non-functional latrines]]</f>
        <v>0</v>
      </c>
      <c r="DC528" s="631">
        <f>WWWW[[#This Row],[HRP2]]/WWWW[[#This Row],[Total PoP ]]</f>
        <v>0</v>
      </c>
      <c r="DD52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2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8" s="424">
        <f>IF(WWWW[[#This Row],['# of functional latrines in THF supported by WASH partners during the reporting period2]]="",0,WWWW[[#This Row],['# of functional latrines in THF supported by WASH partners during the reporting period2]]*50)</f>
        <v>0</v>
      </c>
      <c r="DH528" s="997">
        <f>ROUND(IF(WWWW[[#This Row],[Location Type 1]]="camp",WWWW[[#This Row],[Total PoP ]]/20,IF(WWWW[[#This Row],[Location Type 1]]="Temporary Location",WWWW[[#This Row],[Total PoP ]]/50,(WWWW[[#This Row],[Total PoP ]]/6))),0)</f>
        <v>2</v>
      </c>
      <c r="DI528" s="997">
        <f>IF(WWWW[[#This Row],[Total required Latrines]]-(WWWW[[#This Row],['#_Constructed latrines_by_WASHAgencies]]+WWWW[[#This Row],['#_Non Cluster partner latrines]])&lt;0,0,WWWW[[#This Row],[Total required Latrines]]-(WWWW[[#This Row],['#_Constructed latrines_by_WASHAgencies]]+WWWW[[#This Row],['#_Non Cluster partner latrines]]))</f>
        <v>2</v>
      </c>
      <c r="DJ528" s="999">
        <f>1-WWWW[[#This Row],[% people access to functioning Latrine]]</f>
        <v>1</v>
      </c>
      <c r="DK528" s="998">
        <f>IF(OR(WWWW[[#This Row],['#_Non-functional latrines]]="",WWWW[[#This Row],['#_Non-functional latrines]]=0),0,WWWW[[#This Row],['#_Non-functional latrines]]/(WWWW[[#This Row],['#_Constructed latrines_by_WASHAgencies]]+WWWW[[#This Row],['#_Non Cluster partner latrines]]))</f>
        <v>0</v>
      </c>
      <c r="DL528" s="994">
        <f>IF(500*(WWWW[[#This Row],['#_male hygiene promoters]]+WWWW[[#This Row],['#_female hygiene promoters]])&gt;WWWW[[#This Row],[Total PoP ]],WWWW[[#This Row],[Total PoP ]],500*(WWWW[[#This Row],['#_male hygiene promoters]]+WWWW[[#This Row],['#_female hygiene promoters]]))</f>
        <v>0</v>
      </c>
      <c r="DM52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2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28" s="997">
        <f>IF(WWWW[[#This Row],['# People with access to soap]]&gt;WWWW[[#This Row],['# People with access to Sanity Pads]],WWWW[[#This Row],['# People with access to soap]],WWWW[[#This Row],['# People with access to Sanity Pads]])</f>
        <v>0</v>
      </c>
      <c r="DP528"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28" s="999">
        <f>IF(WWWW[[#This Row],[HRP3]]/WWWW[[#This Row],[Total PoP ]]&gt;1,1,WWWW[[#This Row],[HRP3]]/WWWW[[#This Row],[Total PoP ]])</f>
        <v>0</v>
      </c>
      <c r="DR528" s="998">
        <f>1-WWWW[[#This Row],[Hygiene Coverage%]]</f>
        <v>1</v>
      </c>
      <c r="DS528" s="996">
        <f>WWWW[[#This Row],['# people reached by regular dedicated hygiene promotion_5]]/WWWW[[#This Row],[Total PoP ]]</f>
        <v>0</v>
      </c>
      <c r="DT52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2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28" s="997">
        <f>WWWW[[#This Row],['#_Constructed/Existing hand washing stations]]-WWWW[[#This Row],['#_Non-Functional_hand_washing_stations]]</f>
        <v>3</v>
      </c>
      <c r="DW528" s="994">
        <f>IF(WWWW[[#This Row],['# Functional hand washing stations during reporting period]]*20&gt;WWWW[[#This Row],[Total HH]],WWWW[[#This Row],[Total HH]],WWWW[[#This Row],['# Functional hand washing stations during reporting period]]*20)</f>
        <v>6</v>
      </c>
      <c r="DX528" s="994">
        <f>IF(WWWW[[#This Row],[Is sufficient soap available for TLS? (Yes/No)]]="yes",WWWW[[#This Row],['#_Constructed/Existing hand washing stations at TLS/CFS/THF]],0)</f>
        <v>0</v>
      </c>
      <c r="DY528" s="428">
        <f>IF(WWWW[[#This Row],['# Functional hand washing stations during reporting period]]*100&gt;WWWW[[#This Row],[Total PoP ]],WWWW[[#This Row],[Total PoP ]],WWWW[[#This Row],['# Functional hand washing stations during reporting period]]*100)</f>
        <v>32</v>
      </c>
      <c r="DZ528" s="428" t="str">
        <f>IF(OR(WWWW[[#This Row],['#_students at TLS_CFS]]="",WWWW[[#This Row],['#_students at TLS_CFS]]=0),"No","Yes")</f>
        <v>No</v>
      </c>
      <c r="EA52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8" s="990">
        <f>VLOOKUP(WWWW[[#This Row],[Site Name]],SiteDB6[[Site Name]:[CCCM Management]],6,FALSE)</f>
        <v>0</v>
      </c>
      <c r="EF528" s="990" t="str">
        <f>VLOOKUP(WWWW[[#This Row],[Site Name]],SiteDB6[[Site Name]:[CCCM Focal Agency]],7,FALSE)</f>
        <v>uncovered</v>
      </c>
      <c r="EG528" s="990" t="str">
        <f>VLOOKUP(WWWW[[#This Row],[Site Name]],SiteDB6[[Site Name]:[Location Type 1]],9,FALSE)</f>
        <v>Camp</v>
      </c>
      <c r="EH528" s="990" t="str">
        <f>VLOOKUP(WWWW[[#This Row],[Site Name]],SiteDB6[[Site Name]:[Type of Accommodation]],10,FALSE)</f>
        <v>Camp like setting</v>
      </c>
      <c r="EI528" s="990" t="str">
        <f>VLOOKUP(WWWW[[#This Row],[Site Name]],SiteDB6[[Site Name]:[Ethnic or GCA/NGCA]],11,FALSE)</f>
        <v>GCA</v>
      </c>
      <c r="EJ528" s="990">
        <f>VLOOKUP(WWWW[[#This Row],[Site Name]],SiteDB6[[Site Name]:[Lat]],12,FALSE)</f>
        <v>25.30274</v>
      </c>
      <c r="EK528" s="990">
        <f>VLOOKUP(WWWW[[#This Row],[Site Name]],SiteDB6[[Site Name]:[Long]],13,FALSE)</f>
        <v>96.940380000000005</v>
      </c>
      <c r="EL528" s="990" t="str">
        <f>VLOOKUP(WWWW[[#This Row],[Site Name]],SiteDB6[[Site Name]:[Pcode]],3,FALSE)</f>
        <v>MMR001CMP262</v>
      </c>
      <c r="EM528" s="995" t="str">
        <f t="shared" si="11"/>
        <v>Notcovered</v>
      </c>
      <c r="EN528" s="995"/>
      <c r="EO528" s="990">
        <f>VLOOKUP(WWWW[[#This Row],[Site Name]],SiteDB6[[Site Name]:[Pop
(Kachin/Shan-CCCM as of July 2021)]],16,FALSE)</f>
        <v>5</v>
      </c>
      <c r="EP528" s="990">
        <f>VLOOKUP(WWWW[[#This Row],[Site Name]],SiteDB6[[Site Name]:[Pop
(Kachin/Shan-CCCM as of July 2021)]],17,FALSE)</f>
        <v>32</v>
      </c>
    </row>
    <row r="529" spans="1:146">
      <c r="A529" s="988" t="s">
        <v>2765</v>
      </c>
      <c r="B529" s="988" t="s">
        <v>242</v>
      </c>
      <c r="C529" s="989" t="s">
        <v>242</v>
      </c>
      <c r="D529" s="989" t="s">
        <v>299</v>
      </c>
      <c r="E529" s="989" t="s">
        <v>37</v>
      </c>
      <c r="F529" s="989" t="s">
        <v>159</v>
      </c>
      <c r="G529" s="591" t="str">
        <f>VLOOKUP(WWWW[[#This Row],[Site Name]],SiteDB6[[Site Name]:[Location Type]],8,FALSE)</f>
        <v>Camp</v>
      </c>
      <c r="H529" s="989" t="s">
        <v>266</v>
      </c>
      <c r="I529" s="448">
        <v>56</v>
      </c>
      <c r="J529" s="448">
        <v>266</v>
      </c>
      <c r="K529" s="588">
        <v>44562</v>
      </c>
      <c r="L529" s="589">
        <v>44926</v>
      </c>
      <c r="M529" s="448">
        <v>80</v>
      </c>
      <c r="N529" s="448">
        <v>1</v>
      </c>
      <c r="O529" s="448"/>
      <c r="P529" s="448"/>
      <c r="Q529" s="717" t="s">
        <v>41</v>
      </c>
      <c r="R529" s="448">
        <v>1</v>
      </c>
      <c r="S529" s="448">
        <v>5</v>
      </c>
      <c r="T529" s="448">
        <v>1</v>
      </c>
      <c r="U529" s="991">
        <v>1</v>
      </c>
      <c r="V529" s="991"/>
      <c r="W529" s="991">
        <v>5</v>
      </c>
      <c r="X529" s="991"/>
      <c r="Y529" s="448">
        <v>5</v>
      </c>
      <c r="Z529" s="448">
        <v>3</v>
      </c>
      <c r="AA529" s="991"/>
      <c r="AB529" s="991"/>
      <c r="AC529" s="991">
        <v>1</v>
      </c>
      <c r="AD529" s="991"/>
      <c r="AE529" s="991"/>
      <c r="AF529" s="991"/>
      <c r="AG529" s="991"/>
      <c r="AH529" s="991"/>
      <c r="AI529" s="991"/>
      <c r="AJ529" s="991"/>
      <c r="AK529" s="991"/>
      <c r="AL529" s="991"/>
      <c r="AM529" s="991">
        <v>1</v>
      </c>
      <c r="AN529" s="991"/>
      <c r="AO529" s="448"/>
      <c r="AP529" s="995"/>
      <c r="AQ529" s="991">
        <v>14</v>
      </c>
      <c r="AR529" s="991"/>
      <c r="AS529" s="996"/>
      <c r="AT529" s="991"/>
      <c r="AU529" s="448">
        <v>1</v>
      </c>
      <c r="AV529" s="991"/>
      <c r="AW529" s="991"/>
      <c r="AX529" s="991"/>
      <c r="AY529" s="990" t="s">
        <v>41</v>
      </c>
      <c r="AZ529" s="995" t="s">
        <v>137</v>
      </c>
      <c r="BA529" s="991">
        <v>2</v>
      </c>
      <c r="BB529" s="991">
        <v>2</v>
      </c>
      <c r="BC529" s="991"/>
      <c r="BD529" s="448"/>
      <c r="BE529" s="448"/>
      <c r="BF529" s="990"/>
      <c r="BG529" s="991">
        <v>5</v>
      </c>
      <c r="BH529" s="991"/>
      <c r="BI529" s="991"/>
      <c r="BJ529" s="991">
        <v>4</v>
      </c>
      <c r="BK529" s="991"/>
      <c r="BL529" s="991"/>
      <c r="BM529" s="991"/>
      <c r="BN529" s="991"/>
      <c r="BO529" s="991"/>
      <c r="BP529" s="990"/>
      <c r="BQ529" s="997"/>
      <c r="BR529" s="996"/>
      <c r="BS529" s="990"/>
      <c r="BT529" s="423">
        <v>0.8</v>
      </c>
      <c r="BU529" s="423">
        <v>1</v>
      </c>
      <c r="BV529" s="425"/>
      <c r="BW529" s="423">
        <v>0.8</v>
      </c>
      <c r="BX529" s="448"/>
      <c r="BY529" s="448"/>
      <c r="BZ529" s="448"/>
      <c r="CA529" s="448"/>
      <c r="CB529" s="448"/>
      <c r="CC529" s="777"/>
      <c r="CD529" s="448"/>
      <c r="CE529" s="998" t="str">
        <f>IFERROR(WWWW[[#This Row],['#_Water sources passed]]/WWWW[[#This Row],['#_Water sources tested for fecal coliform ]],"no test")</f>
        <v>no test</v>
      </c>
      <c r="CF529" s="996" t="str">
        <f>IFERROR(WWWW[[#This Row],['#_Household passed]]/WWWW[[#This Row],['#_Household water samples tested for fecal coliform]],"no test")</f>
        <v>no test</v>
      </c>
      <c r="CG529" s="997" t="str">
        <f>IF(AND(WWWW[[#This Row],[% of water sources passed]]="no test",WWWW[[#This Row],[% Household passed]]="no test"),"No Test","Tested")</f>
        <v>No Test</v>
      </c>
      <c r="CH529" s="997">
        <f>WWWW[[#This Row],['#_Constructed/existing protected hand dug well]]-WWWW[[#This Row],['#_Non-functional protected hand dug well]]</f>
        <v>0</v>
      </c>
      <c r="CI529" s="997">
        <f>(WWWW[[#This Row],['#_Constructed/Existing tube wells/boreholes/handpumps_WASH_agency]]+WWWW[[#This Row],['#_Non-Cluster partner water tube-wells/boreholes/handpumps]])-WWWW[[#This Row],['#_Non-functional tube wells/boreholes/handpumps]]</f>
        <v>0</v>
      </c>
      <c r="CJ529" s="997">
        <f>WWWW[[#This Row],['#_Constructed/Existingwater storage tank with gravity fed reticulation system]]-WWWW[[#This Row],['#_Non-functional storage tank gravity fed reticulation system]]</f>
        <v>0</v>
      </c>
      <c r="CK529" s="997">
        <f>(WWWW[[#This Row],['#_Water_Liters_supplied_by_Water boating or water trucking]]/90)/15</f>
        <v>0</v>
      </c>
      <c r="CL529" s="997">
        <f>WWWW[[#This Row],['#_Water_Liters_from_Constructed/Existing water distribution system from river or natural spring]]/90/15</f>
        <v>0</v>
      </c>
      <c r="CM529" s="424">
        <f>IF(WWWW[[#This Row],['#_of water points in TLS/CFS]]*500&gt;WWWW[[#This Row],[Total PoP ]],WWWW[[#This Row],[Total PoP ]],WWWW[[#This Row],['#_of water points in TLS/CFS]]*500)</f>
        <v>0</v>
      </c>
      <c r="CN529" s="424">
        <f>IF(WWWW[[#This Row],['#_of water points in THF]]*500&gt;WWWW[[#This Row],[Total PoP ]],WWWW[[#This Row],[Total PoP ]],WWWW[[#This Row],['#_of water points in THF]]*500)</f>
        <v>0</v>
      </c>
      <c r="CO52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2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29" s="996">
        <f>IF(WWWW[[#This Row],[Location Type 1]]="Village",WWWW[[#This Row],[Access to safe drinking water for Village]],WWWW[[#This Row],[Access to safe drinking water for Camp]])</f>
        <v>0</v>
      </c>
      <c r="CR529" s="994">
        <f>WWWW[[#This Row],[%Equitable and continuous access to sufficient quantity of safe drinking water]]*WWWW[[#This Row],[Total PoP ]]</f>
        <v>0</v>
      </c>
      <c r="CS529" s="996">
        <f>IF((WWWW[[#This Row],['#_Constructed/Existing protected/fenced ponds]]*250)/WWWW[[#This Row],[Total PoP ]]&gt;1,1,(WWWW[[#This Row],['#_Constructed/Existing protected/fenced ponds]]*250)/WWWW[[#This Row],[Total PoP ]])</f>
        <v>0</v>
      </c>
      <c r="CT529" s="994">
        <f>WWWW[[#This Row],[% Access to unimproved water points]]*WWWW[[#This Row],[Total PoP ]]</f>
        <v>0</v>
      </c>
      <c r="CU52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2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29" s="994">
        <f>WWWW[[#This Row],[HRP1]]/500</f>
        <v>0</v>
      </c>
      <c r="CX529" s="999">
        <f>1-WWWW[[#This Row],[% Equitable and continuous access to sufficient quantity of domestic water]]</f>
        <v>1</v>
      </c>
      <c r="CY529" s="994">
        <f>WWWW[[#This Row],[%equitable and continuous access to sufficient quantity of safe drinking and domestic water''s GAP]]*WWWW[[#This Row],[Total PoP ]]</f>
        <v>266</v>
      </c>
      <c r="CZ529" s="997">
        <f>IF(WWWW[[#This Row],[Total required water points]]-WWWW[[#This Row],['#Water points coverage]]&lt;0,0,WWWW[[#This Row],[Total required water points]]-WWWW[[#This Row],['#Water points coverage]])</f>
        <v>1</v>
      </c>
      <c r="DA529" s="997">
        <f>ROUND(IF(WWWW[[#This Row],[Total PoP ]]&lt;500,1,WWWW[[#This Row],[Total PoP ]]/500),0)</f>
        <v>1</v>
      </c>
      <c r="DB529" s="997">
        <f>(WWWW[[#This Row],['#_Constructed latrines_by_WASHAgencies]]+WWWW[[#This Row],['#_Non Cluster partner latrines]])-WWWW[[#This Row],['#_Non-functional latrines]]</f>
        <v>14</v>
      </c>
      <c r="DC529" s="631">
        <f>WWWW[[#This Row],[HRP2]]/WWWW[[#This Row],[Total PoP ]]</f>
        <v>1</v>
      </c>
      <c r="DD52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266</v>
      </c>
      <c r="DE52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9" s="424">
        <f>IF(WWWW[[#This Row],['# of functional latrines in THF supported by WASH partners during the reporting period2]]="",0,WWWW[[#This Row],['# of functional latrines in THF supported by WASH partners during the reporting period2]]*50)</f>
        <v>0</v>
      </c>
      <c r="DH529" s="997">
        <f>ROUND(IF(WWWW[[#This Row],[Location Type 1]]="camp",WWWW[[#This Row],[Total PoP ]]/20,IF(WWWW[[#This Row],[Location Type 1]]="Temporary Location",WWWW[[#This Row],[Total PoP ]]/50,(WWWW[[#This Row],[Total PoP ]]/6))),0)</f>
        <v>13</v>
      </c>
      <c r="DI529" s="997">
        <f>IF(WWWW[[#This Row],[Total required Latrines]]-(WWWW[[#This Row],['#_Constructed latrines_by_WASHAgencies]]+WWWW[[#This Row],['#_Non Cluster partner latrines]])&lt;0,0,WWWW[[#This Row],[Total required Latrines]]-(WWWW[[#This Row],['#_Constructed latrines_by_WASHAgencies]]+WWWW[[#This Row],['#_Non Cluster partner latrines]]))</f>
        <v>0</v>
      </c>
      <c r="DJ529" s="999">
        <f>1-WWWW[[#This Row],[% people access to functioning Latrine]]</f>
        <v>0</v>
      </c>
      <c r="DK529" s="998">
        <f>IF(OR(WWWW[[#This Row],['#_Non-functional latrines]]="",WWWW[[#This Row],['#_Non-functional latrines]]=0),0,WWWW[[#This Row],['#_Non-functional latrines]]/(WWWW[[#This Row],['#_Constructed latrines_by_WASHAgencies]]+WWWW[[#This Row],['#_Non Cluster partner latrines]]))</f>
        <v>0</v>
      </c>
      <c r="DL529" s="994">
        <f>IF(500*(WWWW[[#This Row],['#_male hygiene promoters]]+WWWW[[#This Row],['#_female hygiene promoters]])&gt;WWWW[[#This Row],[Total PoP ]],WWWW[[#This Row],[Total PoP ]],500*(WWWW[[#This Row],['#_male hygiene promoters]]+WWWW[[#This Row],['#_female hygiene promoters]]))</f>
        <v>0</v>
      </c>
      <c r="DM52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2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29" s="997">
        <f>IF(WWWW[[#This Row],['# People with access to soap]]&gt;WWWW[[#This Row],['# People with access to Sanity Pads]],WWWW[[#This Row],['# People with access to soap]],WWWW[[#This Row],['# People with access to Sanity Pads]])</f>
        <v>0</v>
      </c>
      <c r="DP529"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29" s="999">
        <f>IF(WWWW[[#This Row],[HRP3]]/WWWW[[#This Row],[Total PoP ]]&gt;1,1,WWWW[[#This Row],[HRP3]]/WWWW[[#This Row],[Total PoP ]])</f>
        <v>0</v>
      </c>
      <c r="DR529" s="998">
        <f>1-WWWW[[#This Row],[Hygiene Coverage%]]</f>
        <v>1</v>
      </c>
      <c r="DS529" s="996">
        <f>WWWW[[#This Row],['# people reached by regular dedicated hygiene promotion_5]]/WWWW[[#This Row],[Total PoP ]]</f>
        <v>0</v>
      </c>
      <c r="DT52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2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29" s="997">
        <f>WWWW[[#This Row],['#_Constructed/Existing hand washing stations]]-WWWW[[#This Row],['#_Non-Functional_hand_washing_stations]]</f>
        <v>5</v>
      </c>
      <c r="DW529" s="994">
        <f>IF(WWWW[[#This Row],['# Functional hand washing stations during reporting period]]*20&gt;WWWW[[#This Row],[Total HH]],WWWW[[#This Row],[Total HH]],WWWW[[#This Row],['# Functional hand washing stations during reporting period]]*20)</f>
        <v>56</v>
      </c>
      <c r="DX529" s="994">
        <f>IF(WWWW[[#This Row],[Is sufficient soap available for TLS? (Yes/No)]]="yes",WWWW[[#This Row],['#_Constructed/Existing hand washing stations at TLS/CFS/THF]],0)</f>
        <v>0</v>
      </c>
      <c r="DY529" s="428">
        <f>IF(WWWW[[#This Row],['# Functional hand washing stations during reporting period]]*100&gt;WWWW[[#This Row],[Total PoP ]],WWWW[[#This Row],[Total PoP ]],WWWW[[#This Row],['# Functional hand washing stations during reporting period]]*100)</f>
        <v>266</v>
      </c>
      <c r="DZ529" s="428" t="str">
        <f>IF(OR(WWWW[[#This Row],['#_students at TLS_CFS]]="",WWWW[[#This Row],['#_students at TLS_CFS]]=0),"No","Yes")</f>
        <v>Yes</v>
      </c>
      <c r="EA52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9" s="990" t="str">
        <f>VLOOKUP(WWWW[[#This Row],[Site Name]],SiteDB6[[Site Name]:[CCCM Management]],6,FALSE)</f>
        <v>Yes</v>
      </c>
      <c r="EF529" s="990" t="str">
        <f>VLOOKUP(WWWW[[#This Row],[Site Name]],SiteDB6[[Site Name]:[CCCM Focal Agency]],7,FALSE)</f>
        <v>Shalom</v>
      </c>
      <c r="EG529" s="990" t="str">
        <f>VLOOKUP(WWWW[[#This Row],[Site Name]],SiteDB6[[Site Name]:[Location Type 1]],9,FALSE)</f>
        <v>Camp</v>
      </c>
      <c r="EH529" s="990" t="str">
        <f>VLOOKUP(WWWW[[#This Row],[Site Name]],SiteDB6[[Site Name]:[Type of Accommodation]],10,FALSE)</f>
        <v>Camp</v>
      </c>
      <c r="EI529" s="990" t="str">
        <f>VLOOKUP(WWWW[[#This Row],[Site Name]],SiteDB6[[Site Name]:[Ethnic or GCA/NGCA]],11,FALSE)</f>
        <v>GCA</v>
      </c>
      <c r="EJ529" s="990">
        <f>VLOOKUP(WWWW[[#This Row],[Site Name]],SiteDB6[[Site Name]:[Lat]],12,FALSE)</f>
        <v>25.423209</v>
      </c>
      <c r="EK529" s="990">
        <f>VLOOKUP(WWWW[[#This Row],[Site Name]],SiteDB6[[Site Name]:[Long]],13,FALSE)</f>
        <v>97.379987</v>
      </c>
      <c r="EL529" s="990" t="str">
        <f>VLOOKUP(WWWW[[#This Row],[Site Name]],SiteDB6[[Site Name]:[Pcode]],3,FALSE)</f>
        <v>MMR001CMP023</v>
      </c>
      <c r="EM529" s="995" t="str">
        <f t="shared" si="11"/>
        <v>Covered</v>
      </c>
      <c r="EN529" s="995"/>
      <c r="EO529" s="990">
        <f>VLOOKUP(WWWW[[#This Row],[Site Name]],SiteDB6[[Site Name]:[Pop
(Kachin/Shan-CCCM as of July 2021)]],16,FALSE)</f>
        <v>56</v>
      </c>
      <c r="EP529" s="990">
        <f>VLOOKUP(WWWW[[#This Row],[Site Name]],SiteDB6[[Site Name]:[Pop
(Kachin/Shan-CCCM as of July 2021)]],17,FALSE)</f>
        <v>266</v>
      </c>
    </row>
    <row r="530" spans="1:146">
      <c r="A530" s="988" t="s">
        <v>2765</v>
      </c>
      <c r="B530" s="988" t="s">
        <v>3073</v>
      </c>
      <c r="C530" s="989" t="s">
        <v>141</v>
      </c>
      <c r="D530" s="989" t="s">
        <v>3166</v>
      </c>
      <c r="E530" s="989" t="s">
        <v>37</v>
      </c>
      <c r="F530" s="989" t="s">
        <v>159</v>
      </c>
      <c r="G530" s="591" t="str">
        <f>VLOOKUP(WWWW[[#This Row],[Site Name]],SiteDB6[[Site Name]:[Location Type]],8,FALSE)</f>
        <v>Camp</v>
      </c>
      <c r="H530" s="989" t="s">
        <v>171</v>
      </c>
      <c r="I530" s="991">
        <v>35</v>
      </c>
      <c r="J530" s="991">
        <v>197</v>
      </c>
      <c r="K530" s="992">
        <v>44682</v>
      </c>
      <c r="L530" s="993">
        <v>45169</v>
      </c>
      <c r="M530" s="991"/>
      <c r="N530" s="991">
        <v>1</v>
      </c>
      <c r="O530" s="991"/>
      <c r="P530" s="991"/>
      <c r="Q530" s="994" t="s">
        <v>41</v>
      </c>
      <c r="R530" s="991">
        <v>2</v>
      </c>
      <c r="S530" s="991">
        <v>2</v>
      </c>
      <c r="T530" s="448">
        <v>3</v>
      </c>
      <c r="U530" s="991"/>
      <c r="V530" s="991"/>
      <c r="W530" s="991">
        <v>4</v>
      </c>
      <c r="X530" s="991"/>
      <c r="Y530" s="991"/>
      <c r="Z530" s="991"/>
      <c r="AA530" s="991"/>
      <c r="AB530" s="991"/>
      <c r="AC530" s="991"/>
      <c r="AD530" s="991"/>
      <c r="AE530" s="991"/>
      <c r="AF530" s="991"/>
      <c r="AG530" s="991"/>
      <c r="AH530" s="991">
        <v>3</v>
      </c>
      <c r="AI530" s="991"/>
      <c r="AJ530" s="991"/>
      <c r="AK530" s="991"/>
      <c r="AL530" s="991"/>
      <c r="AM530" s="991"/>
      <c r="AN530" s="991"/>
      <c r="AO530" s="448"/>
      <c r="AP530" s="995"/>
      <c r="AQ530" s="991">
        <v>5</v>
      </c>
      <c r="AR530" s="991"/>
      <c r="AS530" s="996"/>
      <c r="AT530" s="991"/>
      <c r="AU530" s="991"/>
      <c r="AV530" s="991"/>
      <c r="AW530" s="991"/>
      <c r="AX530" s="991">
        <v>5</v>
      </c>
      <c r="AY530" s="990" t="s">
        <v>41</v>
      </c>
      <c r="AZ530" s="995" t="s">
        <v>137</v>
      </c>
      <c r="BA530" s="991"/>
      <c r="BB530" s="991"/>
      <c r="BC530" s="991"/>
      <c r="BD530" s="448"/>
      <c r="BE530" s="448"/>
      <c r="BF530" s="990"/>
      <c r="BG530" s="991">
        <v>1</v>
      </c>
      <c r="BH530" s="991"/>
      <c r="BI530" s="991"/>
      <c r="BJ530" s="991">
        <v>3</v>
      </c>
      <c r="BK530" s="991"/>
      <c r="BL530" s="991"/>
      <c r="BM530" s="991"/>
      <c r="BN530" s="991"/>
      <c r="BO530" s="991"/>
      <c r="BP530" s="990"/>
      <c r="BQ530" s="997"/>
      <c r="BR530" s="996"/>
      <c r="BS530" s="990"/>
      <c r="BT530" s="423"/>
      <c r="BU530" s="423"/>
      <c r="BV530" s="425"/>
      <c r="BW530" s="423"/>
      <c r="BX530" s="448"/>
      <c r="BY530" s="448"/>
      <c r="BZ530" s="448"/>
      <c r="CA530" s="448"/>
      <c r="CB530" s="448"/>
      <c r="CC530" s="777"/>
      <c r="CD530" s="448"/>
      <c r="CE530" s="998" t="str">
        <f>IFERROR(WWWW[[#This Row],['#_Water sources passed]]/WWWW[[#This Row],['#_Water sources tested for fecal coliform ]],"no test")</f>
        <v>no test</v>
      </c>
      <c r="CF530" s="996" t="str">
        <f>IFERROR(WWWW[[#This Row],['#_Household passed]]/WWWW[[#This Row],['#_Household water samples tested for fecal coliform]],"no test")</f>
        <v>no test</v>
      </c>
      <c r="CG530" s="997" t="str">
        <f>IF(AND(WWWW[[#This Row],[% of water sources passed]]="no test",WWWW[[#This Row],[% Household passed]]="no test"),"No Test","Tested")</f>
        <v>No Test</v>
      </c>
      <c r="CH530" s="997">
        <f>WWWW[[#This Row],['#_Constructed/existing protected hand dug well]]-WWWW[[#This Row],['#_Non-functional protected hand dug well]]</f>
        <v>3</v>
      </c>
      <c r="CI530" s="997">
        <f>(WWWW[[#This Row],['#_Constructed/Existing tube wells/boreholes/handpumps_WASH_agency]]+WWWW[[#This Row],['#_Non-Cluster partner water tube-wells/boreholes/handpumps]])-WWWW[[#This Row],['#_Non-functional tube wells/boreholes/handpumps]]</f>
        <v>4</v>
      </c>
      <c r="CJ530" s="997">
        <f>WWWW[[#This Row],['#_Constructed/Existingwater storage tank with gravity fed reticulation system]]-WWWW[[#This Row],['#_Non-functional storage tank gravity fed reticulation system]]</f>
        <v>0</v>
      </c>
      <c r="CK530" s="997">
        <f>(WWWW[[#This Row],['#_Water_Liters_supplied_by_Water boating or water trucking]]/90)/15</f>
        <v>0</v>
      </c>
      <c r="CL530" s="997">
        <f>WWWW[[#This Row],['#_Water_Liters_from_Constructed/Existing water distribution system from river or natural spring]]/90/15</f>
        <v>0</v>
      </c>
      <c r="CM530" s="424">
        <f>IF(WWWW[[#This Row],['#_of water points in TLS/CFS]]*500&gt;WWWW[[#This Row],[Total PoP ]],WWWW[[#This Row],[Total PoP ]],WWWW[[#This Row],['#_of water points in TLS/CFS]]*500)</f>
        <v>0</v>
      </c>
      <c r="CN530" s="424">
        <f>IF(WWWW[[#This Row],['#_of water points in THF]]*500&gt;WWWW[[#This Row],[Total PoP ]],WWWW[[#This Row],[Total PoP ]],WWWW[[#This Row],['#_of water points in THF]]*500)</f>
        <v>0</v>
      </c>
      <c r="CO53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3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30" s="996">
        <f>IF(WWWW[[#This Row],[Location Type 1]]="Village",WWWW[[#This Row],[Access to safe drinking water for Village]],WWWW[[#This Row],[Access to safe drinking water for Camp]])</f>
        <v>1</v>
      </c>
      <c r="CR530" s="994">
        <f>WWWW[[#This Row],[%Equitable and continuous access to sufficient quantity of safe drinking water]]*WWWW[[#This Row],[Total PoP ]]</f>
        <v>197</v>
      </c>
      <c r="CS530" s="996">
        <f>IF((WWWW[[#This Row],['#_Constructed/Existing protected/fenced ponds]]*250)/WWWW[[#This Row],[Total PoP ]]&gt;1,1,(WWWW[[#This Row],['#_Constructed/Existing protected/fenced ponds]]*250)/WWWW[[#This Row],[Total PoP ]])</f>
        <v>0</v>
      </c>
      <c r="CT530" s="994">
        <f>WWWW[[#This Row],[% Access to unimproved water points]]*WWWW[[#This Row],[Total PoP ]]</f>
        <v>0</v>
      </c>
      <c r="CU53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3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W530" s="994">
        <f>WWWW[[#This Row],[HRP1]]/500</f>
        <v>0.39400000000000002</v>
      </c>
      <c r="CX530" s="999">
        <f>1-WWWW[[#This Row],[% Equitable and continuous access to sufficient quantity of domestic water]]</f>
        <v>0</v>
      </c>
      <c r="CY530" s="994">
        <f>WWWW[[#This Row],[%equitable and continuous access to sufficient quantity of safe drinking and domestic water''s GAP]]*WWWW[[#This Row],[Total PoP ]]</f>
        <v>0</v>
      </c>
      <c r="CZ530" s="997">
        <f>IF(WWWW[[#This Row],[Total required water points]]-WWWW[[#This Row],['#Water points coverage]]&lt;0,0,WWWW[[#This Row],[Total required water points]]-WWWW[[#This Row],['#Water points coverage]])</f>
        <v>0.60599999999999998</v>
      </c>
      <c r="DA530" s="997">
        <f>ROUND(IF(WWWW[[#This Row],[Total PoP ]]&lt;500,1,WWWW[[#This Row],[Total PoP ]]/500),0)</f>
        <v>1</v>
      </c>
      <c r="DB530" s="997">
        <f>(WWWW[[#This Row],['#_Constructed latrines_by_WASHAgencies]]+WWWW[[#This Row],['#_Non Cluster partner latrines]])-WWWW[[#This Row],['#_Non-functional latrines]]</f>
        <v>5</v>
      </c>
      <c r="DC530" s="631">
        <f>WWWW[[#This Row],[HRP2]]/WWWW[[#This Row],[Total PoP ]]</f>
        <v>0.50761421319796951</v>
      </c>
      <c r="DD53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53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3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0" s="424">
        <f>IF(WWWW[[#This Row],['# of functional latrines in THF supported by WASH partners during the reporting period2]]="",0,WWWW[[#This Row],['# of functional latrines in THF supported by WASH partners during the reporting period2]]*50)</f>
        <v>0</v>
      </c>
      <c r="DH530" s="997">
        <f>ROUND(IF(WWWW[[#This Row],[Location Type 1]]="camp",WWWW[[#This Row],[Total PoP ]]/20,IF(WWWW[[#This Row],[Location Type 1]]="Temporary Location",WWWW[[#This Row],[Total PoP ]]/50,(WWWW[[#This Row],[Total PoP ]]/6))),0)</f>
        <v>10</v>
      </c>
      <c r="DI530" s="997">
        <f>IF(WWWW[[#This Row],[Total required Latrines]]-(WWWW[[#This Row],['#_Constructed latrines_by_WASHAgencies]]+WWWW[[#This Row],['#_Non Cluster partner latrines]])&lt;0,0,WWWW[[#This Row],[Total required Latrines]]-(WWWW[[#This Row],['#_Constructed latrines_by_WASHAgencies]]+WWWW[[#This Row],['#_Non Cluster partner latrines]]))</f>
        <v>5</v>
      </c>
      <c r="DJ530" s="999">
        <f>1-WWWW[[#This Row],[% people access to functioning Latrine]]</f>
        <v>0.49238578680203049</v>
      </c>
      <c r="DK530" s="998">
        <f>IF(OR(WWWW[[#This Row],['#_Non-functional latrines]]="",WWWW[[#This Row],['#_Non-functional latrines]]=0),0,WWWW[[#This Row],['#_Non-functional latrines]]/(WWWW[[#This Row],['#_Constructed latrines_by_WASHAgencies]]+WWWW[[#This Row],['#_Non Cluster partner latrines]]))</f>
        <v>0</v>
      </c>
      <c r="DL530" s="994">
        <f>IF(500*(WWWW[[#This Row],['#_male hygiene promoters]]+WWWW[[#This Row],['#_female hygiene promoters]])&gt;WWWW[[#This Row],[Total PoP ]],WWWW[[#This Row],[Total PoP ]],500*(WWWW[[#This Row],['#_male hygiene promoters]]+WWWW[[#This Row],['#_female hygiene promoters]]))</f>
        <v>0</v>
      </c>
      <c r="DM53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3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30" s="997">
        <f>IF(WWWW[[#This Row],['# People with access to soap]]&gt;WWWW[[#This Row],['# People with access to Sanity Pads]],WWWW[[#This Row],['# People with access to soap]],WWWW[[#This Row],['# People with access to Sanity Pads]])</f>
        <v>0</v>
      </c>
      <c r="DP530"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30" s="999">
        <f>IF(WWWW[[#This Row],[HRP3]]/WWWW[[#This Row],[Total PoP ]]&gt;1,1,WWWW[[#This Row],[HRP3]]/WWWW[[#This Row],[Total PoP ]])</f>
        <v>0</v>
      </c>
      <c r="DR530" s="998">
        <f>1-WWWW[[#This Row],[Hygiene Coverage%]]</f>
        <v>1</v>
      </c>
      <c r="DS530" s="996">
        <f>WWWW[[#This Row],['# people reached by regular dedicated hygiene promotion_5]]/WWWW[[#This Row],[Total PoP ]]</f>
        <v>0</v>
      </c>
      <c r="DT53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3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30" s="997">
        <f>WWWW[[#This Row],['#_Constructed/Existing hand washing stations]]-WWWW[[#This Row],['#_Non-Functional_hand_washing_stations]]</f>
        <v>1</v>
      </c>
      <c r="DW530" s="994">
        <f>IF(WWWW[[#This Row],['# Functional hand washing stations during reporting period]]*20&gt;WWWW[[#This Row],[Total HH]],WWWW[[#This Row],[Total HH]],WWWW[[#This Row],['# Functional hand washing stations during reporting period]]*20)</f>
        <v>20</v>
      </c>
      <c r="DX530" s="994">
        <f>IF(WWWW[[#This Row],[Is sufficient soap available for TLS? (Yes/No)]]="yes",WWWW[[#This Row],['#_Constructed/Existing hand washing stations at TLS/CFS/THF]],0)</f>
        <v>0</v>
      </c>
      <c r="DY530" s="428">
        <f>IF(WWWW[[#This Row],['# Functional hand washing stations during reporting period]]*100&gt;WWWW[[#This Row],[Total PoP ]],WWWW[[#This Row],[Total PoP ]],WWWW[[#This Row],['# Functional hand washing stations during reporting period]]*100)</f>
        <v>100</v>
      </c>
      <c r="DZ530" s="428" t="str">
        <f>IF(OR(WWWW[[#This Row],['#_students at TLS_CFS]]="",WWWW[[#This Row],['#_students at TLS_CFS]]=0),"No","Yes")</f>
        <v>No</v>
      </c>
      <c r="EA53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3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3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0" s="990" t="str">
        <f>VLOOKUP(WWWW[[#This Row],[Site Name]],SiteDB6[[Site Name]:[CCCM Management]],6,FALSE)</f>
        <v>Yes</v>
      </c>
      <c r="EF530" s="990" t="str">
        <f>VLOOKUP(WWWW[[#This Row],[Site Name]],SiteDB6[[Site Name]:[CCCM Focal Agency]],7,FALSE)</f>
        <v>KBC-MYT</v>
      </c>
      <c r="EG530" s="990" t="str">
        <f>VLOOKUP(WWWW[[#This Row],[Site Name]],SiteDB6[[Site Name]:[Location Type 1]],9,FALSE)</f>
        <v>Camp</v>
      </c>
      <c r="EH530" s="990" t="str">
        <f>VLOOKUP(WWWW[[#This Row],[Site Name]],SiteDB6[[Site Name]:[Type of Accommodation]],10,FALSE)</f>
        <v>Camp</v>
      </c>
      <c r="EI530" s="990" t="str">
        <f>VLOOKUP(WWWW[[#This Row],[Site Name]],SiteDB6[[Site Name]:[Ethnic or GCA/NGCA]],11,FALSE)</f>
        <v>GCA</v>
      </c>
      <c r="EJ530" s="990">
        <f>VLOOKUP(WWWW[[#This Row],[Site Name]],SiteDB6[[Site Name]:[Lat]],12,FALSE)</f>
        <v>25.404752999999999</v>
      </c>
      <c r="EK530" s="990">
        <f>VLOOKUP(WWWW[[#This Row],[Site Name]],SiteDB6[[Site Name]:[Long]],13,FALSE)</f>
        <v>97.377662999999998</v>
      </c>
      <c r="EL530" s="990" t="str">
        <f>VLOOKUP(WWWW[[#This Row],[Site Name]],SiteDB6[[Site Name]:[Pcode]],3,FALSE)</f>
        <v>MMR001CMP003</v>
      </c>
      <c r="EM530" s="995" t="str">
        <f t="shared" si="11"/>
        <v>Covered</v>
      </c>
      <c r="EN530" s="995"/>
      <c r="EO530" s="990">
        <f>VLOOKUP(WWWW[[#This Row],[Site Name]],SiteDB6[[Site Name]:[Pop
(Kachin/Shan-CCCM as of July 2021)]],16,FALSE)</f>
        <v>35</v>
      </c>
      <c r="EP530" s="990">
        <f>VLOOKUP(WWWW[[#This Row],[Site Name]],SiteDB6[[Site Name]:[Pop
(Kachin/Shan-CCCM as of July 2021)]],17,FALSE)</f>
        <v>189</v>
      </c>
    </row>
    <row r="531" spans="1:146">
      <c r="A531" s="988" t="s">
        <v>2765</v>
      </c>
      <c r="B531" s="988" t="s">
        <v>242</v>
      </c>
      <c r="C531" s="989" t="s">
        <v>242</v>
      </c>
      <c r="D531" s="989" t="s">
        <v>299</v>
      </c>
      <c r="E531" s="989" t="s">
        <v>37</v>
      </c>
      <c r="F531" s="989" t="s">
        <v>142</v>
      </c>
      <c r="G531" s="591" t="str">
        <f>VLOOKUP(WWWW[[#This Row],[Site Name]],SiteDB6[[Site Name]:[Location Type]],8,FALSE)</f>
        <v>Camp</v>
      </c>
      <c r="H531" s="989" t="s">
        <v>274</v>
      </c>
      <c r="I531" s="448">
        <v>45</v>
      </c>
      <c r="J531" s="448">
        <v>191</v>
      </c>
      <c r="K531" s="588">
        <v>44562</v>
      </c>
      <c r="L531" s="589">
        <v>44926</v>
      </c>
      <c r="M531" s="448"/>
      <c r="N531" s="448">
        <v>1</v>
      </c>
      <c r="O531" s="448">
        <v>4</v>
      </c>
      <c r="P531" s="448"/>
      <c r="Q531" s="717" t="s">
        <v>41</v>
      </c>
      <c r="R531" s="991">
        <v>1</v>
      </c>
      <c r="S531" s="991">
        <v>4</v>
      </c>
      <c r="T531" s="448">
        <v>1</v>
      </c>
      <c r="U531" s="991"/>
      <c r="V531" s="991"/>
      <c r="W531" s="991"/>
      <c r="X531" s="991"/>
      <c r="Y531" s="991"/>
      <c r="Z531" s="991"/>
      <c r="AA531" s="991"/>
      <c r="AB531" s="991"/>
      <c r="AC531" s="991"/>
      <c r="AD531" s="991"/>
      <c r="AE531" s="991"/>
      <c r="AF531" s="991"/>
      <c r="AG531" s="991"/>
      <c r="AH531" s="991"/>
      <c r="AI531" s="991"/>
      <c r="AJ531" s="991"/>
      <c r="AK531" s="991"/>
      <c r="AL531" s="991"/>
      <c r="AM531" s="991"/>
      <c r="AN531" s="991"/>
      <c r="AO531" s="448"/>
      <c r="AP531" s="590" t="s">
        <v>2888</v>
      </c>
      <c r="AQ531" s="991">
        <v>6</v>
      </c>
      <c r="AR531" s="991"/>
      <c r="AS531" s="996"/>
      <c r="AT531" s="991"/>
      <c r="AU531" s="991"/>
      <c r="AV531" s="448">
        <v>5</v>
      </c>
      <c r="AW531" s="448">
        <v>30</v>
      </c>
      <c r="AX531" s="448"/>
      <c r="AY531" s="990" t="s">
        <v>41</v>
      </c>
      <c r="AZ531" s="995" t="s">
        <v>137</v>
      </c>
      <c r="BA531" s="991"/>
      <c r="BB531" s="991"/>
      <c r="BC531" s="991"/>
      <c r="BD531" s="448"/>
      <c r="BE531" s="448"/>
      <c r="BF531" s="425" t="s">
        <v>3170</v>
      </c>
      <c r="BG531" s="991">
        <v>3</v>
      </c>
      <c r="BH531" s="991"/>
      <c r="BI531" s="991"/>
      <c r="BJ531" s="991">
        <v>2</v>
      </c>
      <c r="BK531" s="991"/>
      <c r="BL531" s="991"/>
      <c r="BM531" s="991"/>
      <c r="BN531" s="991"/>
      <c r="BO531" s="991"/>
      <c r="BP531" s="990" t="s">
        <v>41</v>
      </c>
      <c r="BQ531" s="997"/>
      <c r="BR531" s="423">
        <v>0.5</v>
      </c>
      <c r="BS531" s="425"/>
      <c r="BT531" s="423">
        <v>0.9</v>
      </c>
      <c r="BU531" s="423">
        <v>0.85</v>
      </c>
      <c r="BV531" s="425">
        <v>3</v>
      </c>
      <c r="BW531" s="423">
        <v>0.9</v>
      </c>
      <c r="BX531" s="448"/>
      <c r="BY531" s="448"/>
      <c r="BZ531" s="448"/>
      <c r="CA531" s="448"/>
      <c r="CB531" s="448"/>
      <c r="CC531" s="777"/>
      <c r="CD531" s="448"/>
      <c r="CE531" s="998" t="str">
        <f>IFERROR(WWWW[[#This Row],['#_Water sources passed]]/WWWW[[#This Row],['#_Water sources tested for fecal coliform ]],"no test")</f>
        <v>no test</v>
      </c>
      <c r="CF531" s="996" t="str">
        <f>IFERROR(WWWW[[#This Row],['#_Household passed]]/WWWW[[#This Row],['#_Household water samples tested for fecal coliform]],"no test")</f>
        <v>no test</v>
      </c>
      <c r="CG531" s="997" t="str">
        <f>IF(AND(WWWW[[#This Row],[% of water sources passed]]="no test",WWWW[[#This Row],[% Household passed]]="no test"),"No Test","Tested")</f>
        <v>No Test</v>
      </c>
      <c r="CH531" s="997">
        <f>WWWW[[#This Row],['#_Constructed/existing protected hand dug well]]-WWWW[[#This Row],['#_Non-functional protected hand dug well]]</f>
        <v>1</v>
      </c>
      <c r="CI531" s="997">
        <f>(WWWW[[#This Row],['#_Constructed/Existing tube wells/boreholes/handpumps_WASH_agency]]+WWWW[[#This Row],['#_Non-Cluster partner water tube-wells/boreholes/handpumps]])-WWWW[[#This Row],['#_Non-functional tube wells/boreholes/handpumps]]</f>
        <v>0</v>
      </c>
      <c r="CJ531" s="997">
        <f>WWWW[[#This Row],['#_Constructed/Existingwater storage tank with gravity fed reticulation system]]-WWWW[[#This Row],['#_Non-functional storage tank gravity fed reticulation system]]</f>
        <v>0</v>
      </c>
      <c r="CK531" s="997">
        <f>(WWWW[[#This Row],['#_Water_Liters_supplied_by_Water boating or water trucking]]/90)/15</f>
        <v>0</v>
      </c>
      <c r="CL531" s="997">
        <f>WWWW[[#This Row],['#_Water_Liters_from_Constructed/Existing water distribution system from river or natural spring]]/90/15</f>
        <v>0</v>
      </c>
      <c r="CM531" s="424">
        <f>IF(WWWW[[#This Row],['#_of water points in TLS/CFS]]*500&gt;WWWW[[#This Row],[Total PoP ]],WWWW[[#This Row],[Total PoP ]],WWWW[[#This Row],['#_of water points in TLS/CFS]]*500)</f>
        <v>0</v>
      </c>
      <c r="CN531" s="424">
        <f>IF(WWWW[[#This Row],['#_of water points in THF]]*500&gt;WWWW[[#This Row],[Total PoP ]],WWWW[[#This Row],[Total PoP ]],WWWW[[#This Row],['#_of water points in THF]]*500)</f>
        <v>0</v>
      </c>
      <c r="CO53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3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31" s="996">
        <f>IF(WWWW[[#This Row],[Location Type 1]]="Village",WWWW[[#This Row],[Access to safe drinking water for Village]],WWWW[[#This Row],[Access to safe drinking water for Camp]])</f>
        <v>1</v>
      </c>
      <c r="CR531" s="994">
        <f>WWWW[[#This Row],[%Equitable and continuous access to sufficient quantity of safe drinking water]]*WWWW[[#This Row],[Total PoP ]]</f>
        <v>191</v>
      </c>
      <c r="CS531" s="996">
        <f>IF((WWWW[[#This Row],['#_Constructed/Existing protected/fenced ponds]]*250)/WWWW[[#This Row],[Total PoP ]]&gt;1,1,(WWWW[[#This Row],['#_Constructed/Existing protected/fenced ponds]]*250)/WWWW[[#This Row],[Total PoP ]])</f>
        <v>0</v>
      </c>
      <c r="CT531" s="994">
        <f>WWWW[[#This Row],[% Access to unimproved water points]]*WWWW[[#This Row],[Total PoP ]]</f>
        <v>0</v>
      </c>
      <c r="CU53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3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W531" s="994">
        <f>WWWW[[#This Row],[HRP1]]/500</f>
        <v>0.38200000000000001</v>
      </c>
      <c r="CX531" s="999">
        <f>1-WWWW[[#This Row],[% Equitable and continuous access to sufficient quantity of domestic water]]</f>
        <v>0</v>
      </c>
      <c r="CY531" s="994">
        <f>WWWW[[#This Row],[%equitable and continuous access to sufficient quantity of safe drinking and domestic water''s GAP]]*WWWW[[#This Row],[Total PoP ]]</f>
        <v>0</v>
      </c>
      <c r="CZ531" s="997">
        <f>IF(WWWW[[#This Row],[Total required water points]]-WWWW[[#This Row],['#Water points coverage]]&lt;0,0,WWWW[[#This Row],[Total required water points]]-WWWW[[#This Row],['#Water points coverage]])</f>
        <v>0.61799999999999999</v>
      </c>
      <c r="DA531" s="997">
        <f>ROUND(IF(WWWW[[#This Row],[Total PoP ]]&lt;500,1,WWWW[[#This Row],[Total PoP ]]/500),0)</f>
        <v>1</v>
      </c>
      <c r="DB531" s="997">
        <f>(WWWW[[#This Row],['#_Constructed latrines_by_WASHAgencies]]+WWWW[[#This Row],['#_Non Cluster partner latrines]])-WWWW[[#This Row],['#_Non-functional latrines]]</f>
        <v>6</v>
      </c>
      <c r="DC531" s="631">
        <f>WWWW[[#This Row],[HRP2]]/WWWW[[#This Row],[Total PoP ]]</f>
        <v>0.62827225130890052</v>
      </c>
      <c r="DD53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53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53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1" s="424">
        <f>IF(WWWW[[#This Row],['# of functional latrines in THF supported by WASH partners during the reporting period2]]="",0,WWWW[[#This Row],['# of functional latrines in THF supported by WASH partners during the reporting period2]]*50)</f>
        <v>0</v>
      </c>
      <c r="DH531" s="997">
        <f>ROUND(IF(WWWW[[#This Row],[Location Type 1]]="camp",WWWW[[#This Row],[Total PoP ]]/20,IF(WWWW[[#This Row],[Location Type 1]]="Temporary Location",WWWW[[#This Row],[Total PoP ]]/50,(WWWW[[#This Row],[Total PoP ]]/6))),0)</f>
        <v>10</v>
      </c>
      <c r="DI531" s="997">
        <f>IF(WWWW[[#This Row],[Total required Latrines]]-(WWWW[[#This Row],['#_Constructed latrines_by_WASHAgencies]]+WWWW[[#This Row],['#_Non Cluster partner latrines]])&lt;0,0,WWWW[[#This Row],[Total required Latrines]]-(WWWW[[#This Row],['#_Constructed latrines_by_WASHAgencies]]+WWWW[[#This Row],['#_Non Cluster partner latrines]]))</f>
        <v>4</v>
      </c>
      <c r="DJ531" s="999">
        <f>1-WWWW[[#This Row],[% people access to functioning Latrine]]</f>
        <v>0.37172774869109948</v>
      </c>
      <c r="DK531" s="998">
        <f>IF(OR(WWWW[[#This Row],['#_Non-functional latrines]]="",WWWW[[#This Row],['#_Non-functional latrines]]=0),0,WWWW[[#This Row],['#_Non-functional latrines]]/(WWWW[[#This Row],['#_Constructed latrines_by_WASHAgencies]]+WWWW[[#This Row],['#_Non Cluster partner latrines]]))</f>
        <v>0</v>
      </c>
      <c r="DL531" s="994">
        <f>IF(500*(WWWW[[#This Row],['#_male hygiene promoters]]+WWWW[[#This Row],['#_female hygiene promoters]])&gt;WWWW[[#This Row],[Total PoP ]],WWWW[[#This Row],[Total PoP ]],500*(WWWW[[#This Row],['#_male hygiene promoters]]+WWWW[[#This Row],['#_female hygiene promoters]]))</f>
        <v>0</v>
      </c>
      <c r="DM53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3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31" s="997">
        <f>IF(WWWW[[#This Row],['# People with access to soap]]&gt;WWWW[[#This Row],['# People with access to Sanity Pads]],WWWW[[#This Row],['# People with access to soap]],WWWW[[#This Row],['# People with access to Sanity Pads]])</f>
        <v>0</v>
      </c>
      <c r="DP531"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31" s="999">
        <f>IF(WWWW[[#This Row],[HRP3]]/WWWW[[#This Row],[Total PoP ]]&gt;1,1,WWWW[[#This Row],[HRP3]]/WWWW[[#This Row],[Total PoP ]])</f>
        <v>0</v>
      </c>
      <c r="DR531" s="998">
        <f>1-WWWW[[#This Row],[Hygiene Coverage%]]</f>
        <v>1</v>
      </c>
      <c r="DS531" s="996">
        <f>WWWW[[#This Row],['# people reached by regular dedicated hygiene promotion_5]]/WWWW[[#This Row],[Total PoP ]]</f>
        <v>0</v>
      </c>
      <c r="DT53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3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31" s="997">
        <f>WWWW[[#This Row],['#_Constructed/Existing hand washing stations]]-WWWW[[#This Row],['#_Non-Functional_hand_washing_stations]]</f>
        <v>3</v>
      </c>
      <c r="DW531" s="994">
        <f>IF(WWWW[[#This Row],['# Functional hand washing stations during reporting period]]*20&gt;WWWW[[#This Row],[Total HH]],WWWW[[#This Row],[Total HH]],WWWW[[#This Row],['# Functional hand washing stations during reporting period]]*20)</f>
        <v>45</v>
      </c>
      <c r="DX531" s="994">
        <f>IF(WWWW[[#This Row],[Is sufficient soap available for TLS? (Yes/No)]]="yes",WWWW[[#This Row],['#_Constructed/Existing hand washing stations at TLS/CFS/THF]],0)</f>
        <v>0</v>
      </c>
      <c r="DY531" s="428">
        <f>IF(WWWW[[#This Row],['# Functional hand washing stations during reporting period]]*100&gt;WWWW[[#This Row],[Total PoP ]],WWWW[[#This Row],[Total PoP ]],WWWW[[#This Row],['# Functional hand washing stations during reporting period]]*100)</f>
        <v>191</v>
      </c>
      <c r="DZ531" s="428" t="str">
        <f>IF(OR(WWWW[[#This Row],['#_students at TLS_CFS]]="",WWWW[[#This Row],['#_students at TLS_CFS]]=0),"No","Yes")</f>
        <v>No</v>
      </c>
      <c r="EA531" s="631">
        <f>IF(WWWW[[#This Row],['#_of_affected_people_surveyed_who_report_feeling_informed_about_the_different_WASH_services_available_to_them]]="","",WWWW[[#This Row],['#_of_affected_people_surveyed_who_report_feeling_informed_about_the_different_WASH_services_available_to_them]]/WWWW[[#This Row],[Total PoP ]])</f>
        <v>1.5706806282722512E-2</v>
      </c>
      <c r="EB53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3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1" s="990" t="str">
        <f>VLOOKUP(WWWW[[#This Row],[Site Name]],SiteDB6[[Site Name]:[CCCM Management]],6,FALSE)</f>
        <v>Yes</v>
      </c>
      <c r="EF531" s="990" t="str">
        <f>VLOOKUP(WWWW[[#This Row],[Site Name]],SiteDB6[[Site Name]:[CCCM Focal Agency]],7,FALSE)</f>
        <v>Shalom</v>
      </c>
      <c r="EG531" s="990" t="str">
        <f>VLOOKUP(WWWW[[#This Row],[Site Name]],SiteDB6[[Site Name]:[Location Type 1]],9,FALSE)</f>
        <v>Camp</v>
      </c>
      <c r="EH531" s="990" t="str">
        <f>VLOOKUP(WWWW[[#This Row],[Site Name]],SiteDB6[[Site Name]:[Type of Accommodation]],10,FALSE)</f>
        <v>Camp</v>
      </c>
      <c r="EI531" s="990" t="str">
        <f>VLOOKUP(WWWW[[#This Row],[Site Name]],SiteDB6[[Site Name]:[Ethnic or GCA/NGCA]],11,FALSE)</f>
        <v>GCA</v>
      </c>
      <c r="EJ531" s="990">
        <f>VLOOKUP(WWWW[[#This Row],[Site Name]],SiteDB6[[Site Name]:[Lat]],12,FALSE)</f>
        <v>25.333683333333301</v>
      </c>
      <c r="EK531" s="990">
        <f>VLOOKUP(WWWW[[#This Row],[Site Name]],SiteDB6[[Site Name]:[Long]],13,FALSE)</f>
        <v>97.428251153846105</v>
      </c>
      <c r="EL531" s="990" t="str">
        <f>VLOOKUP(WWWW[[#This Row],[Site Name]],SiteDB6[[Site Name]:[Pcode]],3,FALSE)</f>
        <v>MMR001CMP037</v>
      </c>
      <c r="EM531" s="995" t="str">
        <f t="shared" si="11"/>
        <v>Covered</v>
      </c>
      <c r="EN531" s="995"/>
      <c r="EO531" s="990">
        <f>VLOOKUP(WWWW[[#This Row],[Site Name]],SiteDB6[[Site Name]:[Pop
(Kachin/Shan-CCCM as of July 2021)]],16,FALSE)</f>
        <v>46</v>
      </c>
      <c r="EP531" s="990">
        <f>VLOOKUP(WWWW[[#This Row],[Site Name]],SiteDB6[[Site Name]:[Pop
(Kachin/Shan-CCCM as of July 2021)]],17,FALSE)</f>
        <v>192</v>
      </c>
    </row>
    <row r="532" spans="1:146">
      <c r="A532" s="988" t="s">
        <v>2765</v>
      </c>
      <c r="B532" s="988" t="s">
        <v>36</v>
      </c>
      <c r="C532" s="989" t="s">
        <v>36</v>
      </c>
      <c r="D532" s="989" t="s">
        <v>241</v>
      </c>
      <c r="E532" s="989" t="s">
        <v>37</v>
      </c>
      <c r="F532" s="989" t="s">
        <v>148</v>
      </c>
      <c r="G532" s="591" t="str">
        <f>VLOOKUP(WWWW[[#This Row],[Site Name]],SiteDB6[[Site Name]:[Location Type]],8,FALSE)</f>
        <v>Camp</v>
      </c>
      <c r="H532" s="989" t="s">
        <v>1563</v>
      </c>
      <c r="I532" s="991">
        <v>14</v>
      </c>
      <c r="J532" s="991">
        <v>53</v>
      </c>
      <c r="K532" s="992">
        <v>44414</v>
      </c>
      <c r="L532" s="993">
        <v>44778</v>
      </c>
      <c r="M532" s="991">
        <v>155</v>
      </c>
      <c r="N532" s="991">
        <v>3</v>
      </c>
      <c r="O532" s="991"/>
      <c r="P532" s="991"/>
      <c r="Q532" s="994" t="s">
        <v>41</v>
      </c>
      <c r="R532" s="991">
        <v>3</v>
      </c>
      <c r="S532" s="991">
        <v>2</v>
      </c>
      <c r="T532" s="448">
        <v>1</v>
      </c>
      <c r="U532" s="991"/>
      <c r="V532" s="991"/>
      <c r="W532" s="991">
        <v>1</v>
      </c>
      <c r="X532" s="991"/>
      <c r="Y532" s="991"/>
      <c r="Z532" s="991"/>
      <c r="AA532" s="991">
        <v>1</v>
      </c>
      <c r="AB532" s="991"/>
      <c r="AC532" s="991"/>
      <c r="AD532" s="991"/>
      <c r="AE532" s="991"/>
      <c r="AF532" s="991"/>
      <c r="AG532" s="991"/>
      <c r="AH532" s="991">
        <v>7</v>
      </c>
      <c r="AI532" s="991"/>
      <c r="AJ532" s="991"/>
      <c r="AK532" s="991"/>
      <c r="AL532" s="991"/>
      <c r="AM532" s="991">
        <v>2</v>
      </c>
      <c r="AN532" s="991">
        <v>1</v>
      </c>
      <c r="AO532" s="448"/>
      <c r="AP532" s="995"/>
      <c r="AQ532" s="991">
        <v>4</v>
      </c>
      <c r="AR532" s="991"/>
      <c r="AS532" s="996"/>
      <c r="AT532" s="991"/>
      <c r="AU532" s="991"/>
      <c r="AV532" s="991"/>
      <c r="AW532" s="991"/>
      <c r="AX532" s="991"/>
      <c r="AY532" s="990" t="s">
        <v>41</v>
      </c>
      <c r="AZ532" s="995" t="s">
        <v>136</v>
      </c>
      <c r="BA532" s="991">
        <v>2</v>
      </c>
      <c r="BB532" s="991"/>
      <c r="BC532" s="991"/>
      <c r="BD532" s="448"/>
      <c r="BE532" s="448"/>
      <c r="BF532" s="990"/>
      <c r="BG532" s="991">
        <v>2</v>
      </c>
      <c r="BH532" s="991"/>
      <c r="BI532" s="991"/>
      <c r="BJ532" s="991">
        <v>2</v>
      </c>
      <c r="BK532" s="991"/>
      <c r="BL532" s="991"/>
      <c r="BM532" s="991">
        <v>1</v>
      </c>
      <c r="BN532" s="991"/>
      <c r="BO532" s="991"/>
      <c r="BP532" s="990" t="s">
        <v>41</v>
      </c>
      <c r="BQ532" s="997"/>
      <c r="BR532" s="996"/>
      <c r="BS532" s="990"/>
      <c r="BT532" s="423"/>
      <c r="BU532" s="423"/>
      <c r="BV532" s="425"/>
      <c r="BW532" s="423"/>
      <c r="BX532" s="448"/>
      <c r="BY532" s="448"/>
      <c r="BZ532" s="448"/>
      <c r="CA532" s="448"/>
      <c r="CB532" s="448"/>
      <c r="CC532" s="777"/>
      <c r="CD532" s="448"/>
      <c r="CE532" s="998" t="str">
        <f>IFERROR(WWWW[[#This Row],['#_Water sources passed]]/WWWW[[#This Row],['#_Water sources tested for fecal coliform ]],"no test")</f>
        <v>no test</v>
      </c>
      <c r="CF532" s="996" t="str">
        <f>IFERROR(WWWW[[#This Row],['#_Household passed]]/WWWW[[#This Row],['#_Household water samples tested for fecal coliform]],"no test")</f>
        <v>no test</v>
      </c>
      <c r="CG532" s="997" t="str">
        <f>IF(AND(WWWW[[#This Row],[% of water sources passed]]="no test",WWWW[[#This Row],[% Household passed]]="no test"),"No Test","Tested")</f>
        <v>No Test</v>
      </c>
      <c r="CH532" s="997">
        <f>WWWW[[#This Row],['#_Constructed/existing protected hand dug well]]-WWWW[[#This Row],['#_Non-functional protected hand dug well]]</f>
        <v>1</v>
      </c>
      <c r="CI532" s="997">
        <f>(WWWW[[#This Row],['#_Constructed/Existing tube wells/boreholes/handpumps_WASH_agency]]+WWWW[[#This Row],['#_Non-Cluster partner water tube-wells/boreholes/handpumps]])-WWWW[[#This Row],['#_Non-functional tube wells/boreholes/handpumps]]</f>
        <v>1</v>
      </c>
      <c r="CJ532" s="997">
        <f>WWWW[[#This Row],['#_Constructed/Existingwater storage tank with gravity fed reticulation system]]-WWWW[[#This Row],['#_Non-functional storage tank gravity fed reticulation system]]</f>
        <v>1</v>
      </c>
      <c r="CK532" s="997">
        <f>(WWWW[[#This Row],['#_Water_Liters_supplied_by_Water boating or water trucking]]/90)/15</f>
        <v>0</v>
      </c>
      <c r="CL532" s="997">
        <f>WWWW[[#This Row],['#_Water_Liters_from_Constructed/Existing water distribution system from river or natural spring]]/90/15</f>
        <v>0</v>
      </c>
      <c r="CM532" s="424">
        <f>IF(WWWW[[#This Row],['#_of water points in TLS/CFS]]*500&gt;WWWW[[#This Row],[Total PoP ]],WWWW[[#This Row],[Total PoP ]],WWWW[[#This Row],['#_of water points in TLS/CFS]]*500)</f>
        <v>53</v>
      </c>
      <c r="CN532" s="424">
        <f>IF(WWWW[[#This Row],['#_of water points in THF]]*500&gt;WWWW[[#This Row],[Total PoP ]],WWWW[[#This Row],[Total PoP ]],WWWW[[#This Row],['#_of water points in THF]]*500)</f>
        <v>0</v>
      </c>
      <c r="CO53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3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32" s="996">
        <f>IF(WWWW[[#This Row],[Location Type 1]]="Village",WWWW[[#This Row],[Access to safe drinking water for Village]],WWWW[[#This Row],[Access to safe drinking water for Camp]])</f>
        <v>1</v>
      </c>
      <c r="CR532" s="994">
        <f>WWWW[[#This Row],[%Equitable and continuous access to sufficient quantity of safe drinking water]]*WWWW[[#This Row],[Total PoP ]]</f>
        <v>53</v>
      </c>
      <c r="CS532" s="996">
        <f>IF((WWWW[[#This Row],['#_Constructed/Existing protected/fenced ponds]]*250)/WWWW[[#This Row],[Total PoP ]]&gt;1,1,(WWWW[[#This Row],['#_Constructed/Existing protected/fenced ponds]]*250)/WWWW[[#This Row],[Total PoP ]])</f>
        <v>0</v>
      </c>
      <c r="CT532" s="994">
        <f>WWWW[[#This Row],[% Access to unimproved water points]]*WWWW[[#This Row],[Total PoP ]]</f>
        <v>0</v>
      </c>
      <c r="CU53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3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v>
      </c>
      <c r="CW532" s="994">
        <f>WWWW[[#This Row],[HRP1]]/500</f>
        <v>0.106</v>
      </c>
      <c r="CX532" s="999">
        <f>1-WWWW[[#This Row],[% Equitable and continuous access to sufficient quantity of domestic water]]</f>
        <v>0</v>
      </c>
      <c r="CY532" s="994">
        <f>WWWW[[#This Row],[%equitable and continuous access to sufficient quantity of safe drinking and domestic water''s GAP]]*WWWW[[#This Row],[Total PoP ]]</f>
        <v>0</v>
      </c>
      <c r="CZ532" s="997">
        <f>IF(WWWW[[#This Row],[Total required water points]]-WWWW[[#This Row],['#Water points coverage]]&lt;0,0,WWWW[[#This Row],[Total required water points]]-WWWW[[#This Row],['#Water points coverage]])</f>
        <v>0.89400000000000002</v>
      </c>
      <c r="DA532" s="997">
        <f>ROUND(IF(WWWW[[#This Row],[Total PoP ]]&lt;500,1,WWWW[[#This Row],[Total PoP ]]/500),0)</f>
        <v>1</v>
      </c>
      <c r="DB532" s="997">
        <f>(WWWW[[#This Row],['#_Constructed latrines_by_WASHAgencies]]+WWWW[[#This Row],['#_Non Cluster partner latrines]])-WWWW[[#This Row],['#_Non-functional latrines]]</f>
        <v>4</v>
      </c>
      <c r="DC532" s="631">
        <f>WWWW[[#This Row],[HRP2]]/WWWW[[#This Row],[Total PoP ]]</f>
        <v>1</v>
      </c>
      <c r="DD53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53</v>
      </c>
      <c r="DE53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3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2" s="424">
        <f>IF(WWWW[[#This Row],['# of functional latrines in THF supported by WASH partners during the reporting period2]]="",0,WWWW[[#This Row],['# of functional latrines in THF supported by WASH partners during the reporting period2]]*50)</f>
        <v>0</v>
      </c>
      <c r="DH532" s="997">
        <f>ROUND(IF(WWWW[[#This Row],[Location Type 1]]="camp",WWWW[[#This Row],[Total PoP ]]/20,IF(WWWW[[#This Row],[Location Type 1]]="Temporary Location",WWWW[[#This Row],[Total PoP ]]/50,(WWWW[[#This Row],[Total PoP ]]/6))),0)</f>
        <v>3</v>
      </c>
      <c r="DI532" s="997">
        <f>IF(WWWW[[#This Row],[Total required Latrines]]-(WWWW[[#This Row],['#_Constructed latrines_by_WASHAgencies]]+WWWW[[#This Row],['#_Non Cluster partner latrines]])&lt;0,0,WWWW[[#This Row],[Total required Latrines]]-(WWWW[[#This Row],['#_Constructed latrines_by_WASHAgencies]]+WWWW[[#This Row],['#_Non Cluster partner latrines]]))</f>
        <v>0</v>
      </c>
      <c r="DJ532" s="999">
        <f>1-WWWW[[#This Row],[% people access to functioning Latrine]]</f>
        <v>0</v>
      </c>
      <c r="DK532" s="998">
        <f>IF(OR(WWWW[[#This Row],['#_Non-functional latrines]]="",WWWW[[#This Row],['#_Non-functional latrines]]=0),0,WWWW[[#This Row],['#_Non-functional latrines]]/(WWWW[[#This Row],['#_Constructed latrines_by_WASHAgencies]]+WWWW[[#This Row],['#_Non Cluster partner latrines]]))</f>
        <v>0</v>
      </c>
      <c r="DL532" s="994">
        <f>IF(500*(WWWW[[#This Row],['#_male hygiene promoters]]+WWWW[[#This Row],['#_female hygiene promoters]])&gt;WWWW[[#This Row],[Total PoP ]],WWWW[[#This Row],[Total PoP ]],500*(WWWW[[#This Row],['#_male hygiene promoters]]+WWWW[[#This Row],['#_female hygiene promoters]]))</f>
        <v>53</v>
      </c>
      <c r="DM53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3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32" s="997">
        <f>IF(WWWW[[#This Row],['# People with access to soap]]&gt;WWWW[[#This Row],['# People with access to Sanity Pads]],WWWW[[#This Row],['# People with access to soap]],WWWW[[#This Row],['# People with access to Sanity Pads]])</f>
        <v>0</v>
      </c>
      <c r="DP532" s="997">
        <f>IF(WWWW[[#This Row],['# people reached by regular dedicated hygiene promotion_5]]&gt;WWWW[[#This Row],['# People received regular supply of hygiene items_6]],WWWW[[#This Row],['# people reached by regular dedicated hygiene promotion_5]],WWWW[[#This Row],['# People received regular supply of hygiene items_6]])</f>
        <v>53</v>
      </c>
      <c r="DQ532" s="999">
        <f>IF(WWWW[[#This Row],[HRP3]]/WWWW[[#This Row],[Total PoP ]]&gt;1,1,WWWW[[#This Row],[HRP3]]/WWWW[[#This Row],[Total PoP ]])</f>
        <v>1</v>
      </c>
      <c r="DR532" s="998">
        <f>1-WWWW[[#This Row],[Hygiene Coverage%]]</f>
        <v>0</v>
      </c>
      <c r="DS532" s="996">
        <f>WWWW[[#This Row],['# people reached by regular dedicated hygiene promotion_5]]/WWWW[[#This Row],[Total PoP ]]</f>
        <v>1</v>
      </c>
      <c r="DT53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3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32" s="997">
        <f>WWWW[[#This Row],['#_Constructed/Existing hand washing stations]]-WWWW[[#This Row],['#_Non-Functional_hand_washing_stations]]</f>
        <v>2</v>
      </c>
      <c r="DW532" s="994">
        <f>IF(WWWW[[#This Row],['# Functional hand washing stations during reporting period]]*20&gt;WWWW[[#This Row],[Total HH]],WWWW[[#This Row],[Total HH]],WWWW[[#This Row],['# Functional hand washing stations during reporting period]]*20)</f>
        <v>14</v>
      </c>
      <c r="DX532" s="994">
        <f>IF(WWWW[[#This Row],[Is sufficient soap available for TLS? (Yes/No)]]="yes",WWWW[[#This Row],['#_Constructed/Existing hand washing stations at TLS/CFS/THF]],0)</f>
        <v>2</v>
      </c>
      <c r="DY532" s="428">
        <f>IF(WWWW[[#This Row],['# Functional hand washing stations during reporting period]]*100&gt;WWWW[[#This Row],[Total PoP ]],WWWW[[#This Row],[Total PoP ]],WWWW[[#This Row],['# Functional hand washing stations during reporting period]]*100)</f>
        <v>53</v>
      </c>
      <c r="DZ532" s="428" t="str">
        <f>IF(OR(WWWW[[#This Row],['#_students at TLS_CFS]]="",WWWW[[#This Row],['#_students at TLS_CFS]]=0),"No","Yes")</f>
        <v>Yes</v>
      </c>
      <c r="EA53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3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53</v>
      </c>
      <c r="ED53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2" s="990">
        <f>VLOOKUP(WWWW[[#This Row],[Site Name]],SiteDB6[[Site Name]:[CCCM Management]],6,FALSE)</f>
        <v>0</v>
      </c>
      <c r="EF532" s="990" t="str">
        <f>VLOOKUP(WWWW[[#This Row],[Site Name]],SiteDB6[[Site Name]:[CCCM Focal Agency]],7,FALSE)</f>
        <v>KMSS-MYT</v>
      </c>
      <c r="EG532" s="990" t="str">
        <f>VLOOKUP(WWWW[[#This Row],[Site Name]],SiteDB6[[Site Name]:[Location Type 1]],9,FALSE)</f>
        <v>Camp</v>
      </c>
      <c r="EH532" s="990" t="str">
        <f>VLOOKUP(WWWW[[#This Row],[Site Name]],SiteDB6[[Site Name]:[Type of Accommodation]],10,FALSE)</f>
        <v>Camp</v>
      </c>
      <c r="EI532" s="990" t="str">
        <f>VLOOKUP(WWWW[[#This Row],[Site Name]],SiteDB6[[Site Name]:[Ethnic or GCA/NGCA]],11,FALSE)</f>
        <v>GCA</v>
      </c>
      <c r="EJ532" s="990">
        <f>VLOOKUP(WWWW[[#This Row],[Site Name]],SiteDB6[[Site Name]:[Lat]],12,FALSE)</f>
        <v>25.522594999999999</v>
      </c>
      <c r="EK532" s="990">
        <f>VLOOKUP(WWWW[[#This Row],[Site Name]],SiteDB6[[Site Name]:[Long]],13,FALSE)</f>
        <v>96.711534</v>
      </c>
      <c r="EL532" s="990" t="str">
        <f>VLOOKUP(WWWW[[#This Row],[Site Name]],SiteDB6[[Site Name]:[Pcode]],3,FALSE)</f>
        <v>MMR001CMP270</v>
      </c>
      <c r="EM532" s="995" t="str">
        <f t="shared" si="11"/>
        <v>Covered</v>
      </c>
      <c r="EN532" s="995"/>
      <c r="EO532" s="990">
        <f>VLOOKUP(WWWW[[#This Row],[Site Name]],SiteDB6[[Site Name]:[Pop
(Kachin/Shan-CCCM as of July 2021)]],16,FALSE)</f>
        <v>14</v>
      </c>
      <c r="EP532" s="990">
        <f>VLOOKUP(WWWW[[#This Row],[Site Name]],SiteDB6[[Site Name]:[Pop
(Kachin/Shan-CCCM as of July 2021)]],17,FALSE)</f>
        <v>52</v>
      </c>
    </row>
    <row r="533" spans="1:146">
      <c r="A533" s="988" t="s">
        <v>2765</v>
      </c>
      <c r="B533" s="988" t="s">
        <v>3073</v>
      </c>
      <c r="C533" s="989" t="s">
        <v>141</v>
      </c>
      <c r="D533" s="989" t="s">
        <v>3166</v>
      </c>
      <c r="E533" s="989" t="s">
        <v>37</v>
      </c>
      <c r="F533" s="989" t="s">
        <v>159</v>
      </c>
      <c r="G533" s="591" t="str">
        <f>VLOOKUP(WWWW[[#This Row],[Site Name]],SiteDB6[[Site Name]:[Location Type]],8,FALSE)</f>
        <v>Camp</v>
      </c>
      <c r="H533" s="989" t="s">
        <v>172</v>
      </c>
      <c r="I533" s="991">
        <v>47</v>
      </c>
      <c r="J533" s="991">
        <v>239</v>
      </c>
      <c r="K533" s="992">
        <v>44682</v>
      </c>
      <c r="L533" s="993">
        <v>45169</v>
      </c>
      <c r="M533" s="991"/>
      <c r="N533" s="991">
        <v>1</v>
      </c>
      <c r="O533" s="991"/>
      <c r="P533" s="991"/>
      <c r="Q533" s="994" t="s">
        <v>41</v>
      </c>
      <c r="R533" s="991">
        <v>2</v>
      </c>
      <c r="S533" s="991">
        <v>3</v>
      </c>
      <c r="T533" s="448">
        <v>2</v>
      </c>
      <c r="U533" s="991"/>
      <c r="V533" s="991"/>
      <c r="W533" s="991">
        <v>1</v>
      </c>
      <c r="X533" s="991"/>
      <c r="Y533" s="991"/>
      <c r="Z533" s="991"/>
      <c r="AA533" s="991"/>
      <c r="AB533" s="991"/>
      <c r="AC533" s="991"/>
      <c r="AD533" s="991"/>
      <c r="AE533" s="991"/>
      <c r="AF533" s="991"/>
      <c r="AG533" s="991"/>
      <c r="AH533" s="991">
        <v>3</v>
      </c>
      <c r="AI533" s="991"/>
      <c r="AJ533" s="991"/>
      <c r="AK533" s="991"/>
      <c r="AL533" s="991"/>
      <c r="AM533" s="991"/>
      <c r="AN533" s="991"/>
      <c r="AO533" s="448"/>
      <c r="AP533" s="995"/>
      <c r="AQ533" s="991">
        <v>13</v>
      </c>
      <c r="AR533" s="991"/>
      <c r="AS533" s="996"/>
      <c r="AT533" s="991"/>
      <c r="AU533" s="991"/>
      <c r="AV533" s="991"/>
      <c r="AW533" s="991"/>
      <c r="AX533" s="991">
        <v>13</v>
      </c>
      <c r="AY533" s="990" t="s">
        <v>41</v>
      </c>
      <c r="AZ533" s="995" t="s">
        <v>137</v>
      </c>
      <c r="BA533" s="991"/>
      <c r="BB533" s="991"/>
      <c r="BC533" s="991"/>
      <c r="BD533" s="448"/>
      <c r="BE533" s="448"/>
      <c r="BF533" s="990"/>
      <c r="BG533" s="991">
        <v>1</v>
      </c>
      <c r="BH533" s="991"/>
      <c r="BI533" s="991"/>
      <c r="BJ533" s="991">
        <v>1</v>
      </c>
      <c r="BK533" s="991"/>
      <c r="BL533" s="991"/>
      <c r="BM533" s="991"/>
      <c r="BN533" s="991"/>
      <c r="BO533" s="991"/>
      <c r="BP533" s="990"/>
      <c r="BQ533" s="997"/>
      <c r="BR533" s="996"/>
      <c r="BS533" s="990"/>
      <c r="BT533" s="423"/>
      <c r="BU533" s="423"/>
      <c r="BV533" s="425"/>
      <c r="BW533" s="423"/>
      <c r="BX533" s="448"/>
      <c r="BY533" s="448"/>
      <c r="BZ533" s="448"/>
      <c r="CA533" s="448"/>
      <c r="CB533" s="448"/>
      <c r="CC533" s="777"/>
      <c r="CD533" s="448"/>
      <c r="CE533" s="998" t="str">
        <f>IFERROR(WWWW[[#This Row],['#_Water sources passed]]/WWWW[[#This Row],['#_Water sources tested for fecal coliform ]],"no test")</f>
        <v>no test</v>
      </c>
      <c r="CF533" s="996" t="str">
        <f>IFERROR(WWWW[[#This Row],['#_Household passed]]/WWWW[[#This Row],['#_Household water samples tested for fecal coliform]],"no test")</f>
        <v>no test</v>
      </c>
      <c r="CG533" s="997" t="str">
        <f>IF(AND(WWWW[[#This Row],[% of water sources passed]]="no test",WWWW[[#This Row],[% Household passed]]="no test"),"No Test","Tested")</f>
        <v>No Test</v>
      </c>
      <c r="CH533" s="997">
        <f>WWWW[[#This Row],['#_Constructed/existing protected hand dug well]]-WWWW[[#This Row],['#_Non-functional protected hand dug well]]</f>
        <v>2</v>
      </c>
      <c r="CI533" s="997">
        <f>(WWWW[[#This Row],['#_Constructed/Existing tube wells/boreholes/handpumps_WASH_agency]]+WWWW[[#This Row],['#_Non-Cluster partner water tube-wells/boreholes/handpumps]])-WWWW[[#This Row],['#_Non-functional tube wells/boreholes/handpumps]]</f>
        <v>1</v>
      </c>
      <c r="CJ533" s="997">
        <f>WWWW[[#This Row],['#_Constructed/Existingwater storage tank with gravity fed reticulation system]]-WWWW[[#This Row],['#_Non-functional storage tank gravity fed reticulation system]]</f>
        <v>0</v>
      </c>
      <c r="CK533" s="997">
        <f>(WWWW[[#This Row],['#_Water_Liters_supplied_by_Water boating or water trucking]]/90)/15</f>
        <v>0</v>
      </c>
      <c r="CL533" s="997">
        <f>WWWW[[#This Row],['#_Water_Liters_from_Constructed/Existing water distribution system from river or natural spring]]/90/15</f>
        <v>0</v>
      </c>
      <c r="CM533" s="424">
        <f>IF(WWWW[[#This Row],['#_of water points in TLS/CFS]]*500&gt;WWWW[[#This Row],[Total PoP ]],WWWW[[#This Row],[Total PoP ]],WWWW[[#This Row],['#_of water points in TLS/CFS]]*500)</f>
        <v>0</v>
      </c>
      <c r="CN533" s="424">
        <f>IF(WWWW[[#This Row],['#_of water points in THF]]*500&gt;WWWW[[#This Row],[Total PoP ]],WWWW[[#This Row],[Total PoP ]],WWWW[[#This Row],['#_of water points in THF]]*500)</f>
        <v>0</v>
      </c>
      <c r="CO53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3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33" s="996">
        <f>IF(WWWW[[#This Row],[Location Type 1]]="Village",WWWW[[#This Row],[Access to safe drinking water for Village]],WWWW[[#This Row],[Access to safe drinking water for Camp]])</f>
        <v>1</v>
      </c>
      <c r="CR533" s="994">
        <f>WWWW[[#This Row],[%Equitable and continuous access to sufficient quantity of safe drinking water]]*WWWW[[#This Row],[Total PoP ]]</f>
        <v>239</v>
      </c>
      <c r="CS533" s="996">
        <f>IF((WWWW[[#This Row],['#_Constructed/Existing protected/fenced ponds]]*250)/WWWW[[#This Row],[Total PoP ]]&gt;1,1,(WWWW[[#This Row],['#_Constructed/Existing protected/fenced ponds]]*250)/WWWW[[#This Row],[Total PoP ]])</f>
        <v>0</v>
      </c>
      <c r="CT533" s="994">
        <f>WWWW[[#This Row],[% Access to unimproved water points]]*WWWW[[#This Row],[Total PoP ]]</f>
        <v>0</v>
      </c>
      <c r="CU53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3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239</v>
      </c>
      <c r="CW533" s="994">
        <f>WWWW[[#This Row],[HRP1]]/500</f>
        <v>0.47799999999999998</v>
      </c>
      <c r="CX533" s="999">
        <f>1-WWWW[[#This Row],[% Equitable and continuous access to sufficient quantity of domestic water]]</f>
        <v>0</v>
      </c>
      <c r="CY533" s="994">
        <f>WWWW[[#This Row],[%equitable and continuous access to sufficient quantity of safe drinking and domestic water''s GAP]]*WWWW[[#This Row],[Total PoP ]]</f>
        <v>0</v>
      </c>
      <c r="CZ533" s="997">
        <f>IF(WWWW[[#This Row],[Total required water points]]-WWWW[[#This Row],['#Water points coverage]]&lt;0,0,WWWW[[#This Row],[Total required water points]]-WWWW[[#This Row],['#Water points coverage]])</f>
        <v>0.52200000000000002</v>
      </c>
      <c r="DA533" s="997">
        <f>ROUND(IF(WWWW[[#This Row],[Total PoP ]]&lt;500,1,WWWW[[#This Row],[Total PoP ]]/500),0)</f>
        <v>1</v>
      </c>
      <c r="DB533" s="997">
        <f>(WWWW[[#This Row],['#_Constructed latrines_by_WASHAgencies]]+WWWW[[#This Row],['#_Non Cluster partner latrines]])-WWWW[[#This Row],['#_Non-functional latrines]]</f>
        <v>13</v>
      </c>
      <c r="DC533" s="631">
        <f>WWWW[[#This Row],[HRP2]]/WWWW[[#This Row],[Total PoP ]]</f>
        <v>1</v>
      </c>
      <c r="DD53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239</v>
      </c>
      <c r="DE53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3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3" s="424">
        <f>IF(WWWW[[#This Row],['# of functional latrines in THF supported by WASH partners during the reporting period2]]="",0,WWWW[[#This Row],['# of functional latrines in THF supported by WASH partners during the reporting period2]]*50)</f>
        <v>0</v>
      </c>
      <c r="DH533" s="997">
        <f>ROUND(IF(WWWW[[#This Row],[Location Type 1]]="camp",WWWW[[#This Row],[Total PoP ]]/20,IF(WWWW[[#This Row],[Location Type 1]]="Temporary Location",WWWW[[#This Row],[Total PoP ]]/50,(WWWW[[#This Row],[Total PoP ]]/6))),0)</f>
        <v>12</v>
      </c>
      <c r="DI533" s="997">
        <f>IF(WWWW[[#This Row],[Total required Latrines]]-(WWWW[[#This Row],['#_Constructed latrines_by_WASHAgencies]]+WWWW[[#This Row],['#_Non Cluster partner latrines]])&lt;0,0,WWWW[[#This Row],[Total required Latrines]]-(WWWW[[#This Row],['#_Constructed latrines_by_WASHAgencies]]+WWWW[[#This Row],['#_Non Cluster partner latrines]]))</f>
        <v>0</v>
      </c>
      <c r="DJ533" s="999">
        <f>1-WWWW[[#This Row],[% people access to functioning Latrine]]</f>
        <v>0</v>
      </c>
      <c r="DK533" s="998">
        <f>IF(OR(WWWW[[#This Row],['#_Non-functional latrines]]="",WWWW[[#This Row],['#_Non-functional latrines]]=0),0,WWWW[[#This Row],['#_Non-functional latrines]]/(WWWW[[#This Row],['#_Constructed latrines_by_WASHAgencies]]+WWWW[[#This Row],['#_Non Cluster partner latrines]]))</f>
        <v>0</v>
      </c>
      <c r="DL533" s="994">
        <f>IF(500*(WWWW[[#This Row],['#_male hygiene promoters]]+WWWW[[#This Row],['#_female hygiene promoters]])&gt;WWWW[[#This Row],[Total PoP ]],WWWW[[#This Row],[Total PoP ]],500*(WWWW[[#This Row],['#_male hygiene promoters]]+WWWW[[#This Row],['#_female hygiene promoters]]))</f>
        <v>0</v>
      </c>
      <c r="DM53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3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33" s="997">
        <f>IF(WWWW[[#This Row],['# People with access to soap]]&gt;WWWW[[#This Row],['# People with access to Sanity Pads]],WWWW[[#This Row],['# People with access to soap]],WWWW[[#This Row],['# People with access to Sanity Pads]])</f>
        <v>0</v>
      </c>
      <c r="DP533"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33" s="999">
        <f>IF(WWWW[[#This Row],[HRP3]]/WWWW[[#This Row],[Total PoP ]]&gt;1,1,WWWW[[#This Row],[HRP3]]/WWWW[[#This Row],[Total PoP ]])</f>
        <v>0</v>
      </c>
      <c r="DR533" s="998">
        <f>1-WWWW[[#This Row],[Hygiene Coverage%]]</f>
        <v>1</v>
      </c>
      <c r="DS533" s="996">
        <f>WWWW[[#This Row],['# people reached by regular dedicated hygiene promotion_5]]/WWWW[[#This Row],[Total PoP ]]</f>
        <v>0</v>
      </c>
      <c r="DT53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3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33" s="997">
        <f>WWWW[[#This Row],['#_Constructed/Existing hand washing stations]]-WWWW[[#This Row],['#_Non-Functional_hand_washing_stations]]</f>
        <v>1</v>
      </c>
      <c r="DW533" s="994">
        <f>IF(WWWW[[#This Row],['# Functional hand washing stations during reporting period]]*20&gt;WWWW[[#This Row],[Total HH]],WWWW[[#This Row],[Total HH]],WWWW[[#This Row],['# Functional hand washing stations during reporting period]]*20)</f>
        <v>20</v>
      </c>
      <c r="DX533" s="994">
        <f>IF(WWWW[[#This Row],[Is sufficient soap available for TLS? (Yes/No)]]="yes",WWWW[[#This Row],['#_Constructed/Existing hand washing stations at TLS/CFS/THF]],0)</f>
        <v>0</v>
      </c>
      <c r="DY533" s="428">
        <f>IF(WWWW[[#This Row],['# Functional hand washing stations during reporting period]]*100&gt;WWWW[[#This Row],[Total PoP ]],WWWW[[#This Row],[Total PoP ]],WWWW[[#This Row],['# Functional hand washing stations during reporting period]]*100)</f>
        <v>100</v>
      </c>
      <c r="DZ533" s="428" t="str">
        <f>IF(OR(WWWW[[#This Row],['#_students at TLS_CFS]]="",WWWW[[#This Row],['#_students at TLS_CFS]]=0),"No","Yes")</f>
        <v>No</v>
      </c>
      <c r="EA53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3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3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3" s="990" t="str">
        <f>VLOOKUP(WWWW[[#This Row],[Site Name]],SiteDB6[[Site Name]:[CCCM Management]],6,FALSE)</f>
        <v>Yes</v>
      </c>
      <c r="EF533" s="990" t="str">
        <f>VLOOKUP(WWWW[[#This Row],[Site Name]],SiteDB6[[Site Name]:[CCCM Focal Agency]],7,FALSE)</f>
        <v>KBC-MYT</v>
      </c>
      <c r="EG533" s="990" t="str">
        <f>VLOOKUP(WWWW[[#This Row],[Site Name]],SiteDB6[[Site Name]:[Location Type 1]],9,FALSE)</f>
        <v>Camp</v>
      </c>
      <c r="EH533" s="990" t="str">
        <f>VLOOKUP(WWWW[[#This Row],[Site Name]],SiteDB6[[Site Name]:[Type of Accommodation]],10,FALSE)</f>
        <v>Camp</v>
      </c>
      <c r="EI533" s="990" t="str">
        <f>VLOOKUP(WWWW[[#This Row],[Site Name]],SiteDB6[[Site Name]:[Ethnic or GCA/NGCA]],11,FALSE)</f>
        <v>GCA</v>
      </c>
      <c r="EJ533" s="990">
        <f>VLOOKUP(WWWW[[#This Row],[Site Name]],SiteDB6[[Site Name]:[Lat]],12,FALSE)</f>
        <v>25.437125999999999</v>
      </c>
      <c r="EK533" s="990">
        <f>VLOOKUP(WWWW[[#This Row],[Site Name]],SiteDB6[[Site Name]:[Long]],13,FALSE)</f>
        <v>97.387276</v>
      </c>
      <c r="EL533" s="990" t="str">
        <f>VLOOKUP(WWWW[[#This Row],[Site Name]],SiteDB6[[Site Name]:[Pcode]],3,FALSE)</f>
        <v>MMR001CMP005</v>
      </c>
      <c r="EM533" s="995" t="str">
        <f t="shared" si="11"/>
        <v>Covered</v>
      </c>
      <c r="EN533" s="995"/>
      <c r="EO533" s="990">
        <f>VLOOKUP(WWWW[[#This Row],[Site Name]],SiteDB6[[Site Name]:[Pop
(Kachin/Shan-CCCM as of July 2021)]],16,FALSE)</f>
        <v>47</v>
      </c>
      <c r="EP533" s="990">
        <f>VLOOKUP(WWWW[[#This Row],[Site Name]],SiteDB6[[Site Name]:[Pop
(Kachin/Shan-CCCM as of July 2021)]],17,FALSE)</f>
        <v>239</v>
      </c>
    </row>
    <row r="534" spans="1:146">
      <c r="A534" s="988" t="s">
        <v>2765</v>
      </c>
      <c r="B534" s="988" t="s">
        <v>309</v>
      </c>
      <c r="C534" s="989" t="s">
        <v>309</v>
      </c>
      <c r="D534" s="989"/>
      <c r="E534" s="989" t="s">
        <v>37</v>
      </c>
      <c r="F534" s="989" t="s">
        <v>184</v>
      </c>
      <c r="G534" s="591" t="str">
        <f>VLOOKUP(WWWW[[#This Row],[Site Name]],SiteDB6[[Site Name]:[Location Type]],8,FALSE)</f>
        <v>Camp</v>
      </c>
      <c r="H534" s="989" t="s">
        <v>2114</v>
      </c>
      <c r="I534" s="991">
        <v>31</v>
      </c>
      <c r="J534" s="991">
        <v>171</v>
      </c>
      <c r="K534" s="992"/>
      <c r="L534" s="993"/>
      <c r="M534" s="991"/>
      <c r="N534" s="991"/>
      <c r="O534" s="991"/>
      <c r="P534" s="991"/>
      <c r="Q534" s="994"/>
      <c r="R534" s="991"/>
      <c r="S534" s="991">
        <v>4</v>
      </c>
      <c r="T534" s="448"/>
      <c r="U534" s="991"/>
      <c r="V534" s="991"/>
      <c r="W534" s="991"/>
      <c r="X534" s="991"/>
      <c r="Y534" s="991"/>
      <c r="Z534" s="991"/>
      <c r="AA534" s="991"/>
      <c r="AB534" s="991"/>
      <c r="AC534" s="991"/>
      <c r="AD534" s="991"/>
      <c r="AE534" s="991"/>
      <c r="AF534" s="991"/>
      <c r="AG534" s="991"/>
      <c r="AH534" s="991"/>
      <c r="AI534" s="991"/>
      <c r="AJ534" s="991"/>
      <c r="AK534" s="991"/>
      <c r="AL534" s="991"/>
      <c r="AM534" s="991"/>
      <c r="AN534" s="991"/>
      <c r="AO534" s="448"/>
      <c r="AP534" s="995"/>
      <c r="AQ534" s="991"/>
      <c r="AR534" s="991"/>
      <c r="AS534" s="996"/>
      <c r="AT534" s="991"/>
      <c r="AU534" s="991"/>
      <c r="AV534" s="991"/>
      <c r="AW534" s="991"/>
      <c r="AX534" s="991"/>
      <c r="AY534" s="990" t="s">
        <v>140</v>
      </c>
      <c r="AZ534" s="995" t="s">
        <v>140</v>
      </c>
      <c r="BA534" s="991"/>
      <c r="BB534" s="991"/>
      <c r="BC534" s="991"/>
      <c r="BD534" s="448"/>
      <c r="BE534" s="448"/>
      <c r="BF534" s="990"/>
      <c r="BG534" s="991">
        <v>1</v>
      </c>
      <c r="BH534" s="991"/>
      <c r="BI534" s="991"/>
      <c r="BJ534" s="991">
        <v>1</v>
      </c>
      <c r="BK534" s="991"/>
      <c r="BL534" s="991"/>
      <c r="BM534" s="991"/>
      <c r="BN534" s="991"/>
      <c r="BO534" s="991"/>
      <c r="BP534" s="990"/>
      <c r="BQ534" s="997"/>
      <c r="BR534" s="996"/>
      <c r="BS534" s="990"/>
      <c r="BT534" s="423"/>
      <c r="BU534" s="423"/>
      <c r="BV534" s="425"/>
      <c r="BW534" s="423"/>
      <c r="BX534" s="448"/>
      <c r="BY534" s="448"/>
      <c r="BZ534" s="448"/>
      <c r="CA534" s="448"/>
      <c r="CB534" s="448"/>
      <c r="CC534" s="777"/>
      <c r="CD534" s="448"/>
      <c r="CE534" s="998" t="str">
        <f>IFERROR(WWWW[[#This Row],['#_Water sources passed]]/WWWW[[#This Row],['#_Water sources tested for fecal coliform ]],"no test")</f>
        <v>no test</v>
      </c>
      <c r="CF534" s="996" t="str">
        <f>IFERROR(WWWW[[#This Row],['#_Household passed]]/WWWW[[#This Row],['#_Household water samples tested for fecal coliform]],"no test")</f>
        <v>no test</v>
      </c>
      <c r="CG534" s="997" t="str">
        <f>IF(AND(WWWW[[#This Row],[% of water sources passed]]="no test",WWWW[[#This Row],[% Household passed]]="no test"),"No Test","Tested")</f>
        <v>No Test</v>
      </c>
      <c r="CH534" s="997">
        <f>WWWW[[#This Row],['#_Constructed/existing protected hand dug well]]-WWWW[[#This Row],['#_Non-functional protected hand dug well]]</f>
        <v>0</v>
      </c>
      <c r="CI534" s="997">
        <f>(WWWW[[#This Row],['#_Constructed/Existing tube wells/boreholes/handpumps_WASH_agency]]+WWWW[[#This Row],['#_Non-Cluster partner water tube-wells/boreholes/handpumps]])-WWWW[[#This Row],['#_Non-functional tube wells/boreholes/handpumps]]</f>
        <v>0</v>
      </c>
      <c r="CJ534" s="997">
        <f>WWWW[[#This Row],['#_Constructed/Existingwater storage tank with gravity fed reticulation system]]-WWWW[[#This Row],['#_Non-functional storage tank gravity fed reticulation system]]</f>
        <v>0</v>
      </c>
      <c r="CK534" s="997">
        <f>(WWWW[[#This Row],['#_Water_Liters_supplied_by_Water boating or water trucking]]/90)/15</f>
        <v>0</v>
      </c>
      <c r="CL534" s="997">
        <f>WWWW[[#This Row],['#_Water_Liters_from_Constructed/Existing water distribution system from river or natural spring]]/90/15</f>
        <v>0</v>
      </c>
      <c r="CM534" s="424">
        <f>IF(WWWW[[#This Row],['#_of water points in TLS/CFS]]*500&gt;WWWW[[#This Row],[Total PoP ]],WWWW[[#This Row],[Total PoP ]],WWWW[[#This Row],['#_of water points in TLS/CFS]]*500)</f>
        <v>0</v>
      </c>
      <c r="CN534" s="424">
        <f>IF(WWWW[[#This Row],['#_of water points in THF]]*500&gt;WWWW[[#This Row],[Total PoP ]],WWWW[[#This Row],[Total PoP ]],WWWW[[#This Row],['#_of water points in THF]]*500)</f>
        <v>0</v>
      </c>
      <c r="CO53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3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34" s="996">
        <f>IF(WWWW[[#This Row],[Location Type 1]]="Village",WWWW[[#This Row],[Access to safe drinking water for Village]],WWWW[[#This Row],[Access to safe drinking water for Camp]])</f>
        <v>0</v>
      </c>
      <c r="CR534" s="994">
        <f>WWWW[[#This Row],[%Equitable and continuous access to sufficient quantity of safe drinking water]]*WWWW[[#This Row],[Total PoP ]]</f>
        <v>0</v>
      </c>
      <c r="CS534" s="996">
        <f>IF((WWWW[[#This Row],['#_Constructed/Existing protected/fenced ponds]]*250)/WWWW[[#This Row],[Total PoP ]]&gt;1,1,(WWWW[[#This Row],['#_Constructed/Existing protected/fenced ponds]]*250)/WWWW[[#This Row],[Total PoP ]])</f>
        <v>0</v>
      </c>
      <c r="CT534" s="994">
        <f>WWWW[[#This Row],[% Access to unimproved water points]]*WWWW[[#This Row],[Total PoP ]]</f>
        <v>0</v>
      </c>
      <c r="CU53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3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34" s="994">
        <f>WWWW[[#This Row],[HRP1]]/500</f>
        <v>0</v>
      </c>
      <c r="CX534" s="999">
        <f>1-WWWW[[#This Row],[% Equitable and continuous access to sufficient quantity of domestic water]]</f>
        <v>1</v>
      </c>
      <c r="CY534" s="994">
        <f>WWWW[[#This Row],[%equitable and continuous access to sufficient quantity of safe drinking and domestic water''s GAP]]*WWWW[[#This Row],[Total PoP ]]</f>
        <v>171</v>
      </c>
      <c r="CZ534" s="997">
        <f>IF(WWWW[[#This Row],[Total required water points]]-WWWW[[#This Row],['#Water points coverage]]&lt;0,0,WWWW[[#This Row],[Total required water points]]-WWWW[[#This Row],['#Water points coverage]])</f>
        <v>1</v>
      </c>
      <c r="DA534" s="997">
        <f>ROUND(IF(WWWW[[#This Row],[Total PoP ]]&lt;500,1,WWWW[[#This Row],[Total PoP ]]/500),0)</f>
        <v>1</v>
      </c>
      <c r="DB534" s="997">
        <f>(WWWW[[#This Row],['#_Constructed latrines_by_WASHAgencies]]+WWWW[[#This Row],['#_Non Cluster partner latrines]])-WWWW[[#This Row],['#_Non-functional latrines]]</f>
        <v>0</v>
      </c>
      <c r="DC534" s="631">
        <f>WWWW[[#This Row],[HRP2]]/WWWW[[#This Row],[Total PoP ]]</f>
        <v>0</v>
      </c>
      <c r="DD53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3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3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4" s="424">
        <f>IF(WWWW[[#This Row],['# of functional latrines in THF supported by WASH partners during the reporting period2]]="",0,WWWW[[#This Row],['# of functional latrines in THF supported by WASH partners during the reporting period2]]*50)</f>
        <v>0</v>
      </c>
      <c r="DH534" s="997">
        <f>ROUND(IF(WWWW[[#This Row],[Location Type 1]]="camp",WWWW[[#This Row],[Total PoP ]]/20,IF(WWWW[[#This Row],[Location Type 1]]="Temporary Location",WWWW[[#This Row],[Total PoP ]]/50,(WWWW[[#This Row],[Total PoP ]]/6))),0)</f>
        <v>9</v>
      </c>
      <c r="DI534" s="997">
        <f>IF(WWWW[[#This Row],[Total required Latrines]]-(WWWW[[#This Row],['#_Constructed latrines_by_WASHAgencies]]+WWWW[[#This Row],['#_Non Cluster partner latrines]])&lt;0,0,WWWW[[#This Row],[Total required Latrines]]-(WWWW[[#This Row],['#_Constructed latrines_by_WASHAgencies]]+WWWW[[#This Row],['#_Non Cluster partner latrines]]))</f>
        <v>9</v>
      </c>
      <c r="DJ534" s="999">
        <f>1-WWWW[[#This Row],[% people access to functioning Latrine]]</f>
        <v>1</v>
      </c>
      <c r="DK534" s="998">
        <f>IF(OR(WWWW[[#This Row],['#_Non-functional latrines]]="",WWWW[[#This Row],['#_Non-functional latrines]]=0),0,WWWW[[#This Row],['#_Non-functional latrines]]/(WWWW[[#This Row],['#_Constructed latrines_by_WASHAgencies]]+WWWW[[#This Row],['#_Non Cluster partner latrines]]))</f>
        <v>0</v>
      </c>
      <c r="DL534" s="994">
        <f>IF(500*(WWWW[[#This Row],['#_male hygiene promoters]]+WWWW[[#This Row],['#_female hygiene promoters]])&gt;WWWW[[#This Row],[Total PoP ]],WWWW[[#This Row],[Total PoP ]],500*(WWWW[[#This Row],['#_male hygiene promoters]]+WWWW[[#This Row],['#_female hygiene promoters]]))</f>
        <v>0</v>
      </c>
      <c r="DM53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3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34" s="997">
        <f>IF(WWWW[[#This Row],['# People with access to soap]]&gt;WWWW[[#This Row],['# People with access to Sanity Pads]],WWWW[[#This Row],['# People with access to soap]],WWWW[[#This Row],['# People with access to Sanity Pads]])</f>
        <v>0</v>
      </c>
      <c r="DP534"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34" s="999">
        <f>IF(WWWW[[#This Row],[HRP3]]/WWWW[[#This Row],[Total PoP ]]&gt;1,1,WWWW[[#This Row],[HRP3]]/WWWW[[#This Row],[Total PoP ]])</f>
        <v>0</v>
      </c>
      <c r="DR534" s="998">
        <f>1-WWWW[[#This Row],[Hygiene Coverage%]]</f>
        <v>1</v>
      </c>
      <c r="DS534" s="996">
        <f>WWWW[[#This Row],['# people reached by regular dedicated hygiene promotion_5]]/WWWW[[#This Row],[Total PoP ]]</f>
        <v>0</v>
      </c>
      <c r="DT53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3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34" s="997">
        <f>WWWW[[#This Row],['#_Constructed/Existing hand washing stations]]-WWWW[[#This Row],['#_Non-Functional_hand_washing_stations]]</f>
        <v>1</v>
      </c>
      <c r="DW534" s="994">
        <f>IF(WWWW[[#This Row],['# Functional hand washing stations during reporting period]]*20&gt;WWWW[[#This Row],[Total HH]],WWWW[[#This Row],[Total HH]],WWWW[[#This Row],['# Functional hand washing stations during reporting period]]*20)</f>
        <v>20</v>
      </c>
      <c r="DX534" s="994">
        <f>IF(WWWW[[#This Row],[Is sufficient soap available for TLS? (Yes/No)]]="yes",WWWW[[#This Row],['#_Constructed/Existing hand washing stations at TLS/CFS/THF]],0)</f>
        <v>0</v>
      </c>
      <c r="DY534" s="428">
        <f>IF(WWWW[[#This Row],['# Functional hand washing stations during reporting period]]*100&gt;WWWW[[#This Row],[Total PoP ]],WWWW[[#This Row],[Total PoP ]],WWWW[[#This Row],['# Functional hand washing stations during reporting period]]*100)</f>
        <v>100</v>
      </c>
      <c r="DZ534" s="428" t="str">
        <f>IF(OR(WWWW[[#This Row],['#_students at TLS_CFS]]="",WWWW[[#This Row],['#_students at TLS_CFS]]=0),"No","Yes")</f>
        <v>No</v>
      </c>
      <c r="EA53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3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3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4" s="990">
        <f>VLOOKUP(WWWW[[#This Row],[Site Name]],SiteDB6[[Site Name]:[CCCM Management]],6,FALSE)</f>
        <v>0</v>
      </c>
      <c r="EF534" s="990" t="str">
        <f>VLOOKUP(WWWW[[#This Row],[Site Name]],SiteDB6[[Site Name]:[CCCM Focal Agency]],7,FALSE)</f>
        <v>uncovered</v>
      </c>
      <c r="EG534" s="990" t="str">
        <f>VLOOKUP(WWWW[[#This Row],[Site Name]],SiteDB6[[Site Name]:[Location Type 1]],9,FALSE)</f>
        <v>Camp</v>
      </c>
      <c r="EH534" s="990" t="str">
        <f>VLOOKUP(WWWW[[#This Row],[Site Name]],SiteDB6[[Site Name]:[Type of Accommodation]],10,FALSE)</f>
        <v>Camp like setting</v>
      </c>
      <c r="EI534" s="990" t="str">
        <f>VLOOKUP(WWWW[[#This Row],[Site Name]],SiteDB6[[Site Name]:[Ethnic or GCA/NGCA]],11,FALSE)</f>
        <v>GCA</v>
      </c>
      <c r="EJ534" s="990">
        <f>VLOOKUP(WWWW[[#This Row],[Site Name]],SiteDB6[[Site Name]:[Lat]],12,FALSE)</f>
        <v>26.299828999999999</v>
      </c>
      <c r="EK534" s="990">
        <f>VLOOKUP(WWWW[[#This Row],[Site Name]],SiteDB6[[Site Name]:[Long]],13,FALSE)</f>
        <v>97.487258999999995</v>
      </c>
      <c r="EL534" s="990" t="str">
        <f>VLOOKUP(WWWW[[#This Row],[Site Name]],SiteDB6[[Site Name]:[Pcode]],3,FALSE)</f>
        <v>MMR001CMP272</v>
      </c>
      <c r="EM534" s="995" t="str">
        <f t="shared" si="11"/>
        <v>Notcovered</v>
      </c>
      <c r="EN534" s="995"/>
      <c r="EO534" s="990">
        <f>VLOOKUP(WWWW[[#This Row],[Site Name]],SiteDB6[[Site Name]:[Pop
(Kachin/Shan-CCCM as of July 2021)]],16,FALSE)</f>
        <v>31</v>
      </c>
      <c r="EP534" s="990">
        <f>VLOOKUP(WWWW[[#This Row],[Site Name]],SiteDB6[[Site Name]:[Pop
(Kachin/Shan-CCCM as of July 2021)]],17,FALSE)</f>
        <v>171</v>
      </c>
    </row>
    <row r="535" spans="1:146">
      <c r="A535" s="988" t="s">
        <v>2765</v>
      </c>
      <c r="B535" s="988" t="s">
        <v>2809</v>
      </c>
      <c r="C535" s="989" t="s">
        <v>141</v>
      </c>
      <c r="D535" s="989" t="s">
        <v>3160</v>
      </c>
      <c r="E535" s="989" t="s">
        <v>37</v>
      </c>
      <c r="F535" s="989" t="s">
        <v>214</v>
      </c>
      <c r="G535" s="591" t="str">
        <f>VLOOKUP(WWWW[[#This Row],[Site Name]],SiteDB6[[Site Name]:[Location Type]],8,FALSE)</f>
        <v>Camp</v>
      </c>
      <c r="H535" s="989" t="s">
        <v>1590</v>
      </c>
      <c r="I535" s="991">
        <v>386</v>
      </c>
      <c r="J535" s="991">
        <v>1397</v>
      </c>
      <c r="K535" s="992">
        <v>44501</v>
      </c>
      <c r="L535" s="993">
        <v>44865</v>
      </c>
      <c r="M535" s="991"/>
      <c r="N535" s="991"/>
      <c r="O535" s="991"/>
      <c r="P535" s="991"/>
      <c r="Q535" s="994"/>
      <c r="R535" s="991">
        <v>19</v>
      </c>
      <c r="S535" s="991">
        <v>55</v>
      </c>
      <c r="T535" s="448">
        <v>13</v>
      </c>
      <c r="U535" s="991"/>
      <c r="V535" s="991"/>
      <c r="W535" s="991">
        <v>1</v>
      </c>
      <c r="X535" s="991"/>
      <c r="Y535" s="991"/>
      <c r="Z535" s="991"/>
      <c r="AA535" s="991"/>
      <c r="AB535" s="991"/>
      <c r="AC535" s="991"/>
      <c r="AD535" s="991"/>
      <c r="AE535" s="991"/>
      <c r="AF535" s="991"/>
      <c r="AG535" s="991"/>
      <c r="AH535" s="991"/>
      <c r="AI535" s="991"/>
      <c r="AJ535" s="991"/>
      <c r="AK535" s="991"/>
      <c r="AL535" s="991"/>
      <c r="AM535" s="991"/>
      <c r="AN535" s="991"/>
      <c r="AO535" s="448"/>
      <c r="AP535" s="995"/>
      <c r="AQ535" s="991">
        <v>5</v>
      </c>
      <c r="AR535" s="991"/>
      <c r="AS535" s="996"/>
      <c r="AT535" s="991"/>
      <c r="AU535" s="991"/>
      <c r="AV535" s="991"/>
      <c r="AW535" s="991"/>
      <c r="AX535" s="991"/>
      <c r="AY535" s="990" t="s">
        <v>41</v>
      </c>
      <c r="AZ535" s="995" t="s">
        <v>140</v>
      </c>
      <c r="BA535" s="991"/>
      <c r="BB535" s="991"/>
      <c r="BC535" s="991">
        <v>50</v>
      </c>
      <c r="BD535" s="448"/>
      <c r="BE535" s="448"/>
      <c r="BF535" s="990"/>
      <c r="BG535" s="991">
        <v>1</v>
      </c>
      <c r="BH535" s="991"/>
      <c r="BI535" s="991"/>
      <c r="BJ535" s="991">
        <v>3</v>
      </c>
      <c r="BK535" s="991"/>
      <c r="BL535" s="991"/>
      <c r="BM535" s="991"/>
      <c r="BN535" s="991"/>
      <c r="BO535" s="991"/>
      <c r="BP535" s="990"/>
      <c r="BQ535" s="997"/>
      <c r="BR535" s="996"/>
      <c r="BS535" s="990"/>
      <c r="BT535" s="423"/>
      <c r="BU535" s="423"/>
      <c r="BV535" s="425"/>
      <c r="BW535" s="423"/>
      <c r="BX535" s="448"/>
      <c r="BY535" s="448"/>
      <c r="BZ535" s="448"/>
      <c r="CA535" s="448"/>
      <c r="CB535" s="448"/>
      <c r="CC535" s="777"/>
      <c r="CD535" s="448"/>
      <c r="CE535" s="998" t="str">
        <f>IFERROR(WWWW[[#This Row],['#_Water sources passed]]/WWWW[[#This Row],['#_Water sources tested for fecal coliform ]],"no test")</f>
        <v>no test</v>
      </c>
      <c r="CF535" s="996" t="str">
        <f>IFERROR(WWWW[[#This Row],['#_Household passed]]/WWWW[[#This Row],['#_Household water samples tested for fecal coliform]],"no test")</f>
        <v>no test</v>
      </c>
      <c r="CG535" s="997" t="str">
        <f>IF(AND(WWWW[[#This Row],[% of water sources passed]]="no test",WWWW[[#This Row],[% Household passed]]="no test"),"No Test","Tested")</f>
        <v>No Test</v>
      </c>
      <c r="CH535" s="997">
        <f>WWWW[[#This Row],['#_Constructed/existing protected hand dug well]]-WWWW[[#This Row],['#_Non-functional protected hand dug well]]</f>
        <v>13</v>
      </c>
      <c r="CI535" s="997">
        <f>(WWWW[[#This Row],['#_Constructed/Existing tube wells/boreholes/handpumps_WASH_agency]]+WWWW[[#This Row],['#_Non-Cluster partner water tube-wells/boreholes/handpumps]])-WWWW[[#This Row],['#_Non-functional tube wells/boreholes/handpumps]]</f>
        <v>1</v>
      </c>
      <c r="CJ535" s="997">
        <f>WWWW[[#This Row],['#_Constructed/Existingwater storage tank with gravity fed reticulation system]]-WWWW[[#This Row],['#_Non-functional storage tank gravity fed reticulation system]]</f>
        <v>0</v>
      </c>
      <c r="CK535" s="997">
        <f>(WWWW[[#This Row],['#_Water_Liters_supplied_by_Water boating or water trucking]]/90)/15</f>
        <v>0</v>
      </c>
      <c r="CL535" s="997">
        <f>WWWW[[#This Row],['#_Water_Liters_from_Constructed/Existing water distribution system from river or natural spring]]/90/15</f>
        <v>0</v>
      </c>
      <c r="CM535" s="424">
        <f>IF(WWWW[[#This Row],['#_of water points in TLS/CFS]]*500&gt;WWWW[[#This Row],[Total PoP ]],WWWW[[#This Row],[Total PoP ]],WWWW[[#This Row],['#_of water points in TLS/CFS]]*500)</f>
        <v>0</v>
      </c>
      <c r="CN535" s="424">
        <f>IF(WWWW[[#This Row],['#_of water points in THF]]*500&gt;WWWW[[#This Row],[Total PoP ]],WWWW[[#This Row],[Total PoP ]],WWWW[[#This Row],['#_of water points in THF]]*500)</f>
        <v>0</v>
      </c>
      <c r="CO53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3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35" s="996">
        <f>IF(WWWW[[#This Row],[Location Type 1]]="Village",WWWW[[#This Row],[Access to safe drinking water for Village]],WWWW[[#This Row],[Access to safe drinking water for Camp]])</f>
        <v>1</v>
      </c>
      <c r="CR535" s="994">
        <f>WWWW[[#This Row],[%Equitable and continuous access to sufficient quantity of safe drinking water]]*WWWW[[#This Row],[Total PoP ]]</f>
        <v>1397</v>
      </c>
      <c r="CS535" s="996">
        <f>IF((WWWW[[#This Row],['#_Constructed/Existing protected/fenced ponds]]*250)/WWWW[[#This Row],[Total PoP ]]&gt;1,1,(WWWW[[#This Row],['#_Constructed/Existing protected/fenced ponds]]*250)/WWWW[[#This Row],[Total PoP ]])</f>
        <v>0</v>
      </c>
      <c r="CT535" s="994">
        <f>WWWW[[#This Row],[% Access to unimproved water points]]*WWWW[[#This Row],[Total PoP ]]</f>
        <v>0</v>
      </c>
      <c r="CU53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3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W535" s="994">
        <f>WWWW[[#This Row],[HRP1]]/500</f>
        <v>2.794</v>
      </c>
      <c r="CX535" s="999">
        <f>1-WWWW[[#This Row],[% Equitable and continuous access to sufficient quantity of domestic water]]</f>
        <v>0</v>
      </c>
      <c r="CY535" s="994">
        <f>WWWW[[#This Row],[%equitable and continuous access to sufficient quantity of safe drinking and domestic water''s GAP]]*WWWW[[#This Row],[Total PoP ]]</f>
        <v>0</v>
      </c>
      <c r="CZ535" s="997">
        <f>IF(WWWW[[#This Row],[Total required water points]]-WWWW[[#This Row],['#Water points coverage]]&lt;0,0,WWWW[[#This Row],[Total required water points]]-WWWW[[#This Row],['#Water points coverage]])</f>
        <v>0.20599999999999996</v>
      </c>
      <c r="DA535" s="997">
        <f>ROUND(IF(WWWW[[#This Row],[Total PoP ]]&lt;500,1,WWWW[[#This Row],[Total PoP ]]/500),0)</f>
        <v>3</v>
      </c>
      <c r="DB535" s="997">
        <f>(WWWW[[#This Row],['#_Constructed latrines_by_WASHAgencies]]+WWWW[[#This Row],['#_Non Cluster partner latrines]])-WWWW[[#This Row],['#_Non-functional latrines]]</f>
        <v>5</v>
      </c>
      <c r="DC535" s="631">
        <f>WWWW[[#This Row],[HRP2]]/WWWW[[#This Row],[Total PoP ]]</f>
        <v>7.158196134574088E-2</v>
      </c>
      <c r="DD53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53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3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5" s="424">
        <f>IF(WWWW[[#This Row],['# of functional latrines in THF supported by WASH partners during the reporting period2]]="",0,WWWW[[#This Row],['# of functional latrines in THF supported by WASH partners during the reporting period2]]*50)</f>
        <v>0</v>
      </c>
      <c r="DH535" s="997">
        <f>ROUND(IF(WWWW[[#This Row],[Location Type 1]]="camp",WWWW[[#This Row],[Total PoP ]]/20,IF(WWWW[[#This Row],[Location Type 1]]="Temporary Location",WWWW[[#This Row],[Total PoP ]]/50,(WWWW[[#This Row],[Total PoP ]]/6))),0)</f>
        <v>70</v>
      </c>
      <c r="DI535" s="997">
        <f>IF(WWWW[[#This Row],[Total required Latrines]]-(WWWW[[#This Row],['#_Constructed latrines_by_WASHAgencies]]+WWWW[[#This Row],['#_Non Cluster partner latrines]])&lt;0,0,WWWW[[#This Row],[Total required Latrines]]-(WWWW[[#This Row],['#_Constructed latrines_by_WASHAgencies]]+WWWW[[#This Row],['#_Non Cluster partner latrines]]))</f>
        <v>65</v>
      </c>
      <c r="DJ535" s="999">
        <f>1-WWWW[[#This Row],[% people access to functioning Latrine]]</f>
        <v>0.92841803865425909</v>
      </c>
      <c r="DK535" s="998">
        <f>IF(OR(WWWW[[#This Row],['#_Non-functional latrines]]="",WWWW[[#This Row],['#_Non-functional latrines]]=0),0,WWWW[[#This Row],['#_Non-functional latrines]]/(WWWW[[#This Row],['#_Constructed latrines_by_WASHAgencies]]+WWWW[[#This Row],['#_Non Cluster partner latrines]]))</f>
        <v>0</v>
      </c>
      <c r="DL535" s="994">
        <f>IF(500*(WWWW[[#This Row],['#_male hygiene promoters]]+WWWW[[#This Row],['#_female hygiene promoters]])&gt;WWWW[[#This Row],[Total PoP ]],WWWW[[#This Row],[Total PoP ]],500*(WWWW[[#This Row],['#_male hygiene promoters]]+WWWW[[#This Row],['#_female hygiene promoters]]))</f>
        <v>0</v>
      </c>
      <c r="DM53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3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35" s="997">
        <f>IF(WWWW[[#This Row],['# People with access to soap]]&gt;WWWW[[#This Row],['# People with access to Sanity Pads]],WWWW[[#This Row],['# People with access to soap]],WWWW[[#This Row],['# People with access to Sanity Pads]])</f>
        <v>0</v>
      </c>
      <c r="DP535"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35" s="999">
        <f>IF(WWWW[[#This Row],[HRP3]]/WWWW[[#This Row],[Total PoP ]]&gt;1,1,WWWW[[#This Row],[HRP3]]/WWWW[[#This Row],[Total PoP ]])</f>
        <v>0</v>
      </c>
      <c r="DR535" s="998">
        <f>1-WWWW[[#This Row],[Hygiene Coverage%]]</f>
        <v>1</v>
      </c>
      <c r="DS535" s="996">
        <f>WWWW[[#This Row],['# people reached by regular dedicated hygiene promotion_5]]/WWWW[[#This Row],[Total PoP ]]</f>
        <v>0</v>
      </c>
      <c r="DT53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3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35" s="997">
        <f>WWWW[[#This Row],['#_Constructed/Existing hand washing stations]]-WWWW[[#This Row],['#_Non-Functional_hand_washing_stations]]</f>
        <v>1</v>
      </c>
      <c r="DW535" s="994">
        <f>IF(WWWW[[#This Row],['# Functional hand washing stations during reporting period]]*20&gt;WWWW[[#This Row],[Total HH]],WWWW[[#This Row],[Total HH]],WWWW[[#This Row],['# Functional hand washing stations during reporting period]]*20)</f>
        <v>20</v>
      </c>
      <c r="DX535" s="994">
        <f>IF(WWWW[[#This Row],[Is sufficient soap available for TLS? (Yes/No)]]="yes",WWWW[[#This Row],['#_Constructed/Existing hand washing stations at TLS/CFS/THF]],0)</f>
        <v>0</v>
      </c>
      <c r="DY535" s="428">
        <f>IF(WWWW[[#This Row],['# Functional hand washing stations during reporting period]]*100&gt;WWWW[[#This Row],[Total PoP ]],WWWW[[#This Row],[Total PoP ]],WWWW[[#This Row],['# Functional hand washing stations during reporting period]]*100)</f>
        <v>100</v>
      </c>
      <c r="DZ535" s="428" t="str">
        <f>IF(OR(WWWW[[#This Row],['#_students at TLS_CFS]]="",WWWW[[#This Row],['#_students at TLS_CFS]]=0),"No","Yes")</f>
        <v>No</v>
      </c>
      <c r="EA53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3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3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5" s="990">
        <f>VLOOKUP(WWWW[[#This Row],[Site Name]],SiteDB6[[Site Name]:[CCCM Management]],6,FALSE)</f>
        <v>0</v>
      </c>
      <c r="EF535" s="990" t="str">
        <f>VLOOKUP(WWWW[[#This Row],[Site Name]],SiteDB6[[Site Name]:[CCCM Focal Agency]],7,FALSE)</f>
        <v>uncovered</v>
      </c>
      <c r="EG535" s="990" t="str">
        <f>VLOOKUP(WWWW[[#This Row],[Site Name]],SiteDB6[[Site Name]:[Location Type 1]],9,FALSE)</f>
        <v>Camp</v>
      </c>
      <c r="EH535" s="990" t="str">
        <f>VLOOKUP(WWWW[[#This Row],[Site Name]],SiteDB6[[Site Name]:[Type of Accommodation]],10,FALSE)</f>
        <v>Camp like setting</v>
      </c>
      <c r="EI535" s="990" t="str">
        <f>VLOOKUP(WWWW[[#This Row],[Site Name]],SiteDB6[[Site Name]:[Ethnic or GCA/NGCA]],11,FALSE)</f>
        <v>NGCA</v>
      </c>
      <c r="EJ535" s="990">
        <f>VLOOKUP(WWWW[[#This Row],[Site Name]],SiteDB6[[Site Name]:[Lat]],12,FALSE)</f>
        <v>24.590350000000001</v>
      </c>
      <c r="EK535" s="990">
        <f>VLOOKUP(WWWW[[#This Row],[Site Name]],SiteDB6[[Site Name]:[Long]],13,FALSE)</f>
        <v>96.95626</v>
      </c>
      <c r="EL535" s="990" t="str">
        <f>VLOOKUP(WWWW[[#This Row],[Site Name]],SiteDB6[[Site Name]:[Pcode]],3,FALSE)</f>
        <v>MMR001CMP273</v>
      </c>
      <c r="EM535" s="995" t="str">
        <f t="shared" si="11"/>
        <v>Covered</v>
      </c>
      <c r="EN535" s="995"/>
      <c r="EO535" s="990">
        <f>VLOOKUP(WWWW[[#This Row],[Site Name]],SiteDB6[[Site Name]:[Pop
(Kachin/Shan-CCCM as of July 2021)]],16,FALSE)</f>
        <v>318</v>
      </c>
      <c r="EP535" s="990">
        <f>VLOOKUP(WWWW[[#This Row],[Site Name]],SiteDB6[[Site Name]:[Pop
(Kachin/Shan-CCCM as of July 2021)]],17,FALSE)</f>
        <v>1329</v>
      </c>
    </row>
    <row r="536" spans="1:146">
      <c r="A536" s="988" t="s">
        <v>2765</v>
      </c>
      <c r="B536" s="988" t="s">
        <v>3082</v>
      </c>
      <c r="C536" s="989" t="s">
        <v>141</v>
      </c>
      <c r="D536" s="989" t="s">
        <v>3166</v>
      </c>
      <c r="E536" s="989" t="s">
        <v>37</v>
      </c>
      <c r="F536" s="989" t="s">
        <v>159</v>
      </c>
      <c r="G536" s="591" t="str">
        <f>VLOOKUP(WWWW[[#This Row],[Site Name]],SiteDB6[[Site Name]:[Location Type]],8,FALSE)</f>
        <v>Camp</v>
      </c>
      <c r="H536" s="989" t="s">
        <v>1614</v>
      </c>
      <c r="I536" s="991">
        <v>197</v>
      </c>
      <c r="J536" s="991">
        <v>975</v>
      </c>
      <c r="K536" s="992">
        <v>44682</v>
      </c>
      <c r="L536" s="993">
        <v>45169</v>
      </c>
      <c r="M536" s="991"/>
      <c r="N536" s="991">
        <v>2</v>
      </c>
      <c r="O536" s="991"/>
      <c r="P536" s="991"/>
      <c r="Q536" s="994" t="s">
        <v>41</v>
      </c>
      <c r="R536" s="991">
        <v>2</v>
      </c>
      <c r="S536" s="991">
        <v>3</v>
      </c>
      <c r="T536" s="448">
        <v>2</v>
      </c>
      <c r="U536" s="991"/>
      <c r="V536" s="991"/>
      <c r="W536" s="991">
        <v>3</v>
      </c>
      <c r="X536" s="991"/>
      <c r="Y536" s="991"/>
      <c r="Z536" s="991"/>
      <c r="AA536" s="991"/>
      <c r="AB536" s="991"/>
      <c r="AC536" s="991"/>
      <c r="AD536" s="991"/>
      <c r="AE536" s="991"/>
      <c r="AF536" s="991"/>
      <c r="AG536" s="991"/>
      <c r="AH536" s="991">
        <v>4</v>
      </c>
      <c r="AI536" s="991"/>
      <c r="AJ536" s="991"/>
      <c r="AK536" s="991"/>
      <c r="AL536" s="991"/>
      <c r="AM536" s="991"/>
      <c r="AN536" s="991"/>
      <c r="AO536" s="448"/>
      <c r="AP536" s="995"/>
      <c r="AQ536" s="991">
        <v>28</v>
      </c>
      <c r="AR536" s="991"/>
      <c r="AS536" s="996"/>
      <c r="AT536" s="991"/>
      <c r="AU536" s="991"/>
      <c r="AV536" s="991"/>
      <c r="AW536" s="991"/>
      <c r="AX536" s="991">
        <v>10</v>
      </c>
      <c r="AY536" s="990" t="s">
        <v>41</v>
      </c>
      <c r="AZ536" s="995" t="s">
        <v>137</v>
      </c>
      <c r="BA536" s="991"/>
      <c r="BB536" s="991"/>
      <c r="BC536" s="991"/>
      <c r="BD536" s="448"/>
      <c r="BE536" s="448"/>
      <c r="BF536" s="990"/>
      <c r="BG536" s="991">
        <v>3</v>
      </c>
      <c r="BH536" s="991"/>
      <c r="BI536" s="991"/>
      <c r="BJ536" s="991">
        <v>2</v>
      </c>
      <c r="BK536" s="991"/>
      <c r="BL536" s="991">
        <v>1</v>
      </c>
      <c r="BM536" s="991"/>
      <c r="BN536" s="991"/>
      <c r="BO536" s="991"/>
      <c r="BP536" s="990"/>
      <c r="BQ536" s="997"/>
      <c r="BR536" s="996"/>
      <c r="BS536" s="990"/>
      <c r="BT536" s="423"/>
      <c r="BU536" s="423"/>
      <c r="BV536" s="425"/>
      <c r="BW536" s="423"/>
      <c r="BX536" s="448"/>
      <c r="BY536" s="448"/>
      <c r="BZ536" s="448"/>
      <c r="CA536" s="448"/>
      <c r="CB536" s="448"/>
      <c r="CC536" s="777"/>
      <c r="CD536" s="448"/>
      <c r="CE536" s="998" t="str">
        <f>IFERROR(WWWW[[#This Row],['#_Water sources passed]]/WWWW[[#This Row],['#_Water sources tested for fecal coliform ]],"no test")</f>
        <v>no test</v>
      </c>
      <c r="CF536" s="996" t="str">
        <f>IFERROR(WWWW[[#This Row],['#_Household passed]]/WWWW[[#This Row],['#_Household water samples tested for fecal coliform]],"no test")</f>
        <v>no test</v>
      </c>
      <c r="CG536" s="997" t="str">
        <f>IF(AND(WWWW[[#This Row],[% of water sources passed]]="no test",WWWW[[#This Row],[% Household passed]]="no test"),"No Test","Tested")</f>
        <v>No Test</v>
      </c>
      <c r="CH536" s="997">
        <f>WWWW[[#This Row],['#_Constructed/existing protected hand dug well]]-WWWW[[#This Row],['#_Non-functional protected hand dug well]]</f>
        <v>2</v>
      </c>
      <c r="CI536" s="997">
        <f>(WWWW[[#This Row],['#_Constructed/Existing tube wells/boreholes/handpumps_WASH_agency]]+WWWW[[#This Row],['#_Non-Cluster partner water tube-wells/boreholes/handpumps]])-WWWW[[#This Row],['#_Non-functional tube wells/boreholes/handpumps]]</f>
        <v>3</v>
      </c>
      <c r="CJ536" s="997">
        <f>WWWW[[#This Row],['#_Constructed/Existingwater storage tank with gravity fed reticulation system]]-WWWW[[#This Row],['#_Non-functional storage tank gravity fed reticulation system]]</f>
        <v>0</v>
      </c>
      <c r="CK536" s="997">
        <f>(WWWW[[#This Row],['#_Water_Liters_supplied_by_Water boating or water trucking]]/90)/15</f>
        <v>0</v>
      </c>
      <c r="CL536" s="997">
        <f>WWWW[[#This Row],['#_Water_Liters_from_Constructed/Existing water distribution system from river or natural spring]]/90/15</f>
        <v>0</v>
      </c>
      <c r="CM536" s="424">
        <f>IF(WWWW[[#This Row],['#_of water points in TLS/CFS]]*500&gt;WWWW[[#This Row],[Total PoP ]],WWWW[[#This Row],[Total PoP ]],WWWW[[#This Row],['#_of water points in TLS/CFS]]*500)</f>
        <v>0</v>
      </c>
      <c r="CN536" s="424">
        <f>IF(WWWW[[#This Row],['#_of water points in THF]]*500&gt;WWWW[[#This Row],[Total PoP ]],WWWW[[#This Row],[Total PoP ]],WWWW[[#This Row],['#_of water points in THF]]*500)</f>
        <v>0</v>
      </c>
      <c r="CO536"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36"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36" s="996">
        <f>IF(WWWW[[#This Row],[Location Type 1]]="Village",WWWW[[#This Row],[Access to safe drinking water for Village]],WWWW[[#This Row],[Access to safe drinking water for Camp]])</f>
        <v>1</v>
      </c>
      <c r="CR536" s="994">
        <f>WWWW[[#This Row],[%Equitable and continuous access to sufficient quantity of safe drinking water]]*WWWW[[#This Row],[Total PoP ]]</f>
        <v>975</v>
      </c>
      <c r="CS536" s="996">
        <f>IF((WWWW[[#This Row],['#_Constructed/Existing protected/fenced ponds]]*250)/WWWW[[#This Row],[Total PoP ]]&gt;1,1,(WWWW[[#This Row],['#_Constructed/Existing protected/fenced ponds]]*250)/WWWW[[#This Row],[Total PoP ]])</f>
        <v>0</v>
      </c>
      <c r="CT536" s="994">
        <f>WWWW[[#This Row],[% Access to unimproved water points]]*WWWW[[#This Row],[Total PoP ]]</f>
        <v>0</v>
      </c>
      <c r="CU536"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36"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975</v>
      </c>
      <c r="CW536" s="994">
        <f>WWWW[[#This Row],[HRP1]]/500</f>
        <v>1.95</v>
      </c>
      <c r="CX536" s="999">
        <f>1-WWWW[[#This Row],[% Equitable and continuous access to sufficient quantity of domestic water]]</f>
        <v>0</v>
      </c>
      <c r="CY536" s="994">
        <f>WWWW[[#This Row],[%equitable and continuous access to sufficient quantity of safe drinking and domestic water''s GAP]]*WWWW[[#This Row],[Total PoP ]]</f>
        <v>0</v>
      </c>
      <c r="CZ536" s="997">
        <f>IF(WWWW[[#This Row],[Total required water points]]-WWWW[[#This Row],['#Water points coverage]]&lt;0,0,WWWW[[#This Row],[Total required water points]]-WWWW[[#This Row],['#Water points coverage]])</f>
        <v>5.0000000000000044E-2</v>
      </c>
      <c r="DA536" s="997">
        <f>ROUND(IF(WWWW[[#This Row],[Total PoP ]]&lt;500,1,WWWW[[#This Row],[Total PoP ]]/500),0)</f>
        <v>2</v>
      </c>
      <c r="DB536" s="997">
        <f>(WWWW[[#This Row],['#_Constructed latrines_by_WASHAgencies]]+WWWW[[#This Row],['#_Non Cluster partner latrines]])-WWWW[[#This Row],['#_Non-functional latrines]]</f>
        <v>28</v>
      </c>
      <c r="DC536" s="631">
        <f>WWWW[[#This Row],[HRP2]]/WWWW[[#This Row],[Total PoP ]]</f>
        <v>0.57435897435897432</v>
      </c>
      <c r="DD536"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DE536"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36"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6" s="424">
        <f>IF(WWWW[[#This Row],['# of functional latrines in THF supported by WASH partners during the reporting period2]]="",0,WWWW[[#This Row],['# of functional latrines in THF supported by WASH partners during the reporting period2]]*50)</f>
        <v>0</v>
      </c>
      <c r="DH536" s="997">
        <f>ROUND(IF(WWWW[[#This Row],[Location Type 1]]="camp",WWWW[[#This Row],[Total PoP ]]/20,IF(WWWW[[#This Row],[Location Type 1]]="Temporary Location",WWWW[[#This Row],[Total PoP ]]/50,(WWWW[[#This Row],[Total PoP ]]/6))),0)</f>
        <v>49</v>
      </c>
      <c r="DI536" s="997">
        <f>IF(WWWW[[#This Row],[Total required Latrines]]-(WWWW[[#This Row],['#_Constructed latrines_by_WASHAgencies]]+WWWW[[#This Row],['#_Non Cluster partner latrines]])&lt;0,0,WWWW[[#This Row],[Total required Latrines]]-(WWWW[[#This Row],['#_Constructed latrines_by_WASHAgencies]]+WWWW[[#This Row],['#_Non Cluster partner latrines]]))</f>
        <v>21</v>
      </c>
      <c r="DJ536" s="999">
        <f>1-WWWW[[#This Row],[% people access to functioning Latrine]]</f>
        <v>0.42564102564102568</v>
      </c>
      <c r="DK536" s="998">
        <f>IF(OR(WWWW[[#This Row],['#_Non-functional latrines]]="",WWWW[[#This Row],['#_Non-functional latrines]]=0),0,WWWW[[#This Row],['#_Non-functional latrines]]/(WWWW[[#This Row],['#_Constructed latrines_by_WASHAgencies]]+WWWW[[#This Row],['#_Non Cluster partner latrines]]))</f>
        <v>0</v>
      </c>
      <c r="DL536" s="994">
        <f>IF(500*(WWWW[[#This Row],['#_male hygiene promoters]]+WWWW[[#This Row],['#_female hygiene promoters]])&gt;WWWW[[#This Row],[Total PoP ]],WWWW[[#This Row],[Total PoP ]],500*(WWWW[[#This Row],['#_male hygiene promoters]]+WWWW[[#This Row],['#_female hygiene promoters]]))</f>
        <v>500</v>
      </c>
      <c r="DM536"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36"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36" s="997">
        <f>IF(WWWW[[#This Row],['# People with access to soap]]&gt;WWWW[[#This Row],['# People with access to Sanity Pads]],WWWW[[#This Row],['# People with access to soap]],WWWW[[#This Row],['# People with access to Sanity Pads]])</f>
        <v>0</v>
      </c>
      <c r="DP536" s="99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536" s="999">
        <f>IF(WWWW[[#This Row],[HRP3]]/WWWW[[#This Row],[Total PoP ]]&gt;1,1,WWWW[[#This Row],[HRP3]]/WWWW[[#This Row],[Total PoP ]])</f>
        <v>0.51282051282051277</v>
      </c>
      <c r="DR536" s="998">
        <f>1-WWWW[[#This Row],[Hygiene Coverage%]]</f>
        <v>0.48717948717948723</v>
      </c>
      <c r="DS536" s="996">
        <f>WWWW[[#This Row],['# people reached by regular dedicated hygiene promotion_5]]/WWWW[[#This Row],[Total PoP ]]</f>
        <v>0.51282051282051277</v>
      </c>
      <c r="DT536"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36"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36" s="997">
        <f>WWWW[[#This Row],['#_Constructed/Existing hand washing stations]]-WWWW[[#This Row],['#_Non-Functional_hand_washing_stations]]</f>
        <v>3</v>
      </c>
      <c r="DW536" s="994">
        <f>IF(WWWW[[#This Row],['# Functional hand washing stations during reporting period]]*20&gt;WWWW[[#This Row],[Total HH]],WWWW[[#This Row],[Total HH]],WWWW[[#This Row],['# Functional hand washing stations during reporting period]]*20)</f>
        <v>60</v>
      </c>
      <c r="DX536" s="994">
        <f>IF(WWWW[[#This Row],[Is sufficient soap available for TLS? (Yes/No)]]="yes",WWWW[[#This Row],['#_Constructed/Existing hand washing stations at TLS/CFS/THF]],0)</f>
        <v>0</v>
      </c>
      <c r="DY536" s="428">
        <f>IF(WWWW[[#This Row],['# Functional hand washing stations during reporting period]]*100&gt;WWWW[[#This Row],[Total PoP ]],WWWW[[#This Row],[Total PoP ]],WWWW[[#This Row],['# Functional hand washing stations during reporting period]]*100)</f>
        <v>300</v>
      </c>
      <c r="DZ536" s="428" t="str">
        <f>IF(OR(WWWW[[#This Row],['#_students at TLS_CFS]]="",WWWW[[#This Row],['#_students at TLS_CFS]]=0),"No","Yes")</f>
        <v>No</v>
      </c>
      <c r="EA53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3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3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6" s="990" t="str">
        <f>VLOOKUP(WWWW[[#This Row],[Site Name]],SiteDB6[[Site Name]:[CCCM Management]],6,FALSE)</f>
        <v>Yes</v>
      </c>
      <c r="EF536" s="990" t="str">
        <f>VLOOKUP(WWWW[[#This Row],[Site Name]],SiteDB6[[Site Name]:[CCCM Focal Agency]],7,FALSE)</f>
        <v>KBC-MYT</v>
      </c>
      <c r="EG536" s="990" t="str">
        <f>VLOOKUP(WWWW[[#This Row],[Site Name]],SiteDB6[[Site Name]:[Location Type 1]],9,FALSE)</f>
        <v>Camp</v>
      </c>
      <c r="EH536" s="990" t="str">
        <f>VLOOKUP(WWWW[[#This Row],[Site Name]],SiteDB6[[Site Name]:[Type of Accommodation]],10,FALSE)</f>
        <v>Camp</v>
      </c>
      <c r="EI536" s="990" t="str">
        <f>VLOOKUP(WWWW[[#This Row],[Site Name]],SiteDB6[[Site Name]:[Ethnic or GCA/NGCA]],11,FALSE)</f>
        <v>GCA</v>
      </c>
      <c r="EJ536" s="990">
        <f>VLOOKUP(WWWW[[#This Row],[Site Name]],SiteDB6[[Site Name]:[Lat]],12,FALSE)</f>
        <v>25.480989999999998</v>
      </c>
      <c r="EK536" s="990">
        <f>VLOOKUP(WWWW[[#This Row],[Site Name]],SiteDB6[[Site Name]:[Long]],13,FALSE)</f>
        <v>97.431079999999994</v>
      </c>
      <c r="EL536" s="990" t="str">
        <f>VLOOKUP(WWWW[[#This Row],[Site Name]],SiteDB6[[Site Name]:[Pcode]],3,FALSE)</f>
        <v>MMR001CMP263</v>
      </c>
      <c r="EM536" s="995" t="str">
        <f t="shared" si="11"/>
        <v>Covered</v>
      </c>
      <c r="EN536" s="995"/>
      <c r="EO536" s="990">
        <f>VLOOKUP(WWWW[[#This Row],[Site Name]],SiteDB6[[Site Name]:[Pop
(Kachin/Shan-CCCM as of July 2021)]],16,FALSE)</f>
        <v>197</v>
      </c>
      <c r="EP536" s="990">
        <f>VLOOKUP(WWWW[[#This Row],[Site Name]],SiteDB6[[Site Name]:[Pop
(Kachin/Shan-CCCM as of July 2021)]],17,FALSE)</f>
        <v>981</v>
      </c>
    </row>
    <row r="537" spans="1:146">
      <c r="A537" s="988" t="s">
        <v>2765</v>
      </c>
      <c r="B537" s="988" t="s">
        <v>3073</v>
      </c>
      <c r="C537" s="989" t="s">
        <v>141</v>
      </c>
      <c r="D537" s="989" t="s">
        <v>3160</v>
      </c>
      <c r="E537" s="989" t="s">
        <v>37</v>
      </c>
      <c r="F537" s="989" t="s">
        <v>142</v>
      </c>
      <c r="G537" s="591" t="str">
        <f>VLOOKUP(WWWW[[#This Row],[Site Name]],SiteDB6[[Site Name]:[Location Type]],8,FALSE)</f>
        <v>Camp</v>
      </c>
      <c r="H537" s="989" t="s">
        <v>1611</v>
      </c>
      <c r="I537" s="991">
        <v>81</v>
      </c>
      <c r="J537" s="991">
        <v>387</v>
      </c>
      <c r="K537" s="992">
        <v>44682</v>
      </c>
      <c r="L537" s="993">
        <v>45169</v>
      </c>
      <c r="M537" s="991"/>
      <c r="N537" s="991">
        <v>1</v>
      </c>
      <c r="O537" s="991"/>
      <c r="P537" s="991"/>
      <c r="Q537" s="994" t="s">
        <v>41</v>
      </c>
      <c r="R537" s="991">
        <v>2</v>
      </c>
      <c r="S537" s="991">
        <v>2</v>
      </c>
      <c r="T537" s="448">
        <v>2</v>
      </c>
      <c r="U537" s="991"/>
      <c r="V537" s="991"/>
      <c r="W537" s="991">
        <v>1</v>
      </c>
      <c r="X537" s="991"/>
      <c r="Y537" s="991"/>
      <c r="Z537" s="991"/>
      <c r="AA537" s="991"/>
      <c r="AB537" s="991"/>
      <c r="AC537" s="991"/>
      <c r="AD537" s="991"/>
      <c r="AE537" s="991"/>
      <c r="AF537" s="991"/>
      <c r="AG537" s="991"/>
      <c r="AH537" s="991">
        <v>3</v>
      </c>
      <c r="AI537" s="991"/>
      <c r="AJ537" s="991"/>
      <c r="AK537" s="991"/>
      <c r="AL537" s="991"/>
      <c r="AM537" s="991"/>
      <c r="AN537" s="991"/>
      <c r="AO537" s="448"/>
      <c r="AP537" s="995"/>
      <c r="AQ537" s="991">
        <v>8</v>
      </c>
      <c r="AR537" s="991"/>
      <c r="AS537" s="996"/>
      <c r="AT537" s="991"/>
      <c r="AU537" s="991"/>
      <c r="AV537" s="991"/>
      <c r="AW537" s="991"/>
      <c r="AX537" s="991">
        <v>6</v>
      </c>
      <c r="AY537" s="990" t="s">
        <v>41</v>
      </c>
      <c r="AZ537" s="995" t="s">
        <v>137</v>
      </c>
      <c r="BA537" s="991"/>
      <c r="BB537" s="991"/>
      <c r="BC537" s="991"/>
      <c r="BD537" s="448"/>
      <c r="BE537" s="448"/>
      <c r="BF537" s="990"/>
      <c r="BG537" s="991">
        <v>3</v>
      </c>
      <c r="BH537" s="991"/>
      <c r="BI537" s="991"/>
      <c r="BJ537" s="991">
        <v>2</v>
      </c>
      <c r="BK537" s="991"/>
      <c r="BL537" s="991">
        <v>1</v>
      </c>
      <c r="BM537" s="991">
        <v>1</v>
      </c>
      <c r="BN537" s="991"/>
      <c r="BO537" s="991"/>
      <c r="BP537" s="990"/>
      <c r="BQ537" s="997"/>
      <c r="BR537" s="996"/>
      <c r="BS537" s="990"/>
      <c r="BT537" s="423"/>
      <c r="BU537" s="423"/>
      <c r="BV537" s="425"/>
      <c r="BW537" s="423"/>
      <c r="BX537" s="448"/>
      <c r="BY537" s="448"/>
      <c r="BZ537" s="448"/>
      <c r="CA537" s="448"/>
      <c r="CB537" s="448"/>
      <c r="CC537" s="777"/>
      <c r="CD537" s="448"/>
      <c r="CE537" s="998" t="str">
        <f>IFERROR(WWWW[[#This Row],['#_Water sources passed]]/WWWW[[#This Row],['#_Water sources tested for fecal coliform ]],"no test")</f>
        <v>no test</v>
      </c>
      <c r="CF537" s="996" t="str">
        <f>IFERROR(WWWW[[#This Row],['#_Household passed]]/WWWW[[#This Row],['#_Household water samples tested for fecal coliform]],"no test")</f>
        <v>no test</v>
      </c>
      <c r="CG537" s="997" t="str">
        <f>IF(AND(WWWW[[#This Row],[% of water sources passed]]="no test",WWWW[[#This Row],[% Household passed]]="no test"),"No Test","Tested")</f>
        <v>No Test</v>
      </c>
      <c r="CH537" s="997">
        <f>WWWW[[#This Row],['#_Constructed/existing protected hand dug well]]-WWWW[[#This Row],['#_Non-functional protected hand dug well]]</f>
        <v>2</v>
      </c>
      <c r="CI537" s="997">
        <f>(WWWW[[#This Row],['#_Constructed/Existing tube wells/boreholes/handpumps_WASH_agency]]+WWWW[[#This Row],['#_Non-Cluster partner water tube-wells/boreholes/handpumps]])-WWWW[[#This Row],['#_Non-functional tube wells/boreholes/handpumps]]</f>
        <v>1</v>
      </c>
      <c r="CJ537" s="997">
        <f>WWWW[[#This Row],['#_Constructed/Existingwater storage tank with gravity fed reticulation system]]-WWWW[[#This Row],['#_Non-functional storage tank gravity fed reticulation system]]</f>
        <v>0</v>
      </c>
      <c r="CK537" s="997">
        <f>(WWWW[[#This Row],['#_Water_Liters_supplied_by_Water boating or water trucking]]/90)/15</f>
        <v>0</v>
      </c>
      <c r="CL537" s="997">
        <f>WWWW[[#This Row],['#_Water_Liters_from_Constructed/Existing water distribution system from river or natural spring]]/90/15</f>
        <v>0</v>
      </c>
      <c r="CM537" s="424">
        <f>IF(WWWW[[#This Row],['#_of water points in TLS/CFS]]*500&gt;WWWW[[#This Row],[Total PoP ]],WWWW[[#This Row],[Total PoP ]],WWWW[[#This Row],['#_of water points in TLS/CFS]]*500)</f>
        <v>0</v>
      </c>
      <c r="CN537" s="424">
        <f>IF(WWWW[[#This Row],['#_of water points in THF]]*500&gt;WWWW[[#This Row],[Total PoP ]],WWWW[[#This Row],[Total PoP ]],WWWW[[#This Row],['#_of water points in THF]]*500)</f>
        <v>0</v>
      </c>
      <c r="CO537"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37"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37" s="996">
        <f>IF(WWWW[[#This Row],[Location Type 1]]="Village",WWWW[[#This Row],[Access to safe drinking water for Village]],WWWW[[#This Row],[Access to safe drinking water for Camp]])</f>
        <v>1</v>
      </c>
      <c r="CR537" s="994">
        <f>WWWW[[#This Row],[%Equitable and continuous access to sufficient quantity of safe drinking water]]*WWWW[[#This Row],[Total PoP ]]</f>
        <v>387</v>
      </c>
      <c r="CS537" s="996">
        <f>IF((WWWW[[#This Row],['#_Constructed/Existing protected/fenced ponds]]*250)/WWWW[[#This Row],[Total PoP ]]&gt;1,1,(WWWW[[#This Row],['#_Constructed/Existing protected/fenced ponds]]*250)/WWWW[[#This Row],[Total PoP ]])</f>
        <v>0</v>
      </c>
      <c r="CT537" s="994">
        <f>WWWW[[#This Row],[% Access to unimproved water points]]*WWWW[[#This Row],[Total PoP ]]</f>
        <v>0</v>
      </c>
      <c r="CU537"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37"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387</v>
      </c>
      <c r="CW537" s="994">
        <f>WWWW[[#This Row],[HRP1]]/500</f>
        <v>0.77400000000000002</v>
      </c>
      <c r="CX537" s="999">
        <f>1-WWWW[[#This Row],[% Equitable and continuous access to sufficient quantity of domestic water]]</f>
        <v>0</v>
      </c>
      <c r="CY537" s="994">
        <f>WWWW[[#This Row],[%equitable and continuous access to sufficient quantity of safe drinking and domestic water''s GAP]]*WWWW[[#This Row],[Total PoP ]]</f>
        <v>0</v>
      </c>
      <c r="CZ537" s="997">
        <f>IF(WWWW[[#This Row],[Total required water points]]-WWWW[[#This Row],['#Water points coverage]]&lt;0,0,WWWW[[#This Row],[Total required water points]]-WWWW[[#This Row],['#Water points coverage]])</f>
        <v>0.22599999999999998</v>
      </c>
      <c r="DA537" s="997">
        <f>ROUND(IF(WWWW[[#This Row],[Total PoP ]]&lt;500,1,WWWW[[#This Row],[Total PoP ]]/500),0)</f>
        <v>1</v>
      </c>
      <c r="DB537" s="997">
        <f>(WWWW[[#This Row],['#_Constructed latrines_by_WASHAgencies]]+WWWW[[#This Row],['#_Non Cluster partner latrines]])-WWWW[[#This Row],['#_Non-functional latrines]]</f>
        <v>8</v>
      </c>
      <c r="DC537" s="631">
        <f>WWWW[[#This Row],[HRP2]]/WWWW[[#This Row],[Total PoP ]]</f>
        <v>0.41343669250645992</v>
      </c>
      <c r="DD537"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537"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37"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7" s="424">
        <f>IF(WWWW[[#This Row],['# of functional latrines in THF supported by WASH partners during the reporting period2]]="",0,WWWW[[#This Row],['# of functional latrines in THF supported by WASH partners during the reporting period2]]*50)</f>
        <v>0</v>
      </c>
      <c r="DH537" s="997">
        <f>ROUND(IF(WWWW[[#This Row],[Location Type 1]]="camp",WWWW[[#This Row],[Total PoP ]]/20,IF(WWWW[[#This Row],[Location Type 1]]="Temporary Location",WWWW[[#This Row],[Total PoP ]]/50,(WWWW[[#This Row],[Total PoP ]]/6))),0)</f>
        <v>19</v>
      </c>
      <c r="DI537" s="997">
        <f>IF(WWWW[[#This Row],[Total required Latrines]]-(WWWW[[#This Row],['#_Constructed latrines_by_WASHAgencies]]+WWWW[[#This Row],['#_Non Cluster partner latrines]])&lt;0,0,WWWW[[#This Row],[Total required Latrines]]-(WWWW[[#This Row],['#_Constructed latrines_by_WASHAgencies]]+WWWW[[#This Row],['#_Non Cluster partner latrines]]))</f>
        <v>11</v>
      </c>
      <c r="DJ537" s="999">
        <f>1-WWWW[[#This Row],[% people access to functioning Latrine]]</f>
        <v>0.58656330749354013</v>
      </c>
      <c r="DK537" s="998">
        <f>IF(OR(WWWW[[#This Row],['#_Non-functional latrines]]="",WWWW[[#This Row],['#_Non-functional latrines]]=0),0,WWWW[[#This Row],['#_Non-functional latrines]]/(WWWW[[#This Row],['#_Constructed latrines_by_WASHAgencies]]+WWWW[[#This Row],['#_Non Cluster partner latrines]]))</f>
        <v>0</v>
      </c>
      <c r="DL537" s="994">
        <f>IF(500*(WWWW[[#This Row],['#_male hygiene promoters]]+WWWW[[#This Row],['#_female hygiene promoters]])&gt;WWWW[[#This Row],[Total PoP ]],WWWW[[#This Row],[Total PoP ]],500*(WWWW[[#This Row],['#_male hygiene promoters]]+WWWW[[#This Row],['#_female hygiene promoters]]))</f>
        <v>387</v>
      </c>
      <c r="DM537"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37"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37" s="997">
        <f>IF(WWWW[[#This Row],['# People with access to soap]]&gt;WWWW[[#This Row],['# People with access to Sanity Pads]],WWWW[[#This Row],['# People with access to soap]],WWWW[[#This Row],['# People with access to Sanity Pads]])</f>
        <v>0</v>
      </c>
      <c r="DP537" s="997">
        <f>IF(WWWW[[#This Row],['# people reached by regular dedicated hygiene promotion_5]]&gt;WWWW[[#This Row],['# People received regular supply of hygiene items_6]],WWWW[[#This Row],['# people reached by regular dedicated hygiene promotion_5]],WWWW[[#This Row],['# People received regular supply of hygiene items_6]])</f>
        <v>387</v>
      </c>
      <c r="DQ537" s="999">
        <f>IF(WWWW[[#This Row],[HRP3]]/WWWW[[#This Row],[Total PoP ]]&gt;1,1,WWWW[[#This Row],[HRP3]]/WWWW[[#This Row],[Total PoP ]])</f>
        <v>1</v>
      </c>
      <c r="DR537" s="998">
        <f>1-WWWW[[#This Row],[Hygiene Coverage%]]</f>
        <v>0</v>
      </c>
      <c r="DS537" s="996">
        <f>WWWW[[#This Row],['# people reached by regular dedicated hygiene promotion_5]]/WWWW[[#This Row],[Total PoP ]]</f>
        <v>1</v>
      </c>
      <c r="DT537"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37"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37" s="997">
        <f>WWWW[[#This Row],['#_Constructed/Existing hand washing stations]]-WWWW[[#This Row],['#_Non-Functional_hand_washing_stations]]</f>
        <v>3</v>
      </c>
      <c r="DW537" s="994">
        <f>IF(WWWW[[#This Row],['# Functional hand washing stations during reporting period]]*20&gt;WWWW[[#This Row],[Total HH]],WWWW[[#This Row],[Total HH]],WWWW[[#This Row],['# Functional hand washing stations during reporting period]]*20)</f>
        <v>60</v>
      </c>
      <c r="DX537" s="994">
        <f>IF(WWWW[[#This Row],[Is sufficient soap available for TLS? (Yes/No)]]="yes",WWWW[[#This Row],['#_Constructed/Existing hand washing stations at TLS/CFS/THF]],0)</f>
        <v>0</v>
      </c>
      <c r="DY537" s="428">
        <f>IF(WWWW[[#This Row],['# Functional hand washing stations during reporting period]]*100&gt;WWWW[[#This Row],[Total PoP ]],WWWW[[#This Row],[Total PoP ]],WWWW[[#This Row],['# Functional hand washing stations during reporting period]]*100)</f>
        <v>300</v>
      </c>
      <c r="DZ537" s="428" t="str">
        <f>IF(OR(WWWW[[#This Row],['#_students at TLS_CFS]]="",WWWW[[#This Row],['#_students at TLS_CFS]]=0),"No","Yes")</f>
        <v>No</v>
      </c>
      <c r="EA53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3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3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7" s="990" t="str">
        <f>VLOOKUP(WWWW[[#This Row],[Site Name]],SiteDB6[[Site Name]:[CCCM Management]],6,FALSE)</f>
        <v>Yes</v>
      </c>
      <c r="EF537" s="990" t="str">
        <f>VLOOKUP(WWWW[[#This Row],[Site Name]],SiteDB6[[Site Name]:[CCCM Focal Agency]],7,FALSE)</f>
        <v>KBC-MYT</v>
      </c>
      <c r="EG537" s="990" t="str">
        <f>VLOOKUP(WWWW[[#This Row],[Site Name]],SiteDB6[[Site Name]:[Location Type 1]],9,FALSE)</f>
        <v>Camp</v>
      </c>
      <c r="EH537" s="990" t="str">
        <f>VLOOKUP(WWWW[[#This Row],[Site Name]],SiteDB6[[Site Name]:[Type of Accommodation]],10,FALSE)</f>
        <v>Camp</v>
      </c>
      <c r="EI537" s="990" t="str">
        <f>VLOOKUP(WWWW[[#This Row],[Site Name]],SiteDB6[[Site Name]:[Ethnic or GCA/NGCA]],11,FALSE)</f>
        <v>GCA</v>
      </c>
      <c r="EJ537" s="990">
        <f>VLOOKUP(WWWW[[#This Row],[Site Name]],SiteDB6[[Site Name]:[Lat]],12,FALSE)</f>
        <v>25.350989999999999</v>
      </c>
      <c r="EK537" s="990">
        <f>VLOOKUP(WWWW[[#This Row],[Site Name]],SiteDB6[[Site Name]:[Long]],13,FALSE)</f>
        <v>97.442809999999994</v>
      </c>
      <c r="EL537" s="990" t="str">
        <f>VLOOKUP(WWWW[[#This Row],[Site Name]],SiteDB6[[Site Name]:[Pcode]],3,FALSE)</f>
        <v>MMR001CMP269</v>
      </c>
      <c r="EM537" s="995" t="str">
        <f t="shared" si="11"/>
        <v>Covered</v>
      </c>
      <c r="EN537" s="995"/>
      <c r="EO537" s="990">
        <f>VLOOKUP(WWWW[[#This Row],[Site Name]],SiteDB6[[Site Name]:[Pop
(Kachin/Shan-CCCM as of July 2021)]],16,FALSE)</f>
        <v>81</v>
      </c>
      <c r="EP537" s="990">
        <f>VLOOKUP(WWWW[[#This Row],[Site Name]],SiteDB6[[Site Name]:[Pop
(Kachin/Shan-CCCM as of July 2021)]],17,FALSE)</f>
        <v>387</v>
      </c>
    </row>
    <row r="538" spans="1:146">
      <c r="A538" s="988" t="s">
        <v>2765</v>
      </c>
      <c r="B538" s="988" t="s">
        <v>2675</v>
      </c>
      <c r="C538" s="989" t="s">
        <v>2675</v>
      </c>
      <c r="D538" s="989" t="s">
        <v>2719</v>
      </c>
      <c r="E538" s="989" t="s">
        <v>37</v>
      </c>
      <c r="F538" s="989" t="s">
        <v>587</v>
      </c>
      <c r="G538" s="591" t="str">
        <f>VLOOKUP(WWWW[[#This Row],[Site Name]],SiteDB6[[Site Name]:[Location Type]],8,FALSE)</f>
        <v>Camp</v>
      </c>
      <c r="H538" s="989" t="s">
        <v>2693</v>
      </c>
      <c r="I538" s="991">
        <v>126</v>
      </c>
      <c r="J538" s="991">
        <v>591</v>
      </c>
      <c r="K538" s="992">
        <v>44562</v>
      </c>
      <c r="L538" s="993">
        <v>44926</v>
      </c>
      <c r="M538" s="991"/>
      <c r="N538" s="991"/>
      <c r="O538" s="991"/>
      <c r="P538" s="991"/>
      <c r="Q538" s="994" t="s">
        <v>41</v>
      </c>
      <c r="R538" s="991">
        <v>4</v>
      </c>
      <c r="S538" s="991">
        <v>3</v>
      </c>
      <c r="T538" s="448">
        <v>1</v>
      </c>
      <c r="U538" s="991"/>
      <c r="V538" s="991"/>
      <c r="W538" s="991">
        <v>2</v>
      </c>
      <c r="X538" s="991"/>
      <c r="Y538" s="991"/>
      <c r="Z538" s="991"/>
      <c r="AA538" s="991"/>
      <c r="AB538" s="991">
        <v>1</v>
      </c>
      <c r="AC538" s="991"/>
      <c r="AD538" s="991"/>
      <c r="AE538" s="991"/>
      <c r="AF538" s="991"/>
      <c r="AG538" s="991"/>
      <c r="AH538" s="991"/>
      <c r="AI538" s="991">
        <v>2</v>
      </c>
      <c r="AJ538" s="991">
        <v>1</v>
      </c>
      <c r="AK538" s="991">
        <v>38</v>
      </c>
      <c r="AL538" s="991">
        <v>23</v>
      </c>
      <c r="AM538" s="991"/>
      <c r="AN538" s="991"/>
      <c r="AO538" s="448"/>
      <c r="AP538" s="995" t="s">
        <v>3168</v>
      </c>
      <c r="AQ538" s="991">
        <v>48</v>
      </c>
      <c r="AR538" s="991">
        <v>12</v>
      </c>
      <c r="AS538" s="996"/>
      <c r="AT538" s="991"/>
      <c r="AU538" s="991"/>
      <c r="AV538" s="991"/>
      <c r="AW538" s="991"/>
      <c r="AX538" s="991"/>
      <c r="AY538" s="990" t="s">
        <v>41</v>
      </c>
      <c r="AZ538" s="995" t="s">
        <v>137</v>
      </c>
      <c r="BA538" s="991"/>
      <c r="BB538" s="991"/>
      <c r="BC538" s="991"/>
      <c r="BD538" s="448"/>
      <c r="BE538" s="448"/>
      <c r="BF538" s="990"/>
      <c r="BG538" s="991">
        <v>60</v>
      </c>
      <c r="BH538" s="991"/>
      <c r="BI538" s="991">
        <v>108</v>
      </c>
      <c r="BJ538" s="991">
        <v>1</v>
      </c>
      <c r="BK538" s="991"/>
      <c r="BL538" s="991">
        <v>1</v>
      </c>
      <c r="BM538" s="991">
        <v>1</v>
      </c>
      <c r="BN538" s="991"/>
      <c r="BO538" s="991"/>
      <c r="BP538" s="990" t="s">
        <v>136</v>
      </c>
      <c r="BQ538" s="997"/>
      <c r="BR538" s="996"/>
      <c r="BS538" s="990"/>
      <c r="BT538" s="423"/>
      <c r="BU538" s="423"/>
      <c r="BV538" s="425"/>
      <c r="BW538" s="423"/>
      <c r="BX538" s="448"/>
      <c r="BY538" s="448"/>
      <c r="BZ538" s="448"/>
      <c r="CA538" s="448"/>
      <c r="CB538" s="448"/>
      <c r="CC538" s="777"/>
      <c r="CD538" s="448"/>
      <c r="CE538" s="998">
        <f>IFERROR(WWWW[[#This Row],['#_Water sources passed]]/WWWW[[#This Row],['#_Water sources tested for fecal coliform ]],"no test")</f>
        <v>0.5</v>
      </c>
      <c r="CF538" s="996">
        <f>IFERROR(WWWW[[#This Row],['#_Household passed]]/WWWW[[#This Row],['#_Household water samples tested for fecal coliform]],"no test")</f>
        <v>0.60526315789473684</v>
      </c>
      <c r="CG538" s="997" t="str">
        <f>IF(AND(WWWW[[#This Row],[% of water sources passed]]="no test",WWWW[[#This Row],[% Household passed]]="no test"),"No Test","Tested")</f>
        <v>Tested</v>
      </c>
      <c r="CH538" s="997">
        <f>WWWW[[#This Row],['#_Constructed/existing protected hand dug well]]-WWWW[[#This Row],['#_Non-functional protected hand dug well]]</f>
        <v>1</v>
      </c>
      <c r="CI538" s="997">
        <f>(WWWW[[#This Row],['#_Constructed/Existing tube wells/boreholes/handpumps_WASH_agency]]+WWWW[[#This Row],['#_Non-Cluster partner water tube-wells/boreholes/handpumps]])-WWWW[[#This Row],['#_Non-functional tube wells/boreholes/handpumps]]</f>
        <v>2</v>
      </c>
      <c r="CJ538" s="997">
        <f>WWWW[[#This Row],['#_Constructed/Existingwater storage tank with gravity fed reticulation system]]-WWWW[[#This Row],['#_Non-functional storage tank gravity fed reticulation system]]</f>
        <v>-1</v>
      </c>
      <c r="CK538" s="997">
        <f>(WWWW[[#This Row],['#_Water_Liters_supplied_by_Water boating or water trucking]]/90)/15</f>
        <v>0</v>
      </c>
      <c r="CL538" s="997">
        <f>WWWW[[#This Row],['#_Water_Liters_from_Constructed/Existing water distribution system from river or natural spring]]/90/15</f>
        <v>0</v>
      </c>
      <c r="CM538" s="424">
        <f>IF(WWWW[[#This Row],['#_of water points in TLS/CFS]]*500&gt;WWWW[[#This Row],[Total PoP ]],WWWW[[#This Row],[Total PoP ]],WWWW[[#This Row],['#_of water points in TLS/CFS]]*500)</f>
        <v>0</v>
      </c>
      <c r="CN538" s="424">
        <f>IF(WWWW[[#This Row],['#_of water points in THF]]*500&gt;WWWW[[#This Row],[Total PoP ]],WWWW[[#This Row],[Total PoP ]],WWWW[[#This Row],['#_of water points in THF]]*500)</f>
        <v>0</v>
      </c>
      <c r="CO538"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38"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38" s="996">
        <f>IF(WWWW[[#This Row],[Location Type 1]]="Village",WWWW[[#This Row],[Access to safe drinking water for Village]],WWWW[[#This Row],[Access to safe drinking water for Camp]])</f>
        <v>1</v>
      </c>
      <c r="CR538" s="994">
        <f>WWWW[[#This Row],[%Equitable and continuous access to sufficient quantity of safe drinking water]]*WWWW[[#This Row],[Total PoP ]]</f>
        <v>591</v>
      </c>
      <c r="CS538" s="996">
        <f>IF((WWWW[[#This Row],['#_Constructed/Existing protected/fenced ponds]]*250)/WWWW[[#This Row],[Total PoP ]]&gt;1,1,(WWWW[[#This Row],['#_Constructed/Existing protected/fenced ponds]]*250)/WWWW[[#This Row],[Total PoP ]])</f>
        <v>0</v>
      </c>
      <c r="CT538" s="994">
        <f>WWWW[[#This Row],[% Access to unimproved water points]]*WWWW[[#This Row],[Total PoP ]]</f>
        <v>0</v>
      </c>
      <c r="CU538"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38"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591</v>
      </c>
      <c r="CW538" s="994">
        <f>WWWW[[#This Row],[HRP1]]/500</f>
        <v>1.1819999999999999</v>
      </c>
      <c r="CX538" s="999">
        <f>1-WWWW[[#This Row],[% Equitable and continuous access to sufficient quantity of domestic water]]</f>
        <v>0</v>
      </c>
      <c r="CY538" s="994">
        <f>WWWW[[#This Row],[%equitable and continuous access to sufficient quantity of safe drinking and domestic water''s GAP]]*WWWW[[#This Row],[Total PoP ]]</f>
        <v>0</v>
      </c>
      <c r="CZ538" s="997">
        <f>IF(WWWW[[#This Row],[Total required water points]]-WWWW[[#This Row],['#Water points coverage]]&lt;0,0,WWWW[[#This Row],[Total required water points]]-WWWW[[#This Row],['#Water points coverage]])</f>
        <v>0</v>
      </c>
      <c r="DA538" s="997">
        <f>ROUND(IF(WWWW[[#This Row],[Total PoP ]]&lt;500,1,WWWW[[#This Row],[Total PoP ]]/500),0)</f>
        <v>1</v>
      </c>
      <c r="DB538" s="997">
        <f>(WWWW[[#This Row],['#_Constructed latrines_by_WASHAgencies]]+WWWW[[#This Row],['#_Non Cluster partner latrines]])-WWWW[[#This Row],['#_Non-functional latrines]]</f>
        <v>60</v>
      </c>
      <c r="DC538" s="631">
        <f>WWWW[[#This Row],[HRP2]]/WWWW[[#This Row],[Total PoP ]]</f>
        <v>1</v>
      </c>
      <c r="DD538"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591</v>
      </c>
      <c r="DE538"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38"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8" s="424">
        <f>IF(WWWW[[#This Row],['# of functional latrines in THF supported by WASH partners during the reporting period2]]="",0,WWWW[[#This Row],['# of functional latrines in THF supported by WASH partners during the reporting period2]]*50)</f>
        <v>0</v>
      </c>
      <c r="DH538" s="997">
        <f>ROUND(IF(WWWW[[#This Row],[Location Type 1]]="camp",WWWW[[#This Row],[Total PoP ]]/20,IF(WWWW[[#This Row],[Location Type 1]]="Temporary Location",WWWW[[#This Row],[Total PoP ]]/50,(WWWW[[#This Row],[Total PoP ]]/6))),0)</f>
        <v>30</v>
      </c>
      <c r="DI538" s="997">
        <f>IF(WWWW[[#This Row],[Total required Latrines]]-(WWWW[[#This Row],['#_Constructed latrines_by_WASHAgencies]]+WWWW[[#This Row],['#_Non Cluster partner latrines]])&lt;0,0,WWWW[[#This Row],[Total required Latrines]]-(WWWW[[#This Row],['#_Constructed latrines_by_WASHAgencies]]+WWWW[[#This Row],['#_Non Cluster partner latrines]]))</f>
        <v>0</v>
      </c>
      <c r="DJ538" s="999">
        <f>1-WWWW[[#This Row],[% people access to functioning Latrine]]</f>
        <v>0</v>
      </c>
      <c r="DK538" s="998">
        <f>IF(OR(WWWW[[#This Row],['#_Non-functional latrines]]="",WWWW[[#This Row],['#_Non-functional latrines]]=0),0,WWWW[[#This Row],['#_Non-functional latrines]]/(WWWW[[#This Row],['#_Constructed latrines_by_WASHAgencies]]+WWWW[[#This Row],['#_Non Cluster partner latrines]]))</f>
        <v>0</v>
      </c>
      <c r="DL538" s="994">
        <f>IF(500*(WWWW[[#This Row],['#_male hygiene promoters]]+WWWW[[#This Row],['#_female hygiene promoters]])&gt;WWWW[[#This Row],[Total PoP ]],WWWW[[#This Row],[Total PoP ]],500*(WWWW[[#This Row],['#_male hygiene promoters]]+WWWW[[#This Row],['#_female hygiene promoters]]))</f>
        <v>591</v>
      </c>
      <c r="DM538"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38"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38" s="997">
        <f>IF(WWWW[[#This Row],['# People with access to soap]]&gt;WWWW[[#This Row],['# People with access to Sanity Pads]],WWWW[[#This Row],['# People with access to soap]],WWWW[[#This Row],['# People with access to Sanity Pads]])</f>
        <v>0</v>
      </c>
      <c r="DP538" s="997">
        <f>IF(WWWW[[#This Row],['# people reached by regular dedicated hygiene promotion_5]]&gt;WWWW[[#This Row],['# People received regular supply of hygiene items_6]],WWWW[[#This Row],['# people reached by regular dedicated hygiene promotion_5]],WWWW[[#This Row],['# People received regular supply of hygiene items_6]])</f>
        <v>591</v>
      </c>
      <c r="DQ538" s="999">
        <f>IF(WWWW[[#This Row],[HRP3]]/WWWW[[#This Row],[Total PoP ]]&gt;1,1,WWWW[[#This Row],[HRP3]]/WWWW[[#This Row],[Total PoP ]])</f>
        <v>1</v>
      </c>
      <c r="DR538" s="998">
        <f>1-WWWW[[#This Row],[Hygiene Coverage%]]</f>
        <v>0</v>
      </c>
      <c r="DS538" s="996">
        <f>WWWW[[#This Row],['# people reached by regular dedicated hygiene promotion_5]]/WWWW[[#This Row],[Total PoP ]]</f>
        <v>1</v>
      </c>
      <c r="DT538"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38"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38" s="997">
        <f>WWWW[[#This Row],['#_Constructed/Existing hand washing stations]]-WWWW[[#This Row],['#_Non-Functional_hand_washing_stations]]</f>
        <v>60</v>
      </c>
      <c r="DW538" s="994">
        <f>IF(WWWW[[#This Row],['# Functional hand washing stations during reporting period]]*20&gt;WWWW[[#This Row],[Total HH]],WWWW[[#This Row],[Total HH]],WWWW[[#This Row],['# Functional hand washing stations during reporting period]]*20)</f>
        <v>126</v>
      </c>
      <c r="DX538" s="994">
        <f>IF(WWWW[[#This Row],[Is sufficient soap available for TLS? (Yes/No)]]="yes",WWWW[[#This Row],['#_Constructed/Existing hand washing stations at TLS/CFS/THF]],0)</f>
        <v>0</v>
      </c>
      <c r="DY538" s="428">
        <f>IF(WWWW[[#This Row],['# Functional hand washing stations during reporting period]]*100&gt;WWWW[[#This Row],[Total PoP ]],WWWW[[#This Row],[Total PoP ]],WWWW[[#This Row],['# Functional hand washing stations during reporting period]]*100)</f>
        <v>591</v>
      </c>
      <c r="DZ538" s="428" t="str">
        <f>IF(OR(WWWW[[#This Row],['#_students at TLS_CFS]]="",WWWW[[#This Row],['#_students at TLS_CFS]]=0),"No","Yes")</f>
        <v>No</v>
      </c>
      <c r="EA53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3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3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8" s="990" t="str">
        <f>VLOOKUP(WWWW[[#This Row],[Site Name]],SiteDB6[[Site Name]:[CCCM Management]],6,FALSE)</f>
        <v>Yes</v>
      </c>
      <c r="EF538" s="990" t="str">
        <f>VLOOKUP(WWWW[[#This Row],[Site Name]],SiteDB6[[Site Name]:[CCCM Focal Agency]],7,FALSE)</f>
        <v>STW/KMSS-MYT</v>
      </c>
      <c r="EG538" s="990" t="str">
        <f>VLOOKUP(WWWW[[#This Row],[Site Name]],SiteDB6[[Site Name]:[Location Type 1]],9,FALSE)</f>
        <v>Camp</v>
      </c>
      <c r="EH538" s="990" t="str">
        <f>VLOOKUP(WWWW[[#This Row],[Site Name]],SiteDB6[[Site Name]:[Type of Accommodation]],10,FALSE)</f>
        <v>Camp</v>
      </c>
      <c r="EI538" s="990" t="str">
        <f>VLOOKUP(WWWW[[#This Row],[Site Name]],SiteDB6[[Site Name]:[Ethnic or GCA/NGCA]],11,FALSE)</f>
        <v>NGCA</v>
      </c>
      <c r="EJ538" s="990">
        <f>VLOOKUP(WWWW[[#This Row],[Site Name]],SiteDB6[[Site Name]:[Lat]],12,FALSE)</f>
        <v>26.007408000000002</v>
      </c>
      <c r="EK538" s="990">
        <f>VLOOKUP(WWWW[[#This Row],[Site Name]],SiteDB6[[Site Name]:[Long]],13,FALSE)</f>
        <v>97.823777000000007</v>
      </c>
      <c r="EL538" s="990" t="str">
        <f>VLOOKUP(WWWW[[#This Row],[Site Name]],SiteDB6[[Site Name]:[Pcode]],3,FALSE)</f>
        <v>MMR001CMP280</v>
      </c>
      <c r="EM538" s="995" t="str">
        <f t="shared" si="11"/>
        <v>Covered</v>
      </c>
      <c r="EN538" s="995"/>
      <c r="EO538" s="990">
        <f>VLOOKUP(WWWW[[#This Row],[Site Name]],SiteDB6[[Site Name]:[Pop
(Kachin/Shan-CCCM as of July 2021)]],16,FALSE)</f>
        <v>140</v>
      </c>
      <c r="EP538" s="990">
        <f>VLOOKUP(WWWW[[#This Row],[Site Name]],SiteDB6[[Site Name]:[Pop
(Kachin/Shan-CCCM as of July 2021)]],17,FALSE)</f>
        <v>659</v>
      </c>
    </row>
    <row r="539" spans="1:146">
      <c r="A539" s="988" t="s">
        <v>2765</v>
      </c>
      <c r="B539" s="988" t="s">
        <v>309</v>
      </c>
      <c r="C539" s="989" t="s">
        <v>309</v>
      </c>
      <c r="D539" s="989"/>
      <c r="E539" s="989" t="s">
        <v>37</v>
      </c>
      <c r="F539" s="989" t="s">
        <v>195</v>
      </c>
      <c r="G539" s="591" t="str">
        <f>VLOOKUP(WWWW[[#This Row],[Site Name]],SiteDB6[[Site Name]:[Location Type]],8,FALSE)</f>
        <v>Camp</v>
      </c>
      <c r="H539" s="989" t="s">
        <v>3030</v>
      </c>
      <c r="I539" s="991">
        <v>12</v>
      </c>
      <c r="J539" s="991">
        <v>60</v>
      </c>
      <c r="K539" s="992"/>
      <c r="L539" s="993"/>
      <c r="M539" s="991"/>
      <c r="N539" s="991"/>
      <c r="O539" s="991"/>
      <c r="P539" s="991"/>
      <c r="Q539" s="994"/>
      <c r="R539" s="991"/>
      <c r="S539" s="991"/>
      <c r="T539" s="448"/>
      <c r="U539" s="991"/>
      <c r="V539" s="991"/>
      <c r="W539" s="991"/>
      <c r="X539" s="991"/>
      <c r="Y539" s="991"/>
      <c r="Z539" s="991"/>
      <c r="AA539" s="991"/>
      <c r="AB539" s="991"/>
      <c r="AC539" s="991"/>
      <c r="AD539" s="991"/>
      <c r="AE539" s="991"/>
      <c r="AF539" s="991"/>
      <c r="AG539" s="991"/>
      <c r="AH539" s="991"/>
      <c r="AI539" s="991"/>
      <c r="AJ539" s="991"/>
      <c r="AK539" s="991"/>
      <c r="AL539" s="991"/>
      <c r="AM539" s="991"/>
      <c r="AN539" s="991"/>
      <c r="AO539" s="448"/>
      <c r="AP539" s="995"/>
      <c r="AQ539" s="991"/>
      <c r="AR539" s="991"/>
      <c r="AS539" s="996"/>
      <c r="AT539" s="991"/>
      <c r="AU539" s="991"/>
      <c r="AV539" s="991"/>
      <c r="AW539" s="991"/>
      <c r="AX539" s="991"/>
      <c r="AY539" s="990" t="s">
        <v>140</v>
      </c>
      <c r="AZ539" s="995" t="s">
        <v>140</v>
      </c>
      <c r="BA539" s="991"/>
      <c r="BB539" s="991"/>
      <c r="BC539" s="991"/>
      <c r="BD539" s="448"/>
      <c r="BE539" s="448"/>
      <c r="BF539" s="990"/>
      <c r="BG539" s="991">
        <v>1</v>
      </c>
      <c r="BH539" s="991"/>
      <c r="BI539" s="991"/>
      <c r="BJ539" s="991">
        <v>1</v>
      </c>
      <c r="BK539" s="991"/>
      <c r="BL539" s="991"/>
      <c r="BM539" s="991"/>
      <c r="BN539" s="991"/>
      <c r="BO539" s="991"/>
      <c r="BP539" s="990"/>
      <c r="BQ539" s="997"/>
      <c r="BR539" s="996"/>
      <c r="BS539" s="990"/>
      <c r="BT539" s="423"/>
      <c r="BU539" s="423"/>
      <c r="BV539" s="425"/>
      <c r="BW539" s="423"/>
      <c r="BX539" s="448"/>
      <c r="BY539" s="448"/>
      <c r="BZ539" s="448"/>
      <c r="CA539" s="448"/>
      <c r="CB539" s="448"/>
      <c r="CC539" s="777"/>
      <c r="CD539" s="448"/>
      <c r="CE539" s="998" t="str">
        <f>IFERROR(WWWW[[#This Row],['#_Water sources passed]]/WWWW[[#This Row],['#_Water sources tested for fecal coliform ]],"no test")</f>
        <v>no test</v>
      </c>
      <c r="CF539" s="996" t="str">
        <f>IFERROR(WWWW[[#This Row],['#_Household passed]]/WWWW[[#This Row],['#_Household water samples tested for fecal coliform]],"no test")</f>
        <v>no test</v>
      </c>
      <c r="CG539" s="997" t="str">
        <f>IF(AND(WWWW[[#This Row],[% of water sources passed]]="no test",WWWW[[#This Row],[% Household passed]]="no test"),"No Test","Tested")</f>
        <v>No Test</v>
      </c>
      <c r="CH539" s="997">
        <f>WWWW[[#This Row],['#_Constructed/existing protected hand dug well]]-WWWW[[#This Row],['#_Non-functional protected hand dug well]]</f>
        <v>0</v>
      </c>
      <c r="CI539" s="997">
        <f>(WWWW[[#This Row],['#_Constructed/Existing tube wells/boreholes/handpumps_WASH_agency]]+WWWW[[#This Row],['#_Non-Cluster partner water tube-wells/boreholes/handpumps]])-WWWW[[#This Row],['#_Non-functional tube wells/boreholes/handpumps]]</f>
        <v>0</v>
      </c>
      <c r="CJ539" s="997">
        <f>WWWW[[#This Row],['#_Constructed/Existingwater storage tank with gravity fed reticulation system]]-WWWW[[#This Row],['#_Non-functional storage tank gravity fed reticulation system]]</f>
        <v>0</v>
      </c>
      <c r="CK539" s="997">
        <f>(WWWW[[#This Row],['#_Water_Liters_supplied_by_Water boating or water trucking]]/90)/15</f>
        <v>0</v>
      </c>
      <c r="CL539" s="997">
        <f>WWWW[[#This Row],['#_Water_Liters_from_Constructed/Existing water distribution system from river or natural spring]]/90/15</f>
        <v>0</v>
      </c>
      <c r="CM539" s="424">
        <f>IF(WWWW[[#This Row],['#_of water points in TLS/CFS]]*500&gt;WWWW[[#This Row],[Total PoP ]],WWWW[[#This Row],[Total PoP ]],WWWW[[#This Row],['#_of water points in TLS/CFS]]*500)</f>
        <v>0</v>
      </c>
      <c r="CN539" s="424">
        <f>IF(WWWW[[#This Row],['#_of water points in THF]]*500&gt;WWWW[[#This Row],[Total PoP ]],WWWW[[#This Row],[Total PoP ]],WWWW[[#This Row],['#_of water points in THF]]*500)</f>
        <v>0</v>
      </c>
      <c r="CO539"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39"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39" s="996">
        <f>IF(WWWW[[#This Row],[Location Type 1]]="Village",WWWW[[#This Row],[Access to safe drinking water for Village]],WWWW[[#This Row],[Access to safe drinking water for Camp]])</f>
        <v>0</v>
      </c>
      <c r="CR539" s="994">
        <f>WWWW[[#This Row],[%Equitable and continuous access to sufficient quantity of safe drinking water]]*WWWW[[#This Row],[Total PoP ]]</f>
        <v>0</v>
      </c>
      <c r="CS539" s="996">
        <f>IF((WWWW[[#This Row],['#_Constructed/Existing protected/fenced ponds]]*250)/WWWW[[#This Row],[Total PoP ]]&gt;1,1,(WWWW[[#This Row],['#_Constructed/Existing protected/fenced ponds]]*250)/WWWW[[#This Row],[Total PoP ]])</f>
        <v>0</v>
      </c>
      <c r="CT539" s="994">
        <f>WWWW[[#This Row],[% Access to unimproved water points]]*WWWW[[#This Row],[Total PoP ]]</f>
        <v>0</v>
      </c>
      <c r="CU539"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39"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39" s="994">
        <f>WWWW[[#This Row],[HRP1]]/500</f>
        <v>0</v>
      </c>
      <c r="CX539" s="999">
        <f>1-WWWW[[#This Row],[% Equitable and continuous access to sufficient quantity of domestic water]]</f>
        <v>1</v>
      </c>
      <c r="CY539" s="994">
        <f>WWWW[[#This Row],[%equitable and continuous access to sufficient quantity of safe drinking and domestic water''s GAP]]*WWWW[[#This Row],[Total PoP ]]</f>
        <v>60</v>
      </c>
      <c r="CZ539" s="997">
        <f>IF(WWWW[[#This Row],[Total required water points]]-WWWW[[#This Row],['#Water points coverage]]&lt;0,0,WWWW[[#This Row],[Total required water points]]-WWWW[[#This Row],['#Water points coverage]])</f>
        <v>1</v>
      </c>
      <c r="DA539" s="997">
        <f>ROUND(IF(WWWW[[#This Row],[Total PoP ]]&lt;500,1,WWWW[[#This Row],[Total PoP ]]/500),0)</f>
        <v>1</v>
      </c>
      <c r="DB539" s="997">
        <f>(WWWW[[#This Row],['#_Constructed latrines_by_WASHAgencies]]+WWWW[[#This Row],['#_Non Cluster partner latrines]])-WWWW[[#This Row],['#_Non-functional latrines]]</f>
        <v>0</v>
      </c>
      <c r="DC539" s="631">
        <f>WWWW[[#This Row],[HRP2]]/WWWW[[#This Row],[Total PoP ]]</f>
        <v>0</v>
      </c>
      <c r="DD539"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39"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39"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9" s="424">
        <f>IF(WWWW[[#This Row],['# of functional latrines in THF supported by WASH partners during the reporting period2]]="",0,WWWW[[#This Row],['# of functional latrines in THF supported by WASH partners during the reporting period2]]*50)</f>
        <v>0</v>
      </c>
      <c r="DH539" s="997">
        <f>ROUND(IF(WWWW[[#This Row],[Location Type 1]]="camp",WWWW[[#This Row],[Total PoP ]]/20,IF(WWWW[[#This Row],[Location Type 1]]="Temporary Location",WWWW[[#This Row],[Total PoP ]]/50,(WWWW[[#This Row],[Total PoP ]]/6))),0)</f>
        <v>3</v>
      </c>
      <c r="DI539" s="997">
        <f>IF(WWWW[[#This Row],[Total required Latrines]]-(WWWW[[#This Row],['#_Constructed latrines_by_WASHAgencies]]+WWWW[[#This Row],['#_Non Cluster partner latrines]])&lt;0,0,WWWW[[#This Row],[Total required Latrines]]-(WWWW[[#This Row],['#_Constructed latrines_by_WASHAgencies]]+WWWW[[#This Row],['#_Non Cluster partner latrines]]))</f>
        <v>3</v>
      </c>
      <c r="DJ539" s="999">
        <f>1-WWWW[[#This Row],[% people access to functioning Latrine]]</f>
        <v>1</v>
      </c>
      <c r="DK539" s="998">
        <f>IF(OR(WWWW[[#This Row],['#_Non-functional latrines]]="",WWWW[[#This Row],['#_Non-functional latrines]]=0),0,WWWW[[#This Row],['#_Non-functional latrines]]/(WWWW[[#This Row],['#_Constructed latrines_by_WASHAgencies]]+WWWW[[#This Row],['#_Non Cluster partner latrines]]))</f>
        <v>0</v>
      </c>
      <c r="DL539" s="994">
        <f>IF(500*(WWWW[[#This Row],['#_male hygiene promoters]]+WWWW[[#This Row],['#_female hygiene promoters]])&gt;WWWW[[#This Row],[Total PoP ]],WWWW[[#This Row],[Total PoP ]],500*(WWWW[[#This Row],['#_male hygiene promoters]]+WWWW[[#This Row],['#_female hygiene promoters]]))</f>
        <v>0</v>
      </c>
      <c r="DM539"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39"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39" s="997">
        <f>IF(WWWW[[#This Row],['# People with access to soap]]&gt;WWWW[[#This Row],['# People with access to Sanity Pads]],WWWW[[#This Row],['# People with access to soap]],WWWW[[#This Row],['# People with access to Sanity Pads]])</f>
        <v>0</v>
      </c>
      <c r="DP539"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39" s="999">
        <f>IF(WWWW[[#This Row],[HRP3]]/WWWW[[#This Row],[Total PoP ]]&gt;1,1,WWWW[[#This Row],[HRP3]]/WWWW[[#This Row],[Total PoP ]])</f>
        <v>0</v>
      </c>
      <c r="DR539" s="998">
        <f>1-WWWW[[#This Row],[Hygiene Coverage%]]</f>
        <v>1</v>
      </c>
      <c r="DS539" s="996">
        <f>WWWW[[#This Row],['# people reached by regular dedicated hygiene promotion_5]]/WWWW[[#This Row],[Total PoP ]]</f>
        <v>0</v>
      </c>
      <c r="DT539"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39"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39" s="997">
        <f>WWWW[[#This Row],['#_Constructed/Existing hand washing stations]]-WWWW[[#This Row],['#_Non-Functional_hand_washing_stations]]</f>
        <v>1</v>
      </c>
      <c r="DW539" s="994">
        <f>IF(WWWW[[#This Row],['# Functional hand washing stations during reporting period]]*20&gt;WWWW[[#This Row],[Total HH]],WWWW[[#This Row],[Total HH]],WWWW[[#This Row],['# Functional hand washing stations during reporting period]]*20)</f>
        <v>12</v>
      </c>
      <c r="DX539" s="994">
        <f>IF(WWWW[[#This Row],[Is sufficient soap available for TLS? (Yes/No)]]="yes",WWWW[[#This Row],['#_Constructed/Existing hand washing stations at TLS/CFS/THF]],0)</f>
        <v>0</v>
      </c>
      <c r="DY539" s="428">
        <f>IF(WWWW[[#This Row],['# Functional hand washing stations during reporting period]]*100&gt;WWWW[[#This Row],[Total PoP ]],WWWW[[#This Row],[Total PoP ]],WWWW[[#This Row],['# Functional hand washing stations during reporting period]]*100)</f>
        <v>60</v>
      </c>
      <c r="DZ539" s="428" t="str">
        <f>IF(OR(WWWW[[#This Row],['#_students at TLS_CFS]]="",WWWW[[#This Row],['#_students at TLS_CFS]]=0),"No","Yes")</f>
        <v>No</v>
      </c>
      <c r="EA53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3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3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9" s="990" t="str">
        <f>VLOOKUP(WWWW[[#This Row],[Site Name]],SiteDB6[[Site Name]:[CCCM Management]],6,FALSE)</f>
        <v>Yes</v>
      </c>
      <c r="EF539" s="990" t="str">
        <f>VLOOKUP(WWWW[[#This Row],[Site Name]],SiteDB6[[Site Name]:[CCCM Focal Agency]],7,FALSE)</f>
        <v>Shalom</v>
      </c>
      <c r="EG539" s="990" t="str">
        <f>VLOOKUP(WWWW[[#This Row],[Site Name]],SiteDB6[[Site Name]:[Location Type 1]],9,FALSE)</f>
        <v>Camp</v>
      </c>
      <c r="EH539" s="990" t="str">
        <f>VLOOKUP(WWWW[[#This Row],[Site Name]],SiteDB6[[Site Name]:[Type of Accommodation]],10,FALSE)</f>
        <v>Camp</v>
      </c>
      <c r="EI539" s="990" t="str">
        <f>VLOOKUP(WWWW[[#This Row],[Site Name]],SiteDB6[[Site Name]:[Ethnic or GCA/NGCA]],11,FALSE)</f>
        <v>GCA</v>
      </c>
      <c r="EJ539" s="990">
        <f>VLOOKUP(WWWW[[#This Row],[Site Name]],SiteDB6[[Site Name]:[Lat]],12,FALSE)</f>
        <v>24.154199999999999</v>
      </c>
      <c r="EK539" s="990">
        <f>VLOOKUP(WWWW[[#This Row],[Site Name]],SiteDB6[[Site Name]:[Long]],13,FALSE)</f>
        <v>97.160600000000002</v>
      </c>
      <c r="EL539" s="990" t="str">
        <f>VLOOKUP(WWWW[[#This Row],[Site Name]],SiteDB6[[Site Name]:[Pcode]],3,FALSE)</f>
        <v>MMR001CMP281</v>
      </c>
      <c r="EM539" s="995" t="str">
        <f t="shared" si="11"/>
        <v>Notcovered</v>
      </c>
      <c r="EN539" s="995"/>
      <c r="EO539" s="990">
        <f>VLOOKUP(WWWW[[#This Row],[Site Name]],SiteDB6[[Site Name]:[Pop
(Kachin/Shan-CCCM as of July 2021)]],16,FALSE)</f>
        <v>97</v>
      </c>
      <c r="EP539" s="990">
        <f>VLOOKUP(WWWW[[#This Row],[Site Name]],SiteDB6[[Site Name]:[Pop
(Kachin/Shan-CCCM as of July 2021)]],17,FALSE)</f>
        <v>480</v>
      </c>
    </row>
    <row r="540" spans="1:146">
      <c r="A540" s="988" t="s">
        <v>2765</v>
      </c>
      <c r="B540" s="988" t="s">
        <v>276</v>
      </c>
      <c r="C540" s="989" t="s">
        <v>276</v>
      </c>
      <c r="D540" s="989" t="s">
        <v>3037</v>
      </c>
      <c r="E540" s="989" t="s">
        <v>37</v>
      </c>
      <c r="F540" s="989" t="s">
        <v>195</v>
      </c>
      <c r="G540" s="591" t="str">
        <f>VLOOKUP(WWWW[[#This Row],[Site Name]],SiteDB6[[Site Name]:[Location Type]],8,FALSE)</f>
        <v>Camp</v>
      </c>
      <c r="H540" s="989" t="s">
        <v>2773</v>
      </c>
      <c r="I540" s="991">
        <v>40</v>
      </c>
      <c r="J540" s="991">
        <v>168</v>
      </c>
      <c r="K540" s="992">
        <v>44652</v>
      </c>
      <c r="L540" s="993">
        <v>44895</v>
      </c>
      <c r="M540" s="991"/>
      <c r="N540" s="991"/>
      <c r="O540" s="991"/>
      <c r="P540" s="991"/>
      <c r="Q540" s="994" t="s">
        <v>41</v>
      </c>
      <c r="R540" s="991">
        <v>4</v>
      </c>
      <c r="S540" s="991">
        <v>4</v>
      </c>
      <c r="T540" s="448">
        <v>1</v>
      </c>
      <c r="U540" s="991"/>
      <c r="V540" s="991">
        <v>1</v>
      </c>
      <c r="W540" s="991">
        <v>1</v>
      </c>
      <c r="X540" s="991"/>
      <c r="Y540" s="991"/>
      <c r="Z540" s="991"/>
      <c r="AA540" s="991"/>
      <c r="AB540" s="991"/>
      <c r="AC540" s="991"/>
      <c r="AD540" s="991"/>
      <c r="AE540" s="991"/>
      <c r="AF540" s="991"/>
      <c r="AG540" s="991">
        <v>1</v>
      </c>
      <c r="AH540" s="991"/>
      <c r="AI540" s="991">
        <v>2</v>
      </c>
      <c r="AJ540" s="991">
        <v>1</v>
      </c>
      <c r="AK540" s="991">
        <v>9</v>
      </c>
      <c r="AL540" s="991">
        <v>9</v>
      </c>
      <c r="AM540" s="991"/>
      <c r="AN540" s="991"/>
      <c r="AO540" s="448"/>
      <c r="AP540" s="995"/>
      <c r="AQ540" s="991">
        <v>9</v>
      </c>
      <c r="AR540" s="991"/>
      <c r="AS540" s="996"/>
      <c r="AT540" s="991"/>
      <c r="AU540" s="991">
        <v>1</v>
      </c>
      <c r="AV540" s="991"/>
      <c r="AW540" s="991"/>
      <c r="AX540" s="991"/>
      <c r="AY540" s="990" t="s">
        <v>41</v>
      </c>
      <c r="AZ540" s="995" t="s">
        <v>137</v>
      </c>
      <c r="BA540" s="991"/>
      <c r="BB540" s="991">
        <v>1</v>
      </c>
      <c r="BC540" s="991"/>
      <c r="BD540" s="448"/>
      <c r="BE540" s="448">
        <v>7</v>
      </c>
      <c r="BF540" s="990"/>
      <c r="BG540" s="991">
        <v>9</v>
      </c>
      <c r="BH540" s="991"/>
      <c r="BI540" s="991"/>
      <c r="BJ540" s="991">
        <v>2</v>
      </c>
      <c r="BK540" s="991"/>
      <c r="BL540" s="991"/>
      <c r="BM540" s="991"/>
      <c r="BN540" s="991">
        <v>40</v>
      </c>
      <c r="BO540" s="991">
        <v>46</v>
      </c>
      <c r="BP540" s="990"/>
      <c r="BQ540" s="997"/>
      <c r="BR540" s="996"/>
      <c r="BS540" s="990"/>
      <c r="BT540" s="423"/>
      <c r="BU540" s="423"/>
      <c r="BV540" s="425">
        <v>1</v>
      </c>
      <c r="BW540" s="423">
        <v>1</v>
      </c>
      <c r="BX540" s="448"/>
      <c r="BY540" s="448"/>
      <c r="BZ540" s="448"/>
      <c r="CA540" s="448"/>
      <c r="CB540" s="448"/>
      <c r="CC540" s="777"/>
      <c r="CD540" s="448"/>
      <c r="CE540" s="998">
        <f>IFERROR(WWWW[[#This Row],['#_Water sources passed]]/WWWW[[#This Row],['#_Water sources tested for fecal coliform ]],"no test")</f>
        <v>0.5</v>
      </c>
      <c r="CF540" s="996">
        <f>IFERROR(WWWW[[#This Row],['#_Household passed]]/WWWW[[#This Row],['#_Household water samples tested for fecal coliform]],"no test")</f>
        <v>1</v>
      </c>
      <c r="CG540" s="997" t="str">
        <f>IF(AND(WWWW[[#This Row],[% of water sources passed]]="no test",WWWW[[#This Row],[% Household passed]]="no test"),"No Test","Tested")</f>
        <v>Tested</v>
      </c>
      <c r="CH540" s="997">
        <f>WWWW[[#This Row],['#_Constructed/existing protected hand dug well]]-WWWW[[#This Row],['#_Non-functional protected hand dug well]]</f>
        <v>1</v>
      </c>
      <c r="CI540" s="997">
        <f>(WWWW[[#This Row],['#_Constructed/Existing tube wells/boreholes/handpumps_WASH_agency]]+WWWW[[#This Row],['#_Non-Cluster partner water tube-wells/boreholes/handpumps]])-WWWW[[#This Row],['#_Non-functional tube wells/boreholes/handpumps]]</f>
        <v>1</v>
      </c>
      <c r="CJ540" s="997">
        <f>WWWW[[#This Row],['#_Constructed/Existingwater storage tank with gravity fed reticulation system]]-WWWW[[#This Row],['#_Non-functional storage tank gravity fed reticulation system]]</f>
        <v>0</v>
      </c>
      <c r="CK540" s="997">
        <f>(WWWW[[#This Row],['#_Water_Liters_supplied_by_Water boating or water trucking]]/90)/15</f>
        <v>0</v>
      </c>
      <c r="CL540" s="997">
        <f>WWWW[[#This Row],['#_Water_Liters_from_Constructed/Existing water distribution system from river or natural spring]]/90/15</f>
        <v>0</v>
      </c>
      <c r="CM540" s="424">
        <f>IF(WWWW[[#This Row],['#_of water points in TLS/CFS]]*500&gt;WWWW[[#This Row],[Total PoP ]],WWWW[[#This Row],[Total PoP ]],WWWW[[#This Row],['#_of water points in TLS/CFS]]*500)</f>
        <v>0</v>
      </c>
      <c r="CN540" s="424">
        <f>IF(WWWW[[#This Row],['#_of water points in THF]]*500&gt;WWWW[[#This Row],[Total PoP ]],WWWW[[#This Row],[Total PoP ]],WWWW[[#This Row],['#_of water points in THF]]*500)</f>
        <v>0</v>
      </c>
      <c r="CO540"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40"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40" s="996">
        <f>IF(WWWW[[#This Row],[Location Type 1]]="Village",WWWW[[#This Row],[Access to safe drinking water for Village]],WWWW[[#This Row],[Access to safe drinking water for Camp]])</f>
        <v>1</v>
      </c>
      <c r="CR540" s="994">
        <f>WWWW[[#This Row],[%Equitable and continuous access to sufficient quantity of safe drinking water]]*WWWW[[#This Row],[Total PoP ]]</f>
        <v>168</v>
      </c>
      <c r="CS540" s="996">
        <f>IF((WWWW[[#This Row],['#_Constructed/Existing protected/fenced ponds]]*250)/WWWW[[#This Row],[Total PoP ]]&gt;1,1,(WWWW[[#This Row],['#_Constructed/Existing protected/fenced ponds]]*250)/WWWW[[#This Row],[Total PoP ]])</f>
        <v>0</v>
      </c>
      <c r="CT540" s="994">
        <f>WWWW[[#This Row],[% Access to unimproved water points]]*WWWW[[#This Row],[Total PoP ]]</f>
        <v>0</v>
      </c>
      <c r="CU540"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40"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168</v>
      </c>
      <c r="CW540" s="994">
        <f>WWWW[[#This Row],[HRP1]]/500</f>
        <v>0.33600000000000002</v>
      </c>
      <c r="CX540" s="999">
        <f>1-WWWW[[#This Row],[% Equitable and continuous access to sufficient quantity of domestic water]]</f>
        <v>0</v>
      </c>
      <c r="CY540" s="994">
        <f>WWWW[[#This Row],[%equitable and continuous access to sufficient quantity of safe drinking and domestic water''s GAP]]*WWWW[[#This Row],[Total PoP ]]</f>
        <v>0</v>
      </c>
      <c r="CZ540" s="997">
        <f>IF(WWWW[[#This Row],[Total required water points]]-WWWW[[#This Row],['#Water points coverage]]&lt;0,0,WWWW[[#This Row],[Total required water points]]-WWWW[[#This Row],['#Water points coverage]])</f>
        <v>0.66399999999999992</v>
      </c>
      <c r="DA540" s="997">
        <f>ROUND(IF(WWWW[[#This Row],[Total PoP ]]&lt;500,1,WWWW[[#This Row],[Total PoP ]]/500),0)</f>
        <v>1</v>
      </c>
      <c r="DB540" s="997">
        <f>(WWWW[[#This Row],['#_Constructed latrines_by_WASHAgencies]]+WWWW[[#This Row],['#_Non Cluster partner latrines]])-WWWW[[#This Row],['#_Non-functional latrines]]</f>
        <v>9</v>
      </c>
      <c r="DC540" s="631">
        <f>WWWW[[#This Row],[HRP2]]/WWWW[[#This Row],[Total PoP ]]</f>
        <v>1</v>
      </c>
      <c r="DD540"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168</v>
      </c>
      <c r="DE540"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40"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0" s="424">
        <f>IF(WWWW[[#This Row],['# of functional latrines in THF supported by WASH partners during the reporting period2]]="",0,WWWW[[#This Row],['# of functional latrines in THF supported by WASH partners during the reporting period2]]*50)</f>
        <v>0</v>
      </c>
      <c r="DH540" s="997">
        <f>ROUND(IF(WWWW[[#This Row],[Location Type 1]]="camp",WWWW[[#This Row],[Total PoP ]]/20,IF(WWWW[[#This Row],[Location Type 1]]="Temporary Location",WWWW[[#This Row],[Total PoP ]]/50,(WWWW[[#This Row],[Total PoP ]]/6))),0)</f>
        <v>8</v>
      </c>
      <c r="DI540" s="997">
        <f>IF(WWWW[[#This Row],[Total required Latrines]]-(WWWW[[#This Row],['#_Constructed latrines_by_WASHAgencies]]+WWWW[[#This Row],['#_Non Cluster partner latrines]])&lt;0,0,WWWW[[#This Row],[Total required Latrines]]-(WWWW[[#This Row],['#_Constructed latrines_by_WASHAgencies]]+WWWW[[#This Row],['#_Non Cluster partner latrines]]))</f>
        <v>0</v>
      </c>
      <c r="DJ540" s="999">
        <f>1-WWWW[[#This Row],[% people access to functioning Latrine]]</f>
        <v>0</v>
      </c>
      <c r="DK540" s="998">
        <f>IF(OR(WWWW[[#This Row],['#_Non-functional latrines]]="",WWWW[[#This Row],['#_Non-functional latrines]]=0),0,WWWW[[#This Row],['#_Non-functional latrines]]/(WWWW[[#This Row],['#_Constructed latrines_by_WASHAgencies]]+WWWW[[#This Row],['#_Non Cluster partner latrines]]))</f>
        <v>0</v>
      </c>
      <c r="DL540" s="994">
        <f>IF(500*(WWWW[[#This Row],['#_male hygiene promoters]]+WWWW[[#This Row],['#_female hygiene promoters]])&gt;WWWW[[#This Row],[Total PoP ]],WWWW[[#This Row],[Total PoP ]],500*(WWWW[[#This Row],['#_male hygiene promoters]]+WWWW[[#This Row],['#_female hygiene promoters]]))</f>
        <v>0</v>
      </c>
      <c r="DM540"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168</v>
      </c>
      <c r="DN540"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46</v>
      </c>
      <c r="DO540" s="997">
        <f>IF(WWWW[[#This Row],['# People with access to soap]]&gt;WWWW[[#This Row],['# People with access to Sanity Pads]],WWWW[[#This Row],['# People with access to soap]],WWWW[[#This Row],['# People with access to Sanity Pads]])</f>
        <v>168</v>
      </c>
      <c r="DP540" s="997">
        <f>IF(WWWW[[#This Row],['# people reached by regular dedicated hygiene promotion_5]]&gt;WWWW[[#This Row],['# People received regular supply of hygiene items_6]],WWWW[[#This Row],['# people reached by regular dedicated hygiene promotion_5]],WWWW[[#This Row],['# People received regular supply of hygiene items_6]])</f>
        <v>168</v>
      </c>
      <c r="DQ540" s="999">
        <f>IF(WWWW[[#This Row],[HRP3]]/WWWW[[#This Row],[Total PoP ]]&gt;1,1,WWWW[[#This Row],[HRP3]]/WWWW[[#This Row],[Total PoP ]])</f>
        <v>1</v>
      </c>
      <c r="DR540" s="998">
        <f>1-WWWW[[#This Row],[Hygiene Coverage%]]</f>
        <v>0</v>
      </c>
      <c r="DS540" s="996">
        <f>WWWW[[#This Row],['# people reached by regular dedicated hygiene promotion_5]]/WWWW[[#This Row],[Total PoP ]]</f>
        <v>0</v>
      </c>
      <c r="DT540"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40"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40" s="997">
        <f>WWWW[[#This Row],['#_Constructed/Existing hand washing stations]]-WWWW[[#This Row],['#_Non-Functional_hand_washing_stations]]</f>
        <v>9</v>
      </c>
      <c r="DW540" s="994">
        <f>IF(WWWW[[#This Row],['# Functional hand washing stations during reporting period]]*20&gt;WWWW[[#This Row],[Total HH]],WWWW[[#This Row],[Total HH]],WWWW[[#This Row],['# Functional hand washing stations during reporting period]]*20)</f>
        <v>40</v>
      </c>
      <c r="DX540" s="994">
        <f>IF(WWWW[[#This Row],[Is sufficient soap available for TLS? (Yes/No)]]="yes",WWWW[[#This Row],['#_Constructed/Existing hand washing stations at TLS/CFS/THF]],0)</f>
        <v>0</v>
      </c>
      <c r="DY540" s="428">
        <f>IF(WWWW[[#This Row],['# Functional hand washing stations during reporting period]]*100&gt;WWWW[[#This Row],[Total PoP ]],WWWW[[#This Row],[Total PoP ]],WWWW[[#This Row],['# Functional hand washing stations during reporting period]]*100)</f>
        <v>168</v>
      </c>
      <c r="DZ540" s="428" t="str">
        <f>IF(OR(WWWW[[#This Row],['#_students at TLS_CFS]]="",WWWW[[#This Row],['#_students at TLS_CFS]]=0),"No","Yes")</f>
        <v>No</v>
      </c>
      <c r="EA540" s="631">
        <f>IF(WWWW[[#This Row],['#_of_affected_people_surveyed_who_report_feeling_informed_about_the_different_WASH_services_available_to_them]]="","",WWWW[[#This Row],['#_of_affected_people_surveyed_who_report_feeling_informed_about_the_different_WASH_services_available_to_them]]/WWWW[[#This Row],[Total PoP ]])</f>
        <v>5.9523809523809521E-3</v>
      </c>
      <c r="EB54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0" s="990">
        <f>VLOOKUP(WWWW[[#This Row],[Site Name]],SiteDB6[[Site Name]:[CCCM Management]],6,FALSE)</f>
        <v>0</v>
      </c>
      <c r="EF540" s="990">
        <f>VLOOKUP(WWWW[[#This Row],[Site Name]],SiteDB6[[Site Name]:[CCCM Focal Agency]],7,FALSE)</f>
        <v>0</v>
      </c>
      <c r="EG540" s="990" t="str">
        <f>VLOOKUP(WWWW[[#This Row],[Site Name]],SiteDB6[[Site Name]:[Location Type 1]],9,FALSE)</f>
        <v>Camp</v>
      </c>
      <c r="EH540" s="990" t="str">
        <f>VLOOKUP(WWWW[[#This Row],[Site Name]],SiteDB6[[Site Name]:[Type of Accommodation]],10,FALSE)</f>
        <v>Camp</v>
      </c>
      <c r="EI540" s="990" t="str">
        <f>VLOOKUP(WWWW[[#This Row],[Site Name]],SiteDB6[[Site Name]:[Ethnic or GCA/NGCA]],11,FALSE)</f>
        <v>GCA</v>
      </c>
      <c r="EJ540" s="990">
        <f>VLOOKUP(WWWW[[#This Row],[Site Name]],SiteDB6[[Site Name]:[Lat]],12,FALSE)</f>
        <v>24.314934000000001</v>
      </c>
      <c r="EK540" s="990">
        <f>VLOOKUP(WWWW[[#This Row],[Site Name]],SiteDB6[[Site Name]:[Long]],13,FALSE)</f>
        <v>97.305190999999994</v>
      </c>
      <c r="EL540" s="990" t="str">
        <f>VLOOKUP(WWWW[[#This Row],[Site Name]],SiteDB6[[Site Name]:[Pcode]],3,FALSE)</f>
        <v>MMR001CMP285</v>
      </c>
      <c r="EM540" s="995" t="str">
        <f t="shared" si="11"/>
        <v>Covered</v>
      </c>
      <c r="EN540" s="995"/>
      <c r="EO540" s="990">
        <f>VLOOKUP(WWWW[[#This Row],[Site Name]],SiteDB6[[Site Name]:[Pop
(Kachin/Shan-CCCM as of July 2021)]],16,FALSE)</f>
        <v>40</v>
      </c>
      <c r="EP540" s="990">
        <f>VLOOKUP(WWWW[[#This Row],[Site Name]],SiteDB6[[Site Name]:[Pop
(Kachin/Shan-CCCM as of July 2021)]],17,FALSE)</f>
        <v>190</v>
      </c>
    </row>
    <row r="541" spans="1:146">
      <c r="A541" s="988" t="s">
        <v>2765</v>
      </c>
      <c r="B541" s="988" t="s">
        <v>242</v>
      </c>
      <c r="C541" s="989" t="s">
        <v>242</v>
      </c>
      <c r="D541" s="989" t="s">
        <v>299</v>
      </c>
      <c r="E541" s="989" t="s">
        <v>37</v>
      </c>
      <c r="F541" s="989" t="s">
        <v>142</v>
      </c>
      <c r="G541" s="591" t="str">
        <f>VLOOKUP(WWWW[[#This Row],[Site Name]],SiteDB6[[Site Name]:[Location Type]],8,FALSE)</f>
        <v>Camp</v>
      </c>
      <c r="H541" s="989" t="s">
        <v>275</v>
      </c>
      <c r="I541" s="448">
        <v>68</v>
      </c>
      <c r="J541" s="448">
        <v>193</v>
      </c>
      <c r="K541" s="588">
        <v>44562</v>
      </c>
      <c r="L541" s="589">
        <v>44926</v>
      </c>
      <c r="M541" s="448"/>
      <c r="N541" s="448">
        <v>1</v>
      </c>
      <c r="O541" s="448">
        <v>1</v>
      </c>
      <c r="P541" s="448"/>
      <c r="Q541" s="717" t="s">
        <v>41</v>
      </c>
      <c r="R541" s="448">
        <v>1</v>
      </c>
      <c r="S541" s="448">
        <v>4</v>
      </c>
      <c r="T541" s="448">
        <v>2</v>
      </c>
      <c r="U541" s="991">
        <v>1</v>
      </c>
      <c r="V541" s="991"/>
      <c r="W541" s="991">
        <v>1</v>
      </c>
      <c r="X541" s="991"/>
      <c r="Y541" s="991"/>
      <c r="Z541" s="991"/>
      <c r="AA541" s="991"/>
      <c r="AB541" s="991"/>
      <c r="AC541" s="991"/>
      <c r="AD541" s="991"/>
      <c r="AE541" s="991"/>
      <c r="AF541" s="991"/>
      <c r="AG541" s="991"/>
      <c r="AH541" s="991"/>
      <c r="AI541" s="991"/>
      <c r="AJ541" s="991"/>
      <c r="AK541" s="991"/>
      <c r="AL541" s="991"/>
      <c r="AM541" s="991">
        <v>1</v>
      </c>
      <c r="AN541" s="991"/>
      <c r="AO541" s="448"/>
      <c r="AP541" s="590" t="s">
        <v>2888</v>
      </c>
      <c r="AQ541" s="991">
        <v>9</v>
      </c>
      <c r="AR541" s="991"/>
      <c r="AS541" s="996"/>
      <c r="AT541" s="991"/>
      <c r="AU541" s="991"/>
      <c r="AV541" s="991"/>
      <c r="AW541" s="991"/>
      <c r="AX541" s="991"/>
      <c r="AY541" s="990" t="s">
        <v>41</v>
      </c>
      <c r="AZ541" s="995" t="s">
        <v>137</v>
      </c>
      <c r="BA541" s="991"/>
      <c r="BB541" s="991"/>
      <c r="BC541" s="991"/>
      <c r="BD541" s="448"/>
      <c r="BE541" s="448"/>
      <c r="BF541" s="990"/>
      <c r="BG541" s="991">
        <v>5</v>
      </c>
      <c r="BH541" s="991"/>
      <c r="BI541" s="991"/>
      <c r="BJ541" s="991">
        <v>3</v>
      </c>
      <c r="BK541" s="991"/>
      <c r="BL541" s="991"/>
      <c r="BM541" s="991">
        <v>1</v>
      </c>
      <c r="BN541" s="991">
        <v>68</v>
      </c>
      <c r="BO541" s="991"/>
      <c r="BP541" s="990" t="s">
        <v>41</v>
      </c>
      <c r="BQ541" s="997"/>
      <c r="BR541" s="423">
        <v>0.5</v>
      </c>
      <c r="BS541" s="425"/>
      <c r="BT541" s="423">
        <v>0.96</v>
      </c>
      <c r="BU541" s="423">
        <v>0.9</v>
      </c>
      <c r="BV541" s="425">
        <v>4</v>
      </c>
      <c r="BW541" s="423">
        <v>0.95</v>
      </c>
      <c r="BX541" s="448"/>
      <c r="BY541" s="448"/>
      <c r="BZ541" s="448"/>
      <c r="CA541" s="448"/>
      <c r="CB541" s="448"/>
      <c r="CC541" s="777"/>
      <c r="CD541" s="448"/>
      <c r="CE541" s="998" t="str">
        <f>IFERROR(WWWW[[#This Row],['#_Water sources passed]]/WWWW[[#This Row],['#_Water sources tested for fecal coliform ]],"no test")</f>
        <v>no test</v>
      </c>
      <c r="CF541" s="996" t="str">
        <f>IFERROR(WWWW[[#This Row],['#_Household passed]]/WWWW[[#This Row],['#_Household water samples tested for fecal coliform]],"no test")</f>
        <v>no test</v>
      </c>
      <c r="CG541" s="997" t="str">
        <f>IF(AND(WWWW[[#This Row],[% of water sources passed]]="no test",WWWW[[#This Row],[% Household passed]]="no test"),"No Test","Tested")</f>
        <v>No Test</v>
      </c>
      <c r="CH541" s="997">
        <f>WWWW[[#This Row],['#_Constructed/existing protected hand dug well]]-WWWW[[#This Row],['#_Non-functional protected hand dug well]]</f>
        <v>1</v>
      </c>
      <c r="CI541" s="997">
        <f>(WWWW[[#This Row],['#_Constructed/Existing tube wells/boreholes/handpumps_WASH_agency]]+WWWW[[#This Row],['#_Non-Cluster partner water tube-wells/boreholes/handpumps]])-WWWW[[#This Row],['#_Non-functional tube wells/boreholes/handpumps]]</f>
        <v>1</v>
      </c>
      <c r="CJ541" s="997">
        <f>WWWW[[#This Row],['#_Constructed/Existingwater storage tank with gravity fed reticulation system]]-WWWW[[#This Row],['#_Non-functional storage tank gravity fed reticulation system]]</f>
        <v>0</v>
      </c>
      <c r="CK541" s="997">
        <f>(WWWW[[#This Row],['#_Water_Liters_supplied_by_Water boating or water trucking]]/90)/15</f>
        <v>0</v>
      </c>
      <c r="CL541" s="997">
        <f>WWWW[[#This Row],['#_Water_Liters_from_Constructed/Existing water distribution system from river or natural spring]]/90/15</f>
        <v>0</v>
      </c>
      <c r="CM541" s="424">
        <f>IF(WWWW[[#This Row],['#_of water points in TLS/CFS]]*500&gt;WWWW[[#This Row],[Total PoP ]],WWWW[[#This Row],[Total PoP ]],WWWW[[#This Row],['#_of water points in TLS/CFS]]*500)</f>
        <v>0</v>
      </c>
      <c r="CN541" s="424">
        <f>IF(WWWW[[#This Row],['#_of water points in THF]]*500&gt;WWWW[[#This Row],[Total PoP ]],WWWW[[#This Row],[Total PoP ]],WWWW[[#This Row],['#_of water points in THF]]*500)</f>
        <v>0</v>
      </c>
      <c r="CO541"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41"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41" s="996">
        <f>IF(WWWW[[#This Row],[Location Type 1]]="Village",WWWW[[#This Row],[Access to safe drinking water for Village]],WWWW[[#This Row],[Access to safe drinking water for Camp]])</f>
        <v>1</v>
      </c>
      <c r="CR541" s="994">
        <f>WWWW[[#This Row],[%Equitable and continuous access to sufficient quantity of safe drinking water]]*WWWW[[#This Row],[Total PoP ]]</f>
        <v>193</v>
      </c>
      <c r="CS541" s="996">
        <f>IF((WWWW[[#This Row],['#_Constructed/Existing protected/fenced ponds]]*250)/WWWW[[#This Row],[Total PoP ]]&gt;1,1,(WWWW[[#This Row],['#_Constructed/Existing protected/fenced ponds]]*250)/WWWW[[#This Row],[Total PoP ]])</f>
        <v>0</v>
      </c>
      <c r="CT541" s="994">
        <f>WWWW[[#This Row],[% Access to unimproved water points]]*WWWW[[#This Row],[Total PoP ]]</f>
        <v>0</v>
      </c>
      <c r="CU541"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41"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v>
      </c>
      <c r="CW541" s="994">
        <f>WWWW[[#This Row],[HRP1]]/500</f>
        <v>0.38600000000000001</v>
      </c>
      <c r="CX541" s="999">
        <f>1-WWWW[[#This Row],[% Equitable and continuous access to sufficient quantity of domestic water]]</f>
        <v>0</v>
      </c>
      <c r="CY541" s="994">
        <f>WWWW[[#This Row],[%equitable and continuous access to sufficient quantity of safe drinking and domestic water''s GAP]]*WWWW[[#This Row],[Total PoP ]]</f>
        <v>0</v>
      </c>
      <c r="CZ541" s="997">
        <f>IF(WWWW[[#This Row],[Total required water points]]-WWWW[[#This Row],['#Water points coverage]]&lt;0,0,WWWW[[#This Row],[Total required water points]]-WWWW[[#This Row],['#Water points coverage]])</f>
        <v>0.61399999999999999</v>
      </c>
      <c r="DA541" s="997">
        <f>ROUND(IF(WWWW[[#This Row],[Total PoP ]]&lt;500,1,WWWW[[#This Row],[Total PoP ]]/500),0)</f>
        <v>1</v>
      </c>
      <c r="DB541" s="997">
        <f>(WWWW[[#This Row],['#_Constructed latrines_by_WASHAgencies]]+WWWW[[#This Row],['#_Non Cluster partner latrines]])-WWWW[[#This Row],['#_Non-functional latrines]]</f>
        <v>9</v>
      </c>
      <c r="DC541" s="631">
        <f>WWWW[[#This Row],[HRP2]]/WWWW[[#This Row],[Total PoP ]]</f>
        <v>0.93264248704663211</v>
      </c>
      <c r="DD541"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541"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41"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1" s="424">
        <f>IF(WWWW[[#This Row],['# of functional latrines in THF supported by WASH partners during the reporting period2]]="",0,WWWW[[#This Row],['# of functional latrines in THF supported by WASH partners during the reporting period2]]*50)</f>
        <v>0</v>
      </c>
      <c r="DH541" s="997">
        <f>ROUND(IF(WWWW[[#This Row],[Location Type 1]]="camp",WWWW[[#This Row],[Total PoP ]]/20,IF(WWWW[[#This Row],[Location Type 1]]="Temporary Location",WWWW[[#This Row],[Total PoP ]]/50,(WWWW[[#This Row],[Total PoP ]]/6))),0)</f>
        <v>10</v>
      </c>
      <c r="DI541" s="997">
        <f>IF(WWWW[[#This Row],[Total required Latrines]]-(WWWW[[#This Row],['#_Constructed latrines_by_WASHAgencies]]+WWWW[[#This Row],['#_Non Cluster partner latrines]])&lt;0,0,WWWW[[#This Row],[Total required Latrines]]-(WWWW[[#This Row],['#_Constructed latrines_by_WASHAgencies]]+WWWW[[#This Row],['#_Non Cluster partner latrines]]))</f>
        <v>1</v>
      </c>
      <c r="DJ541" s="999">
        <f>1-WWWW[[#This Row],[% people access to functioning Latrine]]</f>
        <v>6.7357512953367893E-2</v>
      </c>
      <c r="DK541" s="998">
        <f>IF(OR(WWWW[[#This Row],['#_Non-functional latrines]]="",WWWW[[#This Row],['#_Non-functional latrines]]=0),0,WWWW[[#This Row],['#_Non-functional latrines]]/(WWWW[[#This Row],['#_Constructed latrines_by_WASHAgencies]]+WWWW[[#This Row],['#_Non Cluster partner latrines]]))</f>
        <v>0</v>
      </c>
      <c r="DL541" s="994">
        <f>IF(500*(WWWW[[#This Row],['#_male hygiene promoters]]+WWWW[[#This Row],['#_female hygiene promoters]])&gt;WWWW[[#This Row],[Total PoP ]],WWWW[[#This Row],[Total PoP ]],500*(WWWW[[#This Row],['#_male hygiene promoters]]+WWWW[[#This Row],['#_female hygiene promoters]]))</f>
        <v>193</v>
      </c>
      <c r="DM541"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193</v>
      </c>
      <c r="DN541"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41" s="997">
        <f>IF(WWWW[[#This Row],['# People with access to soap]]&gt;WWWW[[#This Row],['# People with access to Sanity Pads]],WWWW[[#This Row],['# People with access to soap]],WWWW[[#This Row],['# People with access to Sanity Pads]])</f>
        <v>193</v>
      </c>
      <c r="DP541" s="997">
        <f>IF(WWWW[[#This Row],['# people reached by regular dedicated hygiene promotion_5]]&gt;WWWW[[#This Row],['# People received regular supply of hygiene items_6]],WWWW[[#This Row],['# people reached by regular dedicated hygiene promotion_5]],WWWW[[#This Row],['# People received regular supply of hygiene items_6]])</f>
        <v>193</v>
      </c>
      <c r="DQ541" s="999">
        <f>IF(WWWW[[#This Row],[HRP3]]/WWWW[[#This Row],[Total PoP ]]&gt;1,1,WWWW[[#This Row],[HRP3]]/WWWW[[#This Row],[Total PoP ]])</f>
        <v>1</v>
      </c>
      <c r="DR541" s="998">
        <f>1-WWWW[[#This Row],[Hygiene Coverage%]]</f>
        <v>0</v>
      </c>
      <c r="DS541" s="996">
        <f>WWWW[[#This Row],['# people reached by regular dedicated hygiene promotion_5]]/WWWW[[#This Row],[Total PoP ]]</f>
        <v>1</v>
      </c>
      <c r="DT541"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41"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41" s="997">
        <f>WWWW[[#This Row],['#_Constructed/Existing hand washing stations]]-WWWW[[#This Row],['#_Non-Functional_hand_washing_stations]]</f>
        <v>5</v>
      </c>
      <c r="DW541" s="994">
        <f>IF(WWWW[[#This Row],['# Functional hand washing stations during reporting period]]*20&gt;WWWW[[#This Row],[Total HH]],WWWW[[#This Row],[Total HH]],WWWW[[#This Row],['# Functional hand washing stations during reporting period]]*20)</f>
        <v>68</v>
      </c>
      <c r="DX541" s="994">
        <f>IF(WWWW[[#This Row],[Is sufficient soap available for TLS? (Yes/No)]]="yes",WWWW[[#This Row],['#_Constructed/Existing hand washing stations at TLS/CFS/THF]],0)</f>
        <v>1</v>
      </c>
      <c r="DY541" s="428">
        <f>IF(WWWW[[#This Row],['# Functional hand washing stations during reporting period]]*100&gt;WWWW[[#This Row],[Total PoP ]],WWWW[[#This Row],[Total PoP ]],WWWW[[#This Row],['# Functional hand washing stations during reporting period]]*100)</f>
        <v>193</v>
      </c>
      <c r="DZ541" s="428" t="str">
        <f>IF(OR(WWWW[[#This Row],['#_students at TLS_CFS]]="",WWWW[[#This Row],['#_students at TLS_CFS]]=0),"No","Yes")</f>
        <v>No</v>
      </c>
      <c r="EA541" s="631">
        <f>IF(WWWW[[#This Row],['#_of_affected_people_surveyed_who_report_feeling_informed_about_the_different_WASH_services_available_to_them]]="","",WWWW[[#This Row],['#_of_affected_people_surveyed_who_report_feeling_informed_about_the_different_WASH_services_available_to_them]]/WWWW[[#This Row],[Total PoP ]])</f>
        <v>2.072538860103627E-2</v>
      </c>
      <c r="EB54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1" s="990" t="str">
        <f>VLOOKUP(WWWW[[#This Row],[Site Name]],SiteDB6[[Site Name]:[CCCM Management]],6,FALSE)</f>
        <v>Yes</v>
      </c>
      <c r="EF541" s="990" t="str">
        <f>VLOOKUP(WWWW[[#This Row],[Site Name]],SiteDB6[[Site Name]:[CCCM Focal Agency]],7,FALSE)</f>
        <v>Shalom</v>
      </c>
      <c r="EG541" s="990" t="str">
        <f>VLOOKUP(WWWW[[#This Row],[Site Name]],SiteDB6[[Site Name]:[Location Type 1]],9,FALSE)</f>
        <v>Camp</v>
      </c>
      <c r="EH541" s="990" t="str">
        <f>VLOOKUP(WWWW[[#This Row],[Site Name]],SiteDB6[[Site Name]:[Type of Accommodation]],10,FALSE)</f>
        <v>Camp</v>
      </c>
      <c r="EI541" s="990" t="str">
        <f>VLOOKUP(WWWW[[#This Row],[Site Name]],SiteDB6[[Site Name]:[Ethnic or GCA/NGCA]],11,FALSE)</f>
        <v>GCA</v>
      </c>
      <c r="EJ541" s="990">
        <f>VLOOKUP(WWWW[[#This Row],[Site Name]],SiteDB6[[Site Name]:[Lat]],12,FALSE)</f>
        <v>25.351250396825399</v>
      </c>
      <c r="EK541" s="990">
        <f>VLOOKUP(WWWW[[#This Row],[Site Name]],SiteDB6[[Site Name]:[Long]],13,FALSE)</f>
        <v>97.444283730158702</v>
      </c>
      <c r="EL541" s="990" t="str">
        <f>VLOOKUP(WWWW[[#This Row],[Site Name]],SiteDB6[[Site Name]:[Pcode]],3,FALSE)</f>
        <v>MMR001CMP038</v>
      </c>
      <c r="EM541" s="995" t="str">
        <f t="shared" si="11"/>
        <v>Covered</v>
      </c>
      <c r="EN541" s="995"/>
      <c r="EO541" s="990">
        <f>VLOOKUP(WWWW[[#This Row],[Site Name]],SiteDB6[[Site Name]:[Pop
(Kachin/Shan-CCCM as of July 2021)]],16,FALSE)</f>
        <v>71</v>
      </c>
      <c r="EP541" s="990">
        <f>VLOOKUP(WWWW[[#This Row],[Site Name]],SiteDB6[[Site Name]:[Pop
(Kachin/Shan-CCCM as of July 2021)]],17,FALSE)</f>
        <v>307</v>
      </c>
    </row>
    <row r="542" spans="1:146">
      <c r="A542" s="988" t="s">
        <v>2765</v>
      </c>
      <c r="B542" s="988" t="s">
        <v>309</v>
      </c>
      <c r="C542" s="989" t="s">
        <v>309</v>
      </c>
      <c r="D542" s="989"/>
      <c r="E542" s="989" t="s">
        <v>37</v>
      </c>
      <c r="F542" s="989" t="s">
        <v>142</v>
      </c>
      <c r="G542" s="591" t="str">
        <f>VLOOKUP(WWWW[[#This Row],[Site Name]],SiteDB6[[Site Name]:[Location Type]],8,FALSE)</f>
        <v>Camp</v>
      </c>
      <c r="H542" s="989" t="s">
        <v>2775</v>
      </c>
      <c r="I542" s="991">
        <v>27</v>
      </c>
      <c r="J542" s="991">
        <v>139</v>
      </c>
      <c r="K542" s="992"/>
      <c r="L542" s="993"/>
      <c r="M542" s="991"/>
      <c r="N542" s="991"/>
      <c r="O542" s="991"/>
      <c r="P542" s="991"/>
      <c r="Q542" s="994"/>
      <c r="R542" s="991"/>
      <c r="S542" s="991"/>
      <c r="T542" s="448"/>
      <c r="U542" s="991"/>
      <c r="V542" s="991"/>
      <c r="W542" s="991"/>
      <c r="X542" s="991"/>
      <c r="Y542" s="991"/>
      <c r="Z542" s="991"/>
      <c r="AA542" s="991"/>
      <c r="AB542" s="991"/>
      <c r="AC542" s="991"/>
      <c r="AD542" s="991"/>
      <c r="AE542" s="991"/>
      <c r="AF542" s="991"/>
      <c r="AG542" s="991"/>
      <c r="AH542" s="991"/>
      <c r="AI542" s="991"/>
      <c r="AJ542" s="991"/>
      <c r="AK542" s="991"/>
      <c r="AL542" s="991"/>
      <c r="AM542" s="991"/>
      <c r="AN542" s="991"/>
      <c r="AO542" s="448"/>
      <c r="AP542" s="995"/>
      <c r="AQ542" s="991"/>
      <c r="AR542" s="991"/>
      <c r="AS542" s="996"/>
      <c r="AT542" s="991"/>
      <c r="AU542" s="991"/>
      <c r="AV542" s="991"/>
      <c r="AW542" s="991"/>
      <c r="AX542" s="991"/>
      <c r="AY542" s="990" t="s">
        <v>140</v>
      </c>
      <c r="AZ542" s="995" t="s">
        <v>140</v>
      </c>
      <c r="BA542" s="991"/>
      <c r="BB542" s="991"/>
      <c r="BC542" s="991"/>
      <c r="BD542" s="448"/>
      <c r="BE542" s="448"/>
      <c r="BF542" s="990"/>
      <c r="BG542" s="991">
        <v>7</v>
      </c>
      <c r="BH542" s="991"/>
      <c r="BI542" s="991"/>
      <c r="BJ542" s="991">
        <v>7</v>
      </c>
      <c r="BK542" s="991"/>
      <c r="BL542" s="991"/>
      <c r="BM542" s="991"/>
      <c r="BN542" s="991"/>
      <c r="BO542" s="991"/>
      <c r="BP542" s="990"/>
      <c r="BQ542" s="997"/>
      <c r="BR542" s="996"/>
      <c r="BS542" s="990"/>
      <c r="BT542" s="423"/>
      <c r="BU542" s="423"/>
      <c r="BV542" s="425"/>
      <c r="BW542" s="423"/>
      <c r="BX542" s="448"/>
      <c r="BY542" s="448"/>
      <c r="BZ542" s="448"/>
      <c r="CA542" s="448"/>
      <c r="CB542" s="448"/>
      <c r="CC542" s="777"/>
      <c r="CD542" s="448"/>
      <c r="CE542" s="998" t="str">
        <f>IFERROR(WWWW[[#This Row],['#_Water sources passed]]/WWWW[[#This Row],['#_Water sources tested for fecal coliform ]],"no test")</f>
        <v>no test</v>
      </c>
      <c r="CF542" s="996" t="str">
        <f>IFERROR(WWWW[[#This Row],['#_Household passed]]/WWWW[[#This Row],['#_Household water samples tested for fecal coliform]],"no test")</f>
        <v>no test</v>
      </c>
      <c r="CG542" s="997" t="str">
        <f>IF(AND(WWWW[[#This Row],[% of water sources passed]]="no test",WWWW[[#This Row],[% Household passed]]="no test"),"No Test","Tested")</f>
        <v>No Test</v>
      </c>
      <c r="CH542" s="997">
        <f>WWWW[[#This Row],['#_Constructed/existing protected hand dug well]]-WWWW[[#This Row],['#_Non-functional protected hand dug well]]</f>
        <v>0</v>
      </c>
      <c r="CI542" s="997">
        <f>(WWWW[[#This Row],['#_Constructed/Existing tube wells/boreholes/handpumps_WASH_agency]]+WWWW[[#This Row],['#_Non-Cluster partner water tube-wells/boreholes/handpumps]])-WWWW[[#This Row],['#_Non-functional tube wells/boreholes/handpumps]]</f>
        <v>0</v>
      </c>
      <c r="CJ542" s="997">
        <f>WWWW[[#This Row],['#_Constructed/Existingwater storage tank with gravity fed reticulation system]]-WWWW[[#This Row],['#_Non-functional storage tank gravity fed reticulation system]]</f>
        <v>0</v>
      </c>
      <c r="CK542" s="997">
        <f>(WWWW[[#This Row],['#_Water_Liters_supplied_by_Water boating or water trucking]]/90)/15</f>
        <v>0</v>
      </c>
      <c r="CL542" s="997">
        <f>WWWW[[#This Row],['#_Water_Liters_from_Constructed/Existing water distribution system from river or natural spring]]/90/15</f>
        <v>0</v>
      </c>
      <c r="CM542" s="424">
        <f>IF(WWWW[[#This Row],['#_of water points in TLS/CFS]]*500&gt;WWWW[[#This Row],[Total PoP ]],WWWW[[#This Row],[Total PoP ]],WWWW[[#This Row],['#_of water points in TLS/CFS]]*500)</f>
        <v>0</v>
      </c>
      <c r="CN542" s="424">
        <f>IF(WWWW[[#This Row],['#_of water points in THF]]*500&gt;WWWW[[#This Row],[Total PoP ]],WWWW[[#This Row],[Total PoP ]],WWWW[[#This Row],['#_of water points in THF]]*500)</f>
        <v>0</v>
      </c>
      <c r="CO542"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42"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42" s="996">
        <f>IF(WWWW[[#This Row],[Location Type 1]]="Village",WWWW[[#This Row],[Access to safe drinking water for Village]],WWWW[[#This Row],[Access to safe drinking water for Camp]])</f>
        <v>0</v>
      </c>
      <c r="CR542" s="994">
        <f>WWWW[[#This Row],[%Equitable and continuous access to sufficient quantity of safe drinking water]]*WWWW[[#This Row],[Total PoP ]]</f>
        <v>0</v>
      </c>
      <c r="CS542" s="996">
        <f>IF((WWWW[[#This Row],['#_Constructed/Existing protected/fenced ponds]]*250)/WWWW[[#This Row],[Total PoP ]]&gt;1,1,(WWWW[[#This Row],['#_Constructed/Existing protected/fenced ponds]]*250)/WWWW[[#This Row],[Total PoP ]])</f>
        <v>0</v>
      </c>
      <c r="CT542" s="994">
        <f>WWWW[[#This Row],[% Access to unimproved water points]]*WWWW[[#This Row],[Total PoP ]]</f>
        <v>0</v>
      </c>
      <c r="CU542"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42"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42" s="994">
        <f>WWWW[[#This Row],[HRP1]]/500</f>
        <v>0</v>
      </c>
      <c r="CX542" s="999">
        <f>1-WWWW[[#This Row],[% Equitable and continuous access to sufficient quantity of domestic water]]</f>
        <v>1</v>
      </c>
      <c r="CY542" s="994">
        <f>WWWW[[#This Row],[%equitable and continuous access to sufficient quantity of safe drinking and domestic water''s GAP]]*WWWW[[#This Row],[Total PoP ]]</f>
        <v>139</v>
      </c>
      <c r="CZ542" s="997">
        <f>IF(WWWW[[#This Row],[Total required water points]]-WWWW[[#This Row],['#Water points coverage]]&lt;0,0,WWWW[[#This Row],[Total required water points]]-WWWW[[#This Row],['#Water points coverage]])</f>
        <v>1</v>
      </c>
      <c r="DA542" s="997">
        <f>ROUND(IF(WWWW[[#This Row],[Total PoP ]]&lt;500,1,WWWW[[#This Row],[Total PoP ]]/500),0)</f>
        <v>1</v>
      </c>
      <c r="DB542" s="997">
        <f>(WWWW[[#This Row],['#_Constructed latrines_by_WASHAgencies]]+WWWW[[#This Row],['#_Non Cluster partner latrines]])-WWWW[[#This Row],['#_Non-functional latrines]]</f>
        <v>0</v>
      </c>
      <c r="DC542" s="631">
        <f>WWWW[[#This Row],[HRP2]]/WWWW[[#This Row],[Total PoP ]]</f>
        <v>0</v>
      </c>
      <c r="DD542"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42"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42"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2" s="424">
        <f>IF(WWWW[[#This Row],['# of functional latrines in THF supported by WASH partners during the reporting period2]]="",0,WWWW[[#This Row],['# of functional latrines in THF supported by WASH partners during the reporting period2]]*50)</f>
        <v>0</v>
      </c>
      <c r="DH542" s="997">
        <f>ROUND(IF(WWWW[[#This Row],[Location Type 1]]="camp",WWWW[[#This Row],[Total PoP ]]/20,IF(WWWW[[#This Row],[Location Type 1]]="Temporary Location",WWWW[[#This Row],[Total PoP ]]/50,(WWWW[[#This Row],[Total PoP ]]/6))),0)</f>
        <v>7</v>
      </c>
      <c r="DI542" s="997">
        <f>IF(WWWW[[#This Row],[Total required Latrines]]-(WWWW[[#This Row],['#_Constructed latrines_by_WASHAgencies]]+WWWW[[#This Row],['#_Non Cluster partner latrines]])&lt;0,0,WWWW[[#This Row],[Total required Latrines]]-(WWWW[[#This Row],['#_Constructed latrines_by_WASHAgencies]]+WWWW[[#This Row],['#_Non Cluster partner latrines]]))</f>
        <v>7</v>
      </c>
      <c r="DJ542" s="999">
        <f>1-WWWW[[#This Row],[% people access to functioning Latrine]]</f>
        <v>1</v>
      </c>
      <c r="DK542" s="998">
        <f>IF(OR(WWWW[[#This Row],['#_Non-functional latrines]]="",WWWW[[#This Row],['#_Non-functional latrines]]=0),0,WWWW[[#This Row],['#_Non-functional latrines]]/(WWWW[[#This Row],['#_Constructed latrines_by_WASHAgencies]]+WWWW[[#This Row],['#_Non Cluster partner latrines]]))</f>
        <v>0</v>
      </c>
      <c r="DL542" s="994">
        <f>IF(500*(WWWW[[#This Row],['#_male hygiene promoters]]+WWWW[[#This Row],['#_female hygiene promoters]])&gt;WWWW[[#This Row],[Total PoP ]],WWWW[[#This Row],[Total PoP ]],500*(WWWW[[#This Row],['#_male hygiene promoters]]+WWWW[[#This Row],['#_female hygiene promoters]]))</f>
        <v>0</v>
      </c>
      <c r="DM542"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42"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42" s="997">
        <f>IF(WWWW[[#This Row],['# People with access to soap]]&gt;WWWW[[#This Row],['# People with access to Sanity Pads]],WWWW[[#This Row],['# People with access to soap]],WWWW[[#This Row],['# People with access to Sanity Pads]])</f>
        <v>0</v>
      </c>
      <c r="DP542"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42" s="999">
        <f>IF(WWWW[[#This Row],[HRP3]]/WWWW[[#This Row],[Total PoP ]]&gt;1,1,WWWW[[#This Row],[HRP3]]/WWWW[[#This Row],[Total PoP ]])</f>
        <v>0</v>
      </c>
      <c r="DR542" s="998">
        <f>1-WWWW[[#This Row],[Hygiene Coverage%]]</f>
        <v>1</v>
      </c>
      <c r="DS542" s="996">
        <f>WWWW[[#This Row],['# people reached by regular dedicated hygiene promotion_5]]/WWWW[[#This Row],[Total PoP ]]</f>
        <v>0</v>
      </c>
      <c r="DT542"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42"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42" s="997">
        <f>WWWW[[#This Row],['#_Constructed/Existing hand washing stations]]-WWWW[[#This Row],['#_Non-Functional_hand_washing_stations]]</f>
        <v>7</v>
      </c>
      <c r="DW542" s="994">
        <f>IF(WWWW[[#This Row],['# Functional hand washing stations during reporting period]]*20&gt;WWWW[[#This Row],[Total HH]],WWWW[[#This Row],[Total HH]],WWWW[[#This Row],['# Functional hand washing stations during reporting period]]*20)</f>
        <v>27</v>
      </c>
      <c r="DX542" s="994">
        <f>IF(WWWW[[#This Row],[Is sufficient soap available for TLS? (Yes/No)]]="yes",WWWW[[#This Row],['#_Constructed/Existing hand washing stations at TLS/CFS/THF]],0)</f>
        <v>0</v>
      </c>
      <c r="DY542" s="428">
        <f>IF(WWWW[[#This Row],['# Functional hand washing stations during reporting period]]*100&gt;WWWW[[#This Row],[Total PoP ]],WWWW[[#This Row],[Total PoP ]],WWWW[[#This Row],['# Functional hand washing stations during reporting period]]*100)</f>
        <v>139</v>
      </c>
      <c r="DZ542" s="428" t="str">
        <f>IF(OR(WWWW[[#This Row],['#_students at TLS_CFS]]="",WWWW[[#This Row],['#_students at TLS_CFS]]=0),"No","Yes")</f>
        <v>No</v>
      </c>
      <c r="EA54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4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2" s="990">
        <f>VLOOKUP(WWWW[[#This Row],[Site Name]],SiteDB6[[Site Name]:[CCCM Management]],6,FALSE)</f>
        <v>0</v>
      </c>
      <c r="EF542" s="990" t="str">
        <f>VLOOKUP(WWWW[[#This Row],[Site Name]],SiteDB6[[Site Name]:[CCCM Focal Agency]],7,FALSE)</f>
        <v xml:space="preserve">Uncovered  </v>
      </c>
      <c r="EG542" s="990" t="str">
        <f>VLOOKUP(WWWW[[#This Row],[Site Name]],SiteDB6[[Site Name]:[Location Type 1]],9,FALSE)</f>
        <v>Camp</v>
      </c>
      <c r="EH542" s="990" t="str">
        <f>VLOOKUP(WWWW[[#This Row],[Site Name]],SiteDB6[[Site Name]:[Type of Accommodation]],10,FALSE)</f>
        <v>Camp like setting</v>
      </c>
      <c r="EI542" s="990" t="str">
        <f>VLOOKUP(WWWW[[#This Row],[Site Name]],SiteDB6[[Site Name]:[Ethnic or GCA/NGCA]],11,FALSE)</f>
        <v>GCA</v>
      </c>
      <c r="EJ542" s="990">
        <f>VLOOKUP(WWWW[[#This Row],[Site Name]],SiteDB6[[Site Name]:[Lat]],12,FALSE)</f>
        <v>25.211500000000001</v>
      </c>
      <c r="EK542" s="990">
        <f>VLOOKUP(WWWW[[#This Row],[Site Name]],SiteDB6[[Site Name]:[Long]],13,FALSE)</f>
        <v>97.261799999999994</v>
      </c>
      <c r="EL542" s="990" t="str">
        <f>VLOOKUP(WWWW[[#This Row],[Site Name]],SiteDB6[[Site Name]:[Pcode]],3,FALSE)</f>
        <v>MMR001CMP287</v>
      </c>
      <c r="EM542" s="995" t="str">
        <f t="shared" si="11"/>
        <v>Notcovered</v>
      </c>
      <c r="EN542" s="995"/>
      <c r="EO542" s="990">
        <f>VLOOKUP(WWWW[[#This Row],[Site Name]],SiteDB6[[Site Name]:[Pop
(Kachin/Shan-CCCM as of July 2021)]],16,FALSE)</f>
        <v>27</v>
      </c>
      <c r="EP542" s="990">
        <f>VLOOKUP(WWWW[[#This Row],[Site Name]],SiteDB6[[Site Name]:[Pop
(Kachin/Shan-CCCM as of July 2021)]],17,FALSE)</f>
        <v>139</v>
      </c>
    </row>
    <row r="543" spans="1:146">
      <c r="A543" s="988" t="s">
        <v>2765</v>
      </c>
      <c r="B543" s="988" t="s">
        <v>192</v>
      </c>
      <c r="C543" s="989" t="s">
        <v>192</v>
      </c>
      <c r="D543" s="989" t="s">
        <v>3050</v>
      </c>
      <c r="E543" s="989" t="s">
        <v>37</v>
      </c>
      <c r="F543" s="989" t="s">
        <v>142</v>
      </c>
      <c r="G543" s="591" t="str">
        <f>VLOOKUP(WWWW[[#This Row],[Site Name]],SiteDB6[[Site Name]:[Location Type]],8,FALSE)</f>
        <v>Camp_not registered</v>
      </c>
      <c r="H543" s="989" t="s">
        <v>223</v>
      </c>
      <c r="I543" s="991">
        <v>134</v>
      </c>
      <c r="J543" s="991">
        <v>709</v>
      </c>
      <c r="K543" s="992" t="s">
        <v>2670</v>
      </c>
      <c r="L543" s="993" t="s">
        <v>2680</v>
      </c>
      <c r="M543" s="991"/>
      <c r="N543" s="991"/>
      <c r="O543" s="991"/>
      <c r="P543" s="991"/>
      <c r="Q543" s="994" t="s">
        <v>136</v>
      </c>
      <c r="R543" s="991"/>
      <c r="S543" s="991"/>
      <c r="T543" s="448"/>
      <c r="U543" s="991"/>
      <c r="V543" s="991"/>
      <c r="W543" s="991"/>
      <c r="X543" s="991"/>
      <c r="Y543" s="991"/>
      <c r="Z543" s="991"/>
      <c r="AA543" s="991"/>
      <c r="AB543" s="991"/>
      <c r="AC543" s="991"/>
      <c r="AD543" s="991"/>
      <c r="AE543" s="991"/>
      <c r="AF543" s="991"/>
      <c r="AG543" s="991"/>
      <c r="AH543" s="991"/>
      <c r="AI543" s="991"/>
      <c r="AJ543" s="991"/>
      <c r="AK543" s="991"/>
      <c r="AL543" s="991"/>
      <c r="AM543" s="991"/>
      <c r="AN543" s="991"/>
      <c r="AO543" s="448"/>
      <c r="AP543" s="995"/>
      <c r="AQ543" s="991"/>
      <c r="AR543" s="991"/>
      <c r="AS543" s="996"/>
      <c r="AT543" s="991"/>
      <c r="AU543" s="991"/>
      <c r="AV543" s="991"/>
      <c r="AW543" s="991"/>
      <c r="AX543" s="991"/>
      <c r="AY543" s="990" t="s">
        <v>41</v>
      </c>
      <c r="AZ543" s="995" t="s">
        <v>904</v>
      </c>
      <c r="BA543" s="991"/>
      <c r="BB543" s="991"/>
      <c r="BC543" s="991"/>
      <c r="BD543" s="448"/>
      <c r="BE543" s="448"/>
      <c r="BF543" s="990"/>
      <c r="BG543" s="991">
        <v>8</v>
      </c>
      <c r="BH543" s="991"/>
      <c r="BI543" s="991"/>
      <c r="BJ543" s="991">
        <v>3</v>
      </c>
      <c r="BK543" s="991"/>
      <c r="BL543" s="991"/>
      <c r="BM543" s="991"/>
      <c r="BN543" s="991"/>
      <c r="BO543" s="991"/>
      <c r="BP543" s="990"/>
      <c r="BQ543" s="997"/>
      <c r="BR543" s="996"/>
      <c r="BS543" s="990"/>
      <c r="BT543" s="423"/>
      <c r="BU543" s="423"/>
      <c r="BV543" s="425"/>
      <c r="BW543" s="423"/>
      <c r="BX543" s="448"/>
      <c r="BY543" s="448"/>
      <c r="BZ543" s="448"/>
      <c r="CA543" s="448"/>
      <c r="CB543" s="448"/>
      <c r="CC543" s="777"/>
      <c r="CD543" s="448"/>
      <c r="CE543" s="998" t="str">
        <f>IFERROR(WWWW[[#This Row],['#_Water sources passed]]/WWWW[[#This Row],['#_Water sources tested for fecal coliform ]],"no test")</f>
        <v>no test</v>
      </c>
      <c r="CF543" s="996" t="str">
        <f>IFERROR(WWWW[[#This Row],['#_Household passed]]/WWWW[[#This Row],['#_Household water samples tested for fecal coliform]],"no test")</f>
        <v>no test</v>
      </c>
      <c r="CG543" s="997" t="str">
        <f>IF(AND(WWWW[[#This Row],[% of water sources passed]]="no test",WWWW[[#This Row],[% Household passed]]="no test"),"No Test","Tested")</f>
        <v>No Test</v>
      </c>
      <c r="CH543" s="997">
        <f>WWWW[[#This Row],['#_Constructed/existing protected hand dug well]]-WWWW[[#This Row],['#_Non-functional protected hand dug well]]</f>
        <v>0</v>
      </c>
      <c r="CI543" s="997">
        <f>(WWWW[[#This Row],['#_Constructed/Existing tube wells/boreholes/handpumps_WASH_agency]]+WWWW[[#This Row],['#_Non-Cluster partner water tube-wells/boreholes/handpumps]])-WWWW[[#This Row],['#_Non-functional tube wells/boreholes/handpumps]]</f>
        <v>0</v>
      </c>
      <c r="CJ543" s="997">
        <f>WWWW[[#This Row],['#_Constructed/Existingwater storage tank with gravity fed reticulation system]]-WWWW[[#This Row],['#_Non-functional storage tank gravity fed reticulation system]]</f>
        <v>0</v>
      </c>
      <c r="CK543" s="997">
        <f>(WWWW[[#This Row],['#_Water_Liters_supplied_by_Water boating or water trucking]]/90)/15</f>
        <v>0</v>
      </c>
      <c r="CL543" s="997">
        <f>WWWW[[#This Row],['#_Water_Liters_from_Constructed/Existing water distribution system from river or natural spring]]/90/15</f>
        <v>0</v>
      </c>
      <c r="CM543" s="424">
        <f>IF(WWWW[[#This Row],['#_of water points in TLS/CFS]]*500&gt;WWWW[[#This Row],[Total PoP ]],WWWW[[#This Row],[Total PoP ]],WWWW[[#This Row],['#_of water points in TLS/CFS]]*500)</f>
        <v>0</v>
      </c>
      <c r="CN543" s="424">
        <f>IF(WWWW[[#This Row],['#_of water points in THF]]*500&gt;WWWW[[#This Row],[Total PoP ]],WWWW[[#This Row],[Total PoP ]],WWWW[[#This Row],['#_of water points in THF]]*500)</f>
        <v>0</v>
      </c>
      <c r="CO543"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43"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43" s="996">
        <f>IF(WWWW[[#This Row],[Location Type 1]]="Village",WWWW[[#This Row],[Access to safe drinking water for Village]],WWWW[[#This Row],[Access to safe drinking water for Camp]])</f>
        <v>0</v>
      </c>
      <c r="CR543" s="994">
        <f>WWWW[[#This Row],[%Equitable and continuous access to sufficient quantity of safe drinking water]]*WWWW[[#This Row],[Total PoP ]]</f>
        <v>0</v>
      </c>
      <c r="CS543" s="996">
        <f>IF((WWWW[[#This Row],['#_Constructed/Existing protected/fenced ponds]]*250)/WWWW[[#This Row],[Total PoP ]]&gt;1,1,(WWWW[[#This Row],['#_Constructed/Existing protected/fenced ponds]]*250)/WWWW[[#This Row],[Total PoP ]])</f>
        <v>0</v>
      </c>
      <c r="CT543" s="994">
        <f>WWWW[[#This Row],[% Access to unimproved water points]]*WWWW[[#This Row],[Total PoP ]]</f>
        <v>0</v>
      </c>
      <c r="CU543"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43"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43" s="994">
        <f>WWWW[[#This Row],[HRP1]]/500</f>
        <v>0</v>
      </c>
      <c r="CX543" s="999">
        <f>1-WWWW[[#This Row],[% Equitable and continuous access to sufficient quantity of domestic water]]</f>
        <v>1</v>
      </c>
      <c r="CY543" s="994">
        <f>WWWW[[#This Row],[%equitable and continuous access to sufficient quantity of safe drinking and domestic water''s GAP]]*WWWW[[#This Row],[Total PoP ]]</f>
        <v>709</v>
      </c>
      <c r="CZ543" s="997">
        <f>IF(WWWW[[#This Row],[Total required water points]]-WWWW[[#This Row],['#Water points coverage]]&lt;0,0,WWWW[[#This Row],[Total required water points]]-WWWW[[#This Row],['#Water points coverage]])</f>
        <v>1</v>
      </c>
      <c r="DA543" s="997">
        <f>ROUND(IF(WWWW[[#This Row],[Total PoP ]]&lt;500,1,WWWW[[#This Row],[Total PoP ]]/500),0)</f>
        <v>1</v>
      </c>
      <c r="DB543" s="997">
        <f>(WWWW[[#This Row],['#_Constructed latrines_by_WASHAgencies]]+WWWW[[#This Row],['#_Non Cluster partner latrines]])-WWWW[[#This Row],['#_Non-functional latrines]]</f>
        <v>0</v>
      </c>
      <c r="DC543" s="631">
        <f>WWWW[[#This Row],[HRP2]]/WWWW[[#This Row],[Total PoP ]]</f>
        <v>0</v>
      </c>
      <c r="DD543"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43"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43"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3" s="424">
        <f>IF(WWWW[[#This Row],['# of functional latrines in THF supported by WASH partners during the reporting period2]]="",0,WWWW[[#This Row],['# of functional latrines in THF supported by WASH partners during the reporting period2]]*50)</f>
        <v>0</v>
      </c>
      <c r="DH543" s="997">
        <f>ROUND(IF(WWWW[[#This Row],[Location Type 1]]="camp",WWWW[[#This Row],[Total PoP ]]/20,IF(WWWW[[#This Row],[Location Type 1]]="Temporary Location",WWWW[[#This Row],[Total PoP ]]/50,(WWWW[[#This Row],[Total PoP ]]/6))),0)</f>
        <v>35</v>
      </c>
      <c r="DI543" s="997">
        <f>IF(WWWW[[#This Row],[Total required Latrines]]-(WWWW[[#This Row],['#_Constructed latrines_by_WASHAgencies]]+WWWW[[#This Row],['#_Non Cluster partner latrines]])&lt;0,0,WWWW[[#This Row],[Total required Latrines]]-(WWWW[[#This Row],['#_Constructed latrines_by_WASHAgencies]]+WWWW[[#This Row],['#_Non Cluster partner latrines]]))</f>
        <v>35</v>
      </c>
      <c r="DJ543" s="999">
        <f>1-WWWW[[#This Row],[% people access to functioning Latrine]]</f>
        <v>1</v>
      </c>
      <c r="DK543" s="998">
        <f>IF(OR(WWWW[[#This Row],['#_Non-functional latrines]]="",WWWW[[#This Row],['#_Non-functional latrines]]=0),0,WWWW[[#This Row],['#_Non-functional latrines]]/(WWWW[[#This Row],['#_Constructed latrines_by_WASHAgencies]]+WWWW[[#This Row],['#_Non Cluster partner latrines]]))</f>
        <v>0</v>
      </c>
      <c r="DL543" s="994">
        <f>IF(500*(WWWW[[#This Row],['#_male hygiene promoters]]+WWWW[[#This Row],['#_female hygiene promoters]])&gt;WWWW[[#This Row],[Total PoP ]],WWWW[[#This Row],[Total PoP ]],500*(WWWW[[#This Row],['#_male hygiene promoters]]+WWWW[[#This Row],['#_female hygiene promoters]]))</f>
        <v>0</v>
      </c>
      <c r="DM543"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43"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43" s="997">
        <f>IF(WWWW[[#This Row],['# People with access to soap]]&gt;WWWW[[#This Row],['# People with access to Sanity Pads]],WWWW[[#This Row],['# People with access to soap]],WWWW[[#This Row],['# People with access to Sanity Pads]])</f>
        <v>0</v>
      </c>
      <c r="DP543"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43" s="999">
        <f>IF(WWWW[[#This Row],[HRP3]]/WWWW[[#This Row],[Total PoP ]]&gt;1,1,WWWW[[#This Row],[HRP3]]/WWWW[[#This Row],[Total PoP ]])</f>
        <v>0</v>
      </c>
      <c r="DR543" s="998">
        <f>1-WWWW[[#This Row],[Hygiene Coverage%]]</f>
        <v>1</v>
      </c>
      <c r="DS543" s="996">
        <f>WWWW[[#This Row],['# people reached by regular dedicated hygiene promotion_5]]/WWWW[[#This Row],[Total PoP ]]</f>
        <v>0</v>
      </c>
      <c r="DT543"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43"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43" s="997">
        <f>WWWW[[#This Row],['#_Constructed/Existing hand washing stations]]-WWWW[[#This Row],['#_Non-Functional_hand_washing_stations]]</f>
        <v>8</v>
      </c>
      <c r="DW543" s="994">
        <f>IF(WWWW[[#This Row],['# Functional hand washing stations during reporting period]]*20&gt;WWWW[[#This Row],[Total HH]],WWWW[[#This Row],[Total HH]],WWWW[[#This Row],['# Functional hand washing stations during reporting period]]*20)</f>
        <v>134</v>
      </c>
      <c r="DX543" s="994">
        <f>IF(WWWW[[#This Row],[Is sufficient soap available for TLS? (Yes/No)]]="yes",WWWW[[#This Row],['#_Constructed/Existing hand washing stations at TLS/CFS/THF]],0)</f>
        <v>0</v>
      </c>
      <c r="DY543" s="428">
        <f>IF(WWWW[[#This Row],['# Functional hand washing stations during reporting period]]*100&gt;WWWW[[#This Row],[Total PoP ]],WWWW[[#This Row],[Total PoP ]],WWWW[[#This Row],['# Functional hand washing stations during reporting period]]*100)</f>
        <v>709</v>
      </c>
      <c r="DZ543" s="428" t="str">
        <f>IF(OR(WWWW[[#This Row],['#_students at TLS_CFS]]="",WWWW[[#This Row],['#_students at TLS_CFS]]=0),"No","Yes")</f>
        <v>No</v>
      </c>
      <c r="EA54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4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3" s="990">
        <f>VLOOKUP(WWWW[[#This Row],[Site Name]],SiteDB6[[Site Name]:[CCCM Management]],6,FALSE)</f>
        <v>0</v>
      </c>
      <c r="EF543" s="990">
        <f>VLOOKUP(WWWW[[#This Row],[Site Name]],SiteDB6[[Site Name]:[CCCM Focal Agency]],7,FALSE)</f>
        <v>0</v>
      </c>
      <c r="EG543" s="990" t="str">
        <f>VLOOKUP(WWWW[[#This Row],[Site Name]],SiteDB6[[Site Name]:[Location Type 1]],9,FALSE)</f>
        <v>Camp</v>
      </c>
      <c r="EH543" s="990" t="str">
        <f>VLOOKUP(WWWW[[#This Row],[Site Name]],SiteDB6[[Site Name]:[Type of Accommodation]],10,FALSE)</f>
        <v>CAMP</v>
      </c>
      <c r="EI543" s="990" t="str">
        <f>VLOOKUP(WWWW[[#This Row],[Site Name]],SiteDB6[[Site Name]:[Ethnic or GCA/NGCA]],11,FALSE)</f>
        <v>NGCA</v>
      </c>
      <c r="EJ543" s="990">
        <f>VLOOKUP(WWWW[[#This Row],[Site Name]],SiteDB6[[Site Name]:[Lat]],12,FALSE)</f>
        <v>0</v>
      </c>
      <c r="EK543" s="990">
        <f>VLOOKUP(WWWW[[#This Row],[Site Name]],SiteDB6[[Site Name]:[Long]],13,FALSE)</f>
        <v>0</v>
      </c>
      <c r="EL543" s="990">
        <f>VLOOKUP(WWWW[[#This Row],[Site Name]],SiteDB6[[Site Name]:[Pcode]],3,FALSE)</f>
        <v>0</v>
      </c>
      <c r="EM543" s="995" t="str">
        <f t="shared" si="11"/>
        <v>Covered</v>
      </c>
      <c r="EN543" s="995"/>
      <c r="EO543" s="990">
        <f>VLOOKUP(WWWW[[#This Row],[Site Name]],SiteDB6[[Site Name]:[Pop
(Kachin/Shan-CCCM as of July 2021)]],16,FALSE)</f>
        <v>0</v>
      </c>
      <c r="EP543" s="990">
        <f>VLOOKUP(WWWW[[#This Row],[Site Name]],SiteDB6[[Site Name]:[Pop
(Kachin/Shan-CCCM as of July 2021)]],17,FALSE)</f>
        <v>0</v>
      </c>
    </row>
    <row r="544" spans="1:146">
      <c r="A544" s="988" t="s">
        <v>2765</v>
      </c>
      <c r="B544" s="988" t="s">
        <v>192</v>
      </c>
      <c r="C544" s="989" t="s">
        <v>192</v>
      </c>
      <c r="D544" s="989" t="s">
        <v>3050</v>
      </c>
      <c r="E544" s="989" t="s">
        <v>37</v>
      </c>
      <c r="F544" s="989" t="s">
        <v>142</v>
      </c>
      <c r="G544" s="591" t="str">
        <f>VLOOKUP(WWWW[[#This Row],[Site Name]],SiteDB6[[Site Name]:[Location Type]],8,FALSE)</f>
        <v>Camp_not registered</v>
      </c>
      <c r="H544" s="989" t="s">
        <v>222</v>
      </c>
      <c r="I544" s="991">
        <v>546</v>
      </c>
      <c r="J544" s="991">
        <v>2550</v>
      </c>
      <c r="K544" s="992" t="s">
        <v>2670</v>
      </c>
      <c r="L544" s="993" t="s">
        <v>2680</v>
      </c>
      <c r="M544" s="991"/>
      <c r="N544" s="991"/>
      <c r="O544" s="991"/>
      <c r="P544" s="991"/>
      <c r="Q544" s="994" t="s">
        <v>136</v>
      </c>
      <c r="R544" s="991"/>
      <c r="S544" s="991"/>
      <c r="T544" s="448"/>
      <c r="U544" s="991"/>
      <c r="V544" s="991"/>
      <c r="W544" s="991"/>
      <c r="X544" s="991"/>
      <c r="Y544" s="991"/>
      <c r="Z544" s="991"/>
      <c r="AA544" s="991"/>
      <c r="AB544" s="991"/>
      <c r="AC544" s="991"/>
      <c r="AD544" s="991"/>
      <c r="AE544" s="991"/>
      <c r="AF544" s="991"/>
      <c r="AG544" s="991"/>
      <c r="AH544" s="991"/>
      <c r="AI544" s="991"/>
      <c r="AJ544" s="991"/>
      <c r="AK544" s="991"/>
      <c r="AL544" s="991"/>
      <c r="AM544" s="991"/>
      <c r="AN544" s="991"/>
      <c r="AO544" s="448"/>
      <c r="AP544" s="995"/>
      <c r="AQ544" s="991"/>
      <c r="AR544" s="991"/>
      <c r="AS544" s="996"/>
      <c r="AT544" s="991"/>
      <c r="AU544" s="991"/>
      <c r="AV544" s="991"/>
      <c r="AW544" s="991"/>
      <c r="AX544" s="991"/>
      <c r="AY544" s="990" t="s">
        <v>136</v>
      </c>
      <c r="AZ544" s="995" t="s">
        <v>136</v>
      </c>
      <c r="BA544" s="991"/>
      <c r="BB544" s="991"/>
      <c r="BC544" s="991"/>
      <c r="BD544" s="448"/>
      <c r="BE544" s="448"/>
      <c r="BF544" s="990"/>
      <c r="BG544" s="991">
        <v>7</v>
      </c>
      <c r="BH544" s="991"/>
      <c r="BI544" s="991"/>
      <c r="BJ544" s="991">
        <v>7</v>
      </c>
      <c r="BK544" s="991"/>
      <c r="BL544" s="991"/>
      <c r="BM544" s="991"/>
      <c r="BN544" s="991"/>
      <c r="BO544" s="991"/>
      <c r="BP544" s="990"/>
      <c r="BQ544" s="997"/>
      <c r="BR544" s="996"/>
      <c r="BS544" s="990"/>
      <c r="BT544" s="423"/>
      <c r="BU544" s="423"/>
      <c r="BV544" s="425"/>
      <c r="BW544" s="423"/>
      <c r="BX544" s="448"/>
      <c r="BY544" s="448"/>
      <c r="BZ544" s="448"/>
      <c r="CA544" s="448"/>
      <c r="CB544" s="448"/>
      <c r="CC544" s="777"/>
      <c r="CD544" s="448"/>
      <c r="CE544" s="998" t="str">
        <f>IFERROR(WWWW[[#This Row],['#_Water sources passed]]/WWWW[[#This Row],['#_Water sources tested for fecal coliform ]],"no test")</f>
        <v>no test</v>
      </c>
      <c r="CF544" s="996" t="str">
        <f>IFERROR(WWWW[[#This Row],['#_Household passed]]/WWWW[[#This Row],['#_Household water samples tested for fecal coliform]],"no test")</f>
        <v>no test</v>
      </c>
      <c r="CG544" s="997" t="str">
        <f>IF(AND(WWWW[[#This Row],[% of water sources passed]]="no test",WWWW[[#This Row],[% Household passed]]="no test"),"No Test","Tested")</f>
        <v>No Test</v>
      </c>
      <c r="CH544" s="997">
        <f>WWWW[[#This Row],['#_Constructed/existing protected hand dug well]]-WWWW[[#This Row],['#_Non-functional protected hand dug well]]</f>
        <v>0</v>
      </c>
      <c r="CI544" s="997">
        <f>(WWWW[[#This Row],['#_Constructed/Existing tube wells/boreholes/handpumps_WASH_agency]]+WWWW[[#This Row],['#_Non-Cluster partner water tube-wells/boreholes/handpumps]])-WWWW[[#This Row],['#_Non-functional tube wells/boreholes/handpumps]]</f>
        <v>0</v>
      </c>
      <c r="CJ544" s="997">
        <f>WWWW[[#This Row],['#_Constructed/Existingwater storage tank with gravity fed reticulation system]]-WWWW[[#This Row],['#_Non-functional storage tank gravity fed reticulation system]]</f>
        <v>0</v>
      </c>
      <c r="CK544" s="997">
        <f>(WWWW[[#This Row],['#_Water_Liters_supplied_by_Water boating or water trucking]]/90)/15</f>
        <v>0</v>
      </c>
      <c r="CL544" s="997">
        <f>WWWW[[#This Row],['#_Water_Liters_from_Constructed/Existing water distribution system from river or natural spring]]/90/15</f>
        <v>0</v>
      </c>
      <c r="CM544" s="424">
        <f>IF(WWWW[[#This Row],['#_of water points in TLS/CFS]]*500&gt;WWWW[[#This Row],[Total PoP ]],WWWW[[#This Row],[Total PoP ]],WWWW[[#This Row],['#_of water points in TLS/CFS]]*500)</f>
        <v>0</v>
      </c>
      <c r="CN544" s="424">
        <f>IF(WWWW[[#This Row],['#_of water points in THF]]*500&gt;WWWW[[#This Row],[Total PoP ]],WWWW[[#This Row],[Total PoP ]],WWWW[[#This Row],['#_of water points in THF]]*500)</f>
        <v>0</v>
      </c>
      <c r="CO544"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44"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44" s="996">
        <f>IF(WWWW[[#This Row],[Location Type 1]]="Village",WWWW[[#This Row],[Access to safe drinking water for Village]],WWWW[[#This Row],[Access to safe drinking water for Camp]])</f>
        <v>0</v>
      </c>
      <c r="CR544" s="994">
        <f>WWWW[[#This Row],[%Equitable and continuous access to sufficient quantity of safe drinking water]]*WWWW[[#This Row],[Total PoP ]]</f>
        <v>0</v>
      </c>
      <c r="CS544" s="996">
        <f>IF((WWWW[[#This Row],['#_Constructed/Existing protected/fenced ponds]]*250)/WWWW[[#This Row],[Total PoP ]]&gt;1,1,(WWWW[[#This Row],['#_Constructed/Existing protected/fenced ponds]]*250)/WWWW[[#This Row],[Total PoP ]])</f>
        <v>0</v>
      </c>
      <c r="CT544" s="994">
        <f>WWWW[[#This Row],[% Access to unimproved water points]]*WWWW[[#This Row],[Total PoP ]]</f>
        <v>0</v>
      </c>
      <c r="CU544"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44"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44" s="994">
        <f>WWWW[[#This Row],[HRP1]]/500</f>
        <v>0</v>
      </c>
      <c r="CX544" s="999">
        <f>1-WWWW[[#This Row],[% Equitable and continuous access to sufficient quantity of domestic water]]</f>
        <v>1</v>
      </c>
      <c r="CY544" s="994">
        <f>WWWW[[#This Row],[%equitable and continuous access to sufficient quantity of safe drinking and domestic water''s GAP]]*WWWW[[#This Row],[Total PoP ]]</f>
        <v>2550</v>
      </c>
      <c r="CZ544" s="997">
        <f>IF(WWWW[[#This Row],[Total required water points]]-WWWW[[#This Row],['#Water points coverage]]&lt;0,0,WWWW[[#This Row],[Total required water points]]-WWWW[[#This Row],['#Water points coverage]])</f>
        <v>5</v>
      </c>
      <c r="DA544" s="997">
        <f>ROUND(IF(WWWW[[#This Row],[Total PoP ]]&lt;500,1,WWWW[[#This Row],[Total PoP ]]/500),0)</f>
        <v>5</v>
      </c>
      <c r="DB544" s="997">
        <f>(WWWW[[#This Row],['#_Constructed latrines_by_WASHAgencies]]+WWWW[[#This Row],['#_Non Cluster partner latrines]])-WWWW[[#This Row],['#_Non-functional latrines]]</f>
        <v>0</v>
      </c>
      <c r="DC544" s="631">
        <f>WWWW[[#This Row],[HRP2]]/WWWW[[#This Row],[Total PoP ]]</f>
        <v>0</v>
      </c>
      <c r="DD544"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44"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44"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4" s="424">
        <f>IF(WWWW[[#This Row],['# of functional latrines in THF supported by WASH partners during the reporting period2]]="",0,WWWW[[#This Row],['# of functional latrines in THF supported by WASH partners during the reporting period2]]*50)</f>
        <v>0</v>
      </c>
      <c r="DH544" s="997">
        <f>ROUND(IF(WWWW[[#This Row],[Location Type 1]]="camp",WWWW[[#This Row],[Total PoP ]]/20,IF(WWWW[[#This Row],[Location Type 1]]="Temporary Location",WWWW[[#This Row],[Total PoP ]]/50,(WWWW[[#This Row],[Total PoP ]]/6))),0)</f>
        <v>128</v>
      </c>
      <c r="DI544" s="997">
        <f>IF(WWWW[[#This Row],[Total required Latrines]]-(WWWW[[#This Row],['#_Constructed latrines_by_WASHAgencies]]+WWWW[[#This Row],['#_Non Cluster partner latrines]])&lt;0,0,WWWW[[#This Row],[Total required Latrines]]-(WWWW[[#This Row],['#_Constructed latrines_by_WASHAgencies]]+WWWW[[#This Row],['#_Non Cluster partner latrines]]))</f>
        <v>128</v>
      </c>
      <c r="DJ544" s="999">
        <f>1-WWWW[[#This Row],[% people access to functioning Latrine]]</f>
        <v>1</v>
      </c>
      <c r="DK544" s="998">
        <f>IF(OR(WWWW[[#This Row],['#_Non-functional latrines]]="",WWWW[[#This Row],['#_Non-functional latrines]]=0),0,WWWW[[#This Row],['#_Non-functional latrines]]/(WWWW[[#This Row],['#_Constructed latrines_by_WASHAgencies]]+WWWW[[#This Row],['#_Non Cluster partner latrines]]))</f>
        <v>0</v>
      </c>
      <c r="DL544" s="994">
        <f>IF(500*(WWWW[[#This Row],['#_male hygiene promoters]]+WWWW[[#This Row],['#_female hygiene promoters]])&gt;WWWW[[#This Row],[Total PoP ]],WWWW[[#This Row],[Total PoP ]],500*(WWWW[[#This Row],['#_male hygiene promoters]]+WWWW[[#This Row],['#_female hygiene promoters]]))</f>
        <v>0</v>
      </c>
      <c r="DM544"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44"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44" s="997">
        <f>IF(WWWW[[#This Row],['# People with access to soap]]&gt;WWWW[[#This Row],['# People with access to Sanity Pads]],WWWW[[#This Row],['# People with access to soap]],WWWW[[#This Row],['# People with access to Sanity Pads]])</f>
        <v>0</v>
      </c>
      <c r="DP544" s="997">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44" s="999">
        <f>IF(WWWW[[#This Row],[HRP3]]/WWWW[[#This Row],[Total PoP ]]&gt;1,1,WWWW[[#This Row],[HRP3]]/WWWW[[#This Row],[Total PoP ]])</f>
        <v>0</v>
      </c>
      <c r="DR544" s="998">
        <f>1-WWWW[[#This Row],[Hygiene Coverage%]]</f>
        <v>1</v>
      </c>
      <c r="DS544" s="996">
        <f>WWWW[[#This Row],['# people reached by regular dedicated hygiene promotion_5]]/WWWW[[#This Row],[Total PoP ]]</f>
        <v>0</v>
      </c>
      <c r="DT544"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44"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44" s="997">
        <f>WWWW[[#This Row],['#_Constructed/Existing hand washing stations]]-WWWW[[#This Row],['#_Non-Functional_hand_washing_stations]]</f>
        <v>7</v>
      </c>
      <c r="DW544" s="994">
        <f>IF(WWWW[[#This Row],['# Functional hand washing stations during reporting period]]*20&gt;WWWW[[#This Row],[Total HH]],WWWW[[#This Row],[Total HH]],WWWW[[#This Row],['# Functional hand washing stations during reporting period]]*20)</f>
        <v>140</v>
      </c>
      <c r="DX544" s="994">
        <f>IF(WWWW[[#This Row],[Is sufficient soap available for TLS? (Yes/No)]]="yes",WWWW[[#This Row],['#_Constructed/Existing hand washing stations at TLS/CFS/THF]],0)</f>
        <v>0</v>
      </c>
      <c r="DY544" s="428">
        <f>IF(WWWW[[#This Row],['# Functional hand washing stations during reporting period]]*100&gt;WWWW[[#This Row],[Total PoP ]],WWWW[[#This Row],[Total PoP ]],WWWW[[#This Row],['# Functional hand washing stations during reporting period]]*100)</f>
        <v>700</v>
      </c>
      <c r="DZ544" s="428" t="str">
        <f>IF(OR(WWWW[[#This Row],['#_students at TLS_CFS]]="",WWWW[[#This Row],['#_students at TLS_CFS]]=0),"No","Yes")</f>
        <v>No</v>
      </c>
      <c r="EA54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4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4" s="990">
        <f>VLOOKUP(WWWW[[#This Row],[Site Name]],SiteDB6[[Site Name]:[CCCM Management]],6,FALSE)</f>
        <v>0</v>
      </c>
      <c r="EF544" s="990">
        <f>VLOOKUP(WWWW[[#This Row],[Site Name]],SiteDB6[[Site Name]:[CCCM Focal Agency]],7,FALSE)</f>
        <v>0</v>
      </c>
      <c r="EG544" s="990" t="str">
        <f>VLOOKUP(WWWW[[#This Row],[Site Name]],SiteDB6[[Site Name]:[Location Type 1]],9,FALSE)</f>
        <v>Camp</v>
      </c>
      <c r="EH544" s="990" t="str">
        <f>VLOOKUP(WWWW[[#This Row],[Site Name]],SiteDB6[[Site Name]:[Type of Accommodation]],10,FALSE)</f>
        <v>Host Families</v>
      </c>
      <c r="EI544" s="990" t="str">
        <f>VLOOKUP(WWWW[[#This Row],[Site Name]],SiteDB6[[Site Name]:[Ethnic or GCA/NGCA]],11,FALSE)</f>
        <v>NGCA</v>
      </c>
      <c r="EJ544" s="990">
        <f>VLOOKUP(WWWW[[#This Row],[Site Name]],SiteDB6[[Site Name]:[Lat]],12,FALSE)</f>
        <v>0</v>
      </c>
      <c r="EK544" s="990">
        <f>VLOOKUP(WWWW[[#This Row],[Site Name]],SiteDB6[[Site Name]:[Long]],13,FALSE)</f>
        <v>0</v>
      </c>
      <c r="EL544" s="990">
        <f>VLOOKUP(WWWW[[#This Row],[Site Name]],SiteDB6[[Site Name]:[Pcode]],3,FALSE)</f>
        <v>0</v>
      </c>
      <c r="EM544" s="995" t="str">
        <f t="shared" si="11"/>
        <v>Covered</v>
      </c>
      <c r="EN544" s="995"/>
      <c r="EO544" s="990">
        <f>VLOOKUP(WWWW[[#This Row],[Site Name]],SiteDB6[[Site Name]:[Pop
(Kachin/Shan-CCCM as of July 2021)]],16,FALSE)</f>
        <v>0</v>
      </c>
      <c r="EP544" s="990">
        <f>VLOOKUP(WWWW[[#This Row],[Site Name]],SiteDB6[[Site Name]:[Pop
(Kachin/Shan-CCCM as of July 2021)]],17,FALSE)</f>
        <v>0</v>
      </c>
    </row>
    <row r="545" spans="1:146">
      <c r="A545" s="988" t="s">
        <v>2765</v>
      </c>
      <c r="B545" s="988" t="s">
        <v>192</v>
      </c>
      <c r="C545" s="989" t="s">
        <v>192</v>
      </c>
      <c r="D545" s="989" t="s">
        <v>3050</v>
      </c>
      <c r="E545" s="989" t="s">
        <v>37</v>
      </c>
      <c r="F545" s="989" t="s">
        <v>142</v>
      </c>
      <c r="G545" s="591" t="str">
        <f>VLOOKUP(WWWW[[#This Row],[Site Name]],SiteDB6[[Site Name]:[Location Type]],8,FALSE)</f>
        <v>Camp</v>
      </c>
      <c r="H545" s="989" t="s">
        <v>221</v>
      </c>
      <c r="I545" s="991">
        <v>1294</v>
      </c>
      <c r="J545" s="991">
        <v>6861</v>
      </c>
      <c r="K545" s="992" t="s">
        <v>2670</v>
      </c>
      <c r="L545" s="993" t="s">
        <v>2680</v>
      </c>
      <c r="M545" s="991"/>
      <c r="N545" s="991"/>
      <c r="O545" s="991">
        <v>3</v>
      </c>
      <c r="P545" s="991"/>
      <c r="Q545" s="994" t="s">
        <v>41</v>
      </c>
      <c r="R545" s="991">
        <v>3</v>
      </c>
      <c r="S545" s="991">
        <v>3</v>
      </c>
      <c r="T545" s="448"/>
      <c r="U545" s="991"/>
      <c r="V545" s="991"/>
      <c r="W545" s="991"/>
      <c r="X545" s="991"/>
      <c r="Y545" s="991"/>
      <c r="Z545" s="991"/>
      <c r="AA545" s="991">
        <v>1</v>
      </c>
      <c r="AB545" s="991"/>
      <c r="AC545" s="991"/>
      <c r="AD545" s="991"/>
      <c r="AE545" s="991"/>
      <c r="AF545" s="991"/>
      <c r="AG545" s="991"/>
      <c r="AH545" s="991"/>
      <c r="AI545" s="991"/>
      <c r="AJ545" s="991"/>
      <c r="AK545" s="991"/>
      <c r="AL545" s="991"/>
      <c r="AM545" s="991">
        <v>12</v>
      </c>
      <c r="AN545" s="991">
        <v>3</v>
      </c>
      <c r="AO545" s="448"/>
      <c r="AP545" s="995"/>
      <c r="AQ545" s="991">
        <v>242</v>
      </c>
      <c r="AR545" s="991"/>
      <c r="AS545" s="996"/>
      <c r="AT545" s="991"/>
      <c r="AU545" s="991"/>
      <c r="AV545" s="991"/>
      <c r="AW545" s="991"/>
      <c r="AX545" s="991"/>
      <c r="AY545" s="990" t="s">
        <v>41</v>
      </c>
      <c r="AZ545" s="995" t="s">
        <v>137</v>
      </c>
      <c r="BA545" s="991">
        <v>4</v>
      </c>
      <c r="BB545" s="991">
        <v>2</v>
      </c>
      <c r="BC545" s="991"/>
      <c r="BD545" s="448"/>
      <c r="BE545" s="448"/>
      <c r="BF545" s="990"/>
      <c r="BG545" s="991">
        <v>1</v>
      </c>
      <c r="BH545" s="991"/>
      <c r="BI545" s="991"/>
      <c r="BJ545" s="991">
        <v>1</v>
      </c>
      <c r="BK545" s="991"/>
      <c r="BL545" s="991"/>
      <c r="BM545" s="991">
        <v>3</v>
      </c>
      <c r="BN545" s="991"/>
      <c r="BO545" s="991"/>
      <c r="BP545" s="990"/>
      <c r="BQ545" s="997"/>
      <c r="BR545" s="996"/>
      <c r="BS545" s="990"/>
      <c r="BT545" s="423"/>
      <c r="BU545" s="423"/>
      <c r="BV545" s="425"/>
      <c r="BW545" s="423"/>
      <c r="BX545" s="448"/>
      <c r="BY545" s="448"/>
      <c r="BZ545" s="448"/>
      <c r="CA545" s="448"/>
      <c r="CB545" s="448"/>
      <c r="CC545" s="777"/>
      <c r="CD545" s="448"/>
      <c r="CE545" s="998" t="str">
        <f>IFERROR(WWWW[[#This Row],['#_Water sources passed]]/WWWW[[#This Row],['#_Water sources tested for fecal coliform ]],"no test")</f>
        <v>no test</v>
      </c>
      <c r="CF545" s="996" t="str">
        <f>IFERROR(WWWW[[#This Row],['#_Household passed]]/WWWW[[#This Row],['#_Household water samples tested for fecal coliform]],"no test")</f>
        <v>no test</v>
      </c>
      <c r="CG545" s="997" t="str">
        <f>IF(AND(WWWW[[#This Row],[% of water sources passed]]="no test",WWWW[[#This Row],[% Household passed]]="no test"),"No Test","Tested")</f>
        <v>No Test</v>
      </c>
      <c r="CH545" s="997">
        <f>WWWW[[#This Row],['#_Constructed/existing protected hand dug well]]-WWWW[[#This Row],['#_Non-functional protected hand dug well]]</f>
        <v>0</v>
      </c>
      <c r="CI545" s="997">
        <f>(WWWW[[#This Row],['#_Constructed/Existing tube wells/boreholes/handpumps_WASH_agency]]+WWWW[[#This Row],['#_Non-Cluster partner water tube-wells/boreholes/handpumps]])-WWWW[[#This Row],['#_Non-functional tube wells/boreholes/handpumps]]</f>
        <v>0</v>
      </c>
      <c r="CJ545" s="997">
        <f>WWWW[[#This Row],['#_Constructed/Existingwater storage tank with gravity fed reticulation system]]-WWWW[[#This Row],['#_Non-functional storage tank gravity fed reticulation system]]</f>
        <v>1</v>
      </c>
      <c r="CK545" s="997">
        <f>(WWWW[[#This Row],['#_Water_Liters_supplied_by_Water boating or water trucking]]/90)/15</f>
        <v>0</v>
      </c>
      <c r="CL545" s="997">
        <f>WWWW[[#This Row],['#_Water_Liters_from_Constructed/Existing water distribution system from river or natural spring]]/90/15</f>
        <v>0</v>
      </c>
      <c r="CM545" s="424">
        <f>IF(WWWW[[#This Row],['#_of water points in TLS/CFS]]*500&gt;WWWW[[#This Row],[Total PoP ]],WWWW[[#This Row],[Total PoP ]],WWWW[[#This Row],['#_of water points in TLS/CFS]]*500)</f>
        <v>1500</v>
      </c>
      <c r="CN545" s="424">
        <f>IF(WWWW[[#This Row],['#_of water points in THF]]*500&gt;WWWW[[#This Row],[Total PoP ]],WWWW[[#This Row],[Total PoP ]],WWWW[[#This Row],['#_of water points in THF]]*500)</f>
        <v>0</v>
      </c>
      <c r="CO545" s="99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9.7167565466647239E-3</v>
      </c>
      <c r="CP545" s="99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9.7167565466647239E-3</v>
      </c>
      <c r="CQ545" s="996">
        <f>IF(WWWW[[#This Row],[Location Type 1]]="Village",WWWW[[#This Row],[Access to safe drinking water for Village]],WWWW[[#This Row],[Access to safe drinking water for Camp]])</f>
        <v>9.7167565466647239E-3</v>
      </c>
      <c r="CR545" s="994">
        <f>WWWW[[#This Row],[%Equitable and continuous access to sufficient quantity of safe drinking water]]*WWWW[[#This Row],[Total PoP ]]</f>
        <v>66.666666666666671</v>
      </c>
      <c r="CS545" s="996">
        <f>IF((WWWW[[#This Row],['#_Constructed/Existing protected/fenced ponds]]*250)/WWWW[[#This Row],[Total PoP ]]&gt;1,1,(WWWW[[#This Row],['#_Constructed/Existing protected/fenced ponds]]*250)/WWWW[[#This Row],[Total PoP ]])</f>
        <v>0</v>
      </c>
      <c r="CT545" s="994">
        <f>WWWW[[#This Row],[% Access to unimproved water points]]*WWWW[[#This Row],[Total PoP ]]</f>
        <v>0</v>
      </c>
      <c r="CU545" s="99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9.7167565466647239E-3</v>
      </c>
      <c r="CV545" s="9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W545" s="994">
        <f>WWWW[[#This Row],[HRP1]]/500</f>
        <v>0.13333333333333333</v>
      </c>
      <c r="CX545" s="999">
        <f>1-WWWW[[#This Row],[% Equitable and continuous access to sufficient quantity of domestic water]]</f>
        <v>0.99028324345333529</v>
      </c>
      <c r="CY545" s="994">
        <f>WWWW[[#This Row],[%equitable and continuous access to sufficient quantity of safe drinking and domestic water''s GAP]]*WWWW[[#This Row],[Total PoP ]]</f>
        <v>6794.333333333333</v>
      </c>
      <c r="CZ545" s="997">
        <f>IF(WWWW[[#This Row],[Total required water points]]-WWWW[[#This Row],['#Water points coverage]]&lt;0,0,WWWW[[#This Row],[Total required water points]]-WWWW[[#This Row],['#Water points coverage]])</f>
        <v>13.866666666666667</v>
      </c>
      <c r="DA545" s="997">
        <f>ROUND(IF(WWWW[[#This Row],[Total PoP ]]&lt;500,1,WWWW[[#This Row],[Total PoP ]]/500),0)</f>
        <v>14</v>
      </c>
      <c r="DB545" s="997">
        <f>(WWWW[[#This Row],['#_Constructed latrines_by_WASHAgencies]]+WWWW[[#This Row],['#_Non Cluster partner latrines]])-WWWW[[#This Row],['#_Non-functional latrines]]</f>
        <v>242</v>
      </c>
      <c r="DC545" s="631">
        <f>WWWW[[#This Row],[HRP2]]/WWWW[[#This Row],[Total PoP ]]</f>
        <v>0.71709663314385663</v>
      </c>
      <c r="DD545" s="99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4920</v>
      </c>
      <c r="DE545" s="100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45" s="99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5" s="424">
        <f>IF(WWWW[[#This Row],['# of functional latrines in THF supported by WASH partners during the reporting period2]]="",0,WWWW[[#This Row],['# of functional latrines in THF supported by WASH partners during the reporting period2]]*50)</f>
        <v>0</v>
      </c>
      <c r="DH545" s="997">
        <f>ROUND(IF(WWWW[[#This Row],[Location Type 1]]="camp",WWWW[[#This Row],[Total PoP ]]/20,IF(WWWW[[#This Row],[Location Type 1]]="Temporary Location",WWWW[[#This Row],[Total PoP ]]/50,(WWWW[[#This Row],[Total PoP ]]/6))),0)</f>
        <v>343</v>
      </c>
      <c r="DI545" s="997">
        <f>IF(WWWW[[#This Row],[Total required Latrines]]-(WWWW[[#This Row],['#_Constructed latrines_by_WASHAgencies]]+WWWW[[#This Row],['#_Non Cluster partner latrines]])&lt;0,0,WWWW[[#This Row],[Total required Latrines]]-(WWWW[[#This Row],['#_Constructed latrines_by_WASHAgencies]]+WWWW[[#This Row],['#_Non Cluster partner latrines]]))</f>
        <v>101</v>
      </c>
      <c r="DJ545" s="999">
        <f>1-WWWW[[#This Row],[% people access to functioning Latrine]]</f>
        <v>0.28290336685614337</v>
      </c>
      <c r="DK545" s="998">
        <f>IF(OR(WWWW[[#This Row],['#_Non-functional latrines]]="",WWWW[[#This Row],['#_Non-functional latrines]]=0),0,WWWW[[#This Row],['#_Non-functional latrines]]/(WWWW[[#This Row],['#_Constructed latrines_by_WASHAgencies]]+WWWW[[#This Row],['#_Non Cluster partner latrines]]))</f>
        <v>0</v>
      </c>
      <c r="DL545" s="994">
        <f>IF(500*(WWWW[[#This Row],['#_male hygiene promoters]]+WWWW[[#This Row],['#_female hygiene promoters]])&gt;WWWW[[#This Row],[Total PoP ]],WWWW[[#This Row],[Total PoP ]],500*(WWWW[[#This Row],['#_male hygiene promoters]]+WWWW[[#This Row],['#_female hygiene promoters]]))</f>
        <v>1500</v>
      </c>
      <c r="DM545" s="99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45" s="99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45" s="997">
        <f>IF(WWWW[[#This Row],['# People with access to soap]]&gt;WWWW[[#This Row],['# People with access to Sanity Pads]],WWWW[[#This Row],['# People with access to soap]],WWWW[[#This Row],['# People with access to Sanity Pads]])</f>
        <v>0</v>
      </c>
      <c r="DP545" s="997">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DQ545" s="999">
        <f>IF(WWWW[[#This Row],[HRP3]]/WWWW[[#This Row],[Total PoP ]]&gt;1,1,WWWW[[#This Row],[HRP3]]/WWWW[[#This Row],[Total PoP ]])</f>
        <v>0.21862702229995629</v>
      </c>
      <c r="DR545" s="998">
        <f>1-WWWW[[#This Row],[Hygiene Coverage%]]</f>
        <v>0.78137297770004377</v>
      </c>
      <c r="DS545" s="996">
        <f>WWWW[[#This Row],['# people reached by regular dedicated hygiene promotion_5]]/WWWW[[#This Row],[Total PoP ]]</f>
        <v>0.21862702229995629</v>
      </c>
      <c r="DT545" s="99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45" s="99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45" s="997">
        <f>WWWW[[#This Row],['#_Constructed/Existing hand washing stations]]-WWWW[[#This Row],['#_Non-Functional_hand_washing_stations]]</f>
        <v>1</v>
      </c>
      <c r="DW545" s="994">
        <f>IF(WWWW[[#This Row],['# Functional hand washing stations during reporting period]]*20&gt;WWWW[[#This Row],[Total HH]],WWWW[[#This Row],[Total HH]],WWWW[[#This Row],['# Functional hand washing stations during reporting period]]*20)</f>
        <v>20</v>
      </c>
      <c r="DX545" s="994">
        <f>IF(WWWW[[#This Row],[Is sufficient soap available for TLS? (Yes/No)]]="yes",WWWW[[#This Row],['#_Constructed/Existing hand washing stations at TLS/CFS/THF]],0)</f>
        <v>0</v>
      </c>
      <c r="DY545" s="428">
        <f>IF(WWWW[[#This Row],['# Functional hand washing stations during reporting period]]*100&gt;WWWW[[#This Row],[Total PoP ]],WWWW[[#This Row],[Total PoP ]],WWWW[[#This Row],['# Functional hand washing stations during reporting period]]*100)</f>
        <v>100</v>
      </c>
      <c r="DZ545" s="428" t="str">
        <f>IF(OR(WWWW[[#This Row],['#_students at TLS_CFS]]="",WWWW[[#This Row],['#_students at TLS_CFS]]=0),"No","Yes")</f>
        <v>No</v>
      </c>
      <c r="EA54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4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54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5" s="990" t="str">
        <f>VLOOKUP(WWWW[[#This Row],[Site Name]],SiteDB6[[Site Name]:[CCCM Management]],6,FALSE)</f>
        <v>Yes</v>
      </c>
      <c r="EF545" s="990" t="str">
        <f>VLOOKUP(WWWW[[#This Row],[Site Name]],SiteDB6[[Site Name]:[CCCM Focal Agency]],7,FALSE)</f>
        <v>KMSS-MYT</v>
      </c>
      <c r="EG545" s="990" t="str">
        <f>VLOOKUP(WWWW[[#This Row],[Site Name]],SiteDB6[[Site Name]:[Location Type 1]],9,FALSE)</f>
        <v>Camp</v>
      </c>
      <c r="EH545" s="990" t="str">
        <f>VLOOKUP(WWWW[[#This Row],[Site Name]],SiteDB6[[Site Name]:[Type of Accommodation]],10,FALSE)</f>
        <v>Camp</v>
      </c>
      <c r="EI545" s="990" t="str">
        <f>VLOOKUP(WWWW[[#This Row],[Site Name]],SiteDB6[[Site Name]:[Ethnic or GCA/NGCA]],11,FALSE)</f>
        <v>NGCA</v>
      </c>
      <c r="EJ545" s="990">
        <f>VLOOKUP(WWWW[[#This Row],[Site Name]],SiteDB6[[Site Name]:[Lat]],12,FALSE)</f>
        <v>24.755253</v>
      </c>
      <c r="EK545" s="990">
        <f>VLOOKUP(WWWW[[#This Row],[Site Name]],SiteDB6[[Site Name]:[Long]],13,FALSE)</f>
        <v>97.546893999999995</v>
      </c>
      <c r="EL545" s="990" t="str">
        <f>VLOOKUP(WWWW[[#This Row],[Site Name]],SiteDB6[[Site Name]:[Pcode]],3,FALSE)</f>
        <v>MMR001CMP116</v>
      </c>
      <c r="EM545" s="995" t="str">
        <f t="shared" si="11"/>
        <v>Covered</v>
      </c>
      <c r="EN545" s="995"/>
      <c r="EO545" s="990">
        <f>VLOOKUP(WWWW[[#This Row],[Site Name]],SiteDB6[[Site Name]:[Pop
(Kachin/Shan-CCCM as of July 2021)]],16,FALSE)</f>
        <v>1333</v>
      </c>
      <c r="EP545" s="990">
        <f>VLOOKUP(WWWW[[#This Row],[Site Name]],SiteDB6[[Site Name]:[Pop
(Kachin/Shan-CCCM as of July 2021)]],17,FALSE)</f>
        <v>7163</v>
      </c>
    </row>
    <row r="546" spans="1:146">
      <c r="A546" s="1044" t="s">
        <v>2765</v>
      </c>
      <c r="B546" s="1044" t="s">
        <v>192</v>
      </c>
      <c r="C546" s="1045" t="s">
        <v>192</v>
      </c>
      <c r="D546" s="1045" t="s">
        <v>241</v>
      </c>
      <c r="E546" s="1045" t="s">
        <v>515</v>
      </c>
      <c r="F546" s="1045" t="s">
        <v>519</v>
      </c>
      <c r="G546" s="1043" t="str">
        <f>VLOOKUP(WWWW[[#This Row],[Site Name]],SiteDB6[[Site Name]:[Location Type]],8,FALSE)</f>
        <v>Camp</v>
      </c>
      <c r="H546" s="1045" t="s">
        <v>3031</v>
      </c>
      <c r="I546" s="448">
        <v>27</v>
      </c>
      <c r="J546" s="448">
        <v>162</v>
      </c>
      <c r="K546" s="800">
        <v>44511</v>
      </c>
      <c r="L546" s="56">
        <v>44875</v>
      </c>
      <c r="M546" s="448"/>
      <c r="N546" s="448"/>
      <c r="O546" s="448"/>
      <c r="P546" s="448"/>
      <c r="Q546" s="428"/>
      <c r="R546" s="448"/>
      <c r="S546" s="448"/>
      <c r="T546" s="448"/>
      <c r="U546" s="448"/>
      <c r="V546" s="448"/>
      <c r="W546" s="448"/>
      <c r="X546" s="448"/>
      <c r="Y546" s="448"/>
      <c r="Z546" s="448"/>
      <c r="AA546" s="448"/>
      <c r="AB546" s="448"/>
      <c r="AC546" s="448"/>
      <c r="AD546" s="448"/>
      <c r="AE546" s="448"/>
      <c r="AF546" s="448"/>
      <c r="AG546" s="448"/>
      <c r="AH546" s="448"/>
      <c r="AI546" s="448"/>
      <c r="AJ546" s="448"/>
      <c r="AK546" s="448"/>
      <c r="AL546" s="448"/>
      <c r="AM546" s="448"/>
      <c r="AN546" s="448"/>
      <c r="AO546" s="448"/>
      <c r="AP546" s="860"/>
      <c r="AQ546" s="448"/>
      <c r="AR546" s="448"/>
      <c r="AS546" s="423"/>
      <c r="AT546" s="448"/>
      <c r="AU546" s="448"/>
      <c r="AV546" s="448"/>
      <c r="AW546" s="448"/>
      <c r="AX546" s="448"/>
      <c r="AY546" s="425" t="s">
        <v>140</v>
      </c>
      <c r="AZ546" s="860" t="s">
        <v>140</v>
      </c>
      <c r="BA546" s="448"/>
      <c r="BB546" s="448"/>
      <c r="BC546" s="448"/>
      <c r="BD546" s="448"/>
      <c r="BE546" s="448"/>
      <c r="BF546" s="425"/>
      <c r="BG546" s="448">
        <v>7</v>
      </c>
      <c r="BH546" s="448"/>
      <c r="BI546" s="448"/>
      <c r="BJ546" s="448">
        <v>4</v>
      </c>
      <c r="BK546" s="448"/>
      <c r="BL546" s="448"/>
      <c r="BM546" s="448"/>
      <c r="BN546" s="448"/>
      <c r="BO546" s="448"/>
      <c r="BP546" s="425" t="s">
        <v>41</v>
      </c>
      <c r="BQ546" s="424"/>
      <c r="BR546" s="423"/>
      <c r="BS546" s="425"/>
      <c r="BT546" s="423"/>
      <c r="BU546" s="423"/>
      <c r="BV546" s="425"/>
      <c r="BW546" s="423"/>
      <c r="BX546" s="448"/>
      <c r="BY546" s="448"/>
      <c r="BZ546" s="448"/>
      <c r="CA546" s="448"/>
      <c r="CB546" s="448"/>
      <c r="CC546" s="777"/>
      <c r="CD546" s="448"/>
      <c r="CE546" s="631" t="str">
        <f>IFERROR(WWWW[[#This Row],['#_Water sources passed]]/WWWW[[#This Row],['#_Water sources tested for fecal coliform ]],"no test")</f>
        <v>no test</v>
      </c>
      <c r="CF546" s="423" t="str">
        <f>IFERROR(WWWW[[#This Row],['#_Household passed]]/WWWW[[#This Row],['#_Household water samples tested for fecal coliform]],"no test")</f>
        <v>no test</v>
      </c>
      <c r="CG546" s="424" t="str">
        <f>IF(AND(WWWW[[#This Row],[% of water sources passed]]="no test",WWWW[[#This Row],[% Household passed]]="no test"),"No Test","Tested")</f>
        <v>No Test</v>
      </c>
      <c r="CH546" s="424">
        <f>WWWW[[#This Row],['#_Constructed/existing protected hand dug well]]-WWWW[[#This Row],['#_Non-functional protected hand dug well]]</f>
        <v>0</v>
      </c>
      <c r="CI546" s="424">
        <f>(WWWW[[#This Row],['#_Constructed/Existing tube wells/boreholes/handpumps_WASH_agency]]+WWWW[[#This Row],['#_Non-Cluster partner water tube-wells/boreholes/handpumps]])-WWWW[[#This Row],['#_Non-functional tube wells/boreholes/handpumps]]</f>
        <v>0</v>
      </c>
      <c r="CJ546" s="424">
        <f>WWWW[[#This Row],['#_Constructed/Existingwater storage tank with gravity fed reticulation system]]-WWWW[[#This Row],['#_Non-functional storage tank gravity fed reticulation system]]</f>
        <v>0</v>
      </c>
      <c r="CK546" s="424">
        <f>(WWWW[[#This Row],['#_Water_Liters_supplied_by_Water boating or water trucking]]/90)/15</f>
        <v>0</v>
      </c>
      <c r="CL546" s="424">
        <f>WWWW[[#This Row],['#_Water_Liters_from_Constructed/Existing water distribution system from river or natural spring]]/90/15</f>
        <v>0</v>
      </c>
      <c r="CM546" s="424">
        <f>IF(WWWW[[#This Row],['#_of water points in TLS/CFS]]*500&gt;WWWW[[#This Row],[Total PoP ]],WWWW[[#This Row],[Total PoP ]],WWWW[[#This Row],['#_of water points in TLS/CFS]]*500)</f>
        <v>0</v>
      </c>
      <c r="CN546" s="424">
        <f>IF(WWWW[[#This Row],['#_of water points in THF]]*500&gt;WWWW[[#This Row],[Total PoP ]],WWWW[[#This Row],[Total PoP ]],WWWW[[#This Row],['#_of water points in THF]]*500)</f>
        <v>0</v>
      </c>
      <c r="CO546"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46"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46" s="423">
        <f>IF(WWWW[[#This Row],[Location Type 1]]="Village",WWWW[[#This Row],[Access to safe drinking water for Village]],WWWW[[#This Row],[Access to safe drinking water for Camp]])</f>
        <v>0</v>
      </c>
      <c r="CR546" s="428">
        <f>WWWW[[#This Row],[%Equitable and continuous access to sufficient quantity of safe drinking water]]*WWWW[[#This Row],[Total PoP ]]</f>
        <v>0</v>
      </c>
      <c r="CS546" s="423">
        <f>IF((WWWW[[#This Row],['#_Constructed/Existing protected/fenced ponds]]*250)/WWWW[[#This Row],[Total PoP ]]&gt;1,1,(WWWW[[#This Row],['#_Constructed/Existing protected/fenced ponds]]*250)/WWWW[[#This Row],[Total PoP ]])</f>
        <v>0</v>
      </c>
      <c r="CT546" s="428">
        <f>WWWW[[#This Row],[% Access to unimproved water points]]*WWWW[[#This Row],[Total PoP ]]</f>
        <v>0</v>
      </c>
      <c r="CU546"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46"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46" s="428">
        <f>WWWW[[#This Row],[HRP1]]/500</f>
        <v>0</v>
      </c>
      <c r="CX546" s="898">
        <f>1-WWWW[[#This Row],[% Equitable and continuous access to sufficient quantity of domestic water]]</f>
        <v>1</v>
      </c>
      <c r="CY546" s="428">
        <f>WWWW[[#This Row],[%equitable and continuous access to sufficient quantity of safe drinking and domestic water''s GAP]]*WWWW[[#This Row],[Total PoP ]]</f>
        <v>162</v>
      </c>
      <c r="CZ546" s="424">
        <f>IF(WWWW[[#This Row],[Total required water points]]-WWWW[[#This Row],['#Water points coverage]]&lt;0,0,WWWW[[#This Row],[Total required water points]]-WWWW[[#This Row],['#Water points coverage]])</f>
        <v>1</v>
      </c>
      <c r="DA546" s="424">
        <f>ROUND(IF(WWWW[[#This Row],[Total PoP ]]&lt;500,1,WWWW[[#This Row],[Total PoP ]]/500),0)</f>
        <v>1</v>
      </c>
      <c r="DB546" s="424">
        <f>(WWWW[[#This Row],['#_Constructed latrines_by_WASHAgencies]]+WWWW[[#This Row],['#_Non Cluster partner latrines]])-WWWW[[#This Row],['#_Non-functional latrines]]</f>
        <v>0</v>
      </c>
      <c r="DC546" s="631">
        <f>WWWW[[#This Row],[HRP2]]/WWWW[[#This Row],[Total PoP ]]</f>
        <v>0</v>
      </c>
      <c r="DD546"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46"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46"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6" s="424">
        <f>IF(WWWW[[#This Row],['# of functional latrines in THF supported by WASH partners during the reporting period2]]="",0,WWWW[[#This Row],['# of functional latrines in THF supported by WASH partners during the reporting period2]]*50)</f>
        <v>0</v>
      </c>
      <c r="DH546" s="424">
        <f>ROUND(IF(WWWW[[#This Row],[Location Type 1]]="camp",WWWW[[#This Row],[Total PoP ]]/20,IF(WWWW[[#This Row],[Location Type 1]]="Temporary Location",WWWW[[#This Row],[Total PoP ]]/50,(WWWW[[#This Row],[Total PoP ]]/6))),0)</f>
        <v>8</v>
      </c>
      <c r="DI546" s="424">
        <f>IF(WWWW[[#This Row],[Total required Latrines]]-(WWWW[[#This Row],['#_Constructed latrines_by_WASHAgencies]]+WWWW[[#This Row],['#_Non Cluster partner latrines]])&lt;0,0,WWWW[[#This Row],[Total required Latrines]]-(WWWW[[#This Row],['#_Constructed latrines_by_WASHAgencies]]+WWWW[[#This Row],['#_Non Cluster partner latrines]]))</f>
        <v>8</v>
      </c>
      <c r="DJ546" s="898">
        <f>1-WWWW[[#This Row],[% people access to functioning Latrine]]</f>
        <v>1</v>
      </c>
      <c r="DK546" s="631">
        <f>IF(OR(WWWW[[#This Row],['#_Non-functional latrines]]="",WWWW[[#This Row],['#_Non-functional latrines]]=0),0,WWWW[[#This Row],['#_Non-functional latrines]]/(WWWW[[#This Row],['#_Constructed latrines_by_WASHAgencies]]+WWWW[[#This Row],['#_Non Cluster partner latrines]]))</f>
        <v>0</v>
      </c>
      <c r="DL546" s="428">
        <f>IF(500*(WWWW[[#This Row],['#_male hygiene promoters]]+WWWW[[#This Row],['#_female hygiene promoters]])&gt;WWWW[[#This Row],[Total PoP ]],WWWW[[#This Row],[Total PoP ]],500*(WWWW[[#This Row],['#_male hygiene promoters]]+WWWW[[#This Row],['#_female hygiene promoters]]))</f>
        <v>0</v>
      </c>
      <c r="DM546"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46"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46" s="424">
        <f>IF(WWWW[[#This Row],['# People with access to soap]]&gt;WWWW[[#This Row],['# People with access to Sanity Pads]],WWWW[[#This Row],['# People with access to soap]],WWWW[[#This Row],['# People with access to Sanity Pads]])</f>
        <v>0</v>
      </c>
      <c r="DP546"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46" s="898">
        <f>IF(WWWW[[#This Row],[HRP3]]/WWWW[[#This Row],[Total PoP ]]&gt;1,1,WWWW[[#This Row],[HRP3]]/WWWW[[#This Row],[Total PoP ]])</f>
        <v>0</v>
      </c>
      <c r="DR546" s="631">
        <f>1-WWWW[[#This Row],[Hygiene Coverage%]]</f>
        <v>1</v>
      </c>
      <c r="DS546" s="423">
        <f>WWWW[[#This Row],['# people reached by regular dedicated hygiene promotion_5]]/WWWW[[#This Row],[Total PoP ]]</f>
        <v>0</v>
      </c>
      <c r="DT546"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46"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46" s="424">
        <f>WWWW[[#This Row],['#_Constructed/Existing hand washing stations]]-WWWW[[#This Row],['#_Non-Functional_hand_washing_stations]]</f>
        <v>7</v>
      </c>
      <c r="DW546" s="428">
        <f>IF(WWWW[[#This Row],['# Functional hand washing stations during reporting period]]*20&gt;WWWW[[#This Row],[Total HH]],WWWW[[#This Row],[Total HH]],WWWW[[#This Row],['# Functional hand washing stations during reporting period]]*20)</f>
        <v>27</v>
      </c>
      <c r="DX546" s="428">
        <f>IF(WWWW[[#This Row],[Is sufficient soap available for TLS? (Yes/No)]]="yes",WWWW[[#This Row],['#_Constructed/Existing hand washing stations at TLS/CFS/THF]],0)</f>
        <v>0</v>
      </c>
      <c r="DY546" s="428">
        <f>IF(WWWW[[#This Row],['# Functional hand washing stations during reporting period]]*100&gt;WWWW[[#This Row],[Total PoP ]],WWWW[[#This Row],[Total PoP ]],WWWW[[#This Row],['# Functional hand washing stations during reporting period]]*100)</f>
        <v>162</v>
      </c>
      <c r="DZ546" s="428" t="str">
        <f>IF(OR(WWWW[[#This Row],['#_students at TLS_CFS]]="",WWWW[[#This Row],['#_students at TLS_CFS]]=0),"No","Yes")</f>
        <v>No</v>
      </c>
      <c r="EA54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4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6" s="425">
        <f>VLOOKUP(WWWW[[#This Row],[Site Name]],SiteDB6[[Site Name]:[CCCM Management]],6,FALSE)</f>
        <v>0</v>
      </c>
      <c r="EF546" s="425">
        <f>VLOOKUP(WWWW[[#This Row],[Site Name]],SiteDB6[[Site Name]:[CCCM Focal Agency]],7,FALSE)</f>
        <v>0</v>
      </c>
      <c r="EG546" s="425" t="str">
        <f>VLOOKUP(WWWW[[#This Row],[Site Name]],SiteDB6[[Site Name]:[Location Type 1]],9,FALSE)</f>
        <v>Camp</v>
      </c>
      <c r="EH546" s="425" t="str">
        <f>VLOOKUP(WWWW[[#This Row],[Site Name]],SiteDB6[[Site Name]:[Type of Accommodation]],10,FALSE)</f>
        <v>IDPs in host</v>
      </c>
      <c r="EI546" s="425" t="str">
        <f>VLOOKUP(WWWW[[#This Row],[Site Name]],SiteDB6[[Site Name]:[Ethnic or GCA/NGCA]],11,FALSE)</f>
        <v>GCA</v>
      </c>
      <c r="EJ546" s="425">
        <f>VLOOKUP(WWWW[[#This Row],[Site Name]],SiteDB6[[Site Name]:[Lat]],12,FALSE)</f>
        <v>23.400155999999999</v>
      </c>
      <c r="EK546" s="425">
        <f>VLOOKUP(WWWW[[#This Row],[Site Name]],SiteDB6[[Site Name]:[Long]],13,FALSE)</f>
        <v>98.220614999999995</v>
      </c>
      <c r="EL546" s="425" t="str">
        <f>VLOOKUP(WWWW[[#This Row],[Site Name]],SiteDB6[[Site Name]:[Pcode]],3,FALSE)</f>
        <v>MMR015CMP071</v>
      </c>
      <c r="EM546" s="860" t="str">
        <f t="shared" ref="EM546:EM588" si="12">IF(C546="none","Notcovered","Covered")</f>
        <v>Covered</v>
      </c>
      <c r="EN546" s="860"/>
      <c r="EO546" s="425">
        <f>VLOOKUP(WWWW[[#This Row],[Site Name]],SiteDB6[[Site Name]:[Pop
(Kachin/Shan-CCCM as of July 2021)]],16,FALSE)</f>
        <v>27</v>
      </c>
      <c r="EP546" s="425">
        <f>VLOOKUP(WWWW[[#This Row],[Site Name]],SiteDB6[[Site Name]:[Pop
(Kachin/Shan-CCCM as of July 2021)]],17,FALSE)</f>
        <v>162</v>
      </c>
    </row>
    <row r="547" spans="1:146">
      <c r="A547" s="1044" t="s">
        <v>2765</v>
      </c>
      <c r="B547" s="1044" t="s">
        <v>192</v>
      </c>
      <c r="C547" s="1045" t="s">
        <v>192</v>
      </c>
      <c r="D547" s="1045" t="s">
        <v>2587</v>
      </c>
      <c r="E547" s="1045" t="s">
        <v>515</v>
      </c>
      <c r="F547" s="1045" t="s">
        <v>961</v>
      </c>
      <c r="G547" s="1043" t="str">
        <f>VLOOKUP(WWWW[[#This Row],[Site Name]],SiteDB6[[Site Name]:[Location Type]],8,FALSE)</f>
        <v>Camp_not registered</v>
      </c>
      <c r="H547" s="1045" t="s">
        <v>2159</v>
      </c>
      <c r="I547" s="448">
        <v>23</v>
      </c>
      <c r="J547" s="448">
        <v>103</v>
      </c>
      <c r="K547" s="800">
        <v>44511</v>
      </c>
      <c r="L547" s="56">
        <v>44875</v>
      </c>
      <c r="M547" s="448"/>
      <c r="N547" s="448"/>
      <c r="O547" s="448"/>
      <c r="P547" s="448"/>
      <c r="Q547" s="428" t="s">
        <v>41</v>
      </c>
      <c r="R547" s="448">
        <v>5</v>
      </c>
      <c r="S547" s="448">
        <v>1</v>
      </c>
      <c r="T547" s="448">
        <v>1</v>
      </c>
      <c r="U547" s="448"/>
      <c r="V547" s="448"/>
      <c r="W547" s="448"/>
      <c r="X547" s="448">
        <v>1</v>
      </c>
      <c r="Y547" s="448"/>
      <c r="Z547" s="448"/>
      <c r="AA547" s="448"/>
      <c r="AB547" s="448"/>
      <c r="AC547" s="448"/>
      <c r="AD547" s="448"/>
      <c r="AE547" s="448"/>
      <c r="AF547" s="448"/>
      <c r="AG547" s="448"/>
      <c r="AH547" s="448"/>
      <c r="AI547" s="448"/>
      <c r="AJ547" s="448"/>
      <c r="AK547" s="448"/>
      <c r="AL547" s="448"/>
      <c r="AM547" s="448"/>
      <c r="AN547" s="448"/>
      <c r="AO547" s="448"/>
      <c r="AP547" s="860"/>
      <c r="AQ547" s="448">
        <v>23</v>
      </c>
      <c r="AR547" s="448"/>
      <c r="AS547" s="423"/>
      <c r="AT547" s="448"/>
      <c r="AU547" s="448"/>
      <c r="AV547" s="448"/>
      <c r="AW547" s="448"/>
      <c r="AX547" s="448"/>
      <c r="AY547" s="425" t="s">
        <v>140</v>
      </c>
      <c r="AZ547" s="860" t="s">
        <v>140</v>
      </c>
      <c r="BA547" s="448"/>
      <c r="BB547" s="448"/>
      <c r="BC547" s="448"/>
      <c r="BD547" s="448"/>
      <c r="BE547" s="448"/>
      <c r="BF547" s="425"/>
      <c r="BG547" s="448">
        <v>3</v>
      </c>
      <c r="BH547" s="448"/>
      <c r="BI547" s="448"/>
      <c r="BJ547" s="448">
        <v>2</v>
      </c>
      <c r="BK547" s="448"/>
      <c r="BL547" s="448"/>
      <c r="BM547" s="448"/>
      <c r="BN547" s="448"/>
      <c r="BO547" s="448"/>
      <c r="BP547" s="425" t="s">
        <v>41</v>
      </c>
      <c r="BQ547" s="424"/>
      <c r="BR547" s="423"/>
      <c r="BS547" s="425"/>
      <c r="BT547" s="423"/>
      <c r="BU547" s="423"/>
      <c r="BV547" s="425"/>
      <c r="BW547" s="423"/>
      <c r="BX547" s="448"/>
      <c r="BY547" s="448"/>
      <c r="BZ547" s="448"/>
      <c r="CA547" s="448"/>
      <c r="CB547" s="448"/>
      <c r="CC547" s="777"/>
      <c r="CD547" s="448"/>
      <c r="CE547" s="631" t="str">
        <f>IFERROR(WWWW[[#This Row],['#_Water sources passed]]/WWWW[[#This Row],['#_Water sources tested for fecal coliform ]],"no test")</f>
        <v>no test</v>
      </c>
      <c r="CF547" s="423" t="str">
        <f>IFERROR(WWWW[[#This Row],['#_Household passed]]/WWWW[[#This Row],['#_Household water samples tested for fecal coliform]],"no test")</f>
        <v>no test</v>
      </c>
      <c r="CG547" s="424" t="str">
        <f>IF(AND(WWWW[[#This Row],[% of water sources passed]]="no test",WWWW[[#This Row],[% Household passed]]="no test"),"No Test","Tested")</f>
        <v>No Test</v>
      </c>
      <c r="CH547" s="424">
        <f>WWWW[[#This Row],['#_Constructed/existing protected hand dug well]]-WWWW[[#This Row],['#_Non-functional protected hand dug well]]</f>
        <v>1</v>
      </c>
      <c r="CI547" s="424">
        <f>(WWWW[[#This Row],['#_Constructed/Existing tube wells/boreholes/handpumps_WASH_agency]]+WWWW[[#This Row],['#_Non-Cluster partner water tube-wells/boreholes/handpumps]])-WWWW[[#This Row],['#_Non-functional tube wells/boreholes/handpumps]]</f>
        <v>1</v>
      </c>
      <c r="CJ547" s="424">
        <f>WWWW[[#This Row],['#_Constructed/Existingwater storage tank with gravity fed reticulation system]]-WWWW[[#This Row],['#_Non-functional storage tank gravity fed reticulation system]]</f>
        <v>0</v>
      </c>
      <c r="CK547" s="424">
        <f>(WWWW[[#This Row],['#_Water_Liters_supplied_by_Water boating or water trucking]]/90)/15</f>
        <v>0</v>
      </c>
      <c r="CL547" s="424">
        <f>WWWW[[#This Row],['#_Water_Liters_from_Constructed/Existing water distribution system from river or natural spring]]/90/15</f>
        <v>0</v>
      </c>
      <c r="CM547" s="424">
        <f>IF(WWWW[[#This Row],['#_of water points in TLS/CFS]]*500&gt;WWWW[[#This Row],[Total PoP ]],WWWW[[#This Row],[Total PoP ]],WWWW[[#This Row],['#_of water points in TLS/CFS]]*500)</f>
        <v>0</v>
      </c>
      <c r="CN547" s="424">
        <f>IF(WWWW[[#This Row],['#_of water points in THF]]*500&gt;WWWW[[#This Row],[Total PoP ]],WWWW[[#This Row],[Total PoP ]],WWWW[[#This Row],['#_of water points in THF]]*500)</f>
        <v>0</v>
      </c>
      <c r="CO547"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47"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47" s="423">
        <f>IF(WWWW[[#This Row],[Location Type 1]]="Village",WWWW[[#This Row],[Access to safe drinking water for Village]],WWWW[[#This Row],[Access to safe drinking water for Camp]])</f>
        <v>1</v>
      </c>
      <c r="CR547" s="428">
        <f>WWWW[[#This Row],[%Equitable and continuous access to sufficient quantity of safe drinking water]]*WWWW[[#This Row],[Total PoP ]]</f>
        <v>103</v>
      </c>
      <c r="CS547" s="423">
        <f>IF((WWWW[[#This Row],['#_Constructed/Existing protected/fenced ponds]]*250)/WWWW[[#This Row],[Total PoP ]]&gt;1,1,(WWWW[[#This Row],['#_Constructed/Existing protected/fenced ponds]]*250)/WWWW[[#This Row],[Total PoP ]])</f>
        <v>0</v>
      </c>
      <c r="CT547" s="428">
        <f>WWWW[[#This Row],[% Access to unimproved water points]]*WWWW[[#This Row],[Total PoP ]]</f>
        <v>0</v>
      </c>
      <c r="CU547"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47"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547" s="428">
        <f>WWWW[[#This Row],[HRP1]]/500</f>
        <v>0.20599999999999999</v>
      </c>
      <c r="CX547" s="898">
        <f>1-WWWW[[#This Row],[% Equitable and continuous access to sufficient quantity of domestic water]]</f>
        <v>0</v>
      </c>
      <c r="CY547" s="428">
        <f>WWWW[[#This Row],[%equitable and continuous access to sufficient quantity of safe drinking and domestic water''s GAP]]*WWWW[[#This Row],[Total PoP ]]</f>
        <v>0</v>
      </c>
      <c r="CZ547" s="424">
        <f>IF(WWWW[[#This Row],[Total required water points]]-WWWW[[#This Row],['#Water points coverage]]&lt;0,0,WWWW[[#This Row],[Total required water points]]-WWWW[[#This Row],['#Water points coverage]])</f>
        <v>0.79400000000000004</v>
      </c>
      <c r="DA547" s="424">
        <f>ROUND(IF(WWWW[[#This Row],[Total PoP ]]&lt;500,1,WWWW[[#This Row],[Total PoP ]]/500),0)</f>
        <v>1</v>
      </c>
      <c r="DB547" s="424">
        <f>(WWWW[[#This Row],['#_Constructed latrines_by_WASHAgencies]]+WWWW[[#This Row],['#_Non Cluster partner latrines]])-WWWW[[#This Row],['#_Non-functional latrines]]</f>
        <v>23</v>
      </c>
      <c r="DC547" s="631">
        <f>WWWW[[#This Row],[HRP2]]/WWWW[[#This Row],[Total PoP ]]</f>
        <v>1</v>
      </c>
      <c r="DD547"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547"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47"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7" s="424">
        <f>IF(WWWW[[#This Row],['# of functional latrines in THF supported by WASH partners during the reporting period2]]="",0,WWWW[[#This Row],['# of functional latrines in THF supported by WASH partners during the reporting period2]]*50)</f>
        <v>0</v>
      </c>
      <c r="DH547" s="424">
        <f>ROUND(IF(WWWW[[#This Row],[Location Type 1]]="camp",WWWW[[#This Row],[Total PoP ]]/20,IF(WWWW[[#This Row],[Location Type 1]]="Temporary Location",WWWW[[#This Row],[Total PoP ]]/50,(WWWW[[#This Row],[Total PoP ]]/6))),0)</f>
        <v>5</v>
      </c>
      <c r="DI547" s="424">
        <f>IF(WWWW[[#This Row],[Total required Latrines]]-(WWWW[[#This Row],['#_Constructed latrines_by_WASHAgencies]]+WWWW[[#This Row],['#_Non Cluster partner latrines]])&lt;0,0,WWWW[[#This Row],[Total required Latrines]]-(WWWW[[#This Row],['#_Constructed latrines_by_WASHAgencies]]+WWWW[[#This Row],['#_Non Cluster partner latrines]]))</f>
        <v>0</v>
      </c>
      <c r="DJ547" s="898">
        <f>1-WWWW[[#This Row],[% people access to functioning Latrine]]</f>
        <v>0</v>
      </c>
      <c r="DK547" s="631">
        <f>IF(OR(WWWW[[#This Row],['#_Non-functional latrines]]="",WWWW[[#This Row],['#_Non-functional latrines]]=0),0,WWWW[[#This Row],['#_Non-functional latrines]]/(WWWW[[#This Row],['#_Constructed latrines_by_WASHAgencies]]+WWWW[[#This Row],['#_Non Cluster partner latrines]]))</f>
        <v>0</v>
      </c>
      <c r="DL547" s="428">
        <f>IF(500*(WWWW[[#This Row],['#_male hygiene promoters]]+WWWW[[#This Row],['#_female hygiene promoters]])&gt;WWWW[[#This Row],[Total PoP ]],WWWW[[#This Row],[Total PoP ]],500*(WWWW[[#This Row],['#_male hygiene promoters]]+WWWW[[#This Row],['#_female hygiene promoters]]))</f>
        <v>0</v>
      </c>
      <c r="DM547"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47"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47" s="424">
        <f>IF(WWWW[[#This Row],['# People with access to soap]]&gt;WWWW[[#This Row],['# People with access to Sanity Pads]],WWWW[[#This Row],['# People with access to soap]],WWWW[[#This Row],['# People with access to Sanity Pads]])</f>
        <v>0</v>
      </c>
      <c r="DP547"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47" s="898">
        <f>IF(WWWW[[#This Row],[HRP3]]/WWWW[[#This Row],[Total PoP ]]&gt;1,1,WWWW[[#This Row],[HRP3]]/WWWW[[#This Row],[Total PoP ]])</f>
        <v>0</v>
      </c>
      <c r="DR547" s="631">
        <f>1-WWWW[[#This Row],[Hygiene Coverage%]]</f>
        <v>1</v>
      </c>
      <c r="DS547" s="423">
        <f>WWWW[[#This Row],['# people reached by regular dedicated hygiene promotion_5]]/WWWW[[#This Row],[Total PoP ]]</f>
        <v>0</v>
      </c>
      <c r="DT547"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47"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47" s="424">
        <f>WWWW[[#This Row],['#_Constructed/Existing hand washing stations]]-WWWW[[#This Row],['#_Non-Functional_hand_washing_stations]]</f>
        <v>3</v>
      </c>
      <c r="DW547" s="428">
        <f>IF(WWWW[[#This Row],['# Functional hand washing stations during reporting period]]*20&gt;WWWW[[#This Row],[Total HH]],WWWW[[#This Row],[Total HH]],WWWW[[#This Row],['# Functional hand washing stations during reporting period]]*20)</f>
        <v>23</v>
      </c>
      <c r="DX547" s="428">
        <f>IF(WWWW[[#This Row],[Is sufficient soap available for TLS? (Yes/No)]]="yes",WWWW[[#This Row],['#_Constructed/Existing hand washing stations at TLS/CFS/THF]],0)</f>
        <v>0</v>
      </c>
      <c r="DY547" s="428">
        <f>IF(WWWW[[#This Row],['# Functional hand washing stations during reporting period]]*100&gt;WWWW[[#This Row],[Total PoP ]],WWWW[[#This Row],[Total PoP ]],WWWW[[#This Row],['# Functional hand washing stations during reporting period]]*100)</f>
        <v>103</v>
      </c>
      <c r="DZ547" s="428" t="str">
        <f>IF(OR(WWWW[[#This Row],['#_students at TLS_CFS]]="",WWWW[[#This Row],['#_students at TLS_CFS]]=0),"No","Yes")</f>
        <v>No</v>
      </c>
      <c r="EA54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4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7" s="425">
        <f>VLOOKUP(WWWW[[#This Row],[Site Name]],SiteDB6[[Site Name]:[CCCM Management]],6,FALSE)</f>
        <v>0</v>
      </c>
      <c r="EF547" s="425">
        <f>VLOOKUP(WWWW[[#This Row],[Site Name]],SiteDB6[[Site Name]:[CCCM Focal Agency]],7,FALSE)</f>
        <v>0</v>
      </c>
      <c r="EG547" s="425" t="str">
        <f>VLOOKUP(WWWW[[#This Row],[Site Name]],SiteDB6[[Site Name]:[Location Type 1]],9,FALSE)</f>
        <v>Camp</v>
      </c>
      <c r="EH547" s="425" t="str">
        <f>VLOOKUP(WWWW[[#This Row],[Site Name]],SiteDB6[[Site Name]:[Type of Accommodation]],10,FALSE)</f>
        <v>Camp like setting</v>
      </c>
      <c r="EI547" s="425" t="str">
        <f>VLOOKUP(WWWW[[#This Row],[Site Name]],SiteDB6[[Site Name]:[Ethnic or GCA/NGCA]],11,FALSE)</f>
        <v>GCA</v>
      </c>
      <c r="EJ547" s="425">
        <f>VLOOKUP(WWWW[[#This Row],[Site Name]],SiteDB6[[Site Name]:[Lat]],12,FALSE)</f>
        <v>0</v>
      </c>
      <c r="EK547" s="425">
        <f>VLOOKUP(WWWW[[#This Row],[Site Name]],SiteDB6[[Site Name]:[Long]],13,FALSE)</f>
        <v>0</v>
      </c>
      <c r="EL547" s="425">
        <f>VLOOKUP(WWWW[[#This Row],[Site Name]],SiteDB6[[Site Name]:[Pcode]],3,FALSE)</f>
        <v>0</v>
      </c>
      <c r="EM547" s="860" t="str">
        <f t="shared" si="12"/>
        <v>Covered</v>
      </c>
      <c r="EN547" s="860"/>
      <c r="EO547" s="425">
        <f>VLOOKUP(WWWW[[#This Row],[Site Name]],SiteDB6[[Site Name]:[Pop
(Kachin/Shan-CCCM as of July 2021)]],16,FALSE)</f>
        <v>0</v>
      </c>
      <c r="EP547" s="425">
        <f>VLOOKUP(WWWW[[#This Row],[Site Name]],SiteDB6[[Site Name]:[Pop
(Kachin/Shan-CCCM as of July 2021)]],17,FALSE)</f>
        <v>0</v>
      </c>
    </row>
    <row r="548" spans="1:146">
      <c r="A548" s="1044" t="s">
        <v>2765</v>
      </c>
      <c r="B548" s="1044" t="s">
        <v>192</v>
      </c>
      <c r="C548" s="1045" t="s">
        <v>192</v>
      </c>
      <c r="D548" s="1045" t="s">
        <v>2673</v>
      </c>
      <c r="E548" s="1045" t="s">
        <v>515</v>
      </c>
      <c r="F548" s="1045" t="s">
        <v>519</v>
      </c>
      <c r="G548" s="1043" t="str">
        <f>VLOOKUP(WWWW[[#This Row],[Site Name]],SiteDB6[[Site Name]:[Location Type]],8,FALSE)</f>
        <v>Camp</v>
      </c>
      <c r="H548" s="1045" t="s">
        <v>1720</v>
      </c>
      <c r="I548" s="448">
        <v>74</v>
      </c>
      <c r="J548" s="448">
        <v>439</v>
      </c>
      <c r="K548" s="800">
        <v>44511</v>
      </c>
      <c r="L548" s="56">
        <v>44875</v>
      </c>
      <c r="M548" s="448"/>
      <c r="N548" s="448">
        <v>1</v>
      </c>
      <c r="O548" s="448"/>
      <c r="P548" s="448"/>
      <c r="Q548" s="428" t="s">
        <v>41</v>
      </c>
      <c r="R548" s="448">
        <v>5</v>
      </c>
      <c r="S548" s="448">
        <v>1</v>
      </c>
      <c r="T548" s="448"/>
      <c r="U548" s="448"/>
      <c r="V548" s="448"/>
      <c r="W548" s="448"/>
      <c r="X548" s="448"/>
      <c r="Y548" s="448"/>
      <c r="Z548" s="448"/>
      <c r="AA548" s="448">
        <v>14</v>
      </c>
      <c r="AB548" s="448"/>
      <c r="AC548" s="448"/>
      <c r="AD548" s="448"/>
      <c r="AE548" s="448"/>
      <c r="AF548" s="448"/>
      <c r="AG548" s="448"/>
      <c r="AH548" s="448"/>
      <c r="AI548" s="448"/>
      <c r="AJ548" s="448"/>
      <c r="AK548" s="448"/>
      <c r="AL548" s="448"/>
      <c r="AM548" s="448"/>
      <c r="AN548" s="448"/>
      <c r="AO548" s="448"/>
      <c r="AP548" s="860"/>
      <c r="AQ548" s="448">
        <v>40</v>
      </c>
      <c r="AR548" s="448"/>
      <c r="AS548" s="423"/>
      <c r="AT548" s="448"/>
      <c r="AU548" s="448"/>
      <c r="AV548" s="448"/>
      <c r="AW548" s="448"/>
      <c r="AX548" s="448"/>
      <c r="AY548" s="425" t="s">
        <v>140</v>
      </c>
      <c r="AZ548" s="860" t="s">
        <v>140</v>
      </c>
      <c r="BA548" s="448"/>
      <c r="BB548" s="448"/>
      <c r="BC548" s="448"/>
      <c r="BD548" s="448"/>
      <c r="BE548" s="448"/>
      <c r="BF548" s="425"/>
      <c r="BG548" s="448">
        <v>3</v>
      </c>
      <c r="BH548" s="448"/>
      <c r="BI548" s="448"/>
      <c r="BJ548" s="448">
        <v>2</v>
      </c>
      <c r="BK548" s="448"/>
      <c r="BL548" s="448"/>
      <c r="BM548" s="448">
        <v>1</v>
      </c>
      <c r="BN548" s="448"/>
      <c r="BO548" s="448"/>
      <c r="BP548" s="425" t="s">
        <v>41</v>
      </c>
      <c r="BQ548" s="424">
        <v>3</v>
      </c>
      <c r="BR548" s="423">
        <v>1</v>
      </c>
      <c r="BS548" s="425"/>
      <c r="BT548" s="423"/>
      <c r="BU548" s="423"/>
      <c r="BV548" s="425"/>
      <c r="BW548" s="423"/>
      <c r="BX548" s="448"/>
      <c r="BY548" s="448"/>
      <c r="BZ548" s="448"/>
      <c r="CA548" s="448"/>
      <c r="CB548" s="448"/>
      <c r="CC548" s="777"/>
      <c r="CD548" s="448"/>
      <c r="CE548" s="631" t="str">
        <f>IFERROR(WWWW[[#This Row],['#_Water sources passed]]/WWWW[[#This Row],['#_Water sources tested for fecal coliform ]],"no test")</f>
        <v>no test</v>
      </c>
      <c r="CF548" s="423" t="str">
        <f>IFERROR(WWWW[[#This Row],['#_Household passed]]/WWWW[[#This Row],['#_Household water samples tested for fecal coliform]],"no test")</f>
        <v>no test</v>
      </c>
      <c r="CG548" s="424" t="str">
        <f>IF(AND(WWWW[[#This Row],[% of water sources passed]]="no test",WWWW[[#This Row],[% Household passed]]="no test"),"No Test","Tested")</f>
        <v>No Test</v>
      </c>
      <c r="CH548" s="424">
        <f>WWWW[[#This Row],['#_Constructed/existing protected hand dug well]]-WWWW[[#This Row],['#_Non-functional protected hand dug well]]</f>
        <v>0</v>
      </c>
      <c r="CI548" s="424">
        <f>(WWWW[[#This Row],['#_Constructed/Existing tube wells/boreholes/handpumps_WASH_agency]]+WWWW[[#This Row],['#_Non-Cluster partner water tube-wells/boreholes/handpumps]])-WWWW[[#This Row],['#_Non-functional tube wells/boreholes/handpumps]]</f>
        <v>0</v>
      </c>
      <c r="CJ548" s="424">
        <f>WWWW[[#This Row],['#_Constructed/Existingwater storage tank with gravity fed reticulation system]]-WWWW[[#This Row],['#_Non-functional storage tank gravity fed reticulation system]]</f>
        <v>14</v>
      </c>
      <c r="CK548" s="424">
        <f>(WWWW[[#This Row],['#_Water_Liters_supplied_by_Water boating or water trucking]]/90)/15</f>
        <v>0</v>
      </c>
      <c r="CL548" s="424">
        <f>WWWW[[#This Row],['#_Water_Liters_from_Constructed/Existing water distribution system from river or natural spring]]/90/15</f>
        <v>0</v>
      </c>
      <c r="CM548" s="424">
        <f>IF(WWWW[[#This Row],['#_of water points in TLS/CFS]]*500&gt;WWWW[[#This Row],[Total PoP ]],WWWW[[#This Row],[Total PoP ]],WWWW[[#This Row],['#_of water points in TLS/CFS]]*500)</f>
        <v>0</v>
      </c>
      <c r="CN548" s="424">
        <f>IF(WWWW[[#This Row],['#_of water points in THF]]*500&gt;WWWW[[#This Row],[Total PoP ]],WWWW[[#This Row],[Total PoP ]],WWWW[[#This Row],['#_of water points in THF]]*500)</f>
        <v>0</v>
      </c>
      <c r="CO548"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48"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48" s="423">
        <f>IF(WWWW[[#This Row],[Location Type 1]]="Village",WWWW[[#This Row],[Access to safe drinking water for Village]],WWWW[[#This Row],[Access to safe drinking water for Camp]])</f>
        <v>1</v>
      </c>
      <c r="CR548" s="428">
        <f>WWWW[[#This Row],[%Equitable and continuous access to sufficient quantity of safe drinking water]]*WWWW[[#This Row],[Total PoP ]]</f>
        <v>439</v>
      </c>
      <c r="CS548" s="423">
        <f>IF((WWWW[[#This Row],['#_Constructed/Existing protected/fenced ponds]]*250)/WWWW[[#This Row],[Total PoP ]]&gt;1,1,(WWWW[[#This Row],['#_Constructed/Existing protected/fenced ponds]]*250)/WWWW[[#This Row],[Total PoP ]])</f>
        <v>0</v>
      </c>
      <c r="CT548" s="428">
        <f>WWWW[[#This Row],[% Access to unimproved water points]]*WWWW[[#This Row],[Total PoP ]]</f>
        <v>0</v>
      </c>
      <c r="CU548"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48"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439</v>
      </c>
      <c r="CW548" s="428">
        <f>WWWW[[#This Row],[HRP1]]/500</f>
        <v>0.878</v>
      </c>
      <c r="CX548" s="898">
        <f>1-WWWW[[#This Row],[% Equitable and continuous access to sufficient quantity of domestic water]]</f>
        <v>0</v>
      </c>
      <c r="CY548" s="428">
        <f>WWWW[[#This Row],[%equitable and continuous access to sufficient quantity of safe drinking and domestic water''s GAP]]*WWWW[[#This Row],[Total PoP ]]</f>
        <v>0</v>
      </c>
      <c r="CZ548" s="424">
        <f>IF(WWWW[[#This Row],[Total required water points]]-WWWW[[#This Row],['#Water points coverage]]&lt;0,0,WWWW[[#This Row],[Total required water points]]-WWWW[[#This Row],['#Water points coverage]])</f>
        <v>0.122</v>
      </c>
      <c r="DA548" s="424">
        <f>ROUND(IF(WWWW[[#This Row],[Total PoP ]]&lt;500,1,WWWW[[#This Row],[Total PoP ]]/500),0)</f>
        <v>1</v>
      </c>
      <c r="DB548" s="424">
        <f>(WWWW[[#This Row],['#_Constructed latrines_by_WASHAgencies]]+WWWW[[#This Row],['#_Non Cluster partner latrines]])-WWWW[[#This Row],['#_Non-functional latrines]]</f>
        <v>40</v>
      </c>
      <c r="DC548" s="631">
        <f>WWWW[[#This Row],[HRP2]]/WWWW[[#This Row],[Total PoP ]]</f>
        <v>1</v>
      </c>
      <c r="DD548"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439</v>
      </c>
      <c r="DE548"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48"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8" s="424">
        <f>IF(WWWW[[#This Row],['# of functional latrines in THF supported by WASH partners during the reporting period2]]="",0,WWWW[[#This Row],['# of functional latrines in THF supported by WASH partners during the reporting period2]]*50)</f>
        <v>0</v>
      </c>
      <c r="DH548" s="424">
        <f>ROUND(IF(WWWW[[#This Row],[Location Type 1]]="camp",WWWW[[#This Row],[Total PoP ]]/20,IF(WWWW[[#This Row],[Location Type 1]]="Temporary Location",WWWW[[#This Row],[Total PoP ]]/50,(WWWW[[#This Row],[Total PoP ]]/6))),0)</f>
        <v>22</v>
      </c>
      <c r="DI548" s="424">
        <f>IF(WWWW[[#This Row],[Total required Latrines]]-(WWWW[[#This Row],['#_Constructed latrines_by_WASHAgencies]]+WWWW[[#This Row],['#_Non Cluster partner latrines]])&lt;0,0,WWWW[[#This Row],[Total required Latrines]]-(WWWW[[#This Row],['#_Constructed latrines_by_WASHAgencies]]+WWWW[[#This Row],['#_Non Cluster partner latrines]]))</f>
        <v>0</v>
      </c>
      <c r="DJ548" s="898">
        <f>1-WWWW[[#This Row],[% people access to functioning Latrine]]</f>
        <v>0</v>
      </c>
      <c r="DK548" s="631">
        <f>IF(OR(WWWW[[#This Row],['#_Non-functional latrines]]="",WWWW[[#This Row],['#_Non-functional latrines]]=0),0,WWWW[[#This Row],['#_Non-functional latrines]]/(WWWW[[#This Row],['#_Constructed latrines_by_WASHAgencies]]+WWWW[[#This Row],['#_Non Cluster partner latrines]]))</f>
        <v>0</v>
      </c>
      <c r="DL548" s="428">
        <f>IF(500*(WWWW[[#This Row],['#_male hygiene promoters]]+WWWW[[#This Row],['#_female hygiene promoters]])&gt;WWWW[[#This Row],[Total PoP ]],WWWW[[#This Row],[Total PoP ]],500*(WWWW[[#This Row],['#_male hygiene promoters]]+WWWW[[#This Row],['#_female hygiene promoters]]))</f>
        <v>439</v>
      </c>
      <c r="DM548"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48"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48" s="424">
        <f>IF(WWWW[[#This Row],['# People with access to soap]]&gt;WWWW[[#This Row],['# People with access to Sanity Pads]],WWWW[[#This Row],['# People with access to soap]],WWWW[[#This Row],['# People with access to Sanity Pads]])</f>
        <v>0</v>
      </c>
      <c r="DP548" s="424">
        <f>IF(WWWW[[#This Row],['# people reached by regular dedicated hygiene promotion_5]]&gt;WWWW[[#This Row],['# People received regular supply of hygiene items_6]],WWWW[[#This Row],['# people reached by regular dedicated hygiene promotion_5]],WWWW[[#This Row],['# People received regular supply of hygiene items_6]])</f>
        <v>439</v>
      </c>
      <c r="DQ548" s="898">
        <f>IF(WWWW[[#This Row],[HRP3]]/WWWW[[#This Row],[Total PoP ]]&gt;1,1,WWWW[[#This Row],[HRP3]]/WWWW[[#This Row],[Total PoP ]])</f>
        <v>1</v>
      </c>
      <c r="DR548" s="631">
        <f>1-WWWW[[#This Row],[Hygiene Coverage%]]</f>
        <v>0</v>
      </c>
      <c r="DS548" s="423">
        <f>WWWW[[#This Row],['# people reached by regular dedicated hygiene promotion_5]]/WWWW[[#This Row],[Total PoP ]]</f>
        <v>1</v>
      </c>
      <c r="DT548"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48"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48" s="424">
        <f>WWWW[[#This Row],['#_Constructed/Existing hand washing stations]]-WWWW[[#This Row],['#_Non-Functional_hand_washing_stations]]</f>
        <v>3</v>
      </c>
      <c r="DW548" s="428">
        <f>IF(WWWW[[#This Row],['# Functional hand washing stations during reporting period]]*20&gt;WWWW[[#This Row],[Total HH]],WWWW[[#This Row],[Total HH]],WWWW[[#This Row],['# Functional hand washing stations during reporting period]]*20)</f>
        <v>60</v>
      </c>
      <c r="DX548" s="428">
        <f>IF(WWWW[[#This Row],[Is sufficient soap available for TLS? (Yes/No)]]="yes",WWWW[[#This Row],['#_Constructed/Existing hand washing stations at TLS/CFS/THF]],0)</f>
        <v>0</v>
      </c>
      <c r="DY548" s="428">
        <f>IF(WWWW[[#This Row],['# Functional hand washing stations during reporting period]]*100&gt;WWWW[[#This Row],[Total PoP ]],WWWW[[#This Row],[Total PoP ]],WWWW[[#This Row],['# Functional hand washing stations during reporting period]]*100)</f>
        <v>300</v>
      </c>
      <c r="DZ548" s="428" t="str">
        <f>IF(OR(WWWW[[#This Row],['#_students at TLS_CFS]]="",WWWW[[#This Row],['#_students at TLS_CFS]]=0),"No","Yes")</f>
        <v>No</v>
      </c>
      <c r="EA54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4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8" s="425">
        <f>VLOOKUP(WWWW[[#This Row],[Site Name]],SiteDB6[[Site Name]:[CCCM Management]],6,FALSE)</f>
        <v>0</v>
      </c>
      <c r="EF548" s="425" t="str">
        <f>VLOOKUP(WWWW[[#This Row],[Site Name]],SiteDB6[[Site Name]:[CCCM Focal Agency]],7,FALSE)</f>
        <v>uncovered</v>
      </c>
      <c r="EG548" s="425" t="str">
        <f>VLOOKUP(WWWW[[#This Row],[Site Name]],SiteDB6[[Site Name]:[Location Type 1]],9,FALSE)</f>
        <v>Camp</v>
      </c>
      <c r="EH548" s="425" t="str">
        <f>VLOOKUP(WWWW[[#This Row],[Site Name]],SiteDB6[[Site Name]:[Type of Accommodation]],10,FALSE)</f>
        <v>Camp like setting</v>
      </c>
      <c r="EI548" s="425" t="str">
        <f>VLOOKUP(WWWW[[#This Row],[Site Name]],SiteDB6[[Site Name]:[Ethnic or GCA/NGCA]],11,FALSE)</f>
        <v>GCA</v>
      </c>
      <c r="EJ548" s="425">
        <f>VLOOKUP(WWWW[[#This Row],[Site Name]],SiteDB6[[Site Name]:[Lat]],12,FALSE)</f>
        <v>23.234137</v>
      </c>
      <c r="EK548" s="425">
        <f>VLOOKUP(WWWW[[#This Row],[Site Name]],SiteDB6[[Site Name]:[Long]],13,FALSE)</f>
        <v>97.505339000000006</v>
      </c>
      <c r="EL548" s="425" t="str">
        <f>VLOOKUP(WWWW[[#This Row],[Site Name]],SiteDB6[[Site Name]:[Pcode]],3,FALSE)</f>
        <v>MMR015CMP030</v>
      </c>
      <c r="EM548" s="860" t="str">
        <f t="shared" si="12"/>
        <v>Covered</v>
      </c>
      <c r="EN548" s="860"/>
      <c r="EO548" s="425">
        <f>VLOOKUP(WWWW[[#This Row],[Site Name]],SiteDB6[[Site Name]:[Pop
(Kachin/Shan-CCCM as of July 2021)]],16,FALSE)</f>
        <v>86</v>
      </c>
      <c r="EP548" s="425">
        <f>VLOOKUP(WWWW[[#This Row],[Site Name]],SiteDB6[[Site Name]:[Pop
(Kachin/Shan-CCCM as of July 2021)]],17,FALSE)</f>
        <v>525</v>
      </c>
    </row>
    <row r="549" spans="1:146">
      <c r="A549" s="1044" t="s">
        <v>2765</v>
      </c>
      <c r="B549" s="1044" t="s">
        <v>192</v>
      </c>
      <c r="C549" s="1045" t="s">
        <v>192</v>
      </c>
      <c r="D549" s="1045" t="s">
        <v>2673</v>
      </c>
      <c r="E549" s="1045" t="s">
        <v>515</v>
      </c>
      <c r="F549" s="1045" t="s">
        <v>519</v>
      </c>
      <c r="G549" s="1043" t="str">
        <f>VLOOKUP(WWWW[[#This Row],[Site Name]],SiteDB6[[Site Name]:[Location Type]],8,FALSE)</f>
        <v>Camp</v>
      </c>
      <c r="H549" s="1046" t="s">
        <v>3032</v>
      </c>
      <c r="I549" s="448">
        <v>26</v>
      </c>
      <c r="J549" s="448">
        <v>132</v>
      </c>
      <c r="K549" s="800">
        <v>44511</v>
      </c>
      <c r="L549" s="56">
        <v>44875</v>
      </c>
      <c r="M549" s="448"/>
      <c r="N549" s="448"/>
      <c r="O549" s="448"/>
      <c r="P549" s="448"/>
      <c r="Q549" s="428"/>
      <c r="R549" s="448">
        <v>3</v>
      </c>
      <c r="S549" s="448">
        <v>2</v>
      </c>
      <c r="T549" s="448"/>
      <c r="U549" s="448"/>
      <c r="V549" s="448"/>
      <c r="W549" s="448"/>
      <c r="X549" s="448"/>
      <c r="Y549" s="448"/>
      <c r="Z549" s="448"/>
      <c r="AA549" s="448">
        <v>8</v>
      </c>
      <c r="AB549" s="448"/>
      <c r="AC549" s="448"/>
      <c r="AD549" s="448"/>
      <c r="AE549" s="448"/>
      <c r="AF549" s="448"/>
      <c r="AG549" s="448"/>
      <c r="AH549" s="448"/>
      <c r="AI549" s="448"/>
      <c r="AJ549" s="448"/>
      <c r="AK549" s="448"/>
      <c r="AL549" s="448"/>
      <c r="AM549" s="448"/>
      <c r="AN549" s="448"/>
      <c r="AO549" s="448"/>
      <c r="AP549" s="860"/>
      <c r="AQ549" s="448">
        <v>27</v>
      </c>
      <c r="AR549" s="448"/>
      <c r="AS549" s="423"/>
      <c r="AT549" s="448"/>
      <c r="AU549" s="448"/>
      <c r="AV549" s="448"/>
      <c r="AW549" s="448"/>
      <c r="AX549" s="448">
        <v>2</v>
      </c>
      <c r="AY549" s="425" t="s">
        <v>41</v>
      </c>
      <c r="AZ549" s="860" t="s">
        <v>136</v>
      </c>
      <c r="BA549" s="448"/>
      <c r="BB549" s="448"/>
      <c r="BC549" s="448"/>
      <c r="BD549" s="448"/>
      <c r="BE549" s="448"/>
      <c r="BF549" s="425"/>
      <c r="BG549" s="448">
        <v>7</v>
      </c>
      <c r="BH549" s="448"/>
      <c r="BI549" s="448"/>
      <c r="BJ549" s="448">
        <v>7</v>
      </c>
      <c r="BK549" s="448"/>
      <c r="BL549" s="448"/>
      <c r="BM549" s="448">
        <v>1</v>
      </c>
      <c r="BN549" s="448"/>
      <c r="BO549" s="448"/>
      <c r="BP549" s="425"/>
      <c r="BQ549" s="424"/>
      <c r="BR549" s="423"/>
      <c r="BS549" s="425"/>
      <c r="BT549" s="423"/>
      <c r="BU549" s="423"/>
      <c r="BV549" s="425"/>
      <c r="BW549" s="423"/>
      <c r="BX549" s="448"/>
      <c r="BY549" s="448"/>
      <c r="BZ549" s="448"/>
      <c r="CA549" s="448"/>
      <c r="CB549" s="448"/>
      <c r="CC549" s="777"/>
      <c r="CD549" s="448"/>
      <c r="CE549" s="631" t="str">
        <f>IFERROR(WWWW[[#This Row],['#_Water sources passed]]/WWWW[[#This Row],['#_Water sources tested for fecal coliform ]],"no test")</f>
        <v>no test</v>
      </c>
      <c r="CF549" s="423" t="str">
        <f>IFERROR(WWWW[[#This Row],['#_Household passed]]/WWWW[[#This Row],['#_Household water samples tested for fecal coliform]],"no test")</f>
        <v>no test</v>
      </c>
      <c r="CG549" s="424" t="str">
        <f>IF(AND(WWWW[[#This Row],[% of water sources passed]]="no test",WWWW[[#This Row],[% Household passed]]="no test"),"No Test","Tested")</f>
        <v>No Test</v>
      </c>
      <c r="CH549" s="424">
        <f>WWWW[[#This Row],['#_Constructed/existing protected hand dug well]]-WWWW[[#This Row],['#_Non-functional protected hand dug well]]</f>
        <v>0</v>
      </c>
      <c r="CI549" s="424">
        <f>(WWWW[[#This Row],['#_Constructed/Existing tube wells/boreholes/handpumps_WASH_agency]]+WWWW[[#This Row],['#_Non-Cluster partner water tube-wells/boreholes/handpumps]])-WWWW[[#This Row],['#_Non-functional tube wells/boreholes/handpumps]]</f>
        <v>0</v>
      </c>
      <c r="CJ549" s="424">
        <f>WWWW[[#This Row],['#_Constructed/Existingwater storage tank with gravity fed reticulation system]]-WWWW[[#This Row],['#_Non-functional storage tank gravity fed reticulation system]]</f>
        <v>8</v>
      </c>
      <c r="CK549" s="424">
        <f>(WWWW[[#This Row],['#_Water_Liters_supplied_by_Water boating or water trucking]]/90)/15</f>
        <v>0</v>
      </c>
      <c r="CL549" s="424">
        <f>WWWW[[#This Row],['#_Water_Liters_from_Constructed/Existing water distribution system from river or natural spring]]/90/15</f>
        <v>0</v>
      </c>
      <c r="CM549" s="424">
        <f>IF(WWWW[[#This Row],['#_of water points in TLS/CFS]]*500&gt;WWWW[[#This Row],[Total PoP ]],WWWW[[#This Row],[Total PoP ]],WWWW[[#This Row],['#_of water points in TLS/CFS]]*500)</f>
        <v>0</v>
      </c>
      <c r="CN549" s="424">
        <f>IF(WWWW[[#This Row],['#_of water points in THF]]*500&gt;WWWW[[#This Row],[Total PoP ]],WWWW[[#This Row],[Total PoP ]],WWWW[[#This Row],['#_of water points in THF]]*500)</f>
        <v>0</v>
      </c>
      <c r="CO549"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49"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49" s="423">
        <f>IF(WWWW[[#This Row],[Location Type 1]]="Village",WWWW[[#This Row],[Access to safe drinking water for Village]],WWWW[[#This Row],[Access to safe drinking water for Camp]])</f>
        <v>1</v>
      </c>
      <c r="CR549" s="428">
        <f>WWWW[[#This Row],[%Equitable and continuous access to sufficient quantity of safe drinking water]]*WWWW[[#This Row],[Total PoP ]]</f>
        <v>132</v>
      </c>
      <c r="CS549" s="423">
        <f>IF((WWWW[[#This Row],['#_Constructed/Existing protected/fenced ponds]]*250)/WWWW[[#This Row],[Total PoP ]]&gt;1,1,(WWWW[[#This Row],['#_Constructed/Existing protected/fenced ponds]]*250)/WWWW[[#This Row],[Total PoP ]])</f>
        <v>0</v>
      </c>
      <c r="CT549" s="428">
        <f>WWWW[[#This Row],[% Access to unimproved water points]]*WWWW[[#This Row],[Total PoP ]]</f>
        <v>0</v>
      </c>
      <c r="CU549"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49"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W549" s="428">
        <f>WWWW[[#This Row],[HRP1]]/500</f>
        <v>0.26400000000000001</v>
      </c>
      <c r="CX549" s="898">
        <f>1-WWWW[[#This Row],[% Equitable and continuous access to sufficient quantity of domestic water]]</f>
        <v>0</v>
      </c>
      <c r="CY549" s="428">
        <f>WWWW[[#This Row],[%equitable and continuous access to sufficient quantity of safe drinking and domestic water''s GAP]]*WWWW[[#This Row],[Total PoP ]]</f>
        <v>0</v>
      </c>
      <c r="CZ549" s="424">
        <f>IF(WWWW[[#This Row],[Total required water points]]-WWWW[[#This Row],['#Water points coverage]]&lt;0,0,WWWW[[#This Row],[Total required water points]]-WWWW[[#This Row],['#Water points coverage]])</f>
        <v>0.73599999999999999</v>
      </c>
      <c r="DA549" s="424">
        <f>ROUND(IF(WWWW[[#This Row],[Total PoP ]]&lt;500,1,WWWW[[#This Row],[Total PoP ]]/500),0)</f>
        <v>1</v>
      </c>
      <c r="DB549" s="424">
        <f>(WWWW[[#This Row],['#_Constructed latrines_by_WASHAgencies]]+WWWW[[#This Row],['#_Non Cluster partner latrines]])-WWWW[[#This Row],['#_Non-functional latrines]]</f>
        <v>27</v>
      </c>
      <c r="DC549" s="631">
        <f>WWWW[[#This Row],[HRP2]]/WWWW[[#This Row],[Total PoP ]]</f>
        <v>1</v>
      </c>
      <c r="DD549"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DE549"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49"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9" s="424">
        <f>IF(WWWW[[#This Row],['# of functional latrines in THF supported by WASH partners during the reporting period2]]="",0,WWWW[[#This Row],['# of functional latrines in THF supported by WASH partners during the reporting period2]]*50)</f>
        <v>0</v>
      </c>
      <c r="DH549" s="424">
        <f>ROUND(IF(WWWW[[#This Row],[Location Type 1]]="camp",WWWW[[#This Row],[Total PoP ]]/20,IF(WWWW[[#This Row],[Location Type 1]]="Temporary Location",WWWW[[#This Row],[Total PoP ]]/50,(WWWW[[#This Row],[Total PoP ]]/6))),0)</f>
        <v>7</v>
      </c>
      <c r="DI549" s="424">
        <f>IF(WWWW[[#This Row],[Total required Latrines]]-(WWWW[[#This Row],['#_Constructed latrines_by_WASHAgencies]]+WWWW[[#This Row],['#_Non Cluster partner latrines]])&lt;0,0,WWWW[[#This Row],[Total required Latrines]]-(WWWW[[#This Row],['#_Constructed latrines_by_WASHAgencies]]+WWWW[[#This Row],['#_Non Cluster partner latrines]]))</f>
        <v>0</v>
      </c>
      <c r="DJ549" s="898">
        <f>1-WWWW[[#This Row],[% people access to functioning Latrine]]</f>
        <v>0</v>
      </c>
      <c r="DK549" s="631">
        <f>IF(OR(WWWW[[#This Row],['#_Non-functional latrines]]="",WWWW[[#This Row],['#_Non-functional latrines]]=0),0,WWWW[[#This Row],['#_Non-functional latrines]]/(WWWW[[#This Row],['#_Constructed latrines_by_WASHAgencies]]+WWWW[[#This Row],['#_Non Cluster partner latrines]]))</f>
        <v>0</v>
      </c>
      <c r="DL549" s="428">
        <f>IF(500*(WWWW[[#This Row],['#_male hygiene promoters]]+WWWW[[#This Row],['#_female hygiene promoters]])&gt;WWWW[[#This Row],[Total PoP ]],WWWW[[#This Row],[Total PoP ]],500*(WWWW[[#This Row],['#_male hygiene promoters]]+WWWW[[#This Row],['#_female hygiene promoters]]))</f>
        <v>132</v>
      </c>
      <c r="DM549"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49"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49" s="424">
        <f>IF(WWWW[[#This Row],['# People with access to soap]]&gt;WWWW[[#This Row],['# People with access to Sanity Pads]],WWWW[[#This Row],['# People with access to soap]],WWWW[[#This Row],['# People with access to Sanity Pads]])</f>
        <v>0</v>
      </c>
      <c r="DP549" s="424">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Q549" s="898">
        <f>IF(WWWW[[#This Row],[HRP3]]/WWWW[[#This Row],[Total PoP ]]&gt;1,1,WWWW[[#This Row],[HRP3]]/WWWW[[#This Row],[Total PoP ]])</f>
        <v>1</v>
      </c>
      <c r="DR549" s="631">
        <f>1-WWWW[[#This Row],[Hygiene Coverage%]]</f>
        <v>0</v>
      </c>
      <c r="DS549" s="423">
        <f>WWWW[[#This Row],['# people reached by regular dedicated hygiene promotion_5]]/WWWW[[#This Row],[Total PoP ]]</f>
        <v>1</v>
      </c>
      <c r="DT549"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49"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49" s="424">
        <f>WWWW[[#This Row],['#_Constructed/Existing hand washing stations]]-WWWW[[#This Row],['#_Non-Functional_hand_washing_stations]]</f>
        <v>7</v>
      </c>
      <c r="DW549" s="428">
        <f>IF(WWWW[[#This Row],['# Functional hand washing stations during reporting period]]*20&gt;WWWW[[#This Row],[Total HH]],WWWW[[#This Row],[Total HH]],WWWW[[#This Row],['# Functional hand washing stations during reporting period]]*20)</f>
        <v>26</v>
      </c>
      <c r="DX549" s="428">
        <f>IF(WWWW[[#This Row],[Is sufficient soap available for TLS? (Yes/No)]]="yes",WWWW[[#This Row],['#_Constructed/Existing hand washing stations at TLS/CFS/THF]],0)</f>
        <v>0</v>
      </c>
      <c r="DY549" s="428">
        <f>IF(WWWW[[#This Row],['# Functional hand washing stations during reporting period]]*100&gt;WWWW[[#This Row],[Total PoP ]],WWWW[[#This Row],[Total PoP ]],WWWW[[#This Row],['# Functional hand washing stations during reporting period]]*100)</f>
        <v>132</v>
      </c>
      <c r="DZ549" s="428" t="str">
        <f>IF(OR(WWWW[[#This Row],['#_students at TLS_CFS]]="",WWWW[[#This Row],['#_students at TLS_CFS]]=0),"No","Yes")</f>
        <v>No</v>
      </c>
      <c r="EA54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4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9" s="425" t="str">
        <f>VLOOKUP(WWWW[[#This Row],[Site Name]],SiteDB6[[Site Name]:[CCCM Management]],6,FALSE)</f>
        <v>Yes</v>
      </c>
      <c r="EF549" s="425" t="str">
        <f>VLOOKUP(WWWW[[#This Row],[Site Name]],SiteDB6[[Site Name]:[CCCM Focal Agency]],7,FALSE)</f>
        <v>KMSS-LSO</v>
      </c>
      <c r="EG549" s="425" t="str">
        <f>VLOOKUP(WWWW[[#This Row],[Site Name]],SiteDB6[[Site Name]:[Location Type 1]],9,FALSE)</f>
        <v>Camp</v>
      </c>
      <c r="EH549" s="425" t="str">
        <f>VLOOKUP(WWWW[[#This Row],[Site Name]],SiteDB6[[Site Name]:[Type of Accommodation]],10,FALSE)</f>
        <v>Camp</v>
      </c>
      <c r="EI549" s="425" t="str">
        <f>VLOOKUP(WWWW[[#This Row],[Site Name]],SiteDB6[[Site Name]:[Ethnic or GCA/NGCA]],11,FALSE)</f>
        <v>GCA</v>
      </c>
      <c r="EJ549" s="425">
        <f>VLOOKUP(WWWW[[#This Row],[Site Name]],SiteDB6[[Site Name]:[Lat]],12,FALSE)</f>
        <v>23.38503</v>
      </c>
      <c r="EK549" s="425">
        <f>VLOOKUP(WWWW[[#This Row],[Site Name]],SiteDB6[[Site Name]:[Long]],13,FALSE)</f>
        <v>97.837040000000002</v>
      </c>
      <c r="EL549" s="425" t="str">
        <f>VLOOKUP(WWWW[[#This Row],[Site Name]],SiteDB6[[Site Name]:[Pcode]],3,FALSE)</f>
        <v>MMR015CMP017</v>
      </c>
      <c r="EM549" s="860" t="str">
        <f t="shared" si="12"/>
        <v>Covered</v>
      </c>
      <c r="EN549" s="860"/>
      <c r="EO549" s="425">
        <f>VLOOKUP(WWWW[[#This Row],[Site Name]],SiteDB6[[Site Name]:[Pop
(Kachin/Shan-CCCM as of July 2021)]],16,FALSE)</f>
        <v>26</v>
      </c>
      <c r="EP549" s="425">
        <f>VLOOKUP(WWWW[[#This Row],[Site Name]],SiteDB6[[Site Name]:[Pop
(Kachin/Shan-CCCM as of July 2021)]],17,FALSE)</f>
        <v>133</v>
      </c>
    </row>
    <row r="550" spans="1:146">
      <c r="A550" s="707" t="s">
        <v>2765</v>
      </c>
      <c r="B550" s="707" t="s">
        <v>2161</v>
      </c>
      <c r="C550" s="369" t="s">
        <v>2161</v>
      </c>
      <c r="D550" s="369" t="s">
        <v>241</v>
      </c>
      <c r="E550" s="369" t="s">
        <v>515</v>
      </c>
      <c r="F550" s="369" t="s">
        <v>963</v>
      </c>
      <c r="G550" s="591" t="str">
        <f>VLOOKUP(WWWW[[#This Row],[Site Name]],SiteDB6[[Site Name]:[Location Type]],8,FALSE)</f>
        <v>Camp</v>
      </c>
      <c r="H550" s="369" t="s">
        <v>2602</v>
      </c>
      <c r="I550" s="448">
        <v>340</v>
      </c>
      <c r="J550" s="448">
        <v>1674</v>
      </c>
      <c r="K550" s="800">
        <v>44488</v>
      </c>
      <c r="L550" s="56">
        <v>44852</v>
      </c>
      <c r="M550" s="448"/>
      <c r="N550" s="448"/>
      <c r="O550" s="448"/>
      <c r="P550" s="448"/>
      <c r="Q550" s="428" t="s">
        <v>41</v>
      </c>
      <c r="R550" s="448">
        <v>2</v>
      </c>
      <c r="S550" s="448">
        <v>2</v>
      </c>
      <c r="T550" s="448"/>
      <c r="U550" s="448"/>
      <c r="V550" s="448"/>
      <c r="W550" s="448"/>
      <c r="X550" s="448"/>
      <c r="Y550" s="448"/>
      <c r="Z550" s="448"/>
      <c r="AA550" s="448">
        <v>24</v>
      </c>
      <c r="AB550" s="448"/>
      <c r="AC550" s="448">
        <v>14</v>
      </c>
      <c r="AD550" s="448"/>
      <c r="AE550" s="448"/>
      <c r="AF550" s="448"/>
      <c r="AG550" s="448"/>
      <c r="AH550" s="448">
        <v>1</v>
      </c>
      <c r="AI550" s="448"/>
      <c r="AJ550" s="448"/>
      <c r="AK550" s="448"/>
      <c r="AL550" s="448"/>
      <c r="AM550" s="448"/>
      <c r="AN550" s="448">
        <v>1</v>
      </c>
      <c r="AO550" s="448"/>
      <c r="AP550" s="860"/>
      <c r="AQ550" s="448">
        <v>30</v>
      </c>
      <c r="AR550" s="448"/>
      <c r="AS550" s="423"/>
      <c r="AT550" s="448">
        <v>16</v>
      </c>
      <c r="AU550" s="448"/>
      <c r="AV550" s="448"/>
      <c r="AW550" s="448"/>
      <c r="AX550" s="448"/>
      <c r="AY550" s="425" t="s">
        <v>136</v>
      </c>
      <c r="AZ550" s="860" t="s">
        <v>136</v>
      </c>
      <c r="BA550" s="448"/>
      <c r="BB550" s="448"/>
      <c r="BC550" s="448"/>
      <c r="BD550" s="448"/>
      <c r="BE550" s="448"/>
      <c r="BF550" s="425"/>
      <c r="BG550" s="448">
        <v>3</v>
      </c>
      <c r="BH550" s="448">
        <v>2</v>
      </c>
      <c r="BI550" s="448"/>
      <c r="BJ550" s="448"/>
      <c r="BK550" s="448"/>
      <c r="BL550" s="448"/>
      <c r="BM550" s="448"/>
      <c r="BN550" s="448"/>
      <c r="BO550" s="448"/>
      <c r="BP550" s="425"/>
      <c r="BQ550" s="424"/>
      <c r="BR550" s="423"/>
      <c r="BS550" s="425"/>
      <c r="BT550" s="423"/>
      <c r="BU550" s="423"/>
      <c r="BV550" s="425"/>
      <c r="BW550" s="423"/>
      <c r="BX550" s="448"/>
      <c r="BY550" s="448"/>
      <c r="BZ550" s="448"/>
      <c r="CA550" s="448"/>
      <c r="CB550" s="448"/>
      <c r="CC550" s="777"/>
      <c r="CD550" s="448"/>
      <c r="CE550" s="631" t="str">
        <f>IFERROR(WWWW[[#This Row],['#_Water sources passed]]/WWWW[[#This Row],['#_Water sources tested for fecal coliform ]],"no test")</f>
        <v>no test</v>
      </c>
      <c r="CF550" s="423" t="str">
        <f>IFERROR(WWWW[[#This Row],['#_Household passed]]/WWWW[[#This Row],['#_Household water samples tested for fecal coliform]],"no test")</f>
        <v>no test</v>
      </c>
      <c r="CG550" s="424" t="str">
        <f>IF(AND(WWWW[[#This Row],[% of water sources passed]]="no test",WWWW[[#This Row],[% Household passed]]="no test"),"No Test","Tested")</f>
        <v>No Test</v>
      </c>
      <c r="CH550" s="424">
        <f>WWWW[[#This Row],['#_Constructed/existing protected hand dug well]]-WWWW[[#This Row],['#_Non-functional protected hand dug well]]</f>
        <v>0</v>
      </c>
      <c r="CI550" s="424">
        <f>(WWWW[[#This Row],['#_Constructed/Existing tube wells/boreholes/handpumps_WASH_agency]]+WWWW[[#This Row],['#_Non-Cluster partner water tube-wells/boreholes/handpumps]])-WWWW[[#This Row],['#_Non-functional tube wells/boreholes/handpumps]]</f>
        <v>0</v>
      </c>
      <c r="CJ550" s="424">
        <f>WWWW[[#This Row],['#_Constructed/Existingwater storage tank with gravity fed reticulation system]]-WWWW[[#This Row],['#_Non-functional storage tank gravity fed reticulation system]]</f>
        <v>24</v>
      </c>
      <c r="CK550" s="424">
        <f>(WWWW[[#This Row],['#_Water_Liters_supplied_by_Water boating or water trucking]]/90)/15</f>
        <v>0</v>
      </c>
      <c r="CL550" s="424">
        <f>WWWW[[#This Row],['#_Water_Liters_from_Constructed/Existing water distribution system from river or natural spring]]/90/15</f>
        <v>0</v>
      </c>
      <c r="CM550" s="424">
        <f>IF(WWWW[[#This Row],['#_of water points in TLS/CFS]]*500&gt;WWWW[[#This Row],[Total PoP ]],WWWW[[#This Row],[Total PoP ]],WWWW[[#This Row],['#_of water points in TLS/CFS]]*500)</f>
        <v>500</v>
      </c>
      <c r="CN550" s="424">
        <f>IF(WWWW[[#This Row],['#_of water points in THF]]*500&gt;WWWW[[#This Row],[Total PoP ]],WWWW[[#This Row],[Total PoP ]],WWWW[[#This Row],['#_of water points in THF]]*500)</f>
        <v>0</v>
      </c>
      <c r="CO550"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P550"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Q550" s="423">
        <f>IF(WWWW[[#This Row],[Location Type 1]]="Village",WWWW[[#This Row],[Access to safe drinking water for Village]],WWWW[[#This Row],[Access to safe drinking water for Camp]])</f>
        <v>0.95579450418160095</v>
      </c>
      <c r="CR550" s="428">
        <f>WWWW[[#This Row],[%Equitable and continuous access to sufficient quantity of safe drinking water]]*WWWW[[#This Row],[Total PoP ]]</f>
        <v>1600</v>
      </c>
      <c r="CS550" s="423">
        <f>IF((WWWW[[#This Row],['#_Constructed/Existing protected/fenced ponds]]*250)/WWWW[[#This Row],[Total PoP ]]&gt;1,1,(WWWW[[#This Row],['#_Constructed/Existing protected/fenced ponds]]*250)/WWWW[[#This Row],[Total PoP ]])</f>
        <v>0</v>
      </c>
      <c r="CT550" s="428">
        <f>WWWW[[#This Row],[% Access to unimproved water points]]*WWWW[[#This Row],[Total PoP ]]</f>
        <v>0</v>
      </c>
      <c r="CU550"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V550"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W550" s="428">
        <f>WWWW[[#This Row],[HRP1]]/500</f>
        <v>3.2</v>
      </c>
      <c r="CX550" s="898">
        <f>1-WWWW[[#This Row],[% Equitable and continuous access to sufficient quantity of domestic water]]</f>
        <v>4.4205495818399054E-2</v>
      </c>
      <c r="CY550" s="428">
        <f>WWWW[[#This Row],[%equitable and continuous access to sufficient quantity of safe drinking and domestic water''s GAP]]*WWWW[[#This Row],[Total PoP ]]</f>
        <v>74.000000000000014</v>
      </c>
      <c r="CZ550" s="424">
        <f>IF(WWWW[[#This Row],[Total required water points]]-WWWW[[#This Row],['#Water points coverage]]&lt;0,0,WWWW[[#This Row],[Total required water points]]-WWWW[[#This Row],['#Water points coverage]])</f>
        <v>0</v>
      </c>
      <c r="DA550" s="424">
        <f>ROUND(IF(WWWW[[#This Row],[Total PoP ]]&lt;500,1,WWWW[[#This Row],[Total PoP ]]/500),0)</f>
        <v>3</v>
      </c>
      <c r="DB550" s="424">
        <f>(WWWW[[#This Row],['#_Constructed latrines_by_WASHAgencies]]+WWWW[[#This Row],['#_Non Cluster partner latrines]])-WWWW[[#This Row],['#_Non-functional latrines]]</f>
        <v>14</v>
      </c>
      <c r="DC550" s="631">
        <f>WWWW[[#This Row],[HRP2]]/WWWW[[#This Row],[Total PoP ]]</f>
        <v>0.16726403823178015</v>
      </c>
      <c r="DD550"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550"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0"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0" s="424">
        <f>IF(WWWW[[#This Row],['# of functional latrines in THF supported by WASH partners during the reporting period2]]="",0,WWWW[[#This Row],['# of functional latrines in THF supported by WASH partners during the reporting period2]]*50)</f>
        <v>0</v>
      </c>
      <c r="DH550" s="424">
        <f>ROUND(IF(WWWW[[#This Row],[Location Type 1]]="camp",WWWW[[#This Row],[Total PoP ]]/20,IF(WWWW[[#This Row],[Location Type 1]]="Temporary Location",WWWW[[#This Row],[Total PoP ]]/50,(WWWW[[#This Row],[Total PoP ]]/6))),0)</f>
        <v>84</v>
      </c>
      <c r="DI550" s="424">
        <f>IF(WWWW[[#This Row],[Total required Latrines]]-(WWWW[[#This Row],['#_Constructed latrines_by_WASHAgencies]]+WWWW[[#This Row],['#_Non Cluster partner latrines]])&lt;0,0,WWWW[[#This Row],[Total required Latrines]]-(WWWW[[#This Row],['#_Constructed latrines_by_WASHAgencies]]+WWWW[[#This Row],['#_Non Cluster partner latrines]]))</f>
        <v>54</v>
      </c>
      <c r="DJ550" s="898">
        <f>1-WWWW[[#This Row],[% people access to functioning Latrine]]</f>
        <v>0.83273596176821985</v>
      </c>
      <c r="DK550" s="631">
        <f>IF(OR(WWWW[[#This Row],['#_Non-functional latrines]]="",WWWW[[#This Row],['#_Non-functional latrines]]=0),0,WWWW[[#This Row],['#_Non-functional latrines]]/(WWWW[[#This Row],['#_Constructed latrines_by_WASHAgencies]]+WWWW[[#This Row],['#_Non Cluster partner latrines]]))</f>
        <v>0.53333333333333333</v>
      </c>
      <c r="DL550" s="428">
        <f>IF(500*(WWWW[[#This Row],['#_male hygiene promoters]]+WWWW[[#This Row],['#_female hygiene promoters]])&gt;WWWW[[#This Row],[Total PoP ]],WWWW[[#This Row],[Total PoP ]],500*(WWWW[[#This Row],['#_male hygiene promoters]]+WWWW[[#This Row],['#_female hygiene promoters]]))</f>
        <v>0</v>
      </c>
      <c r="DM550"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50"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50" s="424">
        <f>IF(WWWW[[#This Row],['# People with access to soap]]&gt;WWWW[[#This Row],['# People with access to Sanity Pads]],WWWW[[#This Row],['# People with access to soap]],WWWW[[#This Row],['# People with access to Sanity Pads]])</f>
        <v>0</v>
      </c>
      <c r="DP550"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50" s="898">
        <f>IF(WWWW[[#This Row],[HRP3]]/WWWW[[#This Row],[Total PoP ]]&gt;1,1,WWWW[[#This Row],[HRP3]]/WWWW[[#This Row],[Total PoP ]])</f>
        <v>0</v>
      </c>
      <c r="DR550" s="631">
        <f>1-WWWW[[#This Row],[Hygiene Coverage%]]</f>
        <v>1</v>
      </c>
      <c r="DS550" s="423">
        <f>WWWW[[#This Row],['# people reached by regular dedicated hygiene promotion_5]]/WWWW[[#This Row],[Total PoP ]]</f>
        <v>0</v>
      </c>
      <c r="DT550"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50"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50" s="424">
        <f>WWWW[[#This Row],['#_Constructed/Existing hand washing stations]]-WWWW[[#This Row],['#_Non-Functional_hand_washing_stations]]</f>
        <v>1</v>
      </c>
      <c r="DW550" s="428">
        <f>IF(WWWW[[#This Row],['# Functional hand washing stations during reporting period]]*20&gt;WWWW[[#This Row],[Total HH]],WWWW[[#This Row],[Total HH]],WWWW[[#This Row],['# Functional hand washing stations during reporting period]]*20)</f>
        <v>20</v>
      </c>
      <c r="DX550" s="428">
        <f>IF(WWWW[[#This Row],[Is sufficient soap available for TLS? (Yes/No)]]="yes",WWWW[[#This Row],['#_Constructed/Existing hand washing stations at TLS/CFS/THF]],0)</f>
        <v>0</v>
      </c>
      <c r="DY550" s="428">
        <f>IF(WWWW[[#This Row],['# Functional hand washing stations during reporting period]]*100&gt;WWWW[[#This Row],[Total PoP ]],WWWW[[#This Row],[Total PoP ]],WWWW[[#This Row],['# Functional hand washing stations during reporting period]]*100)</f>
        <v>100</v>
      </c>
      <c r="DZ550" s="428" t="str">
        <f>IF(OR(WWWW[[#This Row],['#_students at TLS_CFS]]="",WWWW[[#This Row],['#_students at TLS_CFS]]=0),"No","Yes")</f>
        <v>No</v>
      </c>
      <c r="EA55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D55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0" s="425">
        <f>VLOOKUP(WWWW[[#This Row],[Site Name]],SiteDB6[[Site Name]:[CCCM Management]],6,FALSE)</f>
        <v>0</v>
      </c>
      <c r="EF550" s="425">
        <f>VLOOKUP(WWWW[[#This Row],[Site Name]],SiteDB6[[Site Name]:[CCCM Focal Agency]],7,FALSE)</f>
        <v>0</v>
      </c>
      <c r="EG550" s="425" t="str">
        <f>VLOOKUP(WWWW[[#This Row],[Site Name]],SiteDB6[[Site Name]:[Location Type 1]],9,FALSE)</f>
        <v>Camp</v>
      </c>
      <c r="EH550" s="425" t="str">
        <f>VLOOKUP(WWWW[[#This Row],[Site Name]],SiteDB6[[Site Name]:[Type of Accommodation]],10,FALSE)</f>
        <v>Camp Like setting</v>
      </c>
      <c r="EI550" s="425" t="str">
        <f>VLOOKUP(WWWW[[#This Row],[Site Name]],SiteDB6[[Site Name]:[Ethnic or GCA/NGCA]],11,FALSE)</f>
        <v>GCA</v>
      </c>
      <c r="EJ550" s="425">
        <f>VLOOKUP(WWWW[[#This Row],[Site Name]],SiteDB6[[Site Name]:[Lat]],12,FALSE)</f>
        <v>23.420603</v>
      </c>
      <c r="EK550" s="425">
        <f>VLOOKUP(WWWW[[#This Row],[Site Name]],SiteDB6[[Site Name]:[Long]],13,FALSE)</f>
        <v>98.451791999999998</v>
      </c>
      <c r="EL550" s="425" t="str">
        <f>VLOOKUP(WWWW[[#This Row],[Site Name]],SiteDB6[[Site Name]:[Pcode]],3,FALSE)</f>
        <v>MMR015CMP069</v>
      </c>
      <c r="EM550" s="860" t="str">
        <f t="shared" si="12"/>
        <v>Covered</v>
      </c>
      <c r="EN550" s="860"/>
      <c r="EO550" s="425">
        <f>VLOOKUP(WWWW[[#This Row],[Site Name]],SiteDB6[[Site Name]:[Pop
(Kachin/Shan-CCCM as of July 2021)]],16,FALSE)</f>
        <v>166</v>
      </c>
      <c r="EP550" s="425">
        <f>VLOOKUP(WWWW[[#This Row],[Site Name]],SiteDB6[[Site Name]:[Pop
(Kachin/Shan-CCCM as of July 2021)]],17,FALSE)</f>
        <v>830</v>
      </c>
    </row>
    <row r="551" spans="1:146">
      <c r="A551" s="1044" t="s">
        <v>2765</v>
      </c>
      <c r="B551" s="1044" t="s">
        <v>192</v>
      </c>
      <c r="C551" s="1045" t="s">
        <v>192</v>
      </c>
      <c r="D551" s="1045" t="s">
        <v>2673</v>
      </c>
      <c r="E551" s="1045" t="s">
        <v>515</v>
      </c>
      <c r="F551" s="1045" t="s">
        <v>525</v>
      </c>
      <c r="G551" s="1043" t="str">
        <f>VLOOKUP(WWWW[[#This Row],[Site Name]],SiteDB6[[Site Name]:[Location Type]],8,FALSE)</f>
        <v>Camp</v>
      </c>
      <c r="H551" s="1045" t="s">
        <v>555</v>
      </c>
      <c r="I551" s="448">
        <v>180</v>
      </c>
      <c r="J551" s="448">
        <v>934</v>
      </c>
      <c r="K551" s="588">
        <v>44511</v>
      </c>
      <c r="L551" s="589">
        <v>44875</v>
      </c>
      <c r="M551" s="448"/>
      <c r="N551" s="448"/>
      <c r="O551" s="448"/>
      <c r="P551" s="448"/>
      <c r="Q551" s="428"/>
      <c r="R551" s="448">
        <v>5</v>
      </c>
      <c r="S551" s="448">
        <v>1</v>
      </c>
      <c r="T551" s="448"/>
      <c r="U551" s="448"/>
      <c r="V551" s="448"/>
      <c r="W551" s="448"/>
      <c r="X551" s="448"/>
      <c r="Y551" s="448"/>
      <c r="Z551" s="448"/>
      <c r="AA551" s="448">
        <v>18</v>
      </c>
      <c r="AB551" s="448"/>
      <c r="AC551" s="448"/>
      <c r="AD551" s="448"/>
      <c r="AE551" s="448"/>
      <c r="AF551" s="448"/>
      <c r="AG551" s="448"/>
      <c r="AH551" s="448">
        <v>1</v>
      </c>
      <c r="AI551" s="448"/>
      <c r="AJ551" s="448"/>
      <c r="AK551" s="448"/>
      <c r="AL551" s="448"/>
      <c r="AM551" s="448"/>
      <c r="AN551" s="448"/>
      <c r="AO551" s="448"/>
      <c r="AP551" s="860"/>
      <c r="AQ551" s="448">
        <v>40</v>
      </c>
      <c r="AR551" s="448"/>
      <c r="AS551" s="423"/>
      <c r="AT551" s="448"/>
      <c r="AU551" s="448"/>
      <c r="AV551" s="448"/>
      <c r="AW551" s="448"/>
      <c r="AX551" s="448"/>
      <c r="AY551" s="425" t="s">
        <v>136</v>
      </c>
      <c r="AZ551" s="860" t="s">
        <v>904</v>
      </c>
      <c r="BA551" s="448"/>
      <c r="BB551" s="448"/>
      <c r="BC551" s="448"/>
      <c r="BD551" s="448"/>
      <c r="BE551" s="448"/>
      <c r="BF551" s="425"/>
      <c r="BG551" s="448">
        <v>1</v>
      </c>
      <c r="BH551" s="448"/>
      <c r="BI551" s="448"/>
      <c r="BJ551" s="448">
        <v>6</v>
      </c>
      <c r="BK551" s="448"/>
      <c r="BL551" s="448"/>
      <c r="BM551" s="448">
        <v>2</v>
      </c>
      <c r="BN551" s="448"/>
      <c r="BO551" s="448"/>
      <c r="BP551" s="425" t="s">
        <v>41</v>
      </c>
      <c r="BQ551" s="424"/>
      <c r="BR551" s="423"/>
      <c r="BS551" s="425"/>
      <c r="BT551" s="423"/>
      <c r="BU551" s="423"/>
      <c r="BV551" s="425"/>
      <c r="BW551" s="423"/>
      <c r="BX551" s="448"/>
      <c r="BY551" s="448"/>
      <c r="BZ551" s="448"/>
      <c r="CA551" s="448"/>
      <c r="CB551" s="448"/>
      <c r="CC551" s="777"/>
      <c r="CD551" s="448"/>
      <c r="CE551" s="631" t="str">
        <f>IFERROR(WWWW[[#This Row],['#_Water sources passed]]/WWWW[[#This Row],['#_Water sources tested for fecal coliform ]],"no test")</f>
        <v>no test</v>
      </c>
      <c r="CF551" s="423" t="str">
        <f>IFERROR(WWWW[[#This Row],['#_Household passed]]/WWWW[[#This Row],['#_Household water samples tested for fecal coliform]],"no test")</f>
        <v>no test</v>
      </c>
      <c r="CG551" s="424" t="str">
        <f>IF(AND(WWWW[[#This Row],[% of water sources passed]]="no test",WWWW[[#This Row],[% Household passed]]="no test"),"No Test","Tested")</f>
        <v>No Test</v>
      </c>
      <c r="CH551" s="424">
        <f>WWWW[[#This Row],['#_Constructed/existing protected hand dug well]]-WWWW[[#This Row],['#_Non-functional protected hand dug well]]</f>
        <v>0</v>
      </c>
      <c r="CI551" s="424">
        <f>(WWWW[[#This Row],['#_Constructed/Existing tube wells/boreholes/handpumps_WASH_agency]]+WWWW[[#This Row],['#_Non-Cluster partner water tube-wells/boreholes/handpumps]])-WWWW[[#This Row],['#_Non-functional tube wells/boreholes/handpumps]]</f>
        <v>0</v>
      </c>
      <c r="CJ551" s="424">
        <f>WWWW[[#This Row],['#_Constructed/Existingwater storage tank with gravity fed reticulation system]]-WWWW[[#This Row],['#_Non-functional storage tank gravity fed reticulation system]]</f>
        <v>18</v>
      </c>
      <c r="CK551" s="424">
        <f>(WWWW[[#This Row],['#_Water_Liters_supplied_by_Water boating or water trucking]]/90)/15</f>
        <v>0</v>
      </c>
      <c r="CL551" s="424">
        <f>WWWW[[#This Row],['#_Water_Liters_from_Constructed/Existing water distribution system from river or natural spring]]/90/15</f>
        <v>0</v>
      </c>
      <c r="CM551" s="424">
        <f>IF(WWWW[[#This Row],['#_of water points in TLS/CFS]]*500&gt;WWWW[[#This Row],[Total PoP ]],WWWW[[#This Row],[Total PoP ]],WWWW[[#This Row],['#_of water points in TLS/CFS]]*500)</f>
        <v>0</v>
      </c>
      <c r="CN551" s="424">
        <f>IF(WWWW[[#This Row],['#_of water points in THF]]*500&gt;WWWW[[#This Row],[Total PoP ]],WWWW[[#This Row],[Total PoP ]],WWWW[[#This Row],['#_of water points in THF]]*500)</f>
        <v>0</v>
      </c>
      <c r="CO551"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51"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51" s="423">
        <f>IF(WWWW[[#This Row],[Location Type 1]]="Village",WWWW[[#This Row],[Access to safe drinking water for Village]],WWWW[[#This Row],[Access to safe drinking water for Camp]])</f>
        <v>1</v>
      </c>
      <c r="CR551" s="428">
        <f>WWWW[[#This Row],[%Equitable and continuous access to sufficient quantity of safe drinking water]]*WWWW[[#This Row],[Total PoP ]]</f>
        <v>934</v>
      </c>
      <c r="CS551" s="423">
        <f>IF((WWWW[[#This Row],['#_Constructed/Existing protected/fenced ponds]]*250)/WWWW[[#This Row],[Total PoP ]]&gt;1,1,(WWWW[[#This Row],['#_Constructed/Existing protected/fenced ponds]]*250)/WWWW[[#This Row],[Total PoP ]])</f>
        <v>0</v>
      </c>
      <c r="CT551" s="428">
        <f>WWWW[[#This Row],[% Access to unimproved water points]]*WWWW[[#This Row],[Total PoP ]]</f>
        <v>0</v>
      </c>
      <c r="CU551"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51"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934</v>
      </c>
      <c r="CW551" s="428">
        <f>WWWW[[#This Row],[HRP1]]/500</f>
        <v>1.8680000000000001</v>
      </c>
      <c r="CX551" s="898">
        <f>1-WWWW[[#This Row],[% Equitable and continuous access to sufficient quantity of domestic water]]</f>
        <v>0</v>
      </c>
      <c r="CY551" s="428">
        <f>WWWW[[#This Row],[%equitable and continuous access to sufficient quantity of safe drinking and domestic water''s GAP]]*WWWW[[#This Row],[Total PoP ]]</f>
        <v>0</v>
      </c>
      <c r="CZ551" s="424">
        <f>IF(WWWW[[#This Row],[Total required water points]]-WWWW[[#This Row],['#Water points coverage]]&lt;0,0,WWWW[[#This Row],[Total required water points]]-WWWW[[#This Row],['#Water points coverage]])</f>
        <v>0.1319999999999999</v>
      </c>
      <c r="DA551" s="424">
        <f>ROUND(IF(WWWW[[#This Row],[Total PoP ]]&lt;500,1,WWWW[[#This Row],[Total PoP ]]/500),0)</f>
        <v>2</v>
      </c>
      <c r="DB551" s="424">
        <f>(WWWW[[#This Row],['#_Constructed latrines_by_WASHAgencies]]+WWWW[[#This Row],['#_Non Cluster partner latrines]])-WWWW[[#This Row],['#_Non-functional latrines]]</f>
        <v>40</v>
      </c>
      <c r="DC551" s="631">
        <f>WWWW[[#This Row],[HRP2]]/WWWW[[#This Row],[Total PoP ]]</f>
        <v>0.85653104925053536</v>
      </c>
      <c r="DD551"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800</v>
      </c>
      <c r="DE551"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1"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1" s="424">
        <f>IF(WWWW[[#This Row],['# of functional latrines in THF supported by WASH partners during the reporting period2]]="",0,WWWW[[#This Row],['# of functional latrines in THF supported by WASH partners during the reporting period2]]*50)</f>
        <v>0</v>
      </c>
      <c r="DH551" s="424">
        <f>ROUND(IF(WWWW[[#This Row],[Location Type 1]]="camp",WWWW[[#This Row],[Total PoP ]]/20,IF(WWWW[[#This Row],[Location Type 1]]="Temporary Location",WWWW[[#This Row],[Total PoP ]]/50,(WWWW[[#This Row],[Total PoP ]]/6))),0)</f>
        <v>47</v>
      </c>
      <c r="DI551" s="424">
        <f>IF(WWWW[[#This Row],[Total required Latrines]]-(WWWW[[#This Row],['#_Constructed latrines_by_WASHAgencies]]+WWWW[[#This Row],['#_Non Cluster partner latrines]])&lt;0,0,WWWW[[#This Row],[Total required Latrines]]-(WWWW[[#This Row],['#_Constructed latrines_by_WASHAgencies]]+WWWW[[#This Row],['#_Non Cluster partner latrines]]))</f>
        <v>7</v>
      </c>
      <c r="DJ551" s="898">
        <f>1-WWWW[[#This Row],[% people access to functioning Latrine]]</f>
        <v>0.14346895074946464</v>
      </c>
      <c r="DK551" s="631">
        <f>IF(OR(WWWW[[#This Row],['#_Non-functional latrines]]="",WWWW[[#This Row],['#_Non-functional latrines]]=0),0,WWWW[[#This Row],['#_Non-functional latrines]]/(WWWW[[#This Row],['#_Constructed latrines_by_WASHAgencies]]+WWWW[[#This Row],['#_Non Cluster partner latrines]]))</f>
        <v>0</v>
      </c>
      <c r="DL551" s="428">
        <f>IF(500*(WWWW[[#This Row],['#_male hygiene promoters]]+WWWW[[#This Row],['#_female hygiene promoters]])&gt;WWWW[[#This Row],[Total PoP ]],WWWW[[#This Row],[Total PoP ]],500*(WWWW[[#This Row],['#_male hygiene promoters]]+WWWW[[#This Row],['#_female hygiene promoters]]))</f>
        <v>934</v>
      </c>
      <c r="DM551"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51"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51" s="424">
        <f>IF(WWWW[[#This Row],['# People with access to soap]]&gt;WWWW[[#This Row],['# People with access to Sanity Pads]],WWWW[[#This Row],['# People with access to soap]],WWWW[[#This Row],['# People with access to Sanity Pads]])</f>
        <v>0</v>
      </c>
      <c r="DP551" s="424">
        <f>IF(WWWW[[#This Row],['# people reached by regular dedicated hygiene promotion_5]]&gt;WWWW[[#This Row],['# People received regular supply of hygiene items_6]],WWWW[[#This Row],['# people reached by regular dedicated hygiene promotion_5]],WWWW[[#This Row],['# People received regular supply of hygiene items_6]])</f>
        <v>934</v>
      </c>
      <c r="DQ551" s="898">
        <f>IF(WWWW[[#This Row],[HRP3]]/WWWW[[#This Row],[Total PoP ]]&gt;1,1,WWWW[[#This Row],[HRP3]]/WWWW[[#This Row],[Total PoP ]])</f>
        <v>1</v>
      </c>
      <c r="DR551" s="631">
        <f>1-WWWW[[#This Row],[Hygiene Coverage%]]</f>
        <v>0</v>
      </c>
      <c r="DS551" s="423">
        <f>WWWW[[#This Row],['# people reached by regular dedicated hygiene promotion_5]]/WWWW[[#This Row],[Total PoP ]]</f>
        <v>1</v>
      </c>
      <c r="DT551"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51"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51" s="424">
        <f>WWWW[[#This Row],['#_Constructed/Existing hand washing stations]]-WWWW[[#This Row],['#_Non-Functional_hand_washing_stations]]</f>
        <v>1</v>
      </c>
      <c r="DW551" s="428">
        <f>IF(WWWW[[#This Row],['# Functional hand washing stations during reporting period]]*20&gt;WWWW[[#This Row],[Total HH]],WWWW[[#This Row],[Total HH]],WWWW[[#This Row],['# Functional hand washing stations during reporting period]]*20)</f>
        <v>20</v>
      </c>
      <c r="DX551" s="428">
        <f>IF(WWWW[[#This Row],[Is sufficient soap available for TLS? (Yes/No)]]="yes",WWWW[[#This Row],['#_Constructed/Existing hand washing stations at TLS/CFS/THF]],0)</f>
        <v>0</v>
      </c>
      <c r="DY551" s="428">
        <f>IF(WWWW[[#This Row],['# Functional hand washing stations during reporting period]]*100&gt;WWWW[[#This Row],[Total PoP ]],WWWW[[#This Row],[Total PoP ]],WWWW[[#This Row],['# Functional hand washing stations during reporting period]]*100)</f>
        <v>100</v>
      </c>
      <c r="DZ551" s="428" t="str">
        <f>IF(OR(WWWW[[#This Row],['#_students at TLS_CFS]]="",WWWW[[#This Row],['#_students at TLS_CFS]]=0),"No","Yes")</f>
        <v>No</v>
      </c>
      <c r="EA55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5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1" s="425" t="str">
        <f>VLOOKUP(WWWW[[#This Row],[Site Name]],SiteDB6[[Site Name]:[CCCM Management]],6,FALSE)</f>
        <v>Yes</v>
      </c>
      <c r="EF551" s="425" t="str">
        <f>VLOOKUP(WWWW[[#This Row],[Site Name]],SiteDB6[[Site Name]:[CCCM Focal Agency]],7,FALSE)</f>
        <v>KBC-NSS</v>
      </c>
      <c r="EG551" s="425" t="str">
        <f>VLOOKUP(WWWW[[#This Row],[Site Name]],SiteDB6[[Site Name]:[Location Type 1]],9,FALSE)</f>
        <v>Camp</v>
      </c>
      <c r="EH551" s="425" t="str">
        <f>VLOOKUP(WWWW[[#This Row],[Site Name]],SiteDB6[[Site Name]:[Type of Accommodation]],10,FALSE)</f>
        <v>Camp</v>
      </c>
      <c r="EI551" s="425" t="str">
        <f>VLOOKUP(WWWW[[#This Row],[Site Name]],SiteDB6[[Site Name]:[Ethnic or GCA/NGCA]],11,FALSE)</f>
        <v>GCA</v>
      </c>
      <c r="EJ551" s="425">
        <f>VLOOKUP(WWWW[[#This Row],[Site Name]],SiteDB6[[Site Name]:[Lat]],12,FALSE)</f>
        <v>24.08738</v>
      </c>
      <c r="EK551" s="425">
        <f>VLOOKUP(WWWW[[#This Row],[Site Name]],SiteDB6[[Site Name]:[Long]],13,FALSE)</f>
        <v>98.115809999999996</v>
      </c>
      <c r="EL551" s="425" t="str">
        <f>VLOOKUP(WWWW[[#This Row],[Site Name]],SiteDB6[[Site Name]:[Pcode]],3,FALSE)</f>
        <v>MMR015CMP065</v>
      </c>
      <c r="EM551" s="860" t="str">
        <f t="shared" si="12"/>
        <v>Covered</v>
      </c>
      <c r="EN551" s="860"/>
      <c r="EO551" s="425">
        <f>VLOOKUP(WWWW[[#This Row],[Site Name]],SiteDB6[[Site Name]:[Pop
(Kachin/Shan-CCCM as of July 2021)]],16,FALSE)</f>
        <v>306</v>
      </c>
      <c r="EP551" s="425">
        <f>VLOOKUP(WWWW[[#This Row],[Site Name]],SiteDB6[[Site Name]:[Pop
(Kachin/Shan-CCCM as of July 2021)]],17,FALSE)</f>
        <v>1573</v>
      </c>
    </row>
    <row r="552" spans="1:146">
      <c r="A552" s="1044" t="s">
        <v>2765</v>
      </c>
      <c r="B552" s="1044" t="s">
        <v>192</v>
      </c>
      <c r="C552" s="1045" t="s">
        <v>192</v>
      </c>
      <c r="D552" s="1045" t="s">
        <v>241</v>
      </c>
      <c r="E552" s="1045" t="s">
        <v>515</v>
      </c>
      <c r="F552" s="1045" t="s">
        <v>536</v>
      </c>
      <c r="G552" s="1043" t="str">
        <f>VLOOKUP(WWWW[[#This Row],[Site Name]],SiteDB6[[Site Name]:[Location Type]],8,FALSE)</f>
        <v>Relocated</v>
      </c>
      <c r="H552" s="1045" t="s">
        <v>2954</v>
      </c>
      <c r="I552" s="448">
        <v>19</v>
      </c>
      <c r="J552" s="448">
        <v>77</v>
      </c>
      <c r="K552" s="800">
        <v>44511</v>
      </c>
      <c r="L552" s="56">
        <v>44875</v>
      </c>
      <c r="M552" s="448"/>
      <c r="N552" s="448"/>
      <c r="O552" s="448"/>
      <c r="P552" s="448"/>
      <c r="Q552" s="428"/>
      <c r="R552" s="448"/>
      <c r="S552" s="448"/>
      <c r="T552" s="448"/>
      <c r="U552" s="448"/>
      <c r="V552" s="448"/>
      <c r="W552" s="448">
        <v>1</v>
      </c>
      <c r="X552" s="448"/>
      <c r="Y552" s="448"/>
      <c r="Z552" s="448"/>
      <c r="AA552" s="448"/>
      <c r="AB552" s="448"/>
      <c r="AC552" s="448"/>
      <c r="AD552" s="448"/>
      <c r="AE552" s="448"/>
      <c r="AF552" s="448"/>
      <c r="AG552" s="448"/>
      <c r="AH552" s="448"/>
      <c r="AI552" s="448"/>
      <c r="AJ552" s="448"/>
      <c r="AK552" s="448"/>
      <c r="AL552" s="448"/>
      <c r="AM552" s="448"/>
      <c r="AN552" s="448"/>
      <c r="AO552" s="448"/>
      <c r="AP552" s="860"/>
      <c r="AQ552" s="448"/>
      <c r="AR552" s="448">
        <v>4</v>
      </c>
      <c r="AS552" s="423"/>
      <c r="AT552" s="448"/>
      <c r="AU552" s="448"/>
      <c r="AV552" s="448"/>
      <c r="AW552" s="448"/>
      <c r="AX552" s="448"/>
      <c r="AY552" s="425" t="s">
        <v>140</v>
      </c>
      <c r="AZ552" s="860" t="s">
        <v>140</v>
      </c>
      <c r="BA552" s="448"/>
      <c r="BB552" s="448"/>
      <c r="BC552" s="448"/>
      <c r="BD552" s="448"/>
      <c r="BE552" s="448"/>
      <c r="BF552" s="425"/>
      <c r="BG552" s="448">
        <v>8</v>
      </c>
      <c r="BH552" s="448"/>
      <c r="BI552" s="448"/>
      <c r="BJ552" s="448"/>
      <c r="BK552" s="448"/>
      <c r="BL552" s="448"/>
      <c r="BM552" s="448"/>
      <c r="BN552" s="448"/>
      <c r="BO552" s="448"/>
      <c r="BP552" s="425" t="s">
        <v>41</v>
      </c>
      <c r="BQ552" s="424">
        <v>3</v>
      </c>
      <c r="BR552" s="423">
        <v>1</v>
      </c>
      <c r="BS552" s="425"/>
      <c r="BT552" s="423"/>
      <c r="BU552" s="423"/>
      <c r="BV552" s="425"/>
      <c r="BW552" s="423"/>
      <c r="BX552" s="448"/>
      <c r="BY552" s="448"/>
      <c r="BZ552" s="448"/>
      <c r="CA552" s="448"/>
      <c r="CB552" s="448"/>
      <c r="CC552" s="777"/>
      <c r="CD552" s="448"/>
      <c r="CE552" s="631" t="str">
        <f>IFERROR(WWWW[[#This Row],['#_Water sources passed]]/WWWW[[#This Row],['#_Water sources tested for fecal coliform ]],"no test")</f>
        <v>no test</v>
      </c>
      <c r="CF552" s="423" t="str">
        <f>IFERROR(WWWW[[#This Row],['#_Household passed]]/WWWW[[#This Row],['#_Household water samples tested for fecal coliform]],"no test")</f>
        <v>no test</v>
      </c>
      <c r="CG552" s="424" t="str">
        <f>IF(AND(WWWW[[#This Row],[% of water sources passed]]="no test",WWWW[[#This Row],[% Household passed]]="no test"),"No Test","Tested")</f>
        <v>No Test</v>
      </c>
      <c r="CH552" s="424">
        <f>WWWW[[#This Row],['#_Constructed/existing protected hand dug well]]-WWWW[[#This Row],['#_Non-functional protected hand dug well]]</f>
        <v>0</v>
      </c>
      <c r="CI552" s="424">
        <f>(WWWW[[#This Row],['#_Constructed/Existing tube wells/boreholes/handpumps_WASH_agency]]+WWWW[[#This Row],['#_Non-Cluster partner water tube-wells/boreholes/handpumps]])-WWWW[[#This Row],['#_Non-functional tube wells/boreholes/handpumps]]</f>
        <v>1</v>
      </c>
      <c r="CJ552" s="424">
        <f>WWWW[[#This Row],['#_Constructed/Existingwater storage tank with gravity fed reticulation system]]-WWWW[[#This Row],['#_Non-functional storage tank gravity fed reticulation system]]</f>
        <v>0</v>
      </c>
      <c r="CK552" s="424">
        <f>(WWWW[[#This Row],['#_Water_Liters_supplied_by_Water boating or water trucking]]/90)/15</f>
        <v>0</v>
      </c>
      <c r="CL552" s="424">
        <f>WWWW[[#This Row],['#_Water_Liters_from_Constructed/Existing water distribution system from river or natural spring]]/90/15</f>
        <v>0</v>
      </c>
      <c r="CM552" s="424">
        <f>IF(WWWW[[#This Row],['#_of water points in TLS/CFS]]*500&gt;WWWW[[#This Row],[Total PoP ]],WWWW[[#This Row],[Total PoP ]],WWWW[[#This Row],['#_of water points in TLS/CFS]]*500)</f>
        <v>0</v>
      </c>
      <c r="CN552" s="424">
        <f>IF(WWWW[[#This Row],['#_of water points in THF]]*500&gt;WWWW[[#This Row],[Total PoP ]],WWWW[[#This Row],[Total PoP ]],WWWW[[#This Row],['#_of water points in THF]]*500)</f>
        <v>0</v>
      </c>
      <c r="CO552"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52"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52" s="423">
        <f>IF(WWWW[[#This Row],[Location Type 1]]="Village",WWWW[[#This Row],[Access to safe drinking water for Village]],WWWW[[#This Row],[Access to safe drinking water for Camp]])</f>
        <v>1</v>
      </c>
      <c r="CR552" s="428">
        <f>WWWW[[#This Row],[%Equitable and continuous access to sufficient quantity of safe drinking water]]*WWWW[[#This Row],[Total PoP ]]</f>
        <v>77</v>
      </c>
      <c r="CS552" s="423">
        <f>IF((WWWW[[#This Row],['#_Constructed/Existing protected/fenced ponds]]*250)/WWWW[[#This Row],[Total PoP ]]&gt;1,1,(WWWW[[#This Row],['#_Constructed/Existing protected/fenced ponds]]*250)/WWWW[[#This Row],[Total PoP ]])</f>
        <v>0</v>
      </c>
      <c r="CT552" s="428">
        <f>WWWW[[#This Row],[% Access to unimproved water points]]*WWWW[[#This Row],[Total PoP ]]</f>
        <v>0</v>
      </c>
      <c r="CU552"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52"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W552" s="428">
        <f>WWWW[[#This Row],[HRP1]]/500</f>
        <v>0.154</v>
      </c>
      <c r="CX552" s="898">
        <f>1-WWWW[[#This Row],[% Equitable and continuous access to sufficient quantity of domestic water]]</f>
        <v>0</v>
      </c>
      <c r="CY552" s="428">
        <f>WWWW[[#This Row],[%equitable and continuous access to sufficient quantity of safe drinking and domestic water''s GAP]]*WWWW[[#This Row],[Total PoP ]]</f>
        <v>0</v>
      </c>
      <c r="CZ552" s="424">
        <f>IF(WWWW[[#This Row],[Total required water points]]-WWWW[[#This Row],['#Water points coverage]]&lt;0,0,WWWW[[#This Row],[Total required water points]]-WWWW[[#This Row],['#Water points coverage]])</f>
        <v>0.84599999999999997</v>
      </c>
      <c r="DA552" s="424">
        <f>ROUND(IF(WWWW[[#This Row],[Total PoP ]]&lt;500,1,WWWW[[#This Row],[Total PoP ]]/500),0)</f>
        <v>1</v>
      </c>
      <c r="DB552" s="424">
        <f>(WWWW[[#This Row],['#_Constructed latrines_by_WASHAgencies]]+WWWW[[#This Row],['#_Non Cluster partner latrines]])-WWWW[[#This Row],['#_Non-functional latrines]]</f>
        <v>4</v>
      </c>
      <c r="DC552" s="631">
        <f>WWWW[[#This Row],[HRP2]]/WWWW[[#This Row],[Total PoP ]]</f>
        <v>0.25974025974025972</v>
      </c>
      <c r="DD552"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DE552"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2"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2" s="424">
        <f>IF(WWWW[[#This Row],['# of functional latrines in THF supported by WASH partners during the reporting period2]]="",0,WWWW[[#This Row],['# of functional latrines in THF supported by WASH partners during the reporting period2]]*50)</f>
        <v>0</v>
      </c>
      <c r="DH552" s="424">
        <f>ROUND(IF(WWWW[[#This Row],[Location Type 1]]="camp",WWWW[[#This Row],[Total PoP ]]/20,IF(WWWW[[#This Row],[Location Type 1]]="Temporary Location",WWWW[[#This Row],[Total PoP ]]/50,(WWWW[[#This Row],[Total PoP ]]/6))),0)</f>
        <v>13</v>
      </c>
      <c r="DI552" s="424">
        <f>IF(WWWW[[#This Row],[Total required Latrines]]-(WWWW[[#This Row],['#_Constructed latrines_by_WASHAgencies]]+WWWW[[#This Row],['#_Non Cluster partner latrines]])&lt;0,0,WWWW[[#This Row],[Total required Latrines]]-(WWWW[[#This Row],['#_Constructed latrines_by_WASHAgencies]]+WWWW[[#This Row],['#_Non Cluster partner latrines]]))</f>
        <v>9</v>
      </c>
      <c r="DJ552" s="898">
        <f>1-WWWW[[#This Row],[% people access to functioning Latrine]]</f>
        <v>0.74025974025974028</v>
      </c>
      <c r="DK552" s="631">
        <f>IF(OR(WWWW[[#This Row],['#_Non-functional latrines]]="",WWWW[[#This Row],['#_Non-functional latrines]]=0),0,WWWW[[#This Row],['#_Non-functional latrines]]/(WWWW[[#This Row],['#_Constructed latrines_by_WASHAgencies]]+WWWW[[#This Row],['#_Non Cluster partner latrines]]))</f>
        <v>0</v>
      </c>
      <c r="DL552" s="428">
        <f>IF(500*(WWWW[[#This Row],['#_male hygiene promoters]]+WWWW[[#This Row],['#_female hygiene promoters]])&gt;WWWW[[#This Row],[Total PoP ]],WWWW[[#This Row],[Total PoP ]],500*(WWWW[[#This Row],['#_male hygiene promoters]]+WWWW[[#This Row],['#_female hygiene promoters]]))</f>
        <v>0</v>
      </c>
      <c r="DM552"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52"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52" s="424">
        <f>IF(WWWW[[#This Row],['# People with access to soap]]&gt;WWWW[[#This Row],['# People with access to Sanity Pads]],WWWW[[#This Row],['# People with access to soap]],WWWW[[#This Row],['# People with access to Sanity Pads]])</f>
        <v>0</v>
      </c>
      <c r="DP552"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52" s="898">
        <f>IF(WWWW[[#This Row],[HRP3]]/WWWW[[#This Row],[Total PoP ]]&gt;1,1,WWWW[[#This Row],[HRP3]]/WWWW[[#This Row],[Total PoP ]])</f>
        <v>0</v>
      </c>
      <c r="DR552" s="631">
        <f>1-WWWW[[#This Row],[Hygiene Coverage%]]</f>
        <v>1</v>
      </c>
      <c r="DS552" s="423">
        <f>WWWW[[#This Row],['# people reached by regular dedicated hygiene promotion_5]]/WWWW[[#This Row],[Total PoP ]]</f>
        <v>0</v>
      </c>
      <c r="DT552"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52"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52" s="424">
        <f>WWWW[[#This Row],['#_Constructed/Existing hand washing stations]]-WWWW[[#This Row],['#_Non-Functional_hand_washing_stations]]</f>
        <v>8</v>
      </c>
      <c r="DW552" s="428">
        <f>IF(WWWW[[#This Row],['# Functional hand washing stations during reporting period]]*20&gt;WWWW[[#This Row],[Total HH]],WWWW[[#This Row],[Total HH]],WWWW[[#This Row],['# Functional hand washing stations during reporting period]]*20)</f>
        <v>19</v>
      </c>
      <c r="DX552" s="428">
        <f>IF(WWWW[[#This Row],[Is sufficient soap available for TLS? (Yes/No)]]="yes",WWWW[[#This Row],['#_Constructed/Existing hand washing stations at TLS/CFS/THF]],0)</f>
        <v>0</v>
      </c>
      <c r="DY552" s="428">
        <f>IF(WWWW[[#This Row],['# Functional hand washing stations during reporting period]]*100&gt;WWWW[[#This Row],[Total PoP ]],WWWW[[#This Row],[Total PoP ]],WWWW[[#This Row],['# Functional hand washing stations during reporting period]]*100)</f>
        <v>77</v>
      </c>
      <c r="DZ552" s="428" t="str">
        <f>IF(OR(WWWW[[#This Row],['#_students at TLS_CFS]]="",WWWW[[#This Row],['#_students at TLS_CFS]]=0),"No","Yes")</f>
        <v>No</v>
      </c>
      <c r="EA55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5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2" s="425">
        <f>VLOOKUP(WWWW[[#This Row],[Site Name]],SiteDB6[[Site Name]:[CCCM Management]],6,FALSE)</f>
        <v>0</v>
      </c>
      <c r="EF552" s="425">
        <f>VLOOKUP(WWWW[[#This Row],[Site Name]],SiteDB6[[Site Name]:[CCCM Focal Agency]],7,FALSE)</f>
        <v>0</v>
      </c>
      <c r="EG552" s="425" t="str">
        <f>VLOOKUP(WWWW[[#This Row],[Site Name]],SiteDB6[[Site Name]:[Location Type 1]],9,FALSE)</f>
        <v>Relocated</v>
      </c>
      <c r="EH552" s="425" t="str">
        <f>VLOOKUP(WWWW[[#This Row],[Site Name]],SiteDB6[[Site Name]:[Type of Accommodation]],10,FALSE)</f>
        <v>Relocated-IDPs in host</v>
      </c>
      <c r="EI552" s="425" t="str">
        <f>VLOOKUP(WWWW[[#This Row],[Site Name]],SiteDB6[[Site Name]:[Ethnic or GCA/NGCA]],11,FALSE)</f>
        <v>GCA</v>
      </c>
      <c r="EJ552" s="425">
        <f>VLOOKUP(WWWW[[#This Row],[Site Name]],SiteDB6[[Site Name]:[Lat]],12,FALSE)</f>
        <v>23.078210830688501</v>
      </c>
      <c r="EK552" s="425">
        <f>VLOOKUP(WWWW[[#This Row],[Site Name]],SiteDB6[[Site Name]:[Long]],13,FALSE)</f>
        <v>97.411773681640597</v>
      </c>
      <c r="EL552" s="425" t="str">
        <f>VLOOKUP(WWWW[[#This Row],[Site Name]],SiteDB6[[Site Name]:[Pcode]],3,FALSE)</f>
        <v>MMR015CMP074</v>
      </c>
      <c r="EM552" s="860" t="str">
        <f t="shared" si="12"/>
        <v>Covered</v>
      </c>
      <c r="EN552" s="860"/>
      <c r="EO552" s="425">
        <f>VLOOKUP(WWWW[[#This Row],[Site Name]],SiteDB6[[Site Name]:[Pop
(Kachin/Shan-CCCM as of July 2021)]],16,FALSE)</f>
        <v>19</v>
      </c>
      <c r="EP552" s="425">
        <f>VLOOKUP(WWWW[[#This Row],[Site Name]],SiteDB6[[Site Name]:[Pop
(Kachin/Shan-CCCM as of July 2021)]],17,FALSE)</f>
        <v>77</v>
      </c>
    </row>
    <row r="553" spans="1:146">
      <c r="A553" s="1044" t="s">
        <v>2765</v>
      </c>
      <c r="B553" s="1044" t="s">
        <v>192</v>
      </c>
      <c r="C553" s="1045" t="s">
        <v>192</v>
      </c>
      <c r="D553" s="1045" t="s">
        <v>2673</v>
      </c>
      <c r="E553" s="1045" t="s">
        <v>515</v>
      </c>
      <c r="F553" s="1045" t="s">
        <v>519</v>
      </c>
      <c r="G553" s="1043" t="str">
        <f>VLOOKUP(WWWW[[#This Row],[Site Name]],SiteDB6[[Site Name]:[Location Type]],8,FALSE)</f>
        <v>Camp</v>
      </c>
      <c r="H553" s="1045" t="s">
        <v>1726</v>
      </c>
      <c r="I553" s="448">
        <v>29</v>
      </c>
      <c r="J553" s="448">
        <v>130</v>
      </c>
      <c r="K553" s="800">
        <v>44511</v>
      </c>
      <c r="L553" s="56">
        <v>44875</v>
      </c>
      <c r="M553" s="448"/>
      <c r="N553" s="448">
        <v>1</v>
      </c>
      <c r="O553" s="448"/>
      <c r="P553" s="448"/>
      <c r="Q553" s="428" t="s">
        <v>41</v>
      </c>
      <c r="R553" s="448">
        <v>4</v>
      </c>
      <c r="S553" s="448">
        <v>5</v>
      </c>
      <c r="T553" s="448"/>
      <c r="U553" s="448"/>
      <c r="V553" s="448"/>
      <c r="W553" s="448"/>
      <c r="X553" s="448"/>
      <c r="Y553" s="448"/>
      <c r="Z553" s="448"/>
      <c r="AA553" s="448">
        <v>13</v>
      </c>
      <c r="AB553" s="448"/>
      <c r="AC553" s="448"/>
      <c r="AD553" s="448"/>
      <c r="AE553" s="448"/>
      <c r="AF553" s="448"/>
      <c r="AG553" s="448"/>
      <c r="AH553" s="448"/>
      <c r="AI553" s="448"/>
      <c r="AJ553" s="448"/>
      <c r="AK553" s="448"/>
      <c r="AL553" s="448"/>
      <c r="AM553" s="448"/>
      <c r="AN553" s="448"/>
      <c r="AO553" s="448"/>
      <c r="AP553" s="860"/>
      <c r="AQ553" s="448">
        <v>30</v>
      </c>
      <c r="AR553" s="448"/>
      <c r="AS553" s="423"/>
      <c r="AT553" s="448"/>
      <c r="AU553" s="448"/>
      <c r="AV553" s="448"/>
      <c r="AW553" s="448"/>
      <c r="AX553" s="448"/>
      <c r="AY553" s="425" t="s">
        <v>41</v>
      </c>
      <c r="AZ553" s="860" t="s">
        <v>137</v>
      </c>
      <c r="BA553" s="448"/>
      <c r="BB553" s="448"/>
      <c r="BC553" s="448"/>
      <c r="BD553" s="448"/>
      <c r="BE553" s="448"/>
      <c r="BF553" s="425"/>
      <c r="BG553" s="448">
        <v>7</v>
      </c>
      <c r="BH553" s="448"/>
      <c r="BI553" s="448"/>
      <c r="BJ553" s="448">
        <v>1</v>
      </c>
      <c r="BK553" s="448"/>
      <c r="BL553" s="448"/>
      <c r="BM553" s="448">
        <v>1</v>
      </c>
      <c r="BN553" s="448"/>
      <c r="BO553" s="448"/>
      <c r="BP553" s="425" t="s">
        <v>41</v>
      </c>
      <c r="BQ553" s="424">
        <v>3</v>
      </c>
      <c r="BR553" s="423">
        <v>1</v>
      </c>
      <c r="BS553" s="425"/>
      <c r="BT553" s="423"/>
      <c r="BU553" s="423"/>
      <c r="BV553" s="425"/>
      <c r="BW553" s="423"/>
      <c r="BX553" s="448"/>
      <c r="BY553" s="448"/>
      <c r="BZ553" s="448"/>
      <c r="CA553" s="448"/>
      <c r="CB553" s="448"/>
      <c r="CC553" s="777"/>
      <c r="CD553" s="448"/>
      <c r="CE553" s="631" t="str">
        <f>IFERROR(WWWW[[#This Row],['#_Water sources passed]]/WWWW[[#This Row],['#_Water sources tested for fecal coliform ]],"no test")</f>
        <v>no test</v>
      </c>
      <c r="CF553" s="423" t="str">
        <f>IFERROR(WWWW[[#This Row],['#_Household passed]]/WWWW[[#This Row],['#_Household water samples tested for fecal coliform]],"no test")</f>
        <v>no test</v>
      </c>
      <c r="CG553" s="424" t="str">
        <f>IF(AND(WWWW[[#This Row],[% of water sources passed]]="no test",WWWW[[#This Row],[% Household passed]]="no test"),"No Test","Tested")</f>
        <v>No Test</v>
      </c>
      <c r="CH553" s="424">
        <f>WWWW[[#This Row],['#_Constructed/existing protected hand dug well]]-WWWW[[#This Row],['#_Non-functional protected hand dug well]]</f>
        <v>0</v>
      </c>
      <c r="CI553" s="424">
        <f>(WWWW[[#This Row],['#_Constructed/Existing tube wells/boreholes/handpumps_WASH_agency]]+WWWW[[#This Row],['#_Non-Cluster partner water tube-wells/boreholes/handpumps]])-WWWW[[#This Row],['#_Non-functional tube wells/boreholes/handpumps]]</f>
        <v>0</v>
      </c>
      <c r="CJ553" s="424">
        <f>WWWW[[#This Row],['#_Constructed/Existingwater storage tank with gravity fed reticulation system]]-WWWW[[#This Row],['#_Non-functional storage tank gravity fed reticulation system]]</f>
        <v>13</v>
      </c>
      <c r="CK553" s="424">
        <f>(WWWW[[#This Row],['#_Water_Liters_supplied_by_Water boating or water trucking]]/90)/15</f>
        <v>0</v>
      </c>
      <c r="CL553" s="424">
        <f>WWWW[[#This Row],['#_Water_Liters_from_Constructed/Existing water distribution system from river or natural spring]]/90/15</f>
        <v>0</v>
      </c>
      <c r="CM553" s="424">
        <f>IF(WWWW[[#This Row],['#_of water points in TLS/CFS]]*500&gt;WWWW[[#This Row],[Total PoP ]],WWWW[[#This Row],[Total PoP ]],WWWW[[#This Row],['#_of water points in TLS/CFS]]*500)</f>
        <v>0</v>
      </c>
      <c r="CN553" s="424">
        <f>IF(WWWW[[#This Row],['#_of water points in THF]]*500&gt;WWWW[[#This Row],[Total PoP ]],WWWW[[#This Row],[Total PoP ]],WWWW[[#This Row],['#_of water points in THF]]*500)</f>
        <v>0</v>
      </c>
      <c r="CO553"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53"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53" s="423">
        <f>IF(WWWW[[#This Row],[Location Type 1]]="Village",WWWW[[#This Row],[Access to safe drinking water for Village]],WWWW[[#This Row],[Access to safe drinking water for Camp]])</f>
        <v>1</v>
      </c>
      <c r="CR553" s="428">
        <f>WWWW[[#This Row],[%Equitable and continuous access to sufficient quantity of safe drinking water]]*WWWW[[#This Row],[Total PoP ]]</f>
        <v>130</v>
      </c>
      <c r="CS553" s="423">
        <f>IF((WWWW[[#This Row],['#_Constructed/Existing protected/fenced ponds]]*250)/WWWW[[#This Row],[Total PoP ]]&gt;1,1,(WWWW[[#This Row],['#_Constructed/Existing protected/fenced ponds]]*250)/WWWW[[#This Row],[Total PoP ]])</f>
        <v>0</v>
      </c>
      <c r="CT553" s="428">
        <f>WWWW[[#This Row],[% Access to unimproved water points]]*WWWW[[#This Row],[Total PoP ]]</f>
        <v>0</v>
      </c>
      <c r="CU553"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53"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W553" s="428">
        <f>WWWW[[#This Row],[HRP1]]/500</f>
        <v>0.26</v>
      </c>
      <c r="CX553" s="898">
        <f>1-WWWW[[#This Row],[% Equitable and continuous access to sufficient quantity of domestic water]]</f>
        <v>0</v>
      </c>
      <c r="CY553" s="428">
        <f>WWWW[[#This Row],[%equitable and continuous access to sufficient quantity of safe drinking and domestic water''s GAP]]*WWWW[[#This Row],[Total PoP ]]</f>
        <v>0</v>
      </c>
      <c r="CZ553" s="424">
        <f>IF(WWWW[[#This Row],[Total required water points]]-WWWW[[#This Row],['#Water points coverage]]&lt;0,0,WWWW[[#This Row],[Total required water points]]-WWWW[[#This Row],['#Water points coverage]])</f>
        <v>0.74</v>
      </c>
      <c r="DA553" s="424">
        <f>ROUND(IF(WWWW[[#This Row],[Total PoP ]]&lt;500,1,WWWW[[#This Row],[Total PoP ]]/500),0)</f>
        <v>1</v>
      </c>
      <c r="DB553" s="424">
        <f>(WWWW[[#This Row],['#_Constructed latrines_by_WASHAgencies]]+WWWW[[#This Row],['#_Non Cluster partner latrines]])-WWWW[[#This Row],['#_Non-functional latrines]]</f>
        <v>30</v>
      </c>
      <c r="DC553" s="631">
        <f>WWWW[[#This Row],[HRP2]]/WWWW[[#This Row],[Total PoP ]]</f>
        <v>1</v>
      </c>
      <c r="DD553"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130</v>
      </c>
      <c r="DE553"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3"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3" s="424">
        <f>IF(WWWW[[#This Row],['# of functional latrines in THF supported by WASH partners during the reporting period2]]="",0,WWWW[[#This Row],['# of functional latrines in THF supported by WASH partners during the reporting period2]]*50)</f>
        <v>0</v>
      </c>
      <c r="DH553" s="424">
        <f>ROUND(IF(WWWW[[#This Row],[Location Type 1]]="camp",WWWW[[#This Row],[Total PoP ]]/20,IF(WWWW[[#This Row],[Location Type 1]]="Temporary Location",WWWW[[#This Row],[Total PoP ]]/50,(WWWW[[#This Row],[Total PoP ]]/6))),0)</f>
        <v>7</v>
      </c>
      <c r="DI553" s="424">
        <f>IF(WWWW[[#This Row],[Total required Latrines]]-(WWWW[[#This Row],['#_Constructed latrines_by_WASHAgencies]]+WWWW[[#This Row],['#_Non Cluster partner latrines]])&lt;0,0,WWWW[[#This Row],[Total required Latrines]]-(WWWW[[#This Row],['#_Constructed latrines_by_WASHAgencies]]+WWWW[[#This Row],['#_Non Cluster partner latrines]]))</f>
        <v>0</v>
      </c>
      <c r="DJ553" s="898">
        <f>1-WWWW[[#This Row],[% people access to functioning Latrine]]</f>
        <v>0</v>
      </c>
      <c r="DK553" s="631">
        <f>IF(OR(WWWW[[#This Row],['#_Non-functional latrines]]="",WWWW[[#This Row],['#_Non-functional latrines]]=0),0,WWWW[[#This Row],['#_Non-functional latrines]]/(WWWW[[#This Row],['#_Constructed latrines_by_WASHAgencies]]+WWWW[[#This Row],['#_Non Cluster partner latrines]]))</f>
        <v>0</v>
      </c>
      <c r="DL553" s="428">
        <f>IF(500*(WWWW[[#This Row],['#_male hygiene promoters]]+WWWW[[#This Row],['#_female hygiene promoters]])&gt;WWWW[[#This Row],[Total PoP ]],WWWW[[#This Row],[Total PoP ]],500*(WWWW[[#This Row],['#_male hygiene promoters]]+WWWW[[#This Row],['#_female hygiene promoters]]))</f>
        <v>130</v>
      </c>
      <c r="DM553"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53"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53" s="424">
        <f>IF(WWWW[[#This Row],['# People with access to soap]]&gt;WWWW[[#This Row],['# People with access to Sanity Pads]],WWWW[[#This Row],['# People with access to soap]],WWWW[[#This Row],['# People with access to Sanity Pads]])</f>
        <v>0</v>
      </c>
      <c r="DP553" s="424">
        <f>IF(WWWW[[#This Row],['# people reached by regular dedicated hygiene promotion_5]]&gt;WWWW[[#This Row],['# People received regular supply of hygiene items_6]],WWWW[[#This Row],['# people reached by regular dedicated hygiene promotion_5]],WWWW[[#This Row],['# People received regular supply of hygiene items_6]])</f>
        <v>130</v>
      </c>
      <c r="DQ553" s="898">
        <f>IF(WWWW[[#This Row],[HRP3]]/WWWW[[#This Row],[Total PoP ]]&gt;1,1,WWWW[[#This Row],[HRP3]]/WWWW[[#This Row],[Total PoP ]])</f>
        <v>1</v>
      </c>
      <c r="DR553" s="631">
        <f>1-WWWW[[#This Row],[Hygiene Coverage%]]</f>
        <v>0</v>
      </c>
      <c r="DS553" s="423">
        <f>WWWW[[#This Row],['# people reached by regular dedicated hygiene promotion_5]]/WWWW[[#This Row],[Total PoP ]]</f>
        <v>1</v>
      </c>
      <c r="DT553"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53"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53" s="424">
        <f>WWWW[[#This Row],['#_Constructed/Existing hand washing stations]]-WWWW[[#This Row],['#_Non-Functional_hand_washing_stations]]</f>
        <v>7</v>
      </c>
      <c r="DW553" s="428">
        <f>IF(WWWW[[#This Row],['# Functional hand washing stations during reporting period]]*20&gt;WWWW[[#This Row],[Total HH]],WWWW[[#This Row],[Total HH]],WWWW[[#This Row],['# Functional hand washing stations during reporting period]]*20)</f>
        <v>29</v>
      </c>
      <c r="DX553" s="428">
        <f>IF(WWWW[[#This Row],[Is sufficient soap available for TLS? (Yes/No)]]="yes",WWWW[[#This Row],['#_Constructed/Existing hand washing stations at TLS/CFS/THF]],0)</f>
        <v>0</v>
      </c>
      <c r="DY553" s="428">
        <f>IF(WWWW[[#This Row],['# Functional hand washing stations during reporting period]]*100&gt;WWWW[[#This Row],[Total PoP ]],WWWW[[#This Row],[Total PoP ]],WWWW[[#This Row],['# Functional hand washing stations during reporting period]]*100)</f>
        <v>130</v>
      </c>
      <c r="DZ553" s="428" t="str">
        <f>IF(OR(WWWW[[#This Row],['#_students at TLS_CFS]]="",WWWW[[#This Row],['#_students at TLS_CFS]]=0),"No","Yes")</f>
        <v>No</v>
      </c>
      <c r="EA55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5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3" s="425" t="str">
        <f>VLOOKUP(WWWW[[#This Row],[Site Name]],SiteDB6[[Site Name]:[CCCM Management]],6,FALSE)</f>
        <v>Yes</v>
      </c>
      <c r="EF553" s="425" t="str">
        <f>VLOOKUP(WWWW[[#This Row],[Site Name]],SiteDB6[[Site Name]:[CCCM Focal Agency]],7,FALSE)</f>
        <v>KMSS-LSO</v>
      </c>
      <c r="EG553" s="425" t="str">
        <f>VLOOKUP(WWWW[[#This Row],[Site Name]],SiteDB6[[Site Name]:[Location Type 1]],9,FALSE)</f>
        <v>Camp</v>
      </c>
      <c r="EH553" s="425" t="str">
        <f>VLOOKUP(WWWW[[#This Row],[Site Name]],SiteDB6[[Site Name]:[Type of Accommodation]],10,FALSE)</f>
        <v>Camp</v>
      </c>
      <c r="EI553" s="425" t="str">
        <f>VLOOKUP(WWWW[[#This Row],[Site Name]],SiteDB6[[Site Name]:[Ethnic or GCA/NGCA]],11,FALSE)</f>
        <v>GCA</v>
      </c>
      <c r="EJ553" s="425">
        <f>VLOOKUP(WWWW[[#This Row],[Site Name]],SiteDB6[[Site Name]:[Lat]],12,FALSE)</f>
        <v>23.638999999999999</v>
      </c>
      <c r="EK553" s="425">
        <f>VLOOKUP(WWWW[[#This Row],[Site Name]],SiteDB6[[Site Name]:[Long]],13,FALSE)</f>
        <v>97.861999999999995</v>
      </c>
      <c r="EL553" s="425" t="str">
        <f>VLOOKUP(WWWW[[#This Row],[Site Name]],SiteDB6[[Site Name]:[Pcode]],3,FALSE)</f>
        <v>MMR015CMP068</v>
      </c>
      <c r="EM553" s="860" t="str">
        <f t="shared" si="12"/>
        <v>Covered</v>
      </c>
      <c r="EN553" s="860"/>
      <c r="EO553" s="425">
        <f>VLOOKUP(WWWW[[#This Row],[Site Name]],SiteDB6[[Site Name]:[Pop
(Kachin/Shan-CCCM as of July 2021)]],16,FALSE)</f>
        <v>31</v>
      </c>
      <c r="EP553" s="425">
        <f>VLOOKUP(WWWW[[#This Row],[Site Name]],SiteDB6[[Site Name]:[Pop
(Kachin/Shan-CCCM as of July 2021)]],17,FALSE)</f>
        <v>133</v>
      </c>
    </row>
    <row r="554" spans="1:146">
      <c r="A554" s="1044" t="s">
        <v>2765</v>
      </c>
      <c r="B554" s="1044" t="s">
        <v>192</v>
      </c>
      <c r="C554" s="1045" t="s">
        <v>192</v>
      </c>
      <c r="D554" s="1045" t="s">
        <v>2673</v>
      </c>
      <c r="E554" s="1045" t="s">
        <v>515</v>
      </c>
      <c r="F554" s="1045" t="s">
        <v>519</v>
      </c>
      <c r="G554" s="1043" t="str">
        <f>VLOOKUP(WWWW[[#This Row],[Site Name]],SiteDB6[[Site Name]:[Location Type]],8,FALSE)</f>
        <v>Camp</v>
      </c>
      <c r="H554" s="1045" t="s">
        <v>541</v>
      </c>
      <c r="I554" s="448">
        <v>40</v>
      </c>
      <c r="J554" s="448">
        <v>244</v>
      </c>
      <c r="K554" s="800">
        <v>44511</v>
      </c>
      <c r="L554" s="56">
        <v>44875</v>
      </c>
      <c r="M554" s="448"/>
      <c r="N554" s="448">
        <v>1</v>
      </c>
      <c r="O554" s="448"/>
      <c r="P554" s="448"/>
      <c r="Q554" s="428" t="s">
        <v>41</v>
      </c>
      <c r="R554" s="448">
        <v>3</v>
      </c>
      <c r="S554" s="448">
        <v>3</v>
      </c>
      <c r="T554" s="448">
        <v>1</v>
      </c>
      <c r="U554" s="448"/>
      <c r="V554" s="448"/>
      <c r="W554" s="448">
        <v>1</v>
      </c>
      <c r="X554" s="448">
        <v>2</v>
      </c>
      <c r="Y554" s="448"/>
      <c r="Z554" s="448">
        <v>1</v>
      </c>
      <c r="AA554" s="448"/>
      <c r="AB554" s="448"/>
      <c r="AC554" s="448"/>
      <c r="AD554" s="448"/>
      <c r="AE554" s="448"/>
      <c r="AF554" s="448"/>
      <c r="AG554" s="448"/>
      <c r="AH554" s="448"/>
      <c r="AI554" s="448"/>
      <c r="AJ554" s="448"/>
      <c r="AK554" s="448"/>
      <c r="AL554" s="448"/>
      <c r="AM554" s="448"/>
      <c r="AN554" s="448"/>
      <c r="AO554" s="448"/>
      <c r="AP554" s="860"/>
      <c r="AQ554" s="448">
        <v>12</v>
      </c>
      <c r="AR554" s="448"/>
      <c r="AS554" s="423"/>
      <c r="AT554" s="448"/>
      <c r="AU554" s="448"/>
      <c r="AV554" s="448"/>
      <c r="AW554" s="448"/>
      <c r="AX554" s="448"/>
      <c r="AY554" s="425" t="s">
        <v>41</v>
      </c>
      <c r="AZ554" s="860" t="s">
        <v>136</v>
      </c>
      <c r="BA554" s="448"/>
      <c r="BB554" s="448"/>
      <c r="BC554" s="448">
        <v>1</v>
      </c>
      <c r="BD554" s="448"/>
      <c r="BE554" s="448"/>
      <c r="BF554" s="425"/>
      <c r="BG554" s="448">
        <v>7</v>
      </c>
      <c r="BH554" s="448"/>
      <c r="BI554" s="448"/>
      <c r="BJ554" s="448">
        <v>1</v>
      </c>
      <c r="BK554" s="448"/>
      <c r="BL554" s="448"/>
      <c r="BM554" s="448">
        <v>1</v>
      </c>
      <c r="BN554" s="448"/>
      <c r="BO554" s="448"/>
      <c r="BP554" s="425" t="s">
        <v>41</v>
      </c>
      <c r="BQ554" s="424">
        <v>3</v>
      </c>
      <c r="BR554" s="423">
        <v>1</v>
      </c>
      <c r="BS554" s="425"/>
      <c r="BT554" s="423"/>
      <c r="BU554" s="423"/>
      <c r="BV554" s="425"/>
      <c r="BW554" s="423"/>
      <c r="BX554" s="448"/>
      <c r="BY554" s="448"/>
      <c r="BZ554" s="448"/>
      <c r="CA554" s="448"/>
      <c r="CB554" s="448"/>
      <c r="CC554" s="777"/>
      <c r="CD554" s="448"/>
      <c r="CE554" s="631" t="str">
        <f>IFERROR(WWWW[[#This Row],['#_Water sources passed]]/WWWW[[#This Row],['#_Water sources tested for fecal coliform ]],"no test")</f>
        <v>no test</v>
      </c>
      <c r="CF554" s="423" t="str">
        <f>IFERROR(WWWW[[#This Row],['#_Household passed]]/WWWW[[#This Row],['#_Household water samples tested for fecal coliform]],"no test")</f>
        <v>no test</v>
      </c>
      <c r="CG554" s="424" t="str">
        <f>IF(AND(WWWW[[#This Row],[% of water sources passed]]="no test",WWWW[[#This Row],[% Household passed]]="no test"),"No Test","Tested")</f>
        <v>No Test</v>
      </c>
      <c r="CH554" s="424">
        <f>WWWW[[#This Row],['#_Constructed/existing protected hand dug well]]-WWWW[[#This Row],['#_Non-functional protected hand dug well]]</f>
        <v>1</v>
      </c>
      <c r="CI554" s="424">
        <f>(WWWW[[#This Row],['#_Constructed/Existing tube wells/boreholes/handpumps_WASH_agency]]+WWWW[[#This Row],['#_Non-Cluster partner water tube-wells/boreholes/handpumps]])-WWWW[[#This Row],['#_Non-functional tube wells/boreholes/handpumps]]</f>
        <v>3</v>
      </c>
      <c r="CJ554" s="424">
        <f>WWWW[[#This Row],['#_Constructed/Existingwater storage tank with gravity fed reticulation system]]-WWWW[[#This Row],['#_Non-functional storage tank gravity fed reticulation system]]</f>
        <v>0</v>
      </c>
      <c r="CK554" s="424">
        <f>(WWWW[[#This Row],['#_Water_Liters_supplied_by_Water boating or water trucking]]/90)/15</f>
        <v>0</v>
      </c>
      <c r="CL554" s="424">
        <f>WWWW[[#This Row],['#_Water_Liters_from_Constructed/Existing water distribution system from river or natural spring]]/90/15</f>
        <v>0</v>
      </c>
      <c r="CM554" s="424">
        <f>IF(WWWW[[#This Row],['#_of water points in TLS/CFS]]*500&gt;WWWW[[#This Row],[Total PoP ]],WWWW[[#This Row],[Total PoP ]],WWWW[[#This Row],['#_of water points in TLS/CFS]]*500)</f>
        <v>0</v>
      </c>
      <c r="CN554" s="424">
        <f>IF(WWWW[[#This Row],['#_of water points in THF]]*500&gt;WWWW[[#This Row],[Total PoP ]],WWWW[[#This Row],[Total PoP ]],WWWW[[#This Row],['#_of water points in THF]]*500)</f>
        <v>0</v>
      </c>
      <c r="CO554"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54"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54" s="423">
        <f>IF(WWWW[[#This Row],[Location Type 1]]="Village",WWWW[[#This Row],[Access to safe drinking water for Village]],WWWW[[#This Row],[Access to safe drinking water for Camp]])</f>
        <v>1</v>
      </c>
      <c r="CR554" s="428">
        <f>WWWW[[#This Row],[%Equitable and continuous access to sufficient quantity of safe drinking water]]*WWWW[[#This Row],[Total PoP ]]</f>
        <v>244</v>
      </c>
      <c r="CS554" s="423">
        <f>IF((WWWW[[#This Row],['#_Constructed/Existing protected/fenced ponds]]*250)/WWWW[[#This Row],[Total PoP ]]&gt;1,1,(WWWW[[#This Row],['#_Constructed/Existing protected/fenced ponds]]*250)/WWWW[[#This Row],[Total PoP ]])</f>
        <v>0</v>
      </c>
      <c r="CT554" s="428">
        <f>WWWW[[#This Row],[% Access to unimproved water points]]*WWWW[[#This Row],[Total PoP ]]</f>
        <v>0</v>
      </c>
      <c r="CU554"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54"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W554" s="428">
        <f>WWWW[[#This Row],[HRP1]]/500</f>
        <v>0.48799999999999999</v>
      </c>
      <c r="CX554" s="898">
        <f>1-WWWW[[#This Row],[% Equitable and continuous access to sufficient quantity of domestic water]]</f>
        <v>0</v>
      </c>
      <c r="CY554" s="428">
        <f>WWWW[[#This Row],[%equitable and continuous access to sufficient quantity of safe drinking and domestic water''s GAP]]*WWWW[[#This Row],[Total PoP ]]</f>
        <v>0</v>
      </c>
      <c r="CZ554" s="424">
        <f>IF(WWWW[[#This Row],[Total required water points]]-WWWW[[#This Row],['#Water points coverage]]&lt;0,0,WWWW[[#This Row],[Total required water points]]-WWWW[[#This Row],['#Water points coverage]])</f>
        <v>0.51200000000000001</v>
      </c>
      <c r="DA554" s="424">
        <f>ROUND(IF(WWWW[[#This Row],[Total PoP ]]&lt;500,1,WWWW[[#This Row],[Total PoP ]]/500),0)</f>
        <v>1</v>
      </c>
      <c r="DB554" s="424">
        <f>(WWWW[[#This Row],['#_Constructed latrines_by_WASHAgencies]]+WWWW[[#This Row],['#_Non Cluster partner latrines]])-WWWW[[#This Row],['#_Non-functional latrines]]</f>
        <v>12</v>
      </c>
      <c r="DC554" s="631">
        <f>WWWW[[#This Row],[HRP2]]/WWWW[[#This Row],[Total PoP ]]</f>
        <v>0.98360655737704916</v>
      </c>
      <c r="DD554"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DE554"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4"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4" s="424">
        <f>IF(WWWW[[#This Row],['# of functional latrines in THF supported by WASH partners during the reporting period2]]="",0,WWWW[[#This Row],['# of functional latrines in THF supported by WASH partners during the reporting period2]]*50)</f>
        <v>0</v>
      </c>
      <c r="DH554" s="424">
        <f>ROUND(IF(WWWW[[#This Row],[Location Type 1]]="camp",WWWW[[#This Row],[Total PoP ]]/20,IF(WWWW[[#This Row],[Location Type 1]]="Temporary Location",WWWW[[#This Row],[Total PoP ]]/50,(WWWW[[#This Row],[Total PoP ]]/6))),0)</f>
        <v>12</v>
      </c>
      <c r="DI554" s="424">
        <f>IF(WWWW[[#This Row],[Total required Latrines]]-(WWWW[[#This Row],['#_Constructed latrines_by_WASHAgencies]]+WWWW[[#This Row],['#_Non Cluster partner latrines]])&lt;0,0,WWWW[[#This Row],[Total required Latrines]]-(WWWW[[#This Row],['#_Constructed latrines_by_WASHAgencies]]+WWWW[[#This Row],['#_Non Cluster partner latrines]]))</f>
        <v>0</v>
      </c>
      <c r="DJ554" s="898">
        <f>1-WWWW[[#This Row],[% people access to functioning Latrine]]</f>
        <v>1.6393442622950838E-2</v>
      </c>
      <c r="DK554" s="631">
        <f>IF(OR(WWWW[[#This Row],['#_Non-functional latrines]]="",WWWW[[#This Row],['#_Non-functional latrines]]=0),0,WWWW[[#This Row],['#_Non-functional latrines]]/(WWWW[[#This Row],['#_Constructed latrines_by_WASHAgencies]]+WWWW[[#This Row],['#_Non Cluster partner latrines]]))</f>
        <v>0</v>
      </c>
      <c r="DL554" s="428">
        <f>IF(500*(WWWW[[#This Row],['#_male hygiene promoters]]+WWWW[[#This Row],['#_female hygiene promoters]])&gt;WWWW[[#This Row],[Total PoP ]],WWWW[[#This Row],[Total PoP ]],500*(WWWW[[#This Row],['#_male hygiene promoters]]+WWWW[[#This Row],['#_female hygiene promoters]]))</f>
        <v>244</v>
      </c>
      <c r="DM554"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54"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54" s="424">
        <f>IF(WWWW[[#This Row],['# People with access to soap]]&gt;WWWW[[#This Row],['# People with access to Sanity Pads]],WWWW[[#This Row],['# People with access to soap]],WWWW[[#This Row],['# People with access to Sanity Pads]])</f>
        <v>0</v>
      </c>
      <c r="DP554" s="424">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Q554" s="898">
        <f>IF(WWWW[[#This Row],[HRP3]]/WWWW[[#This Row],[Total PoP ]]&gt;1,1,WWWW[[#This Row],[HRP3]]/WWWW[[#This Row],[Total PoP ]])</f>
        <v>1</v>
      </c>
      <c r="DR554" s="631">
        <f>1-WWWW[[#This Row],[Hygiene Coverage%]]</f>
        <v>0</v>
      </c>
      <c r="DS554" s="423">
        <f>WWWW[[#This Row],['# people reached by regular dedicated hygiene promotion_5]]/WWWW[[#This Row],[Total PoP ]]</f>
        <v>1</v>
      </c>
      <c r="DT554"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54"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54" s="424">
        <f>WWWW[[#This Row],['#_Constructed/Existing hand washing stations]]-WWWW[[#This Row],['#_Non-Functional_hand_washing_stations]]</f>
        <v>7</v>
      </c>
      <c r="DW554" s="428">
        <f>IF(WWWW[[#This Row],['# Functional hand washing stations during reporting period]]*20&gt;WWWW[[#This Row],[Total HH]],WWWW[[#This Row],[Total HH]],WWWW[[#This Row],['# Functional hand washing stations during reporting period]]*20)</f>
        <v>40</v>
      </c>
      <c r="DX554" s="428">
        <f>IF(WWWW[[#This Row],[Is sufficient soap available for TLS? (Yes/No)]]="yes",WWWW[[#This Row],['#_Constructed/Existing hand washing stations at TLS/CFS/THF]],0)</f>
        <v>0</v>
      </c>
      <c r="DY554" s="428">
        <f>IF(WWWW[[#This Row],['# Functional hand washing stations during reporting period]]*100&gt;WWWW[[#This Row],[Total PoP ]],WWWW[[#This Row],[Total PoP ]],WWWW[[#This Row],['# Functional hand washing stations during reporting period]]*100)</f>
        <v>244</v>
      </c>
      <c r="DZ554" s="428" t="str">
        <f>IF(OR(WWWW[[#This Row],['#_students at TLS_CFS]]="",WWWW[[#This Row],['#_students at TLS_CFS]]=0),"No","Yes")</f>
        <v>No</v>
      </c>
      <c r="EA55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5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4" s="425" t="str">
        <f>VLOOKUP(WWWW[[#This Row],[Site Name]],SiteDB6[[Site Name]:[CCCM Management]],6,FALSE)</f>
        <v>Yes</v>
      </c>
      <c r="EF554" s="425" t="str">
        <f>VLOOKUP(WWWW[[#This Row],[Site Name]],SiteDB6[[Site Name]:[CCCM Focal Agency]],7,FALSE)</f>
        <v>KBC-NSS</v>
      </c>
      <c r="EG554" s="425" t="str">
        <f>VLOOKUP(WWWW[[#This Row],[Site Name]],SiteDB6[[Site Name]:[Location Type 1]],9,FALSE)</f>
        <v>Camp</v>
      </c>
      <c r="EH554" s="425" t="str">
        <f>VLOOKUP(WWWW[[#This Row],[Site Name]],SiteDB6[[Site Name]:[Type of Accommodation]],10,FALSE)</f>
        <v>Camp</v>
      </c>
      <c r="EI554" s="425" t="str">
        <f>VLOOKUP(WWWW[[#This Row],[Site Name]],SiteDB6[[Site Name]:[Ethnic or GCA/NGCA]],11,FALSE)</f>
        <v>GCA</v>
      </c>
      <c r="EJ554" s="425">
        <f>VLOOKUP(WWWW[[#This Row],[Site Name]],SiteDB6[[Site Name]:[Lat]],12,FALSE)</f>
        <v>23.450914000000001</v>
      </c>
      <c r="EK554" s="425">
        <f>VLOOKUP(WWWW[[#This Row],[Site Name]],SiteDB6[[Site Name]:[Long]],13,FALSE)</f>
        <v>97.926813999999993</v>
      </c>
      <c r="EL554" s="425" t="str">
        <f>VLOOKUP(WWWW[[#This Row],[Site Name]],SiteDB6[[Site Name]:[Pcode]],3,FALSE)</f>
        <v>MMR015CMP016</v>
      </c>
      <c r="EM554" s="860" t="str">
        <f t="shared" si="12"/>
        <v>Covered</v>
      </c>
      <c r="EN554" s="860"/>
      <c r="EO554" s="425">
        <f>VLOOKUP(WWWW[[#This Row],[Site Name]],SiteDB6[[Site Name]:[Pop
(Kachin/Shan-CCCM as of July 2021)]],16,FALSE)</f>
        <v>40</v>
      </c>
      <c r="EP554" s="425">
        <f>VLOOKUP(WWWW[[#This Row],[Site Name]],SiteDB6[[Site Name]:[Pop
(Kachin/Shan-CCCM as of July 2021)]],17,FALSE)</f>
        <v>251</v>
      </c>
    </row>
    <row r="555" spans="1:146">
      <c r="A555" s="1044" t="s">
        <v>2765</v>
      </c>
      <c r="B555" s="1044" t="s">
        <v>192</v>
      </c>
      <c r="C555" s="1045" t="s">
        <v>192</v>
      </c>
      <c r="D555" s="1045" t="s">
        <v>2673</v>
      </c>
      <c r="E555" s="1045" t="s">
        <v>515</v>
      </c>
      <c r="F555" s="1045" t="s">
        <v>519</v>
      </c>
      <c r="G555" s="1043" t="str">
        <f>VLOOKUP(WWWW[[#This Row],[Site Name]],SiteDB6[[Site Name]:[Location Type]],8,FALSE)</f>
        <v>Camp</v>
      </c>
      <c r="H555" s="1045" t="s">
        <v>546</v>
      </c>
      <c r="I555" s="448">
        <v>38</v>
      </c>
      <c r="J555" s="448">
        <v>180</v>
      </c>
      <c r="K555" s="800">
        <v>44511</v>
      </c>
      <c r="L555" s="56">
        <v>44875</v>
      </c>
      <c r="M555" s="448"/>
      <c r="N555" s="448"/>
      <c r="O555" s="448"/>
      <c r="P555" s="448"/>
      <c r="Q555" s="428"/>
      <c r="R555" s="448">
        <v>4</v>
      </c>
      <c r="S555" s="448">
        <v>5</v>
      </c>
      <c r="T555" s="448">
        <v>1</v>
      </c>
      <c r="U555" s="448"/>
      <c r="V555" s="448"/>
      <c r="W555" s="448">
        <v>1</v>
      </c>
      <c r="X555" s="448"/>
      <c r="Y555" s="448"/>
      <c r="Z555" s="448"/>
      <c r="AA555" s="448"/>
      <c r="AB555" s="448"/>
      <c r="AC555" s="448"/>
      <c r="AD555" s="448"/>
      <c r="AE555" s="448"/>
      <c r="AF555" s="448"/>
      <c r="AG555" s="448"/>
      <c r="AH555" s="448"/>
      <c r="AI555" s="448"/>
      <c r="AJ555" s="448"/>
      <c r="AK555" s="448"/>
      <c r="AL555" s="448"/>
      <c r="AM555" s="448"/>
      <c r="AN555" s="448"/>
      <c r="AO555" s="448"/>
      <c r="AP555" s="860"/>
      <c r="AQ555" s="448">
        <v>9</v>
      </c>
      <c r="AR555" s="448"/>
      <c r="AS555" s="423"/>
      <c r="AT555" s="448"/>
      <c r="AU555" s="448"/>
      <c r="AV555" s="448"/>
      <c r="AW555" s="448"/>
      <c r="AX555" s="448"/>
      <c r="AY555" s="425" t="s">
        <v>41</v>
      </c>
      <c r="AZ555" s="860" t="s">
        <v>137</v>
      </c>
      <c r="BA555" s="448"/>
      <c r="BB555" s="448"/>
      <c r="BC555" s="448"/>
      <c r="BD555" s="448"/>
      <c r="BE555" s="448"/>
      <c r="BF555" s="425"/>
      <c r="BG555" s="448">
        <v>4</v>
      </c>
      <c r="BH555" s="448"/>
      <c r="BI555" s="448"/>
      <c r="BJ555" s="448">
        <v>2</v>
      </c>
      <c r="BK555" s="448"/>
      <c r="BL555" s="448"/>
      <c r="BM555" s="448">
        <v>1</v>
      </c>
      <c r="BN555" s="448"/>
      <c r="BO555" s="448"/>
      <c r="BP555" s="425" t="s">
        <v>41</v>
      </c>
      <c r="BQ555" s="424">
        <v>3</v>
      </c>
      <c r="BR555" s="423">
        <v>1</v>
      </c>
      <c r="BS555" s="425"/>
      <c r="BT555" s="423"/>
      <c r="BU555" s="423"/>
      <c r="BV555" s="425"/>
      <c r="BW555" s="423"/>
      <c r="BX555" s="448"/>
      <c r="BY555" s="448"/>
      <c r="BZ555" s="448"/>
      <c r="CA555" s="448"/>
      <c r="CB555" s="448"/>
      <c r="CC555" s="777"/>
      <c r="CD555" s="448"/>
      <c r="CE555" s="631" t="str">
        <f>IFERROR(WWWW[[#This Row],['#_Water sources passed]]/WWWW[[#This Row],['#_Water sources tested for fecal coliform ]],"no test")</f>
        <v>no test</v>
      </c>
      <c r="CF555" s="423" t="str">
        <f>IFERROR(WWWW[[#This Row],['#_Household passed]]/WWWW[[#This Row],['#_Household water samples tested for fecal coliform]],"no test")</f>
        <v>no test</v>
      </c>
      <c r="CG555" s="424" t="str">
        <f>IF(AND(WWWW[[#This Row],[% of water sources passed]]="no test",WWWW[[#This Row],[% Household passed]]="no test"),"No Test","Tested")</f>
        <v>No Test</v>
      </c>
      <c r="CH555" s="424">
        <f>WWWW[[#This Row],['#_Constructed/existing protected hand dug well]]-WWWW[[#This Row],['#_Non-functional protected hand dug well]]</f>
        <v>1</v>
      </c>
      <c r="CI555" s="424">
        <f>(WWWW[[#This Row],['#_Constructed/Existing tube wells/boreholes/handpumps_WASH_agency]]+WWWW[[#This Row],['#_Non-Cluster partner water tube-wells/boreholes/handpumps]])-WWWW[[#This Row],['#_Non-functional tube wells/boreholes/handpumps]]</f>
        <v>1</v>
      </c>
      <c r="CJ555" s="424">
        <f>WWWW[[#This Row],['#_Constructed/Existingwater storage tank with gravity fed reticulation system]]-WWWW[[#This Row],['#_Non-functional storage tank gravity fed reticulation system]]</f>
        <v>0</v>
      </c>
      <c r="CK555" s="424">
        <f>(WWWW[[#This Row],['#_Water_Liters_supplied_by_Water boating or water trucking]]/90)/15</f>
        <v>0</v>
      </c>
      <c r="CL555" s="424">
        <f>WWWW[[#This Row],['#_Water_Liters_from_Constructed/Existing water distribution system from river or natural spring]]/90/15</f>
        <v>0</v>
      </c>
      <c r="CM555" s="424">
        <f>IF(WWWW[[#This Row],['#_of water points in TLS/CFS]]*500&gt;WWWW[[#This Row],[Total PoP ]],WWWW[[#This Row],[Total PoP ]],WWWW[[#This Row],['#_of water points in TLS/CFS]]*500)</f>
        <v>0</v>
      </c>
      <c r="CN555" s="424">
        <f>IF(WWWW[[#This Row],['#_of water points in THF]]*500&gt;WWWW[[#This Row],[Total PoP ]],WWWW[[#This Row],[Total PoP ]],WWWW[[#This Row],['#_of water points in THF]]*500)</f>
        <v>0</v>
      </c>
      <c r="CO555"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55"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55" s="423">
        <f>IF(WWWW[[#This Row],[Location Type 1]]="Village",WWWW[[#This Row],[Access to safe drinking water for Village]],WWWW[[#This Row],[Access to safe drinking water for Camp]])</f>
        <v>1</v>
      </c>
      <c r="CR555" s="428">
        <f>WWWW[[#This Row],[%Equitable and continuous access to sufficient quantity of safe drinking water]]*WWWW[[#This Row],[Total PoP ]]</f>
        <v>180</v>
      </c>
      <c r="CS555" s="423">
        <f>IF((WWWW[[#This Row],['#_Constructed/Existing protected/fenced ponds]]*250)/WWWW[[#This Row],[Total PoP ]]&gt;1,1,(WWWW[[#This Row],['#_Constructed/Existing protected/fenced ponds]]*250)/WWWW[[#This Row],[Total PoP ]])</f>
        <v>0</v>
      </c>
      <c r="CT555" s="428">
        <f>WWWW[[#This Row],[% Access to unimproved water points]]*WWWW[[#This Row],[Total PoP ]]</f>
        <v>0</v>
      </c>
      <c r="CU555"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55"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W555" s="428">
        <f>WWWW[[#This Row],[HRP1]]/500</f>
        <v>0.36</v>
      </c>
      <c r="CX555" s="898">
        <f>1-WWWW[[#This Row],[% Equitable and continuous access to sufficient quantity of domestic water]]</f>
        <v>0</v>
      </c>
      <c r="CY555" s="428">
        <f>WWWW[[#This Row],[%equitable and continuous access to sufficient quantity of safe drinking and domestic water''s GAP]]*WWWW[[#This Row],[Total PoP ]]</f>
        <v>0</v>
      </c>
      <c r="CZ555" s="424">
        <f>IF(WWWW[[#This Row],[Total required water points]]-WWWW[[#This Row],['#Water points coverage]]&lt;0,0,WWWW[[#This Row],[Total required water points]]-WWWW[[#This Row],['#Water points coverage]])</f>
        <v>0.64</v>
      </c>
      <c r="DA555" s="424">
        <f>ROUND(IF(WWWW[[#This Row],[Total PoP ]]&lt;500,1,WWWW[[#This Row],[Total PoP ]]/500),0)</f>
        <v>1</v>
      </c>
      <c r="DB555" s="424">
        <f>(WWWW[[#This Row],['#_Constructed latrines_by_WASHAgencies]]+WWWW[[#This Row],['#_Non Cluster partner latrines]])-WWWW[[#This Row],['#_Non-functional latrines]]</f>
        <v>9</v>
      </c>
      <c r="DC555" s="631">
        <f>WWWW[[#This Row],[HRP2]]/WWWW[[#This Row],[Total PoP ]]</f>
        <v>1</v>
      </c>
      <c r="DD555"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555"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5"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5" s="424">
        <f>IF(WWWW[[#This Row],['# of functional latrines in THF supported by WASH partners during the reporting period2]]="",0,WWWW[[#This Row],['# of functional latrines in THF supported by WASH partners during the reporting period2]]*50)</f>
        <v>0</v>
      </c>
      <c r="DH555" s="424">
        <f>ROUND(IF(WWWW[[#This Row],[Location Type 1]]="camp",WWWW[[#This Row],[Total PoP ]]/20,IF(WWWW[[#This Row],[Location Type 1]]="Temporary Location",WWWW[[#This Row],[Total PoP ]]/50,(WWWW[[#This Row],[Total PoP ]]/6))),0)</f>
        <v>9</v>
      </c>
      <c r="DI555" s="424">
        <f>IF(WWWW[[#This Row],[Total required Latrines]]-(WWWW[[#This Row],['#_Constructed latrines_by_WASHAgencies]]+WWWW[[#This Row],['#_Non Cluster partner latrines]])&lt;0,0,WWWW[[#This Row],[Total required Latrines]]-(WWWW[[#This Row],['#_Constructed latrines_by_WASHAgencies]]+WWWW[[#This Row],['#_Non Cluster partner latrines]]))</f>
        <v>0</v>
      </c>
      <c r="DJ555" s="898">
        <f>1-WWWW[[#This Row],[% people access to functioning Latrine]]</f>
        <v>0</v>
      </c>
      <c r="DK555" s="631">
        <f>IF(OR(WWWW[[#This Row],['#_Non-functional latrines]]="",WWWW[[#This Row],['#_Non-functional latrines]]=0),0,WWWW[[#This Row],['#_Non-functional latrines]]/(WWWW[[#This Row],['#_Constructed latrines_by_WASHAgencies]]+WWWW[[#This Row],['#_Non Cluster partner latrines]]))</f>
        <v>0</v>
      </c>
      <c r="DL555" s="428">
        <f>IF(500*(WWWW[[#This Row],['#_male hygiene promoters]]+WWWW[[#This Row],['#_female hygiene promoters]])&gt;WWWW[[#This Row],[Total PoP ]],WWWW[[#This Row],[Total PoP ]],500*(WWWW[[#This Row],['#_male hygiene promoters]]+WWWW[[#This Row],['#_female hygiene promoters]]))</f>
        <v>180</v>
      </c>
      <c r="DM555"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55"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55" s="424">
        <f>IF(WWWW[[#This Row],['# People with access to soap]]&gt;WWWW[[#This Row],['# People with access to Sanity Pads]],WWWW[[#This Row],['# People with access to soap]],WWWW[[#This Row],['# People with access to Sanity Pads]])</f>
        <v>0</v>
      </c>
      <c r="DP555" s="424">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Q555" s="898">
        <f>IF(WWWW[[#This Row],[HRP3]]/WWWW[[#This Row],[Total PoP ]]&gt;1,1,WWWW[[#This Row],[HRP3]]/WWWW[[#This Row],[Total PoP ]])</f>
        <v>1</v>
      </c>
      <c r="DR555" s="631">
        <f>1-WWWW[[#This Row],[Hygiene Coverage%]]</f>
        <v>0</v>
      </c>
      <c r="DS555" s="423">
        <f>WWWW[[#This Row],['# people reached by regular dedicated hygiene promotion_5]]/WWWW[[#This Row],[Total PoP ]]</f>
        <v>1</v>
      </c>
      <c r="DT555"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55"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55" s="424">
        <f>WWWW[[#This Row],['#_Constructed/Existing hand washing stations]]-WWWW[[#This Row],['#_Non-Functional_hand_washing_stations]]</f>
        <v>4</v>
      </c>
      <c r="DW555" s="428">
        <f>IF(WWWW[[#This Row],['# Functional hand washing stations during reporting period]]*20&gt;WWWW[[#This Row],[Total HH]],WWWW[[#This Row],[Total HH]],WWWW[[#This Row],['# Functional hand washing stations during reporting period]]*20)</f>
        <v>38</v>
      </c>
      <c r="DX555" s="428">
        <f>IF(WWWW[[#This Row],[Is sufficient soap available for TLS? (Yes/No)]]="yes",WWWW[[#This Row],['#_Constructed/Existing hand washing stations at TLS/CFS/THF]],0)</f>
        <v>0</v>
      </c>
      <c r="DY555" s="428">
        <f>IF(WWWW[[#This Row],['# Functional hand washing stations during reporting period]]*100&gt;WWWW[[#This Row],[Total PoP ]],WWWW[[#This Row],[Total PoP ]],WWWW[[#This Row],['# Functional hand washing stations during reporting period]]*100)</f>
        <v>180</v>
      </c>
      <c r="DZ555" s="428" t="str">
        <f>IF(OR(WWWW[[#This Row],['#_students at TLS_CFS]]="",WWWW[[#This Row],['#_students at TLS_CFS]]=0),"No","Yes")</f>
        <v>No</v>
      </c>
      <c r="EA55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5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5" s="425" t="str">
        <f>VLOOKUP(WWWW[[#This Row],[Site Name]],SiteDB6[[Site Name]:[CCCM Management]],6,FALSE)</f>
        <v>Yes</v>
      </c>
      <c r="EF555" s="425" t="str">
        <f>VLOOKUP(WWWW[[#This Row],[Site Name]],SiteDB6[[Site Name]:[CCCM Focal Agency]],7,FALSE)</f>
        <v>KBC-NSS</v>
      </c>
      <c r="EG555" s="425" t="str">
        <f>VLOOKUP(WWWW[[#This Row],[Site Name]],SiteDB6[[Site Name]:[Location Type 1]],9,FALSE)</f>
        <v>Camp</v>
      </c>
      <c r="EH555" s="425" t="str">
        <f>VLOOKUP(WWWW[[#This Row],[Site Name]],SiteDB6[[Site Name]:[Type of Accommodation]],10,FALSE)</f>
        <v>Camp</v>
      </c>
      <c r="EI555" s="425" t="str">
        <f>VLOOKUP(WWWW[[#This Row],[Site Name]],SiteDB6[[Site Name]:[Ethnic or GCA/NGCA]],11,FALSE)</f>
        <v>GCA</v>
      </c>
      <c r="EJ555" s="425">
        <f>VLOOKUP(WWWW[[#This Row],[Site Name]],SiteDB6[[Site Name]:[Lat]],12,FALSE)</f>
        <v>23.460349999999998</v>
      </c>
      <c r="EK555" s="425">
        <f>VLOOKUP(WWWW[[#This Row],[Site Name]],SiteDB6[[Site Name]:[Long]],13,FALSE)</f>
        <v>97.947360000000003</v>
      </c>
      <c r="EL555" s="425" t="str">
        <f>VLOOKUP(WWWW[[#This Row],[Site Name]],SiteDB6[[Site Name]:[Pcode]],3,FALSE)</f>
        <v>MMR015CMP063</v>
      </c>
      <c r="EM555" s="860" t="str">
        <f t="shared" si="12"/>
        <v>Covered</v>
      </c>
      <c r="EN555" s="860"/>
      <c r="EO555" s="425">
        <f>VLOOKUP(WWWW[[#This Row],[Site Name]],SiteDB6[[Site Name]:[Pop
(Kachin/Shan-CCCM as of July 2021)]],16,FALSE)</f>
        <v>36</v>
      </c>
      <c r="EP555" s="425">
        <f>VLOOKUP(WWWW[[#This Row],[Site Name]],SiteDB6[[Site Name]:[Pop
(Kachin/Shan-CCCM as of July 2021)]],17,FALSE)</f>
        <v>158</v>
      </c>
    </row>
    <row r="556" spans="1:146">
      <c r="A556" s="707" t="s">
        <v>2765</v>
      </c>
      <c r="B556" s="707" t="s">
        <v>309</v>
      </c>
      <c r="C556" s="369" t="s">
        <v>309</v>
      </c>
      <c r="D556" s="369"/>
      <c r="E556" s="369" t="s">
        <v>515</v>
      </c>
      <c r="F556" s="369" t="s">
        <v>960</v>
      </c>
      <c r="G556" s="591" t="str">
        <f>VLOOKUP(WWWW[[#This Row],[Site Name]],SiteDB6[[Site Name]:[Location Type]],8,FALSE)</f>
        <v>Camp</v>
      </c>
      <c r="H556" s="369" t="s">
        <v>2696</v>
      </c>
      <c r="I556" s="448">
        <v>142</v>
      </c>
      <c r="J556" s="448">
        <v>504</v>
      </c>
      <c r="K556" s="800"/>
      <c r="L556" s="56"/>
      <c r="M556" s="448"/>
      <c r="N556" s="448"/>
      <c r="O556" s="448"/>
      <c r="P556" s="448"/>
      <c r="Q556" s="428"/>
      <c r="R556" s="448"/>
      <c r="S556" s="448"/>
      <c r="T556" s="448"/>
      <c r="U556" s="448"/>
      <c r="V556" s="448"/>
      <c r="W556" s="448"/>
      <c r="X556" s="448"/>
      <c r="Y556" s="448"/>
      <c r="Z556" s="448"/>
      <c r="AA556" s="448"/>
      <c r="AB556" s="448"/>
      <c r="AC556" s="448"/>
      <c r="AD556" s="448"/>
      <c r="AE556" s="448"/>
      <c r="AF556" s="448"/>
      <c r="AG556" s="448"/>
      <c r="AH556" s="448"/>
      <c r="AI556" s="448"/>
      <c r="AJ556" s="448"/>
      <c r="AK556" s="448"/>
      <c r="AL556" s="448"/>
      <c r="AM556" s="448"/>
      <c r="AN556" s="448"/>
      <c r="AO556" s="448"/>
      <c r="AP556" s="860"/>
      <c r="AQ556" s="448"/>
      <c r="AR556" s="448"/>
      <c r="AS556" s="423"/>
      <c r="AT556" s="448"/>
      <c r="AU556" s="448"/>
      <c r="AV556" s="448"/>
      <c r="AW556" s="448"/>
      <c r="AX556" s="448"/>
      <c r="AY556" s="425" t="s">
        <v>140</v>
      </c>
      <c r="AZ556" s="860" t="s">
        <v>140</v>
      </c>
      <c r="BA556" s="448"/>
      <c r="BB556" s="448"/>
      <c r="BC556" s="448"/>
      <c r="BD556" s="448"/>
      <c r="BE556" s="448"/>
      <c r="BF556" s="425"/>
      <c r="BG556" s="448"/>
      <c r="BH556" s="448"/>
      <c r="BI556" s="448"/>
      <c r="BJ556" s="448"/>
      <c r="BK556" s="448"/>
      <c r="BL556" s="448"/>
      <c r="BM556" s="448"/>
      <c r="BN556" s="448"/>
      <c r="BO556" s="448"/>
      <c r="BP556" s="425"/>
      <c r="BQ556" s="424"/>
      <c r="BR556" s="423"/>
      <c r="BS556" s="425"/>
      <c r="BT556" s="423"/>
      <c r="BU556" s="423"/>
      <c r="BV556" s="425"/>
      <c r="BW556" s="423"/>
      <c r="BX556" s="448"/>
      <c r="BY556" s="448"/>
      <c r="BZ556" s="448"/>
      <c r="CA556" s="448"/>
      <c r="CB556" s="448"/>
      <c r="CC556" s="777"/>
      <c r="CD556" s="448"/>
      <c r="CE556" s="631" t="str">
        <f>IFERROR(WWWW[[#This Row],['#_Water sources passed]]/WWWW[[#This Row],['#_Water sources tested for fecal coliform ]],"no test")</f>
        <v>no test</v>
      </c>
      <c r="CF556" s="423" t="str">
        <f>IFERROR(WWWW[[#This Row],['#_Household passed]]/WWWW[[#This Row],['#_Household water samples tested for fecal coliform]],"no test")</f>
        <v>no test</v>
      </c>
      <c r="CG556" s="424" t="str">
        <f>IF(AND(WWWW[[#This Row],[% of water sources passed]]="no test",WWWW[[#This Row],[% Household passed]]="no test"),"No Test","Tested")</f>
        <v>No Test</v>
      </c>
      <c r="CH556" s="424">
        <f>WWWW[[#This Row],['#_Constructed/existing protected hand dug well]]-WWWW[[#This Row],['#_Non-functional protected hand dug well]]</f>
        <v>0</v>
      </c>
      <c r="CI556" s="424">
        <f>(WWWW[[#This Row],['#_Constructed/Existing tube wells/boreholes/handpumps_WASH_agency]]+WWWW[[#This Row],['#_Non-Cluster partner water tube-wells/boreholes/handpumps]])-WWWW[[#This Row],['#_Non-functional tube wells/boreholes/handpumps]]</f>
        <v>0</v>
      </c>
      <c r="CJ556" s="424">
        <f>WWWW[[#This Row],['#_Constructed/Existingwater storage tank with gravity fed reticulation system]]-WWWW[[#This Row],['#_Non-functional storage tank gravity fed reticulation system]]</f>
        <v>0</v>
      </c>
      <c r="CK556" s="424">
        <f>(WWWW[[#This Row],['#_Water_Liters_supplied_by_Water boating or water trucking]]/90)/15</f>
        <v>0</v>
      </c>
      <c r="CL556" s="424">
        <f>WWWW[[#This Row],['#_Water_Liters_from_Constructed/Existing water distribution system from river or natural spring]]/90/15</f>
        <v>0</v>
      </c>
      <c r="CM556" s="424">
        <f>IF(WWWW[[#This Row],['#_of water points in TLS/CFS]]*500&gt;WWWW[[#This Row],[Total PoP ]],WWWW[[#This Row],[Total PoP ]],WWWW[[#This Row],['#_of water points in TLS/CFS]]*500)</f>
        <v>0</v>
      </c>
      <c r="CN556" s="424">
        <f>IF(WWWW[[#This Row],['#_of water points in THF]]*500&gt;WWWW[[#This Row],[Total PoP ]],WWWW[[#This Row],[Total PoP ]],WWWW[[#This Row],['#_of water points in THF]]*500)</f>
        <v>0</v>
      </c>
      <c r="CO556"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56"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56" s="423">
        <f>IF(WWWW[[#This Row],[Location Type 1]]="Village",WWWW[[#This Row],[Access to safe drinking water for Village]],WWWW[[#This Row],[Access to safe drinking water for Camp]])</f>
        <v>0</v>
      </c>
      <c r="CR556" s="428">
        <f>WWWW[[#This Row],[%Equitable and continuous access to sufficient quantity of safe drinking water]]*WWWW[[#This Row],[Total PoP ]]</f>
        <v>0</v>
      </c>
      <c r="CS556" s="423">
        <f>IF((WWWW[[#This Row],['#_Constructed/Existing protected/fenced ponds]]*250)/WWWW[[#This Row],[Total PoP ]]&gt;1,1,(WWWW[[#This Row],['#_Constructed/Existing protected/fenced ponds]]*250)/WWWW[[#This Row],[Total PoP ]])</f>
        <v>0</v>
      </c>
      <c r="CT556" s="428">
        <f>WWWW[[#This Row],[% Access to unimproved water points]]*WWWW[[#This Row],[Total PoP ]]</f>
        <v>0</v>
      </c>
      <c r="CU556"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56"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56" s="428">
        <f>WWWW[[#This Row],[HRP1]]/500</f>
        <v>0</v>
      </c>
      <c r="CX556" s="898">
        <f>1-WWWW[[#This Row],[% Equitable and continuous access to sufficient quantity of domestic water]]</f>
        <v>1</v>
      </c>
      <c r="CY556" s="428">
        <f>WWWW[[#This Row],[%equitable and continuous access to sufficient quantity of safe drinking and domestic water''s GAP]]*WWWW[[#This Row],[Total PoP ]]</f>
        <v>504</v>
      </c>
      <c r="CZ556" s="424">
        <f>IF(WWWW[[#This Row],[Total required water points]]-WWWW[[#This Row],['#Water points coverage]]&lt;0,0,WWWW[[#This Row],[Total required water points]]-WWWW[[#This Row],['#Water points coverage]])</f>
        <v>1</v>
      </c>
      <c r="DA556" s="424">
        <f>ROUND(IF(WWWW[[#This Row],[Total PoP ]]&lt;500,1,WWWW[[#This Row],[Total PoP ]]/500),0)</f>
        <v>1</v>
      </c>
      <c r="DB556" s="424">
        <f>(WWWW[[#This Row],['#_Constructed latrines_by_WASHAgencies]]+WWWW[[#This Row],['#_Non Cluster partner latrines]])-WWWW[[#This Row],['#_Non-functional latrines]]</f>
        <v>0</v>
      </c>
      <c r="DC556" s="631">
        <f>WWWW[[#This Row],[HRP2]]/WWWW[[#This Row],[Total PoP ]]</f>
        <v>0</v>
      </c>
      <c r="DD556"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56"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6"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6" s="424">
        <f>IF(WWWW[[#This Row],['# of functional latrines in THF supported by WASH partners during the reporting period2]]="",0,WWWW[[#This Row],['# of functional latrines in THF supported by WASH partners during the reporting period2]]*50)</f>
        <v>0</v>
      </c>
      <c r="DH556" s="424">
        <f>ROUND(IF(WWWW[[#This Row],[Location Type 1]]="camp",WWWW[[#This Row],[Total PoP ]]/20,IF(WWWW[[#This Row],[Location Type 1]]="Temporary Location",WWWW[[#This Row],[Total PoP ]]/50,(WWWW[[#This Row],[Total PoP ]]/6))),0)</f>
        <v>25</v>
      </c>
      <c r="DI556" s="424">
        <f>IF(WWWW[[#This Row],[Total required Latrines]]-(WWWW[[#This Row],['#_Constructed latrines_by_WASHAgencies]]+WWWW[[#This Row],['#_Non Cluster partner latrines]])&lt;0,0,WWWW[[#This Row],[Total required Latrines]]-(WWWW[[#This Row],['#_Constructed latrines_by_WASHAgencies]]+WWWW[[#This Row],['#_Non Cluster partner latrines]]))</f>
        <v>25</v>
      </c>
      <c r="DJ556" s="898">
        <f>1-WWWW[[#This Row],[% people access to functioning Latrine]]</f>
        <v>1</v>
      </c>
      <c r="DK556" s="631">
        <f>IF(OR(WWWW[[#This Row],['#_Non-functional latrines]]="",WWWW[[#This Row],['#_Non-functional latrines]]=0),0,WWWW[[#This Row],['#_Non-functional latrines]]/(WWWW[[#This Row],['#_Constructed latrines_by_WASHAgencies]]+WWWW[[#This Row],['#_Non Cluster partner latrines]]))</f>
        <v>0</v>
      </c>
      <c r="DL556" s="428">
        <f>IF(500*(WWWW[[#This Row],['#_male hygiene promoters]]+WWWW[[#This Row],['#_female hygiene promoters]])&gt;WWWW[[#This Row],[Total PoP ]],WWWW[[#This Row],[Total PoP ]],500*(WWWW[[#This Row],['#_male hygiene promoters]]+WWWW[[#This Row],['#_female hygiene promoters]]))</f>
        <v>0</v>
      </c>
      <c r="DM556"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56"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56" s="424">
        <f>IF(WWWW[[#This Row],['# People with access to soap]]&gt;WWWW[[#This Row],['# People with access to Sanity Pads]],WWWW[[#This Row],['# People with access to soap]],WWWW[[#This Row],['# People with access to Sanity Pads]])</f>
        <v>0</v>
      </c>
      <c r="DP556"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56" s="898">
        <f>IF(WWWW[[#This Row],[HRP3]]/WWWW[[#This Row],[Total PoP ]]&gt;1,1,WWWW[[#This Row],[HRP3]]/WWWW[[#This Row],[Total PoP ]])</f>
        <v>0</v>
      </c>
      <c r="DR556" s="631">
        <f>1-WWWW[[#This Row],[Hygiene Coverage%]]</f>
        <v>1</v>
      </c>
      <c r="DS556" s="423">
        <f>WWWW[[#This Row],['# people reached by regular dedicated hygiene promotion_5]]/WWWW[[#This Row],[Total PoP ]]</f>
        <v>0</v>
      </c>
      <c r="DT556"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56"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56" s="424">
        <f>WWWW[[#This Row],['#_Constructed/Existing hand washing stations]]-WWWW[[#This Row],['#_Non-Functional_hand_washing_stations]]</f>
        <v>0</v>
      </c>
      <c r="DW556" s="428">
        <f>IF(WWWW[[#This Row],['# Functional hand washing stations during reporting period]]*20&gt;WWWW[[#This Row],[Total HH]],WWWW[[#This Row],[Total HH]],WWWW[[#This Row],['# Functional hand washing stations during reporting period]]*20)</f>
        <v>0</v>
      </c>
      <c r="DX556" s="428">
        <f>IF(WWWW[[#This Row],[Is sufficient soap available for TLS? (Yes/No)]]="yes",WWWW[[#This Row],['#_Constructed/Existing hand washing stations at TLS/CFS/THF]],0)</f>
        <v>0</v>
      </c>
      <c r="DY556" s="428">
        <f>IF(WWWW[[#This Row],['# Functional hand washing stations during reporting period]]*100&gt;WWWW[[#This Row],[Total PoP ]],WWWW[[#This Row],[Total PoP ]],WWWW[[#This Row],['# Functional hand washing stations during reporting period]]*100)</f>
        <v>0</v>
      </c>
      <c r="DZ556" s="428" t="str">
        <f>IF(OR(WWWW[[#This Row],['#_students at TLS_CFS]]="",WWWW[[#This Row],['#_students at TLS_CFS]]=0),"No","Yes")</f>
        <v>No</v>
      </c>
      <c r="EA55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5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6" s="425">
        <f>VLOOKUP(WWWW[[#This Row],[Site Name]],SiteDB6[[Site Name]:[CCCM Management]],6,FALSE)</f>
        <v>0</v>
      </c>
      <c r="EF556" s="425" t="str">
        <f>VLOOKUP(WWWW[[#This Row],[Site Name]],SiteDB6[[Site Name]:[CCCM Focal Agency]],7,FALSE)</f>
        <v>uncovered</v>
      </c>
      <c r="EG556" s="425" t="str">
        <f>VLOOKUP(WWWW[[#This Row],[Site Name]],SiteDB6[[Site Name]:[Location Type 1]],9,FALSE)</f>
        <v>Camp</v>
      </c>
      <c r="EH556" s="425" t="str">
        <f>VLOOKUP(WWWW[[#This Row],[Site Name]],SiteDB6[[Site Name]:[Type of Accommodation]],10,FALSE)</f>
        <v>IDPs in host</v>
      </c>
      <c r="EI556" s="425" t="str">
        <f>VLOOKUP(WWWW[[#This Row],[Site Name]],SiteDB6[[Site Name]:[Ethnic or GCA/NGCA]],11,FALSE)</f>
        <v>GCA</v>
      </c>
      <c r="EJ556" s="425">
        <f>VLOOKUP(WWWW[[#This Row],[Site Name]],SiteDB6[[Site Name]:[Lat]],12,FALSE)</f>
        <v>22.325900000000001</v>
      </c>
      <c r="EK556" s="425">
        <f>VLOOKUP(WWWW[[#This Row],[Site Name]],SiteDB6[[Site Name]:[Long]],13,FALSE)</f>
        <v>97.021000000000001</v>
      </c>
      <c r="EL556" s="425" t="str">
        <f>VLOOKUP(WWWW[[#This Row],[Site Name]],SiteDB6[[Site Name]:[Pcode]],3,FALSE)</f>
        <v>MMR015CMP075</v>
      </c>
      <c r="EM556" s="860" t="str">
        <f t="shared" si="12"/>
        <v>Notcovered</v>
      </c>
      <c r="EN556" s="860"/>
      <c r="EO556" s="425">
        <f>VLOOKUP(WWWW[[#This Row],[Site Name]],SiteDB6[[Site Name]:[Pop
(Kachin/Shan-CCCM as of July 2021)]],16,FALSE)</f>
        <v>1036</v>
      </c>
      <c r="EP556" s="425">
        <f>VLOOKUP(WWWW[[#This Row],[Site Name]],SiteDB6[[Site Name]:[Pop
(Kachin/Shan-CCCM as of July 2021)]],17,FALSE)</f>
        <v>3986</v>
      </c>
    </row>
    <row r="557" spans="1:146">
      <c r="A557" s="1044" t="s">
        <v>2765</v>
      </c>
      <c r="B557" s="1044" t="s">
        <v>192</v>
      </c>
      <c r="C557" s="1045" t="s">
        <v>192</v>
      </c>
      <c r="D557" s="1045" t="s">
        <v>2673</v>
      </c>
      <c r="E557" s="1045" t="s">
        <v>515</v>
      </c>
      <c r="F557" s="1045" t="s">
        <v>536</v>
      </c>
      <c r="G557" s="1043" t="str">
        <f>VLOOKUP(WWWW[[#This Row],[Site Name]],SiteDB6[[Site Name]:[Location Type]],8,FALSE)</f>
        <v>Camp</v>
      </c>
      <c r="H557" s="1045" t="s">
        <v>543</v>
      </c>
      <c r="I557" s="448">
        <v>60</v>
      </c>
      <c r="J557" s="448">
        <v>270</v>
      </c>
      <c r="K557" s="800">
        <v>44511</v>
      </c>
      <c r="L557" s="56">
        <v>44875</v>
      </c>
      <c r="M557" s="448"/>
      <c r="N557" s="448"/>
      <c r="O557" s="448">
        <v>1</v>
      </c>
      <c r="P557" s="448"/>
      <c r="Q557" s="428" t="s">
        <v>41</v>
      </c>
      <c r="R557" s="448">
        <v>4</v>
      </c>
      <c r="S557" s="448">
        <v>3</v>
      </c>
      <c r="T557" s="448">
        <v>1</v>
      </c>
      <c r="U557" s="448"/>
      <c r="V557" s="448"/>
      <c r="W557" s="448">
        <v>1</v>
      </c>
      <c r="X557" s="448">
        <v>1</v>
      </c>
      <c r="Y557" s="448"/>
      <c r="Z557" s="448">
        <v>1</v>
      </c>
      <c r="AA557" s="448"/>
      <c r="AB557" s="448"/>
      <c r="AC557" s="448"/>
      <c r="AD557" s="448"/>
      <c r="AE557" s="448"/>
      <c r="AF557" s="448"/>
      <c r="AG557" s="448"/>
      <c r="AH557" s="448"/>
      <c r="AI557" s="448"/>
      <c r="AJ557" s="448"/>
      <c r="AK557" s="448"/>
      <c r="AL557" s="448"/>
      <c r="AM557" s="448">
        <v>2</v>
      </c>
      <c r="AN557" s="448"/>
      <c r="AO557" s="448"/>
      <c r="AP557" s="860"/>
      <c r="AQ557" s="448">
        <v>16</v>
      </c>
      <c r="AR557" s="448"/>
      <c r="AS557" s="423"/>
      <c r="AT557" s="448"/>
      <c r="AU557" s="448"/>
      <c r="AV557" s="448"/>
      <c r="AW557" s="448"/>
      <c r="AX557" s="448"/>
      <c r="AY557" s="425" t="s">
        <v>41</v>
      </c>
      <c r="AZ557" s="860" t="s">
        <v>137</v>
      </c>
      <c r="BA557" s="448"/>
      <c r="BB557" s="448"/>
      <c r="BC557" s="448"/>
      <c r="BD557" s="448"/>
      <c r="BE557" s="448"/>
      <c r="BF557" s="425"/>
      <c r="BG557" s="448">
        <v>11</v>
      </c>
      <c r="BH557" s="448"/>
      <c r="BI557" s="448"/>
      <c r="BJ557" s="448">
        <v>2</v>
      </c>
      <c r="BK557" s="448"/>
      <c r="BL557" s="448"/>
      <c r="BM557" s="448">
        <v>1</v>
      </c>
      <c r="BN557" s="448"/>
      <c r="BO557" s="448"/>
      <c r="BP557" s="425" t="s">
        <v>41</v>
      </c>
      <c r="BQ557" s="424">
        <v>3</v>
      </c>
      <c r="BR557" s="423">
        <v>1</v>
      </c>
      <c r="BS557" s="425"/>
      <c r="BT557" s="423"/>
      <c r="BU557" s="423"/>
      <c r="BV557" s="425"/>
      <c r="BW557" s="423"/>
      <c r="BX557" s="448"/>
      <c r="BY557" s="448"/>
      <c r="BZ557" s="448"/>
      <c r="CA557" s="448"/>
      <c r="CB557" s="448"/>
      <c r="CC557" s="777"/>
      <c r="CD557" s="448"/>
      <c r="CE557" s="631" t="str">
        <f>IFERROR(WWWW[[#This Row],['#_Water sources passed]]/WWWW[[#This Row],['#_Water sources tested for fecal coliform ]],"no test")</f>
        <v>no test</v>
      </c>
      <c r="CF557" s="423" t="str">
        <f>IFERROR(WWWW[[#This Row],['#_Household passed]]/WWWW[[#This Row],['#_Household water samples tested for fecal coliform]],"no test")</f>
        <v>no test</v>
      </c>
      <c r="CG557" s="424" t="str">
        <f>IF(AND(WWWW[[#This Row],[% of water sources passed]]="no test",WWWW[[#This Row],[% Household passed]]="no test"),"No Test","Tested")</f>
        <v>No Test</v>
      </c>
      <c r="CH557" s="424">
        <f>WWWW[[#This Row],['#_Constructed/existing protected hand dug well]]-WWWW[[#This Row],['#_Non-functional protected hand dug well]]</f>
        <v>1</v>
      </c>
      <c r="CI557" s="424">
        <f>(WWWW[[#This Row],['#_Constructed/Existing tube wells/boreholes/handpumps_WASH_agency]]+WWWW[[#This Row],['#_Non-Cluster partner water tube-wells/boreholes/handpumps]])-WWWW[[#This Row],['#_Non-functional tube wells/boreholes/handpumps]]</f>
        <v>2</v>
      </c>
      <c r="CJ557" s="424">
        <f>WWWW[[#This Row],['#_Constructed/Existingwater storage tank with gravity fed reticulation system]]-WWWW[[#This Row],['#_Non-functional storage tank gravity fed reticulation system]]</f>
        <v>0</v>
      </c>
      <c r="CK557" s="424">
        <f>(WWWW[[#This Row],['#_Water_Liters_supplied_by_Water boating or water trucking]]/90)/15</f>
        <v>0</v>
      </c>
      <c r="CL557" s="424">
        <f>WWWW[[#This Row],['#_Water_Liters_from_Constructed/Existing water distribution system from river or natural spring]]/90/15</f>
        <v>0</v>
      </c>
      <c r="CM557" s="424">
        <f>IF(WWWW[[#This Row],['#_of water points in TLS/CFS]]*500&gt;WWWW[[#This Row],[Total PoP ]],WWWW[[#This Row],[Total PoP ]],WWWW[[#This Row],['#_of water points in TLS/CFS]]*500)</f>
        <v>0</v>
      </c>
      <c r="CN557" s="424">
        <f>IF(WWWW[[#This Row],['#_of water points in THF]]*500&gt;WWWW[[#This Row],[Total PoP ]],WWWW[[#This Row],[Total PoP ]],WWWW[[#This Row],['#_of water points in THF]]*500)</f>
        <v>0</v>
      </c>
      <c r="CO557"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57"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57" s="423">
        <f>IF(WWWW[[#This Row],[Location Type 1]]="Village",WWWW[[#This Row],[Access to safe drinking water for Village]],WWWW[[#This Row],[Access to safe drinking water for Camp]])</f>
        <v>1</v>
      </c>
      <c r="CR557" s="428">
        <f>WWWW[[#This Row],[%Equitable and continuous access to sufficient quantity of safe drinking water]]*WWWW[[#This Row],[Total PoP ]]</f>
        <v>270</v>
      </c>
      <c r="CS557" s="423">
        <f>IF((WWWW[[#This Row],['#_Constructed/Existing protected/fenced ponds]]*250)/WWWW[[#This Row],[Total PoP ]]&gt;1,1,(WWWW[[#This Row],['#_Constructed/Existing protected/fenced ponds]]*250)/WWWW[[#This Row],[Total PoP ]])</f>
        <v>0</v>
      </c>
      <c r="CT557" s="428">
        <f>WWWW[[#This Row],[% Access to unimproved water points]]*WWWW[[#This Row],[Total PoP ]]</f>
        <v>0</v>
      </c>
      <c r="CU557"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57"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CW557" s="428">
        <f>WWWW[[#This Row],[HRP1]]/500</f>
        <v>0.54</v>
      </c>
      <c r="CX557" s="898">
        <f>1-WWWW[[#This Row],[% Equitable and continuous access to sufficient quantity of domestic water]]</f>
        <v>0</v>
      </c>
      <c r="CY557" s="428">
        <f>WWWW[[#This Row],[%equitable and continuous access to sufficient quantity of safe drinking and domestic water''s GAP]]*WWWW[[#This Row],[Total PoP ]]</f>
        <v>0</v>
      </c>
      <c r="CZ557" s="424">
        <f>IF(WWWW[[#This Row],[Total required water points]]-WWWW[[#This Row],['#Water points coverage]]&lt;0,0,WWWW[[#This Row],[Total required water points]]-WWWW[[#This Row],['#Water points coverage]])</f>
        <v>0.45999999999999996</v>
      </c>
      <c r="DA557" s="424">
        <f>ROUND(IF(WWWW[[#This Row],[Total PoP ]]&lt;500,1,WWWW[[#This Row],[Total PoP ]]/500),0)</f>
        <v>1</v>
      </c>
      <c r="DB557" s="424">
        <f>(WWWW[[#This Row],['#_Constructed latrines_by_WASHAgencies]]+WWWW[[#This Row],['#_Non Cluster partner latrines]])-WWWW[[#This Row],['#_Non-functional latrines]]</f>
        <v>16</v>
      </c>
      <c r="DC557" s="631">
        <f>WWWW[[#This Row],[HRP2]]/WWWW[[#This Row],[Total PoP ]]</f>
        <v>1</v>
      </c>
      <c r="DD557"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270</v>
      </c>
      <c r="DE557"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7"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7" s="424">
        <f>IF(WWWW[[#This Row],['# of functional latrines in THF supported by WASH partners during the reporting period2]]="",0,WWWW[[#This Row],['# of functional latrines in THF supported by WASH partners during the reporting period2]]*50)</f>
        <v>0</v>
      </c>
      <c r="DH557" s="424">
        <f>ROUND(IF(WWWW[[#This Row],[Location Type 1]]="camp",WWWW[[#This Row],[Total PoP ]]/20,IF(WWWW[[#This Row],[Location Type 1]]="Temporary Location",WWWW[[#This Row],[Total PoP ]]/50,(WWWW[[#This Row],[Total PoP ]]/6))),0)</f>
        <v>14</v>
      </c>
      <c r="DI557" s="424">
        <f>IF(WWWW[[#This Row],[Total required Latrines]]-(WWWW[[#This Row],['#_Constructed latrines_by_WASHAgencies]]+WWWW[[#This Row],['#_Non Cluster partner latrines]])&lt;0,0,WWWW[[#This Row],[Total required Latrines]]-(WWWW[[#This Row],['#_Constructed latrines_by_WASHAgencies]]+WWWW[[#This Row],['#_Non Cluster partner latrines]]))</f>
        <v>0</v>
      </c>
      <c r="DJ557" s="898">
        <f>1-WWWW[[#This Row],[% people access to functioning Latrine]]</f>
        <v>0</v>
      </c>
      <c r="DK557" s="631">
        <f>IF(OR(WWWW[[#This Row],['#_Non-functional latrines]]="",WWWW[[#This Row],['#_Non-functional latrines]]=0),0,WWWW[[#This Row],['#_Non-functional latrines]]/(WWWW[[#This Row],['#_Constructed latrines_by_WASHAgencies]]+WWWW[[#This Row],['#_Non Cluster partner latrines]]))</f>
        <v>0</v>
      </c>
      <c r="DL557" s="428">
        <f>IF(500*(WWWW[[#This Row],['#_male hygiene promoters]]+WWWW[[#This Row],['#_female hygiene promoters]])&gt;WWWW[[#This Row],[Total PoP ]],WWWW[[#This Row],[Total PoP ]],500*(WWWW[[#This Row],['#_male hygiene promoters]]+WWWW[[#This Row],['#_female hygiene promoters]]))</f>
        <v>270</v>
      </c>
      <c r="DM557"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57"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57" s="424">
        <f>IF(WWWW[[#This Row],['# People with access to soap]]&gt;WWWW[[#This Row],['# People with access to Sanity Pads]],WWWW[[#This Row],['# People with access to soap]],WWWW[[#This Row],['# People with access to Sanity Pads]])</f>
        <v>0</v>
      </c>
      <c r="DP557" s="424">
        <f>IF(WWWW[[#This Row],['# people reached by regular dedicated hygiene promotion_5]]&gt;WWWW[[#This Row],['# People received regular supply of hygiene items_6]],WWWW[[#This Row],['# people reached by regular dedicated hygiene promotion_5]],WWWW[[#This Row],['# People received regular supply of hygiene items_6]])</f>
        <v>270</v>
      </c>
      <c r="DQ557" s="898">
        <f>IF(WWWW[[#This Row],[HRP3]]/WWWW[[#This Row],[Total PoP ]]&gt;1,1,WWWW[[#This Row],[HRP3]]/WWWW[[#This Row],[Total PoP ]])</f>
        <v>1</v>
      </c>
      <c r="DR557" s="631">
        <f>1-WWWW[[#This Row],[Hygiene Coverage%]]</f>
        <v>0</v>
      </c>
      <c r="DS557" s="423">
        <f>WWWW[[#This Row],['# people reached by regular dedicated hygiene promotion_5]]/WWWW[[#This Row],[Total PoP ]]</f>
        <v>1</v>
      </c>
      <c r="DT557"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57"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57" s="424">
        <f>WWWW[[#This Row],['#_Constructed/Existing hand washing stations]]-WWWW[[#This Row],['#_Non-Functional_hand_washing_stations]]</f>
        <v>11</v>
      </c>
      <c r="DW557" s="428">
        <f>IF(WWWW[[#This Row],['# Functional hand washing stations during reporting period]]*20&gt;WWWW[[#This Row],[Total HH]],WWWW[[#This Row],[Total HH]],WWWW[[#This Row],['# Functional hand washing stations during reporting period]]*20)</f>
        <v>60</v>
      </c>
      <c r="DX557" s="428">
        <f>IF(WWWW[[#This Row],[Is sufficient soap available for TLS? (Yes/No)]]="yes",WWWW[[#This Row],['#_Constructed/Existing hand washing stations at TLS/CFS/THF]],0)</f>
        <v>2</v>
      </c>
      <c r="DY557" s="428">
        <f>IF(WWWW[[#This Row],['# Functional hand washing stations during reporting period]]*100&gt;WWWW[[#This Row],[Total PoP ]],WWWW[[#This Row],[Total PoP ]],WWWW[[#This Row],['# Functional hand washing stations during reporting period]]*100)</f>
        <v>270</v>
      </c>
      <c r="DZ557" s="428" t="str">
        <f>IF(OR(WWWW[[#This Row],['#_students at TLS_CFS]]="",WWWW[[#This Row],['#_students at TLS_CFS]]=0),"No","Yes")</f>
        <v>No</v>
      </c>
      <c r="EA55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5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7" s="425" t="str">
        <f>VLOOKUP(WWWW[[#This Row],[Site Name]],SiteDB6[[Site Name]:[CCCM Management]],6,FALSE)</f>
        <v>Yes</v>
      </c>
      <c r="EF557" s="425" t="str">
        <f>VLOOKUP(WWWW[[#This Row],[Site Name]],SiteDB6[[Site Name]:[CCCM Focal Agency]],7,FALSE)</f>
        <v>KMSS-LSO</v>
      </c>
      <c r="EG557" s="425" t="str">
        <f>VLOOKUP(WWWW[[#This Row],[Site Name]],SiteDB6[[Site Name]:[Location Type 1]],9,FALSE)</f>
        <v>Camp</v>
      </c>
      <c r="EH557" s="425" t="str">
        <f>VLOOKUP(WWWW[[#This Row],[Site Name]],SiteDB6[[Site Name]:[Type of Accommodation]],10,FALSE)</f>
        <v>Camp</v>
      </c>
      <c r="EI557" s="425" t="str">
        <f>VLOOKUP(WWWW[[#This Row],[Site Name]],SiteDB6[[Site Name]:[Ethnic or GCA/NGCA]],11,FALSE)</f>
        <v>GCA</v>
      </c>
      <c r="EJ557" s="425">
        <f>VLOOKUP(WWWW[[#This Row],[Site Name]],SiteDB6[[Site Name]:[Lat]],12,FALSE)</f>
        <v>23.099304</v>
      </c>
      <c r="EK557" s="425">
        <f>VLOOKUP(WWWW[[#This Row],[Site Name]],SiteDB6[[Site Name]:[Long]],13,FALSE)</f>
        <v>97.400671000000003</v>
      </c>
      <c r="EL557" s="425" t="str">
        <f>VLOOKUP(WWWW[[#This Row],[Site Name]],SiteDB6[[Site Name]:[Pcode]],3,FALSE)</f>
        <v>MMR015CMP066</v>
      </c>
      <c r="EM557" s="860" t="str">
        <f t="shared" si="12"/>
        <v>Covered</v>
      </c>
      <c r="EN557" s="860"/>
      <c r="EO557" s="425">
        <f>VLOOKUP(WWWW[[#This Row],[Site Name]],SiteDB6[[Site Name]:[Pop
(Kachin/Shan-CCCM as of July 2021)]],16,FALSE)</f>
        <v>60</v>
      </c>
      <c r="EP557" s="425">
        <f>VLOOKUP(WWWW[[#This Row],[Site Name]],SiteDB6[[Site Name]:[Pop
(Kachin/Shan-CCCM as of July 2021)]],17,FALSE)</f>
        <v>272</v>
      </c>
    </row>
    <row r="558" spans="1:146">
      <c r="A558" s="707" t="s">
        <v>2765</v>
      </c>
      <c r="B558" s="707" t="s">
        <v>309</v>
      </c>
      <c r="C558" s="369" t="s">
        <v>309</v>
      </c>
      <c r="D558" s="369"/>
      <c r="E558" s="369" t="s">
        <v>515</v>
      </c>
      <c r="F558" s="369" t="s">
        <v>963</v>
      </c>
      <c r="G558" s="591" t="str">
        <f>VLOOKUP(WWWW[[#This Row],[Site Name]],SiteDB6[[Site Name]:[Location Type]],8,FALSE)</f>
        <v>Relocated</v>
      </c>
      <c r="H558" s="369" t="s">
        <v>2606</v>
      </c>
      <c r="I558" s="448">
        <v>219</v>
      </c>
      <c r="J558" s="448">
        <v>653</v>
      </c>
      <c r="K558" s="800"/>
      <c r="L558" s="56"/>
      <c r="M558" s="448"/>
      <c r="N558" s="448"/>
      <c r="O558" s="448"/>
      <c r="P558" s="448"/>
      <c r="Q558" s="428"/>
      <c r="R558" s="448"/>
      <c r="S558" s="448"/>
      <c r="T558" s="448"/>
      <c r="U558" s="448"/>
      <c r="V558" s="448"/>
      <c r="W558" s="448"/>
      <c r="X558" s="448"/>
      <c r="Y558" s="448"/>
      <c r="Z558" s="448"/>
      <c r="AA558" s="448"/>
      <c r="AB558" s="448"/>
      <c r="AC558" s="448"/>
      <c r="AD558" s="448"/>
      <c r="AE558" s="448"/>
      <c r="AF558" s="448"/>
      <c r="AG558" s="448"/>
      <c r="AH558" s="448"/>
      <c r="AI558" s="448"/>
      <c r="AJ558" s="448"/>
      <c r="AK558" s="448"/>
      <c r="AL558" s="448"/>
      <c r="AM558" s="448"/>
      <c r="AN558" s="448"/>
      <c r="AO558" s="448"/>
      <c r="AP558" s="860"/>
      <c r="AQ558" s="448"/>
      <c r="AR558" s="448"/>
      <c r="AS558" s="423"/>
      <c r="AT558" s="448"/>
      <c r="AU558" s="448"/>
      <c r="AV558" s="448"/>
      <c r="AW558" s="448"/>
      <c r="AX558" s="448"/>
      <c r="AY558" s="425" t="s">
        <v>140</v>
      </c>
      <c r="AZ558" s="860" t="s">
        <v>140</v>
      </c>
      <c r="BA558" s="448"/>
      <c r="BB558" s="448"/>
      <c r="BC558" s="448"/>
      <c r="BD558" s="448"/>
      <c r="BE558" s="448"/>
      <c r="BF558" s="425"/>
      <c r="BG558" s="448"/>
      <c r="BH558" s="448"/>
      <c r="BI558" s="448"/>
      <c r="BJ558" s="448"/>
      <c r="BK558" s="448"/>
      <c r="BL558" s="448"/>
      <c r="BM558" s="448"/>
      <c r="BN558" s="448"/>
      <c r="BO558" s="448"/>
      <c r="BP558" s="425"/>
      <c r="BQ558" s="424"/>
      <c r="BR558" s="423"/>
      <c r="BS558" s="425"/>
      <c r="BT558" s="423"/>
      <c r="BU558" s="423"/>
      <c r="BV558" s="425"/>
      <c r="BW558" s="423"/>
      <c r="BX558" s="448"/>
      <c r="BY558" s="448"/>
      <c r="BZ558" s="448"/>
      <c r="CA558" s="448"/>
      <c r="CB558" s="448"/>
      <c r="CC558" s="777"/>
      <c r="CD558" s="448"/>
      <c r="CE558" s="631" t="str">
        <f>IFERROR(WWWW[[#This Row],['#_Water sources passed]]/WWWW[[#This Row],['#_Water sources tested for fecal coliform ]],"no test")</f>
        <v>no test</v>
      </c>
      <c r="CF558" s="423" t="str">
        <f>IFERROR(WWWW[[#This Row],['#_Household passed]]/WWWW[[#This Row],['#_Household water samples tested for fecal coliform]],"no test")</f>
        <v>no test</v>
      </c>
      <c r="CG558" s="424" t="str">
        <f>IF(AND(WWWW[[#This Row],[% of water sources passed]]="no test",WWWW[[#This Row],[% Household passed]]="no test"),"No Test","Tested")</f>
        <v>No Test</v>
      </c>
      <c r="CH558" s="424">
        <f>WWWW[[#This Row],['#_Constructed/existing protected hand dug well]]-WWWW[[#This Row],['#_Non-functional protected hand dug well]]</f>
        <v>0</v>
      </c>
      <c r="CI558" s="424">
        <f>(WWWW[[#This Row],['#_Constructed/Existing tube wells/boreholes/handpumps_WASH_agency]]+WWWW[[#This Row],['#_Non-Cluster partner water tube-wells/boreholes/handpumps]])-WWWW[[#This Row],['#_Non-functional tube wells/boreholes/handpumps]]</f>
        <v>0</v>
      </c>
      <c r="CJ558" s="424">
        <f>WWWW[[#This Row],['#_Constructed/Existingwater storage tank with gravity fed reticulation system]]-WWWW[[#This Row],['#_Non-functional storage tank gravity fed reticulation system]]</f>
        <v>0</v>
      </c>
      <c r="CK558" s="424">
        <f>(WWWW[[#This Row],['#_Water_Liters_supplied_by_Water boating or water trucking]]/90)/15</f>
        <v>0</v>
      </c>
      <c r="CL558" s="424">
        <f>WWWW[[#This Row],['#_Water_Liters_from_Constructed/Existing water distribution system from river or natural spring]]/90/15</f>
        <v>0</v>
      </c>
      <c r="CM558" s="424">
        <f>IF(WWWW[[#This Row],['#_of water points in TLS/CFS]]*500&gt;WWWW[[#This Row],[Total PoP ]],WWWW[[#This Row],[Total PoP ]],WWWW[[#This Row],['#_of water points in TLS/CFS]]*500)</f>
        <v>0</v>
      </c>
      <c r="CN558" s="424">
        <f>IF(WWWW[[#This Row],['#_of water points in THF]]*500&gt;WWWW[[#This Row],[Total PoP ]],WWWW[[#This Row],[Total PoP ]],WWWW[[#This Row],['#_of water points in THF]]*500)</f>
        <v>0</v>
      </c>
      <c r="CO558"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58"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58" s="423">
        <f>IF(WWWW[[#This Row],[Location Type 1]]="Village",WWWW[[#This Row],[Access to safe drinking water for Village]],WWWW[[#This Row],[Access to safe drinking water for Camp]])</f>
        <v>0</v>
      </c>
      <c r="CR558" s="428">
        <f>WWWW[[#This Row],[%Equitable and continuous access to sufficient quantity of safe drinking water]]*WWWW[[#This Row],[Total PoP ]]</f>
        <v>0</v>
      </c>
      <c r="CS558" s="423">
        <f>IF((WWWW[[#This Row],['#_Constructed/Existing protected/fenced ponds]]*250)/WWWW[[#This Row],[Total PoP ]]&gt;1,1,(WWWW[[#This Row],['#_Constructed/Existing protected/fenced ponds]]*250)/WWWW[[#This Row],[Total PoP ]])</f>
        <v>0</v>
      </c>
      <c r="CT558" s="428">
        <f>WWWW[[#This Row],[% Access to unimproved water points]]*WWWW[[#This Row],[Total PoP ]]</f>
        <v>0</v>
      </c>
      <c r="CU558"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58"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58" s="428">
        <f>WWWW[[#This Row],[HRP1]]/500</f>
        <v>0</v>
      </c>
      <c r="CX558" s="898">
        <f>1-WWWW[[#This Row],[% Equitable and continuous access to sufficient quantity of domestic water]]</f>
        <v>1</v>
      </c>
      <c r="CY558" s="428">
        <f>WWWW[[#This Row],[%equitable and continuous access to sufficient quantity of safe drinking and domestic water''s GAP]]*WWWW[[#This Row],[Total PoP ]]</f>
        <v>653</v>
      </c>
      <c r="CZ558" s="424">
        <f>IF(WWWW[[#This Row],[Total required water points]]-WWWW[[#This Row],['#Water points coverage]]&lt;0,0,WWWW[[#This Row],[Total required water points]]-WWWW[[#This Row],['#Water points coverage]])</f>
        <v>1</v>
      </c>
      <c r="DA558" s="424">
        <f>ROUND(IF(WWWW[[#This Row],[Total PoP ]]&lt;500,1,WWWW[[#This Row],[Total PoP ]]/500),0)</f>
        <v>1</v>
      </c>
      <c r="DB558" s="424">
        <f>(WWWW[[#This Row],['#_Constructed latrines_by_WASHAgencies]]+WWWW[[#This Row],['#_Non Cluster partner latrines]])-WWWW[[#This Row],['#_Non-functional latrines]]</f>
        <v>0</v>
      </c>
      <c r="DC558" s="631">
        <f>WWWW[[#This Row],[HRP2]]/WWWW[[#This Row],[Total PoP ]]</f>
        <v>0</v>
      </c>
      <c r="DD558"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58"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8"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8" s="424">
        <f>IF(WWWW[[#This Row],['# of functional latrines in THF supported by WASH partners during the reporting period2]]="",0,WWWW[[#This Row],['# of functional latrines in THF supported by WASH partners during the reporting period2]]*50)</f>
        <v>0</v>
      </c>
      <c r="DH558" s="424">
        <f>ROUND(IF(WWWW[[#This Row],[Location Type 1]]="camp",WWWW[[#This Row],[Total PoP ]]/20,IF(WWWW[[#This Row],[Location Type 1]]="Temporary Location",WWWW[[#This Row],[Total PoP ]]/50,(WWWW[[#This Row],[Total PoP ]]/6))),0)</f>
        <v>109</v>
      </c>
      <c r="DI558" s="424">
        <f>IF(WWWW[[#This Row],[Total required Latrines]]-(WWWW[[#This Row],['#_Constructed latrines_by_WASHAgencies]]+WWWW[[#This Row],['#_Non Cluster partner latrines]])&lt;0,0,WWWW[[#This Row],[Total required Latrines]]-(WWWW[[#This Row],['#_Constructed latrines_by_WASHAgencies]]+WWWW[[#This Row],['#_Non Cluster partner latrines]]))</f>
        <v>109</v>
      </c>
      <c r="DJ558" s="898">
        <f>1-WWWW[[#This Row],[% people access to functioning Latrine]]</f>
        <v>1</v>
      </c>
      <c r="DK558" s="631">
        <f>IF(OR(WWWW[[#This Row],['#_Non-functional latrines]]="",WWWW[[#This Row],['#_Non-functional latrines]]=0),0,WWWW[[#This Row],['#_Non-functional latrines]]/(WWWW[[#This Row],['#_Constructed latrines_by_WASHAgencies]]+WWWW[[#This Row],['#_Non Cluster partner latrines]]))</f>
        <v>0</v>
      </c>
      <c r="DL558" s="428">
        <f>IF(500*(WWWW[[#This Row],['#_male hygiene promoters]]+WWWW[[#This Row],['#_female hygiene promoters]])&gt;WWWW[[#This Row],[Total PoP ]],WWWW[[#This Row],[Total PoP ]],500*(WWWW[[#This Row],['#_male hygiene promoters]]+WWWW[[#This Row],['#_female hygiene promoters]]))</f>
        <v>0</v>
      </c>
      <c r="DM558"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58"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58" s="424">
        <f>IF(WWWW[[#This Row],['# People with access to soap]]&gt;WWWW[[#This Row],['# People with access to Sanity Pads]],WWWW[[#This Row],['# People with access to soap]],WWWW[[#This Row],['# People with access to Sanity Pads]])</f>
        <v>0</v>
      </c>
      <c r="DP558"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58" s="898">
        <f>IF(WWWW[[#This Row],[HRP3]]/WWWW[[#This Row],[Total PoP ]]&gt;1,1,WWWW[[#This Row],[HRP3]]/WWWW[[#This Row],[Total PoP ]])</f>
        <v>0</v>
      </c>
      <c r="DR558" s="631">
        <f>1-WWWW[[#This Row],[Hygiene Coverage%]]</f>
        <v>1</v>
      </c>
      <c r="DS558" s="423">
        <f>WWWW[[#This Row],['# people reached by regular dedicated hygiene promotion_5]]/WWWW[[#This Row],[Total PoP ]]</f>
        <v>0</v>
      </c>
      <c r="DT558"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58"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58" s="424">
        <f>WWWW[[#This Row],['#_Constructed/Existing hand washing stations]]-WWWW[[#This Row],['#_Non-Functional_hand_washing_stations]]</f>
        <v>0</v>
      </c>
      <c r="DW558" s="428">
        <f>IF(WWWW[[#This Row],['# Functional hand washing stations during reporting period]]*20&gt;WWWW[[#This Row],[Total HH]],WWWW[[#This Row],[Total HH]],WWWW[[#This Row],['# Functional hand washing stations during reporting period]]*20)</f>
        <v>0</v>
      </c>
      <c r="DX558" s="428">
        <f>IF(WWWW[[#This Row],[Is sufficient soap available for TLS? (Yes/No)]]="yes",WWWW[[#This Row],['#_Constructed/Existing hand washing stations at TLS/CFS/THF]],0)</f>
        <v>0</v>
      </c>
      <c r="DY558" s="428">
        <f>IF(WWWW[[#This Row],['# Functional hand washing stations during reporting period]]*100&gt;WWWW[[#This Row],[Total PoP ]],WWWW[[#This Row],[Total PoP ]],WWWW[[#This Row],['# Functional hand washing stations during reporting period]]*100)</f>
        <v>0</v>
      </c>
      <c r="DZ558" s="428" t="str">
        <f>IF(OR(WWWW[[#This Row],['#_students at TLS_CFS]]="",WWWW[[#This Row],['#_students at TLS_CFS]]=0),"No","Yes")</f>
        <v>No</v>
      </c>
      <c r="EA55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5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8" s="425">
        <f>VLOOKUP(WWWW[[#This Row],[Site Name]],SiteDB6[[Site Name]:[CCCM Management]],6,FALSE)</f>
        <v>0</v>
      </c>
      <c r="EF558" s="425">
        <f>VLOOKUP(WWWW[[#This Row],[Site Name]],SiteDB6[[Site Name]:[CCCM Focal Agency]],7,FALSE)</f>
        <v>0</v>
      </c>
      <c r="EG558" s="425" t="str">
        <f>VLOOKUP(WWWW[[#This Row],[Site Name]],SiteDB6[[Site Name]:[Location Type 1]],9,FALSE)</f>
        <v>Relocated</v>
      </c>
      <c r="EH558" s="425" t="str">
        <f>VLOOKUP(WWWW[[#This Row],[Site Name]],SiteDB6[[Site Name]:[Type of Accommodation]],10,FALSE)</f>
        <v>Relocated-Individual House</v>
      </c>
      <c r="EI558" s="425" t="str">
        <f>VLOOKUP(WWWW[[#This Row],[Site Name]],SiteDB6[[Site Name]:[Ethnic or GCA/NGCA]],11,FALSE)</f>
        <v>GCA</v>
      </c>
      <c r="EJ558" s="425">
        <f>VLOOKUP(WWWW[[#This Row],[Site Name]],SiteDB6[[Site Name]:[Lat]],12,FALSE)</f>
        <v>23.415991000000002</v>
      </c>
      <c r="EK558" s="425">
        <f>VLOOKUP(WWWW[[#This Row],[Site Name]],SiteDB6[[Site Name]:[Long]],13,FALSE)</f>
        <v>98.471779999999995</v>
      </c>
      <c r="EL558" s="425" t="str">
        <f>VLOOKUP(WWWW[[#This Row],[Site Name]],SiteDB6[[Site Name]:[Pcode]],3,FALSE)</f>
        <v>MMR015CMP073</v>
      </c>
      <c r="EM558" s="860" t="str">
        <f t="shared" si="12"/>
        <v>Notcovered</v>
      </c>
      <c r="EN558" s="860"/>
      <c r="EO558" s="425">
        <f>VLOOKUP(WWWW[[#This Row],[Site Name]],SiteDB6[[Site Name]:[Pop
(Kachin/Shan-CCCM as of July 2021)]],16,FALSE)</f>
        <v>219</v>
      </c>
      <c r="EP558" s="425">
        <f>VLOOKUP(WWWW[[#This Row],[Site Name]],SiteDB6[[Site Name]:[Pop
(Kachin/Shan-CCCM as of July 2021)]],17,FALSE)</f>
        <v>653</v>
      </c>
    </row>
    <row r="559" spans="1:146">
      <c r="A559" s="1044" t="s">
        <v>2765</v>
      </c>
      <c r="B559" s="1044" t="s">
        <v>192</v>
      </c>
      <c r="C559" s="1045" t="s">
        <v>192</v>
      </c>
      <c r="D559" s="1045" t="s">
        <v>2673</v>
      </c>
      <c r="E559" s="1045" t="s">
        <v>515</v>
      </c>
      <c r="F559" s="1045" t="s">
        <v>536</v>
      </c>
      <c r="G559" s="1043" t="str">
        <f>VLOOKUP(WWWW[[#This Row],[Site Name]],SiteDB6[[Site Name]:[Location Type]],8,FALSE)</f>
        <v>Camp</v>
      </c>
      <c r="H559" s="1045" t="s">
        <v>544</v>
      </c>
      <c r="I559" s="448">
        <v>30</v>
      </c>
      <c r="J559" s="448">
        <v>127</v>
      </c>
      <c r="K559" s="800">
        <v>44511</v>
      </c>
      <c r="L559" s="56">
        <v>44875</v>
      </c>
      <c r="M559" s="448"/>
      <c r="N559" s="448"/>
      <c r="O559" s="448">
        <v>1</v>
      </c>
      <c r="P559" s="448"/>
      <c r="Q559" s="428" t="s">
        <v>41</v>
      </c>
      <c r="R559" s="448">
        <v>3</v>
      </c>
      <c r="S559" s="448">
        <v>3</v>
      </c>
      <c r="T559" s="448"/>
      <c r="U559" s="448"/>
      <c r="V559" s="448"/>
      <c r="W559" s="448">
        <v>2</v>
      </c>
      <c r="X559" s="448">
        <v>1</v>
      </c>
      <c r="Y559" s="448"/>
      <c r="Z559" s="448">
        <v>1</v>
      </c>
      <c r="AA559" s="448"/>
      <c r="AB559" s="448"/>
      <c r="AC559" s="448"/>
      <c r="AD559" s="448"/>
      <c r="AE559" s="448"/>
      <c r="AF559" s="448"/>
      <c r="AG559" s="448"/>
      <c r="AH559" s="448"/>
      <c r="AI559" s="448"/>
      <c r="AJ559" s="448"/>
      <c r="AK559" s="448"/>
      <c r="AL559" s="448"/>
      <c r="AM559" s="448"/>
      <c r="AN559" s="448"/>
      <c r="AO559" s="448"/>
      <c r="AP559" s="860"/>
      <c r="AQ559" s="448">
        <v>10</v>
      </c>
      <c r="AR559" s="448">
        <v>2</v>
      </c>
      <c r="AS559" s="423"/>
      <c r="AT559" s="448"/>
      <c r="AU559" s="448"/>
      <c r="AV559" s="448"/>
      <c r="AW559" s="448"/>
      <c r="AX559" s="448">
        <v>2</v>
      </c>
      <c r="AY559" s="425" t="s">
        <v>41</v>
      </c>
      <c r="AZ559" s="860" t="s">
        <v>137</v>
      </c>
      <c r="BA559" s="448"/>
      <c r="BB559" s="448"/>
      <c r="BC559" s="448"/>
      <c r="BD559" s="448"/>
      <c r="BE559" s="448"/>
      <c r="BF559" s="425"/>
      <c r="BG559" s="448">
        <v>11</v>
      </c>
      <c r="BH559" s="448"/>
      <c r="BI559" s="448"/>
      <c r="BJ559" s="448">
        <v>3</v>
      </c>
      <c r="BK559" s="448"/>
      <c r="BL559" s="448"/>
      <c r="BM559" s="448">
        <v>1</v>
      </c>
      <c r="BN559" s="448"/>
      <c r="BO559" s="448"/>
      <c r="BP559" s="425" t="s">
        <v>41</v>
      </c>
      <c r="BQ559" s="424">
        <v>3</v>
      </c>
      <c r="BR559" s="423">
        <v>1</v>
      </c>
      <c r="BS559" s="425"/>
      <c r="BT559" s="423"/>
      <c r="BU559" s="423"/>
      <c r="BV559" s="425"/>
      <c r="BW559" s="423"/>
      <c r="BX559" s="448"/>
      <c r="BY559" s="448"/>
      <c r="BZ559" s="448"/>
      <c r="CA559" s="448"/>
      <c r="CB559" s="448"/>
      <c r="CC559" s="777"/>
      <c r="CD559" s="448"/>
      <c r="CE559" s="631" t="str">
        <f>IFERROR(WWWW[[#This Row],['#_Water sources passed]]/WWWW[[#This Row],['#_Water sources tested for fecal coliform ]],"no test")</f>
        <v>no test</v>
      </c>
      <c r="CF559" s="423" t="str">
        <f>IFERROR(WWWW[[#This Row],['#_Household passed]]/WWWW[[#This Row],['#_Household water samples tested for fecal coliform]],"no test")</f>
        <v>no test</v>
      </c>
      <c r="CG559" s="424" t="str">
        <f>IF(AND(WWWW[[#This Row],[% of water sources passed]]="no test",WWWW[[#This Row],[% Household passed]]="no test"),"No Test","Tested")</f>
        <v>No Test</v>
      </c>
      <c r="CH559" s="424">
        <f>WWWW[[#This Row],['#_Constructed/existing protected hand dug well]]-WWWW[[#This Row],['#_Non-functional protected hand dug well]]</f>
        <v>0</v>
      </c>
      <c r="CI559" s="424">
        <f>(WWWW[[#This Row],['#_Constructed/Existing tube wells/boreholes/handpumps_WASH_agency]]+WWWW[[#This Row],['#_Non-Cluster partner water tube-wells/boreholes/handpumps]])-WWWW[[#This Row],['#_Non-functional tube wells/boreholes/handpumps]]</f>
        <v>3</v>
      </c>
      <c r="CJ559" s="424">
        <f>WWWW[[#This Row],['#_Constructed/Existingwater storage tank with gravity fed reticulation system]]-WWWW[[#This Row],['#_Non-functional storage tank gravity fed reticulation system]]</f>
        <v>0</v>
      </c>
      <c r="CK559" s="424">
        <f>(WWWW[[#This Row],['#_Water_Liters_supplied_by_Water boating or water trucking]]/90)/15</f>
        <v>0</v>
      </c>
      <c r="CL559" s="424">
        <f>WWWW[[#This Row],['#_Water_Liters_from_Constructed/Existing water distribution system from river or natural spring]]/90/15</f>
        <v>0</v>
      </c>
      <c r="CM559" s="424">
        <f>IF(WWWW[[#This Row],['#_of water points in TLS/CFS]]*500&gt;WWWW[[#This Row],[Total PoP ]],WWWW[[#This Row],[Total PoP ]],WWWW[[#This Row],['#_of water points in TLS/CFS]]*500)</f>
        <v>0</v>
      </c>
      <c r="CN559" s="424">
        <f>IF(WWWW[[#This Row],['#_of water points in THF]]*500&gt;WWWW[[#This Row],[Total PoP ]],WWWW[[#This Row],[Total PoP ]],WWWW[[#This Row],['#_of water points in THF]]*500)</f>
        <v>0</v>
      </c>
      <c r="CO559"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59"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59" s="423">
        <f>IF(WWWW[[#This Row],[Location Type 1]]="Village",WWWW[[#This Row],[Access to safe drinking water for Village]],WWWW[[#This Row],[Access to safe drinking water for Camp]])</f>
        <v>1</v>
      </c>
      <c r="CR559" s="428">
        <f>WWWW[[#This Row],[%Equitable and continuous access to sufficient quantity of safe drinking water]]*WWWW[[#This Row],[Total PoP ]]</f>
        <v>127</v>
      </c>
      <c r="CS559" s="423">
        <f>IF((WWWW[[#This Row],['#_Constructed/Existing protected/fenced ponds]]*250)/WWWW[[#This Row],[Total PoP ]]&gt;1,1,(WWWW[[#This Row],['#_Constructed/Existing protected/fenced ponds]]*250)/WWWW[[#This Row],[Total PoP ]])</f>
        <v>0</v>
      </c>
      <c r="CT559" s="428">
        <f>WWWW[[#This Row],[% Access to unimproved water points]]*WWWW[[#This Row],[Total PoP ]]</f>
        <v>0</v>
      </c>
      <c r="CU559"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59"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W559" s="428">
        <f>WWWW[[#This Row],[HRP1]]/500</f>
        <v>0.254</v>
      </c>
      <c r="CX559" s="898">
        <f>1-WWWW[[#This Row],[% Equitable and continuous access to sufficient quantity of domestic water]]</f>
        <v>0</v>
      </c>
      <c r="CY559" s="428">
        <f>WWWW[[#This Row],[%equitable and continuous access to sufficient quantity of safe drinking and domestic water''s GAP]]*WWWW[[#This Row],[Total PoP ]]</f>
        <v>0</v>
      </c>
      <c r="CZ559" s="424">
        <f>IF(WWWW[[#This Row],[Total required water points]]-WWWW[[#This Row],['#Water points coverage]]&lt;0,0,WWWW[[#This Row],[Total required water points]]-WWWW[[#This Row],['#Water points coverage]])</f>
        <v>0.746</v>
      </c>
      <c r="DA559" s="424">
        <f>ROUND(IF(WWWW[[#This Row],[Total PoP ]]&lt;500,1,WWWW[[#This Row],[Total PoP ]]/500),0)</f>
        <v>1</v>
      </c>
      <c r="DB559" s="424">
        <f>(WWWW[[#This Row],['#_Constructed latrines_by_WASHAgencies]]+WWWW[[#This Row],['#_Non Cluster partner latrines]])-WWWW[[#This Row],['#_Non-functional latrines]]</f>
        <v>12</v>
      </c>
      <c r="DC559" s="631">
        <f>WWWW[[#This Row],[HRP2]]/WWWW[[#This Row],[Total PoP ]]</f>
        <v>1</v>
      </c>
      <c r="DD559"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127</v>
      </c>
      <c r="DE559"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9"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9" s="424">
        <f>IF(WWWW[[#This Row],['# of functional latrines in THF supported by WASH partners during the reporting period2]]="",0,WWWW[[#This Row],['# of functional latrines in THF supported by WASH partners during the reporting period2]]*50)</f>
        <v>0</v>
      </c>
      <c r="DH559" s="424">
        <f>ROUND(IF(WWWW[[#This Row],[Location Type 1]]="camp",WWWW[[#This Row],[Total PoP ]]/20,IF(WWWW[[#This Row],[Location Type 1]]="Temporary Location",WWWW[[#This Row],[Total PoP ]]/50,(WWWW[[#This Row],[Total PoP ]]/6))),0)</f>
        <v>6</v>
      </c>
      <c r="DI559" s="424">
        <f>IF(WWWW[[#This Row],[Total required Latrines]]-(WWWW[[#This Row],['#_Constructed latrines_by_WASHAgencies]]+WWWW[[#This Row],['#_Non Cluster partner latrines]])&lt;0,0,WWWW[[#This Row],[Total required Latrines]]-(WWWW[[#This Row],['#_Constructed latrines_by_WASHAgencies]]+WWWW[[#This Row],['#_Non Cluster partner latrines]]))</f>
        <v>0</v>
      </c>
      <c r="DJ559" s="898">
        <f>1-WWWW[[#This Row],[% people access to functioning Latrine]]</f>
        <v>0</v>
      </c>
      <c r="DK559" s="631">
        <f>IF(OR(WWWW[[#This Row],['#_Non-functional latrines]]="",WWWW[[#This Row],['#_Non-functional latrines]]=0),0,WWWW[[#This Row],['#_Non-functional latrines]]/(WWWW[[#This Row],['#_Constructed latrines_by_WASHAgencies]]+WWWW[[#This Row],['#_Non Cluster partner latrines]]))</f>
        <v>0</v>
      </c>
      <c r="DL559" s="428">
        <f>IF(500*(WWWW[[#This Row],['#_male hygiene promoters]]+WWWW[[#This Row],['#_female hygiene promoters]])&gt;WWWW[[#This Row],[Total PoP ]],WWWW[[#This Row],[Total PoP ]],500*(WWWW[[#This Row],['#_male hygiene promoters]]+WWWW[[#This Row],['#_female hygiene promoters]]))</f>
        <v>127</v>
      </c>
      <c r="DM559"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59"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59" s="424">
        <f>IF(WWWW[[#This Row],['# People with access to soap]]&gt;WWWW[[#This Row],['# People with access to Sanity Pads]],WWWW[[#This Row],['# People with access to soap]],WWWW[[#This Row],['# People with access to Sanity Pads]])</f>
        <v>0</v>
      </c>
      <c r="DP559" s="424">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Q559" s="898">
        <f>IF(WWWW[[#This Row],[HRP3]]/WWWW[[#This Row],[Total PoP ]]&gt;1,1,WWWW[[#This Row],[HRP3]]/WWWW[[#This Row],[Total PoP ]])</f>
        <v>1</v>
      </c>
      <c r="DR559" s="631">
        <f>1-WWWW[[#This Row],[Hygiene Coverage%]]</f>
        <v>0</v>
      </c>
      <c r="DS559" s="423">
        <f>WWWW[[#This Row],['# people reached by regular dedicated hygiene promotion_5]]/WWWW[[#This Row],[Total PoP ]]</f>
        <v>1</v>
      </c>
      <c r="DT559"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59"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59" s="424">
        <f>WWWW[[#This Row],['#_Constructed/Existing hand washing stations]]-WWWW[[#This Row],['#_Non-Functional_hand_washing_stations]]</f>
        <v>11</v>
      </c>
      <c r="DW559" s="428">
        <f>IF(WWWW[[#This Row],['# Functional hand washing stations during reporting period]]*20&gt;WWWW[[#This Row],[Total HH]],WWWW[[#This Row],[Total HH]],WWWW[[#This Row],['# Functional hand washing stations during reporting period]]*20)</f>
        <v>30</v>
      </c>
      <c r="DX559" s="428">
        <f>IF(WWWW[[#This Row],[Is sufficient soap available for TLS? (Yes/No)]]="yes",WWWW[[#This Row],['#_Constructed/Existing hand washing stations at TLS/CFS/THF]],0)</f>
        <v>0</v>
      </c>
      <c r="DY559" s="428">
        <f>IF(WWWW[[#This Row],['# Functional hand washing stations during reporting period]]*100&gt;WWWW[[#This Row],[Total PoP ]],WWWW[[#This Row],[Total PoP ]],WWWW[[#This Row],['# Functional hand washing stations during reporting period]]*100)</f>
        <v>127</v>
      </c>
      <c r="DZ559" s="428" t="str">
        <f>IF(OR(WWWW[[#This Row],['#_students at TLS_CFS]]="",WWWW[[#This Row],['#_students at TLS_CFS]]=0),"No","Yes")</f>
        <v>No</v>
      </c>
      <c r="EA55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5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9" s="425" t="str">
        <f>VLOOKUP(WWWW[[#This Row],[Site Name]],SiteDB6[[Site Name]:[CCCM Management]],6,FALSE)</f>
        <v>Yes</v>
      </c>
      <c r="EF559" s="425" t="str">
        <f>VLOOKUP(WWWW[[#This Row],[Site Name]],SiteDB6[[Site Name]:[CCCM Focal Agency]],7,FALSE)</f>
        <v>KMSS-LSO</v>
      </c>
      <c r="EG559" s="425" t="str">
        <f>VLOOKUP(WWWW[[#This Row],[Site Name]],SiteDB6[[Site Name]:[Location Type 1]],9,FALSE)</f>
        <v>Camp</v>
      </c>
      <c r="EH559" s="425" t="str">
        <f>VLOOKUP(WWWW[[#This Row],[Site Name]],SiteDB6[[Site Name]:[Type of Accommodation]],10,FALSE)</f>
        <v>Camp</v>
      </c>
      <c r="EI559" s="425" t="str">
        <f>VLOOKUP(WWWW[[#This Row],[Site Name]],SiteDB6[[Site Name]:[Ethnic or GCA/NGCA]],11,FALSE)</f>
        <v>GCA</v>
      </c>
      <c r="EJ559" s="425">
        <f>VLOOKUP(WWWW[[#This Row],[Site Name]],SiteDB6[[Site Name]:[Lat]],12,FALSE)</f>
        <v>23.088011000000002</v>
      </c>
      <c r="EK559" s="425">
        <f>VLOOKUP(WWWW[[#This Row],[Site Name]],SiteDB6[[Site Name]:[Long]],13,FALSE)</f>
        <v>97.398698999999993</v>
      </c>
      <c r="EL559" s="425" t="str">
        <f>VLOOKUP(WWWW[[#This Row],[Site Name]],SiteDB6[[Site Name]:[Pcode]],3,FALSE)</f>
        <v>MMR015CMP050</v>
      </c>
      <c r="EM559" s="860" t="str">
        <f t="shared" si="12"/>
        <v>Covered</v>
      </c>
      <c r="EN559" s="860"/>
      <c r="EO559" s="425">
        <f>VLOOKUP(WWWW[[#This Row],[Site Name]],SiteDB6[[Site Name]:[Pop
(Kachin/Shan-CCCM as of July 2021)]],16,FALSE)</f>
        <v>30</v>
      </c>
      <c r="EP559" s="425">
        <f>VLOOKUP(WWWW[[#This Row],[Site Name]],SiteDB6[[Site Name]:[Pop
(Kachin/Shan-CCCM as of July 2021)]],17,FALSE)</f>
        <v>129</v>
      </c>
    </row>
    <row r="560" spans="1:146">
      <c r="A560" s="1044" t="s">
        <v>2765</v>
      </c>
      <c r="B560" s="1044" t="s">
        <v>192</v>
      </c>
      <c r="C560" s="1045" t="s">
        <v>192</v>
      </c>
      <c r="D560" s="1045" t="s">
        <v>2673</v>
      </c>
      <c r="E560" s="1045" t="s">
        <v>515</v>
      </c>
      <c r="F560" s="1045" t="s">
        <v>519</v>
      </c>
      <c r="G560" s="1043" t="str">
        <f>VLOOKUP(WWWW[[#This Row],[Site Name]],SiteDB6[[Site Name]:[Location Type]],8,FALSE)</f>
        <v>Camp</v>
      </c>
      <c r="H560" s="1045" t="s">
        <v>1616</v>
      </c>
      <c r="I560" s="448">
        <v>74</v>
      </c>
      <c r="J560" s="448">
        <v>502</v>
      </c>
      <c r="K560" s="800">
        <v>44511</v>
      </c>
      <c r="L560" s="56">
        <v>44875</v>
      </c>
      <c r="M560" s="448"/>
      <c r="N560" s="448"/>
      <c r="O560" s="448"/>
      <c r="P560" s="448"/>
      <c r="Q560" s="428"/>
      <c r="R560" s="448">
        <v>6</v>
      </c>
      <c r="S560" s="448">
        <v>3</v>
      </c>
      <c r="T560" s="448"/>
      <c r="U560" s="448"/>
      <c r="V560" s="448"/>
      <c r="W560" s="448"/>
      <c r="X560" s="448"/>
      <c r="Y560" s="448"/>
      <c r="Z560" s="448"/>
      <c r="AA560" s="448">
        <v>8</v>
      </c>
      <c r="AB560" s="448"/>
      <c r="AC560" s="448"/>
      <c r="AD560" s="448"/>
      <c r="AE560" s="448"/>
      <c r="AF560" s="448"/>
      <c r="AG560" s="448"/>
      <c r="AH560" s="448"/>
      <c r="AI560" s="448"/>
      <c r="AJ560" s="448"/>
      <c r="AK560" s="448"/>
      <c r="AL560" s="448"/>
      <c r="AM560" s="448">
        <v>1</v>
      </c>
      <c r="AN560" s="448">
        <v>2</v>
      </c>
      <c r="AO560" s="448"/>
      <c r="AP560" s="860"/>
      <c r="AQ560" s="448">
        <v>85</v>
      </c>
      <c r="AR560" s="448"/>
      <c r="AS560" s="423"/>
      <c r="AT560" s="448"/>
      <c r="AU560" s="448"/>
      <c r="AV560" s="448"/>
      <c r="AW560" s="448"/>
      <c r="AX560" s="448">
        <v>5</v>
      </c>
      <c r="AY560" s="425" t="s">
        <v>41</v>
      </c>
      <c r="AZ560" s="860" t="s">
        <v>904</v>
      </c>
      <c r="BA560" s="448"/>
      <c r="BB560" s="448"/>
      <c r="BC560" s="448"/>
      <c r="BD560" s="448"/>
      <c r="BE560" s="448"/>
      <c r="BF560" s="425"/>
      <c r="BG560" s="448">
        <v>2</v>
      </c>
      <c r="BH560" s="448"/>
      <c r="BI560" s="448"/>
      <c r="BJ560" s="448">
        <v>1</v>
      </c>
      <c r="BK560" s="448"/>
      <c r="BL560" s="448">
        <v>1</v>
      </c>
      <c r="BM560" s="448"/>
      <c r="BN560" s="448"/>
      <c r="BO560" s="448"/>
      <c r="BP560" s="425" t="s">
        <v>41</v>
      </c>
      <c r="BQ560" s="424">
        <v>3</v>
      </c>
      <c r="BR560" s="423">
        <v>1</v>
      </c>
      <c r="BS560" s="425"/>
      <c r="BT560" s="423"/>
      <c r="BU560" s="423"/>
      <c r="BV560" s="425"/>
      <c r="BW560" s="423"/>
      <c r="BX560" s="448"/>
      <c r="BY560" s="448"/>
      <c r="BZ560" s="448"/>
      <c r="CA560" s="448"/>
      <c r="CB560" s="448"/>
      <c r="CC560" s="777"/>
      <c r="CD560" s="448"/>
      <c r="CE560" s="631" t="str">
        <f>IFERROR(WWWW[[#This Row],['#_Water sources passed]]/WWWW[[#This Row],['#_Water sources tested for fecal coliform ]],"no test")</f>
        <v>no test</v>
      </c>
      <c r="CF560" s="423" t="str">
        <f>IFERROR(WWWW[[#This Row],['#_Household passed]]/WWWW[[#This Row],['#_Household water samples tested for fecal coliform]],"no test")</f>
        <v>no test</v>
      </c>
      <c r="CG560" s="424" t="str">
        <f>IF(AND(WWWW[[#This Row],[% of water sources passed]]="no test",WWWW[[#This Row],[% Household passed]]="no test"),"No Test","Tested")</f>
        <v>No Test</v>
      </c>
      <c r="CH560" s="424">
        <f>WWWW[[#This Row],['#_Constructed/existing protected hand dug well]]-WWWW[[#This Row],['#_Non-functional protected hand dug well]]</f>
        <v>0</v>
      </c>
      <c r="CI560" s="424">
        <f>(WWWW[[#This Row],['#_Constructed/Existing tube wells/boreholes/handpumps_WASH_agency]]+WWWW[[#This Row],['#_Non-Cluster partner water tube-wells/boreholes/handpumps]])-WWWW[[#This Row],['#_Non-functional tube wells/boreholes/handpumps]]</f>
        <v>0</v>
      </c>
      <c r="CJ560" s="424">
        <f>WWWW[[#This Row],['#_Constructed/Existingwater storage tank with gravity fed reticulation system]]-WWWW[[#This Row],['#_Non-functional storage tank gravity fed reticulation system]]</f>
        <v>8</v>
      </c>
      <c r="CK560" s="424">
        <f>(WWWW[[#This Row],['#_Water_Liters_supplied_by_Water boating or water trucking]]/90)/15</f>
        <v>0</v>
      </c>
      <c r="CL560" s="424">
        <f>WWWW[[#This Row],['#_Water_Liters_from_Constructed/Existing water distribution system from river or natural spring]]/90/15</f>
        <v>0</v>
      </c>
      <c r="CM560" s="424">
        <f>IF(WWWW[[#This Row],['#_of water points in TLS/CFS]]*500&gt;WWWW[[#This Row],[Total PoP ]],WWWW[[#This Row],[Total PoP ]],WWWW[[#This Row],['#_of water points in TLS/CFS]]*500)</f>
        <v>502</v>
      </c>
      <c r="CN560" s="424">
        <f>IF(WWWW[[#This Row],['#_of water points in THF]]*500&gt;WWWW[[#This Row],[Total PoP ]],WWWW[[#This Row],[Total PoP ]],WWWW[[#This Row],['#_of water points in THF]]*500)</f>
        <v>0</v>
      </c>
      <c r="CO560"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60"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60" s="423">
        <f>IF(WWWW[[#This Row],[Location Type 1]]="Village",WWWW[[#This Row],[Access to safe drinking water for Village]],WWWW[[#This Row],[Access to safe drinking water for Camp]])</f>
        <v>1</v>
      </c>
      <c r="CR560" s="428">
        <f>WWWW[[#This Row],[%Equitable and continuous access to sufficient quantity of safe drinking water]]*WWWW[[#This Row],[Total PoP ]]</f>
        <v>502</v>
      </c>
      <c r="CS560" s="423">
        <f>IF((WWWW[[#This Row],['#_Constructed/Existing protected/fenced ponds]]*250)/WWWW[[#This Row],[Total PoP ]]&gt;1,1,(WWWW[[#This Row],['#_Constructed/Existing protected/fenced ponds]]*250)/WWWW[[#This Row],[Total PoP ]])</f>
        <v>0</v>
      </c>
      <c r="CT560" s="428">
        <f>WWWW[[#This Row],[% Access to unimproved water points]]*WWWW[[#This Row],[Total PoP ]]</f>
        <v>0</v>
      </c>
      <c r="CU560"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60"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W560" s="428">
        <f>WWWW[[#This Row],[HRP1]]/500</f>
        <v>1.004</v>
      </c>
      <c r="CX560" s="898">
        <f>1-WWWW[[#This Row],[% Equitable and continuous access to sufficient quantity of domestic water]]</f>
        <v>0</v>
      </c>
      <c r="CY560" s="428">
        <f>WWWW[[#This Row],[%equitable and continuous access to sufficient quantity of safe drinking and domestic water''s GAP]]*WWWW[[#This Row],[Total PoP ]]</f>
        <v>0</v>
      </c>
      <c r="CZ560" s="424">
        <f>IF(WWWW[[#This Row],[Total required water points]]-WWWW[[#This Row],['#Water points coverage]]&lt;0,0,WWWW[[#This Row],[Total required water points]]-WWWW[[#This Row],['#Water points coverage]])</f>
        <v>0</v>
      </c>
      <c r="DA560" s="424">
        <f>ROUND(IF(WWWW[[#This Row],[Total PoP ]]&lt;500,1,WWWW[[#This Row],[Total PoP ]]/500),0)</f>
        <v>1</v>
      </c>
      <c r="DB560" s="424">
        <f>(WWWW[[#This Row],['#_Constructed latrines_by_WASHAgencies]]+WWWW[[#This Row],['#_Non Cluster partner latrines]])-WWWW[[#This Row],['#_Non-functional latrines]]</f>
        <v>85</v>
      </c>
      <c r="DC560" s="631">
        <f>WWWW[[#This Row],[HRP2]]/WWWW[[#This Row],[Total PoP ]]</f>
        <v>1</v>
      </c>
      <c r="DD560"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502</v>
      </c>
      <c r="DE560"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0"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0" s="424">
        <f>IF(WWWW[[#This Row],['# of functional latrines in THF supported by WASH partners during the reporting period2]]="",0,WWWW[[#This Row],['# of functional latrines in THF supported by WASH partners during the reporting period2]]*50)</f>
        <v>0</v>
      </c>
      <c r="DH560" s="424">
        <f>ROUND(IF(WWWW[[#This Row],[Location Type 1]]="camp",WWWW[[#This Row],[Total PoP ]]/20,IF(WWWW[[#This Row],[Location Type 1]]="Temporary Location",WWWW[[#This Row],[Total PoP ]]/50,(WWWW[[#This Row],[Total PoP ]]/6))),0)</f>
        <v>25</v>
      </c>
      <c r="DI560" s="424">
        <f>IF(WWWW[[#This Row],[Total required Latrines]]-(WWWW[[#This Row],['#_Constructed latrines_by_WASHAgencies]]+WWWW[[#This Row],['#_Non Cluster partner latrines]])&lt;0,0,WWWW[[#This Row],[Total required Latrines]]-(WWWW[[#This Row],['#_Constructed latrines_by_WASHAgencies]]+WWWW[[#This Row],['#_Non Cluster partner latrines]]))</f>
        <v>0</v>
      </c>
      <c r="DJ560" s="898">
        <f>1-WWWW[[#This Row],[% people access to functioning Latrine]]</f>
        <v>0</v>
      </c>
      <c r="DK560" s="631">
        <f>IF(OR(WWWW[[#This Row],['#_Non-functional latrines]]="",WWWW[[#This Row],['#_Non-functional latrines]]=0),0,WWWW[[#This Row],['#_Non-functional latrines]]/(WWWW[[#This Row],['#_Constructed latrines_by_WASHAgencies]]+WWWW[[#This Row],['#_Non Cluster partner latrines]]))</f>
        <v>0</v>
      </c>
      <c r="DL560" s="428">
        <f>IF(500*(WWWW[[#This Row],['#_male hygiene promoters]]+WWWW[[#This Row],['#_female hygiene promoters]])&gt;WWWW[[#This Row],[Total PoP ]],WWWW[[#This Row],[Total PoP ]],500*(WWWW[[#This Row],['#_male hygiene promoters]]+WWWW[[#This Row],['#_female hygiene promoters]]))</f>
        <v>500</v>
      </c>
      <c r="DM560"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60"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60" s="424">
        <f>IF(WWWW[[#This Row],['# People with access to soap]]&gt;WWWW[[#This Row],['# People with access to Sanity Pads]],WWWW[[#This Row],['# People with access to soap]],WWWW[[#This Row],['# People with access to Sanity Pads]])</f>
        <v>0</v>
      </c>
      <c r="DP560" s="42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560" s="898">
        <f>IF(WWWW[[#This Row],[HRP3]]/WWWW[[#This Row],[Total PoP ]]&gt;1,1,WWWW[[#This Row],[HRP3]]/WWWW[[#This Row],[Total PoP ]])</f>
        <v>0.99601593625498008</v>
      </c>
      <c r="DR560" s="631">
        <f>1-WWWW[[#This Row],[Hygiene Coverage%]]</f>
        <v>3.9840637450199168E-3</v>
      </c>
      <c r="DS560" s="423">
        <f>WWWW[[#This Row],['# people reached by regular dedicated hygiene promotion_5]]/WWWW[[#This Row],[Total PoP ]]</f>
        <v>0.99601593625498008</v>
      </c>
      <c r="DT560"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60"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60" s="424">
        <f>WWWW[[#This Row],['#_Constructed/Existing hand washing stations]]-WWWW[[#This Row],['#_Non-Functional_hand_washing_stations]]</f>
        <v>2</v>
      </c>
      <c r="DW560" s="428">
        <f>IF(WWWW[[#This Row],['# Functional hand washing stations during reporting period]]*20&gt;WWWW[[#This Row],[Total HH]],WWWW[[#This Row],[Total HH]],WWWW[[#This Row],['# Functional hand washing stations during reporting period]]*20)</f>
        <v>40</v>
      </c>
      <c r="DX560" s="428">
        <f>IF(WWWW[[#This Row],[Is sufficient soap available for TLS? (Yes/No)]]="yes",WWWW[[#This Row],['#_Constructed/Existing hand washing stations at TLS/CFS/THF]],0)</f>
        <v>1</v>
      </c>
      <c r="DY560" s="428">
        <f>IF(WWWW[[#This Row],['# Functional hand washing stations during reporting period]]*100&gt;WWWW[[#This Row],[Total PoP ]],WWWW[[#This Row],[Total PoP ]],WWWW[[#This Row],['# Functional hand washing stations during reporting period]]*100)</f>
        <v>200</v>
      </c>
      <c r="DZ560" s="428" t="str">
        <f>IF(OR(WWWW[[#This Row],['#_students at TLS_CFS]]="",WWWW[[#This Row],['#_students at TLS_CFS]]=0),"No","Yes")</f>
        <v>No</v>
      </c>
      <c r="EA56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502</v>
      </c>
      <c r="ED56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0" s="425" t="str">
        <f>VLOOKUP(WWWW[[#This Row],[Site Name]],SiteDB6[[Site Name]:[CCCM Management]],6,FALSE)</f>
        <v>Yes</v>
      </c>
      <c r="EF560" s="425" t="str">
        <f>VLOOKUP(WWWW[[#This Row],[Site Name]],SiteDB6[[Site Name]:[CCCM Focal Agency]],7,FALSE)</f>
        <v>KMSS-LSO</v>
      </c>
      <c r="EG560" s="425" t="str">
        <f>VLOOKUP(WWWW[[#This Row],[Site Name]],SiteDB6[[Site Name]:[Location Type 1]],9,FALSE)</f>
        <v>Camp</v>
      </c>
      <c r="EH560" s="425" t="str">
        <f>VLOOKUP(WWWW[[#This Row],[Site Name]],SiteDB6[[Site Name]:[Type of Accommodation]],10,FALSE)</f>
        <v>Camp</v>
      </c>
      <c r="EI560" s="425" t="str">
        <f>VLOOKUP(WWWW[[#This Row],[Site Name]],SiteDB6[[Site Name]:[Ethnic or GCA/NGCA]],11,FALSE)</f>
        <v>GCA</v>
      </c>
      <c r="EJ560" s="425">
        <f>VLOOKUP(WWWW[[#This Row],[Site Name]],SiteDB6[[Site Name]:[Lat]],12,FALSE)</f>
        <v>23.591999999999999</v>
      </c>
      <c r="EK560" s="425">
        <f>VLOOKUP(WWWW[[#This Row],[Site Name]],SiteDB6[[Site Name]:[Long]],13,FALSE)</f>
        <v>97.796999999999997</v>
      </c>
      <c r="EL560" s="425" t="str">
        <f>VLOOKUP(WWWW[[#This Row],[Site Name]],SiteDB6[[Site Name]:[Pcode]],3,FALSE)</f>
        <v>MMR015CMP038</v>
      </c>
      <c r="EM560" s="860" t="str">
        <f t="shared" si="12"/>
        <v>Covered</v>
      </c>
      <c r="EN560" s="860"/>
      <c r="EO560" s="425">
        <f>VLOOKUP(WWWW[[#This Row],[Site Name]],SiteDB6[[Site Name]:[Pop
(Kachin/Shan-CCCM as of July 2021)]],16,FALSE)</f>
        <v>75</v>
      </c>
      <c r="EP560" s="425">
        <f>VLOOKUP(WWWW[[#This Row],[Site Name]],SiteDB6[[Site Name]:[Pop
(Kachin/Shan-CCCM as of July 2021)]],17,FALSE)</f>
        <v>395</v>
      </c>
    </row>
    <row r="561" spans="1:146">
      <c r="A561" s="707" t="s">
        <v>2765</v>
      </c>
      <c r="B561" s="707" t="s">
        <v>309</v>
      </c>
      <c r="C561" s="369" t="s">
        <v>309</v>
      </c>
      <c r="D561" s="369"/>
      <c r="E561" s="369" t="s">
        <v>515</v>
      </c>
      <c r="F561" s="369" t="s">
        <v>556</v>
      </c>
      <c r="G561" s="591" t="str">
        <f>VLOOKUP(WWWW[[#This Row],[Site Name]],SiteDB6[[Site Name]:[Location Type]],8,FALSE)</f>
        <v>Camp</v>
      </c>
      <c r="H561" s="369" t="s">
        <v>557</v>
      </c>
      <c r="I561" s="448">
        <v>37</v>
      </c>
      <c r="J561" s="448">
        <v>120</v>
      </c>
      <c r="K561" s="800"/>
      <c r="L561" s="56"/>
      <c r="M561" s="448"/>
      <c r="N561" s="448"/>
      <c r="O561" s="448"/>
      <c r="P561" s="448"/>
      <c r="Q561" s="428"/>
      <c r="R561" s="448"/>
      <c r="S561" s="448"/>
      <c r="T561" s="448"/>
      <c r="U561" s="448"/>
      <c r="V561" s="448"/>
      <c r="W561" s="448"/>
      <c r="X561" s="448"/>
      <c r="Y561" s="448"/>
      <c r="Z561" s="448"/>
      <c r="AA561" s="448"/>
      <c r="AB561" s="448"/>
      <c r="AC561" s="448"/>
      <c r="AD561" s="448"/>
      <c r="AE561" s="448"/>
      <c r="AF561" s="448"/>
      <c r="AG561" s="448"/>
      <c r="AH561" s="448"/>
      <c r="AI561" s="448"/>
      <c r="AJ561" s="448"/>
      <c r="AK561" s="448"/>
      <c r="AL561" s="448"/>
      <c r="AM561" s="448"/>
      <c r="AN561" s="448"/>
      <c r="AO561" s="448"/>
      <c r="AP561" s="860"/>
      <c r="AQ561" s="448"/>
      <c r="AR561" s="448"/>
      <c r="AS561" s="423"/>
      <c r="AT561" s="448"/>
      <c r="AU561" s="448"/>
      <c r="AV561" s="448"/>
      <c r="AW561" s="448"/>
      <c r="AX561" s="448"/>
      <c r="AY561" s="425" t="s">
        <v>140</v>
      </c>
      <c r="AZ561" s="860" t="s">
        <v>140</v>
      </c>
      <c r="BA561" s="448"/>
      <c r="BB561" s="448"/>
      <c r="BC561" s="448"/>
      <c r="BD561" s="448"/>
      <c r="BE561" s="448"/>
      <c r="BF561" s="425"/>
      <c r="BG561" s="448">
        <v>1</v>
      </c>
      <c r="BH561" s="448"/>
      <c r="BI561" s="448"/>
      <c r="BJ561" s="448">
        <v>1</v>
      </c>
      <c r="BK561" s="448"/>
      <c r="BL561" s="448"/>
      <c r="BM561" s="448"/>
      <c r="BN561" s="448"/>
      <c r="BO561" s="448"/>
      <c r="BP561" s="425"/>
      <c r="BQ561" s="424"/>
      <c r="BR561" s="423"/>
      <c r="BS561" s="425"/>
      <c r="BT561" s="423"/>
      <c r="BU561" s="423"/>
      <c r="BV561" s="425"/>
      <c r="BW561" s="423"/>
      <c r="BX561" s="448"/>
      <c r="BY561" s="448"/>
      <c r="BZ561" s="448"/>
      <c r="CA561" s="448"/>
      <c r="CB561" s="448"/>
      <c r="CC561" s="777"/>
      <c r="CD561" s="448"/>
      <c r="CE561" s="631" t="str">
        <f>IFERROR(WWWW[[#This Row],['#_Water sources passed]]/WWWW[[#This Row],['#_Water sources tested for fecal coliform ]],"no test")</f>
        <v>no test</v>
      </c>
      <c r="CF561" s="423" t="str">
        <f>IFERROR(WWWW[[#This Row],['#_Household passed]]/WWWW[[#This Row],['#_Household water samples tested for fecal coliform]],"no test")</f>
        <v>no test</v>
      </c>
      <c r="CG561" s="424" t="str">
        <f>IF(AND(WWWW[[#This Row],[% of water sources passed]]="no test",WWWW[[#This Row],[% Household passed]]="no test"),"No Test","Tested")</f>
        <v>No Test</v>
      </c>
      <c r="CH561" s="424">
        <f>WWWW[[#This Row],['#_Constructed/existing protected hand dug well]]-WWWW[[#This Row],['#_Non-functional protected hand dug well]]</f>
        <v>0</v>
      </c>
      <c r="CI561" s="424">
        <f>(WWWW[[#This Row],['#_Constructed/Existing tube wells/boreholes/handpumps_WASH_agency]]+WWWW[[#This Row],['#_Non-Cluster partner water tube-wells/boreholes/handpumps]])-WWWW[[#This Row],['#_Non-functional tube wells/boreholes/handpumps]]</f>
        <v>0</v>
      </c>
      <c r="CJ561" s="424">
        <f>WWWW[[#This Row],['#_Constructed/Existingwater storage tank with gravity fed reticulation system]]-WWWW[[#This Row],['#_Non-functional storage tank gravity fed reticulation system]]</f>
        <v>0</v>
      </c>
      <c r="CK561" s="424">
        <f>(WWWW[[#This Row],['#_Water_Liters_supplied_by_Water boating or water trucking]]/90)/15</f>
        <v>0</v>
      </c>
      <c r="CL561" s="424">
        <f>WWWW[[#This Row],['#_Water_Liters_from_Constructed/Existing water distribution system from river or natural spring]]/90/15</f>
        <v>0</v>
      </c>
      <c r="CM561" s="424">
        <f>IF(WWWW[[#This Row],['#_of water points in TLS/CFS]]*500&gt;WWWW[[#This Row],[Total PoP ]],WWWW[[#This Row],[Total PoP ]],WWWW[[#This Row],['#_of water points in TLS/CFS]]*500)</f>
        <v>0</v>
      </c>
      <c r="CN561" s="424">
        <f>IF(WWWW[[#This Row],['#_of water points in THF]]*500&gt;WWWW[[#This Row],[Total PoP ]],WWWW[[#This Row],[Total PoP ]],WWWW[[#This Row],['#_of water points in THF]]*500)</f>
        <v>0</v>
      </c>
      <c r="CO561"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61"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61" s="423">
        <f>IF(WWWW[[#This Row],[Location Type 1]]="Village",WWWW[[#This Row],[Access to safe drinking water for Village]],WWWW[[#This Row],[Access to safe drinking water for Camp]])</f>
        <v>0</v>
      </c>
      <c r="CR561" s="428">
        <f>WWWW[[#This Row],[%Equitable and continuous access to sufficient quantity of safe drinking water]]*WWWW[[#This Row],[Total PoP ]]</f>
        <v>0</v>
      </c>
      <c r="CS561" s="423">
        <f>IF((WWWW[[#This Row],['#_Constructed/Existing protected/fenced ponds]]*250)/WWWW[[#This Row],[Total PoP ]]&gt;1,1,(WWWW[[#This Row],['#_Constructed/Existing protected/fenced ponds]]*250)/WWWW[[#This Row],[Total PoP ]])</f>
        <v>0</v>
      </c>
      <c r="CT561" s="428">
        <f>WWWW[[#This Row],[% Access to unimproved water points]]*WWWW[[#This Row],[Total PoP ]]</f>
        <v>0</v>
      </c>
      <c r="CU561"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61"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61" s="428">
        <f>WWWW[[#This Row],[HRP1]]/500</f>
        <v>0</v>
      </c>
      <c r="CX561" s="898">
        <f>1-WWWW[[#This Row],[% Equitable and continuous access to sufficient quantity of domestic water]]</f>
        <v>1</v>
      </c>
      <c r="CY561" s="428">
        <f>WWWW[[#This Row],[%equitable and continuous access to sufficient quantity of safe drinking and domestic water''s GAP]]*WWWW[[#This Row],[Total PoP ]]</f>
        <v>120</v>
      </c>
      <c r="CZ561" s="424">
        <f>IF(WWWW[[#This Row],[Total required water points]]-WWWW[[#This Row],['#Water points coverage]]&lt;0,0,WWWW[[#This Row],[Total required water points]]-WWWW[[#This Row],['#Water points coverage]])</f>
        <v>1</v>
      </c>
      <c r="DA561" s="424">
        <f>ROUND(IF(WWWW[[#This Row],[Total PoP ]]&lt;500,1,WWWW[[#This Row],[Total PoP ]]/500),0)</f>
        <v>1</v>
      </c>
      <c r="DB561" s="424">
        <f>(WWWW[[#This Row],['#_Constructed latrines_by_WASHAgencies]]+WWWW[[#This Row],['#_Non Cluster partner latrines]])-WWWW[[#This Row],['#_Non-functional latrines]]</f>
        <v>0</v>
      </c>
      <c r="DC561" s="631">
        <f>WWWW[[#This Row],[HRP2]]/WWWW[[#This Row],[Total PoP ]]</f>
        <v>0</v>
      </c>
      <c r="DD561"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61"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1"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1" s="424">
        <f>IF(WWWW[[#This Row],['# of functional latrines in THF supported by WASH partners during the reporting period2]]="",0,WWWW[[#This Row],['# of functional latrines in THF supported by WASH partners during the reporting period2]]*50)</f>
        <v>0</v>
      </c>
      <c r="DH561" s="424">
        <f>ROUND(IF(WWWW[[#This Row],[Location Type 1]]="camp",WWWW[[#This Row],[Total PoP ]]/20,IF(WWWW[[#This Row],[Location Type 1]]="Temporary Location",WWWW[[#This Row],[Total PoP ]]/50,(WWWW[[#This Row],[Total PoP ]]/6))),0)</f>
        <v>6</v>
      </c>
      <c r="DI561" s="424">
        <f>IF(WWWW[[#This Row],[Total required Latrines]]-(WWWW[[#This Row],['#_Constructed latrines_by_WASHAgencies]]+WWWW[[#This Row],['#_Non Cluster partner latrines]])&lt;0,0,WWWW[[#This Row],[Total required Latrines]]-(WWWW[[#This Row],['#_Constructed latrines_by_WASHAgencies]]+WWWW[[#This Row],['#_Non Cluster partner latrines]]))</f>
        <v>6</v>
      </c>
      <c r="DJ561" s="898">
        <f>1-WWWW[[#This Row],[% people access to functioning Latrine]]</f>
        <v>1</v>
      </c>
      <c r="DK561" s="631">
        <f>IF(OR(WWWW[[#This Row],['#_Non-functional latrines]]="",WWWW[[#This Row],['#_Non-functional latrines]]=0),0,WWWW[[#This Row],['#_Non-functional latrines]]/(WWWW[[#This Row],['#_Constructed latrines_by_WASHAgencies]]+WWWW[[#This Row],['#_Non Cluster partner latrines]]))</f>
        <v>0</v>
      </c>
      <c r="DL561" s="428">
        <f>IF(500*(WWWW[[#This Row],['#_male hygiene promoters]]+WWWW[[#This Row],['#_female hygiene promoters]])&gt;WWWW[[#This Row],[Total PoP ]],WWWW[[#This Row],[Total PoP ]],500*(WWWW[[#This Row],['#_male hygiene promoters]]+WWWW[[#This Row],['#_female hygiene promoters]]))</f>
        <v>0</v>
      </c>
      <c r="DM561"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61"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61" s="424">
        <f>IF(WWWW[[#This Row],['# People with access to soap]]&gt;WWWW[[#This Row],['# People with access to Sanity Pads]],WWWW[[#This Row],['# People with access to soap]],WWWW[[#This Row],['# People with access to Sanity Pads]])</f>
        <v>0</v>
      </c>
      <c r="DP561"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61" s="898">
        <f>IF(WWWW[[#This Row],[HRP3]]/WWWW[[#This Row],[Total PoP ]]&gt;1,1,WWWW[[#This Row],[HRP3]]/WWWW[[#This Row],[Total PoP ]])</f>
        <v>0</v>
      </c>
      <c r="DR561" s="631">
        <f>1-WWWW[[#This Row],[Hygiene Coverage%]]</f>
        <v>1</v>
      </c>
      <c r="DS561" s="423">
        <f>WWWW[[#This Row],['# people reached by regular dedicated hygiene promotion_5]]/WWWW[[#This Row],[Total PoP ]]</f>
        <v>0</v>
      </c>
      <c r="DT561"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61"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61" s="424">
        <f>WWWW[[#This Row],['#_Constructed/Existing hand washing stations]]-WWWW[[#This Row],['#_Non-Functional_hand_washing_stations]]</f>
        <v>1</v>
      </c>
      <c r="DW561" s="428">
        <f>IF(WWWW[[#This Row],['# Functional hand washing stations during reporting period]]*20&gt;WWWW[[#This Row],[Total HH]],WWWW[[#This Row],[Total HH]],WWWW[[#This Row],['# Functional hand washing stations during reporting period]]*20)</f>
        <v>20</v>
      </c>
      <c r="DX561" s="428">
        <f>IF(WWWW[[#This Row],[Is sufficient soap available for TLS? (Yes/No)]]="yes",WWWW[[#This Row],['#_Constructed/Existing hand washing stations at TLS/CFS/THF]],0)</f>
        <v>0</v>
      </c>
      <c r="DY561" s="428">
        <f>IF(WWWW[[#This Row],['# Functional hand washing stations during reporting period]]*100&gt;WWWW[[#This Row],[Total PoP ]],WWWW[[#This Row],[Total PoP ]],WWWW[[#This Row],['# Functional hand washing stations during reporting period]]*100)</f>
        <v>100</v>
      </c>
      <c r="DZ561" s="428" t="str">
        <f>IF(OR(WWWW[[#This Row],['#_students at TLS_CFS]]="",WWWW[[#This Row],['#_students at TLS_CFS]]=0),"No","Yes")</f>
        <v>No</v>
      </c>
      <c r="EA56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6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1" s="425">
        <f>VLOOKUP(WWWW[[#This Row],[Site Name]],SiteDB6[[Site Name]:[CCCM Management]],6,FALSE)</f>
        <v>0</v>
      </c>
      <c r="EF561" s="425" t="str">
        <f>VLOOKUP(WWWW[[#This Row],[Site Name]],SiteDB6[[Site Name]:[CCCM Focal Agency]],7,FALSE)</f>
        <v>uncovered</v>
      </c>
      <c r="EG561" s="425" t="str">
        <f>VLOOKUP(WWWW[[#This Row],[Site Name]],SiteDB6[[Site Name]:[Location Type 1]],9,FALSE)</f>
        <v>Camp</v>
      </c>
      <c r="EH561" s="425" t="str">
        <f>VLOOKUP(WWWW[[#This Row],[Site Name]],SiteDB6[[Site Name]:[Type of Accommodation]],10,FALSE)</f>
        <v>Camp like setting</v>
      </c>
      <c r="EI561" s="425" t="str">
        <f>VLOOKUP(WWWW[[#This Row],[Site Name]],SiteDB6[[Site Name]:[Ethnic or GCA/NGCA]],11,FALSE)</f>
        <v>GCA</v>
      </c>
      <c r="EJ561" s="425">
        <f>VLOOKUP(WWWW[[#This Row],[Site Name]],SiteDB6[[Site Name]:[Lat]],12,FALSE)</f>
        <v>22.677008000000001</v>
      </c>
      <c r="EK561" s="425">
        <f>VLOOKUP(WWWW[[#This Row],[Site Name]],SiteDB6[[Site Name]:[Long]],13,FALSE)</f>
        <v>97.314762999999999</v>
      </c>
      <c r="EL561" s="425" t="str">
        <f>VLOOKUP(WWWW[[#This Row],[Site Name]],SiteDB6[[Site Name]:[Pcode]],3,FALSE)</f>
        <v>MMR015CMP062</v>
      </c>
      <c r="EM561" s="860" t="str">
        <f t="shared" si="12"/>
        <v>Notcovered</v>
      </c>
      <c r="EN561" s="860"/>
      <c r="EO561" s="425">
        <f>VLOOKUP(WWWW[[#This Row],[Site Name]],SiteDB6[[Site Name]:[Pop
(Kachin/Shan-CCCM as of July 2021)]],16,FALSE)</f>
        <v>37</v>
      </c>
      <c r="EP561" s="425">
        <f>VLOOKUP(WWWW[[#This Row],[Site Name]],SiteDB6[[Site Name]:[Pop
(Kachin/Shan-CCCM as of July 2021)]],17,FALSE)</f>
        <v>120</v>
      </c>
    </row>
    <row r="562" spans="1:146">
      <c r="A562" s="1044" t="s">
        <v>2765</v>
      </c>
      <c r="B562" s="1044" t="s">
        <v>192</v>
      </c>
      <c r="C562" s="1045" t="s">
        <v>192</v>
      </c>
      <c r="D562" s="1045" t="s">
        <v>2673</v>
      </c>
      <c r="E562" s="1045" t="s">
        <v>515</v>
      </c>
      <c r="F562" s="1045" t="s">
        <v>519</v>
      </c>
      <c r="G562" s="1043" t="str">
        <f>VLOOKUP(WWWW[[#This Row],[Site Name]],SiteDB6[[Site Name]:[Location Type]],8,FALSE)</f>
        <v>Camp</v>
      </c>
      <c r="H562" s="1045" t="s">
        <v>554</v>
      </c>
      <c r="I562" s="448">
        <v>26</v>
      </c>
      <c r="J562" s="448">
        <v>104</v>
      </c>
      <c r="K562" s="588">
        <v>44511</v>
      </c>
      <c r="L562" s="589">
        <v>44875</v>
      </c>
      <c r="M562" s="448"/>
      <c r="N562" s="448"/>
      <c r="O562" s="448"/>
      <c r="P562" s="448"/>
      <c r="Q562" s="428"/>
      <c r="R562" s="448"/>
      <c r="S562" s="448"/>
      <c r="T562" s="448"/>
      <c r="U562" s="448"/>
      <c r="V562" s="448"/>
      <c r="W562" s="448"/>
      <c r="X562" s="448">
        <v>1</v>
      </c>
      <c r="Y562" s="448"/>
      <c r="Z562" s="448"/>
      <c r="AA562" s="448"/>
      <c r="AB562" s="448"/>
      <c r="AC562" s="448"/>
      <c r="AD562" s="448"/>
      <c r="AE562" s="448"/>
      <c r="AF562" s="448"/>
      <c r="AG562" s="448"/>
      <c r="AH562" s="448"/>
      <c r="AI562" s="448"/>
      <c r="AJ562" s="448"/>
      <c r="AK562" s="448"/>
      <c r="AL562" s="448"/>
      <c r="AM562" s="448"/>
      <c r="AN562" s="448"/>
      <c r="AO562" s="448"/>
      <c r="AP562" s="860"/>
      <c r="AQ562" s="448">
        <v>4</v>
      </c>
      <c r="AR562" s="448"/>
      <c r="AS562" s="423"/>
      <c r="AT562" s="448"/>
      <c r="AU562" s="448"/>
      <c r="AV562" s="448"/>
      <c r="AW562" s="448"/>
      <c r="AX562" s="448"/>
      <c r="AY562" s="425" t="s">
        <v>140</v>
      </c>
      <c r="AZ562" s="860" t="s">
        <v>140</v>
      </c>
      <c r="BA562" s="448"/>
      <c r="BB562" s="448"/>
      <c r="BC562" s="448"/>
      <c r="BD562" s="448"/>
      <c r="BE562" s="448"/>
      <c r="BF562" s="425"/>
      <c r="BG562" s="448">
        <v>8</v>
      </c>
      <c r="BH562" s="448"/>
      <c r="BI562" s="448"/>
      <c r="BJ562" s="448">
        <v>3</v>
      </c>
      <c r="BK562" s="448"/>
      <c r="BL562" s="448"/>
      <c r="BM562" s="448"/>
      <c r="BN562" s="448"/>
      <c r="BO562" s="448"/>
      <c r="BP562" s="425" t="s">
        <v>41</v>
      </c>
      <c r="BQ562" s="424"/>
      <c r="BR562" s="423"/>
      <c r="BS562" s="425"/>
      <c r="BT562" s="423"/>
      <c r="BU562" s="423"/>
      <c r="BV562" s="425"/>
      <c r="BW562" s="423"/>
      <c r="BX562" s="448"/>
      <c r="BY562" s="448"/>
      <c r="BZ562" s="448"/>
      <c r="CA562" s="448"/>
      <c r="CB562" s="448"/>
      <c r="CC562" s="777"/>
      <c r="CD562" s="448"/>
      <c r="CE562" s="631" t="str">
        <f>IFERROR(WWWW[[#This Row],['#_Water sources passed]]/WWWW[[#This Row],['#_Water sources tested for fecal coliform ]],"no test")</f>
        <v>no test</v>
      </c>
      <c r="CF562" s="423" t="str">
        <f>IFERROR(WWWW[[#This Row],['#_Household passed]]/WWWW[[#This Row],['#_Household water samples tested for fecal coliform]],"no test")</f>
        <v>no test</v>
      </c>
      <c r="CG562" s="424" t="str">
        <f>IF(AND(WWWW[[#This Row],[% of water sources passed]]="no test",WWWW[[#This Row],[% Household passed]]="no test"),"No Test","Tested")</f>
        <v>No Test</v>
      </c>
      <c r="CH562" s="424">
        <f>WWWW[[#This Row],['#_Constructed/existing protected hand dug well]]-WWWW[[#This Row],['#_Non-functional protected hand dug well]]</f>
        <v>0</v>
      </c>
      <c r="CI562" s="424">
        <f>(WWWW[[#This Row],['#_Constructed/Existing tube wells/boreholes/handpumps_WASH_agency]]+WWWW[[#This Row],['#_Non-Cluster partner water tube-wells/boreholes/handpumps]])-WWWW[[#This Row],['#_Non-functional tube wells/boreholes/handpumps]]</f>
        <v>1</v>
      </c>
      <c r="CJ562" s="424">
        <f>WWWW[[#This Row],['#_Constructed/Existingwater storage tank with gravity fed reticulation system]]-WWWW[[#This Row],['#_Non-functional storage tank gravity fed reticulation system]]</f>
        <v>0</v>
      </c>
      <c r="CK562" s="424">
        <f>(WWWW[[#This Row],['#_Water_Liters_supplied_by_Water boating or water trucking]]/90)/15</f>
        <v>0</v>
      </c>
      <c r="CL562" s="424">
        <f>WWWW[[#This Row],['#_Water_Liters_from_Constructed/Existing water distribution system from river or natural spring]]/90/15</f>
        <v>0</v>
      </c>
      <c r="CM562" s="424">
        <f>IF(WWWW[[#This Row],['#_of water points in TLS/CFS]]*500&gt;WWWW[[#This Row],[Total PoP ]],WWWW[[#This Row],[Total PoP ]],WWWW[[#This Row],['#_of water points in TLS/CFS]]*500)</f>
        <v>0</v>
      </c>
      <c r="CN562" s="424">
        <f>IF(WWWW[[#This Row],['#_of water points in THF]]*500&gt;WWWW[[#This Row],[Total PoP ]],WWWW[[#This Row],[Total PoP ]],WWWW[[#This Row],['#_of water points in THF]]*500)</f>
        <v>0</v>
      </c>
      <c r="CO562"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62"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62" s="423">
        <f>IF(WWWW[[#This Row],[Location Type 1]]="Village",WWWW[[#This Row],[Access to safe drinking water for Village]],WWWW[[#This Row],[Access to safe drinking water for Camp]])</f>
        <v>1</v>
      </c>
      <c r="CR562" s="428">
        <f>WWWW[[#This Row],[%Equitable and continuous access to sufficient quantity of safe drinking water]]*WWWW[[#This Row],[Total PoP ]]</f>
        <v>104</v>
      </c>
      <c r="CS562" s="423">
        <f>IF((WWWW[[#This Row],['#_Constructed/Existing protected/fenced ponds]]*250)/WWWW[[#This Row],[Total PoP ]]&gt;1,1,(WWWW[[#This Row],['#_Constructed/Existing protected/fenced ponds]]*250)/WWWW[[#This Row],[Total PoP ]])</f>
        <v>0</v>
      </c>
      <c r="CT562" s="428">
        <f>WWWW[[#This Row],[% Access to unimproved water points]]*WWWW[[#This Row],[Total PoP ]]</f>
        <v>0</v>
      </c>
      <c r="CU562"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62"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104</v>
      </c>
      <c r="CW562" s="428">
        <f>WWWW[[#This Row],[HRP1]]/500</f>
        <v>0.20799999999999999</v>
      </c>
      <c r="CX562" s="898">
        <f>1-WWWW[[#This Row],[% Equitable and continuous access to sufficient quantity of domestic water]]</f>
        <v>0</v>
      </c>
      <c r="CY562" s="428">
        <f>WWWW[[#This Row],[%equitable and continuous access to sufficient quantity of safe drinking and domestic water''s GAP]]*WWWW[[#This Row],[Total PoP ]]</f>
        <v>0</v>
      </c>
      <c r="CZ562" s="424">
        <f>IF(WWWW[[#This Row],[Total required water points]]-WWWW[[#This Row],['#Water points coverage]]&lt;0,0,WWWW[[#This Row],[Total required water points]]-WWWW[[#This Row],['#Water points coverage]])</f>
        <v>0.79200000000000004</v>
      </c>
      <c r="DA562" s="424">
        <f>ROUND(IF(WWWW[[#This Row],[Total PoP ]]&lt;500,1,WWWW[[#This Row],[Total PoP ]]/500),0)</f>
        <v>1</v>
      </c>
      <c r="DB562" s="424">
        <f>(WWWW[[#This Row],['#_Constructed latrines_by_WASHAgencies]]+WWWW[[#This Row],['#_Non Cluster partner latrines]])-WWWW[[#This Row],['#_Non-functional latrines]]</f>
        <v>4</v>
      </c>
      <c r="DC562" s="631">
        <f>WWWW[[#This Row],[HRP2]]/WWWW[[#This Row],[Total PoP ]]</f>
        <v>0.76923076923076927</v>
      </c>
      <c r="DD562"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562"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2"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2" s="424">
        <f>IF(WWWW[[#This Row],['# of functional latrines in THF supported by WASH partners during the reporting period2]]="",0,WWWW[[#This Row],['# of functional latrines in THF supported by WASH partners during the reporting period2]]*50)</f>
        <v>0</v>
      </c>
      <c r="DH562" s="424">
        <f>ROUND(IF(WWWW[[#This Row],[Location Type 1]]="camp",WWWW[[#This Row],[Total PoP ]]/20,IF(WWWW[[#This Row],[Location Type 1]]="Temporary Location",WWWW[[#This Row],[Total PoP ]]/50,(WWWW[[#This Row],[Total PoP ]]/6))),0)</f>
        <v>5</v>
      </c>
      <c r="DI562" s="424">
        <f>IF(WWWW[[#This Row],[Total required Latrines]]-(WWWW[[#This Row],['#_Constructed latrines_by_WASHAgencies]]+WWWW[[#This Row],['#_Non Cluster partner latrines]])&lt;0,0,WWWW[[#This Row],[Total required Latrines]]-(WWWW[[#This Row],['#_Constructed latrines_by_WASHAgencies]]+WWWW[[#This Row],['#_Non Cluster partner latrines]]))</f>
        <v>1</v>
      </c>
      <c r="DJ562" s="898">
        <f>1-WWWW[[#This Row],[% people access to functioning Latrine]]</f>
        <v>0.23076923076923073</v>
      </c>
      <c r="DK562" s="631">
        <f>IF(OR(WWWW[[#This Row],['#_Non-functional latrines]]="",WWWW[[#This Row],['#_Non-functional latrines]]=0),0,WWWW[[#This Row],['#_Non-functional latrines]]/(WWWW[[#This Row],['#_Constructed latrines_by_WASHAgencies]]+WWWW[[#This Row],['#_Non Cluster partner latrines]]))</f>
        <v>0</v>
      </c>
      <c r="DL562" s="428">
        <f>IF(500*(WWWW[[#This Row],['#_male hygiene promoters]]+WWWW[[#This Row],['#_female hygiene promoters]])&gt;WWWW[[#This Row],[Total PoP ]],WWWW[[#This Row],[Total PoP ]],500*(WWWW[[#This Row],['#_male hygiene promoters]]+WWWW[[#This Row],['#_female hygiene promoters]]))</f>
        <v>0</v>
      </c>
      <c r="DM562"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62"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62" s="424">
        <f>IF(WWWW[[#This Row],['# People with access to soap]]&gt;WWWW[[#This Row],['# People with access to Sanity Pads]],WWWW[[#This Row],['# People with access to soap]],WWWW[[#This Row],['# People with access to Sanity Pads]])</f>
        <v>0</v>
      </c>
      <c r="DP562"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62" s="898">
        <f>IF(WWWW[[#This Row],[HRP3]]/WWWW[[#This Row],[Total PoP ]]&gt;1,1,WWWW[[#This Row],[HRP3]]/WWWW[[#This Row],[Total PoP ]])</f>
        <v>0</v>
      </c>
      <c r="DR562" s="631">
        <f>1-WWWW[[#This Row],[Hygiene Coverage%]]</f>
        <v>1</v>
      </c>
      <c r="DS562" s="423">
        <f>WWWW[[#This Row],['# people reached by regular dedicated hygiene promotion_5]]/WWWW[[#This Row],[Total PoP ]]</f>
        <v>0</v>
      </c>
      <c r="DT562"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62"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62" s="424">
        <f>WWWW[[#This Row],['#_Constructed/Existing hand washing stations]]-WWWW[[#This Row],['#_Non-Functional_hand_washing_stations]]</f>
        <v>8</v>
      </c>
      <c r="DW562" s="428">
        <f>IF(WWWW[[#This Row],['# Functional hand washing stations during reporting period]]*20&gt;WWWW[[#This Row],[Total HH]],WWWW[[#This Row],[Total HH]],WWWW[[#This Row],['# Functional hand washing stations during reporting period]]*20)</f>
        <v>26</v>
      </c>
      <c r="DX562" s="428">
        <f>IF(WWWW[[#This Row],[Is sufficient soap available for TLS? (Yes/No)]]="yes",WWWW[[#This Row],['#_Constructed/Existing hand washing stations at TLS/CFS/THF]],0)</f>
        <v>0</v>
      </c>
      <c r="DY562" s="428">
        <f>IF(WWWW[[#This Row],['# Functional hand washing stations during reporting period]]*100&gt;WWWW[[#This Row],[Total PoP ]],WWWW[[#This Row],[Total PoP ]],WWWW[[#This Row],['# Functional hand washing stations during reporting period]]*100)</f>
        <v>104</v>
      </c>
      <c r="DZ562" s="428" t="str">
        <f>IF(OR(WWWW[[#This Row],['#_students at TLS_CFS]]="",WWWW[[#This Row],['#_students at TLS_CFS]]=0),"No","Yes")</f>
        <v>No</v>
      </c>
      <c r="EA56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6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2" s="425">
        <f>VLOOKUP(WWWW[[#This Row],[Site Name]],SiteDB6[[Site Name]:[CCCM Management]],6,FALSE)</f>
        <v>0</v>
      </c>
      <c r="EF562" s="425" t="str">
        <f>VLOOKUP(WWWW[[#This Row],[Site Name]],SiteDB6[[Site Name]:[CCCM Focal Agency]],7,FALSE)</f>
        <v>uncovered</v>
      </c>
      <c r="EG562" s="425" t="str">
        <f>VLOOKUP(WWWW[[#This Row],[Site Name]],SiteDB6[[Site Name]:[Location Type 1]],9,FALSE)</f>
        <v>Camp</v>
      </c>
      <c r="EH562" s="425" t="str">
        <f>VLOOKUP(WWWW[[#This Row],[Site Name]],SiteDB6[[Site Name]:[Type of Accommodation]],10,FALSE)</f>
        <v>Camp like setting</v>
      </c>
      <c r="EI562" s="425" t="str">
        <f>VLOOKUP(WWWW[[#This Row],[Site Name]],SiteDB6[[Site Name]:[Ethnic or GCA/NGCA]],11,FALSE)</f>
        <v>GCA</v>
      </c>
      <c r="EJ562" s="425">
        <f>VLOOKUP(WWWW[[#This Row],[Site Name]],SiteDB6[[Site Name]:[Lat]],12,FALSE)</f>
        <v>23.621317999999999</v>
      </c>
      <c r="EK562" s="425">
        <f>VLOOKUP(WWWW[[#This Row],[Site Name]],SiteDB6[[Site Name]:[Long]],13,FALSE)</f>
        <v>97.795981999999995</v>
      </c>
      <c r="EL562" s="425" t="str">
        <f>VLOOKUP(WWWW[[#This Row],[Site Name]],SiteDB6[[Site Name]:[Pcode]],3,FALSE)</f>
        <v>MMR015CMP064</v>
      </c>
      <c r="EM562" s="860" t="str">
        <f t="shared" si="12"/>
        <v>Covered</v>
      </c>
      <c r="EN562" s="860"/>
      <c r="EO562" s="425">
        <f>VLOOKUP(WWWW[[#This Row],[Site Name]],SiteDB6[[Site Name]:[Pop
(Kachin/Shan-CCCM as of July 2021)]],16,FALSE)</f>
        <v>24</v>
      </c>
      <c r="EP562" s="425">
        <f>VLOOKUP(WWWW[[#This Row],[Site Name]],SiteDB6[[Site Name]:[Pop
(Kachin/Shan-CCCM as of July 2021)]],17,FALSE)</f>
        <v>84</v>
      </c>
    </row>
    <row r="563" spans="1:146">
      <c r="A563" s="707" t="s">
        <v>2765</v>
      </c>
      <c r="B563" s="707" t="s">
        <v>192</v>
      </c>
      <c r="C563" s="369" t="s">
        <v>192</v>
      </c>
      <c r="D563" s="369" t="s">
        <v>241</v>
      </c>
      <c r="E563" s="369" t="s">
        <v>515</v>
      </c>
      <c r="F563" s="369" t="s">
        <v>960</v>
      </c>
      <c r="G563" s="591" t="str">
        <f>VLOOKUP(WWWW[[#This Row],[Site Name]],SiteDB6[[Site Name]:[Location Type]],8,FALSE)</f>
        <v>Camp</v>
      </c>
      <c r="H563" s="369" t="s">
        <v>2982</v>
      </c>
      <c r="I563" s="448">
        <v>11</v>
      </c>
      <c r="J563" s="448">
        <v>40</v>
      </c>
      <c r="K563" s="800">
        <v>44511</v>
      </c>
      <c r="L563" s="56">
        <v>44875</v>
      </c>
      <c r="M563" s="448"/>
      <c r="N563" s="448"/>
      <c r="O563" s="448"/>
      <c r="P563" s="448"/>
      <c r="Q563" s="428"/>
      <c r="R563" s="448"/>
      <c r="S563" s="448"/>
      <c r="T563" s="448"/>
      <c r="U563" s="448"/>
      <c r="V563" s="448"/>
      <c r="W563" s="448"/>
      <c r="X563" s="448"/>
      <c r="Y563" s="448"/>
      <c r="Z563" s="448"/>
      <c r="AA563" s="448"/>
      <c r="AB563" s="448"/>
      <c r="AC563" s="448"/>
      <c r="AD563" s="448"/>
      <c r="AE563" s="448"/>
      <c r="AF563" s="448"/>
      <c r="AG563" s="448"/>
      <c r="AH563" s="448"/>
      <c r="AI563" s="448"/>
      <c r="AJ563" s="448"/>
      <c r="AK563" s="448"/>
      <c r="AL563" s="448"/>
      <c r="AM563" s="448"/>
      <c r="AN563" s="448"/>
      <c r="AO563" s="448"/>
      <c r="AP563" s="860"/>
      <c r="AQ563" s="448"/>
      <c r="AR563" s="448">
        <v>3</v>
      </c>
      <c r="AS563" s="423"/>
      <c r="AT563" s="448"/>
      <c r="AU563" s="448"/>
      <c r="AV563" s="448"/>
      <c r="AW563" s="448"/>
      <c r="AX563" s="448"/>
      <c r="AY563" s="425" t="s">
        <v>140</v>
      </c>
      <c r="AZ563" s="860" t="s">
        <v>140</v>
      </c>
      <c r="BA563" s="448"/>
      <c r="BB563" s="448"/>
      <c r="BC563" s="448"/>
      <c r="BD563" s="448"/>
      <c r="BE563" s="448"/>
      <c r="BF563" s="425"/>
      <c r="BG563" s="448"/>
      <c r="BH563" s="448"/>
      <c r="BI563" s="448"/>
      <c r="BJ563" s="448"/>
      <c r="BK563" s="448"/>
      <c r="BL563" s="448"/>
      <c r="BM563" s="448"/>
      <c r="BN563" s="448"/>
      <c r="BO563" s="448"/>
      <c r="BP563" s="425" t="s">
        <v>41</v>
      </c>
      <c r="BQ563" s="424"/>
      <c r="BR563" s="423"/>
      <c r="BS563" s="425"/>
      <c r="BT563" s="423"/>
      <c r="BU563" s="423"/>
      <c r="BV563" s="425"/>
      <c r="BW563" s="423"/>
      <c r="BX563" s="448"/>
      <c r="BY563" s="448"/>
      <c r="BZ563" s="448"/>
      <c r="CA563" s="448"/>
      <c r="CB563" s="448"/>
      <c r="CC563" s="777"/>
      <c r="CD563" s="448"/>
      <c r="CE563" s="631" t="str">
        <f>IFERROR(WWWW[[#This Row],['#_Water sources passed]]/WWWW[[#This Row],['#_Water sources tested for fecal coliform ]],"no test")</f>
        <v>no test</v>
      </c>
      <c r="CF563" s="423" t="str">
        <f>IFERROR(WWWW[[#This Row],['#_Household passed]]/WWWW[[#This Row],['#_Household water samples tested for fecal coliform]],"no test")</f>
        <v>no test</v>
      </c>
      <c r="CG563" s="424" t="str">
        <f>IF(AND(WWWW[[#This Row],[% of water sources passed]]="no test",WWWW[[#This Row],[% Household passed]]="no test"),"No Test","Tested")</f>
        <v>No Test</v>
      </c>
      <c r="CH563" s="424">
        <f>WWWW[[#This Row],['#_Constructed/existing protected hand dug well]]-WWWW[[#This Row],['#_Non-functional protected hand dug well]]</f>
        <v>0</v>
      </c>
      <c r="CI563" s="424">
        <f>(WWWW[[#This Row],['#_Constructed/Existing tube wells/boreholes/handpumps_WASH_agency]]+WWWW[[#This Row],['#_Non-Cluster partner water tube-wells/boreholes/handpumps]])-WWWW[[#This Row],['#_Non-functional tube wells/boreholes/handpumps]]</f>
        <v>0</v>
      </c>
      <c r="CJ563" s="424">
        <f>WWWW[[#This Row],['#_Constructed/Existingwater storage tank with gravity fed reticulation system]]-WWWW[[#This Row],['#_Non-functional storage tank gravity fed reticulation system]]</f>
        <v>0</v>
      </c>
      <c r="CK563" s="424">
        <f>(WWWW[[#This Row],['#_Water_Liters_supplied_by_Water boating or water trucking]]/90)/15</f>
        <v>0</v>
      </c>
      <c r="CL563" s="424">
        <f>WWWW[[#This Row],['#_Water_Liters_from_Constructed/Existing water distribution system from river or natural spring]]/90/15</f>
        <v>0</v>
      </c>
      <c r="CM563" s="424">
        <f>IF(WWWW[[#This Row],['#_of water points in TLS/CFS]]*500&gt;WWWW[[#This Row],[Total PoP ]],WWWW[[#This Row],[Total PoP ]],WWWW[[#This Row],['#_of water points in TLS/CFS]]*500)</f>
        <v>0</v>
      </c>
      <c r="CN563" s="424">
        <f>IF(WWWW[[#This Row],['#_of water points in THF]]*500&gt;WWWW[[#This Row],[Total PoP ]],WWWW[[#This Row],[Total PoP ]],WWWW[[#This Row],['#_of water points in THF]]*500)</f>
        <v>0</v>
      </c>
      <c r="CO563"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63"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63" s="423">
        <f>IF(WWWW[[#This Row],[Location Type 1]]="Village",WWWW[[#This Row],[Access to safe drinking water for Village]],WWWW[[#This Row],[Access to safe drinking water for Camp]])</f>
        <v>0</v>
      </c>
      <c r="CR563" s="428">
        <f>WWWW[[#This Row],[%Equitable and continuous access to sufficient quantity of safe drinking water]]*WWWW[[#This Row],[Total PoP ]]</f>
        <v>0</v>
      </c>
      <c r="CS563" s="423">
        <f>IF((WWWW[[#This Row],['#_Constructed/Existing protected/fenced ponds]]*250)/WWWW[[#This Row],[Total PoP ]]&gt;1,1,(WWWW[[#This Row],['#_Constructed/Existing protected/fenced ponds]]*250)/WWWW[[#This Row],[Total PoP ]])</f>
        <v>0</v>
      </c>
      <c r="CT563" s="428">
        <f>WWWW[[#This Row],[% Access to unimproved water points]]*WWWW[[#This Row],[Total PoP ]]</f>
        <v>0</v>
      </c>
      <c r="CU563"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63"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63" s="428">
        <f>WWWW[[#This Row],[HRP1]]/500</f>
        <v>0</v>
      </c>
      <c r="CX563" s="898">
        <f>1-WWWW[[#This Row],[% Equitable and continuous access to sufficient quantity of domestic water]]</f>
        <v>1</v>
      </c>
      <c r="CY563" s="428">
        <f>WWWW[[#This Row],[%equitable and continuous access to sufficient quantity of safe drinking and domestic water''s GAP]]*WWWW[[#This Row],[Total PoP ]]</f>
        <v>40</v>
      </c>
      <c r="CZ563" s="424">
        <f>IF(WWWW[[#This Row],[Total required water points]]-WWWW[[#This Row],['#Water points coverage]]&lt;0,0,WWWW[[#This Row],[Total required water points]]-WWWW[[#This Row],['#Water points coverage]])</f>
        <v>1</v>
      </c>
      <c r="DA563" s="424">
        <f>ROUND(IF(WWWW[[#This Row],[Total PoP ]]&lt;500,1,WWWW[[#This Row],[Total PoP ]]/500),0)</f>
        <v>1</v>
      </c>
      <c r="DB563" s="424">
        <f>(WWWW[[#This Row],['#_Constructed latrines_by_WASHAgencies]]+WWWW[[#This Row],['#_Non Cluster partner latrines]])-WWWW[[#This Row],['#_Non-functional latrines]]</f>
        <v>3</v>
      </c>
      <c r="DC563" s="631">
        <f>WWWW[[#This Row],[HRP2]]/WWWW[[#This Row],[Total PoP ]]</f>
        <v>1</v>
      </c>
      <c r="DD563"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563"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3"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3" s="424">
        <f>IF(WWWW[[#This Row],['# of functional latrines in THF supported by WASH partners during the reporting period2]]="",0,WWWW[[#This Row],['# of functional latrines in THF supported by WASH partners during the reporting period2]]*50)</f>
        <v>0</v>
      </c>
      <c r="DH563" s="424">
        <f>ROUND(IF(WWWW[[#This Row],[Location Type 1]]="camp",WWWW[[#This Row],[Total PoP ]]/20,IF(WWWW[[#This Row],[Location Type 1]]="Temporary Location",WWWW[[#This Row],[Total PoP ]]/50,(WWWW[[#This Row],[Total PoP ]]/6))),0)</f>
        <v>2</v>
      </c>
      <c r="DI563" s="424">
        <f>IF(WWWW[[#This Row],[Total required Latrines]]-(WWWW[[#This Row],['#_Constructed latrines_by_WASHAgencies]]+WWWW[[#This Row],['#_Non Cluster partner latrines]])&lt;0,0,WWWW[[#This Row],[Total required Latrines]]-(WWWW[[#This Row],['#_Constructed latrines_by_WASHAgencies]]+WWWW[[#This Row],['#_Non Cluster partner latrines]]))</f>
        <v>0</v>
      </c>
      <c r="DJ563" s="898">
        <f>1-WWWW[[#This Row],[% people access to functioning Latrine]]</f>
        <v>0</v>
      </c>
      <c r="DK563" s="631">
        <f>IF(OR(WWWW[[#This Row],['#_Non-functional latrines]]="",WWWW[[#This Row],['#_Non-functional latrines]]=0),0,WWWW[[#This Row],['#_Non-functional latrines]]/(WWWW[[#This Row],['#_Constructed latrines_by_WASHAgencies]]+WWWW[[#This Row],['#_Non Cluster partner latrines]]))</f>
        <v>0</v>
      </c>
      <c r="DL563" s="428">
        <f>IF(500*(WWWW[[#This Row],['#_male hygiene promoters]]+WWWW[[#This Row],['#_female hygiene promoters]])&gt;WWWW[[#This Row],[Total PoP ]],WWWW[[#This Row],[Total PoP ]],500*(WWWW[[#This Row],['#_male hygiene promoters]]+WWWW[[#This Row],['#_female hygiene promoters]]))</f>
        <v>0</v>
      </c>
      <c r="DM563"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63"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63" s="424">
        <f>IF(WWWW[[#This Row],['# People with access to soap]]&gt;WWWW[[#This Row],['# People with access to Sanity Pads]],WWWW[[#This Row],['# People with access to soap]],WWWW[[#This Row],['# People with access to Sanity Pads]])</f>
        <v>0</v>
      </c>
      <c r="DP563"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63" s="898">
        <f>IF(WWWW[[#This Row],[HRP3]]/WWWW[[#This Row],[Total PoP ]]&gt;1,1,WWWW[[#This Row],[HRP3]]/WWWW[[#This Row],[Total PoP ]])</f>
        <v>0</v>
      </c>
      <c r="DR563" s="631">
        <f>1-WWWW[[#This Row],[Hygiene Coverage%]]</f>
        <v>1</v>
      </c>
      <c r="DS563" s="423">
        <f>WWWW[[#This Row],['# people reached by regular dedicated hygiene promotion_5]]/WWWW[[#This Row],[Total PoP ]]</f>
        <v>0</v>
      </c>
      <c r="DT563"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63"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63" s="424">
        <f>WWWW[[#This Row],['#_Constructed/Existing hand washing stations]]-WWWW[[#This Row],['#_Non-Functional_hand_washing_stations]]</f>
        <v>0</v>
      </c>
      <c r="DW563" s="428">
        <f>IF(WWWW[[#This Row],['# Functional hand washing stations during reporting period]]*20&gt;WWWW[[#This Row],[Total HH]],WWWW[[#This Row],[Total HH]],WWWW[[#This Row],['# Functional hand washing stations during reporting period]]*20)</f>
        <v>0</v>
      </c>
      <c r="DX563" s="428">
        <f>IF(WWWW[[#This Row],[Is sufficient soap available for TLS? (Yes/No)]]="yes",WWWW[[#This Row],['#_Constructed/Existing hand washing stations at TLS/CFS/THF]],0)</f>
        <v>0</v>
      </c>
      <c r="DY563" s="428">
        <f>IF(WWWW[[#This Row],['# Functional hand washing stations during reporting period]]*100&gt;WWWW[[#This Row],[Total PoP ]],WWWW[[#This Row],[Total PoP ]],WWWW[[#This Row],['# Functional hand washing stations during reporting period]]*100)</f>
        <v>0</v>
      </c>
      <c r="DZ563" s="428" t="str">
        <f>IF(OR(WWWW[[#This Row],['#_students at TLS_CFS]]="",WWWW[[#This Row],['#_students at TLS_CFS]]=0),"No","Yes")</f>
        <v>No</v>
      </c>
      <c r="EA56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6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3" s="425">
        <f>VLOOKUP(WWWW[[#This Row],[Site Name]],SiteDB6[[Site Name]:[CCCM Management]],6,FALSE)</f>
        <v>0</v>
      </c>
      <c r="EF563" s="425">
        <f>VLOOKUP(WWWW[[#This Row],[Site Name]],SiteDB6[[Site Name]:[CCCM Focal Agency]],7,FALSE)</f>
        <v>0</v>
      </c>
      <c r="EG563" s="425" t="str">
        <f>VLOOKUP(WWWW[[#This Row],[Site Name]],SiteDB6[[Site Name]:[Location Type 1]],9,FALSE)</f>
        <v>Camp</v>
      </c>
      <c r="EH563" s="425" t="str">
        <f>VLOOKUP(WWWW[[#This Row],[Site Name]],SiteDB6[[Site Name]:[Type of Accommodation]],10,FALSE)</f>
        <v>Camp like setting</v>
      </c>
      <c r="EI563" s="425" t="str">
        <f>VLOOKUP(WWWW[[#This Row],[Site Name]],SiteDB6[[Site Name]:[Ethnic or GCA/NGCA]],11,FALSE)</f>
        <v>GCA</v>
      </c>
      <c r="EJ563" s="425">
        <f>VLOOKUP(WWWW[[#This Row],[Site Name]],SiteDB6[[Site Name]:[Lat]],12,FALSE)</f>
        <v>0</v>
      </c>
      <c r="EK563" s="425">
        <f>VLOOKUP(WWWW[[#This Row],[Site Name]],SiteDB6[[Site Name]:[Long]],13,FALSE)</f>
        <v>0</v>
      </c>
      <c r="EL563" s="425" t="str">
        <f>VLOOKUP(WWWW[[#This Row],[Site Name]],SiteDB6[[Site Name]:[Pcode]],3,FALSE)</f>
        <v>MMR015CMP077</v>
      </c>
      <c r="EM563" s="860" t="str">
        <f t="shared" si="12"/>
        <v>Covered</v>
      </c>
      <c r="EN563" s="860"/>
      <c r="EO563" s="425">
        <f>VLOOKUP(WWWW[[#This Row],[Site Name]],SiteDB6[[Site Name]:[Pop
(Kachin/Shan-CCCM as of July 2021)]],16,FALSE)</f>
        <v>11</v>
      </c>
      <c r="EP563" s="425">
        <f>VLOOKUP(WWWW[[#This Row],[Site Name]],SiteDB6[[Site Name]:[Pop
(Kachin/Shan-CCCM as of July 2021)]],17,FALSE)</f>
        <v>40</v>
      </c>
    </row>
    <row r="564" spans="1:146">
      <c r="A564" s="1044" t="s">
        <v>2765</v>
      </c>
      <c r="B564" s="1044" t="s">
        <v>192</v>
      </c>
      <c r="C564" s="1045" t="s">
        <v>192</v>
      </c>
      <c r="D564" s="1045" t="s">
        <v>2673</v>
      </c>
      <c r="E564" s="1045" t="s">
        <v>515</v>
      </c>
      <c r="F564" s="1045" t="s">
        <v>522</v>
      </c>
      <c r="G564" s="1043" t="str">
        <f>VLOOKUP(WWWW[[#This Row],[Site Name]],SiteDB6[[Site Name]:[Location Type]],8,FALSE)</f>
        <v>Camp</v>
      </c>
      <c r="H564" s="1045" t="s">
        <v>548</v>
      </c>
      <c r="I564" s="448">
        <v>28</v>
      </c>
      <c r="J564" s="448">
        <v>125</v>
      </c>
      <c r="K564" s="800">
        <v>44511</v>
      </c>
      <c r="L564" s="56">
        <v>44875</v>
      </c>
      <c r="M564" s="448"/>
      <c r="N564" s="448"/>
      <c r="O564" s="448">
        <v>1</v>
      </c>
      <c r="P564" s="448"/>
      <c r="Q564" s="428" t="s">
        <v>41</v>
      </c>
      <c r="R564" s="448"/>
      <c r="S564" s="448"/>
      <c r="T564" s="448"/>
      <c r="U564" s="448"/>
      <c r="V564" s="448"/>
      <c r="W564" s="448">
        <v>1</v>
      </c>
      <c r="X564" s="448">
        <v>1</v>
      </c>
      <c r="Y564" s="448"/>
      <c r="Z564" s="448"/>
      <c r="AA564" s="448">
        <v>1</v>
      </c>
      <c r="AB564" s="448"/>
      <c r="AC564" s="448"/>
      <c r="AD564" s="448"/>
      <c r="AE564" s="448"/>
      <c r="AF564" s="448"/>
      <c r="AG564" s="448"/>
      <c r="AH564" s="448"/>
      <c r="AI564" s="448"/>
      <c r="AJ564" s="448"/>
      <c r="AK564" s="448"/>
      <c r="AL564" s="448"/>
      <c r="AM564" s="448"/>
      <c r="AN564" s="448"/>
      <c r="AO564" s="448"/>
      <c r="AP564" s="860"/>
      <c r="AQ564" s="448">
        <v>18</v>
      </c>
      <c r="AR564" s="448"/>
      <c r="AS564" s="423"/>
      <c r="AT564" s="448"/>
      <c r="AU564" s="448"/>
      <c r="AV564" s="448"/>
      <c r="AW564" s="448"/>
      <c r="AX564" s="448"/>
      <c r="AY564" s="425" t="s">
        <v>41</v>
      </c>
      <c r="AZ564" s="860" t="s">
        <v>137</v>
      </c>
      <c r="BA564" s="448"/>
      <c r="BB564" s="448"/>
      <c r="BC564" s="448"/>
      <c r="BD564" s="448"/>
      <c r="BE564" s="448"/>
      <c r="BF564" s="425"/>
      <c r="BG564" s="448">
        <v>7</v>
      </c>
      <c r="BH564" s="448"/>
      <c r="BI564" s="448"/>
      <c r="BJ564" s="448">
        <v>5</v>
      </c>
      <c r="BK564" s="448"/>
      <c r="BL564" s="448"/>
      <c r="BM564" s="448">
        <v>1</v>
      </c>
      <c r="BN564" s="448"/>
      <c r="BO564" s="448"/>
      <c r="BP564" s="425" t="s">
        <v>41</v>
      </c>
      <c r="BQ564" s="424"/>
      <c r="BR564" s="423"/>
      <c r="BS564" s="425"/>
      <c r="BT564" s="423"/>
      <c r="BU564" s="423"/>
      <c r="BV564" s="425"/>
      <c r="BW564" s="423"/>
      <c r="BX564" s="448"/>
      <c r="BY564" s="448"/>
      <c r="BZ564" s="448"/>
      <c r="CA564" s="448"/>
      <c r="CB564" s="448"/>
      <c r="CC564" s="777"/>
      <c r="CD564" s="448"/>
      <c r="CE564" s="631" t="str">
        <f>IFERROR(WWWW[[#This Row],['#_Water sources passed]]/WWWW[[#This Row],['#_Water sources tested for fecal coliform ]],"no test")</f>
        <v>no test</v>
      </c>
      <c r="CF564" s="423" t="str">
        <f>IFERROR(WWWW[[#This Row],['#_Household passed]]/WWWW[[#This Row],['#_Household water samples tested for fecal coliform]],"no test")</f>
        <v>no test</v>
      </c>
      <c r="CG564" s="424" t="str">
        <f>IF(AND(WWWW[[#This Row],[% of water sources passed]]="no test",WWWW[[#This Row],[% Household passed]]="no test"),"No Test","Tested")</f>
        <v>No Test</v>
      </c>
      <c r="CH564" s="424">
        <f>WWWW[[#This Row],['#_Constructed/existing protected hand dug well]]-WWWW[[#This Row],['#_Non-functional protected hand dug well]]</f>
        <v>0</v>
      </c>
      <c r="CI564" s="424">
        <f>(WWWW[[#This Row],['#_Constructed/Existing tube wells/boreholes/handpumps_WASH_agency]]+WWWW[[#This Row],['#_Non-Cluster partner water tube-wells/boreholes/handpumps]])-WWWW[[#This Row],['#_Non-functional tube wells/boreholes/handpumps]]</f>
        <v>2</v>
      </c>
      <c r="CJ564" s="424">
        <f>WWWW[[#This Row],['#_Constructed/Existingwater storage tank with gravity fed reticulation system]]-WWWW[[#This Row],['#_Non-functional storage tank gravity fed reticulation system]]</f>
        <v>1</v>
      </c>
      <c r="CK564" s="424">
        <f>(WWWW[[#This Row],['#_Water_Liters_supplied_by_Water boating or water trucking]]/90)/15</f>
        <v>0</v>
      </c>
      <c r="CL564" s="424">
        <f>WWWW[[#This Row],['#_Water_Liters_from_Constructed/Existing water distribution system from river or natural spring]]/90/15</f>
        <v>0</v>
      </c>
      <c r="CM564" s="424">
        <f>IF(WWWW[[#This Row],['#_of water points in TLS/CFS]]*500&gt;WWWW[[#This Row],[Total PoP ]],WWWW[[#This Row],[Total PoP ]],WWWW[[#This Row],['#_of water points in TLS/CFS]]*500)</f>
        <v>0</v>
      </c>
      <c r="CN564" s="424">
        <f>IF(WWWW[[#This Row],['#_of water points in THF]]*500&gt;WWWW[[#This Row],[Total PoP ]],WWWW[[#This Row],[Total PoP ]],WWWW[[#This Row],['#_of water points in THF]]*500)</f>
        <v>0</v>
      </c>
      <c r="CO564"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64"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64" s="423">
        <f>IF(WWWW[[#This Row],[Location Type 1]]="Village",WWWW[[#This Row],[Access to safe drinking water for Village]],WWWW[[#This Row],[Access to safe drinking water for Camp]])</f>
        <v>1</v>
      </c>
      <c r="CR564" s="428">
        <f>WWWW[[#This Row],[%Equitable and continuous access to sufficient quantity of safe drinking water]]*WWWW[[#This Row],[Total PoP ]]</f>
        <v>125</v>
      </c>
      <c r="CS564" s="423">
        <f>IF((WWWW[[#This Row],['#_Constructed/Existing protected/fenced ponds]]*250)/WWWW[[#This Row],[Total PoP ]]&gt;1,1,(WWWW[[#This Row],['#_Constructed/Existing protected/fenced ponds]]*250)/WWWW[[#This Row],[Total PoP ]])</f>
        <v>0</v>
      </c>
      <c r="CT564" s="428">
        <f>WWWW[[#This Row],[% Access to unimproved water points]]*WWWW[[#This Row],[Total PoP ]]</f>
        <v>0</v>
      </c>
      <c r="CU564"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64"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v>
      </c>
      <c r="CW564" s="428">
        <f>WWWW[[#This Row],[HRP1]]/500</f>
        <v>0.25</v>
      </c>
      <c r="CX564" s="898">
        <f>1-WWWW[[#This Row],[% Equitable and continuous access to sufficient quantity of domestic water]]</f>
        <v>0</v>
      </c>
      <c r="CY564" s="428">
        <f>WWWW[[#This Row],[%equitable and continuous access to sufficient quantity of safe drinking and domestic water''s GAP]]*WWWW[[#This Row],[Total PoP ]]</f>
        <v>0</v>
      </c>
      <c r="CZ564" s="424">
        <f>IF(WWWW[[#This Row],[Total required water points]]-WWWW[[#This Row],['#Water points coverage]]&lt;0,0,WWWW[[#This Row],[Total required water points]]-WWWW[[#This Row],['#Water points coverage]])</f>
        <v>0.75</v>
      </c>
      <c r="DA564" s="424">
        <f>ROUND(IF(WWWW[[#This Row],[Total PoP ]]&lt;500,1,WWWW[[#This Row],[Total PoP ]]/500),0)</f>
        <v>1</v>
      </c>
      <c r="DB564" s="424">
        <f>(WWWW[[#This Row],['#_Constructed latrines_by_WASHAgencies]]+WWWW[[#This Row],['#_Non Cluster partner latrines]])-WWWW[[#This Row],['#_Non-functional latrines]]</f>
        <v>18</v>
      </c>
      <c r="DC564" s="631">
        <f>WWWW[[#This Row],[HRP2]]/WWWW[[#This Row],[Total PoP ]]</f>
        <v>1</v>
      </c>
      <c r="DD564"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125</v>
      </c>
      <c r="DE564"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4"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4" s="424">
        <f>IF(WWWW[[#This Row],['# of functional latrines in THF supported by WASH partners during the reporting period2]]="",0,WWWW[[#This Row],['# of functional latrines in THF supported by WASH partners during the reporting period2]]*50)</f>
        <v>0</v>
      </c>
      <c r="DH564" s="424">
        <f>ROUND(IF(WWWW[[#This Row],[Location Type 1]]="camp",WWWW[[#This Row],[Total PoP ]]/20,IF(WWWW[[#This Row],[Location Type 1]]="Temporary Location",WWWW[[#This Row],[Total PoP ]]/50,(WWWW[[#This Row],[Total PoP ]]/6))),0)</f>
        <v>6</v>
      </c>
      <c r="DI564" s="424">
        <f>IF(WWWW[[#This Row],[Total required Latrines]]-(WWWW[[#This Row],['#_Constructed latrines_by_WASHAgencies]]+WWWW[[#This Row],['#_Non Cluster partner latrines]])&lt;0,0,WWWW[[#This Row],[Total required Latrines]]-(WWWW[[#This Row],['#_Constructed latrines_by_WASHAgencies]]+WWWW[[#This Row],['#_Non Cluster partner latrines]]))</f>
        <v>0</v>
      </c>
      <c r="DJ564" s="898">
        <f>1-WWWW[[#This Row],[% people access to functioning Latrine]]</f>
        <v>0</v>
      </c>
      <c r="DK564" s="631">
        <f>IF(OR(WWWW[[#This Row],['#_Non-functional latrines]]="",WWWW[[#This Row],['#_Non-functional latrines]]=0),0,WWWW[[#This Row],['#_Non-functional latrines]]/(WWWW[[#This Row],['#_Constructed latrines_by_WASHAgencies]]+WWWW[[#This Row],['#_Non Cluster partner latrines]]))</f>
        <v>0</v>
      </c>
      <c r="DL564" s="428">
        <f>IF(500*(WWWW[[#This Row],['#_male hygiene promoters]]+WWWW[[#This Row],['#_female hygiene promoters]])&gt;WWWW[[#This Row],[Total PoP ]],WWWW[[#This Row],[Total PoP ]],500*(WWWW[[#This Row],['#_male hygiene promoters]]+WWWW[[#This Row],['#_female hygiene promoters]]))</f>
        <v>125</v>
      </c>
      <c r="DM564"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64"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64" s="424">
        <f>IF(WWWW[[#This Row],['# People with access to soap]]&gt;WWWW[[#This Row],['# People with access to Sanity Pads]],WWWW[[#This Row],['# People with access to soap]],WWWW[[#This Row],['# People with access to Sanity Pads]])</f>
        <v>0</v>
      </c>
      <c r="DP564" s="424">
        <f>IF(WWWW[[#This Row],['# people reached by regular dedicated hygiene promotion_5]]&gt;WWWW[[#This Row],['# People received regular supply of hygiene items_6]],WWWW[[#This Row],['# people reached by regular dedicated hygiene promotion_5]],WWWW[[#This Row],['# People received regular supply of hygiene items_6]])</f>
        <v>125</v>
      </c>
      <c r="DQ564" s="898">
        <f>IF(WWWW[[#This Row],[HRP3]]/WWWW[[#This Row],[Total PoP ]]&gt;1,1,WWWW[[#This Row],[HRP3]]/WWWW[[#This Row],[Total PoP ]])</f>
        <v>1</v>
      </c>
      <c r="DR564" s="631">
        <f>1-WWWW[[#This Row],[Hygiene Coverage%]]</f>
        <v>0</v>
      </c>
      <c r="DS564" s="423">
        <f>WWWW[[#This Row],['# people reached by regular dedicated hygiene promotion_5]]/WWWW[[#This Row],[Total PoP ]]</f>
        <v>1</v>
      </c>
      <c r="DT564"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64"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64" s="424">
        <f>WWWW[[#This Row],['#_Constructed/Existing hand washing stations]]-WWWW[[#This Row],['#_Non-Functional_hand_washing_stations]]</f>
        <v>7</v>
      </c>
      <c r="DW564" s="428">
        <f>IF(WWWW[[#This Row],['# Functional hand washing stations during reporting period]]*20&gt;WWWW[[#This Row],[Total HH]],WWWW[[#This Row],[Total HH]],WWWW[[#This Row],['# Functional hand washing stations during reporting period]]*20)</f>
        <v>28</v>
      </c>
      <c r="DX564" s="428">
        <f>IF(WWWW[[#This Row],[Is sufficient soap available for TLS? (Yes/No)]]="yes",WWWW[[#This Row],['#_Constructed/Existing hand washing stations at TLS/CFS/THF]],0)</f>
        <v>0</v>
      </c>
      <c r="DY564" s="428">
        <f>IF(WWWW[[#This Row],['# Functional hand washing stations during reporting period]]*100&gt;WWWW[[#This Row],[Total PoP ]],WWWW[[#This Row],[Total PoP ]],WWWW[[#This Row],['# Functional hand washing stations during reporting period]]*100)</f>
        <v>125</v>
      </c>
      <c r="DZ564" s="428" t="str">
        <f>IF(OR(WWWW[[#This Row],['#_students at TLS_CFS]]="",WWWW[[#This Row],['#_students at TLS_CFS]]=0),"No","Yes")</f>
        <v>No</v>
      </c>
      <c r="EA56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6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4" s="425" t="str">
        <f>VLOOKUP(WWWW[[#This Row],[Site Name]],SiteDB6[[Site Name]:[CCCM Management]],6,FALSE)</f>
        <v>Yes</v>
      </c>
      <c r="EF564" s="425" t="str">
        <f>VLOOKUP(WWWW[[#This Row],[Site Name]],SiteDB6[[Site Name]:[CCCM Focal Agency]],7,FALSE)</f>
        <v>KBC-NSS</v>
      </c>
      <c r="EG564" s="425" t="str">
        <f>VLOOKUP(WWWW[[#This Row],[Site Name]],SiteDB6[[Site Name]:[Location Type 1]],9,FALSE)</f>
        <v>Camp</v>
      </c>
      <c r="EH564" s="425" t="str">
        <f>VLOOKUP(WWWW[[#This Row],[Site Name]],SiteDB6[[Site Name]:[Type of Accommodation]],10,FALSE)</f>
        <v>Closed Camp</v>
      </c>
      <c r="EI564" s="425" t="str">
        <f>VLOOKUP(WWWW[[#This Row],[Site Name]],SiteDB6[[Site Name]:[Ethnic or GCA/NGCA]],11,FALSE)</f>
        <v>GCA</v>
      </c>
      <c r="EJ564" s="425">
        <f>VLOOKUP(WWWW[[#This Row],[Site Name]],SiteDB6[[Site Name]:[Lat]],12,FALSE)</f>
        <v>23.250678000000001</v>
      </c>
      <c r="EK564" s="425">
        <f>VLOOKUP(WWWW[[#This Row],[Site Name]],SiteDB6[[Site Name]:[Long]],13,FALSE)</f>
        <v>97.124403000000001</v>
      </c>
      <c r="EL564" s="425" t="str">
        <f>VLOOKUP(WWWW[[#This Row],[Site Name]],SiteDB6[[Site Name]:[Pcode]],3,FALSE)</f>
        <v>MMR015CMP009</v>
      </c>
      <c r="EM564" s="860" t="str">
        <f t="shared" si="12"/>
        <v>Covered</v>
      </c>
      <c r="EN564" s="860"/>
      <c r="EO564" s="425">
        <f>VLOOKUP(WWWW[[#This Row],[Site Name]],SiteDB6[[Site Name]:[Pop
(Kachin/Shan-CCCM as of July 2021)]],16,FALSE)</f>
        <v>28</v>
      </c>
      <c r="EP564" s="425">
        <f>VLOOKUP(WWWW[[#This Row],[Site Name]],SiteDB6[[Site Name]:[Pop
(Kachin/Shan-CCCM as of July 2021)]],17,FALSE)</f>
        <v>147</v>
      </c>
    </row>
    <row r="565" spans="1:146">
      <c r="A565" s="1044" t="s">
        <v>2765</v>
      </c>
      <c r="B565" s="1044" t="s">
        <v>2769</v>
      </c>
      <c r="C565" s="1045" t="s">
        <v>2359</v>
      </c>
      <c r="D565" s="1045" t="s">
        <v>2673</v>
      </c>
      <c r="E565" s="1045" t="s">
        <v>515</v>
      </c>
      <c r="F565" s="1045" t="s">
        <v>522</v>
      </c>
      <c r="G565" s="1043" t="str">
        <f>VLOOKUP(WWWW[[#This Row],[Site Name]],SiteDB6[[Site Name]:[Location Type]],8,FALSE)</f>
        <v>Camp</v>
      </c>
      <c r="H565" s="1045" t="s">
        <v>523</v>
      </c>
      <c r="I565" s="448">
        <v>30</v>
      </c>
      <c r="J565" s="448">
        <v>157</v>
      </c>
      <c r="K565" s="800" t="s">
        <v>2767</v>
      </c>
      <c r="L565" s="56" t="s">
        <v>3178</v>
      </c>
      <c r="M565" s="448"/>
      <c r="N565" s="448">
        <v>2</v>
      </c>
      <c r="O565" s="448"/>
      <c r="P565" s="448"/>
      <c r="Q565" s="428" t="s">
        <v>41</v>
      </c>
      <c r="R565" s="448">
        <v>2</v>
      </c>
      <c r="S565" s="448">
        <v>8</v>
      </c>
      <c r="T565" s="448">
        <v>1</v>
      </c>
      <c r="U565" s="448"/>
      <c r="V565" s="448"/>
      <c r="W565" s="448">
        <v>2</v>
      </c>
      <c r="X565" s="448"/>
      <c r="Y565" s="448"/>
      <c r="Z565" s="448"/>
      <c r="AA565" s="448"/>
      <c r="AB565" s="448"/>
      <c r="AC565" s="448"/>
      <c r="AD565" s="448"/>
      <c r="AE565" s="448">
        <v>2</v>
      </c>
      <c r="AF565" s="448"/>
      <c r="AG565" s="448"/>
      <c r="AH565" s="448">
        <v>1</v>
      </c>
      <c r="AI565" s="448"/>
      <c r="AJ565" s="448"/>
      <c r="AK565" s="448"/>
      <c r="AL565" s="448"/>
      <c r="AM565" s="448">
        <v>4</v>
      </c>
      <c r="AN565" s="448"/>
      <c r="AO565" s="448"/>
      <c r="AP565" s="860"/>
      <c r="AQ565" s="448">
        <v>38</v>
      </c>
      <c r="AR565" s="448"/>
      <c r="AS565" s="423"/>
      <c r="AT565" s="448"/>
      <c r="AU565" s="448"/>
      <c r="AV565" s="448"/>
      <c r="AW565" s="448"/>
      <c r="AX565" s="448">
        <v>38</v>
      </c>
      <c r="AY565" s="425" t="s">
        <v>41</v>
      </c>
      <c r="AZ565" s="860" t="s">
        <v>137</v>
      </c>
      <c r="BA565" s="448"/>
      <c r="BB565" s="448"/>
      <c r="BC565" s="448"/>
      <c r="BD565" s="448"/>
      <c r="BE565" s="448"/>
      <c r="BF565" s="425"/>
      <c r="BG565" s="448">
        <v>4</v>
      </c>
      <c r="BH565" s="448"/>
      <c r="BI565" s="448"/>
      <c r="BJ565" s="448">
        <v>2</v>
      </c>
      <c r="BK565" s="448"/>
      <c r="BL565" s="448"/>
      <c r="BM565" s="448">
        <v>2</v>
      </c>
      <c r="BN565" s="448"/>
      <c r="BO565" s="448"/>
      <c r="BP565" s="425" t="s">
        <v>41</v>
      </c>
      <c r="BQ565" s="424"/>
      <c r="BR565" s="423">
        <v>1</v>
      </c>
      <c r="BS565" s="425"/>
      <c r="BT565" s="423"/>
      <c r="BU565" s="423"/>
      <c r="BV565" s="425"/>
      <c r="BW565" s="423"/>
      <c r="BX565" s="448"/>
      <c r="BY565" s="448"/>
      <c r="BZ565" s="448"/>
      <c r="CA565" s="448"/>
      <c r="CB565" s="448"/>
      <c r="CC565" s="777"/>
      <c r="CD565" s="448"/>
      <c r="CE565" s="631" t="str">
        <f>IFERROR(WWWW[[#This Row],['#_Water sources passed]]/WWWW[[#This Row],['#_Water sources tested for fecal coliform ]],"no test")</f>
        <v>no test</v>
      </c>
      <c r="CF565" s="423" t="str">
        <f>IFERROR(WWWW[[#This Row],['#_Household passed]]/WWWW[[#This Row],['#_Household water samples tested for fecal coliform]],"no test")</f>
        <v>no test</v>
      </c>
      <c r="CG565" s="424" t="str">
        <f>IF(AND(WWWW[[#This Row],[% of water sources passed]]="no test",WWWW[[#This Row],[% Household passed]]="no test"),"No Test","Tested")</f>
        <v>No Test</v>
      </c>
      <c r="CH565" s="424">
        <f>WWWW[[#This Row],['#_Constructed/existing protected hand dug well]]-WWWW[[#This Row],['#_Non-functional protected hand dug well]]</f>
        <v>1</v>
      </c>
      <c r="CI565" s="424">
        <f>(WWWW[[#This Row],['#_Constructed/Existing tube wells/boreholes/handpumps_WASH_agency]]+WWWW[[#This Row],['#_Non-Cluster partner water tube-wells/boreholes/handpumps]])-WWWW[[#This Row],['#_Non-functional tube wells/boreholes/handpumps]]</f>
        <v>2</v>
      </c>
      <c r="CJ565" s="424">
        <f>WWWW[[#This Row],['#_Constructed/Existingwater storage tank with gravity fed reticulation system]]-WWWW[[#This Row],['#_Non-functional storage tank gravity fed reticulation system]]</f>
        <v>0</v>
      </c>
      <c r="CK565" s="424">
        <f>(WWWW[[#This Row],['#_Water_Liters_supplied_by_Water boating or water trucking]]/90)/15</f>
        <v>0</v>
      </c>
      <c r="CL565" s="424">
        <f>WWWW[[#This Row],['#_Water_Liters_from_Constructed/Existing water distribution system from river or natural spring]]/90/15</f>
        <v>0</v>
      </c>
      <c r="CM565" s="424">
        <f>IF(WWWW[[#This Row],['#_of water points in TLS/CFS]]*500&gt;WWWW[[#This Row],[Total PoP ]],WWWW[[#This Row],[Total PoP ]],WWWW[[#This Row],['#_of water points in TLS/CFS]]*500)</f>
        <v>0</v>
      </c>
      <c r="CN565" s="424">
        <f>IF(WWWW[[#This Row],['#_of water points in THF]]*500&gt;WWWW[[#This Row],[Total PoP ]],WWWW[[#This Row],[Total PoP ]],WWWW[[#This Row],['#_of water points in THF]]*500)</f>
        <v>0</v>
      </c>
      <c r="CO565"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65"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65" s="423">
        <f>IF(WWWW[[#This Row],[Location Type 1]]="Village",WWWW[[#This Row],[Access to safe drinking water for Village]],WWWW[[#This Row],[Access to safe drinking water for Camp]])</f>
        <v>1</v>
      </c>
      <c r="CR565" s="428">
        <f>WWWW[[#This Row],[%Equitable and continuous access to sufficient quantity of safe drinking water]]*WWWW[[#This Row],[Total PoP ]]</f>
        <v>157</v>
      </c>
      <c r="CS565" s="423">
        <f>IF((WWWW[[#This Row],['#_Constructed/Existing protected/fenced ponds]]*250)/WWWW[[#This Row],[Total PoP ]]&gt;1,1,(WWWW[[#This Row],['#_Constructed/Existing protected/fenced ponds]]*250)/WWWW[[#This Row],[Total PoP ]])</f>
        <v>1</v>
      </c>
      <c r="CT565" s="428">
        <f>WWWW[[#This Row],[% Access to unimproved water points]]*WWWW[[#This Row],[Total PoP ]]</f>
        <v>157</v>
      </c>
      <c r="CU565"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65"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v>
      </c>
      <c r="CW565" s="428">
        <f>WWWW[[#This Row],[HRP1]]/500</f>
        <v>0.314</v>
      </c>
      <c r="CX565" s="898">
        <f>1-WWWW[[#This Row],[% Equitable and continuous access to sufficient quantity of domestic water]]</f>
        <v>0</v>
      </c>
      <c r="CY565" s="428">
        <f>WWWW[[#This Row],[%equitable and continuous access to sufficient quantity of safe drinking and domestic water''s GAP]]*WWWW[[#This Row],[Total PoP ]]</f>
        <v>0</v>
      </c>
      <c r="CZ565" s="424">
        <f>IF(WWWW[[#This Row],[Total required water points]]-WWWW[[#This Row],['#Water points coverage]]&lt;0,0,WWWW[[#This Row],[Total required water points]]-WWWW[[#This Row],['#Water points coverage]])</f>
        <v>0.68599999999999994</v>
      </c>
      <c r="DA565" s="424">
        <f>ROUND(IF(WWWW[[#This Row],[Total PoP ]]&lt;500,1,WWWW[[#This Row],[Total PoP ]]/500),0)</f>
        <v>1</v>
      </c>
      <c r="DB565" s="424">
        <f>(WWWW[[#This Row],['#_Constructed latrines_by_WASHAgencies]]+WWWW[[#This Row],['#_Non Cluster partner latrines]])-WWWW[[#This Row],['#_Non-functional latrines]]</f>
        <v>38</v>
      </c>
      <c r="DC565" s="631">
        <f>WWWW[[#This Row],[HRP2]]/WWWW[[#This Row],[Total PoP ]]</f>
        <v>1</v>
      </c>
      <c r="DD565"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157</v>
      </c>
      <c r="DE565"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5"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5" s="424">
        <f>IF(WWWW[[#This Row],['# of functional latrines in THF supported by WASH partners during the reporting period2]]="",0,WWWW[[#This Row],['# of functional latrines in THF supported by WASH partners during the reporting period2]]*50)</f>
        <v>0</v>
      </c>
      <c r="DH565" s="424">
        <f>ROUND(IF(WWWW[[#This Row],[Location Type 1]]="camp",WWWW[[#This Row],[Total PoP ]]/20,IF(WWWW[[#This Row],[Location Type 1]]="Temporary Location",WWWW[[#This Row],[Total PoP ]]/50,(WWWW[[#This Row],[Total PoP ]]/6))),0)</f>
        <v>8</v>
      </c>
      <c r="DI565" s="424">
        <f>IF(WWWW[[#This Row],[Total required Latrines]]-(WWWW[[#This Row],['#_Constructed latrines_by_WASHAgencies]]+WWWW[[#This Row],['#_Non Cluster partner latrines]])&lt;0,0,WWWW[[#This Row],[Total required Latrines]]-(WWWW[[#This Row],['#_Constructed latrines_by_WASHAgencies]]+WWWW[[#This Row],['#_Non Cluster partner latrines]]))</f>
        <v>0</v>
      </c>
      <c r="DJ565" s="898">
        <f>1-WWWW[[#This Row],[% people access to functioning Latrine]]</f>
        <v>0</v>
      </c>
      <c r="DK565" s="631">
        <f>IF(OR(WWWW[[#This Row],['#_Non-functional latrines]]="",WWWW[[#This Row],['#_Non-functional latrines]]=0),0,WWWW[[#This Row],['#_Non-functional latrines]]/(WWWW[[#This Row],['#_Constructed latrines_by_WASHAgencies]]+WWWW[[#This Row],['#_Non Cluster partner latrines]]))</f>
        <v>0</v>
      </c>
      <c r="DL565" s="428">
        <f>IF(500*(WWWW[[#This Row],['#_male hygiene promoters]]+WWWW[[#This Row],['#_female hygiene promoters]])&gt;WWWW[[#This Row],[Total PoP ]],WWWW[[#This Row],[Total PoP ]],500*(WWWW[[#This Row],['#_male hygiene promoters]]+WWWW[[#This Row],['#_female hygiene promoters]]))</f>
        <v>157</v>
      </c>
      <c r="DM565"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65"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65" s="424">
        <f>IF(WWWW[[#This Row],['# People with access to soap]]&gt;WWWW[[#This Row],['# People with access to Sanity Pads]],WWWW[[#This Row],['# People with access to soap]],WWWW[[#This Row],['# People with access to Sanity Pads]])</f>
        <v>0</v>
      </c>
      <c r="DP565" s="424">
        <f>IF(WWWW[[#This Row],['# people reached by regular dedicated hygiene promotion_5]]&gt;WWWW[[#This Row],['# People received regular supply of hygiene items_6]],WWWW[[#This Row],['# people reached by regular dedicated hygiene promotion_5]],WWWW[[#This Row],['# People received regular supply of hygiene items_6]])</f>
        <v>157</v>
      </c>
      <c r="DQ565" s="898">
        <f>IF(WWWW[[#This Row],[HRP3]]/WWWW[[#This Row],[Total PoP ]]&gt;1,1,WWWW[[#This Row],[HRP3]]/WWWW[[#This Row],[Total PoP ]])</f>
        <v>1</v>
      </c>
      <c r="DR565" s="631">
        <f>1-WWWW[[#This Row],[Hygiene Coverage%]]</f>
        <v>0</v>
      </c>
      <c r="DS565" s="423">
        <f>WWWW[[#This Row],['# people reached by regular dedicated hygiene promotion_5]]/WWWW[[#This Row],[Total PoP ]]</f>
        <v>1</v>
      </c>
      <c r="DT565"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65"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65" s="424">
        <f>WWWW[[#This Row],['#_Constructed/Existing hand washing stations]]-WWWW[[#This Row],['#_Non-Functional_hand_washing_stations]]</f>
        <v>4</v>
      </c>
      <c r="DW565" s="428">
        <f>IF(WWWW[[#This Row],['# Functional hand washing stations during reporting period]]*20&gt;WWWW[[#This Row],[Total HH]],WWWW[[#This Row],[Total HH]],WWWW[[#This Row],['# Functional hand washing stations during reporting period]]*20)</f>
        <v>30</v>
      </c>
      <c r="DX565" s="428">
        <f>IF(WWWW[[#This Row],[Is sufficient soap available for TLS? (Yes/No)]]="yes",WWWW[[#This Row],['#_Constructed/Existing hand washing stations at TLS/CFS/THF]],0)</f>
        <v>4</v>
      </c>
      <c r="DY565" s="428">
        <f>IF(WWWW[[#This Row],['# Functional hand washing stations during reporting period]]*100&gt;WWWW[[#This Row],[Total PoP ]],WWWW[[#This Row],[Total PoP ]],WWWW[[#This Row],['# Functional hand washing stations during reporting period]]*100)</f>
        <v>157</v>
      </c>
      <c r="DZ565" s="428" t="str">
        <f>IF(OR(WWWW[[#This Row],['#_students at TLS_CFS]]="",WWWW[[#This Row],['#_students at TLS_CFS]]=0),"No","Yes")</f>
        <v>No</v>
      </c>
      <c r="EA56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6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5" s="425" t="str">
        <f>VLOOKUP(WWWW[[#This Row],[Site Name]],SiteDB6[[Site Name]:[CCCM Management]],6,FALSE)</f>
        <v>Yes</v>
      </c>
      <c r="EF565" s="425" t="str">
        <f>VLOOKUP(WWWW[[#This Row],[Site Name]],SiteDB6[[Site Name]:[CCCM Focal Agency]],7,FALSE)</f>
        <v>KMSS-LSO</v>
      </c>
      <c r="EG565" s="425" t="str">
        <f>VLOOKUP(WWWW[[#This Row],[Site Name]],SiteDB6[[Site Name]:[Location Type 1]],9,FALSE)</f>
        <v>Camp</v>
      </c>
      <c r="EH565" s="425" t="str">
        <f>VLOOKUP(WWWW[[#This Row],[Site Name]],SiteDB6[[Site Name]:[Type of Accommodation]],10,FALSE)</f>
        <v>Camp</v>
      </c>
      <c r="EI565" s="425" t="str">
        <f>VLOOKUP(WWWW[[#This Row],[Site Name]],SiteDB6[[Site Name]:[Ethnic or GCA/NGCA]],11,FALSE)</f>
        <v>GCA</v>
      </c>
      <c r="EJ565" s="425">
        <f>VLOOKUP(WWWW[[#This Row],[Site Name]],SiteDB6[[Site Name]:[Lat]],12,FALSE)</f>
        <v>23.24661</v>
      </c>
      <c r="EK565" s="425">
        <f>VLOOKUP(WWWW[[#This Row],[Site Name]],SiteDB6[[Site Name]:[Long]],13,FALSE)</f>
        <v>97.116680000000002</v>
      </c>
      <c r="EL565" s="425" t="str">
        <f>VLOOKUP(WWWW[[#This Row],[Site Name]],SiteDB6[[Site Name]:[Pcode]],3,FALSE)</f>
        <v>MMR015CMP027</v>
      </c>
      <c r="EM565" s="860" t="str">
        <f t="shared" si="12"/>
        <v>Covered</v>
      </c>
      <c r="EN565" s="860"/>
      <c r="EO565" s="425">
        <f>VLOOKUP(WWWW[[#This Row],[Site Name]],SiteDB6[[Site Name]:[Pop
(Kachin/Shan-CCCM as of July 2021)]],16,FALSE)</f>
        <v>30</v>
      </c>
      <c r="EP565" s="425">
        <f>VLOOKUP(WWWW[[#This Row],[Site Name]],SiteDB6[[Site Name]:[Pop
(Kachin/Shan-CCCM as of July 2021)]],17,FALSE)</f>
        <v>159</v>
      </c>
    </row>
    <row r="566" spans="1:146">
      <c r="A566" s="707" t="s">
        <v>2765</v>
      </c>
      <c r="B566" s="707" t="s">
        <v>192</v>
      </c>
      <c r="C566" s="369" t="s">
        <v>192</v>
      </c>
      <c r="D566" s="369" t="s">
        <v>241</v>
      </c>
      <c r="E566" s="369" t="s">
        <v>515</v>
      </c>
      <c r="F566" s="369" t="s">
        <v>525</v>
      </c>
      <c r="G566" s="591" t="str">
        <f>VLOOKUP(WWWW[[#This Row],[Site Name]],SiteDB6[[Site Name]:[Location Type]],8,FALSE)</f>
        <v>Camp</v>
      </c>
      <c r="H566" s="369" t="s">
        <v>2694</v>
      </c>
      <c r="I566" s="448">
        <v>19</v>
      </c>
      <c r="J566" s="448">
        <v>60</v>
      </c>
      <c r="K566" s="800">
        <v>44511</v>
      </c>
      <c r="L566" s="56">
        <v>44875</v>
      </c>
      <c r="M566" s="448"/>
      <c r="N566" s="448"/>
      <c r="O566" s="448"/>
      <c r="P566" s="448"/>
      <c r="Q566" s="428"/>
      <c r="R566" s="448"/>
      <c r="S566" s="448"/>
      <c r="T566" s="448"/>
      <c r="U566" s="448"/>
      <c r="V566" s="448"/>
      <c r="W566" s="448"/>
      <c r="X566" s="448"/>
      <c r="Y566" s="448"/>
      <c r="Z566" s="448"/>
      <c r="AA566" s="448"/>
      <c r="AB566" s="448"/>
      <c r="AC566" s="448"/>
      <c r="AD566" s="448"/>
      <c r="AE566" s="448"/>
      <c r="AF566" s="448"/>
      <c r="AG566" s="448"/>
      <c r="AH566" s="448"/>
      <c r="AI566" s="448"/>
      <c r="AJ566" s="448"/>
      <c r="AK566" s="448"/>
      <c r="AL566" s="448"/>
      <c r="AM566" s="448"/>
      <c r="AN566" s="448"/>
      <c r="AO566" s="448"/>
      <c r="AP566" s="860"/>
      <c r="AQ566" s="448"/>
      <c r="AR566" s="448"/>
      <c r="AS566" s="423"/>
      <c r="AT566" s="448"/>
      <c r="AU566" s="448"/>
      <c r="AV566" s="448"/>
      <c r="AW566" s="448"/>
      <c r="AX566" s="448"/>
      <c r="AY566" s="425" t="s">
        <v>140</v>
      </c>
      <c r="AZ566" s="860" t="s">
        <v>140</v>
      </c>
      <c r="BA566" s="448"/>
      <c r="BB566" s="448"/>
      <c r="BC566" s="448"/>
      <c r="BD566" s="448"/>
      <c r="BE566" s="448"/>
      <c r="BF566" s="425"/>
      <c r="BG566" s="448">
        <v>8</v>
      </c>
      <c r="BH566" s="448"/>
      <c r="BI566" s="448"/>
      <c r="BJ566" s="448">
        <v>3</v>
      </c>
      <c r="BK566" s="448"/>
      <c r="BL566" s="448"/>
      <c r="BM566" s="448"/>
      <c r="BN566" s="448"/>
      <c r="BO566" s="448"/>
      <c r="BP566" s="425" t="s">
        <v>41</v>
      </c>
      <c r="BQ566" s="424"/>
      <c r="BR566" s="423"/>
      <c r="BS566" s="425"/>
      <c r="BT566" s="423"/>
      <c r="BU566" s="423"/>
      <c r="BV566" s="425"/>
      <c r="BW566" s="423"/>
      <c r="BX566" s="448"/>
      <c r="BY566" s="448"/>
      <c r="BZ566" s="448"/>
      <c r="CA566" s="448"/>
      <c r="CB566" s="448"/>
      <c r="CC566" s="777"/>
      <c r="CD566" s="448"/>
      <c r="CE566" s="631" t="str">
        <f>IFERROR(WWWW[[#This Row],['#_Water sources passed]]/WWWW[[#This Row],['#_Water sources tested for fecal coliform ]],"no test")</f>
        <v>no test</v>
      </c>
      <c r="CF566" s="423" t="str">
        <f>IFERROR(WWWW[[#This Row],['#_Household passed]]/WWWW[[#This Row],['#_Household water samples tested for fecal coliform]],"no test")</f>
        <v>no test</v>
      </c>
      <c r="CG566" s="424" t="str">
        <f>IF(AND(WWWW[[#This Row],[% of water sources passed]]="no test",WWWW[[#This Row],[% Household passed]]="no test"),"No Test","Tested")</f>
        <v>No Test</v>
      </c>
      <c r="CH566" s="424">
        <f>WWWW[[#This Row],['#_Constructed/existing protected hand dug well]]-WWWW[[#This Row],['#_Non-functional protected hand dug well]]</f>
        <v>0</v>
      </c>
      <c r="CI566" s="424">
        <f>(WWWW[[#This Row],['#_Constructed/Existing tube wells/boreholes/handpumps_WASH_agency]]+WWWW[[#This Row],['#_Non-Cluster partner water tube-wells/boreholes/handpumps]])-WWWW[[#This Row],['#_Non-functional tube wells/boreholes/handpumps]]</f>
        <v>0</v>
      </c>
      <c r="CJ566" s="424">
        <f>WWWW[[#This Row],['#_Constructed/Existingwater storage tank with gravity fed reticulation system]]-WWWW[[#This Row],['#_Non-functional storage tank gravity fed reticulation system]]</f>
        <v>0</v>
      </c>
      <c r="CK566" s="424">
        <f>(WWWW[[#This Row],['#_Water_Liters_supplied_by_Water boating or water trucking]]/90)/15</f>
        <v>0</v>
      </c>
      <c r="CL566" s="424">
        <f>WWWW[[#This Row],['#_Water_Liters_from_Constructed/Existing water distribution system from river or natural spring]]/90/15</f>
        <v>0</v>
      </c>
      <c r="CM566" s="424">
        <f>IF(WWWW[[#This Row],['#_of water points in TLS/CFS]]*500&gt;WWWW[[#This Row],[Total PoP ]],WWWW[[#This Row],[Total PoP ]],WWWW[[#This Row],['#_of water points in TLS/CFS]]*500)</f>
        <v>0</v>
      </c>
      <c r="CN566" s="424">
        <f>IF(WWWW[[#This Row],['#_of water points in THF]]*500&gt;WWWW[[#This Row],[Total PoP ]],WWWW[[#This Row],[Total PoP ]],WWWW[[#This Row],['#_of water points in THF]]*500)</f>
        <v>0</v>
      </c>
      <c r="CO566"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66"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66" s="423">
        <f>IF(WWWW[[#This Row],[Location Type 1]]="Village",WWWW[[#This Row],[Access to safe drinking water for Village]],WWWW[[#This Row],[Access to safe drinking water for Camp]])</f>
        <v>0</v>
      </c>
      <c r="CR566" s="428">
        <f>WWWW[[#This Row],[%Equitable and continuous access to sufficient quantity of safe drinking water]]*WWWW[[#This Row],[Total PoP ]]</f>
        <v>0</v>
      </c>
      <c r="CS566" s="423">
        <f>IF((WWWW[[#This Row],['#_Constructed/Existing protected/fenced ponds]]*250)/WWWW[[#This Row],[Total PoP ]]&gt;1,1,(WWWW[[#This Row],['#_Constructed/Existing protected/fenced ponds]]*250)/WWWW[[#This Row],[Total PoP ]])</f>
        <v>0</v>
      </c>
      <c r="CT566" s="428">
        <f>WWWW[[#This Row],[% Access to unimproved water points]]*WWWW[[#This Row],[Total PoP ]]</f>
        <v>0</v>
      </c>
      <c r="CU566"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66"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66" s="428">
        <f>WWWW[[#This Row],[HRP1]]/500</f>
        <v>0</v>
      </c>
      <c r="CX566" s="898">
        <f>1-WWWW[[#This Row],[% Equitable and continuous access to sufficient quantity of domestic water]]</f>
        <v>1</v>
      </c>
      <c r="CY566" s="428">
        <f>WWWW[[#This Row],[%equitable and continuous access to sufficient quantity of safe drinking and domestic water''s GAP]]*WWWW[[#This Row],[Total PoP ]]</f>
        <v>60</v>
      </c>
      <c r="CZ566" s="424">
        <f>IF(WWWW[[#This Row],[Total required water points]]-WWWW[[#This Row],['#Water points coverage]]&lt;0,0,WWWW[[#This Row],[Total required water points]]-WWWW[[#This Row],['#Water points coverage]])</f>
        <v>1</v>
      </c>
      <c r="DA566" s="424">
        <f>ROUND(IF(WWWW[[#This Row],[Total PoP ]]&lt;500,1,WWWW[[#This Row],[Total PoP ]]/500),0)</f>
        <v>1</v>
      </c>
      <c r="DB566" s="424">
        <f>(WWWW[[#This Row],['#_Constructed latrines_by_WASHAgencies]]+WWWW[[#This Row],['#_Non Cluster partner latrines]])-WWWW[[#This Row],['#_Non-functional latrines]]</f>
        <v>0</v>
      </c>
      <c r="DC566" s="631">
        <f>WWWW[[#This Row],[HRP2]]/WWWW[[#This Row],[Total PoP ]]</f>
        <v>0</v>
      </c>
      <c r="DD566"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66"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6"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6" s="424">
        <f>IF(WWWW[[#This Row],['# of functional latrines in THF supported by WASH partners during the reporting period2]]="",0,WWWW[[#This Row],['# of functional latrines in THF supported by WASH partners during the reporting period2]]*50)</f>
        <v>0</v>
      </c>
      <c r="DH566" s="424">
        <f>ROUND(IF(WWWW[[#This Row],[Location Type 1]]="camp",WWWW[[#This Row],[Total PoP ]]/20,IF(WWWW[[#This Row],[Location Type 1]]="Temporary Location",WWWW[[#This Row],[Total PoP ]]/50,(WWWW[[#This Row],[Total PoP ]]/6))),0)</f>
        <v>3</v>
      </c>
      <c r="DI566" s="424">
        <f>IF(WWWW[[#This Row],[Total required Latrines]]-(WWWW[[#This Row],['#_Constructed latrines_by_WASHAgencies]]+WWWW[[#This Row],['#_Non Cluster partner latrines]])&lt;0,0,WWWW[[#This Row],[Total required Latrines]]-(WWWW[[#This Row],['#_Constructed latrines_by_WASHAgencies]]+WWWW[[#This Row],['#_Non Cluster partner latrines]]))</f>
        <v>3</v>
      </c>
      <c r="DJ566" s="898">
        <f>1-WWWW[[#This Row],[% people access to functioning Latrine]]</f>
        <v>1</v>
      </c>
      <c r="DK566" s="631">
        <f>IF(OR(WWWW[[#This Row],['#_Non-functional latrines]]="",WWWW[[#This Row],['#_Non-functional latrines]]=0),0,WWWW[[#This Row],['#_Non-functional latrines]]/(WWWW[[#This Row],['#_Constructed latrines_by_WASHAgencies]]+WWWW[[#This Row],['#_Non Cluster partner latrines]]))</f>
        <v>0</v>
      </c>
      <c r="DL566" s="428">
        <f>IF(500*(WWWW[[#This Row],['#_male hygiene promoters]]+WWWW[[#This Row],['#_female hygiene promoters]])&gt;WWWW[[#This Row],[Total PoP ]],WWWW[[#This Row],[Total PoP ]],500*(WWWW[[#This Row],['#_male hygiene promoters]]+WWWW[[#This Row],['#_female hygiene promoters]]))</f>
        <v>0</v>
      </c>
      <c r="DM566"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66"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66" s="424">
        <f>IF(WWWW[[#This Row],['# People with access to soap]]&gt;WWWW[[#This Row],['# People with access to Sanity Pads]],WWWW[[#This Row],['# People with access to soap]],WWWW[[#This Row],['# People with access to Sanity Pads]])</f>
        <v>0</v>
      </c>
      <c r="DP566"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66" s="898">
        <f>IF(WWWW[[#This Row],[HRP3]]/WWWW[[#This Row],[Total PoP ]]&gt;1,1,WWWW[[#This Row],[HRP3]]/WWWW[[#This Row],[Total PoP ]])</f>
        <v>0</v>
      </c>
      <c r="DR566" s="631">
        <f>1-WWWW[[#This Row],[Hygiene Coverage%]]</f>
        <v>1</v>
      </c>
      <c r="DS566" s="423">
        <f>WWWW[[#This Row],['# people reached by regular dedicated hygiene promotion_5]]/WWWW[[#This Row],[Total PoP ]]</f>
        <v>0</v>
      </c>
      <c r="DT566"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66"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66" s="424">
        <f>WWWW[[#This Row],['#_Constructed/Existing hand washing stations]]-WWWW[[#This Row],['#_Non-Functional_hand_washing_stations]]</f>
        <v>8</v>
      </c>
      <c r="DW566" s="428">
        <f>IF(WWWW[[#This Row],['# Functional hand washing stations during reporting period]]*20&gt;WWWW[[#This Row],[Total HH]],WWWW[[#This Row],[Total HH]],WWWW[[#This Row],['# Functional hand washing stations during reporting period]]*20)</f>
        <v>19</v>
      </c>
      <c r="DX566" s="428">
        <f>IF(WWWW[[#This Row],[Is sufficient soap available for TLS? (Yes/No)]]="yes",WWWW[[#This Row],['#_Constructed/Existing hand washing stations at TLS/CFS/THF]],0)</f>
        <v>0</v>
      </c>
      <c r="DY566" s="428">
        <f>IF(WWWW[[#This Row],['# Functional hand washing stations during reporting period]]*100&gt;WWWW[[#This Row],[Total PoP ]],WWWW[[#This Row],[Total PoP ]],WWWW[[#This Row],['# Functional hand washing stations during reporting period]]*100)</f>
        <v>60</v>
      </c>
      <c r="DZ566" s="428" t="str">
        <f>IF(OR(WWWW[[#This Row],['#_students at TLS_CFS]]="",WWWW[[#This Row],['#_students at TLS_CFS]]=0),"No","Yes")</f>
        <v>No</v>
      </c>
      <c r="EA56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6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6" s="425">
        <f>VLOOKUP(WWWW[[#This Row],[Site Name]],SiteDB6[[Site Name]:[CCCM Management]],6,FALSE)</f>
        <v>0</v>
      </c>
      <c r="EF566" s="425">
        <f>VLOOKUP(WWWW[[#This Row],[Site Name]],SiteDB6[[Site Name]:[CCCM Focal Agency]],7,FALSE)</f>
        <v>0</v>
      </c>
      <c r="EG566" s="425" t="str">
        <f>VLOOKUP(WWWW[[#This Row],[Site Name]],SiteDB6[[Site Name]:[Location Type 1]],9,FALSE)</f>
        <v>Camp</v>
      </c>
      <c r="EH566" s="425" t="str">
        <f>VLOOKUP(WWWW[[#This Row],[Site Name]],SiteDB6[[Site Name]:[Type of Accommodation]],10,FALSE)</f>
        <v>IDPs in host</v>
      </c>
      <c r="EI566" s="425" t="str">
        <f>VLOOKUP(WWWW[[#This Row],[Site Name]],SiteDB6[[Site Name]:[Ethnic or GCA/NGCA]],11,FALSE)</f>
        <v>GCA</v>
      </c>
      <c r="EJ566" s="425">
        <f>VLOOKUP(WWWW[[#This Row],[Site Name]],SiteDB6[[Site Name]:[Lat]],12,FALSE)</f>
        <v>23.963060379028299</v>
      </c>
      <c r="EK566" s="425">
        <f>VLOOKUP(WWWW[[#This Row],[Site Name]],SiteDB6[[Site Name]:[Long]],13,FALSE)</f>
        <v>98.127189636230497</v>
      </c>
      <c r="EL566" s="425" t="str">
        <f>VLOOKUP(WWWW[[#This Row],[Site Name]],SiteDB6[[Site Name]:[Pcode]],3,FALSE)</f>
        <v>MMR015CMP076</v>
      </c>
      <c r="EM566" s="860" t="str">
        <f t="shared" si="12"/>
        <v>Covered</v>
      </c>
      <c r="EN566" s="860"/>
      <c r="EO566" s="425">
        <f>VLOOKUP(WWWW[[#This Row],[Site Name]],SiteDB6[[Site Name]:[Pop
(Kachin/Shan-CCCM as of July 2021)]],16,FALSE)</f>
        <v>19</v>
      </c>
      <c r="EP566" s="425">
        <f>VLOOKUP(WWWW[[#This Row],[Site Name]],SiteDB6[[Site Name]:[Pop
(Kachin/Shan-CCCM as of July 2021)]],17,FALSE)</f>
        <v>60</v>
      </c>
    </row>
    <row r="567" spans="1:146">
      <c r="A567" s="1044" t="s">
        <v>2765</v>
      </c>
      <c r="B567" s="1044" t="s">
        <v>192</v>
      </c>
      <c r="C567" s="1045" t="s">
        <v>192</v>
      </c>
      <c r="D567" s="1045" t="s">
        <v>2673</v>
      </c>
      <c r="E567" s="1045" t="s">
        <v>515</v>
      </c>
      <c r="F567" s="1045" t="s">
        <v>519</v>
      </c>
      <c r="G567" s="1043" t="str">
        <f>VLOOKUP(WWWW[[#This Row],[Site Name]],SiteDB6[[Site Name]:[Location Type]],8,FALSE)</f>
        <v>Camp</v>
      </c>
      <c r="H567" s="1045" t="s">
        <v>1617</v>
      </c>
      <c r="I567" s="448">
        <v>64</v>
      </c>
      <c r="J567" s="448">
        <v>251</v>
      </c>
      <c r="K567" s="588">
        <v>44511</v>
      </c>
      <c r="L567" s="589">
        <v>44875</v>
      </c>
      <c r="M567" s="448"/>
      <c r="N567" s="448">
        <v>1</v>
      </c>
      <c r="O567" s="448"/>
      <c r="P567" s="448"/>
      <c r="Q567" s="428" t="s">
        <v>41</v>
      </c>
      <c r="R567" s="448">
        <v>4</v>
      </c>
      <c r="S567" s="448">
        <v>5</v>
      </c>
      <c r="T567" s="448"/>
      <c r="U567" s="448"/>
      <c r="V567" s="448"/>
      <c r="W567" s="448"/>
      <c r="X567" s="448"/>
      <c r="Y567" s="448"/>
      <c r="Z567" s="448"/>
      <c r="AA567" s="448">
        <v>14</v>
      </c>
      <c r="AB567" s="448"/>
      <c r="AC567" s="448"/>
      <c r="AD567" s="448"/>
      <c r="AE567" s="448"/>
      <c r="AF567" s="448"/>
      <c r="AG567" s="448"/>
      <c r="AH567" s="448">
        <v>1</v>
      </c>
      <c r="AI567" s="448"/>
      <c r="AJ567" s="448"/>
      <c r="AK567" s="448"/>
      <c r="AL567" s="448"/>
      <c r="AM567" s="448">
        <v>3</v>
      </c>
      <c r="AN567" s="448"/>
      <c r="AO567" s="448"/>
      <c r="AP567" s="860"/>
      <c r="AQ567" s="448">
        <v>71</v>
      </c>
      <c r="AR567" s="448"/>
      <c r="AS567" s="423"/>
      <c r="AT567" s="448"/>
      <c r="AU567" s="448"/>
      <c r="AV567" s="448"/>
      <c r="AW567" s="448"/>
      <c r="AX567" s="448"/>
      <c r="AY567" s="425" t="s">
        <v>136</v>
      </c>
      <c r="AZ567" s="860" t="s">
        <v>904</v>
      </c>
      <c r="BA567" s="448"/>
      <c r="BB567" s="448"/>
      <c r="BC567" s="448">
        <v>4</v>
      </c>
      <c r="BD567" s="448"/>
      <c r="BE567" s="448"/>
      <c r="BF567" s="425"/>
      <c r="BG567" s="448">
        <v>5</v>
      </c>
      <c r="BH567" s="448"/>
      <c r="BI567" s="448"/>
      <c r="BJ567" s="448">
        <v>3</v>
      </c>
      <c r="BK567" s="448"/>
      <c r="BL567" s="448">
        <v>1</v>
      </c>
      <c r="BM567" s="448"/>
      <c r="BN567" s="448"/>
      <c r="BO567" s="448"/>
      <c r="BP567" s="425" t="s">
        <v>41</v>
      </c>
      <c r="BQ567" s="424">
        <v>3</v>
      </c>
      <c r="BR567" s="423">
        <v>1</v>
      </c>
      <c r="BS567" s="425"/>
      <c r="BT567" s="423"/>
      <c r="BU567" s="423"/>
      <c r="BV567" s="425"/>
      <c r="BW567" s="423"/>
      <c r="BX567" s="448"/>
      <c r="BY567" s="448"/>
      <c r="BZ567" s="448"/>
      <c r="CA567" s="448"/>
      <c r="CB567" s="448"/>
      <c r="CC567" s="777"/>
      <c r="CD567" s="448"/>
      <c r="CE567" s="631" t="str">
        <f>IFERROR(WWWW[[#This Row],['#_Water sources passed]]/WWWW[[#This Row],['#_Water sources tested for fecal coliform ]],"no test")</f>
        <v>no test</v>
      </c>
      <c r="CF567" s="423" t="str">
        <f>IFERROR(WWWW[[#This Row],['#_Household passed]]/WWWW[[#This Row],['#_Household water samples tested for fecal coliform]],"no test")</f>
        <v>no test</v>
      </c>
      <c r="CG567" s="424" t="str">
        <f>IF(AND(WWWW[[#This Row],[% of water sources passed]]="no test",WWWW[[#This Row],[% Household passed]]="no test"),"No Test","Tested")</f>
        <v>No Test</v>
      </c>
      <c r="CH567" s="424">
        <f>WWWW[[#This Row],['#_Constructed/existing protected hand dug well]]-WWWW[[#This Row],['#_Non-functional protected hand dug well]]</f>
        <v>0</v>
      </c>
      <c r="CI567" s="424">
        <f>(WWWW[[#This Row],['#_Constructed/Existing tube wells/boreholes/handpumps_WASH_agency]]+WWWW[[#This Row],['#_Non-Cluster partner water tube-wells/boreholes/handpumps]])-WWWW[[#This Row],['#_Non-functional tube wells/boreholes/handpumps]]</f>
        <v>0</v>
      </c>
      <c r="CJ567" s="424">
        <f>WWWW[[#This Row],['#_Constructed/Existingwater storage tank with gravity fed reticulation system]]-WWWW[[#This Row],['#_Non-functional storage tank gravity fed reticulation system]]</f>
        <v>14</v>
      </c>
      <c r="CK567" s="424">
        <f>(WWWW[[#This Row],['#_Water_Liters_supplied_by_Water boating or water trucking]]/90)/15</f>
        <v>0</v>
      </c>
      <c r="CL567" s="424">
        <f>WWWW[[#This Row],['#_Water_Liters_from_Constructed/Existing water distribution system from river or natural spring]]/90/15</f>
        <v>0</v>
      </c>
      <c r="CM567" s="424">
        <f>IF(WWWW[[#This Row],['#_of water points in TLS/CFS]]*500&gt;WWWW[[#This Row],[Total PoP ]],WWWW[[#This Row],[Total PoP ]],WWWW[[#This Row],['#_of water points in TLS/CFS]]*500)</f>
        <v>0</v>
      </c>
      <c r="CN567" s="424">
        <f>IF(WWWW[[#This Row],['#_of water points in THF]]*500&gt;WWWW[[#This Row],[Total PoP ]],WWWW[[#This Row],[Total PoP ]],WWWW[[#This Row],['#_of water points in THF]]*500)</f>
        <v>0</v>
      </c>
      <c r="CO567"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67"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67" s="423">
        <f>IF(WWWW[[#This Row],[Location Type 1]]="Village",WWWW[[#This Row],[Access to safe drinking water for Village]],WWWW[[#This Row],[Access to safe drinking water for Camp]])</f>
        <v>1</v>
      </c>
      <c r="CR567" s="428">
        <f>WWWW[[#This Row],[%Equitable and continuous access to sufficient quantity of safe drinking water]]*WWWW[[#This Row],[Total PoP ]]</f>
        <v>251</v>
      </c>
      <c r="CS567" s="423">
        <f>IF((WWWW[[#This Row],['#_Constructed/Existing protected/fenced ponds]]*250)/WWWW[[#This Row],[Total PoP ]]&gt;1,1,(WWWW[[#This Row],['#_Constructed/Existing protected/fenced ponds]]*250)/WWWW[[#This Row],[Total PoP ]])</f>
        <v>0</v>
      </c>
      <c r="CT567" s="428">
        <f>WWWW[[#This Row],[% Access to unimproved water points]]*WWWW[[#This Row],[Total PoP ]]</f>
        <v>0</v>
      </c>
      <c r="CU567"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67"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CW567" s="428">
        <f>WWWW[[#This Row],[HRP1]]/500</f>
        <v>0.502</v>
      </c>
      <c r="CX567" s="898">
        <f>1-WWWW[[#This Row],[% Equitable and continuous access to sufficient quantity of domestic water]]</f>
        <v>0</v>
      </c>
      <c r="CY567" s="428">
        <f>WWWW[[#This Row],[%equitable and continuous access to sufficient quantity of safe drinking and domestic water''s GAP]]*WWWW[[#This Row],[Total PoP ]]</f>
        <v>0</v>
      </c>
      <c r="CZ567" s="424">
        <f>IF(WWWW[[#This Row],[Total required water points]]-WWWW[[#This Row],['#Water points coverage]]&lt;0,0,WWWW[[#This Row],[Total required water points]]-WWWW[[#This Row],['#Water points coverage]])</f>
        <v>0.498</v>
      </c>
      <c r="DA567" s="424">
        <f>ROUND(IF(WWWW[[#This Row],[Total PoP ]]&lt;500,1,WWWW[[#This Row],[Total PoP ]]/500),0)</f>
        <v>1</v>
      </c>
      <c r="DB567" s="424">
        <f>(WWWW[[#This Row],['#_Constructed latrines_by_WASHAgencies]]+WWWW[[#This Row],['#_Non Cluster partner latrines]])-WWWW[[#This Row],['#_Non-functional latrines]]</f>
        <v>71</v>
      </c>
      <c r="DC567" s="631">
        <f>WWWW[[#This Row],[HRP2]]/WWWW[[#This Row],[Total PoP ]]</f>
        <v>1</v>
      </c>
      <c r="DD567"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251</v>
      </c>
      <c r="DE567"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7"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7" s="424">
        <f>IF(WWWW[[#This Row],['# of functional latrines in THF supported by WASH partners during the reporting period2]]="",0,WWWW[[#This Row],['# of functional latrines in THF supported by WASH partners during the reporting period2]]*50)</f>
        <v>0</v>
      </c>
      <c r="DH567" s="424">
        <f>ROUND(IF(WWWW[[#This Row],[Location Type 1]]="camp",WWWW[[#This Row],[Total PoP ]]/20,IF(WWWW[[#This Row],[Location Type 1]]="Temporary Location",WWWW[[#This Row],[Total PoP ]]/50,(WWWW[[#This Row],[Total PoP ]]/6))),0)</f>
        <v>42</v>
      </c>
      <c r="DI567" s="424">
        <f>IF(WWWW[[#This Row],[Total required Latrines]]-(WWWW[[#This Row],['#_Constructed latrines_by_WASHAgencies]]+WWWW[[#This Row],['#_Non Cluster partner latrines]])&lt;0,0,WWWW[[#This Row],[Total required Latrines]]-(WWWW[[#This Row],['#_Constructed latrines_by_WASHAgencies]]+WWWW[[#This Row],['#_Non Cluster partner latrines]]))</f>
        <v>0</v>
      </c>
      <c r="DJ567" s="898">
        <f>1-WWWW[[#This Row],[% people access to functioning Latrine]]</f>
        <v>0</v>
      </c>
      <c r="DK567" s="631">
        <f>IF(OR(WWWW[[#This Row],['#_Non-functional latrines]]="",WWWW[[#This Row],['#_Non-functional latrines]]=0),0,WWWW[[#This Row],['#_Non-functional latrines]]/(WWWW[[#This Row],['#_Constructed latrines_by_WASHAgencies]]+WWWW[[#This Row],['#_Non Cluster partner latrines]]))</f>
        <v>0</v>
      </c>
      <c r="DL567" s="428">
        <f>IF(500*(WWWW[[#This Row],['#_male hygiene promoters]]+WWWW[[#This Row],['#_female hygiene promoters]])&gt;WWWW[[#This Row],[Total PoP ]],WWWW[[#This Row],[Total PoP ]],500*(WWWW[[#This Row],['#_male hygiene promoters]]+WWWW[[#This Row],['#_female hygiene promoters]]))</f>
        <v>251</v>
      </c>
      <c r="DM567"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67"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67" s="424">
        <f>IF(WWWW[[#This Row],['# People with access to soap]]&gt;WWWW[[#This Row],['# People with access to Sanity Pads]],WWWW[[#This Row],['# People with access to soap]],WWWW[[#This Row],['# People with access to Sanity Pads]])</f>
        <v>0</v>
      </c>
      <c r="DP567" s="424">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Q567" s="898">
        <f>IF(WWWW[[#This Row],[HRP3]]/WWWW[[#This Row],[Total PoP ]]&gt;1,1,WWWW[[#This Row],[HRP3]]/WWWW[[#This Row],[Total PoP ]])</f>
        <v>1</v>
      </c>
      <c r="DR567" s="631">
        <f>1-WWWW[[#This Row],[Hygiene Coverage%]]</f>
        <v>0</v>
      </c>
      <c r="DS567" s="423">
        <f>WWWW[[#This Row],['# people reached by regular dedicated hygiene promotion_5]]/WWWW[[#This Row],[Total PoP ]]</f>
        <v>1</v>
      </c>
      <c r="DT567"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67"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67" s="424">
        <f>WWWW[[#This Row],['#_Constructed/Existing hand washing stations]]-WWWW[[#This Row],['#_Non-Functional_hand_washing_stations]]</f>
        <v>5</v>
      </c>
      <c r="DW567" s="428">
        <f>IF(WWWW[[#This Row],['# Functional hand washing stations during reporting period]]*20&gt;WWWW[[#This Row],[Total HH]],WWWW[[#This Row],[Total HH]],WWWW[[#This Row],['# Functional hand washing stations during reporting period]]*20)</f>
        <v>64</v>
      </c>
      <c r="DX567" s="428">
        <f>IF(WWWW[[#This Row],[Is sufficient soap available for TLS? (Yes/No)]]="yes",WWWW[[#This Row],['#_Constructed/Existing hand washing stations at TLS/CFS/THF]],0)</f>
        <v>3</v>
      </c>
      <c r="DY567" s="428">
        <f>IF(WWWW[[#This Row],['# Functional hand washing stations during reporting period]]*100&gt;WWWW[[#This Row],[Total PoP ]],WWWW[[#This Row],[Total PoP ]],WWWW[[#This Row],['# Functional hand washing stations during reporting period]]*100)</f>
        <v>251</v>
      </c>
      <c r="DZ567" s="428" t="str">
        <f>IF(OR(WWWW[[#This Row],['#_students at TLS_CFS]]="",WWWW[[#This Row],['#_students at TLS_CFS]]=0),"No","Yes")</f>
        <v>No</v>
      </c>
      <c r="EA56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6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7" s="425" t="str">
        <f>VLOOKUP(WWWW[[#This Row],[Site Name]],SiteDB6[[Site Name]:[CCCM Management]],6,FALSE)</f>
        <v>Yes</v>
      </c>
      <c r="EF567" s="425" t="str">
        <f>VLOOKUP(WWWW[[#This Row],[Site Name]],SiteDB6[[Site Name]:[CCCM Focal Agency]],7,FALSE)</f>
        <v>KMSS-LSO</v>
      </c>
      <c r="EG567" s="425" t="str">
        <f>VLOOKUP(WWWW[[#This Row],[Site Name]],SiteDB6[[Site Name]:[Location Type 1]],9,FALSE)</f>
        <v>Village Type Camp</v>
      </c>
      <c r="EH567" s="425" t="str">
        <f>VLOOKUP(WWWW[[#This Row],[Site Name]],SiteDB6[[Site Name]:[Type of Accommodation]],10,FALSE)</f>
        <v>Camp</v>
      </c>
      <c r="EI567" s="425" t="str">
        <f>VLOOKUP(WWWW[[#This Row],[Site Name]],SiteDB6[[Site Name]:[Ethnic or GCA/NGCA]],11,FALSE)</f>
        <v>GCA</v>
      </c>
      <c r="EJ567" s="425">
        <f>VLOOKUP(WWWW[[#This Row],[Site Name]],SiteDB6[[Site Name]:[Lat]],12,FALSE)</f>
        <v>23.588920000000002</v>
      </c>
      <c r="EK567" s="425">
        <f>VLOOKUP(WWWW[[#This Row],[Site Name]],SiteDB6[[Site Name]:[Long]],13,FALSE)</f>
        <v>97.793019999999999</v>
      </c>
      <c r="EL567" s="425" t="str">
        <f>VLOOKUP(WWWW[[#This Row],[Site Name]],SiteDB6[[Site Name]:[Pcode]],3,FALSE)</f>
        <v>MMR015CMP018</v>
      </c>
      <c r="EM567" s="860" t="str">
        <f t="shared" si="12"/>
        <v>Covered</v>
      </c>
      <c r="EN567" s="860"/>
      <c r="EO567" s="425">
        <f>VLOOKUP(WWWW[[#This Row],[Site Name]],SiteDB6[[Site Name]:[Pop
(Kachin/Shan-CCCM as of July 2021)]],16,FALSE)</f>
        <v>66</v>
      </c>
      <c r="EP567" s="425">
        <f>VLOOKUP(WWWW[[#This Row],[Site Name]],SiteDB6[[Site Name]:[Pop
(Kachin/Shan-CCCM as of July 2021)]],17,FALSE)</f>
        <v>248</v>
      </c>
    </row>
    <row r="568" spans="1:146">
      <c r="A568" s="707" t="s">
        <v>2765</v>
      </c>
      <c r="B568" s="707" t="s">
        <v>192</v>
      </c>
      <c r="C568" s="369" t="s">
        <v>192</v>
      </c>
      <c r="D568" s="369" t="s">
        <v>241</v>
      </c>
      <c r="E568" s="369" t="s">
        <v>515</v>
      </c>
      <c r="F568" s="369" t="s">
        <v>960</v>
      </c>
      <c r="G568" s="591" t="str">
        <f>VLOOKUP(WWWW[[#This Row],[Site Name]],SiteDB6[[Site Name]:[Location Type]],8,FALSE)</f>
        <v>Camp</v>
      </c>
      <c r="H568" s="369" t="s">
        <v>2983</v>
      </c>
      <c r="I568" s="448">
        <v>9</v>
      </c>
      <c r="J568" s="448">
        <v>28</v>
      </c>
      <c r="K568" s="800">
        <v>44511</v>
      </c>
      <c r="L568" s="56">
        <v>44875</v>
      </c>
      <c r="M568" s="448"/>
      <c r="N568" s="448"/>
      <c r="O568" s="448"/>
      <c r="P568" s="448"/>
      <c r="Q568" s="428"/>
      <c r="R568" s="448"/>
      <c r="S568" s="448"/>
      <c r="T568" s="448"/>
      <c r="U568" s="448"/>
      <c r="V568" s="448"/>
      <c r="W568" s="448"/>
      <c r="X568" s="448"/>
      <c r="Y568" s="448"/>
      <c r="Z568" s="448"/>
      <c r="AA568" s="448"/>
      <c r="AB568" s="448"/>
      <c r="AC568" s="448"/>
      <c r="AD568" s="448"/>
      <c r="AE568" s="448"/>
      <c r="AF568" s="448"/>
      <c r="AG568" s="448"/>
      <c r="AH568" s="448"/>
      <c r="AI568" s="448"/>
      <c r="AJ568" s="448"/>
      <c r="AK568" s="448"/>
      <c r="AL568" s="448"/>
      <c r="AM568" s="448"/>
      <c r="AN568" s="448"/>
      <c r="AO568" s="448"/>
      <c r="AP568" s="860"/>
      <c r="AQ568" s="448"/>
      <c r="AR568" s="448">
        <v>6</v>
      </c>
      <c r="AS568" s="423"/>
      <c r="AT568" s="448"/>
      <c r="AU568" s="448"/>
      <c r="AV568" s="448"/>
      <c r="AW568" s="448"/>
      <c r="AX568" s="448"/>
      <c r="AY568" s="425" t="s">
        <v>140</v>
      </c>
      <c r="AZ568" s="860" t="s">
        <v>140</v>
      </c>
      <c r="BA568" s="448"/>
      <c r="BB568" s="448"/>
      <c r="BC568" s="448"/>
      <c r="BD568" s="448"/>
      <c r="BE568" s="448"/>
      <c r="BF568" s="425"/>
      <c r="BG568" s="448"/>
      <c r="BH568" s="448"/>
      <c r="BI568" s="448"/>
      <c r="BJ568" s="448"/>
      <c r="BK568" s="448"/>
      <c r="BL568" s="448"/>
      <c r="BM568" s="448"/>
      <c r="BN568" s="448"/>
      <c r="BO568" s="448"/>
      <c r="BP568" s="425" t="s">
        <v>41</v>
      </c>
      <c r="BQ568" s="424"/>
      <c r="BR568" s="423"/>
      <c r="BS568" s="425"/>
      <c r="BT568" s="423"/>
      <c r="BU568" s="423"/>
      <c r="BV568" s="425"/>
      <c r="BW568" s="423"/>
      <c r="BX568" s="448"/>
      <c r="BY568" s="448"/>
      <c r="BZ568" s="448"/>
      <c r="CA568" s="448"/>
      <c r="CB568" s="448"/>
      <c r="CC568" s="777"/>
      <c r="CD568" s="448"/>
      <c r="CE568" s="631" t="str">
        <f>IFERROR(WWWW[[#This Row],['#_Water sources passed]]/WWWW[[#This Row],['#_Water sources tested for fecal coliform ]],"no test")</f>
        <v>no test</v>
      </c>
      <c r="CF568" s="423" t="str">
        <f>IFERROR(WWWW[[#This Row],['#_Household passed]]/WWWW[[#This Row],['#_Household water samples tested for fecal coliform]],"no test")</f>
        <v>no test</v>
      </c>
      <c r="CG568" s="424" t="str">
        <f>IF(AND(WWWW[[#This Row],[% of water sources passed]]="no test",WWWW[[#This Row],[% Household passed]]="no test"),"No Test","Tested")</f>
        <v>No Test</v>
      </c>
      <c r="CH568" s="424">
        <f>WWWW[[#This Row],['#_Constructed/existing protected hand dug well]]-WWWW[[#This Row],['#_Non-functional protected hand dug well]]</f>
        <v>0</v>
      </c>
      <c r="CI568" s="424">
        <f>(WWWW[[#This Row],['#_Constructed/Existing tube wells/boreholes/handpumps_WASH_agency]]+WWWW[[#This Row],['#_Non-Cluster partner water tube-wells/boreholes/handpumps]])-WWWW[[#This Row],['#_Non-functional tube wells/boreholes/handpumps]]</f>
        <v>0</v>
      </c>
      <c r="CJ568" s="424">
        <f>WWWW[[#This Row],['#_Constructed/Existingwater storage tank with gravity fed reticulation system]]-WWWW[[#This Row],['#_Non-functional storage tank gravity fed reticulation system]]</f>
        <v>0</v>
      </c>
      <c r="CK568" s="424">
        <f>(WWWW[[#This Row],['#_Water_Liters_supplied_by_Water boating or water trucking]]/90)/15</f>
        <v>0</v>
      </c>
      <c r="CL568" s="424">
        <f>WWWW[[#This Row],['#_Water_Liters_from_Constructed/Existing water distribution system from river or natural spring]]/90/15</f>
        <v>0</v>
      </c>
      <c r="CM568" s="424">
        <f>IF(WWWW[[#This Row],['#_of water points in TLS/CFS]]*500&gt;WWWW[[#This Row],[Total PoP ]],WWWW[[#This Row],[Total PoP ]],WWWW[[#This Row],['#_of water points in TLS/CFS]]*500)</f>
        <v>0</v>
      </c>
      <c r="CN568" s="424">
        <f>IF(WWWW[[#This Row],['#_of water points in THF]]*500&gt;WWWW[[#This Row],[Total PoP ]],WWWW[[#This Row],[Total PoP ]],WWWW[[#This Row],['#_of water points in THF]]*500)</f>
        <v>0</v>
      </c>
      <c r="CO568"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68"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68" s="423">
        <f>IF(WWWW[[#This Row],[Location Type 1]]="Village",WWWW[[#This Row],[Access to safe drinking water for Village]],WWWW[[#This Row],[Access to safe drinking water for Camp]])</f>
        <v>0</v>
      </c>
      <c r="CR568" s="428">
        <f>WWWW[[#This Row],[%Equitable and continuous access to sufficient quantity of safe drinking water]]*WWWW[[#This Row],[Total PoP ]]</f>
        <v>0</v>
      </c>
      <c r="CS568" s="423">
        <f>IF((WWWW[[#This Row],['#_Constructed/Existing protected/fenced ponds]]*250)/WWWW[[#This Row],[Total PoP ]]&gt;1,1,(WWWW[[#This Row],['#_Constructed/Existing protected/fenced ponds]]*250)/WWWW[[#This Row],[Total PoP ]])</f>
        <v>0</v>
      </c>
      <c r="CT568" s="428">
        <f>WWWW[[#This Row],[% Access to unimproved water points]]*WWWW[[#This Row],[Total PoP ]]</f>
        <v>0</v>
      </c>
      <c r="CU568"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68"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68" s="428">
        <f>WWWW[[#This Row],[HRP1]]/500</f>
        <v>0</v>
      </c>
      <c r="CX568" s="898">
        <f>1-WWWW[[#This Row],[% Equitable and continuous access to sufficient quantity of domestic water]]</f>
        <v>1</v>
      </c>
      <c r="CY568" s="428">
        <f>WWWW[[#This Row],[%equitable and continuous access to sufficient quantity of safe drinking and domestic water''s GAP]]*WWWW[[#This Row],[Total PoP ]]</f>
        <v>28</v>
      </c>
      <c r="CZ568" s="424">
        <f>IF(WWWW[[#This Row],[Total required water points]]-WWWW[[#This Row],['#Water points coverage]]&lt;0,0,WWWW[[#This Row],[Total required water points]]-WWWW[[#This Row],['#Water points coverage]])</f>
        <v>1</v>
      </c>
      <c r="DA568" s="424">
        <f>ROUND(IF(WWWW[[#This Row],[Total PoP ]]&lt;500,1,WWWW[[#This Row],[Total PoP ]]/500),0)</f>
        <v>1</v>
      </c>
      <c r="DB568" s="424">
        <f>(WWWW[[#This Row],['#_Constructed latrines_by_WASHAgencies]]+WWWW[[#This Row],['#_Non Cluster partner latrines]])-WWWW[[#This Row],['#_Non-functional latrines]]</f>
        <v>6</v>
      </c>
      <c r="DC568" s="631">
        <f>WWWW[[#This Row],[HRP2]]/WWWW[[#This Row],[Total PoP ]]</f>
        <v>1</v>
      </c>
      <c r="DD568"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v>
      </c>
      <c r="DE568"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8"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8" s="424">
        <f>IF(WWWW[[#This Row],['# of functional latrines in THF supported by WASH partners during the reporting period2]]="",0,WWWW[[#This Row],['# of functional latrines in THF supported by WASH partners during the reporting period2]]*50)</f>
        <v>0</v>
      </c>
      <c r="DH568" s="424">
        <f>ROUND(IF(WWWW[[#This Row],[Location Type 1]]="camp",WWWW[[#This Row],[Total PoP ]]/20,IF(WWWW[[#This Row],[Location Type 1]]="Temporary Location",WWWW[[#This Row],[Total PoP ]]/50,(WWWW[[#This Row],[Total PoP ]]/6))),0)</f>
        <v>1</v>
      </c>
      <c r="DI568" s="424">
        <f>IF(WWWW[[#This Row],[Total required Latrines]]-(WWWW[[#This Row],['#_Constructed latrines_by_WASHAgencies]]+WWWW[[#This Row],['#_Non Cluster partner latrines]])&lt;0,0,WWWW[[#This Row],[Total required Latrines]]-(WWWW[[#This Row],['#_Constructed latrines_by_WASHAgencies]]+WWWW[[#This Row],['#_Non Cluster partner latrines]]))</f>
        <v>0</v>
      </c>
      <c r="DJ568" s="898">
        <f>1-WWWW[[#This Row],[% people access to functioning Latrine]]</f>
        <v>0</v>
      </c>
      <c r="DK568" s="631">
        <f>IF(OR(WWWW[[#This Row],['#_Non-functional latrines]]="",WWWW[[#This Row],['#_Non-functional latrines]]=0),0,WWWW[[#This Row],['#_Non-functional latrines]]/(WWWW[[#This Row],['#_Constructed latrines_by_WASHAgencies]]+WWWW[[#This Row],['#_Non Cluster partner latrines]]))</f>
        <v>0</v>
      </c>
      <c r="DL568" s="428">
        <f>IF(500*(WWWW[[#This Row],['#_male hygiene promoters]]+WWWW[[#This Row],['#_female hygiene promoters]])&gt;WWWW[[#This Row],[Total PoP ]],WWWW[[#This Row],[Total PoP ]],500*(WWWW[[#This Row],['#_male hygiene promoters]]+WWWW[[#This Row],['#_female hygiene promoters]]))</f>
        <v>0</v>
      </c>
      <c r="DM568"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68"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68" s="424">
        <f>IF(WWWW[[#This Row],['# People with access to soap]]&gt;WWWW[[#This Row],['# People with access to Sanity Pads]],WWWW[[#This Row],['# People with access to soap]],WWWW[[#This Row],['# People with access to Sanity Pads]])</f>
        <v>0</v>
      </c>
      <c r="DP568"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68" s="898">
        <f>IF(WWWW[[#This Row],[HRP3]]/WWWW[[#This Row],[Total PoP ]]&gt;1,1,WWWW[[#This Row],[HRP3]]/WWWW[[#This Row],[Total PoP ]])</f>
        <v>0</v>
      </c>
      <c r="DR568" s="631">
        <f>1-WWWW[[#This Row],[Hygiene Coverage%]]</f>
        <v>1</v>
      </c>
      <c r="DS568" s="423">
        <f>WWWW[[#This Row],['# people reached by regular dedicated hygiene promotion_5]]/WWWW[[#This Row],[Total PoP ]]</f>
        <v>0</v>
      </c>
      <c r="DT568"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68"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68" s="424">
        <f>WWWW[[#This Row],['#_Constructed/Existing hand washing stations]]-WWWW[[#This Row],['#_Non-Functional_hand_washing_stations]]</f>
        <v>0</v>
      </c>
      <c r="DW568" s="428">
        <f>IF(WWWW[[#This Row],['# Functional hand washing stations during reporting period]]*20&gt;WWWW[[#This Row],[Total HH]],WWWW[[#This Row],[Total HH]],WWWW[[#This Row],['# Functional hand washing stations during reporting period]]*20)</f>
        <v>0</v>
      </c>
      <c r="DX568" s="428">
        <f>IF(WWWW[[#This Row],[Is sufficient soap available for TLS? (Yes/No)]]="yes",WWWW[[#This Row],['#_Constructed/Existing hand washing stations at TLS/CFS/THF]],0)</f>
        <v>0</v>
      </c>
      <c r="DY568" s="428">
        <f>IF(WWWW[[#This Row],['# Functional hand washing stations during reporting period]]*100&gt;WWWW[[#This Row],[Total PoP ]],WWWW[[#This Row],[Total PoP ]],WWWW[[#This Row],['# Functional hand washing stations during reporting period]]*100)</f>
        <v>0</v>
      </c>
      <c r="DZ568" s="428" t="str">
        <f>IF(OR(WWWW[[#This Row],['#_students at TLS_CFS]]="",WWWW[[#This Row],['#_students at TLS_CFS]]=0),"No","Yes")</f>
        <v>No</v>
      </c>
      <c r="EA56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6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8" s="425">
        <f>VLOOKUP(WWWW[[#This Row],[Site Name]],SiteDB6[[Site Name]:[CCCM Management]],6,FALSE)</f>
        <v>0</v>
      </c>
      <c r="EF568" s="425">
        <f>VLOOKUP(WWWW[[#This Row],[Site Name]],SiteDB6[[Site Name]:[CCCM Focal Agency]],7,FALSE)</f>
        <v>0</v>
      </c>
      <c r="EG568" s="425" t="str">
        <f>VLOOKUP(WWWW[[#This Row],[Site Name]],SiteDB6[[Site Name]:[Location Type 1]],9,FALSE)</f>
        <v>Camp</v>
      </c>
      <c r="EH568" s="425" t="str">
        <f>VLOOKUP(WWWW[[#This Row],[Site Name]],SiteDB6[[Site Name]:[Type of Accommodation]],10,FALSE)</f>
        <v>Camp like setting</v>
      </c>
      <c r="EI568" s="425" t="str">
        <f>VLOOKUP(WWWW[[#This Row],[Site Name]],SiteDB6[[Site Name]:[Ethnic or GCA/NGCA]],11,FALSE)</f>
        <v>GCA</v>
      </c>
      <c r="EJ568" s="425">
        <f>VLOOKUP(WWWW[[#This Row],[Site Name]],SiteDB6[[Site Name]:[Lat]],12,FALSE)</f>
        <v>0</v>
      </c>
      <c r="EK568" s="425">
        <f>VLOOKUP(WWWW[[#This Row],[Site Name]],SiteDB6[[Site Name]:[Long]],13,FALSE)</f>
        <v>0</v>
      </c>
      <c r="EL568" s="425" t="str">
        <f>VLOOKUP(WWWW[[#This Row],[Site Name]],SiteDB6[[Site Name]:[Pcode]],3,FALSE)</f>
        <v>MMR015CMP078</v>
      </c>
      <c r="EM568" s="860" t="str">
        <f t="shared" si="12"/>
        <v>Covered</v>
      </c>
      <c r="EN568" s="860"/>
      <c r="EO568" s="425">
        <f>VLOOKUP(WWWW[[#This Row],[Site Name]],SiteDB6[[Site Name]:[Pop
(Kachin/Shan-CCCM as of July 2021)]],16,FALSE)</f>
        <v>9</v>
      </c>
      <c r="EP568" s="425">
        <f>VLOOKUP(WWWW[[#This Row],[Site Name]],SiteDB6[[Site Name]:[Pop
(Kachin/Shan-CCCM as of July 2021)]],17,FALSE)</f>
        <v>28</v>
      </c>
    </row>
    <row r="569" spans="1:146">
      <c r="A569" s="1044" t="s">
        <v>2765</v>
      </c>
      <c r="B569" s="1044" t="s">
        <v>192</v>
      </c>
      <c r="C569" s="1045" t="s">
        <v>192</v>
      </c>
      <c r="D569" s="1045" t="s">
        <v>2673</v>
      </c>
      <c r="E569" s="1045" t="s">
        <v>515</v>
      </c>
      <c r="F569" s="1045" t="s">
        <v>516</v>
      </c>
      <c r="G569" s="1043" t="str">
        <f>VLOOKUP(WWWW[[#This Row],[Site Name]],SiteDB6[[Site Name]:[Location Type]],8,FALSE)</f>
        <v>Relocated</v>
      </c>
      <c r="H569" s="1045" t="s">
        <v>2953</v>
      </c>
      <c r="I569" s="448">
        <v>64</v>
      </c>
      <c r="J569" s="448">
        <v>292</v>
      </c>
      <c r="K569" s="588">
        <v>44511</v>
      </c>
      <c r="L569" s="589">
        <v>44875</v>
      </c>
      <c r="M569" s="448"/>
      <c r="N569" s="448"/>
      <c r="O569" s="448"/>
      <c r="P569" s="448"/>
      <c r="Q569" s="428"/>
      <c r="R569" s="448">
        <v>4</v>
      </c>
      <c r="S569" s="448">
        <v>5</v>
      </c>
      <c r="T569" s="448"/>
      <c r="U569" s="448"/>
      <c r="V569" s="448"/>
      <c r="W569" s="448"/>
      <c r="X569" s="448"/>
      <c r="Y569" s="448"/>
      <c r="Z569" s="448"/>
      <c r="AA569" s="448">
        <v>8</v>
      </c>
      <c r="AB569" s="448"/>
      <c r="AC569" s="448"/>
      <c r="AD569" s="448"/>
      <c r="AE569" s="448"/>
      <c r="AF569" s="448"/>
      <c r="AG569" s="448"/>
      <c r="AH569" s="448"/>
      <c r="AI569" s="448"/>
      <c r="AJ569" s="448"/>
      <c r="AK569" s="448"/>
      <c r="AL569" s="448"/>
      <c r="AM569" s="448"/>
      <c r="AN569" s="448"/>
      <c r="AO569" s="448"/>
      <c r="AP569" s="860"/>
      <c r="AQ569" s="448">
        <v>55</v>
      </c>
      <c r="AR569" s="448"/>
      <c r="AS569" s="423"/>
      <c r="AT569" s="448"/>
      <c r="AU569" s="448"/>
      <c r="AV569" s="448"/>
      <c r="AW569" s="448"/>
      <c r="AX569" s="448">
        <v>25</v>
      </c>
      <c r="AY569" s="425" t="s">
        <v>41</v>
      </c>
      <c r="AZ569" s="860" t="s">
        <v>137</v>
      </c>
      <c r="BA569" s="448"/>
      <c r="BB569" s="448"/>
      <c r="BC569" s="448"/>
      <c r="BD569" s="448"/>
      <c r="BE569" s="448"/>
      <c r="BF569" s="425"/>
      <c r="BG569" s="448">
        <v>2</v>
      </c>
      <c r="BH569" s="448"/>
      <c r="BI569" s="448"/>
      <c r="BJ569" s="448">
        <v>2</v>
      </c>
      <c r="BK569" s="448"/>
      <c r="BL569" s="448"/>
      <c r="BM569" s="448">
        <v>1</v>
      </c>
      <c r="BN569" s="448"/>
      <c r="BO569" s="448"/>
      <c r="BP569" s="425" t="s">
        <v>41</v>
      </c>
      <c r="BQ569" s="424"/>
      <c r="BR569" s="423"/>
      <c r="BS569" s="425"/>
      <c r="BT569" s="423"/>
      <c r="BU569" s="423"/>
      <c r="BV569" s="425"/>
      <c r="BW569" s="423"/>
      <c r="BX569" s="448"/>
      <c r="BY569" s="448"/>
      <c r="BZ569" s="448"/>
      <c r="CA569" s="448"/>
      <c r="CB569" s="448"/>
      <c r="CC569" s="777"/>
      <c r="CD569" s="448"/>
      <c r="CE569" s="631" t="str">
        <f>IFERROR(WWWW[[#This Row],['#_Water sources passed]]/WWWW[[#This Row],['#_Water sources tested for fecal coliform ]],"no test")</f>
        <v>no test</v>
      </c>
      <c r="CF569" s="423" t="str">
        <f>IFERROR(WWWW[[#This Row],['#_Household passed]]/WWWW[[#This Row],['#_Household water samples tested for fecal coliform]],"no test")</f>
        <v>no test</v>
      </c>
      <c r="CG569" s="424" t="str">
        <f>IF(AND(WWWW[[#This Row],[% of water sources passed]]="no test",WWWW[[#This Row],[% Household passed]]="no test"),"No Test","Tested")</f>
        <v>No Test</v>
      </c>
      <c r="CH569" s="424">
        <f>WWWW[[#This Row],['#_Constructed/existing protected hand dug well]]-WWWW[[#This Row],['#_Non-functional protected hand dug well]]</f>
        <v>0</v>
      </c>
      <c r="CI569" s="424">
        <f>(WWWW[[#This Row],['#_Constructed/Existing tube wells/boreholes/handpumps_WASH_agency]]+WWWW[[#This Row],['#_Non-Cluster partner water tube-wells/boreholes/handpumps]])-WWWW[[#This Row],['#_Non-functional tube wells/boreholes/handpumps]]</f>
        <v>0</v>
      </c>
      <c r="CJ569" s="424">
        <f>WWWW[[#This Row],['#_Constructed/Existingwater storage tank with gravity fed reticulation system]]-WWWW[[#This Row],['#_Non-functional storage tank gravity fed reticulation system]]</f>
        <v>8</v>
      </c>
      <c r="CK569" s="424">
        <f>(WWWW[[#This Row],['#_Water_Liters_supplied_by_Water boating or water trucking]]/90)/15</f>
        <v>0</v>
      </c>
      <c r="CL569" s="424">
        <f>WWWW[[#This Row],['#_Water_Liters_from_Constructed/Existing water distribution system from river or natural spring]]/90/15</f>
        <v>0</v>
      </c>
      <c r="CM569" s="424">
        <f>IF(WWWW[[#This Row],['#_of water points in TLS/CFS]]*500&gt;WWWW[[#This Row],[Total PoP ]],WWWW[[#This Row],[Total PoP ]],WWWW[[#This Row],['#_of water points in TLS/CFS]]*500)</f>
        <v>0</v>
      </c>
      <c r="CN569" s="424">
        <f>IF(WWWW[[#This Row],['#_of water points in THF]]*500&gt;WWWW[[#This Row],[Total PoP ]],WWWW[[#This Row],[Total PoP ]],WWWW[[#This Row],['#_of water points in THF]]*500)</f>
        <v>0</v>
      </c>
      <c r="CO569"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69"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69" s="423">
        <f>IF(WWWW[[#This Row],[Location Type 1]]="Village",WWWW[[#This Row],[Access to safe drinking water for Village]],WWWW[[#This Row],[Access to safe drinking water for Camp]])</f>
        <v>1</v>
      </c>
      <c r="CR569" s="428">
        <f>WWWW[[#This Row],[%Equitable and continuous access to sufficient quantity of safe drinking water]]*WWWW[[#This Row],[Total PoP ]]</f>
        <v>292</v>
      </c>
      <c r="CS569" s="423">
        <f>IF((WWWW[[#This Row],['#_Constructed/Existing protected/fenced ponds]]*250)/WWWW[[#This Row],[Total PoP ]]&gt;1,1,(WWWW[[#This Row],['#_Constructed/Existing protected/fenced ponds]]*250)/WWWW[[#This Row],[Total PoP ]])</f>
        <v>0</v>
      </c>
      <c r="CT569" s="428">
        <f>WWWW[[#This Row],[% Access to unimproved water points]]*WWWW[[#This Row],[Total PoP ]]</f>
        <v>0</v>
      </c>
      <c r="CU569"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69"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CW569" s="428">
        <f>WWWW[[#This Row],[HRP1]]/500</f>
        <v>0.58399999999999996</v>
      </c>
      <c r="CX569" s="898">
        <f>1-WWWW[[#This Row],[% Equitable and continuous access to sufficient quantity of domestic water]]</f>
        <v>0</v>
      </c>
      <c r="CY569" s="428">
        <f>WWWW[[#This Row],[%equitable and continuous access to sufficient quantity of safe drinking and domestic water''s GAP]]*WWWW[[#This Row],[Total PoP ]]</f>
        <v>0</v>
      </c>
      <c r="CZ569" s="424">
        <f>IF(WWWW[[#This Row],[Total required water points]]-WWWW[[#This Row],['#Water points coverage]]&lt;0,0,WWWW[[#This Row],[Total required water points]]-WWWW[[#This Row],['#Water points coverage]])</f>
        <v>0.41600000000000004</v>
      </c>
      <c r="DA569" s="424">
        <f>ROUND(IF(WWWW[[#This Row],[Total PoP ]]&lt;500,1,WWWW[[#This Row],[Total PoP ]]/500),0)</f>
        <v>1</v>
      </c>
      <c r="DB569" s="424">
        <f>(WWWW[[#This Row],['#_Constructed latrines_by_WASHAgencies]]+WWWW[[#This Row],['#_Non Cluster partner latrines]])-WWWW[[#This Row],['#_Non-functional latrines]]</f>
        <v>55</v>
      </c>
      <c r="DC569" s="631">
        <f>WWWW[[#This Row],[HRP2]]/WWWW[[#This Row],[Total PoP ]]</f>
        <v>0.94178082191780821</v>
      </c>
      <c r="DD569"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275</v>
      </c>
      <c r="DE569"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9"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9" s="424">
        <f>IF(WWWW[[#This Row],['# of functional latrines in THF supported by WASH partners during the reporting period2]]="",0,WWWW[[#This Row],['# of functional latrines in THF supported by WASH partners during the reporting period2]]*50)</f>
        <v>0</v>
      </c>
      <c r="DH569" s="424">
        <f>ROUND(IF(WWWW[[#This Row],[Location Type 1]]="camp",WWWW[[#This Row],[Total PoP ]]/20,IF(WWWW[[#This Row],[Location Type 1]]="Temporary Location",WWWW[[#This Row],[Total PoP ]]/50,(WWWW[[#This Row],[Total PoP ]]/6))),0)</f>
        <v>49</v>
      </c>
      <c r="DI569" s="424">
        <f>IF(WWWW[[#This Row],[Total required Latrines]]-(WWWW[[#This Row],['#_Constructed latrines_by_WASHAgencies]]+WWWW[[#This Row],['#_Non Cluster partner latrines]])&lt;0,0,WWWW[[#This Row],[Total required Latrines]]-(WWWW[[#This Row],['#_Constructed latrines_by_WASHAgencies]]+WWWW[[#This Row],['#_Non Cluster partner latrines]]))</f>
        <v>0</v>
      </c>
      <c r="DJ569" s="898">
        <f>1-WWWW[[#This Row],[% people access to functioning Latrine]]</f>
        <v>5.8219178082191791E-2</v>
      </c>
      <c r="DK569" s="631">
        <f>IF(OR(WWWW[[#This Row],['#_Non-functional latrines]]="",WWWW[[#This Row],['#_Non-functional latrines]]=0),0,WWWW[[#This Row],['#_Non-functional latrines]]/(WWWW[[#This Row],['#_Constructed latrines_by_WASHAgencies]]+WWWW[[#This Row],['#_Non Cluster partner latrines]]))</f>
        <v>0</v>
      </c>
      <c r="DL569" s="428">
        <f>IF(500*(WWWW[[#This Row],['#_male hygiene promoters]]+WWWW[[#This Row],['#_female hygiene promoters]])&gt;WWWW[[#This Row],[Total PoP ]],WWWW[[#This Row],[Total PoP ]],500*(WWWW[[#This Row],['#_male hygiene promoters]]+WWWW[[#This Row],['#_female hygiene promoters]]))</f>
        <v>292</v>
      </c>
      <c r="DM569"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69"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69" s="424">
        <f>IF(WWWW[[#This Row],['# People with access to soap]]&gt;WWWW[[#This Row],['# People with access to Sanity Pads]],WWWW[[#This Row],['# People with access to soap]],WWWW[[#This Row],['# People with access to Sanity Pads]])</f>
        <v>0</v>
      </c>
      <c r="DP569" s="424">
        <f>IF(WWWW[[#This Row],['# people reached by regular dedicated hygiene promotion_5]]&gt;WWWW[[#This Row],['# People received regular supply of hygiene items_6]],WWWW[[#This Row],['# people reached by regular dedicated hygiene promotion_5]],WWWW[[#This Row],['# People received regular supply of hygiene items_6]])</f>
        <v>292</v>
      </c>
      <c r="DQ569" s="898">
        <f>IF(WWWW[[#This Row],[HRP3]]/WWWW[[#This Row],[Total PoP ]]&gt;1,1,WWWW[[#This Row],[HRP3]]/WWWW[[#This Row],[Total PoP ]])</f>
        <v>1</v>
      </c>
      <c r="DR569" s="631">
        <f>1-WWWW[[#This Row],[Hygiene Coverage%]]</f>
        <v>0</v>
      </c>
      <c r="DS569" s="423">
        <f>WWWW[[#This Row],['# people reached by regular dedicated hygiene promotion_5]]/WWWW[[#This Row],[Total PoP ]]</f>
        <v>1</v>
      </c>
      <c r="DT569"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69"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69" s="424">
        <f>WWWW[[#This Row],['#_Constructed/Existing hand washing stations]]-WWWW[[#This Row],['#_Non-Functional_hand_washing_stations]]</f>
        <v>2</v>
      </c>
      <c r="DW569" s="428">
        <f>IF(WWWW[[#This Row],['# Functional hand washing stations during reporting period]]*20&gt;WWWW[[#This Row],[Total HH]],WWWW[[#This Row],[Total HH]],WWWW[[#This Row],['# Functional hand washing stations during reporting period]]*20)</f>
        <v>40</v>
      </c>
      <c r="DX569" s="428">
        <f>IF(WWWW[[#This Row],[Is sufficient soap available for TLS? (Yes/No)]]="yes",WWWW[[#This Row],['#_Constructed/Existing hand washing stations at TLS/CFS/THF]],0)</f>
        <v>0</v>
      </c>
      <c r="DY569" s="428">
        <f>IF(WWWW[[#This Row],['# Functional hand washing stations during reporting period]]*100&gt;WWWW[[#This Row],[Total PoP ]],WWWW[[#This Row],[Total PoP ]],WWWW[[#This Row],['# Functional hand washing stations during reporting period]]*100)</f>
        <v>200</v>
      </c>
      <c r="DZ569" s="428" t="str">
        <f>IF(OR(WWWW[[#This Row],['#_students at TLS_CFS]]="",WWWW[[#This Row],['#_students at TLS_CFS]]=0),"No","Yes")</f>
        <v>No</v>
      </c>
      <c r="EA56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6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9" s="425">
        <f>VLOOKUP(WWWW[[#This Row],[Site Name]],SiteDB6[[Site Name]:[CCCM Management]],6,FALSE)</f>
        <v>0</v>
      </c>
      <c r="EF569" s="425" t="str">
        <f>VLOOKUP(WWWW[[#This Row],[Site Name]],SiteDB6[[Site Name]:[CCCM Focal Agency]],7,FALSE)</f>
        <v>uncovered</v>
      </c>
      <c r="EG569" s="425" t="str">
        <f>VLOOKUP(WWWW[[#This Row],[Site Name]],SiteDB6[[Site Name]:[Location Type 1]],9,FALSE)</f>
        <v>Relocated</v>
      </c>
      <c r="EH569" s="425" t="str">
        <f>VLOOKUP(WWWW[[#This Row],[Site Name]],SiteDB6[[Site Name]:[Type of Accommodation]],10,FALSE)</f>
        <v>Closed Camp</v>
      </c>
      <c r="EI569" s="425" t="str">
        <f>VLOOKUP(WWWW[[#This Row],[Site Name]],SiteDB6[[Site Name]:[Ethnic or GCA/NGCA]],11,FALSE)</f>
        <v>GCA</v>
      </c>
      <c r="EJ569" s="425">
        <f>VLOOKUP(WWWW[[#This Row],[Site Name]],SiteDB6[[Site Name]:[Lat]],12,FALSE)</f>
        <v>23.611999999999998</v>
      </c>
      <c r="EK569" s="425">
        <f>VLOOKUP(WWWW[[#This Row],[Site Name]],SiteDB6[[Site Name]:[Long]],13,FALSE)</f>
        <v>97.506</v>
      </c>
      <c r="EL569" s="425" t="str">
        <f>VLOOKUP(WWWW[[#This Row],[Site Name]],SiteDB6[[Site Name]:[Pcode]],3,FALSE)</f>
        <v>MMR015CMP042</v>
      </c>
      <c r="EM569" s="860" t="str">
        <f t="shared" si="12"/>
        <v>Covered</v>
      </c>
      <c r="EN569" s="860"/>
      <c r="EO569" s="425">
        <f>VLOOKUP(WWWW[[#This Row],[Site Name]],SiteDB6[[Site Name]:[Pop
(Kachin/Shan-CCCM as of July 2021)]],16,FALSE)</f>
        <v>67</v>
      </c>
      <c r="EP569" s="425">
        <f>VLOOKUP(WWWW[[#This Row],[Site Name]],SiteDB6[[Site Name]:[Pop
(Kachin/Shan-CCCM as of July 2021)]],17,FALSE)</f>
        <v>307</v>
      </c>
    </row>
    <row r="570" spans="1:146">
      <c r="A570" s="1044" t="s">
        <v>2765</v>
      </c>
      <c r="B570" s="1044" t="s">
        <v>192</v>
      </c>
      <c r="C570" s="1045" t="s">
        <v>192</v>
      </c>
      <c r="D570" s="1045" t="s">
        <v>2673</v>
      </c>
      <c r="E570" s="1045" t="s">
        <v>515</v>
      </c>
      <c r="F570" s="1045" t="s">
        <v>519</v>
      </c>
      <c r="G570" s="1043" t="str">
        <f>VLOOKUP(WWWW[[#This Row],[Site Name]],SiteDB6[[Site Name]:[Location Type]],8,FALSE)</f>
        <v>Camp</v>
      </c>
      <c r="H570" s="1045" t="s">
        <v>545</v>
      </c>
      <c r="I570" s="448">
        <v>31</v>
      </c>
      <c r="J570" s="448">
        <v>176</v>
      </c>
      <c r="K570" s="588">
        <v>44511</v>
      </c>
      <c r="L570" s="589">
        <v>44875</v>
      </c>
      <c r="M570" s="448"/>
      <c r="N570" s="448"/>
      <c r="O570" s="448"/>
      <c r="P570" s="448"/>
      <c r="Q570" s="428"/>
      <c r="R570" s="448">
        <v>5</v>
      </c>
      <c r="S570" s="448">
        <v>4</v>
      </c>
      <c r="T570" s="448"/>
      <c r="U570" s="448"/>
      <c r="V570" s="448"/>
      <c r="W570" s="448"/>
      <c r="X570" s="448"/>
      <c r="Y570" s="448"/>
      <c r="Z570" s="448"/>
      <c r="AA570" s="448">
        <v>14</v>
      </c>
      <c r="AB570" s="448"/>
      <c r="AC570" s="448"/>
      <c r="AD570" s="448"/>
      <c r="AE570" s="448"/>
      <c r="AF570" s="448"/>
      <c r="AG570" s="448"/>
      <c r="AH570" s="448"/>
      <c r="AI570" s="448"/>
      <c r="AJ570" s="448"/>
      <c r="AK570" s="448"/>
      <c r="AL570" s="448"/>
      <c r="AM570" s="448"/>
      <c r="AN570" s="448"/>
      <c r="AO570" s="448"/>
      <c r="AP570" s="860"/>
      <c r="AQ570" s="448">
        <v>34</v>
      </c>
      <c r="AR570" s="448"/>
      <c r="AS570" s="423"/>
      <c r="AT570" s="448"/>
      <c r="AU570" s="448"/>
      <c r="AV570" s="448"/>
      <c r="AW570" s="448"/>
      <c r="AX570" s="448"/>
      <c r="AY570" s="425" t="s">
        <v>41</v>
      </c>
      <c r="AZ570" s="860" t="s">
        <v>137</v>
      </c>
      <c r="BA570" s="448"/>
      <c r="BB570" s="448"/>
      <c r="BC570" s="448">
        <v>2</v>
      </c>
      <c r="BD570" s="448"/>
      <c r="BE570" s="448"/>
      <c r="BF570" s="425"/>
      <c r="BG570" s="448">
        <v>2</v>
      </c>
      <c r="BH570" s="448"/>
      <c r="BI570" s="448"/>
      <c r="BJ570" s="448">
        <v>2</v>
      </c>
      <c r="BK570" s="448"/>
      <c r="BL570" s="448"/>
      <c r="BM570" s="448">
        <v>1</v>
      </c>
      <c r="BN570" s="448"/>
      <c r="BO570" s="448"/>
      <c r="BP570" s="425" t="s">
        <v>41</v>
      </c>
      <c r="BQ570" s="424"/>
      <c r="BR570" s="423"/>
      <c r="BS570" s="425"/>
      <c r="BT570" s="423"/>
      <c r="BU570" s="423"/>
      <c r="BV570" s="425"/>
      <c r="BW570" s="423"/>
      <c r="BX570" s="448"/>
      <c r="BY570" s="448"/>
      <c r="BZ570" s="448"/>
      <c r="CA570" s="448"/>
      <c r="CB570" s="448"/>
      <c r="CC570" s="777"/>
      <c r="CD570" s="448"/>
      <c r="CE570" s="631" t="str">
        <f>IFERROR(WWWW[[#This Row],['#_Water sources passed]]/WWWW[[#This Row],['#_Water sources tested for fecal coliform ]],"no test")</f>
        <v>no test</v>
      </c>
      <c r="CF570" s="423" t="str">
        <f>IFERROR(WWWW[[#This Row],['#_Household passed]]/WWWW[[#This Row],['#_Household water samples tested for fecal coliform]],"no test")</f>
        <v>no test</v>
      </c>
      <c r="CG570" s="424" t="str">
        <f>IF(AND(WWWW[[#This Row],[% of water sources passed]]="no test",WWWW[[#This Row],[% Household passed]]="no test"),"No Test","Tested")</f>
        <v>No Test</v>
      </c>
      <c r="CH570" s="424">
        <f>WWWW[[#This Row],['#_Constructed/existing protected hand dug well]]-WWWW[[#This Row],['#_Non-functional protected hand dug well]]</f>
        <v>0</v>
      </c>
      <c r="CI570" s="424">
        <f>(WWWW[[#This Row],['#_Constructed/Existing tube wells/boreholes/handpumps_WASH_agency]]+WWWW[[#This Row],['#_Non-Cluster partner water tube-wells/boreholes/handpumps]])-WWWW[[#This Row],['#_Non-functional tube wells/boreholes/handpumps]]</f>
        <v>0</v>
      </c>
      <c r="CJ570" s="424">
        <f>WWWW[[#This Row],['#_Constructed/Existingwater storage tank with gravity fed reticulation system]]-WWWW[[#This Row],['#_Non-functional storage tank gravity fed reticulation system]]</f>
        <v>14</v>
      </c>
      <c r="CK570" s="424">
        <f>(WWWW[[#This Row],['#_Water_Liters_supplied_by_Water boating or water trucking]]/90)/15</f>
        <v>0</v>
      </c>
      <c r="CL570" s="424">
        <f>WWWW[[#This Row],['#_Water_Liters_from_Constructed/Existing water distribution system from river or natural spring]]/90/15</f>
        <v>0</v>
      </c>
      <c r="CM570" s="424">
        <f>IF(WWWW[[#This Row],['#_of water points in TLS/CFS]]*500&gt;WWWW[[#This Row],[Total PoP ]],WWWW[[#This Row],[Total PoP ]],WWWW[[#This Row],['#_of water points in TLS/CFS]]*500)</f>
        <v>0</v>
      </c>
      <c r="CN570" s="424">
        <f>IF(WWWW[[#This Row],['#_of water points in THF]]*500&gt;WWWW[[#This Row],[Total PoP ]],WWWW[[#This Row],[Total PoP ]],WWWW[[#This Row],['#_of water points in THF]]*500)</f>
        <v>0</v>
      </c>
      <c r="CO570"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70"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70" s="423">
        <f>IF(WWWW[[#This Row],[Location Type 1]]="Village",WWWW[[#This Row],[Access to safe drinking water for Village]],WWWW[[#This Row],[Access to safe drinking water for Camp]])</f>
        <v>1</v>
      </c>
      <c r="CR570" s="428">
        <f>WWWW[[#This Row],[%Equitable and continuous access to sufficient quantity of safe drinking water]]*WWWW[[#This Row],[Total PoP ]]</f>
        <v>176</v>
      </c>
      <c r="CS570" s="423">
        <f>IF((WWWW[[#This Row],['#_Constructed/Existing protected/fenced ponds]]*250)/WWWW[[#This Row],[Total PoP ]]&gt;1,1,(WWWW[[#This Row],['#_Constructed/Existing protected/fenced ponds]]*250)/WWWW[[#This Row],[Total PoP ]])</f>
        <v>0</v>
      </c>
      <c r="CT570" s="428">
        <f>WWWW[[#This Row],[% Access to unimproved water points]]*WWWW[[#This Row],[Total PoP ]]</f>
        <v>0</v>
      </c>
      <c r="CU570"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70"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W570" s="428">
        <f>WWWW[[#This Row],[HRP1]]/500</f>
        <v>0.35199999999999998</v>
      </c>
      <c r="CX570" s="898">
        <f>1-WWWW[[#This Row],[% Equitable and continuous access to sufficient quantity of domestic water]]</f>
        <v>0</v>
      </c>
      <c r="CY570" s="428">
        <f>WWWW[[#This Row],[%equitable and continuous access to sufficient quantity of safe drinking and domestic water''s GAP]]*WWWW[[#This Row],[Total PoP ]]</f>
        <v>0</v>
      </c>
      <c r="CZ570" s="424">
        <f>IF(WWWW[[#This Row],[Total required water points]]-WWWW[[#This Row],['#Water points coverage]]&lt;0,0,WWWW[[#This Row],[Total required water points]]-WWWW[[#This Row],['#Water points coverage]])</f>
        <v>0.64800000000000002</v>
      </c>
      <c r="DA570" s="424">
        <f>ROUND(IF(WWWW[[#This Row],[Total PoP ]]&lt;500,1,WWWW[[#This Row],[Total PoP ]]/500),0)</f>
        <v>1</v>
      </c>
      <c r="DB570" s="424">
        <f>(WWWW[[#This Row],['#_Constructed latrines_by_WASHAgencies]]+WWWW[[#This Row],['#_Non Cluster partner latrines]])-WWWW[[#This Row],['#_Non-functional latrines]]</f>
        <v>34</v>
      </c>
      <c r="DC570" s="631">
        <f>WWWW[[#This Row],[HRP2]]/WWWW[[#This Row],[Total PoP ]]</f>
        <v>1</v>
      </c>
      <c r="DD570"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176</v>
      </c>
      <c r="DE570"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0"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0" s="424">
        <f>IF(WWWW[[#This Row],['# of functional latrines in THF supported by WASH partners during the reporting period2]]="",0,WWWW[[#This Row],['# of functional latrines in THF supported by WASH partners during the reporting period2]]*50)</f>
        <v>0</v>
      </c>
      <c r="DH570" s="424">
        <f>ROUND(IF(WWWW[[#This Row],[Location Type 1]]="camp",WWWW[[#This Row],[Total PoP ]]/20,IF(WWWW[[#This Row],[Location Type 1]]="Temporary Location",WWWW[[#This Row],[Total PoP ]]/50,(WWWW[[#This Row],[Total PoP ]]/6))),0)</f>
        <v>9</v>
      </c>
      <c r="DI570" s="424">
        <f>IF(WWWW[[#This Row],[Total required Latrines]]-(WWWW[[#This Row],['#_Constructed latrines_by_WASHAgencies]]+WWWW[[#This Row],['#_Non Cluster partner latrines]])&lt;0,0,WWWW[[#This Row],[Total required Latrines]]-(WWWW[[#This Row],['#_Constructed latrines_by_WASHAgencies]]+WWWW[[#This Row],['#_Non Cluster partner latrines]]))</f>
        <v>0</v>
      </c>
      <c r="DJ570" s="898">
        <f>1-WWWW[[#This Row],[% people access to functioning Latrine]]</f>
        <v>0</v>
      </c>
      <c r="DK570" s="631">
        <f>IF(OR(WWWW[[#This Row],['#_Non-functional latrines]]="",WWWW[[#This Row],['#_Non-functional latrines]]=0),0,WWWW[[#This Row],['#_Non-functional latrines]]/(WWWW[[#This Row],['#_Constructed latrines_by_WASHAgencies]]+WWWW[[#This Row],['#_Non Cluster partner latrines]]))</f>
        <v>0</v>
      </c>
      <c r="DL570" s="428">
        <f>IF(500*(WWWW[[#This Row],['#_male hygiene promoters]]+WWWW[[#This Row],['#_female hygiene promoters]])&gt;WWWW[[#This Row],[Total PoP ]],WWWW[[#This Row],[Total PoP ]],500*(WWWW[[#This Row],['#_male hygiene promoters]]+WWWW[[#This Row],['#_female hygiene promoters]]))</f>
        <v>176</v>
      </c>
      <c r="DM570"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70"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70" s="424">
        <f>IF(WWWW[[#This Row],['# People with access to soap]]&gt;WWWW[[#This Row],['# People with access to Sanity Pads]],WWWW[[#This Row],['# People with access to soap]],WWWW[[#This Row],['# People with access to Sanity Pads]])</f>
        <v>0</v>
      </c>
      <c r="DP570" s="424">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Q570" s="898">
        <f>IF(WWWW[[#This Row],[HRP3]]/WWWW[[#This Row],[Total PoP ]]&gt;1,1,WWWW[[#This Row],[HRP3]]/WWWW[[#This Row],[Total PoP ]])</f>
        <v>1</v>
      </c>
      <c r="DR570" s="631">
        <f>1-WWWW[[#This Row],[Hygiene Coverage%]]</f>
        <v>0</v>
      </c>
      <c r="DS570" s="423">
        <f>WWWW[[#This Row],['# people reached by regular dedicated hygiene promotion_5]]/WWWW[[#This Row],[Total PoP ]]</f>
        <v>1</v>
      </c>
      <c r="DT570"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70"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70" s="424">
        <f>WWWW[[#This Row],['#_Constructed/Existing hand washing stations]]-WWWW[[#This Row],['#_Non-Functional_hand_washing_stations]]</f>
        <v>2</v>
      </c>
      <c r="DW570" s="428">
        <f>IF(WWWW[[#This Row],['# Functional hand washing stations during reporting period]]*20&gt;WWWW[[#This Row],[Total HH]],WWWW[[#This Row],[Total HH]],WWWW[[#This Row],['# Functional hand washing stations during reporting period]]*20)</f>
        <v>31</v>
      </c>
      <c r="DX570" s="428">
        <f>IF(WWWW[[#This Row],[Is sufficient soap available for TLS? (Yes/No)]]="yes",WWWW[[#This Row],['#_Constructed/Existing hand washing stations at TLS/CFS/THF]],0)</f>
        <v>0</v>
      </c>
      <c r="DY570" s="428">
        <f>IF(WWWW[[#This Row],['# Functional hand washing stations during reporting period]]*100&gt;WWWW[[#This Row],[Total PoP ]],WWWW[[#This Row],[Total PoP ]],WWWW[[#This Row],['# Functional hand washing stations during reporting period]]*100)</f>
        <v>176</v>
      </c>
      <c r="DZ570" s="428" t="str">
        <f>IF(OR(WWWW[[#This Row],['#_students at TLS_CFS]]="",WWWW[[#This Row],['#_students at TLS_CFS]]=0),"No","Yes")</f>
        <v>No</v>
      </c>
      <c r="EA57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0" s="425">
        <f>VLOOKUP(WWWW[[#This Row],[Site Name]],SiteDB6[[Site Name]:[CCCM Management]],6,FALSE)</f>
        <v>0</v>
      </c>
      <c r="EF570" s="425" t="str">
        <f>VLOOKUP(WWWW[[#This Row],[Site Name]],SiteDB6[[Site Name]:[CCCM Focal Agency]],7,FALSE)</f>
        <v>uncovered</v>
      </c>
      <c r="EG570" s="425" t="str">
        <f>VLOOKUP(WWWW[[#This Row],[Site Name]],SiteDB6[[Site Name]:[Location Type 1]],9,FALSE)</f>
        <v>Camp</v>
      </c>
      <c r="EH570" s="425" t="str">
        <f>VLOOKUP(WWWW[[#This Row],[Site Name]],SiteDB6[[Site Name]:[Type of Accommodation]],10,FALSE)</f>
        <v>Camp like setting</v>
      </c>
      <c r="EI570" s="425" t="str">
        <f>VLOOKUP(WWWW[[#This Row],[Site Name]],SiteDB6[[Site Name]:[Ethnic or GCA/NGCA]],11,FALSE)</f>
        <v>GCA</v>
      </c>
      <c r="EJ570" s="425">
        <f>VLOOKUP(WWWW[[#This Row],[Site Name]],SiteDB6[[Site Name]:[Lat]],12,FALSE)</f>
        <v>23.850999999999999</v>
      </c>
      <c r="EK570" s="425">
        <f>VLOOKUP(WWWW[[#This Row],[Site Name]],SiteDB6[[Site Name]:[Long]],13,FALSE)</f>
        <v>98.337999999999994</v>
      </c>
      <c r="EL570" s="425" t="str">
        <f>VLOOKUP(WWWW[[#This Row],[Site Name]],SiteDB6[[Site Name]:[Pcode]],3,FALSE)</f>
        <v>MMR015CMP045</v>
      </c>
      <c r="EM570" s="860" t="str">
        <f t="shared" si="12"/>
        <v>Covered</v>
      </c>
      <c r="EN570" s="860"/>
      <c r="EO570" s="425">
        <f>VLOOKUP(WWWW[[#This Row],[Site Name]],SiteDB6[[Site Name]:[Pop
(Kachin/Shan-CCCM as of July 2021)]],16,FALSE)</f>
        <v>30</v>
      </c>
      <c r="EP570" s="425">
        <f>VLOOKUP(WWWW[[#This Row],[Site Name]],SiteDB6[[Site Name]:[Pop
(Kachin/Shan-CCCM as of July 2021)]],17,FALSE)</f>
        <v>170</v>
      </c>
    </row>
    <row r="571" spans="1:146">
      <c r="A571" s="1044" t="s">
        <v>2765</v>
      </c>
      <c r="B571" s="1044" t="s">
        <v>2359</v>
      </c>
      <c r="C571" s="1045" t="s">
        <v>2359</v>
      </c>
      <c r="D571" s="1045" t="s">
        <v>2673</v>
      </c>
      <c r="E571" s="1045" t="s">
        <v>515</v>
      </c>
      <c r="F571" s="1045" t="s">
        <v>516</v>
      </c>
      <c r="G571" s="1043" t="str">
        <f>VLOOKUP(WWWW[[#This Row],[Site Name]],SiteDB6[[Site Name]:[Location Type]],8,FALSE)</f>
        <v>Camp</v>
      </c>
      <c r="H571" s="1045" t="s">
        <v>527</v>
      </c>
      <c r="I571" s="448">
        <v>85</v>
      </c>
      <c r="J571" s="448">
        <v>396</v>
      </c>
      <c r="K571" s="800" t="s">
        <v>2767</v>
      </c>
      <c r="L571" s="56" t="s">
        <v>3178</v>
      </c>
      <c r="M571" s="448"/>
      <c r="N571" s="448">
        <v>2</v>
      </c>
      <c r="O571" s="448"/>
      <c r="P571" s="448"/>
      <c r="Q571" s="428" t="s">
        <v>41</v>
      </c>
      <c r="R571" s="448">
        <v>7</v>
      </c>
      <c r="S571" s="448">
        <v>9</v>
      </c>
      <c r="T571" s="448"/>
      <c r="U571" s="448"/>
      <c r="V571" s="448"/>
      <c r="W571" s="448"/>
      <c r="X571" s="448">
        <v>1</v>
      </c>
      <c r="Y571" s="448"/>
      <c r="Z571" s="448"/>
      <c r="AA571" s="448">
        <v>1</v>
      </c>
      <c r="AB571" s="448"/>
      <c r="AC571" s="448"/>
      <c r="AD571" s="448"/>
      <c r="AE571" s="448"/>
      <c r="AF571" s="448"/>
      <c r="AG571" s="448"/>
      <c r="AH571" s="448">
        <v>2</v>
      </c>
      <c r="AI571" s="448">
        <v>4</v>
      </c>
      <c r="AJ571" s="448"/>
      <c r="AK571" s="448"/>
      <c r="AL571" s="448"/>
      <c r="AM571" s="448">
        <v>8</v>
      </c>
      <c r="AN571" s="448"/>
      <c r="AO571" s="448"/>
      <c r="AP571" s="860"/>
      <c r="AQ571" s="448">
        <v>14</v>
      </c>
      <c r="AR571" s="448">
        <v>6</v>
      </c>
      <c r="AS571" s="423"/>
      <c r="AT571" s="448"/>
      <c r="AU571" s="448"/>
      <c r="AV571" s="448"/>
      <c r="AW571" s="448"/>
      <c r="AX571" s="448">
        <v>14</v>
      </c>
      <c r="AY571" s="425" t="s">
        <v>41</v>
      </c>
      <c r="AZ571" s="860" t="s">
        <v>137</v>
      </c>
      <c r="BA571" s="448"/>
      <c r="BB571" s="448"/>
      <c r="BC571" s="448"/>
      <c r="BD571" s="448"/>
      <c r="BE571" s="448"/>
      <c r="BF571" s="425"/>
      <c r="BG571" s="448">
        <v>8</v>
      </c>
      <c r="BH571" s="448"/>
      <c r="BI571" s="448"/>
      <c r="BJ571" s="448">
        <v>2</v>
      </c>
      <c r="BK571" s="448"/>
      <c r="BL571" s="448">
        <v>1</v>
      </c>
      <c r="BM571" s="448">
        <v>1</v>
      </c>
      <c r="BN571" s="448"/>
      <c r="BO571" s="448"/>
      <c r="BP571" s="425" t="s">
        <v>41</v>
      </c>
      <c r="BQ571" s="424">
        <v>3</v>
      </c>
      <c r="BR571" s="423">
        <v>1</v>
      </c>
      <c r="BS571" s="425"/>
      <c r="BT571" s="423"/>
      <c r="BU571" s="423"/>
      <c r="BV571" s="425"/>
      <c r="BW571" s="423"/>
      <c r="BX571" s="448"/>
      <c r="BY571" s="448"/>
      <c r="BZ571" s="448"/>
      <c r="CA571" s="448"/>
      <c r="CB571" s="448"/>
      <c r="CC571" s="777"/>
      <c r="CD571" s="448"/>
      <c r="CE571" s="631">
        <f>IFERROR(WWWW[[#This Row],['#_Water sources passed]]/WWWW[[#This Row],['#_Water sources tested for fecal coliform ]],"no test")</f>
        <v>0</v>
      </c>
      <c r="CF571" s="423" t="str">
        <f>IFERROR(WWWW[[#This Row],['#_Household passed]]/WWWW[[#This Row],['#_Household water samples tested for fecal coliform]],"no test")</f>
        <v>no test</v>
      </c>
      <c r="CG571" s="424" t="str">
        <f>IF(AND(WWWW[[#This Row],[% of water sources passed]]="no test",WWWW[[#This Row],[% Household passed]]="no test"),"No Test","Tested")</f>
        <v>Tested</v>
      </c>
      <c r="CH571" s="424">
        <f>WWWW[[#This Row],['#_Constructed/existing protected hand dug well]]-WWWW[[#This Row],['#_Non-functional protected hand dug well]]</f>
        <v>0</v>
      </c>
      <c r="CI571" s="424">
        <f>(WWWW[[#This Row],['#_Constructed/Existing tube wells/boreholes/handpumps_WASH_agency]]+WWWW[[#This Row],['#_Non-Cluster partner water tube-wells/boreholes/handpumps]])-WWWW[[#This Row],['#_Non-functional tube wells/boreholes/handpumps]]</f>
        <v>1</v>
      </c>
      <c r="CJ571" s="424">
        <f>WWWW[[#This Row],['#_Constructed/Existingwater storage tank with gravity fed reticulation system]]-WWWW[[#This Row],['#_Non-functional storage tank gravity fed reticulation system]]</f>
        <v>1</v>
      </c>
      <c r="CK571" s="424">
        <f>(WWWW[[#This Row],['#_Water_Liters_supplied_by_Water boating or water trucking]]/90)/15</f>
        <v>0</v>
      </c>
      <c r="CL571" s="424">
        <f>WWWW[[#This Row],['#_Water_Liters_from_Constructed/Existing water distribution system from river or natural spring]]/90/15</f>
        <v>0</v>
      </c>
      <c r="CM571" s="424">
        <f>IF(WWWW[[#This Row],['#_of water points in TLS/CFS]]*500&gt;WWWW[[#This Row],[Total PoP ]],WWWW[[#This Row],[Total PoP ]],WWWW[[#This Row],['#_of water points in TLS/CFS]]*500)</f>
        <v>0</v>
      </c>
      <c r="CN571" s="424">
        <f>IF(WWWW[[#This Row],['#_of water points in THF]]*500&gt;WWWW[[#This Row],[Total PoP ]],WWWW[[#This Row],[Total PoP ]],WWWW[[#This Row],['#_of water points in THF]]*500)</f>
        <v>0</v>
      </c>
      <c r="CO571"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71"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0.79966329966329974</v>
      </c>
      <c r="CQ571" s="423">
        <f>IF(WWWW[[#This Row],[Location Type 1]]="Village",WWWW[[#This Row],[Access to safe drinking water for Village]],WWWW[[#This Row],[Access to safe drinking water for Camp]])</f>
        <v>1</v>
      </c>
      <c r="CR571" s="428">
        <f>WWWW[[#This Row],[%Equitable and continuous access to sufficient quantity of safe drinking water]]*WWWW[[#This Row],[Total PoP ]]</f>
        <v>396</v>
      </c>
      <c r="CS571" s="423">
        <f>IF((WWWW[[#This Row],['#_Constructed/Existing protected/fenced ponds]]*250)/WWWW[[#This Row],[Total PoP ]]&gt;1,1,(WWWW[[#This Row],['#_Constructed/Existing protected/fenced ponds]]*250)/WWWW[[#This Row],[Total PoP ]])</f>
        <v>0</v>
      </c>
      <c r="CT571" s="428">
        <f>WWWW[[#This Row],[% Access to unimproved water points]]*WWWW[[#This Row],[Total PoP ]]</f>
        <v>0</v>
      </c>
      <c r="CU571"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71"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W571" s="428">
        <f>WWWW[[#This Row],[HRP1]]/500</f>
        <v>0.79200000000000004</v>
      </c>
      <c r="CX571" s="898">
        <f>1-WWWW[[#This Row],[% Equitable and continuous access to sufficient quantity of domestic water]]</f>
        <v>0</v>
      </c>
      <c r="CY571" s="428">
        <f>WWWW[[#This Row],[%equitable and continuous access to sufficient quantity of safe drinking and domestic water''s GAP]]*WWWW[[#This Row],[Total PoP ]]</f>
        <v>0</v>
      </c>
      <c r="CZ571" s="424">
        <f>IF(WWWW[[#This Row],[Total required water points]]-WWWW[[#This Row],['#Water points coverage]]&lt;0,0,WWWW[[#This Row],[Total required water points]]-WWWW[[#This Row],['#Water points coverage]])</f>
        <v>0.20799999999999996</v>
      </c>
      <c r="DA571" s="424">
        <f>ROUND(IF(WWWW[[#This Row],[Total PoP ]]&lt;500,1,WWWW[[#This Row],[Total PoP ]]/500),0)</f>
        <v>1</v>
      </c>
      <c r="DB571" s="424">
        <f>(WWWW[[#This Row],['#_Constructed latrines_by_WASHAgencies]]+WWWW[[#This Row],['#_Non Cluster partner latrines]])-WWWW[[#This Row],['#_Non-functional latrines]]</f>
        <v>20</v>
      </c>
      <c r="DC571" s="631">
        <f>WWWW[[#This Row],[HRP2]]/WWWW[[#This Row],[Total PoP ]]</f>
        <v>1</v>
      </c>
      <c r="DD571"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396</v>
      </c>
      <c r="DE571"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1"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1" s="424">
        <f>IF(WWWW[[#This Row],['# of functional latrines in THF supported by WASH partners during the reporting period2]]="",0,WWWW[[#This Row],['# of functional latrines in THF supported by WASH partners during the reporting period2]]*50)</f>
        <v>0</v>
      </c>
      <c r="DH571" s="424">
        <f>ROUND(IF(WWWW[[#This Row],[Location Type 1]]="camp",WWWW[[#This Row],[Total PoP ]]/20,IF(WWWW[[#This Row],[Location Type 1]]="Temporary Location",WWWW[[#This Row],[Total PoP ]]/50,(WWWW[[#This Row],[Total PoP ]]/6))),0)</f>
        <v>20</v>
      </c>
      <c r="DI571" s="424">
        <f>IF(WWWW[[#This Row],[Total required Latrines]]-(WWWW[[#This Row],['#_Constructed latrines_by_WASHAgencies]]+WWWW[[#This Row],['#_Non Cluster partner latrines]])&lt;0,0,WWWW[[#This Row],[Total required Latrines]]-(WWWW[[#This Row],['#_Constructed latrines_by_WASHAgencies]]+WWWW[[#This Row],['#_Non Cluster partner latrines]]))</f>
        <v>0</v>
      </c>
      <c r="DJ571" s="898">
        <f>1-WWWW[[#This Row],[% people access to functioning Latrine]]</f>
        <v>0</v>
      </c>
      <c r="DK571" s="631">
        <f>IF(OR(WWWW[[#This Row],['#_Non-functional latrines]]="",WWWW[[#This Row],['#_Non-functional latrines]]=0),0,WWWW[[#This Row],['#_Non-functional latrines]]/(WWWW[[#This Row],['#_Constructed latrines_by_WASHAgencies]]+WWWW[[#This Row],['#_Non Cluster partner latrines]]))</f>
        <v>0</v>
      </c>
      <c r="DL571" s="428">
        <f>IF(500*(WWWW[[#This Row],['#_male hygiene promoters]]+WWWW[[#This Row],['#_female hygiene promoters]])&gt;WWWW[[#This Row],[Total PoP ]],WWWW[[#This Row],[Total PoP ]],500*(WWWW[[#This Row],['#_male hygiene promoters]]+WWWW[[#This Row],['#_female hygiene promoters]]))</f>
        <v>396</v>
      </c>
      <c r="DM571"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71"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71" s="424">
        <f>IF(WWWW[[#This Row],['# People with access to soap]]&gt;WWWW[[#This Row],['# People with access to Sanity Pads]],WWWW[[#This Row],['# People with access to soap]],WWWW[[#This Row],['# People with access to Sanity Pads]])</f>
        <v>0</v>
      </c>
      <c r="DP571" s="424">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Q571" s="898">
        <f>IF(WWWW[[#This Row],[HRP3]]/WWWW[[#This Row],[Total PoP ]]&gt;1,1,WWWW[[#This Row],[HRP3]]/WWWW[[#This Row],[Total PoP ]])</f>
        <v>1</v>
      </c>
      <c r="DR571" s="631">
        <f>1-WWWW[[#This Row],[Hygiene Coverage%]]</f>
        <v>0</v>
      </c>
      <c r="DS571" s="423">
        <f>WWWW[[#This Row],['# people reached by regular dedicated hygiene promotion_5]]/WWWW[[#This Row],[Total PoP ]]</f>
        <v>1</v>
      </c>
      <c r="DT571"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71"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71" s="424">
        <f>WWWW[[#This Row],['#_Constructed/Existing hand washing stations]]-WWWW[[#This Row],['#_Non-Functional_hand_washing_stations]]</f>
        <v>8</v>
      </c>
      <c r="DW571" s="428">
        <f>IF(WWWW[[#This Row],['# Functional hand washing stations during reporting period]]*20&gt;WWWW[[#This Row],[Total HH]],WWWW[[#This Row],[Total HH]],WWWW[[#This Row],['# Functional hand washing stations during reporting period]]*20)</f>
        <v>85</v>
      </c>
      <c r="DX571" s="428">
        <f>IF(WWWW[[#This Row],[Is sufficient soap available for TLS? (Yes/No)]]="yes",WWWW[[#This Row],['#_Constructed/Existing hand washing stations at TLS/CFS/THF]],0)</f>
        <v>8</v>
      </c>
      <c r="DY571" s="428">
        <f>IF(WWWW[[#This Row],['# Functional hand washing stations during reporting period]]*100&gt;WWWW[[#This Row],[Total PoP ]],WWWW[[#This Row],[Total PoP ]],WWWW[[#This Row],['# Functional hand washing stations during reporting period]]*100)</f>
        <v>396</v>
      </c>
      <c r="DZ571" s="428" t="str">
        <f>IF(OR(WWWW[[#This Row],['#_students at TLS_CFS]]="",WWWW[[#This Row],['#_students at TLS_CFS]]=0),"No","Yes")</f>
        <v>No</v>
      </c>
      <c r="EA57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1" s="425" t="str">
        <f>VLOOKUP(WWWW[[#This Row],[Site Name]],SiteDB6[[Site Name]:[CCCM Management]],6,FALSE)</f>
        <v>Yes</v>
      </c>
      <c r="EF571" s="425" t="str">
        <f>VLOOKUP(WWWW[[#This Row],[Site Name]],SiteDB6[[Site Name]:[CCCM Focal Agency]],7,FALSE)</f>
        <v>KBC-NSS</v>
      </c>
      <c r="EG571" s="425" t="str">
        <f>VLOOKUP(WWWW[[#This Row],[Site Name]],SiteDB6[[Site Name]:[Location Type 1]],9,FALSE)</f>
        <v>Camp</v>
      </c>
      <c r="EH571" s="425" t="str">
        <f>VLOOKUP(WWWW[[#This Row],[Site Name]],SiteDB6[[Site Name]:[Type of Accommodation]],10,FALSE)</f>
        <v>Camp</v>
      </c>
      <c r="EI571" s="425" t="str">
        <f>VLOOKUP(WWWW[[#This Row],[Site Name]],SiteDB6[[Site Name]:[Ethnic or GCA/NGCA]],11,FALSE)</f>
        <v>GCA</v>
      </c>
      <c r="EJ571" s="425">
        <f>VLOOKUP(WWWW[[#This Row],[Site Name]],SiteDB6[[Site Name]:[Lat]],12,FALSE)</f>
        <v>23.821380000000001</v>
      </c>
      <c r="EK571" s="425">
        <f>VLOOKUP(WWWW[[#This Row],[Site Name]],SiteDB6[[Site Name]:[Long]],13,FALSE)</f>
        <v>97.681970000000007</v>
      </c>
      <c r="EL571" s="425" t="str">
        <f>VLOOKUP(WWWW[[#This Row],[Site Name]],SiteDB6[[Site Name]:[Pcode]],3,FALSE)</f>
        <v>MMR015CMP004</v>
      </c>
      <c r="EM571" s="860" t="str">
        <f t="shared" si="12"/>
        <v>Covered</v>
      </c>
      <c r="EN571" s="860"/>
      <c r="EO571" s="425">
        <f>VLOOKUP(WWWW[[#This Row],[Site Name]],SiteDB6[[Site Name]:[Pop
(Kachin/Shan-CCCM as of July 2021)]],16,FALSE)</f>
        <v>89</v>
      </c>
      <c r="EP571" s="425">
        <f>VLOOKUP(WWWW[[#This Row],[Site Name]],SiteDB6[[Site Name]:[Pop
(Kachin/Shan-CCCM as of July 2021)]],17,FALSE)</f>
        <v>401</v>
      </c>
    </row>
    <row r="572" spans="1:146">
      <c r="A572" s="1044" t="s">
        <v>2765</v>
      </c>
      <c r="B572" s="1044" t="s">
        <v>192</v>
      </c>
      <c r="C572" s="1045" t="s">
        <v>192</v>
      </c>
      <c r="D572" s="1045" t="s">
        <v>2673</v>
      </c>
      <c r="E572" s="1045" t="s">
        <v>515</v>
      </c>
      <c r="F572" s="1045" t="s">
        <v>516</v>
      </c>
      <c r="G572" s="1043" t="str">
        <f>VLOOKUP(WWWW[[#This Row],[Site Name]],SiteDB6[[Site Name]:[Location Type]],8,FALSE)</f>
        <v>Camp</v>
      </c>
      <c r="H572" s="1045" t="s">
        <v>562</v>
      </c>
      <c r="I572" s="448">
        <v>64</v>
      </c>
      <c r="J572" s="448">
        <v>323</v>
      </c>
      <c r="K572" s="588">
        <v>44511</v>
      </c>
      <c r="L572" s="589">
        <v>44875</v>
      </c>
      <c r="M572" s="448"/>
      <c r="N572" s="448">
        <v>1</v>
      </c>
      <c r="O572" s="448">
        <v>1</v>
      </c>
      <c r="P572" s="448"/>
      <c r="Q572" s="428" t="s">
        <v>41</v>
      </c>
      <c r="R572" s="448"/>
      <c r="S572" s="448"/>
      <c r="T572" s="448"/>
      <c r="U572" s="448"/>
      <c r="V572" s="448"/>
      <c r="W572" s="448"/>
      <c r="X572" s="448">
        <v>1</v>
      </c>
      <c r="Y572" s="448"/>
      <c r="Z572" s="448"/>
      <c r="AA572" s="448"/>
      <c r="AB572" s="448"/>
      <c r="AC572" s="448"/>
      <c r="AD572" s="448"/>
      <c r="AE572" s="448"/>
      <c r="AF572" s="448"/>
      <c r="AG572" s="448"/>
      <c r="AH572" s="448"/>
      <c r="AI572" s="448">
        <v>4</v>
      </c>
      <c r="AJ572" s="448"/>
      <c r="AK572" s="448"/>
      <c r="AL572" s="448"/>
      <c r="AM572" s="448"/>
      <c r="AN572" s="448"/>
      <c r="AO572" s="448"/>
      <c r="AP572" s="860"/>
      <c r="AQ572" s="448">
        <v>10</v>
      </c>
      <c r="AR572" s="448"/>
      <c r="AS572" s="423"/>
      <c r="AT572" s="448"/>
      <c r="AU572" s="448"/>
      <c r="AV572" s="448">
        <v>20</v>
      </c>
      <c r="AW572" s="448"/>
      <c r="AX572" s="448"/>
      <c r="AY572" s="425" t="s">
        <v>140</v>
      </c>
      <c r="AZ572" s="860" t="s">
        <v>140</v>
      </c>
      <c r="BA572" s="448"/>
      <c r="BB572" s="448"/>
      <c r="BC572" s="448"/>
      <c r="BD572" s="448"/>
      <c r="BE572" s="448"/>
      <c r="BF572" s="425"/>
      <c r="BG572" s="448">
        <v>7</v>
      </c>
      <c r="BH572" s="448"/>
      <c r="BI572" s="448"/>
      <c r="BJ572" s="448">
        <v>7</v>
      </c>
      <c r="BK572" s="448"/>
      <c r="BL572" s="448"/>
      <c r="BM572" s="448"/>
      <c r="BN572" s="448"/>
      <c r="BO572" s="448"/>
      <c r="BP572" s="425" t="s">
        <v>41</v>
      </c>
      <c r="BQ572" s="424">
        <v>3</v>
      </c>
      <c r="BR572" s="423">
        <v>1</v>
      </c>
      <c r="BS572" s="425"/>
      <c r="BT572" s="423"/>
      <c r="BU572" s="423"/>
      <c r="BV572" s="425"/>
      <c r="BW572" s="423"/>
      <c r="BX572" s="448"/>
      <c r="BY572" s="448"/>
      <c r="BZ572" s="448"/>
      <c r="CA572" s="448"/>
      <c r="CB572" s="448"/>
      <c r="CC572" s="777"/>
      <c r="CD572" s="448"/>
      <c r="CE572" s="631">
        <f>IFERROR(WWWW[[#This Row],['#_Water sources passed]]/WWWW[[#This Row],['#_Water sources tested for fecal coliform ]],"no test")</f>
        <v>0</v>
      </c>
      <c r="CF572" s="423" t="str">
        <f>IFERROR(WWWW[[#This Row],['#_Household passed]]/WWWW[[#This Row],['#_Household water samples tested for fecal coliform]],"no test")</f>
        <v>no test</v>
      </c>
      <c r="CG572" s="424" t="str">
        <f>IF(AND(WWWW[[#This Row],[% of water sources passed]]="no test",WWWW[[#This Row],[% Household passed]]="no test"),"No Test","Tested")</f>
        <v>Tested</v>
      </c>
      <c r="CH572" s="424">
        <f>WWWW[[#This Row],['#_Constructed/existing protected hand dug well]]-WWWW[[#This Row],['#_Non-functional protected hand dug well]]</f>
        <v>0</v>
      </c>
      <c r="CI572" s="424">
        <f>(WWWW[[#This Row],['#_Constructed/Existing tube wells/boreholes/handpumps_WASH_agency]]+WWWW[[#This Row],['#_Non-Cluster partner water tube-wells/boreholes/handpumps]])-WWWW[[#This Row],['#_Non-functional tube wells/boreholes/handpumps]]</f>
        <v>1</v>
      </c>
      <c r="CJ572" s="424">
        <f>WWWW[[#This Row],['#_Constructed/Existingwater storage tank with gravity fed reticulation system]]-WWWW[[#This Row],['#_Non-functional storage tank gravity fed reticulation system]]</f>
        <v>0</v>
      </c>
      <c r="CK572" s="424">
        <f>(WWWW[[#This Row],['#_Water_Liters_supplied_by_Water boating or water trucking]]/90)/15</f>
        <v>0</v>
      </c>
      <c r="CL572" s="424">
        <f>WWWW[[#This Row],['#_Water_Liters_from_Constructed/Existing water distribution system from river or natural spring]]/90/15</f>
        <v>0</v>
      </c>
      <c r="CM572" s="424">
        <f>IF(WWWW[[#This Row],['#_of water points in TLS/CFS]]*500&gt;WWWW[[#This Row],[Total PoP ]],WWWW[[#This Row],[Total PoP ]],WWWW[[#This Row],['#_of water points in TLS/CFS]]*500)</f>
        <v>0</v>
      </c>
      <c r="CN572" s="424">
        <f>IF(WWWW[[#This Row],['#_of water points in THF]]*500&gt;WWWW[[#This Row],[Total PoP ]],WWWW[[#This Row],[Total PoP ]],WWWW[[#This Row],['#_of water points in THF]]*500)</f>
        <v>0</v>
      </c>
      <c r="CO572"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72"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Q572" s="423">
        <f>IF(WWWW[[#This Row],[Location Type 1]]="Village",WWWW[[#This Row],[Access to safe drinking water for Village]],WWWW[[#This Row],[Access to safe drinking water for Camp]])</f>
        <v>1</v>
      </c>
      <c r="CR572" s="428">
        <f>WWWW[[#This Row],[%Equitable and continuous access to sufficient quantity of safe drinking water]]*WWWW[[#This Row],[Total PoP ]]</f>
        <v>323</v>
      </c>
      <c r="CS572" s="423">
        <f>IF((WWWW[[#This Row],['#_Constructed/Existing protected/fenced ponds]]*250)/WWWW[[#This Row],[Total PoP ]]&gt;1,1,(WWWW[[#This Row],['#_Constructed/Existing protected/fenced ponds]]*250)/WWWW[[#This Row],[Total PoP ]])</f>
        <v>0</v>
      </c>
      <c r="CT572" s="428">
        <f>WWWW[[#This Row],[% Access to unimproved water points]]*WWWW[[#This Row],[Total PoP ]]</f>
        <v>0</v>
      </c>
      <c r="CU572"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72"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572" s="428">
        <f>WWWW[[#This Row],[HRP1]]/500</f>
        <v>0.64600000000000002</v>
      </c>
      <c r="CX572" s="898">
        <f>1-WWWW[[#This Row],[% Equitable and continuous access to sufficient quantity of domestic water]]</f>
        <v>0</v>
      </c>
      <c r="CY572" s="428">
        <f>WWWW[[#This Row],[%equitable and continuous access to sufficient quantity of safe drinking and domestic water''s GAP]]*WWWW[[#This Row],[Total PoP ]]</f>
        <v>0</v>
      </c>
      <c r="CZ572" s="424">
        <f>IF(WWWW[[#This Row],[Total required water points]]-WWWW[[#This Row],['#Water points coverage]]&lt;0,0,WWWW[[#This Row],[Total required water points]]-WWWW[[#This Row],['#Water points coverage]])</f>
        <v>0.35399999999999998</v>
      </c>
      <c r="DA572" s="424">
        <f>ROUND(IF(WWWW[[#This Row],[Total PoP ]]&lt;500,1,WWWW[[#This Row],[Total PoP ]]/500),0)</f>
        <v>1</v>
      </c>
      <c r="DB572" s="424">
        <f>(WWWW[[#This Row],['#_Constructed latrines_by_WASHAgencies]]+WWWW[[#This Row],['#_Non Cluster partner latrines]])-WWWW[[#This Row],['#_Non-functional latrines]]</f>
        <v>10</v>
      </c>
      <c r="DC572" s="631">
        <f>WWWW[[#This Row],[HRP2]]/WWWW[[#This Row],[Total PoP ]]</f>
        <v>0.61919504643962853</v>
      </c>
      <c r="DD572"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572"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323</v>
      </c>
      <c r="DF572"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2" s="424">
        <f>IF(WWWW[[#This Row],['# of functional latrines in THF supported by WASH partners during the reporting period2]]="",0,WWWW[[#This Row],['# of functional latrines in THF supported by WASH partners during the reporting period2]]*50)</f>
        <v>0</v>
      </c>
      <c r="DH572" s="424">
        <f>ROUND(IF(WWWW[[#This Row],[Location Type 1]]="camp",WWWW[[#This Row],[Total PoP ]]/20,IF(WWWW[[#This Row],[Location Type 1]]="Temporary Location",WWWW[[#This Row],[Total PoP ]]/50,(WWWW[[#This Row],[Total PoP ]]/6))),0)</f>
        <v>16</v>
      </c>
      <c r="DI572" s="424">
        <f>IF(WWWW[[#This Row],[Total required Latrines]]-(WWWW[[#This Row],['#_Constructed latrines_by_WASHAgencies]]+WWWW[[#This Row],['#_Non Cluster partner latrines]])&lt;0,0,WWWW[[#This Row],[Total required Latrines]]-(WWWW[[#This Row],['#_Constructed latrines_by_WASHAgencies]]+WWWW[[#This Row],['#_Non Cluster partner latrines]]))</f>
        <v>6</v>
      </c>
      <c r="DJ572" s="898">
        <f>1-WWWW[[#This Row],[% people access to functioning Latrine]]</f>
        <v>0.38080495356037147</v>
      </c>
      <c r="DK572" s="631">
        <f>IF(OR(WWWW[[#This Row],['#_Non-functional latrines]]="",WWWW[[#This Row],['#_Non-functional latrines]]=0),0,WWWW[[#This Row],['#_Non-functional latrines]]/(WWWW[[#This Row],['#_Constructed latrines_by_WASHAgencies]]+WWWW[[#This Row],['#_Non Cluster partner latrines]]))</f>
        <v>0</v>
      </c>
      <c r="DL572" s="428">
        <f>IF(500*(WWWW[[#This Row],['#_male hygiene promoters]]+WWWW[[#This Row],['#_female hygiene promoters]])&gt;WWWW[[#This Row],[Total PoP ]],WWWW[[#This Row],[Total PoP ]],500*(WWWW[[#This Row],['#_male hygiene promoters]]+WWWW[[#This Row],['#_female hygiene promoters]]))</f>
        <v>0</v>
      </c>
      <c r="DM572"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72"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72" s="424">
        <f>IF(WWWW[[#This Row],['# People with access to soap]]&gt;WWWW[[#This Row],['# People with access to Sanity Pads]],WWWW[[#This Row],['# People with access to soap]],WWWW[[#This Row],['# People with access to Sanity Pads]])</f>
        <v>0</v>
      </c>
      <c r="DP572"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72" s="898">
        <f>IF(WWWW[[#This Row],[HRP3]]/WWWW[[#This Row],[Total PoP ]]&gt;1,1,WWWW[[#This Row],[HRP3]]/WWWW[[#This Row],[Total PoP ]])</f>
        <v>0</v>
      </c>
      <c r="DR572" s="631">
        <f>1-WWWW[[#This Row],[Hygiene Coverage%]]</f>
        <v>1</v>
      </c>
      <c r="DS572" s="423">
        <f>WWWW[[#This Row],['# people reached by regular dedicated hygiene promotion_5]]/WWWW[[#This Row],[Total PoP ]]</f>
        <v>0</v>
      </c>
      <c r="DT572"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72"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72" s="424">
        <f>WWWW[[#This Row],['#_Constructed/Existing hand washing stations]]-WWWW[[#This Row],['#_Non-Functional_hand_washing_stations]]</f>
        <v>7</v>
      </c>
      <c r="DW572" s="428">
        <f>IF(WWWW[[#This Row],['# Functional hand washing stations during reporting period]]*20&gt;WWWW[[#This Row],[Total HH]],WWWW[[#This Row],[Total HH]],WWWW[[#This Row],['# Functional hand washing stations during reporting period]]*20)</f>
        <v>64</v>
      </c>
      <c r="DX572" s="428">
        <f>IF(WWWW[[#This Row],[Is sufficient soap available for TLS? (Yes/No)]]="yes",WWWW[[#This Row],['#_Constructed/Existing hand washing stations at TLS/CFS/THF]],0)</f>
        <v>0</v>
      </c>
      <c r="DY572" s="428">
        <f>IF(WWWW[[#This Row],['# Functional hand washing stations during reporting period]]*100&gt;WWWW[[#This Row],[Total PoP ]],WWWW[[#This Row],[Total PoP ]],WWWW[[#This Row],['# Functional hand washing stations during reporting period]]*100)</f>
        <v>323</v>
      </c>
      <c r="DZ572" s="428" t="str">
        <f>IF(OR(WWWW[[#This Row],['#_students at TLS_CFS]]="",WWWW[[#This Row],['#_students at TLS_CFS]]=0),"No","Yes")</f>
        <v>No</v>
      </c>
      <c r="EA57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2" s="425" t="str">
        <f>VLOOKUP(WWWW[[#This Row],[Site Name]],SiteDB6[[Site Name]:[CCCM Management]],6,FALSE)</f>
        <v>Yes</v>
      </c>
      <c r="EF572" s="425" t="str">
        <f>VLOOKUP(WWWW[[#This Row],[Site Name]],SiteDB6[[Site Name]:[CCCM Focal Agency]],7,FALSE)</f>
        <v>KBC-NSS</v>
      </c>
      <c r="EG572" s="425" t="str">
        <f>VLOOKUP(WWWW[[#This Row],[Site Name]],SiteDB6[[Site Name]:[Location Type 1]],9,FALSE)</f>
        <v>Camp</v>
      </c>
      <c r="EH572" s="425" t="str">
        <f>VLOOKUP(WWWW[[#This Row],[Site Name]],SiteDB6[[Site Name]:[Type of Accommodation]],10,FALSE)</f>
        <v>Camp</v>
      </c>
      <c r="EI572" s="425" t="str">
        <f>VLOOKUP(WWWW[[#This Row],[Site Name]],SiteDB6[[Site Name]:[Ethnic or GCA/NGCA]],11,FALSE)</f>
        <v>GCA</v>
      </c>
      <c r="EJ572" s="425">
        <f>VLOOKUP(WWWW[[#This Row],[Site Name]],SiteDB6[[Site Name]:[Lat]],12,FALSE)</f>
        <v>23.828520000000001</v>
      </c>
      <c r="EK572" s="425">
        <f>VLOOKUP(WWWW[[#This Row],[Site Name]],SiteDB6[[Site Name]:[Long]],13,FALSE)</f>
        <v>97.669557999999995</v>
      </c>
      <c r="EL572" s="425" t="str">
        <f>VLOOKUP(WWWW[[#This Row],[Site Name]],SiteDB6[[Site Name]:[Pcode]],3,FALSE)</f>
        <v>MMR015CMP001</v>
      </c>
      <c r="EM572" s="860" t="str">
        <f t="shared" si="12"/>
        <v>Covered</v>
      </c>
      <c r="EN572" s="860"/>
      <c r="EO572" s="425">
        <f>VLOOKUP(WWWW[[#This Row],[Site Name]],SiteDB6[[Site Name]:[Pop
(Kachin/Shan-CCCM as of July 2021)]],16,FALSE)</f>
        <v>66</v>
      </c>
      <c r="EP572" s="425">
        <f>VLOOKUP(WWWW[[#This Row],[Site Name]],SiteDB6[[Site Name]:[Pop
(Kachin/Shan-CCCM as of July 2021)]],17,FALSE)</f>
        <v>333</v>
      </c>
    </row>
    <row r="573" spans="1:146">
      <c r="A573" s="1044" t="s">
        <v>2765</v>
      </c>
      <c r="B573" s="1044" t="s">
        <v>192</v>
      </c>
      <c r="C573" s="1045" t="s">
        <v>192</v>
      </c>
      <c r="D573" s="1045" t="s">
        <v>2673</v>
      </c>
      <c r="E573" s="1045" t="s">
        <v>515</v>
      </c>
      <c r="F573" s="1045" t="s">
        <v>516</v>
      </c>
      <c r="G573" s="1043" t="str">
        <f>VLOOKUP(WWWW[[#This Row],[Site Name]],SiteDB6[[Site Name]:[Location Type]],8,FALSE)</f>
        <v>Camp</v>
      </c>
      <c r="H573" s="1045" t="s">
        <v>551</v>
      </c>
      <c r="I573" s="448">
        <v>6</v>
      </c>
      <c r="J573" s="448">
        <v>31</v>
      </c>
      <c r="K573" s="588">
        <v>44511</v>
      </c>
      <c r="L573" s="589">
        <v>44875</v>
      </c>
      <c r="M573" s="448"/>
      <c r="N573" s="448"/>
      <c r="O573" s="448">
        <v>1</v>
      </c>
      <c r="P573" s="448"/>
      <c r="Q573" s="428"/>
      <c r="R573" s="448"/>
      <c r="S573" s="448"/>
      <c r="T573" s="448"/>
      <c r="U573" s="448"/>
      <c r="V573" s="448"/>
      <c r="W573" s="448"/>
      <c r="X573" s="448">
        <v>1</v>
      </c>
      <c r="Y573" s="448"/>
      <c r="Z573" s="448"/>
      <c r="AA573" s="448"/>
      <c r="AB573" s="448"/>
      <c r="AC573" s="448"/>
      <c r="AD573" s="448"/>
      <c r="AE573" s="448"/>
      <c r="AF573" s="448"/>
      <c r="AG573" s="448"/>
      <c r="AH573" s="448"/>
      <c r="AI573" s="448"/>
      <c r="AJ573" s="448"/>
      <c r="AK573" s="448"/>
      <c r="AL573" s="448"/>
      <c r="AM573" s="448"/>
      <c r="AN573" s="448"/>
      <c r="AO573" s="448"/>
      <c r="AP573" s="860"/>
      <c r="AQ573" s="448"/>
      <c r="AR573" s="448">
        <v>10</v>
      </c>
      <c r="AS573" s="423"/>
      <c r="AT573" s="448"/>
      <c r="AU573" s="448"/>
      <c r="AV573" s="448"/>
      <c r="AW573" s="448"/>
      <c r="AX573" s="448"/>
      <c r="AY573" s="425" t="s">
        <v>140</v>
      </c>
      <c r="AZ573" s="860" t="s">
        <v>140</v>
      </c>
      <c r="BA573" s="448"/>
      <c r="BB573" s="448"/>
      <c r="BC573" s="448"/>
      <c r="BD573" s="448"/>
      <c r="BE573" s="448"/>
      <c r="BF573" s="425"/>
      <c r="BG573" s="448">
        <v>7</v>
      </c>
      <c r="BH573" s="448"/>
      <c r="BI573" s="448"/>
      <c r="BJ573" s="448">
        <v>4</v>
      </c>
      <c r="BK573" s="448"/>
      <c r="BL573" s="448"/>
      <c r="BM573" s="448">
        <v>1</v>
      </c>
      <c r="BN573" s="448"/>
      <c r="BO573" s="448"/>
      <c r="BP573" s="425" t="s">
        <v>41</v>
      </c>
      <c r="BQ573" s="424"/>
      <c r="BR573" s="423"/>
      <c r="BS573" s="425"/>
      <c r="BT573" s="423"/>
      <c r="BU573" s="423"/>
      <c r="BV573" s="425"/>
      <c r="BW573" s="423"/>
      <c r="BX573" s="448"/>
      <c r="BY573" s="448"/>
      <c r="BZ573" s="448"/>
      <c r="CA573" s="448"/>
      <c r="CB573" s="448"/>
      <c r="CC573" s="777"/>
      <c r="CD573" s="448"/>
      <c r="CE573" s="631" t="str">
        <f>IFERROR(WWWW[[#This Row],['#_Water sources passed]]/WWWW[[#This Row],['#_Water sources tested for fecal coliform ]],"no test")</f>
        <v>no test</v>
      </c>
      <c r="CF573" s="423" t="str">
        <f>IFERROR(WWWW[[#This Row],['#_Household passed]]/WWWW[[#This Row],['#_Household water samples tested for fecal coliform]],"no test")</f>
        <v>no test</v>
      </c>
      <c r="CG573" s="424" t="str">
        <f>IF(AND(WWWW[[#This Row],[% of water sources passed]]="no test",WWWW[[#This Row],[% Household passed]]="no test"),"No Test","Tested")</f>
        <v>No Test</v>
      </c>
      <c r="CH573" s="424">
        <f>WWWW[[#This Row],['#_Constructed/existing protected hand dug well]]-WWWW[[#This Row],['#_Non-functional protected hand dug well]]</f>
        <v>0</v>
      </c>
      <c r="CI573" s="424">
        <f>(WWWW[[#This Row],['#_Constructed/Existing tube wells/boreholes/handpumps_WASH_agency]]+WWWW[[#This Row],['#_Non-Cluster partner water tube-wells/boreholes/handpumps]])-WWWW[[#This Row],['#_Non-functional tube wells/boreholes/handpumps]]</f>
        <v>1</v>
      </c>
      <c r="CJ573" s="424">
        <f>WWWW[[#This Row],['#_Constructed/Existingwater storage tank with gravity fed reticulation system]]-WWWW[[#This Row],['#_Non-functional storage tank gravity fed reticulation system]]</f>
        <v>0</v>
      </c>
      <c r="CK573" s="424">
        <f>(WWWW[[#This Row],['#_Water_Liters_supplied_by_Water boating or water trucking]]/90)/15</f>
        <v>0</v>
      </c>
      <c r="CL573" s="424">
        <f>WWWW[[#This Row],['#_Water_Liters_from_Constructed/Existing water distribution system from river or natural spring]]/90/15</f>
        <v>0</v>
      </c>
      <c r="CM573" s="424">
        <f>IF(WWWW[[#This Row],['#_of water points in TLS/CFS]]*500&gt;WWWW[[#This Row],[Total PoP ]],WWWW[[#This Row],[Total PoP ]],WWWW[[#This Row],['#_of water points in TLS/CFS]]*500)</f>
        <v>0</v>
      </c>
      <c r="CN573" s="424">
        <f>IF(WWWW[[#This Row],['#_of water points in THF]]*500&gt;WWWW[[#This Row],[Total PoP ]],WWWW[[#This Row],[Total PoP ]],WWWW[[#This Row],['#_of water points in THF]]*500)</f>
        <v>0</v>
      </c>
      <c r="CO573"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73"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73" s="423">
        <f>IF(WWWW[[#This Row],[Location Type 1]]="Village",WWWW[[#This Row],[Access to safe drinking water for Village]],WWWW[[#This Row],[Access to safe drinking water for Camp]])</f>
        <v>1</v>
      </c>
      <c r="CR573" s="428">
        <f>WWWW[[#This Row],[%Equitable and continuous access to sufficient quantity of safe drinking water]]*WWWW[[#This Row],[Total PoP ]]</f>
        <v>31</v>
      </c>
      <c r="CS573" s="423">
        <f>IF((WWWW[[#This Row],['#_Constructed/Existing protected/fenced ponds]]*250)/WWWW[[#This Row],[Total PoP ]]&gt;1,1,(WWWW[[#This Row],['#_Constructed/Existing protected/fenced ponds]]*250)/WWWW[[#This Row],[Total PoP ]])</f>
        <v>0</v>
      </c>
      <c r="CT573" s="428">
        <f>WWWW[[#This Row],[% Access to unimproved water points]]*WWWW[[#This Row],[Total PoP ]]</f>
        <v>0</v>
      </c>
      <c r="CU573"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73"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v>
      </c>
      <c r="CW573" s="428">
        <f>WWWW[[#This Row],[HRP1]]/500</f>
        <v>6.2E-2</v>
      </c>
      <c r="CX573" s="898">
        <f>1-WWWW[[#This Row],[% Equitable and continuous access to sufficient quantity of domestic water]]</f>
        <v>0</v>
      </c>
      <c r="CY573" s="428">
        <f>WWWW[[#This Row],[%equitable and continuous access to sufficient quantity of safe drinking and domestic water''s GAP]]*WWWW[[#This Row],[Total PoP ]]</f>
        <v>0</v>
      </c>
      <c r="CZ573" s="424">
        <f>IF(WWWW[[#This Row],[Total required water points]]-WWWW[[#This Row],['#Water points coverage]]&lt;0,0,WWWW[[#This Row],[Total required water points]]-WWWW[[#This Row],['#Water points coverage]])</f>
        <v>0.93799999999999994</v>
      </c>
      <c r="DA573" s="424">
        <f>ROUND(IF(WWWW[[#This Row],[Total PoP ]]&lt;500,1,WWWW[[#This Row],[Total PoP ]]/500),0)</f>
        <v>1</v>
      </c>
      <c r="DB573" s="424">
        <f>(WWWW[[#This Row],['#_Constructed latrines_by_WASHAgencies]]+WWWW[[#This Row],['#_Non Cluster partner latrines]])-WWWW[[#This Row],['#_Non-functional latrines]]</f>
        <v>10</v>
      </c>
      <c r="DC573" s="631">
        <f>WWWW[[#This Row],[HRP2]]/WWWW[[#This Row],[Total PoP ]]</f>
        <v>1</v>
      </c>
      <c r="DD573"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DE573"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3"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3" s="424">
        <f>IF(WWWW[[#This Row],['# of functional latrines in THF supported by WASH partners during the reporting period2]]="",0,WWWW[[#This Row],['# of functional latrines in THF supported by WASH partners during the reporting period2]]*50)</f>
        <v>0</v>
      </c>
      <c r="DH573" s="424">
        <f>ROUND(IF(WWWW[[#This Row],[Location Type 1]]="camp",WWWW[[#This Row],[Total PoP ]]/20,IF(WWWW[[#This Row],[Location Type 1]]="Temporary Location",WWWW[[#This Row],[Total PoP ]]/50,(WWWW[[#This Row],[Total PoP ]]/6))),0)</f>
        <v>2</v>
      </c>
      <c r="DI573" s="424">
        <f>IF(WWWW[[#This Row],[Total required Latrines]]-(WWWW[[#This Row],['#_Constructed latrines_by_WASHAgencies]]+WWWW[[#This Row],['#_Non Cluster partner latrines]])&lt;0,0,WWWW[[#This Row],[Total required Latrines]]-(WWWW[[#This Row],['#_Constructed latrines_by_WASHAgencies]]+WWWW[[#This Row],['#_Non Cluster partner latrines]]))</f>
        <v>0</v>
      </c>
      <c r="DJ573" s="898">
        <f>1-WWWW[[#This Row],[% people access to functioning Latrine]]</f>
        <v>0</v>
      </c>
      <c r="DK573" s="631">
        <f>IF(OR(WWWW[[#This Row],['#_Non-functional latrines]]="",WWWW[[#This Row],['#_Non-functional latrines]]=0),0,WWWW[[#This Row],['#_Non-functional latrines]]/(WWWW[[#This Row],['#_Constructed latrines_by_WASHAgencies]]+WWWW[[#This Row],['#_Non Cluster partner latrines]]))</f>
        <v>0</v>
      </c>
      <c r="DL573" s="428">
        <f>IF(500*(WWWW[[#This Row],['#_male hygiene promoters]]+WWWW[[#This Row],['#_female hygiene promoters]])&gt;WWWW[[#This Row],[Total PoP ]],WWWW[[#This Row],[Total PoP ]],500*(WWWW[[#This Row],['#_male hygiene promoters]]+WWWW[[#This Row],['#_female hygiene promoters]]))</f>
        <v>31</v>
      </c>
      <c r="DM573"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73"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73" s="424">
        <f>IF(WWWW[[#This Row],['# People with access to soap]]&gt;WWWW[[#This Row],['# People with access to Sanity Pads]],WWWW[[#This Row],['# People with access to soap]],WWWW[[#This Row],['# People with access to Sanity Pads]])</f>
        <v>0</v>
      </c>
      <c r="DP573" s="424">
        <f>IF(WWWW[[#This Row],['# people reached by regular dedicated hygiene promotion_5]]&gt;WWWW[[#This Row],['# People received regular supply of hygiene items_6]],WWWW[[#This Row],['# people reached by regular dedicated hygiene promotion_5]],WWWW[[#This Row],['# People received regular supply of hygiene items_6]])</f>
        <v>31</v>
      </c>
      <c r="DQ573" s="898">
        <f>IF(WWWW[[#This Row],[HRP3]]/WWWW[[#This Row],[Total PoP ]]&gt;1,1,WWWW[[#This Row],[HRP3]]/WWWW[[#This Row],[Total PoP ]])</f>
        <v>1</v>
      </c>
      <c r="DR573" s="631">
        <f>1-WWWW[[#This Row],[Hygiene Coverage%]]</f>
        <v>0</v>
      </c>
      <c r="DS573" s="423">
        <f>WWWW[[#This Row],['# people reached by regular dedicated hygiene promotion_5]]/WWWW[[#This Row],[Total PoP ]]</f>
        <v>1</v>
      </c>
      <c r="DT573"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73"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73" s="424">
        <f>WWWW[[#This Row],['#_Constructed/Existing hand washing stations]]-WWWW[[#This Row],['#_Non-Functional_hand_washing_stations]]</f>
        <v>7</v>
      </c>
      <c r="DW573" s="428">
        <f>IF(WWWW[[#This Row],['# Functional hand washing stations during reporting period]]*20&gt;WWWW[[#This Row],[Total HH]],WWWW[[#This Row],[Total HH]],WWWW[[#This Row],['# Functional hand washing stations during reporting period]]*20)</f>
        <v>6</v>
      </c>
      <c r="DX573" s="428">
        <f>IF(WWWW[[#This Row],[Is sufficient soap available for TLS? (Yes/No)]]="yes",WWWW[[#This Row],['#_Constructed/Existing hand washing stations at TLS/CFS/THF]],0)</f>
        <v>0</v>
      </c>
      <c r="DY573" s="428">
        <f>IF(WWWW[[#This Row],['# Functional hand washing stations during reporting period]]*100&gt;WWWW[[#This Row],[Total PoP ]],WWWW[[#This Row],[Total PoP ]],WWWW[[#This Row],['# Functional hand washing stations during reporting period]]*100)</f>
        <v>31</v>
      </c>
      <c r="DZ573" s="428" t="str">
        <f>IF(OR(WWWW[[#This Row],['#_students at TLS_CFS]]="",WWWW[[#This Row],['#_students at TLS_CFS]]=0),"No","Yes")</f>
        <v>No</v>
      </c>
      <c r="EA57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3" s="425" t="str">
        <f>VLOOKUP(WWWW[[#This Row],[Site Name]],SiteDB6[[Site Name]:[CCCM Management]],6,FALSE)</f>
        <v>Yes</v>
      </c>
      <c r="EF573" s="425" t="str">
        <f>VLOOKUP(WWWW[[#This Row],[Site Name]],SiteDB6[[Site Name]:[CCCM Focal Agency]],7,FALSE)</f>
        <v>KBC-NSS</v>
      </c>
      <c r="EG573" s="425" t="str">
        <f>VLOOKUP(WWWW[[#This Row],[Site Name]],SiteDB6[[Site Name]:[Location Type 1]],9,FALSE)</f>
        <v>Camp</v>
      </c>
      <c r="EH573" s="425" t="str">
        <f>VLOOKUP(WWWW[[#This Row],[Site Name]],SiteDB6[[Site Name]:[Type of Accommodation]],10,FALSE)</f>
        <v>Closed Camp</v>
      </c>
      <c r="EI573" s="425" t="str">
        <f>VLOOKUP(WWWW[[#This Row],[Site Name]],SiteDB6[[Site Name]:[Ethnic or GCA/NGCA]],11,FALSE)</f>
        <v>GCA</v>
      </c>
      <c r="EJ573" s="425">
        <f>VLOOKUP(WWWW[[#This Row],[Site Name]],SiteDB6[[Site Name]:[Lat]],12,FALSE)</f>
        <v>23.841646999999998</v>
      </c>
      <c r="EK573" s="425">
        <f>VLOOKUP(WWWW[[#This Row],[Site Name]],SiteDB6[[Site Name]:[Long]],13,FALSE)</f>
        <v>97.700940000000003</v>
      </c>
      <c r="EL573" s="425" t="str">
        <f>VLOOKUP(WWWW[[#This Row],[Site Name]],SiteDB6[[Site Name]:[Pcode]],3,FALSE)</f>
        <v>MMR015CMP214</v>
      </c>
      <c r="EM573" s="860" t="str">
        <f t="shared" si="12"/>
        <v>Covered</v>
      </c>
      <c r="EN573" s="860"/>
      <c r="EO573" s="425">
        <f>VLOOKUP(WWWW[[#This Row],[Site Name]],SiteDB6[[Site Name]:[Pop
(Kachin/Shan-CCCM as of July 2021)]],16,FALSE)</f>
        <v>7</v>
      </c>
      <c r="EP573" s="425">
        <f>VLOOKUP(WWWW[[#This Row],[Site Name]],SiteDB6[[Site Name]:[Pop
(Kachin/Shan-CCCM as of July 2021)]],17,FALSE)</f>
        <v>32</v>
      </c>
    </row>
    <row r="574" spans="1:146">
      <c r="A574" s="1044" t="s">
        <v>2765</v>
      </c>
      <c r="B574" s="1044" t="s">
        <v>2359</v>
      </c>
      <c r="C574" s="1045" t="s">
        <v>2359</v>
      </c>
      <c r="D574" s="1045" t="s">
        <v>2673</v>
      </c>
      <c r="E574" s="1045" t="s">
        <v>515</v>
      </c>
      <c r="F574" s="1045" t="s">
        <v>516</v>
      </c>
      <c r="G574" s="1043" t="str">
        <f>VLOOKUP(WWWW[[#This Row],[Site Name]],SiteDB6[[Site Name]:[Location Type]],8,FALSE)</f>
        <v>Camp</v>
      </c>
      <c r="H574" s="1045" t="s">
        <v>517</v>
      </c>
      <c r="I574" s="448">
        <v>44</v>
      </c>
      <c r="J574" s="448">
        <v>213</v>
      </c>
      <c r="K574" s="800" t="s">
        <v>2767</v>
      </c>
      <c r="L574" s="56" t="s">
        <v>3178</v>
      </c>
      <c r="M574" s="448"/>
      <c r="N574" s="448">
        <v>2</v>
      </c>
      <c r="O574" s="448"/>
      <c r="P574" s="448"/>
      <c r="Q574" s="428" t="s">
        <v>41</v>
      </c>
      <c r="R574" s="448">
        <v>3</v>
      </c>
      <c r="S574" s="448">
        <v>9</v>
      </c>
      <c r="T574" s="448">
        <v>1</v>
      </c>
      <c r="U574" s="448"/>
      <c r="V574" s="448"/>
      <c r="W574" s="448"/>
      <c r="X574" s="448">
        <v>2</v>
      </c>
      <c r="Y574" s="448"/>
      <c r="Z574" s="448"/>
      <c r="AA574" s="448"/>
      <c r="AB574" s="448"/>
      <c r="AC574" s="448"/>
      <c r="AD574" s="448"/>
      <c r="AE574" s="448">
        <v>1</v>
      </c>
      <c r="AF574" s="448"/>
      <c r="AG574" s="448"/>
      <c r="AH574" s="448">
        <v>2</v>
      </c>
      <c r="AI574" s="448"/>
      <c r="AJ574" s="448"/>
      <c r="AK574" s="448"/>
      <c r="AL574" s="448"/>
      <c r="AM574" s="448">
        <v>3</v>
      </c>
      <c r="AN574" s="448"/>
      <c r="AO574" s="448"/>
      <c r="AP574" s="860"/>
      <c r="AQ574" s="448">
        <v>14</v>
      </c>
      <c r="AR574" s="448"/>
      <c r="AS574" s="423"/>
      <c r="AT574" s="448"/>
      <c r="AU574" s="448"/>
      <c r="AV574" s="448"/>
      <c r="AW574" s="448"/>
      <c r="AX574" s="448">
        <v>14</v>
      </c>
      <c r="AY574" s="425" t="s">
        <v>41</v>
      </c>
      <c r="AZ574" s="860" t="s">
        <v>137</v>
      </c>
      <c r="BA574" s="448"/>
      <c r="BB574" s="448"/>
      <c r="BC574" s="448"/>
      <c r="BD574" s="448"/>
      <c r="BE574" s="448"/>
      <c r="BF574" s="425"/>
      <c r="BG574" s="448">
        <v>3</v>
      </c>
      <c r="BH574" s="448"/>
      <c r="BI574" s="448"/>
      <c r="BJ574" s="448">
        <v>2</v>
      </c>
      <c r="BK574" s="448"/>
      <c r="BL574" s="448">
        <v>1</v>
      </c>
      <c r="BM574" s="448">
        <v>1</v>
      </c>
      <c r="BN574" s="448"/>
      <c r="BO574" s="448"/>
      <c r="BP574" s="425" t="s">
        <v>41</v>
      </c>
      <c r="BQ574" s="424">
        <v>3</v>
      </c>
      <c r="BR574" s="423">
        <v>1</v>
      </c>
      <c r="BS574" s="425"/>
      <c r="BT574" s="423"/>
      <c r="BU574" s="423"/>
      <c r="BV574" s="425"/>
      <c r="BW574" s="423"/>
      <c r="BX574" s="448"/>
      <c r="BY574" s="448"/>
      <c r="BZ574" s="448"/>
      <c r="CA574" s="448"/>
      <c r="CB574" s="448"/>
      <c r="CC574" s="777"/>
      <c r="CD574" s="448"/>
      <c r="CE574" s="631" t="str">
        <f>IFERROR(WWWW[[#This Row],['#_Water sources passed]]/WWWW[[#This Row],['#_Water sources tested for fecal coliform ]],"no test")</f>
        <v>no test</v>
      </c>
      <c r="CF574" s="423" t="str">
        <f>IFERROR(WWWW[[#This Row],['#_Household passed]]/WWWW[[#This Row],['#_Household water samples tested for fecal coliform]],"no test")</f>
        <v>no test</v>
      </c>
      <c r="CG574" s="424" t="str">
        <f>IF(AND(WWWW[[#This Row],[% of water sources passed]]="no test",WWWW[[#This Row],[% Household passed]]="no test"),"No Test","Tested")</f>
        <v>No Test</v>
      </c>
      <c r="CH574" s="424">
        <f>WWWW[[#This Row],['#_Constructed/existing protected hand dug well]]-WWWW[[#This Row],['#_Non-functional protected hand dug well]]</f>
        <v>1</v>
      </c>
      <c r="CI574" s="424">
        <f>(WWWW[[#This Row],['#_Constructed/Existing tube wells/boreholes/handpumps_WASH_agency]]+WWWW[[#This Row],['#_Non-Cluster partner water tube-wells/boreholes/handpumps]])-WWWW[[#This Row],['#_Non-functional tube wells/boreholes/handpumps]]</f>
        <v>2</v>
      </c>
      <c r="CJ574" s="424">
        <f>WWWW[[#This Row],['#_Constructed/Existingwater storage tank with gravity fed reticulation system]]-WWWW[[#This Row],['#_Non-functional storage tank gravity fed reticulation system]]</f>
        <v>0</v>
      </c>
      <c r="CK574" s="424">
        <f>(WWWW[[#This Row],['#_Water_Liters_supplied_by_Water boating or water trucking]]/90)/15</f>
        <v>0</v>
      </c>
      <c r="CL574" s="424">
        <f>WWWW[[#This Row],['#_Water_Liters_from_Constructed/Existing water distribution system from river or natural spring]]/90/15</f>
        <v>0</v>
      </c>
      <c r="CM574" s="424">
        <f>IF(WWWW[[#This Row],['#_of water points in TLS/CFS]]*500&gt;WWWW[[#This Row],[Total PoP ]],WWWW[[#This Row],[Total PoP ]],WWWW[[#This Row],['#_of water points in TLS/CFS]]*500)</f>
        <v>0</v>
      </c>
      <c r="CN574" s="424">
        <f>IF(WWWW[[#This Row],['#_of water points in THF]]*500&gt;WWWW[[#This Row],[Total PoP ]],WWWW[[#This Row],[Total PoP ]],WWWW[[#This Row],['#_of water points in THF]]*500)</f>
        <v>0</v>
      </c>
      <c r="CO574"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74"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74" s="423">
        <f>IF(WWWW[[#This Row],[Location Type 1]]="Village",WWWW[[#This Row],[Access to safe drinking water for Village]],WWWW[[#This Row],[Access to safe drinking water for Camp]])</f>
        <v>1</v>
      </c>
      <c r="CR574" s="428">
        <f>WWWW[[#This Row],[%Equitable and continuous access to sufficient quantity of safe drinking water]]*WWWW[[#This Row],[Total PoP ]]</f>
        <v>213</v>
      </c>
      <c r="CS574" s="423">
        <f>IF((WWWW[[#This Row],['#_Constructed/Existing protected/fenced ponds]]*250)/WWWW[[#This Row],[Total PoP ]]&gt;1,1,(WWWW[[#This Row],['#_Constructed/Existing protected/fenced ponds]]*250)/WWWW[[#This Row],[Total PoP ]])</f>
        <v>1</v>
      </c>
      <c r="CT574" s="428">
        <f>WWWW[[#This Row],[% Access to unimproved water points]]*WWWW[[#This Row],[Total PoP ]]</f>
        <v>213</v>
      </c>
      <c r="CU574"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74"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W574" s="428">
        <f>WWWW[[#This Row],[HRP1]]/500</f>
        <v>0.42599999999999999</v>
      </c>
      <c r="CX574" s="898">
        <f>1-WWWW[[#This Row],[% Equitable and continuous access to sufficient quantity of domestic water]]</f>
        <v>0</v>
      </c>
      <c r="CY574" s="428">
        <f>WWWW[[#This Row],[%equitable and continuous access to sufficient quantity of safe drinking and domestic water''s GAP]]*WWWW[[#This Row],[Total PoP ]]</f>
        <v>0</v>
      </c>
      <c r="CZ574" s="424">
        <f>IF(WWWW[[#This Row],[Total required water points]]-WWWW[[#This Row],['#Water points coverage]]&lt;0,0,WWWW[[#This Row],[Total required water points]]-WWWW[[#This Row],['#Water points coverage]])</f>
        <v>0.57400000000000007</v>
      </c>
      <c r="DA574" s="424">
        <f>ROUND(IF(WWWW[[#This Row],[Total PoP ]]&lt;500,1,WWWW[[#This Row],[Total PoP ]]/500),0)</f>
        <v>1</v>
      </c>
      <c r="DB574" s="424">
        <f>(WWWW[[#This Row],['#_Constructed latrines_by_WASHAgencies]]+WWWW[[#This Row],['#_Non Cluster partner latrines]])-WWWW[[#This Row],['#_Non-functional latrines]]</f>
        <v>14</v>
      </c>
      <c r="DC574" s="631">
        <f>WWWW[[#This Row],[HRP2]]/WWWW[[#This Row],[Total PoP ]]</f>
        <v>1</v>
      </c>
      <c r="DD574"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213</v>
      </c>
      <c r="DE574"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4"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4" s="424">
        <f>IF(WWWW[[#This Row],['# of functional latrines in THF supported by WASH partners during the reporting period2]]="",0,WWWW[[#This Row],['# of functional latrines in THF supported by WASH partners during the reporting period2]]*50)</f>
        <v>0</v>
      </c>
      <c r="DH574" s="424">
        <f>ROUND(IF(WWWW[[#This Row],[Location Type 1]]="camp",WWWW[[#This Row],[Total PoP ]]/20,IF(WWWW[[#This Row],[Location Type 1]]="Temporary Location",WWWW[[#This Row],[Total PoP ]]/50,(WWWW[[#This Row],[Total PoP ]]/6))),0)</f>
        <v>11</v>
      </c>
      <c r="DI574" s="424">
        <f>IF(WWWW[[#This Row],[Total required Latrines]]-(WWWW[[#This Row],['#_Constructed latrines_by_WASHAgencies]]+WWWW[[#This Row],['#_Non Cluster partner latrines]])&lt;0,0,WWWW[[#This Row],[Total required Latrines]]-(WWWW[[#This Row],['#_Constructed latrines_by_WASHAgencies]]+WWWW[[#This Row],['#_Non Cluster partner latrines]]))</f>
        <v>0</v>
      </c>
      <c r="DJ574" s="898">
        <f>1-WWWW[[#This Row],[% people access to functioning Latrine]]</f>
        <v>0</v>
      </c>
      <c r="DK574" s="631">
        <f>IF(OR(WWWW[[#This Row],['#_Non-functional latrines]]="",WWWW[[#This Row],['#_Non-functional latrines]]=0),0,WWWW[[#This Row],['#_Non-functional latrines]]/(WWWW[[#This Row],['#_Constructed latrines_by_WASHAgencies]]+WWWW[[#This Row],['#_Non Cluster partner latrines]]))</f>
        <v>0</v>
      </c>
      <c r="DL574" s="428">
        <f>IF(500*(WWWW[[#This Row],['#_male hygiene promoters]]+WWWW[[#This Row],['#_female hygiene promoters]])&gt;WWWW[[#This Row],[Total PoP ]],WWWW[[#This Row],[Total PoP ]],500*(WWWW[[#This Row],['#_male hygiene promoters]]+WWWW[[#This Row],['#_female hygiene promoters]]))</f>
        <v>213</v>
      </c>
      <c r="DM574"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74"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74" s="424">
        <f>IF(WWWW[[#This Row],['# People with access to soap]]&gt;WWWW[[#This Row],['# People with access to Sanity Pads]],WWWW[[#This Row],['# People with access to soap]],WWWW[[#This Row],['# People with access to Sanity Pads]])</f>
        <v>0</v>
      </c>
      <c r="DP574" s="424">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Q574" s="898">
        <f>IF(WWWW[[#This Row],[HRP3]]/WWWW[[#This Row],[Total PoP ]]&gt;1,1,WWWW[[#This Row],[HRP3]]/WWWW[[#This Row],[Total PoP ]])</f>
        <v>1</v>
      </c>
      <c r="DR574" s="631">
        <f>1-WWWW[[#This Row],[Hygiene Coverage%]]</f>
        <v>0</v>
      </c>
      <c r="DS574" s="423">
        <f>WWWW[[#This Row],['# people reached by regular dedicated hygiene promotion_5]]/WWWW[[#This Row],[Total PoP ]]</f>
        <v>1</v>
      </c>
      <c r="DT574"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74"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74" s="424">
        <f>WWWW[[#This Row],['#_Constructed/Existing hand washing stations]]-WWWW[[#This Row],['#_Non-Functional_hand_washing_stations]]</f>
        <v>3</v>
      </c>
      <c r="DW574" s="428">
        <f>IF(WWWW[[#This Row],['# Functional hand washing stations during reporting period]]*20&gt;WWWW[[#This Row],[Total HH]],WWWW[[#This Row],[Total HH]],WWWW[[#This Row],['# Functional hand washing stations during reporting period]]*20)</f>
        <v>44</v>
      </c>
      <c r="DX574" s="428">
        <f>IF(WWWW[[#This Row],[Is sufficient soap available for TLS? (Yes/No)]]="yes",WWWW[[#This Row],['#_Constructed/Existing hand washing stations at TLS/CFS/THF]],0)</f>
        <v>3</v>
      </c>
      <c r="DY574" s="428">
        <f>IF(WWWW[[#This Row],['# Functional hand washing stations during reporting period]]*100&gt;WWWW[[#This Row],[Total PoP ]],WWWW[[#This Row],[Total PoP ]],WWWW[[#This Row],['# Functional hand washing stations during reporting period]]*100)</f>
        <v>213</v>
      </c>
      <c r="DZ574" s="428" t="str">
        <f>IF(OR(WWWW[[#This Row],['#_students at TLS_CFS]]="",WWWW[[#This Row],['#_students at TLS_CFS]]=0),"No","Yes")</f>
        <v>No</v>
      </c>
      <c r="EA57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4" s="425" t="str">
        <f>VLOOKUP(WWWW[[#This Row],[Site Name]],SiteDB6[[Site Name]:[CCCM Management]],6,FALSE)</f>
        <v>Yes</v>
      </c>
      <c r="EF574" s="425" t="str">
        <f>VLOOKUP(WWWW[[#This Row],[Site Name]],SiteDB6[[Site Name]:[CCCM Focal Agency]],7,FALSE)</f>
        <v>KMSS-LSO</v>
      </c>
      <c r="EG574" s="425" t="str">
        <f>VLOOKUP(WWWW[[#This Row],[Site Name]],SiteDB6[[Site Name]:[Location Type 1]],9,FALSE)</f>
        <v>Camp</v>
      </c>
      <c r="EH574" s="425" t="str">
        <f>VLOOKUP(WWWW[[#This Row],[Site Name]],SiteDB6[[Site Name]:[Type of Accommodation]],10,FALSE)</f>
        <v>Camp</v>
      </c>
      <c r="EI574" s="425" t="str">
        <f>VLOOKUP(WWWW[[#This Row],[Site Name]],SiteDB6[[Site Name]:[Ethnic or GCA/NGCA]],11,FALSE)</f>
        <v>GCA</v>
      </c>
      <c r="EJ574" s="425">
        <f>VLOOKUP(WWWW[[#This Row],[Site Name]],SiteDB6[[Site Name]:[Lat]],12,FALSE)</f>
        <v>23.828150000000001</v>
      </c>
      <c r="EK574" s="425">
        <f>VLOOKUP(WWWW[[#This Row],[Site Name]],SiteDB6[[Site Name]:[Long]],13,FALSE)</f>
        <v>97.670360000000002</v>
      </c>
      <c r="EL574" s="425" t="str">
        <f>VLOOKUP(WWWW[[#This Row],[Site Name]],SiteDB6[[Site Name]:[Pcode]],3,FALSE)</f>
        <v>MMR015CMP003</v>
      </c>
      <c r="EM574" s="860" t="str">
        <f t="shared" si="12"/>
        <v>Covered</v>
      </c>
      <c r="EN574" s="860"/>
      <c r="EO574" s="425">
        <f>VLOOKUP(WWWW[[#This Row],[Site Name]],SiteDB6[[Site Name]:[Pop
(Kachin/Shan-CCCM as of July 2021)]],16,FALSE)</f>
        <v>44</v>
      </c>
      <c r="EP574" s="425">
        <f>VLOOKUP(WWWW[[#This Row],[Site Name]],SiteDB6[[Site Name]:[Pop
(Kachin/Shan-CCCM as of July 2021)]],17,FALSE)</f>
        <v>217</v>
      </c>
    </row>
    <row r="575" spans="1:146">
      <c r="A575" s="1044" t="s">
        <v>2765</v>
      </c>
      <c r="B575" s="1044" t="s">
        <v>192</v>
      </c>
      <c r="C575" s="1045" t="s">
        <v>192</v>
      </c>
      <c r="D575" s="1045" t="s">
        <v>2673</v>
      </c>
      <c r="E575" s="1045" t="s">
        <v>515</v>
      </c>
      <c r="F575" s="1045" t="s">
        <v>519</v>
      </c>
      <c r="G575" s="1043" t="str">
        <f>VLOOKUP(WWWW[[#This Row],[Site Name]],SiteDB6[[Site Name]:[Location Type]],8,FALSE)</f>
        <v>Camp</v>
      </c>
      <c r="H575" s="1045" t="s">
        <v>531</v>
      </c>
      <c r="I575" s="448">
        <v>54</v>
      </c>
      <c r="J575" s="448">
        <v>250</v>
      </c>
      <c r="K575" s="588">
        <v>44511</v>
      </c>
      <c r="L575" s="589">
        <v>44875</v>
      </c>
      <c r="M575" s="448"/>
      <c r="N575" s="448">
        <v>1</v>
      </c>
      <c r="O575" s="448"/>
      <c r="P575" s="448"/>
      <c r="Q575" s="428" t="s">
        <v>41</v>
      </c>
      <c r="R575" s="448">
        <v>5</v>
      </c>
      <c r="S575" s="448">
        <v>4</v>
      </c>
      <c r="T575" s="448"/>
      <c r="U575" s="448"/>
      <c r="V575" s="448"/>
      <c r="W575" s="448"/>
      <c r="X575" s="448"/>
      <c r="Y575" s="448"/>
      <c r="Z575" s="448"/>
      <c r="AA575" s="448">
        <v>12</v>
      </c>
      <c r="AB575" s="448"/>
      <c r="AC575" s="448"/>
      <c r="AD575" s="448"/>
      <c r="AE575" s="448"/>
      <c r="AF575" s="448"/>
      <c r="AG575" s="448"/>
      <c r="AH575" s="448">
        <v>1</v>
      </c>
      <c r="AI575" s="448"/>
      <c r="AJ575" s="448"/>
      <c r="AK575" s="448"/>
      <c r="AL575" s="448"/>
      <c r="AM575" s="448"/>
      <c r="AN575" s="448"/>
      <c r="AO575" s="448"/>
      <c r="AP575" s="860"/>
      <c r="AQ575" s="448">
        <v>18</v>
      </c>
      <c r="AR575" s="448"/>
      <c r="AS575" s="423"/>
      <c r="AT575" s="448"/>
      <c r="AU575" s="448"/>
      <c r="AV575" s="448"/>
      <c r="AW575" s="448"/>
      <c r="AX575" s="448"/>
      <c r="AY575" s="425" t="s">
        <v>41</v>
      </c>
      <c r="AZ575" s="860" t="s">
        <v>137</v>
      </c>
      <c r="BA575" s="448"/>
      <c r="BB575" s="448"/>
      <c r="BC575" s="448"/>
      <c r="BD575" s="448"/>
      <c r="BE575" s="448"/>
      <c r="BF575" s="425"/>
      <c r="BG575" s="448">
        <v>6</v>
      </c>
      <c r="BH575" s="448"/>
      <c r="BI575" s="448"/>
      <c r="BJ575" s="448">
        <v>1</v>
      </c>
      <c r="BK575" s="448"/>
      <c r="BL575" s="448"/>
      <c r="BM575" s="448">
        <v>2</v>
      </c>
      <c r="BN575" s="448"/>
      <c r="BO575" s="448"/>
      <c r="BP575" s="425" t="s">
        <v>41</v>
      </c>
      <c r="BQ575" s="424">
        <v>3</v>
      </c>
      <c r="BR575" s="423">
        <v>1</v>
      </c>
      <c r="BS575" s="425"/>
      <c r="BT575" s="423"/>
      <c r="BU575" s="423"/>
      <c r="BV575" s="425"/>
      <c r="BW575" s="423"/>
      <c r="BX575" s="448"/>
      <c r="BY575" s="448"/>
      <c r="BZ575" s="448"/>
      <c r="CA575" s="448"/>
      <c r="CB575" s="448"/>
      <c r="CC575" s="777"/>
      <c r="CD575" s="448"/>
      <c r="CE575" s="631" t="str">
        <f>IFERROR(WWWW[[#This Row],['#_Water sources passed]]/WWWW[[#This Row],['#_Water sources tested for fecal coliform ]],"no test")</f>
        <v>no test</v>
      </c>
      <c r="CF575" s="423" t="str">
        <f>IFERROR(WWWW[[#This Row],['#_Household passed]]/WWWW[[#This Row],['#_Household water samples tested for fecal coliform]],"no test")</f>
        <v>no test</v>
      </c>
      <c r="CG575" s="424" t="str">
        <f>IF(AND(WWWW[[#This Row],[% of water sources passed]]="no test",WWWW[[#This Row],[% Household passed]]="no test"),"No Test","Tested")</f>
        <v>No Test</v>
      </c>
      <c r="CH575" s="424">
        <f>WWWW[[#This Row],['#_Constructed/existing protected hand dug well]]-WWWW[[#This Row],['#_Non-functional protected hand dug well]]</f>
        <v>0</v>
      </c>
      <c r="CI575" s="424">
        <f>(WWWW[[#This Row],['#_Constructed/Existing tube wells/boreholes/handpumps_WASH_agency]]+WWWW[[#This Row],['#_Non-Cluster partner water tube-wells/boreholes/handpumps]])-WWWW[[#This Row],['#_Non-functional tube wells/boreholes/handpumps]]</f>
        <v>0</v>
      </c>
      <c r="CJ575" s="424">
        <f>WWWW[[#This Row],['#_Constructed/Existingwater storage tank with gravity fed reticulation system]]-WWWW[[#This Row],['#_Non-functional storage tank gravity fed reticulation system]]</f>
        <v>12</v>
      </c>
      <c r="CK575" s="424">
        <f>(WWWW[[#This Row],['#_Water_Liters_supplied_by_Water boating or water trucking]]/90)/15</f>
        <v>0</v>
      </c>
      <c r="CL575" s="424">
        <f>WWWW[[#This Row],['#_Water_Liters_from_Constructed/Existing water distribution system from river or natural spring]]/90/15</f>
        <v>0</v>
      </c>
      <c r="CM575" s="424">
        <f>IF(WWWW[[#This Row],['#_of water points in TLS/CFS]]*500&gt;WWWW[[#This Row],[Total PoP ]],WWWW[[#This Row],[Total PoP ]],WWWW[[#This Row],['#_of water points in TLS/CFS]]*500)</f>
        <v>0</v>
      </c>
      <c r="CN575" s="424">
        <f>IF(WWWW[[#This Row],['#_of water points in THF]]*500&gt;WWWW[[#This Row],[Total PoP ]],WWWW[[#This Row],[Total PoP ]],WWWW[[#This Row],['#_of water points in THF]]*500)</f>
        <v>0</v>
      </c>
      <c r="CO575"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75"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75" s="423">
        <f>IF(WWWW[[#This Row],[Location Type 1]]="Village",WWWW[[#This Row],[Access to safe drinking water for Village]],WWWW[[#This Row],[Access to safe drinking water for Camp]])</f>
        <v>1</v>
      </c>
      <c r="CR575" s="428">
        <f>WWWW[[#This Row],[%Equitable and continuous access to sufficient quantity of safe drinking water]]*WWWW[[#This Row],[Total PoP ]]</f>
        <v>250</v>
      </c>
      <c r="CS575" s="423">
        <f>IF((WWWW[[#This Row],['#_Constructed/Existing protected/fenced ponds]]*250)/WWWW[[#This Row],[Total PoP ]]&gt;1,1,(WWWW[[#This Row],['#_Constructed/Existing protected/fenced ponds]]*250)/WWWW[[#This Row],[Total PoP ]])</f>
        <v>0</v>
      </c>
      <c r="CT575" s="428">
        <f>WWWW[[#This Row],[% Access to unimproved water points]]*WWWW[[#This Row],[Total PoP ]]</f>
        <v>0</v>
      </c>
      <c r="CU575"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75"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575" s="428">
        <f>WWWW[[#This Row],[HRP1]]/500</f>
        <v>0.5</v>
      </c>
      <c r="CX575" s="898">
        <f>1-WWWW[[#This Row],[% Equitable and continuous access to sufficient quantity of domestic water]]</f>
        <v>0</v>
      </c>
      <c r="CY575" s="428">
        <f>WWWW[[#This Row],[%equitable and continuous access to sufficient quantity of safe drinking and domestic water''s GAP]]*WWWW[[#This Row],[Total PoP ]]</f>
        <v>0</v>
      </c>
      <c r="CZ575" s="424">
        <f>IF(WWWW[[#This Row],[Total required water points]]-WWWW[[#This Row],['#Water points coverage]]&lt;0,0,WWWW[[#This Row],[Total required water points]]-WWWW[[#This Row],['#Water points coverage]])</f>
        <v>0.5</v>
      </c>
      <c r="DA575" s="424">
        <f>ROUND(IF(WWWW[[#This Row],[Total PoP ]]&lt;500,1,WWWW[[#This Row],[Total PoP ]]/500),0)</f>
        <v>1</v>
      </c>
      <c r="DB575" s="424">
        <f>(WWWW[[#This Row],['#_Constructed latrines_by_WASHAgencies]]+WWWW[[#This Row],['#_Non Cluster partner latrines]])-WWWW[[#This Row],['#_Non-functional latrines]]</f>
        <v>18</v>
      </c>
      <c r="DC575" s="631">
        <f>WWWW[[#This Row],[HRP2]]/WWWW[[#This Row],[Total PoP ]]</f>
        <v>1</v>
      </c>
      <c r="DD575"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v>
      </c>
      <c r="DE575"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5"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5" s="424">
        <f>IF(WWWW[[#This Row],['# of functional latrines in THF supported by WASH partners during the reporting period2]]="",0,WWWW[[#This Row],['# of functional latrines in THF supported by WASH partners during the reporting period2]]*50)</f>
        <v>0</v>
      </c>
      <c r="DH575" s="424">
        <f>ROUND(IF(WWWW[[#This Row],[Location Type 1]]="camp",WWWW[[#This Row],[Total PoP ]]/20,IF(WWWW[[#This Row],[Location Type 1]]="Temporary Location",WWWW[[#This Row],[Total PoP ]]/50,(WWWW[[#This Row],[Total PoP ]]/6))),0)</f>
        <v>13</v>
      </c>
      <c r="DI575" s="424">
        <f>IF(WWWW[[#This Row],[Total required Latrines]]-(WWWW[[#This Row],['#_Constructed latrines_by_WASHAgencies]]+WWWW[[#This Row],['#_Non Cluster partner latrines]])&lt;0,0,WWWW[[#This Row],[Total required Latrines]]-(WWWW[[#This Row],['#_Constructed latrines_by_WASHAgencies]]+WWWW[[#This Row],['#_Non Cluster partner latrines]]))</f>
        <v>0</v>
      </c>
      <c r="DJ575" s="898">
        <f>1-WWWW[[#This Row],[% people access to functioning Latrine]]</f>
        <v>0</v>
      </c>
      <c r="DK575" s="631">
        <f>IF(OR(WWWW[[#This Row],['#_Non-functional latrines]]="",WWWW[[#This Row],['#_Non-functional latrines]]=0),0,WWWW[[#This Row],['#_Non-functional latrines]]/(WWWW[[#This Row],['#_Constructed latrines_by_WASHAgencies]]+WWWW[[#This Row],['#_Non Cluster partner latrines]]))</f>
        <v>0</v>
      </c>
      <c r="DL575" s="428">
        <f>IF(500*(WWWW[[#This Row],['#_male hygiene promoters]]+WWWW[[#This Row],['#_female hygiene promoters]])&gt;WWWW[[#This Row],[Total PoP ]],WWWW[[#This Row],[Total PoP ]],500*(WWWW[[#This Row],['#_male hygiene promoters]]+WWWW[[#This Row],['#_female hygiene promoters]]))</f>
        <v>250</v>
      </c>
      <c r="DM575"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75"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75" s="424">
        <f>IF(WWWW[[#This Row],['# People with access to soap]]&gt;WWWW[[#This Row],['# People with access to Sanity Pads]],WWWW[[#This Row],['# People with access to soap]],WWWW[[#This Row],['# People with access to Sanity Pads]])</f>
        <v>0</v>
      </c>
      <c r="DP575" s="424">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575" s="898">
        <f>IF(WWWW[[#This Row],[HRP3]]/WWWW[[#This Row],[Total PoP ]]&gt;1,1,WWWW[[#This Row],[HRP3]]/WWWW[[#This Row],[Total PoP ]])</f>
        <v>1</v>
      </c>
      <c r="DR575" s="631">
        <f>1-WWWW[[#This Row],[Hygiene Coverage%]]</f>
        <v>0</v>
      </c>
      <c r="DS575" s="423">
        <f>WWWW[[#This Row],['# people reached by regular dedicated hygiene promotion_5]]/WWWW[[#This Row],[Total PoP ]]</f>
        <v>1</v>
      </c>
      <c r="DT575"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75"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75" s="424">
        <f>WWWW[[#This Row],['#_Constructed/Existing hand washing stations]]-WWWW[[#This Row],['#_Non-Functional_hand_washing_stations]]</f>
        <v>6</v>
      </c>
      <c r="DW575" s="428">
        <f>IF(WWWW[[#This Row],['# Functional hand washing stations during reporting period]]*20&gt;WWWW[[#This Row],[Total HH]],WWWW[[#This Row],[Total HH]],WWWW[[#This Row],['# Functional hand washing stations during reporting period]]*20)</f>
        <v>54</v>
      </c>
      <c r="DX575" s="428">
        <f>IF(WWWW[[#This Row],[Is sufficient soap available for TLS? (Yes/No)]]="yes",WWWW[[#This Row],['#_Constructed/Existing hand washing stations at TLS/CFS/THF]],0)</f>
        <v>0</v>
      </c>
      <c r="DY575" s="428">
        <f>IF(WWWW[[#This Row],['# Functional hand washing stations during reporting period]]*100&gt;WWWW[[#This Row],[Total PoP ]],WWWW[[#This Row],[Total PoP ]],WWWW[[#This Row],['# Functional hand washing stations during reporting period]]*100)</f>
        <v>250</v>
      </c>
      <c r="DZ575" s="428" t="str">
        <f>IF(OR(WWWW[[#This Row],['#_students at TLS_CFS]]="",WWWW[[#This Row],['#_students at TLS_CFS]]=0),"No","Yes")</f>
        <v>No</v>
      </c>
      <c r="EA57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5" s="425" t="str">
        <f>VLOOKUP(WWWW[[#This Row],[Site Name]],SiteDB6[[Site Name]:[CCCM Management]],6,FALSE)</f>
        <v>Yes</v>
      </c>
      <c r="EF575" s="425" t="str">
        <f>VLOOKUP(WWWW[[#This Row],[Site Name]],SiteDB6[[Site Name]:[CCCM Focal Agency]],7,FALSE)</f>
        <v>KBC-NSS</v>
      </c>
      <c r="EG575" s="425" t="str">
        <f>VLOOKUP(WWWW[[#This Row],[Site Name]],SiteDB6[[Site Name]:[Location Type 1]],9,FALSE)</f>
        <v>Camp</v>
      </c>
      <c r="EH575" s="425" t="str">
        <f>VLOOKUP(WWWW[[#This Row],[Site Name]],SiteDB6[[Site Name]:[Type of Accommodation]],10,FALSE)</f>
        <v>Camp</v>
      </c>
      <c r="EI575" s="425" t="str">
        <f>VLOOKUP(WWWW[[#This Row],[Site Name]],SiteDB6[[Site Name]:[Ethnic or GCA/NGCA]],11,FALSE)</f>
        <v>GCA</v>
      </c>
      <c r="EJ575" s="425">
        <f>VLOOKUP(WWWW[[#This Row],[Site Name]],SiteDB6[[Site Name]:[Lat]],12,FALSE)</f>
        <v>23.694130000000001</v>
      </c>
      <c r="EK575" s="425">
        <f>VLOOKUP(WWWW[[#This Row],[Site Name]],SiteDB6[[Site Name]:[Long]],13,FALSE)</f>
        <v>97.818979999999996</v>
      </c>
      <c r="EL575" s="425" t="str">
        <f>VLOOKUP(WWWW[[#This Row],[Site Name]],SiteDB6[[Site Name]:[Pcode]],3,FALSE)</f>
        <v>MMR015CMP007</v>
      </c>
      <c r="EM575" s="860" t="str">
        <f t="shared" si="12"/>
        <v>Covered</v>
      </c>
      <c r="EN575" s="860"/>
      <c r="EO575" s="425">
        <f>VLOOKUP(WWWW[[#This Row],[Site Name]],SiteDB6[[Site Name]:[Pop
(Kachin/Shan-CCCM as of July 2021)]],16,FALSE)</f>
        <v>54</v>
      </c>
      <c r="EP575" s="425">
        <f>VLOOKUP(WWWW[[#This Row],[Site Name]],SiteDB6[[Site Name]:[Pop
(Kachin/Shan-CCCM as of July 2021)]],17,FALSE)</f>
        <v>279</v>
      </c>
    </row>
    <row r="576" spans="1:146">
      <c r="A576" s="1044" t="s">
        <v>2765</v>
      </c>
      <c r="B576" s="1044" t="s">
        <v>192</v>
      </c>
      <c r="C576" s="1045" t="s">
        <v>192</v>
      </c>
      <c r="D576" s="1045" t="s">
        <v>2673</v>
      </c>
      <c r="E576" s="1045" t="s">
        <v>515</v>
      </c>
      <c r="F576" s="1045" t="s">
        <v>519</v>
      </c>
      <c r="G576" s="1043" t="str">
        <f>VLOOKUP(WWWW[[#This Row],[Site Name]],SiteDB6[[Site Name]:[Location Type]],8,FALSE)</f>
        <v>Camp</v>
      </c>
      <c r="H576" s="1045" t="s">
        <v>1618</v>
      </c>
      <c r="I576" s="448">
        <v>35</v>
      </c>
      <c r="J576" s="448">
        <v>158</v>
      </c>
      <c r="K576" s="588">
        <v>44511</v>
      </c>
      <c r="L576" s="589">
        <v>44875</v>
      </c>
      <c r="M576" s="448"/>
      <c r="N576" s="448">
        <v>1</v>
      </c>
      <c r="O576" s="448"/>
      <c r="P576" s="448"/>
      <c r="Q576" s="428" t="s">
        <v>41</v>
      </c>
      <c r="R576" s="448">
        <v>5</v>
      </c>
      <c r="S576" s="448">
        <v>4</v>
      </c>
      <c r="T576" s="448"/>
      <c r="U576" s="448"/>
      <c r="V576" s="448"/>
      <c r="W576" s="448">
        <v>2</v>
      </c>
      <c r="X576" s="448"/>
      <c r="Y576" s="448"/>
      <c r="Z576" s="448"/>
      <c r="AA576" s="448"/>
      <c r="AB576" s="448"/>
      <c r="AC576" s="448"/>
      <c r="AD576" s="448"/>
      <c r="AE576" s="448"/>
      <c r="AF576" s="448"/>
      <c r="AG576" s="448"/>
      <c r="AH576" s="448">
        <v>1</v>
      </c>
      <c r="AI576" s="448"/>
      <c r="AJ576" s="448"/>
      <c r="AK576" s="448"/>
      <c r="AL576" s="448"/>
      <c r="AM576" s="448"/>
      <c r="AN576" s="448"/>
      <c r="AO576" s="448"/>
      <c r="AP576" s="860"/>
      <c r="AQ576" s="448">
        <v>8</v>
      </c>
      <c r="AR576" s="448"/>
      <c r="AS576" s="423"/>
      <c r="AT576" s="448"/>
      <c r="AU576" s="448"/>
      <c r="AV576" s="448"/>
      <c r="AW576" s="448"/>
      <c r="AX576" s="448"/>
      <c r="AY576" s="425" t="s">
        <v>41</v>
      </c>
      <c r="AZ576" s="860" t="s">
        <v>136</v>
      </c>
      <c r="BA576" s="448"/>
      <c r="BB576" s="448"/>
      <c r="BC576" s="448"/>
      <c r="BD576" s="448"/>
      <c r="BE576" s="448"/>
      <c r="BF576" s="425"/>
      <c r="BG576" s="448">
        <v>4</v>
      </c>
      <c r="BH576" s="448"/>
      <c r="BI576" s="448"/>
      <c r="BJ576" s="448">
        <v>1</v>
      </c>
      <c r="BK576" s="448"/>
      <c r="BL576" s="448"/>
      <c r="BM576" s="448">
        <v>2</v>
      </c>
      <c r="BN576" s="448"/>
      <c r="BO576" s="448"/>
      <c r="BP576" s="425" t="s">
        <v>41</v>
      </c>
      <c r="BQ576" s="424">
        <v>3</v>
      </c>
      <c r="BR576" s="423">
        <v>1</v>
      </c>
      <c r="BS576" s="425"/>
      <c r="BT576" s="423"/>
      <c r="BU576" s="423"/>
      <c r="BV576" s="425"/>
      <c r="BW576" s="423"/>
      <c r="BX576" s="448"/>
      <c r="BY576" s="448"/>
      <c r="BZ576" s="448"/>
      <c r="CA576" s="448"/>
      <c r="CB576" s="448"/>
      <c r="CC576" s="777"/>
      <c r="CD576" s="448"/>
      <c r="CE576" s="631" t="str">
        <f>IFERROR(WWWW[[#This Row],['#_Water sources passed]]/WWWW[[#This Row],['#_Water sources tested for fecal coliform ]],"no test")</f>
        <v>no test</v>
      </c>
      <c r="CF576" s="423" t="str">
        <f>IFERROR(WWWW[[#This Row],['#_Household passed]]/WWWW[[#This Row],['#_Household water samples tested for fecal coliform]],"no test")</f>
        <v>no test</v>
      </c>
      <c r="CG576" s="424" t="str">
        <f>IF(AND(WWWW[[#This Row],[% of water sources passed]]="no test",WWWW[[#This Row],[% Household passed]]="no test"),"No Test","Tested")</f>
        <v>No Test</v>
      </c>
      <c r="CH576" s="424">
        <f>WWWW[[#This Row],['#_Constructed/existing protected hand dug well]]-WWWW[[#This Row],['#_Non-functional protected hand dug well]]</f>
        <v>0</v>
      </c>
      <c r="CI576" s="424">
        <f>(WWWW[[#This Row],['#_Constructed/Existing tube wells/boreholes/handpumps_WASH_agency]]+WWWW[[#This Row],['#_Non-Cluster partner water tube-wells/boreholes/handpumps]])-WWWW[[#This Row],['#_Non-functional tube wells/boreholes/handpumps]]</f>
        <v>2</v>
      </c>
      <c r="CJ576" s="424">
        <f>WWWW[[#This Row],['#_Constructed/Existingwater storage tank with gravity fed reticulation system]]-WWWW[[#This Row],['#_Non-functional storage tank gravity fed reticulation system]]</f>
        <v>0</v>
      </c>
      <c r="CK576" s="424">
        <f>(WWWW[[#This Row],['#_Water_Liters_supplied_by_Water boating or water trucking]]/90)/15</f>
        <v>0</v>
      </c>
      <c r="CL576" s="424">
        <f>WWWW[[#This Row],['#_Water_Liters_from_Constructed/Existing water distribution system from river or natural spring]]/90/15</f>
        <v>0</v>
      </c>
      <c r="CM576" s="424">
        <f>IF(WWWW[[#This Row],['#_of water points in TLS/CFS]]*500&gt;WWWW[[#This Row],[Total PoP ]],WWWW[[#This Row],[Total PoP ]],WWWW[[#This Row],['#_of water points in TLS/CFS]]*500)</f>
        <v>0</v>
      </c>
      <c r="CN576" s="424">
        <f>IF(WWWW[[#This Row],['#_of water points in THF]]*500&gt;WWWW[[#This Row],[Total PoP ]],WWWW[[#This Row],[Total PoP ]],WWWW[[#This Row],['#_of water points in THF]]*500)</f>
        <v>0</v>
      </c>
      <c r="CO576"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76"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76" s="423">
        <f>IF(WWWW[[#This Row],[Location Type 1]]="Village",WWWW[[#This Row],[Access to safe drinking water for Village]],WWWW[[#This Row],[Access to safe drinking water for Camp]])</f>
        <v>1</v>
      </c>
      <c r="CR576" s="428">
        <f>WWWW[[#This Row],[%Equitable and continuous access to sufficient quantity of safe drinking water]]*WWWW[[#This Row],[Total PoP ]]</f>
        <v>158</v>
      </c>
      <c r="CS576" s="423">
        <f>IF((WWWW[[#This Row],['#_Constructed/Existing protected/fenced ponds]]*250)/WWWW[[#This Row],[Total PoP ]]&gt;1,1,(WWWW[[#This Row],['#_Constructed/Existing protected/fenced ponds]]*250)/WWWW[[#This Row],[Total PoP ]])</f>
        <v>0</v>
      </c>
      <c r="CT576" s="428">
        <f>WWWW[[#This Row],[% Access to unimproved water points]]*WWWW[[#This Row],[Total PoP ]]</f>
        <v>0</v>
      </c>
      <c r="CU576"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76"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158</v>
      </c>
      <c r="CW576" s="428">
        <f>WWWW[[#This Row],[HRP1]]/500</f>
        <v>0.316</v>
      </c>
      <c r="CX576" s="898">
        <f>1-WWWW[[#This Row],[% Equitable and continuous access to sufficient quantity of domestic water]]</f>
        <v>0</v>
      </c>
      <c r="CY576" s="428">
        <f>WWWW[[#This Row],[%equitable and continuous access to sufficient quantity of safe drinking and domestic water''s GAP]]*WWWW[[#This Row],[Total PoP ]]</f>
        <v>0</v>
      </c>
      <c r="CZ576" s="424">
        <f>IF(WWWW[[#This Row],[Total required water points]]-WWWW[[#This Row],['#Water points coverage]]&lt;0,0,WWWW[[#This Row],[Total required water points]]-WWWW[[#This Row],['#Water points coverage]])</f>
        <v>0.68399999999999994</v>
      </c>
      <c r="DA576" s="424">
        <f>ROUND(IF(WWWW[[#This Row],[Total PoP ]]&lt;500,1,WWWW[[#This Row],[Total PoP ]]/500),0)</f>
        <v>1</v>
      </c>
      <c r="DB576" s="424">
        <f>(WWWW[[#This Row],['#_Constructed latrines_by_WASHAgencies]]+WWWW[[#This Row],['#_Non Cluster partner latrines]])-WWWW[[#This Row],['#_Non-functional latrines]]</f>
        <v>8</v>
      </c>
      <c r="DC576" s="631">
        <f>WWWW[[#This Row],[HRP2]]/WWWW[[#This Row],[Total PoP ]]</f>
        <v>1</v>
      </c>
      <c r="DD576"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158</v>
      </c>
      <c r="DE576"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6"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6" s="424">
        <f>IF(WWWW[[#This Row],['# of functional latrines in THF supported by WASH partners during the reporting period2]]="",0,WWWW[[#This Row],['# of functional latrines in THF supported by WASH partners during the reporting period2]]*50)</f>
        <v>0</v>
      </c>
      <c r="DH576" s="424">
        <f>ROUND(IF(WWWW[[#This Row],[Location Type 1]]="camp",WWWW[[#This Row],[Total PoP ]]/20,IF(WWWW[[#This Row],[Location Type 1]]="Temporary Location",WWWW[[#This Row],[Total PoP ]]/50,(WWWW[[#This Row],[Total PoP ]]/6))),0)</f>
        <v>8</v>
      </c>
      <c r="DI576" s="424">
        <f>IF(WWWW[[#This Row],[Total required Latrines]]-(WWWW[[#This Row],['#_Constructed latrines_by_WASHAgencies]]+WWWW[[#This Row],['#_Non Cluster partner latrines]])&lt;0,0,WWWW[[#This Row],[Total required Latrines]]-(WWWW[[#This Row],['#_Constructed latrines_by_WASHAgencies]]+WWWW[[#This Row],['#_Non Cluster partner latrines]]))</f>
        <v>0</v>
      </c>
      <c r="DJ576" s="898">
        <f>1-WWWW[[#This Row],[% people access to functioning Latrine]]</f>
        <v>0</v>
      </c>
      <c r="DK576" s="631">
        <f>IF(OR(WWWW[[#This Row],['#_Non-functional latrines]]="",WWWW[[#This Row],['#_Non-functional latrines]]=0),0,WWWW[[#This Row],['#_Non-functional latrines]]/(WWWW[[#This Row],['#_Constructed latrines_by_WASHAgencies]]+WWWW[[#This Row],['#_Non Cluster partner latrines]]))</f>
        <v>0</v>
      </c>
      <c r="DL576" s="428">
        <f>IF(500*(WWWW[[#This Row],['#_male hygiene promoters]]+WWWW[[#This Row],['#_female hygiene promoters]])&gt;WWWW[[#This Row],[Total PoP ]],WWWW[[#This Row],[Total PoP ]],500*(WWWW[[#This Row],['#_male hygiene promoters]]+WWWW[[#This Row],['#_female hygiene promoters]]))</f>
        <v>158</v>
      </c>
      <c r="DM576"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76"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76" s="424">
        <f>IF(WWWW[[#This Row],['# People with access to soap]]&gt;WWWW[[#This Row],['# People with access to Sanity Pads]],WWWW[[#This Row],['# People with access to soap]],WWWW[[#This Row],['# People with access to Sanity Pads]])</f>
        <v>0</v>
      </c>
      <c r="DP576" s="424">
        <f>IF(WWWW[[#This Row],['# people reached by regular dedicated hygiene promotion_5]]&gt;WWWW[[#This Row],['# People received regular supply of hygiene items_6]],WWWW[[#This Row],['# people reached by regular dedicated hygiene promotion_5]],WWWW[[#This Row],['# People received regular supply of hygiene items_6]])</f>
        <v>158</v>
      </c>
      <c r="DQ576" s="898">
        <f>IF(WWWW[[#This Row],[HRP3]]/WWWW[[#This Row],[Total PoP ]]&gt;1,1,WWWW[[#This Row],[HRP3]]/WWWW[[#This Row],[Total PoP ]])</f>
        <v>1</v>
      </c>
      <c r="DR576" s="631">
        <f>1-WWWW[[#This Row],[Hygiene Coverage%]]</f>
        <v>0</v>
      </c>
      <c r="DS576" s="423">
        <f>WWWW[[#This Row],['# people reached by regular dedicated hygiene promotion_5]]/WWWW[[#This Row],[Total PoP ]]</f>
        <v>1</v>
      </c>
      <c r="DT576"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76"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76" s="424">
        <f>WWWW[[#This Row],['#_Constructed/Existing hand washing stations]]-WWWW[[#This Row],['#_Non-Functional_hand_washing_stations]]</f>
        <v>4</v>
      </c>
      <c r="DW576" s="428">
        <f>IF(WWWW[[#This Row],['# Functional hand washing stations during reporting period]]*20&gt;WWWW[[#This Row],[Total HH]],WWWW[[#This Row],[Total HH]],WWWW[[#This Row],['# Functional hand washing stations during reporting period]]*20)</f>
        <v>35</v>
      </c>
      <c r="DX576" s="428">
        <f>IF(WWWW[[#This Row],[Is sufficient soap available for TLS? (Yes/No)]]="yes",WWWW[[#This Row],['#_Constructed/Existing hand washing stations at TLS/CFS/THF]],0)</f>
        <v>0</v>
      </c>
      <c r="DY576" s="428">
        <f>IF(WWWW[[#This Row],['# Functional hand washing stations during reporting period]]*100&gt;WWWW[[#This Row],[Total PoP ]],WWWW[[#This Row],[Total PoP ]],WWWW[[#This Row],['# Functional hand washing stations during reporting period]]*100)</f>
        <v>158</v>
      </c>
      <c r="DZ576" s="428" t="str">
        <f>IF(OR(WWWW[[#This Row],['#_students at TLS_CFS]]="",WWWW[[#This Row],['#_students at TLS_CFS]]=0),"No","Yes")</f>
        <v>No</v>
      </c>
      <c r="EA57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6" s="425" t="str">
        <f>VLOOKUP(WWWW[[#This Row],[Site Name]],SiteDB6[[Site Name]:[CCCM Management]],6,FALSE)</f>
        <v>Yes</v>
      </c>
      <c r="EF576" s="425" t="str">
        <f>VLOOKUP(WWWW[[#This Row],[Site Name]],SiteDB6[[Site Name]:[CCCM Focal Agency]],7,FALSE)</f>
        <v>KMSS-LSO</v>
      </c>
      <c r="EG576" s="425" t="str">
        <f>VLOOKUP(WWWW[[#This Row],[Site Name]],SiteDB6[[Site Name]:[Location Type 1]],9,FALSE)</f>
        <v>Camp</v>
      </c>
      <c r="EH576" s="425" t="str">
        <f>VLOOKUP(WWWW[[#This Row],[Site Name]],SiteDB6[[Site Name]:[Type of Accommodation]],10,FALSE)</f>
        <v>Camp</v>
      </c>
      <c r="EI576" s="425" t="str">
        <f>VLOOKUP(WWWW[[#This Row],[Site Name]],SiteDB6[[Site Name]:[Ethnic or GCA/NGCA]],11,FALSE)</f>
        <v>GCA</v>
      </c>
      <c r="EJ576" s="425">
        <f>VLOOKUP(WWWW[[#This Row],[Site Name]],SiteDB6[[Site Name]:[Lat]],12,FALSE)</f>
        <v>23.682887999999998</v>
      </c>
      <c r="EK576" s="425">
        <f>VLOOKUP(WWWW[[#This Row],[Site Name]],SiteDB6[[Site Name]:[Long]],13,FALSE)</f>
        <v>97.810101000000003</v>
      </c>
      <c r="EL576" s="425" t="str">
        <f>VLOOKUP(WWWW[[#This Row],[Site Name]],SiteDB6[[Site Name]:[Pcode]],3,FALSE)</f>
        <v>MMR015CMP043</v>
      </c>
      <c r="EM576" s="860" t="str">
        <f t="shared" si="12"/>
        <v>Covered</v>
      </c>
      <c r="EN576" s="860"/>
      <c r="EO576" s="425">
        <f>VLOOKUP(WWWW[[#This Row],[Site Name]],SiteDB6[[Site Name]:[Pop
(Kachin/Shan-CCCM as of July 2021)]],16,FALSE)</f>
        <v>34</v>
      </c>
      <c r="EP576" s="425">
        <f>VLOOKUP(WWWW[[#This Row],[Site Name]],SiteDB6[[Site Name]:[Pop
(Kachin/Shan-CCCM as of July 2021)]],17,FALSE)</f>
        <v>144</v>
      </c>
    </row>
    <row r="577" spans="1:146">
      <c r="A577" s="1044" t="s">
        <v>2765</v>
      </c>
      <c r="B577" s="1044" t="s">
        <v>192</v>
      </c>
      <c r="C577" s="1045" t="s">
        <v>192</v>
      </c>
      <c r="D577" s="1045" t="s">
        <v>2673</v>
      </c>
      <c r="E577" s="1045" t="s">
        <v>515</v>
      </c>
      <c r="F577" s="1045" t="s">
        <v>534</v>
      </c>
      <c r="G577" s="1043" t="str">
        <f>VLOOKUP(WWWW[[#This Row],[Site Name]],SiteDB6[[Site Name]:[Location Type]],8,FALSE)</f>
        <v>Camp</v>
      </c>
      <c r="H577" s="1045" t="s">
        <v>535</v>
      </c>
      <c r="I577" s="448">
        <v>40</v>
      </c>
      <c r="J577" s="448">
        <v>206</v>
      </c>
      <c r="K577" s="800">
        <v>44511</v>
      </c>
      <c r="L577" s="56">
        <v>44875</v>
      </c>
      <c r="M577" s="448"/>
      <c r="N577" s="448"/>
      <c r="O577" s="448">
        <v>1</v>
      </c>
      <c r="P577" s="448"/>
      <c r="Q577" s="428" t="s">
        <v>41</v>
      </c>
      <c r="R577" s="448"/>
      <c r="S577" s="448">
        <v>5</v>
      </c>
      <c r="T577" s="448">
        <v>4</v>
      </c>
      <c r="U577" s="448"/>
      <c r="V577" s="448"/>
      <c r="W577" s="448">
        <v>1</v>
      </c>
      <c r="X577" s="448"/>
      <c r="Y577" s="448"/>
      <c r="Z577" s="448"/>
      <c r="AA577" s="448"/>
      <c r="AB577" s="448"/>
      <c r="AC577" s="448"/>
      <c r="AD577" s="448"/>
      <c r="AE577" s="448"/>
      <c r="AF577" s="448"/>
      <c r="AG577" s="448"/>
      <c r="AH577" s="448"/>
      <c r="AI577" s="448"/>
      <c r="AJ577" s="448"/>
      <c r="AK577" s="448"/>
      <c r="AL577" s="448"/>
      <c r="AM577" s="448"/>
      <c r="AN577" s="448"/>
      <c r="AO577" s="448"/>
      <c r="AP577" s="860"/>
      <c r="AQ577" s="448">
        <v>6</v>
      </c>
      <c r="AR577" s="448">
        <v>10</v>
      </c>
      <c r="AS577" s="423"/>
      <c r="AT577" s="448"/>
      <c r="AU577" s="448"/>
      <c r="AV577" s="448"/>
      <c r="AW577" s="448"/>
      <c r="AX577" s="448"/>
      <c r="AY577" s="425" t="s">
        <v>41</v>
      </c>
      <c r="AZ577" s="860" t="s">
        <v>137</v>
      </c>
      <c r="BA577" s="448"/>
      <c r="BB577" s="448"/>
      <c r="BC577" s="448"/>
      <c r="BD577" s="448"/>
      <c r="BE577" s="448"/>
      <c r="BF577" s="425"/>
      <c r="BG577" s="448"/>
      <c r="BH577" s="448"/>
      <c r="BI577" s="448"/>
      <c r="BJ577" s="448">
        <v>2</v>
      </c>
      <c r="BK577" s="448"/>
      <c r="BL577" s="448"/>
      <c r="BM577" s="448">
        <v>1</v>
      </c>
      <c r="BN577" s="448"/>
      <c r="BO577" s="448"/>
      <c r="BP577" s="425" t="s">
        <v>41</v>
      </c>
      <c r="BQ577" s="424"/>
      <c r="BR577" s="423">
        <v>1</v>
      </c>
      <c r="BS577" s="425"/>
      <c r="BT577" s="423"/>
      <c r="BU577" s="423"/>
      <c r="BV577" s="425"/>
      <c r="BW577" s="423"/>
      <c r="BX577" s="448"/>
      <c r="BY577" s="448"/>
      <c r="BZ577" s="448"/>
      <c r="CA577" s="448"/>
      <c r="CB577" s="448"/>
      <c r="CC577" s="777"/>
      <c r="CD577" s="448"/>
      <c r="CE577" s="631" t="str">
        <f>IFERROR(WWWW[[#This Row],['#_Water sources passed]]/WWWW[[#This Row],['#_Water sources tested for fecal coliform ]],"no test")</f>
        <v>no test</v>
      </c>
      <c r="CF577" s="423" t="str">
        <f>IFERROR(WWWW[[#This Row],['#_Household passed]]/WWWW[[#This Row],['#_Household water samples tested for fecal coliform]],"no test")</f>
        <v>no test</v>
      </c>
      <c r="CG577" s="424" t="str">
        <f>IF(AND(WWWW[[#This Row],[% of water sources passed]]="no test",WWWW[[#This Row],[% Household passed]]="no test"),"No Test","Tested")</f>
        <v>No Test</v>
      </c>
      <c r="CH577" s="424">
        <f>WWWW[[#This Row],['#_Constructed/existing protected hand dug well]]-WWWW[[#This Row],['#_Non-functional protected hand dug well]]</f>
        <v>4</v>
      </c>
      <c r="CI577" s="424">
        <f>(WWWW[[#This Row],['#_Constructed/Existing tube wells/boreholes/handpumps_WASH_agency]]+WWWW[[#This Row],['#_Non-Cluster partner water tube-wells/boreholes/handpumps]])-WWWW[[#This Row],['#_Non-functional tube wells/boreholes/handpumps]]</f>
        <v>1</v>
      </c>
      <c r="CJ577" s="424">
        <f>WWWW[[#This Row],['#_Constructed/Existingwater storage tank with gravity fed reticulation system]]-WWWW[[#This Row],['#_Non-functional storage tank gravity fed reticulation system]]</f>
        <v>0</v>
      </c>
      <c r="CK577" s="424">
        <f>(WWWW[[#This Row],['#_Water_Liters_supplied_by_Water boating or water trucking]]/90)/15</f>
        <v>0</v>
      </c>
      <c r="CL577" s="424">
        <f>WWWW[[#This Row],['#_Water_Liters_from_Constructed/Existing water distribution system from river or natural spring]]/90/15</f>
        <v>0</v>
      </c>
      <c r="CM577" s="424">
        <f>IF(WWWW[[#This Row],['#_of water points in TLS/CFS]]*500&gt;WWWW[[#This Row],[Total PoP ]],WWWW[[#This Row],[Total PoP ]],WWWW[[#This Row],['#_of water points in TLS/CFS]]*500)</f>
        <v>0</v>
      </c>
      <c r="CN577" s="424">
        <f>IF(WWWW[[#This Row],['#_of water points in THF]]*500&gt;WWWW[[#This Row],[Total PoP ]],WWWW[[#This Row],[Total PoP ]],WWWW[[#This Row],['#_of water points in THF]]*500)</f>
        <v>0</v>
      </c>
      <c r="CO577"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77"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77" s="423">
        <f>IF(WWWW[[#This Row],[Location Type 1]]="Village",WWWW[[#This Row],[Access to safe drinking water for Village]],WWWW[[#This Row],[Access to safe drinking water for Camp]])</f>
        <v>1</v>
      </c>
      <c r="CR577" s="428">
        <f>WWWW[[#This Row],[%Equitable and continuous access to sufficient quantity of safe drinking water]]*WWWW[[#This Row],[Total PoP ]]</f>
        <v>206</v>
      </c>
      <c r="CS577" s="423">
        <f>IF((WWWW[[#This Row],['#_Constructed/Existing protected/fenced ponds]]*250)/WWWW[[#This Row],[Total PoP ]]&gt;1,1,(WWWW[[#This Row],['#_Constructed/Existing protected/fenced ponds]]*250)/WWWW[[#This Row],[Total PoP ]])</f>
        <v>0</v>
      </c>
      <c r="CT577" s="428">
        <f>WWWW[[#This Row],[% Access to unimproved water points]]*WWWW[[#This Row],[Total PoP ]]</f>
        <v>0</v>
      </c>
      <c r="CU577"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77"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W577" s="428">
        <f>WWWW[[#This Row],[HRP1]]/500</f>
        <v>0.41199999999999998</v>
      </c>
      <c r="CX577" s="898">
        <f>1-WWWW[[#This Row],[% Equitable and continuous access to sufficient quantity of domestic water]]</f>
        <v>0</v>
      </c>
      <c r="CY577" s="428">
        <f>WWWW[[#This Row],[%equitable and continuous access to sufficient quantity of safe drinking and domestic water''s GAP]]*WWWW[[#This Row],[Total PoP ]]</f>
        <v>0</v>
      </c>
      <c r="CZ577" s="424">
        <f>IF(WWWW[[#This Row],[Total required water points]]-WWWW[[#This Row],['#Water points coverage]]&lt;0,0,WWWW[[#This Row],[Total required water points]]-WWWW[[#This Row],['#Water points coverage]])</f>
        <v>0.58800000000000008</v>
      </c>
      <c r="DA577" s="424">
        <f>ROUND(IF(WWWW[[#This Row],[Total PoP ]]&lt;500,1,WWWW[[#This Row],[Total PoP ]]/500),0)</f>
        <v>1</v>
      </c>
      <c r="DB577" s="424">
        <f>(WWWW[[#This Row],['#_Constructed latrines_by_WASHAgencies]]+WWWW[[#This Row],['#_Non Cluster partner latrines]])-WWWW[[#This Row],['#_Non-functional latrines]]</f>
        <v>16</v>
      </c>
      <c r="DC577" s="631">
        <f>WWWW[[#This Row],[HRP2]]/WWWW[[#This Row],[Total PoP ]]</f>
        <v>1</v>
      </c>
      <c r="DD577"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206</v>
      </c>
      <c r="DE577"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7"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7" s="424">
        <f>IF(WWWW[[#This Row],['# of functional latrines in THF supported by WASH partners during the reporting period2]]="",0,WWWW[[#This Row],['# of functional latrines in THF supported by WASH partners during the reporting period2]]*50)</f>
        <v>0</v>
      </c>
      <c r="DH577" s="424">
        <f>ROUND(IF(WWWW[[#This Row],[Location Type 1]]="camp",WWWW[[#This Row],[Total PoP ]]/20,IF(WWWW[[#This Row],[Location Type 1]]="Temporary Location",WWWW[[#This Row],[Total PoP ]]/50,(WWWW[[#This Row],[Total PoP ]]/6))),0)</f>
        <v>10</v>
      </c>
      <c r="DI577" s="424">
        <f>IF(WWWW[[#This Row],[Total required Latrines]]-(WWWW[[#This Row],['#_Constructed latrines_by_WASHAgencies]]+WWWW[[#This Row],['#_Non Cluster partner latrines]])&lt;0,0,WWWW[[#This Row],[Total required Latrines]]-(WWWW[[#This Row],['#_Constructed latrines_by_WASHAgencies]]+WWWW[[#This Row],['#_Non Cluster partner latrines]]))</f>
        <v>0</v>
      </c>
      <c r="DJ577" s="898">
        <f>1-WWWW[[#This Row],[% people access to functioning Latrine]]</f>
        <v>0</v>
      </c>
      <c r="DK577" s="631">
        <f>IF(OR(WWWW[[#This Row],['#_Non-functional latrines]]="",WWWW[[#This Row],['#_Non-functional latrines]]=0),0,WWWW[[#This Row],['#_Non-functional latrines]]/(WWWW[[#This Row],['#_Constructed latrines_by_WASHAgencies]]+WWWW[[#This Row],['#_Non Cluster partner latrines]]))</f>
        <v>0</v>
      </c>
      <c r="DL577" s="428">
        <f>IF(500*(WWWW[[#This Row],['#_male hygiene promoters]]+WWWW[[#This Row],['#_female hygiene promoters]])&gt;WWWW[[#This Row],[Total PoP ]],WWWW[[#This Row],[Total PoP ]],500*(WWWW[[#This Row],['#_male hygiene promoters]]+WWWW[[#This Row],['#_female hygiene promoters]]))</f>
        <v>206</v>
      </c>
      <c r="DM577"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77"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77" s="424">
        <f>IF(WWWW[[#This Row],['# People with access to soap]]&gt;WWWW[[#This Row],['# People with access to Sanity Pads]],WWWW[[#This Row],['# People with access to soap]],WWWW[[#This Row],['# People with access to Sanity Pads]])</f>
        <v>0</v>
      </c>
      <c r="DP577" s="424">
        <f>IF(WWWW[[#This Row],['# people reached by regular dedicated hygiene promotion_5]]&gt;WWWW[[#This Row],['# People received regular supply of hygiene items_6]],WWWW[[#This Row],['# people reached by regular dedicated hygiene promotion_5]],WWWW[[#This Row],['# People received regular supply of hygiene items_6]])</f>
        <v>206</v>
      </c>
      <c r="DQ577" s="898">
        <f>IF(WWWW[[#This Row],[HRP3]]/WWWW[[#This Row],[Total PoP ]]&gt;1,1,WWWW[[#This Row],[HRP3]]/WWWW[[#This Row],[Total PoP ]])</f>
        <v>1</v>
      </c>
      <c r="DR577" s="631">
        <f>1-WWWW[[#This Row],[Hygiene Coverage%]]</f>
        <v>0</v>
      </c>
      <c r="DS577" s="423">
        <f>WWWW[[#This Row],['# people reached by regular dedicated hygiene promotion_5]]/WWWW[[#This Row],[Total PoP ]]</f>
        <v>1</v>
      </c>
      <c r="DT577"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77"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77" s="424">
        <f>WWWW[[#This Row],['#_Constructed/Existing hand washing stations]]-WWWW[[#This Row],['#_Non-Functional_hand_washing_stations]]</f>
        <v>0</v>
      </c>
      <c r="DW577" s="428">
        <f>IF(WWWW[[#This Row],['# Functional hand washing stations during reporting period]]*20&gt;WWWW[[#This Row],[Total HH]],WWWW[[#This Row],[Total HH]],WWWW[[#This Row],['# Functional hand washing stations during reporting period]]*20)</f>
        <v>0</v>
      </c>
      <c r="DX577" s="428">
        <f>IF(WWWW[[#This Row],[Is sufficient soap available for TLS? (Yes/No)]]="yes",WWWW[[#This Row],['#_Constructed/Existing hand washing stations at TLS/CFS/THF]],0)</f>
        <v>0</v>
      </c>
      <c r="DY577" s="428">
        <f>IF(WWWW[[#This Row],['# Functional hand washing stations during reporting period]]*100&gt;WWWW[[#This Row],[Total PoP ]],WWWW[[#This Row],[Total PoP ]],WWWW[[#This Row],['# Functional hand washing stations during reporting period]]*100)</f>
        <v>0</v>
      </c>
      <c r="DZ577" s="428" t="str">
        <f>IF(OR(WWWW[[#This Row],['#_students at TLS_CFS]]="",WWWW[[#This Row],['#_students at TLS_CFS]]=0),"No","Yes")</f>
        <v>No</v>
      </c>
      <c r="EA57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7" s="425" t="str">
        <f>VLOOKUP(WWWW[[#This Row],[Site Name]],SiteDB6[[Site Name]:[CCCM Management]],6,FALSE)</f>
        <v>Yes</v>
      </c>
      <c r="EF577" s="425" t="str">
        <f>VLOOKUP(WWWW[[#This Row],[Site Name]],SiteDB6[[Site Name]:[CCCM Focal Agency]],7,FALSE)</f>
        <v>KBC-NSS</v>
      </c>
      <c r="EG577" s="425" t="str">
        <f>VLOOKUP(WWWW[[#This Row],[Site Name]],SiteDB6[[Site Name]:[Location Type 1]],9,FALSE)</f>
        <v>Camp</v>
      </c>
      <c r="EH577" s="425" t="str">
        <f>VLOOKUP(WWWW[[#This Row],[Site Name]],SiteDB6[[Site Name]:[Type of Accommodation]],10,FALSE)</f>
        <v>Camp</v>
      </c>
      <c r="EI577" s="425" t="str">
        <f>VLOOKUP(WWWW[[#This Row],[Site Name]],SiteDB6[[Site Name]:[Ethnic or GCA/NGCA]],11,FALSE)</f>
        <v>GCA</v>
      </c>
      <c r="EJ577" s="425">
        <f>VLOOKUP(WWWW[[#This Row],[Site Name]],SiteDB6[[Site Name]:[Lat]],12,FALSE)</f>
        <v>23.354268999999999</v>
      </c>
      <c r="EK577" s="425">
        <f>VLOOKUP(WWWW[[#This Row],[Site Name]],SiteDB6[[Site Name]:[Long]],13,FALSE)</f>
        <v>98.218626999999998</v>
      </c>
      <c r="EL577" s="425" t="str">
        <f>VLOOKUP(WWWW[[#This Row],[Site Name]],SiteDB6[[Site Name]:[Pcode]],3,FALSE)</f>
        <v>MMR015CMP036</v>
      </c>
      <c r="EM577" s="860" t="str">
        <f t="shared" si="12"/>
        <v>Covered</v>
      </c>
      <c r="EN577" s="860"/>
      <c r="EO577" s="425">
        <f>VLOOKUP(WWWW[[#This Row],[Site Name]],SiteDB6[[Site Name]:[Pop
(Kachin/Shan-CCCM as of July 2021)]],16,FALSE)</f>
        <v>36</v>
      </c>
      <c r="EP577" s="425">
        <f>VLOOKUP(WWWW[[#This Row],[Site Name]],SiteDB6[[Site Name]:[Pop
(Kachin/Shan-CCCM as of July 2021)]],17,FALSE)</f>
        <v>180</v>
      </c>
    </row>
    <row r="578" spans="1:146">
      <c r="A578" s="1044" t="s">
        <v>2765</v>
      </c>
      <c r="B578" s="1044" t="s">
        <v>192</v>
      </c>
      <c r="C578" s="1045" t="s">
        <v>192</v>
      </c>
      <c r="D578" s="1045" t="s">
        <v>2673</v>
      </c>
      <c r="E578" s="1045" t="s">
        <v>515</v>
      </c>
      <c r="F578" s="1045" t="s">
        <v>536</v>
      </c>
      <c r="G578" s="1043" t="str">
        <f>VLOOKUP(WWWW[[#This Row],[Site Name]],SiteDB6[[Site Name]:[Location Type]],8,FALSE)</f>
        <v>Camp</v>
      </c>
      <c r="H578" s="1045" t="s">
        <v>547</v>
      </c>
      <c r="I578" s="448">
        <v>32</v>
      </c>
      <c r="J578" s="448">
        <v>141</v>
      </c>
      <c r="K578" s="800">
        <v>44511</v>
      </c>
      <c r="L578" s="56">
        <v>44875</v>
      </c>
      <c r="M578" s="448"/>
      <c r="N578" s="448"/>
      <c r="O578" s="448">
        <v>1</v>
      </c>
      <c r="P578" s="448"/>
      <c r="Q578" s="428" t="s">
        <v>41</v>
      </c>
      <c r="R578" s="448">
        <v>3</v>
      </c>
      <c r="S578" s="448">
        <v>3</v>
      </c>
      <c r="T578" s="448"/>
      <c r="U578" s="448"/>
      <c r="V578" s="448"/>
      <c r="W578" s="448">
        <v>1</v>
      </c>
      <c r="X578" s="448"/>
      <c r="Y578" s="448"/>
      <c r="Z578" s="448"/>
      <c r="AA578" s="448">
        <v>1</v>
      </c>
      <c r="AB578" s="448"/>
      <c r="AC578" s="448"/>
      <c r="AD578" s="448"/>
      <c r="AE578" s="448"/>
      <c r="AF578" s="448"/>
      <c r="AG578" s="448"/>
      <c r="AH578" s="448"/>
      <c r="AI578" s="448"/>
      <c r="AJ578" s="448"/>
      <c r="AK578" s="448"/>
      <c r="AL578" s="448"/>
      <c r="AM578" s="448"/>
      <c r="AN578" s="448"/>
      <c r="AO578" s="448"/>
      <c r="AP578" s="860"/>
      <c r="AQ578" s="448">
        <v>8</v>
      </c>
      <c r="AR578" s="448"/>
      <c r="AS578" s="423"/>
      <c r="AT578" s="448"/>
      <c r="AU578" s="448"/>
      <c r="AV578" s="448"/>
      <c r="AW578" s="448"/>
      <c r="AX578" s="448"/>
      <c r="AY578" s="425" t="s">
        <v>41</v>
      </c>
      <c r="AZ578" s="860" t="s">
        <v>137</v>
      </c>
      <c r="BA578" s="448"/>
      <c r="BB578" s="448"/>
      <c r="BC578" s="448"/>
      <c r="BD578" s="448"/>
      <c r="BE578" s="448"/>
      <c r="BF578" s="425"/>
      <c r="BG578" s="448">
        <v>5</v>
      </c>
      <c r="BH578" s="448"/>
      <c r="BI578" s="448"/>
      <c r="BJ578" s="448">
        <v>2</v>
      </c>
      <c r="BK578" s="448"/>
      <c r="BL578" s="448"/>
      <c r="BM578" s="448">
        <v>1</v>
      </c>
      <c r="BN578" s="448"/>
      <c r="BO578" s="448"/>
      <c r="BP578" s="425" t="s">
        <v>41</v>
      </c>
      <c r="BQ578" s="424">
        <v>3</v>
      </c>
      <c r="BR578" s="423">
        <v>1</v>
      </c>
      <c r="BS578" s="425"/>
      <c r="BT578" s="423"/>
      <c r="BU578" s="423"/>
      <c r="BV578" s="425"/>
      <c r="BW578" s="423"/>
      <c r="BX578" s="448"/>
      <c r="BY578" s="448"/>
      <c r="BZ578" s="448"/>
      <c r="CA578" s="448"/>
      <c r="CB578" s="448"/>
      <c r="CC578" s="777"/>
      <c r="CD578" s="448"/>
      <c r="CE578" s="631" t="str">
        <f>IFERROR(WWWW[[#This Row],['#_Water sources passed]]/WWWW[[#This Row],['#_Water sources tested for fecal coliform ]],"no test")</f>
        <v>no test</v>
      </c>
      <c r="CF578" s="423" t="str">
        <f>IFERROR(WWWW[[#This Row],['#_Household passed]]/WWWW[[#This Row],['#_Household water samples tested for fecal coliform]],"no test")</f>
        <v>no test</v>
      </c>
      <c r="CG578" s="424" t="str">
        <f>IF(AND(WWWW[[#This Row],[% of water sources passed]]="no test",WWWW[[#This Row],[% Household passed]]="no test"),"No Test","Tested")</f>
        <v>No Test</v>
      </c>
      <c r="CH578" s="424">
        <f>WWWW[[#This Row],['#_Constructed/existing protected hand dug well]]-WWWW[[#This Row],['#_Non-functional protected hand dug well]]</f>
        <v>0</v>
      </c>
      <c r="CI578" s="424">
        <f>(WWWW[[#This Row],['#_Constructed/Existing tube wells/boreholes/handpumps_WASH_agency]]+WWWW[[#This Row],['#_Non-Cluster partner water tube-wells/boreholes/handpumps]])-WWWW[[#This Row],['#_Non-functional tube wells/boreholes/handpumps]]</f>
        <v>1</v>
      </c>
      <c r="CJ578" s="424">
        <f>WWWW[[#This Row],['#_Constructed/Existingwater storage tank with gravity fed reticulation system]]-WWWW[[#This Row],['#_Non-functional storage tank gravity fed reticulation system]]</f>
        <v>1</v>
      </c>
      <c r="CK578" s="424">
        <f>(WWWW[[#This Row],['#_Water_Liters_supplied_by_Water boating or water trucking]]/90)/15</f>
        <v>0</v>
      </c>
      <c r="CL578" s="424">
        <f>WWWW[[#This Row],['#_Water_Liters_from_Constructed/Existing water distribution system from river or natural spring]]/90/15</f>
        <v>0</v>
      </c>
      <c r="CM578" s="424">
        <f>IF(WWWW[[#This Row],['#_of water points in TLS/CFS]]*500&gt;WWWW[[#This Row],[Total PoP ]],WWWW[[#This Row],[Total PoP ]],WWWW[[#This Row],['#_of water points in TLS/CFS]]*500)</f>
        <v>0</v>
      </c>
      <c r="CN578" s="424">
        <f>IF(WWWW[[#This Row],['#_of water points in THF]]*500&gt;WWWW[[#This Row],[Total PoP ]],WWWW[[#This Row],[Total PoP ]],WWWW[[#This Row],['#_of water points in THF]]*500)</f>
        <v>0</v>
      </c>
      <c r="CO578"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78"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78" s="423">
        <f>IF(WWWW[[#This Row],[Location Type 1]]="Village",WWWW[[#This Row],[Access to safe drinking water for Village]],WWWW[[#This Row],[Access to safe drinking water for Camp]])</f>
        <v>1</v>
      </c>
      <c r="CR578" s="428">
        <f>WWWW[[#This Row],[%Equitable and continuous access to sufficient quantity of safe drinking water]]*WWWW[[#This Row],[Total PoP ]]</f>
        <v>141</v>
      </c>
      <c r="CS578" s="423">
        <f>IF((WWWW[[#This Row],['#_Constructed/Existing protected/fenced ponds]]*250)/WWWW[[#This Row],[Total PoP ]]&gt;1,1,(WWWW[[#This Row],['#_Constructed/Existing protected/fenced ponds]]*250)/WWWW[[#This Row],[Total PoP ]])</f>
        <v>0</v>
      </c>
      <c r="CT578" s="428">
        <f>WWWW[[#This Row],[% Access to unimproved water points]]*WWWW[[#This Row],[Total PoP ]]</f>
        <v>0</v>
      </c>
      <c r="CU578"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78"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W578" s="428">
        <f>WWWW[[#This Row],[HRP1]]/500</f>
        <v>0.28199999999999997</v>
      </c>
      <c r="CX578" s="898">
        <f>1-WWWW[[#This Row],[% Equitable and continuous access to sufficient quantity of domestic water]]</f>
        <v>0</v>
      </c>
      <c r="CY578" s="428">
        <f>WWWW[[#This Row],[%equitable and continuous access to sufficient quantity of safe drinking and domestic water''s GAP]]*WWWW[[#This Row],[Total PoP ]]</f>
        <v>0</v>
      </c>
      <c r="CZ578" s="424">
        <f>IF(WWWW[[#This Row],[Total required water points]]-WWWW[[#This Row],['#Water points coverage]]&lt;0,0,WWWW[[#This Row],[Total required water points]]-WWWW[[#This Row],['#Water points coverage]])</f>
        <v>0.71799999999999997</v>
      </c>
      <c r="DA578" s="424">
        <f>ROUND(IF(WWWW[[#This Row],[Total PoP ]]&lt;500,1,WWWW[[#This Row],[Total PoP ]]/500),0)</f>
        <v>1</v>
      </c>
      <c r="DB578" s="424">
        <f>(WWWW[[#This Row],['#_Constructed latrines_by_WASHAgencies]]+WWWW[[#This Row],['#_Non Cluster partner latrines]])-WWWW[[#This Row],['#_Non-functional latrines]]</f>
        <v>8</v>
      </c>
      <c r="DC578" s="631">
        <f>WWWW[[#This Row],[HRP2]]/WWWW[[#This Row],[Total PoP ]]</f>
        <v>1</v>
      </c>
      <c r="DD578"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141</v>
      </c>
      <c r="DE578"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8"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8" s="424">
        <f>IF(WWWW[[#This Row],['# of functional latrines in THF supported by WASH partners during the reporting period2]]="",0,WWWW[[#This Row],['# of functional latrines in THF supported by WASH partners during the reporting period2]]*50)</f>
        <v>0</v>
      </c>
      <c r="DH578" s="424">
        <f>ROUND(IF(WWWW[[#This Row],[Location Type 1]]="camp",WWWW[[#This Row],[Total PoP ]]/20,IF(WWWW[[#This Row],[Location Type 1]]="Temporary Location",WWWW[[#This Row],[Total PoP ]]/50,(WWWW[[#This Row],[Total PoP ]]/6))),0)</f>
        <v>7</v>
      </c>
      <c r="DI578" s="424">
        <f>IF(WWWW[[#This Row],[Total required Latrines]]-(WWWW[[#This Row],['#_Constructed latrines_by_WASHAgencies]]+WWWW[[#This Row],['#_Non Cluster partner latrines]])&lt;0,0,WWWW[[#This Row],[Total required Latrines]]-(WWWW[[#This Row],['#_Constructed latrines_by_WASHAgencies]]+WWWW[[#This Row],['#_Non Cluster partner latrines]]))</f>
        <v>0</v>
      </c>
      <c r="DJ578" s="898">
        <f>1-WWWW[[#This Row],[% people access to functioning Latrine]]</f>
        <v>0</v>
      </c>
      <c r="DK578" s="631">
        <f>IF(OR(WWWW[[#This Row],['#_Non-functional latrines]]="",WWWW[[#This Row],['#_Non-functional latrines]]=0),0,WWWW[[#This Row],['#_Non-functional latrines]]/(WWWW[[#This Row],['#_Constructed latrines_by_WASHAgencies]]+WWWW[[#This Row],['#_Non Cluster partner latrines]]))</f>
        <v>0</v>
      </c>
      <c r="DL578" s="428">
        <f>IF(500*(WWWW[[#This Row],['#_male hygiene promoters]]+WWWW[[#This Row],['#_female hygiene promoters]])&gt;WWWW[[#This Row],[Total PoP ]],WWWW[[#This Row],[Total PoP ]],500*(WWWW[[#This Row],['#_male hygiene promoters]]+WWWW[[#This Row],['#_female hygiene promoters]]))</f>
        <v>141</v>
      </c>
      <c r="DM578"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78"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78" s="424">
        <f>IF(WWWW[[#This Row],['# People with access to soap]]&gt;WWWW[[#This Row],['# People with access to Sanity Pads]],WWWW[[#This Row],['# People with access to soap]],WWWW[[#This Row],['# People with access to Sanity Pads]])</f>
        <v>0</v>
      </c>
      <c r="DP578" s="424">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Q578" s="898">
        <f>IF(WWWW[[#This Row],[HRP3]]/WWWW[[#This Row],[Total PoP ]]&gt;1,1,WWWW[[#This Row],[HRP3]]/WWWW[[#This Row],[Total PoP ]])</f>
        <v>1</v>
      </c>
      <c r="DR578" s="631">
        <f>1-WWWW[[#This Row],[Hygiene Coverage%]]</f>
        <v>0</v>
      </c>
      <c r="DS578" s="423">
        <f>WWWW[[#This Row],['# people reached by regular dedicated hygiene promotion_5]]/WWWW[[#This Row],[Total PoP ]]</f>
        <v>1</v>
      </c>
      <c r="DT578"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78"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78" s="424">
        <f>WWWW[[#This Row],['#_Constructed/Existing hand washing stations]]-WWWW[[#This Row],['#_Non-Functional_hand_washing_stations]]</f>
        <v>5</v>
      </c>
      <c r="DW578" s="428">
        <f>IF(WWWW[[#This Row],['# Functional hand washing stations during reporting period]]*20&gt;WWWW[[#This Row],[Total HH]],WWWW[[#This Row],[Total HH]],WWWW[[#This Row],['# Functional hand washing stations during reporting period]]*20)</f>
        <v>32</v>
      </c>
      <c r="DX578" s="428">
        <f>IF(WWWW[[#This Row],[Is sufficient soap available for TLS? (Yes/No)]]="yes",WWWW[[#This Row],['#_Constructed/Existing hand washing stations at TLS/CFS/THF]],0)</f>
        <v>0</v>
      </c>
      <c r="DY578" s="428">
        <f>IF(WWWW[[#This Row],['# Functional hand washing stations during reporting period]]*100&gt;WWWW[[#This Row],[Total PoP ]],WWWW[[#This Row],[Total PoP ]],WWWW[[#This Row],['# Functional hand washing stations during reporting period]]*100)</f>
        <v>141</v>
      </c>
      <c r="DZ578" s="428" t="str">
        <f>IF(OR(WWWW[[#This Row],['#_students at TLS_CFS]]="",WWWW[[#This Row],['#_students at TLS_CFS]]=0),"No","Yes")</f>
        <v>No</v>
      </c>
      <c r="EA57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8" s="425" t="str">
        <f>VLOOKUP(WWWW[[#This Row],[Site Name]],SiteDB6[[Site Name]:[CCCM Management]],6,FALSE)</f>
        <v>Yes</v>
      </c>
      <c r="EF578" s="425" t="str">
        <f>VLOOKUP(WWWW[[#This Row],[Site Name]],SiteDB6[[Site Name]:[CCCM Focal Agency]],7,FALSE)</f>
        <v>KBC-NSS</v>
      </c>
      <c r="EG578" s="425" t="str">
        <f>VLOOKUP(WWWW[[#This Row],[Site Name]],SiteDB6[[Site Name]:[Location Type 1]],9,FALSE)</f>
        <v>Camp</v>
      </c>
      <c r="EH578" s="425" t="str">
        <f>VLOOKUP(WWWW[[#This Row],[Site Name]],SiteDB6[[Site Name]:[Type of Accommodation]],10,FALSE)</f>
        <v>Camp</v>
      </c>
      <c r="EI578" s="425" t="str">
        <f>VLOOKUP(WWWW[[#This Row],[Site Name]],SiteDB6[[Site Name]:[Ethnic or GCA/NGCA]],11,FALSE)</f>
        <v>GCA</v>
      </c>
      <c r="EJ578" s="425">
        <f>VLOOKUP(WWWW[[#This Row],[Site Name]],SiteDB6[[Site Name]:[Lat]],12,FALSE)</f>
        <v>23.094290000000001</v>
      </c>
      <c r="EK578" s="425">
        <f>VLOOKUP(WWWW[[#This Row],[Site Name]],SiteDB6[[Site Name]:[Long]],13,FALSE)</f>
        <v>97.404089999999997</v>
      </c>
      <c r="EL578" s="425" t="str">
        <f>VLOOKUP(WWWW[[#This Row],[Site Name]],SiteDB6[[Site Name]:[Pcode]],3,FALSE)</f>
        <v>MMR015CMP014</v>
      </c>
      <c r="EM578" s="860" t="str">
        <f t="shared" si="12"/>
        <v>Covered</v>
      </c>
      <c r="EN578" s="860"/>
      <c r="EO578" s="425">
        <f>VLOOKUP(WWWW[[#This Row],[Site Name]],SiteDB6[[Site Name]:[Pop
(Kachin/Shan-CCCM as of July 2021)]],16,FALSE)</f>
        <v>30</v>
      </c>
      <c r="EP578" s="425">
        <f>VLOOKUP(WWWW[[#This Row],[Site Name]],SiteDB6[[Site Name]:[Pop
(Kachin/Shan-CCCM as of July 2021)]],17,FALSE)</f>
        <v>126</v>
      </c>
    </row>
    <row r="579" spans="1:146">
      <c r="A579" s="707" t="s">
        <v>2765</v>
      </c>
      <c r="B579" s="707" t="s">
        <v>192</v>
      </c>
      <c r="C579" s="369" t="s">
        <v>192</v>
      </c>
      <c r="D579" s="369" t="s">
        <v>241</v>
      </c>
      <c r="E579" s="369" t="s">
        <v>515</v>
      </c>
      <c r="F579" s="369" t="s">
        <v>960</v>
      </c>
      <c r="G579" s="591" t="str">
        <f>VLOOKUP(WWWW[[#This Row],[Site Name]],SiteDB6[[Site Name]:[Location Type]],8,FALSE)</f>
        <v>Camp</v>
      </c>
      <c r="H579" s="369" t="s">
        <v>2984</v>
      </c>
      <c r="I579" s="448">
        <v>14</v>
      </c>
      <c r="J579" s="448">
        <v>31</v>
      </c>
      <c r="K579" s="800">
        <v>44511</v>
      </c>
      <c r="L579" s="56">
        <v>44875</v>
      </c>
      <c r="M579" s="448"/>
      <c r="N579" s="448"/>
      <c r="O579" s="448"/>
      <c r="P579" s="448"/>
      <c r="Q579" s="428"/>
      <c r="R579" s="448"/>
      <c r="S579" s="448"/>
      <c r="T579" s="448"/>
      <c r="U579" s="448"/>
      <c r="V579" s="448"/>
      <c r="W579" s="448"/>
      <c r="X579" s="448"/>
      <c r="Y579" s="448"/>
      <c r="Z579" s="448"/>
      <c r="AA579" s="448"/>
      <c r="AB579" s="448"/>
      <c r="AC579" s="448"/>
      <c r="AD579" s="448"/>
      <c r="AE579" s="448"/>
      <c r="AF579" s="448"/>
      <c r="AG579" s="448"/>
      <c r="AH579" s="448"/>
      <c r="AI579" s="448"/>
      <c r="AJ579" s="448"/>
      <c r="AK579" s="448"/>
      <c r="AL579" s="448"/>
      <c r="AM579" s="448"/>
      <c r="AN579" s="448"/>
      <c r="AO579" s="448"/>
      <c r="AP579" s="860"/>
      <c r="AQ579" s="448"/>
      <c r="AR579" s="448">
        <v>4</v>
      </c>
      <c r="AS579" s="423"/>
      <c r="AT579" s="448"/>
      <c r="AU579" s="448"/>
      <c r="AV579" s="448"/>
      <c r="AW579" s="448"/>
      <c r="AX579" s="448"/>
      <c r="AY579" s="425" t="s">
        <v>140</v>
      </c>
      <c r="AZ579" s="860" t="s">
        <v>140</v>
      </c>
      <c r="BA579" s="448"/>
      <c r="BB579" s="448"/>
      <c r="BC579" s="448"/>
      <c r="BD579" s="448"/>
      <c r="BE579" s="448"/>
      <c r="BF579" s="425"/>
      <c r="BG579" s="448"/>
      <c r="BH579" s="448"/>
      <c r="BI579" s="448"/>
      <c r="BJ579" s="448"/>
      <c r="BK579" s="448"/>
      <c r="BL579" s="448"/>
      <c r="BM579" s="448"/>
      <c r="BN579" s="448"/>
      <c r="BO579" s="448"/>
      <c r="BP579" s="425" t="s">
        <v>41</v>
      </c>
      <c r="BQ579" s="424"/>
      <c r="BR579" s="423"/>
      <c r="BS579" s="425"/>
      <c r="BT579" s="423"/>
      <c r="BU579" s="423"/>
      <c r="BV579" s="425"/>
      <c r="BW579" s="423"/>
      <c r="BX579" s="448"/>
      <c r="BY579" s="448"/>
      <c r="BZ579" s="448"/>
      <c r="CA579" s="448"/>
      <c r="CB579" s="448"/>
      <c r="CC579" s="777"/>
      <c r="CD579" s="448"/>
      <c r="CE579" s="631" t="str">
        <f>IFERROR(WWWW[[#This Row],['#_Water sources passed]]/WWWW[[#This Row],['#_Water sources tested for fecal coliform ]],"no test")</f>
        <v>no test</v>
      </c>
      <c r="CF579" s="423" t="str">
        <f>IFERROR(WWWW[[#This Row],['#_Household passed]]/WWWW[[#This Row],['#_Household water samples tested for fecal coliform]],"no test")</f>
        <v>no test</v>
      </c>
      <c r="CG579" s="424" t="str">
        <f>IF(AND(WWWW[[#This Row],[% of water sources passed]]="no test",WWWW[[#This Row],[% Household passed]]="no test"),"No Test","Tested")</f>
        <v>No Test</v>
      </c>
      <c r="CH579" s="424">
        <f>WWWW[[#This Row],['#_Constructed/existing protected hand dug well]]-WWWW[[#This Row],['#_Non-functional protected hand dug well]]</f>
        <v>0</v>
      </c>
      <c r="CI579" s="424">
        <f>(WWWW[[#This Row],['#_Constructed/Existing tube wells/boreholes/handpumps_WASH_agency]]+WWWW[[#This Row],['#_Non-Cluster partner water tube-wells/boreholes/handpumps]])-WWWW[[#This Row],['#_Non-functional tube wells/boreholes/handpumps]]</f>
        <v>0</v>
      </c>
      <c r="CJ579" s="424">
        <f>WWWW[[#This Row],['#_Constructed/Existingwater storage tank with gravity fed reticulation system]]-WWWW[[#This Row],['#_Non-functional storage tank gravity fed reticulation system]]</f>
        <v>0</v>
      </c>
      <c r="CK579" s="424">
        <f>(WWWW[[#This Row],['#_Water_Liters_supplied_by_Water boating or water trucking]]/90)/15</f>
        <v>0</v>
      </c>
      <c r="CL579" s="424">
        <f>WWWW[[#This Row],['#_Water_Liters_from_Constructed/Existing water distribution system from river or natural spring]]/90/15</f>
        <v>0</v>
      </c>
      <c r="CM579" s="424">
        <f>IF(WWWW[[#This Row],['#_of water points in TLS/CFS]]*500&gt;WWWW[[#This Row],[Total PoP ]],WWWW[[#This Row],[Total PoP ]],WWWW[[#This Row],['#_of water points in TLS/CFS]]*500)</f>
        <v>0</v>
      </c>
      <c r="CN579" s="424">
        <f>IF(WWWW[[#This Row],['#_of water points in THF]]*500&gt;WWWW[[#This Row],[Total PoP ]],WWWW[[#This Row],[Total PoP ]],WWWW[[#This Row],['#_of water points in THF]]*500)</f>
        <v>0</v>
      </c>
      <c r="CO579"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79"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79" s="423">
        <f>IF(WWWW[[#This Row],[Location Type 1]]="Village",WWWW[[#This Row],[Access to safe drinking water for Village]],WWWW[[#This Row],[Access to safe drinking water for Camp]])</f>
        <v>0</v>
      </c>
      <c r="CR579" s="428">
        <f>WWWW[[#This Row],[%Equitable and continuous access to sufficient quantity of safe drinking water]]*WWWW[[#This Row],[Total PoP ]]</f>
        <v>0</v>
      </c>
      <c r="CS579" s="423">
        <f>IF((WWWW[[#This Row],['#_Constructed/Existing protected/fenced ponds]]*250)/WWWW[[#This Row],[Total PoP ]]&gt;1,1,(WWWW[[#This Row],['#_Constructed/Existing protected/fenced ponds]]*250)/WWWW[[#This Row],[Total PoP ]])</f>
        <v>0</v>
      </c>
      <c r="CT579" s="428">
        <f>WWWW[[#This Row],[% Access to unimproved water points]]*WWWW[[#This Row],[Total PoP ]]</f>
        <v>0</v>
      </c>
      <c r="CU579"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79"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79" s="428">
        <f>WWWW[[#This Row],[HRP1]]/500</f>
        <v>0</v>
      </c>
      <c r="CX579" s="898">
        <f>1-WWWW[[#This Row],[% Equitable and continuous access to sufficient quantity of domestic water]]</f>
        <v>1</v>
      </c>
      <c r="CY579" s="428">
        <f>WWWW[[#This Row],[%equitable and continuous access to sufficient quantity of safe drinking and domestic water''s GAP]]*WWWW[[#This Row],[Total PoP ]]</f>
        <v>31</v>
      </c>
      <c r="CZ579" s="424">
        <f>IF(WWWW[[#This Row],[Total required water points]]-WWWW[[#This Row],['#Water points coverage]]&lt;0,0,WWWW[[#This Row],[Total required water points]]-WWWW[[#This Row],['#Water points coverage]])</f>
        <v>1</v>
      </c>
      <c r="DA579" s="424">
        <f>ROUND(IF(WWWW[[#This Row],[Total PoP ]]&lt;500,1,WWWW[[#This Row],[Total PoP ]]/500),0)</f>
        <v>1</v>
      </c>
      <c r="DB579" s="424">
        <f>(WWWW[[#This Row],['#_Constructed latrines_by_WASHAgencies]]+WWWW[[#This Row],['#_Non Cluster partner latrines]])-WWWW[[#This Row],['#_Non-functional latrines]]</f>
        <v>4</v>
      </c>
      <c r="DC579" s="631">
        <f>WWWW[[#This Row],[HRP2]]/WWWW[[#This Row],[Total PoP ]]</f>
        <v>1</v>
      </c>
      <c r="DD579"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DE579"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9"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9" s="424">
        <f>IF(WWWW[[#This Row],['# of functional latrines in THF supported by WASH partners during the reporting period2]]="",0,WWWW[[#This Row],['# of functional latrines in THF supported by WASH partners during the reporting period2]]*50)</f>
        <v>0</v>
      </c>
      <c r="DH579" s="424">
        <f>ROUND(IF(WWWW[[#This Row],[Location Type 1]]="camp",WWWW[[#This Row],[Total PoP ]]/20,IF(WWWW[[#This Row],[Location Type 1]]="Temporary Location",WWWW[[#This Row],[Total PoP ]]/50,(WWWW[[#This Row],[Total PoP ]]/6))),0)</f>
        <v>2</v>
      </c>
      <c r="DI579" s="424">
        <f>IF(WWWW[[#This Row],[Total required Latrines]]-(WWWW[[#This Row],['#_Constructed latrines_by_WASHAgencies]]+WWWW[[#This Row],['#_Non Cluster partner latrines]])&lt;0,0,WWWW[[#This Row],[Total required Latrines]]-(WWWW[[#This Row],['#_Constructed latrines_by_WASHAgencies]]+WWWW[[#This Row],['#_Non Cluster partner latrines]]))</f>
        <v>0</v>
      </c>
      <c r="DJ579" s="898">
        <f>1-WWWW[[#This Row],[% people access to functioning Latrine]]</f>
        <v>0</v>
      </c>
      <c r="DK579" s="631">
        <f>IF(OR(WWWW[[#This Row],['#_Non-functional latrines]]="",WWWW[[#This Row],['#_Non-functional latrines]]=0),0,WWWW[[#This Row],['#_Non-functional latrines]]/(WWWW[[#This Row],['#_Constructed latrines_by_WASHAgencies]]+WWWW[[#This Row],['#_Non Cluster partner latrines]]))</f>
        <v>0</v>
      </c>
      <c r="DL579" s="428">
        <f>IF(500*(WWWW[[#This Row],['#_male hygiene promoters]]+WWWW[[#This Row],['#_female hygiene promoters]])&gt;WWWW[[#This Row],[Total PoP ]],WWWW[[#This Row],[Total PoP ]],500*(WWWW[[#This Row],['#_male hygiene promoters]]+WWWW[[#This Row],['#_female hygiene promoters]]))</f>
        <v>0</v>
      </c>
      <c r="DM579"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79"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79" s="424">
        <f>IF(WWWW[[#This Row],['# People with access to soap]]&gt;WWWW[[#This Row],['# People with access to Sanity Pads]],WWWW[[#This Row],['# People with access to soap]],WWWW[[#This Row],['# People with access to Sanity Pads]])</f>
        <v>0</v>
      </c>
      <c r="DP579"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79" s="898">
        <f>IF(WWWW[[#This Row],[HRP3]]/WWWW[[#This Row],[Total PoP ]]&gt;1,1,WWWW[[#This Row],[HRP3]]/WWWW[[#This Row],[Total PoP ]])</f>
        <v>0</v>
      </c>
      <c r="DR579" s="631">
        <f>1-WWWW[[#This Row],[Hygiene Coverage%]]</f>
        <v>1</v>
      </c>
      <c r="DS579" s="423">
        <f>WWWW[[#This Row],['# people reached by regular dedicated hygiene promotion_5]]/WWWW[[#This Row],[Total PoP ]]</f>
        <v>0</v>
      </c>
      <c r="DT579"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79"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79" s="424">
        <f>WWWW[[#This Row],['#_Constructed/Existing hand washing stations]]-WWWW[[#This Row],['#_Non-Functional_hand_washing_stations]]</f>
        <v>0</v>
      </c>
      <c r="DW579" s="428">
        <f>IF(WWWW[[#This Row],['# Functional hand washing stations during reporting period]]*20&gt;WWWW[[#This Row],[Total HH]],WWWW[[#This Row],[Total HH]],WWWW[[#This Row],['# Functional hand washing stations during reporting period]]*20)</f>
        <v>0</v>
      </c>
      <c r="DX579" s="428">
        <f>IF(WWWW[[#This Row],[Is sufficient soap available for TLS? (Yes/No)]]="yes",WWWW[[#This Row],['#_Constructed/Existing hand washing stations at TLS/CFS/THF]],0)</f>
        <v>0</v>
      </c>
      <c r="DY579" s="428">
        <f>IF(WWWW[[#This Row],['# Functional hand washing stations during reporting period]]*100&gt;WWWW[[#This Row],[Total PoP ]],WWWW[[#This Row],[Total PoP ]],WWWW[[#This Row],['# Functional hand washing stations during reporting period]]*100)</f>
        <v>0</v>
      </c>
      <c r="DZ579" s="428" t="str">
        <f>IF(OR(WWWW[[#This Row],['#_students at TLS_CFS]]="",WWWW[[#This Row],['#_students at TLS_CFS]]=0),"No","Yes")</f>
        <v>No</v>
      </c>
      <c r="EA579"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9"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9"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9"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9" s="425">
        <f>VLOOKUP(WWWW[[#This Row],[Site Name]],SiteDB6[[Site Name]:[CCCM Management]],6,FALSE)</f>
        <v>0</v>
      </c>
      <c r="EF579" s="425">
        <f>VLOOKUP(WWWW[[#This Row],[Site Name]],SiteDB6[[Site Name]:[CCCM Focal Agency]],7,FALSE)</f>
        <v>0</v>
      </c>
      <c r="EG579" s="425" t="str">
        <f>VLOOKUP(WWWW[[#This Row],[Site Name]],SiteDB6[[Site Name]:[Location Type 1]],9,FALSE)</f>
        <v>Camp</v>
      </c>
      <c r="EH579" s="425" t="str">
        <f>VLOOKUP(WWWW[[#This Row],[Site Name]],SiteDB6[[Site Name]:[Type of Accommodation]],10,FALSE)</f>
        <v>Camp like setting</v>
      </c>
      <c r="EI579" s="425" t="str">
        <f>VLOOKUP(WWWW[[#This Row],[Site Name]],SiteDB6[[Site Name]:[Ethnic or GCA/NGCA]],11,FALSE)</f>
        <v>GCA</v>
      </c>
      <c r="EJ579" s="425">
        <f>VLOOKUP(WWWW[[#This Row],[Site Name]],SiteDB6[[Site Name]:[Lat]],12,FALSE)</f>
        <v>0</v>
      </c>
      <c r="EK579" s="425">
        <f>VLOOKUP(WWWW[[#This Row],[Site Name]],SiteDB6[[Site Name]:[Long]],13,FALSE)</f>
        <v>0</v>
      </c>
      <c r="EL579" s="425" t="str">
        <f>VLOOKUP(WWWW[[#This Row],[Site Name]],SiteDB6[[Site Name]:[Pcode]],3,FALSE)</f>
        <v>MMR015CMP079</v>
      </c>
      <c r="EM579" s="860" t="str">
        <f t="shared" si="12"/>
        <v>Covered</v>
      </c>
      <c r="EN579" s="860"/>
      <c r="EO579" s="425">
        <f>VLOOKUP(WWWW[[#This Row],[Site Name]],SiteDB6[[Site Name]:[Pop
(Kachin/Shan-CCCM as of July 2021)]],16,FALSE)</f>
        <v>14</v>
      </c>
      <c r="EP579" s="425">
        <f>VLOOKUP(WWWW[[#This Row],[Site Name]],SiteDB6[[Site Name]:[Pop
(Kachin/Shan-CCCM as of July 2021)]],17,FALSE)</f>
        <v>31</v>
      </c>
    </row>
    <row r="580" spans="1:146">
      <c r="A580" s="1044" t="s">
        <v>2765</v>
      </c>
      <c r="B580" s="1044" t="s">
        <v>192</v>
      </c>
      <c r="C580" s="1045" t="s">
        <v>192</v>
      </c>
      <c r="D580" s="1045" t="s">
        <v>2673</v>
      </c>
      <c r="E580" s="1045" t="s">
        <v>515</v>
      </c>
      <c r="F580" s="1045" t="s">
        <v>519</v>
      </c>
      <c r="G580" s="1043" t="str">
        <f>VLOOKUP(WWWW[[#This Row],[Site Name]],SiteDB6[[Site Name]:[Location Type]],8,FALSE)</f>
        <v>Camp</v>
      </c>
      <c r="H580" s="1045" t="s">
        <v>542</v>
      </c>
      <c r="I580" s="448">
        <v>121</v>
      </c>
      <c r="J580" s="448">
        <v>664</v>
      </c>
      <c r="K580" s="588">
        <v>44511</v>
      </c>
      <c r="L580" s="589">
        <v>44875</v>
      </c>
      <c r="M580" s="448"/>
      <c r="N580" s="448">
        <v>1</v>
      </c>
      <c r="O580" s="448"/>
      <c r="P580" s="448"/>
      <c r="Q580" s="428" t="s">
        <v>41</v>
      </c>
      <c r="R580" s="448">
        <v>4</v>
      </c>
      <c r="S580" s="448">
        <v>5</v>
      </c>
      <c r="T580" s="448"/>
      <c r="U580" s="448"/>
      <c r="V580" s="448"/>
      <c r="W580" s="448"/>
      <c r="X580" s="448"/>
      <c r="Y580" s="448"/>
      <c r="Z580" s="448"/>
      <c r="AA580" s="448">
        <v>8</v>
      </c>
      <c r="AB580" s="448"/>
      <c r="AC580" s="448"/>
      <c r="AD580" s="448"/>
      <c r="AE580" s="448"/>
      <c r="AF580" s="448"/>
      <c r="AG580" s="448"/>
      <c r="AH580" s="448"/>
      <c r="AI580" s="448"/>
      <c r="AJ580" s="448"/>
      <c r="AK580" s="448"/>
      <c r="AL580" s="448"/>
      <c r="AM580" s="448">
        <v>1</v>
      </c>
      <c r="AN580" s="448"/>
      <c r="AO580" s="448"/>
      <c r="AP580" s="860"/>
      <c r="AQ580" s="448">
        <v>105</v>
      </c>
      <c r="AR580" s="448"/>
      <c r="AS580" s="423"/>
      <c r="AT580" s="448"/>
      <c r="AU580" s="448"/>
      <c r="AV580" s="448"/>
      <c r="AW580" s="448"/>
      <c r="AX580" s="448"/>
      <c r="AY580" s="425" t="s">
        <v>41</v>
      </c>
      <c r="AZ580" s="860" t="s">
        <v>137</v>
      </c>
      <c r="BA580" s="448"/>
      <c r="BB580" s="448"/>
      <c r="BC580" s="448"/>
      <c r="BD580" s="448"/>
      <c r="BE580" s="448"/>
      <c r="BF580" s="425"/>
      <c r="BG580" s="448">
        <v>8</v>
      </c>
      <c r="BH580" s="448"/>
      <c r="BI580" s="448"/>
      <c r="BJ580" s="448">
        <v>3</v>
      </c>
      <c r="BK580" s="448"/>
      <c r="BL580" s="448"/>
      <c r="BM580" s="448">
        <v>1</v>
      </c>
      <c r="BN580" s="448"/>
      <c r="BO580" s="448"/>
      <c r="BP580" s="425" t="s">
        <v>41</v>
      </c>
      <c r="BQ580" s="424">
        <v>3</v>
      </c>
      <c r="BR580" s="423">
        <v>1</v>
      </c>
      <c r="BS580" s="425"/>
      <c r="BT580" s="423"/>
      <c r="BU580" s="423"/>
      <c r="BV580" s="425"/>
      <c r="BW580" s="423"/>
      <c r="BX580" s="448"/>
      <c r="BY580" s="448"/>
      <c r="BZ580" s="448"/>
      <c r="CA580" s="448"/>
      <c r="CB580" s="448"/>
      <c r="CC580" s="777"/>
      <c r="CD580" s="448"/>
      <c r="CE580" s="631" t="str">
        <f>IFERROR(WWWW[[#This Row],['#_Water sources passed]]/WWWW[[#This Row],['#_Water sources tested for fecal coliform ]],"no test")</f>
        <v>no test</v>
      </c>
      <c r="CF580" s="423" t="str">
        <f>IFERROR(WWWW[[#This Row],['#_Household passed]]/WWWW[[#This Row],['#_Household water samples tested for fecal coliform]],"no test")</f>
        <v>no test</v>
      </c>
      <c r="CG580" s="424" t="str">
        <f>IF(AND(WWWW[[#This Row],[% of water sources passed]]="no test",WWWW[[#This Row],[% Household passed]]="no test"),"No Test","Tested")</f>
        <v>No Test</v>
      </c>
      <c r="CH580" s="424">
        <f>WWWW[[#This Row],['#_Constructed/existing protected hand dug well]]-WWWW[[#This Row],['#_Non-functional protected hand dug well]]</f>
        <v>0</v>
      </c>
      <c r="CI580" s="424">
        <f>(WWWW[[#This Row],['#_Constructed/Existing tube wells/boreholes/handpumps_WASH_agency]]+WWWW[[#This Row],['#_Non-Cluster partner water tube-wells/boreholes/handpumps]])-WWWW[[#This Row],['#_Non-functional tube wells/boreholes/handpumps]]</f>
        <v>0</v>
      </c>
      <c r="CJ580" s="424">
        <f>WWWW[[#This Row],['#_Constructed/Existingwater storage tank with gravity fed reticulation system]]-WWWW[[#This Row],['#_Non-functional storage tank gravity fed reticulation system]]</f>
        <v>8</v>
      </c>
      <c r="CK580" s="424">
        <f>(WWWW[[#This Row],['#_Water_Liters_supplied_by_Water boating or water trucking]]/90)/15</f>
        <v>0</v>
      </c>
      <c r="CL580" s="424">
        <f>WWWW[[#This Row],['#_Water_Liters_from_Constructed/Existing water distribution system from river or natural spring]]/90/15</f>
        <v>0</v>
      </c>
      <c r="CM580" s="424">
        <f>IF(WWWW[[#This Row],['#_of water points in TLS/CFS]]*500&gt;WWWW[[#This Row],[Total PoP ]],WWWW[[#This Row],[Total PoP ]],WWWW[[#This Row],['#_of water points in TLS/CFS]]*500)</f>
        <v>0</v>
      </c>
      <c r="CN580" s="424">
        <f>IF(WWWW[[#This Row],['#_of water points in THF]]*500&gt;WWWW[[#This Row],[Total PoP ]],WWWW[[#This Row],[Total PoP ]],WWWW[[#This Row],['#_of water points in THF]]*500)</f>
        <v>0</v>
      </c>
      <c r="CO580"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P580"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Q580" s="423">
        <f>IF(WWWW[[#This Row],[Location Type 1]]="Village",WWWW[[#This Row],[Access to safe drinking water for Village]],WWWW[[#This Row],[Access to safe drinking water for Camp]])</f>
        <v>0.8032128514056226</v>
      </c>
      <c r="CR580" s="428">
        <f>WWWW[[#This Row],[%Equitable and continuous access to sufficient quantity of safe drinking water]]*WWWW[[#This Row],[Total PoP ]]</f>
        <v>533.33333333333337</v>
      </c>
      <c r="CS580" s="423">
        <f>IF((WWWW[[#This Row],['#_Constructed/Existing protected/fenced ponds]]*250)/WWWW[[#This Row],[Total PoP ]]&gt;1,1,(WWWW[[#This Row],['#_Constructed/Existing protected/fenced ponds]]*250)/WWWW[[#This Row],[Total PoP ]])</f>
        <v>0</v>
      </c>
      <c r="CT580" s="428">
        <f>WWWW[[#This Row],[% Access to unimproved water points]]*WWWW[[#This Row],[Total PoP ]]</f>
        <v>0</v>
      </c>
      <c r="CU580"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V580"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W580" s="428">
        <f>WWWW[[#This Row],[HRP1]]/500</f>
        <v>1.0666666666666667</v>
      </c>
      <c r="CX580" s="898">
        <f>1-WWWW[[#This Row],[% Equitable and continuous access to sufficient quantity of domestic water]]</f>
        <v>0.1967871485943774</v>
      </c>
      <c r="CY580" s="428">
        <f>WWWW[[#This Row],[%equitable and continuous access to sufficient quantity of safe drinking and domestic water''s GAP]]*WWWW[[#This Row],[Total PoP ]]</f>
        <v>130.6666666666666</v>
      </c>
      <c r="CZ580" s="424">
        <f>IF(WWWW[[#This Row],[Total required water points]]-WWWW[[#This Row],['#Water points coverage]]&lt;0,0,WWWW[[#This Row],[Total required water points]]-WWWW[[#This Row],['#Water points coverage]])</f>
        <v>0</v>
      </c>
      <c r="DA580" s="424">
        <f>ROUND(IF(WWWW[[#This Row],[Total PoP ]]&lt;500,1,WWWW[[#This Row],[Total PoP ]]/500),0)</f>
        <v>1</v>
      </c>
      <c r="DB580" s="424">
        <f>(WWWW[[#This Row],['#_Constructed latrines_by_WASHAgencies]]+WWWW[[#This Row],['#_Non Cluster partner latrines]])-WWWW[[#This Row],['#_Non-functional latrines]]</f>
        <v>105</v>
      </c>
      <c r="DC580" s="631">
        <f>WWWW[[#This Row],[HRP2]]/WWWW[[#This Row],[Total PoP ]]</f>
        <v>0.79066265060240959</v>
      </c>
      <c r="DD580"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525</v>
      </c>
      <c r="DE580"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80"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0" s="424">
        <f>IF(WWWW[[#This Row],['# of functional latrines in THF supported by WASH partners during the reporting period2]]="",0,WWWW[[#This Row],['# of functional latrines in THF supported by WASH partners during the reporting period2]]*50)</f>
        <v>0</v>
      </c>
      <c r="DH580" s="424">
        <f>ROUND(IF(WWWW[[#This Row],[Location Type 1]]="camp",WWWW[[#This Row],[Total PoP ]]/20,IF(WWWW[[#This Row],[Location Type 1]]="Temporary Location",WWWW[[#This Row],[Total PoP ]]/50,(WWWW[[#This Row],[Total PoP ]]/6))),0)</f>
        <v>111</v>
      </c>
      <c r="DI580" s="424">
        <f>IF(WWWW[[#This Row],[Total required Latrines]]-(WWWW[[#This Row],['#_Constructed latrines_by_WASHAgencies]]+WWWW[[#This Row],['#_Non Cluster partner latrines]])&lt;0,0,WWWW[[#This Row],[Total required Latrines]]-(WWWW[[#This Row],['#_Constructed latrines_by_WASHAgencies]]+WWWW[[#This Row],['#_Non Cluster partner latrines]]))</f>
        <v>6</v>
      </c>
      <c r="DJ580" s="898">
        <f>1-WWWW[[#This Row],[% people access to functioning Latrine]]</f>
        <v>0.20933734939759041</v>
      </c>
      <c r="DK580" s="631">
        <f>IF(OR(WWWW[[#This Row],['#_Non-functional latrines]]="",WWWW[[#This Row],['#_Non-functional latrines]]=0),0,WWWW[[#This Row],['#_Non-functional latrines]]/(WWWW[[#This Row],['#_Constructed latrines_by_WASHAgencies]]+WWWW[[#This Row],['#_Non Cluster partner latrines]]))</f>
        <v>0</v>
      </c>
      <c r="DL580" s="428">
        <f>IF(500*(WWWW[[#This Row],['#_male hygiene promoters]]+WWWW[[#This Row],['#_female hygiene promoters]])&gt;WWWW[[#This Row],[Total PoP ]],WWWW[[#This Row],[Total PoP ]],500*(WWWW[[#This Row],['#_male hygiene promoters]]+WWWW[[#This Row],['#_female hygiene promoters]]))</f>
        <v>500</v>
      </c>
      <c r="DM580"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80"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80" s="424">
        <f>IF(WWWW[[#This Row],['# People with access to soap]]&gt;WWWW[[#This Row],['# People with access to Sanity Pads]],WWWW[[#This Row],['# People with access to soap]],WWWW[[#This Row],['# People with access to Sanity Pads]])</f>
        <v>0</v>
      </c>
      <c r="DP580" s="42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580" s="898">
        <f>IF(WWWW[[#This Row],[HRP3]]/WWWW[[#This Row],[Total PoP ]]&gt;1,1,WWWW[[#This Row],[HRP3]]/WWWW[[#This Row],[Total PoP ]])</f>
        <v>0.75301204819277112</v>
      </c>
      <c r="DR580" s="631">
        <f>1-WWWW[[#This Row],[Hygiene Coverage%]]</f>
        <v>0.24698795180722888</v>
      </c>
      <c r="DS580" s="423">
        <f>WWWW[[#This Row],['# people reached by regular dedicated hygiene promotion_5]]/WWWW[[#This Row],[Total PoP ]]</f>
        <v>0.75301204819277112</v>
      </c>
      <c r="DT580"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80"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80" s="424">
        <f>WWWW[[#This Row],['#_Constructed/Existing hand washing stations]]-WWWW[[#This Row],['#_Non-Functional_hand_washing_stations]]</f>
        <v>8</v>
      </c>
      <c r="DW580" s="428">
        <f>IF(WWWW[[#This Row],['# Functional hand washing stations during reporting period]]*20&gt;WWWW[[#This Row],[Total HH]],WWWW[[#This Row],[Total HH]],WWWW[[#This Row],['# Functional hand washing stations during reporting period]]*20)</f>
        <v>121</v>
      </c>
      <c r="DX580" s="428">
        <f>IF(WWWW[[#This Row],[Is sufficient soap available for TLS? (Yes/No)]]="yes",WWWW[[#This Row],['#_Constructed/Existing hand washing stations at TLS/CFS/THF]],0)</f>
        <v>1</v>
      </c>
      <c r="DY580" s="428">
        <f>IF(WWWW[[#This Row],['# Functional hand washing stations during reporting period]]*100&gt;WWWW[[#This Row],[Total PoP ]],WWWW[[#This Row],[Total PoP ]],WWWW[[#This Row],['# Functional hand washing stations during reporting period]]*100)</f>
        <v>664</v>
      </c>
      <c r="DZ580" s="428" t="str">
        <f>IF(OR(WWWW[[#This Row],['#_students at TLS_CFS]]="",WWWW[[#This Row],['#_students at TLS_CFS]]=0),"No","Yes")</f>
        <v>No</v>
      </c>
      <c r="EA580"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80"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0"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80"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0" s="425" t="str">
        <f>VLOOKUP(WWWW[[#This Row],[Site Name]],SiteDB6[[Site Name]:[CCCM Management]],6,FALSE)</f>
        <v>Yes</v>
      </c>
      <c r="EF580" s="425" t="str">
        <f>VLOOKUP(WWWW[[#This Row],[Site Name]],SiteDB6[[Site Name]:[CCCM Focal Agency]],7,FALSE)</f>
        <v>KMSS-LSO</v>
      </c>
      <c r="EG580" s="425" t="str">
        <f>VLOOKUP(WWWW[[#This Row],[Site Name]],SiteDB6[[Site Name]:[Location Type 1]],9,FALSE)</f>
        <v>Village Type Camp</v>
      </c>
      <c r="EH580" s="425" t="str">
        <f>VLOOKUP(WWWW[[#This Row],[Site Name]],SiteDB6[[Site Name]:[Type of Accommodation]],10,FALSE)</f>
        <v>Camp</v>
      </c>
      <c r="EI580" s="425" t="str">
        <f>VLOOKUP(WWWW[[#This Row],[Site Name]],SiteDB6[[Site Name]:[Ethnic or GCA/NGCA]],11,FALSE)</f>
        <v>GCA</v>
      </c>
      <c r="EJ580" s="425">
        <f>VLOOKUP(WWWW[[#This Row],[Site Name]],SiteDB6[[Site Name]:[Lat]],12,FALSE)</f>
        <v>23.447111</v>
      </c>
      <c r="EK580" s="425">
        <f>VLOOKUP(WWWW[[#This Row],[Site Name]],SiteDB6[[Site Name]:[Long]],13,FALSE)</f>
        <v>97.868876999999998</v>
      </c>
      <c r="EL580" s="425" t="str">
        <f>VLOOKUP(WWWW[[#This Row],[Site Name]],SiteDB6[[Site Name]:[Pcode]],3,FALSE)</f>
        <v>MMR015CMP037</v>
      </c>
      <c r="EM580" s="860" t="str">
        <f t="shared" si="12"/>
        <v>Covered</v>
      </c>
      <c r="EN580" s="860"/>
      <c r="EO580" s="425">
        <f>VLOOKUP(WWWW[[#This Row],[Site Name]],SiteDB6[[Site Name]:[Pop
(Kachin/Shan-CCCM as of July 2021)]],16,FALSE)</f>
        <v>123</v>
      </c>
      <c r="EP580" s="425">
        <f>VLOOKUP(WWWW[[#This Row],[Site Name]],SiteDB6[[Site Name]:[Pop
(Kachin/Shan-CCCM as of July 2021)]],17,FALSE)</f>
        <v>706</v>
      </c>
    </row>
    <row r="581" spans="1:146">
      <c r="A581" s="1044" t="s">
        <v>2765</v>
      </c>
      <c r="B581" s="1044" t="s">
        <v>192</v>
      </c>
      <c r="C581" s="1045" t="s">
        <v>192</v>
      </c>
      <c r="D581" s="1045" t="s">
        <v>2673</v>
      </c>
      <c r="E581" s="1045" t="s">
        <v>515</v>
      </c>
      <c r="F581" s="1045" t="s">
        <v>519</v>
      </c>
      <c r="G581" s="1043" t="str">
        <f>VLOOKUP(WWWW[[#This Row],[Site Name]],SiteDB6[[Site Name]:[Location Type]],8,FALSE)</f>
        <v>Camp</v>
      </c>
      <c r="H581" s="1045" t="s">
        <v>561</v>
      </c>
      <c r="I581" s="448">
        <v>45</v>
      </c>
      <c r="J581" s="448">
        <v>221</v>
      </c>
      <c r="K581" s="588">
        <v>44511</v>
      </c>
      <c r="L581" s="589">
        <v>44875</v>
      </c>
      <c r="M581" s="448"/>
      <c r="N581" s="448"/>
      <c r="O581" s="448"/>
      <c r="P581" s="448"/>
      <c r="Q581" s="428"/>
      <c r="R581" s="448">
        <v>5</v>
      </c>
      <c r="S581" s="448">
        <v>4</v>
      </c>
      <c r="T581" s="448"/>
      <c r="U581" s="448"/>
      <c r="V581" s="448"/>
      <c r="W581" s="448"/>
      <c r="X581" s="448"/>
      <c r="Y581" s="448"/>
      <c r="Z581" s="448"/>
      <c r="AA581" s="448">
        <v>8</v>
      </c>
      <c r="AB581" s="448"/>
      <c r="AC581" s="448"/>
      <c r="AD581" s="448"/>
      <c r="AE581" s="448"/>
      <c r="AF581" s="448"/>
      <c r="AG581" s="448"/>
      <c r="AH581" s="448">
        <v>1</v>
      </c>
      <c r="AI581" s="448"/>
      <c r="AJ581" s="448"/>
      <c r="AK581" s="448"/>
      <c r="AL581" s="448"/>
      <c r="AM581" s="448">
        <v>2</v>
      </c>
      <c r="AN581" s="448">
        <v>1</v>
      </c>
      <c r="AO581" s="448"/>
      <c r="AP581" s="860"/>
      <c r="AQ581" s="448">
        <v>37</v>
      </c>
      <c r="AR581" s="448"/>
      <c r="AS581" s="423"/>
      <c r="AT581" s="448"/>
      <c r="AU581" s="448"/>
      <c r="AV581" s="448"/>
      <c r="AW581" s="448"/>
      <c r="AX581" s="448">
        <v>3</v>
      </c>
      <c r="AY581" s="425" t="s">
        <v>136</v>
      </c>
      <c r="AZ581" s="860" t="s">
        <v>904</v>
      </c>
      <c r="BA581" s="448"/>
      <c r="BB581" s="448"/>
      <c r="BC581" s="448">
        <v>2</v>
      </c>
      <c r="BD581" s="448"/>
      <c r="BE581" s="448"/>
      <c r="BF581" s="425"/>
      <c r="BG581" s="448">
        <v>7</v>
      </c>
      <c r="BH581" s="448"/>
      <c r="BI581" s="448"/>
      <c r="BJ581" s="448"/>
      <c r="BK581" s="448"/>
      <c r="BL581" s="448"/>
      <c r="BM581" s="448">
        <v>1</v>
      </c>
      <c r="BN581" s="448"/>
      <c r="BO581" s="448"/>
      <c r="BP581" s="425" t="s">
        <v>41</v>
      </c>
      <c r="BQ581" s="424">
        <v>3</v>
      </c>
      <c r="BR581" s="423">
        <v>1</v>
      </c>
      <c r="BS581" s="425"/>
      <c r="BT581" s="423"/>
      <c r="BU581" s="423"/>
      <c r="BV581" s="425"/>
      <c r="BW581" s="423"/>
      <c r="BX581" s="448"/>
      <c r="BY581" s="448"/>
      <c r="BZ581" s="448"/>
      <c r="CA581" s="448"/>
      <c r="CB581" s="448"/>
      <c r="CC581" s="777"/>
      <c r="CD581" s="448"/>
      <c r="CE581" s="631" t="str">
        <f>IFERROR(WWWW[[#This Row],['#_Water sources passed]]/WWWW[[#This Row],['#_Water sources tested for fecal coliform ]],"no test")</f>
        <v>no test</v>
      </c>
      <c r="CF581" s="423" t="str">
        <f>IFERROR(WWWW[[#This Row],['#_Household passed]]/WWWW[[#This Row],['#_Household water samples tested for fecal coliform]],"no test")</f>
        <v>no test</v>
      </c>
      <c r="CG581" s="424" t="str">
        <f>IF(AND(WWWW[[#This Row],[% of water sources passed]]="no test",WWWW[[#This Row],[% Household passed]]="no test"),"No Test","Tested")</f>
        <v>No Test</v>
      </c>
      <c r="CH581" s="424">
        <f>WWWW[[#This Row],['#_Constructed/existing protected hand dug well]]-WWWW[[#This Row],['#_Non-functional protected hand dug well]]</f>
        <v>0</v>
      </c>
      <c r="CI581" s="424">
        <f>(WWWW[[#This Row],['#_Constructed/Existing tube wells/boreholes/handpumps_WASH_agency]]+WWWW[[#This Row],['#_Non-Cluster partner water tube-wells/boreholes/handpumps]])-WWWW[[#This Row],['#_Non-functional tube wells/boreholes/handpumps]]</f>
        <v>0</v>
      </c>
      <c r="CJ581" s="424">
        <f>WWWW[[#This Row],['#_Constructed/Existingwater storage tank with gravity fed reticulation system]]-WWWW[[#This Row],['#_Non-functional storage tank gravity fed reticulation system]]</f>
        <v>8</v>
      </c>
      <c r="CK581" s="424">
        <f>(WWWW[[#This Row],['#_Water_Liters_supplied_by_Water boating or water trucking]]/90)/15</f>
        <v>0</v>
      </c>
      <c r="CL581" s="424">
        <f>WWWW[[#This Row],['#_Water_Liters_from_Constructed/Existing water distribution system from river or natural spring]]/90/15</f>
        <v>0</v>
      </c>
      <c r="CM581" s="424">
        <f>IF(WWWW[[#This Row],['#_of water points in TLS/CFS]]*500&gt;WWWW[[#This Row],[Total PoP ]],WWWW[[#This Row],[Total PoP ]],WWWW[[#This Row],['#_of water points in TLS/CFS]]*500)</f>
        <v>221</v>
      </c>
      <c r="CN581" s="424">
        <f>IF(WWWW[[#This Row],['#_of water points in THF]]*500&gt;WWWW[[#This Row],[Total PoP ]],WWWW[[#This Row],[Total PoP ]],WWWW[[#This Row],['#_of water points in THF]]*500)</f>
        <v>0</v>
      </c>
      <c r="CO581"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81"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81" s="423">
        <f>IF(WWWW[[#This Row],[Location Type 1]]="Village",WWWW[[#This Row],[Access to safe drinking water for Village]],WWWW[[#This Row],[Access to safe drinking water for Camp]])</f>
        <v>1</v>
      </c>
      <c r="CR581" s="428">
        <f>WWWW[[#This Row],[%Equitable and continuous access to sufficient quantity of safe drinking water]]*WWWW[[#This Row],[Total PoP ]]</f>
        <v>221</v>
      </c>
      <c r="CS581" s="423">
        <f>IF((WWWW[[#This Row],['#_Constructed/Existing protected/fenced ponds]]*250)/WWWW[[#This Row],[Total PoP ]]&gt;1,1,(WWWW[[#This Row],['#_Constructed/Existing protected/fenced ponds]]*250)/WWWW[[#This Row],[Total PoP ]])</f>
        <v>0</v>
      </c>
      <c r="CT581" s="428">
        <f>WWWW[[#This Row],[% Access to unimproved water points]]*WWWW[[#This Row],[Total PoP ]]</f>
        <v>0</v>
      </c>
      <c r="CU581"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81"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581" s="428">
        <f>WWWW[[#This Row],[HRP1]]/500</f>
        <v>0.442</v>
      </c>
      <c r="CX581" s="898">
        <f>1-WWWW[[#This Row],[% Equitable and continuous access to sufficient quantity of domestic water]]</f>
        <v>0</v>
      </c>
      <c r="CY581" s="428">
        <f>WWWW[[#This Row],[%equitable and continuous access to sufficient quantity of safe drinking and domestic water''s GAP]]*WWWW[[#This Row],[Total PoP ]]</f>
        <v>0</v>
      </c>
      <c r="CZ581" s="424">
        <f>IF(WWWW[[#This Row],[Total required water points]]-WWWW[[#This Row],['#Water points coverage]]&lt;0,0,WWWW[[#This Row],[Total required water points]]-WWWW[[#This Row],['#Water points coverage]])</f>
        <v>0.55800000000000005</v>
      </c>
      <c r="DA581" s="424">
        <f>ROUND(IF(WWWW[[#This Row],[Total PoP ]]&lt;500,1,WWWW[[#This Row],[Total PoP ]]/500),0)</f>
        <v>1</v>
      </c>
      <c r="DB581" s="424">
        <f>(WWWW[[#This Row],['#_Constructed latrines_by_WASHAgencies]]+WWWW[[#This Row],['#_Non Cluster partner latrines]])-WWWW[[#This Row],['#_Non-functional latrines]]</f>
        <v>37</v>
      </c>
      <c r="DC581" s="631">
        <f>WWWW[[#This Row],[HRP2]]/WWWW[[#This Row],[Total PoP ]]</f>
        <v>1</v>
      </c>
      <c r="DD581"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221</v>
      </c>
      <c r="DE581"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81"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1" s="424">
        <f>IF(WWWW[[#This Row],['# of functional latrines in THF supported by WASH partners during the reporting period2]]="",0,WWWW[[#This Row],['# of functional latrines in THF supported by WASH partners during the reporting period2]]*50)</f>
        <v>0</v>
      </c>
      <c r="DH581" s="424">
        <f>ROUND(IF(WWWW[[#This Row],[Location Type 1]]="camp",WWWW[[#This Row],[Total PoP ]]/20,IF(WWWW[[#This Row],[Location Type 1]]="Temporary Location",WWWW[[#This Row],[Total PoP ]]/50,(WWWW[[#This Row],[Total PoP ]]/6))),0)</f>
        <v>11</v>
      </c>
      <c r="DI581" s="424">
        <f>IF(WWWW[[#This Row],[Total required Latrines]]-(WWWW[[#This Row],['#_Constructed latrines_by_WASHAgencies]]+WWWW[[#This Row],['#_Non Cluster partner latrines]])&lt;0,0,WWWW[[#This Row],[Total required Latrines]]-(WWWW[[#This Row],['#_Constructed latrines_by_WASHAgencies]]+WWWW[[#This Row],['#_Non Cluster partner latrines]]))</f>
        <v>0</v>
      </c>
      <c r="DJ581" s="898">
        <f>1-WWWW[[#This Row],[% people access to functioning Latrine]]</f>
        <v>0</v>
      </c>
      <c r="DK581" s="631">
        <f>IF(OR(WWWW[[#This Row],['#_Non-functional latrines]]="",WWWW[[#This Row],['#_Non-functional latrines]]=0),0,WWWW[[#This Row],['#_Non-functional latrines]]/(WWWW[[#This Row],['#_Constructed latrines_by_WASHAgencies]]+WWWW[[#This Row],['#_Non Cluster partner latrines]]))</f>
        <v>0</v>
      </c>
      <c r="DL581" s="428">
        <f>IF(500*(WWWW[[#This Row],['#_male hygiene promoters]]+WWWW[[#This Row],['#_female hygiene promoters]])&gt;WWWW[[#This Row],[Total PoP ]],WWWW[[#This Row],[Total PoP ]],500*(WWWW[[#This Row],['#_male hygiene promoters]]+WWWW[[#This Row],['#_female hygiene promoters]]))</f>
        <v>221</v>
      </c>
      <c r="DM581"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81"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81" s="424">
        <f>IF(WWWW[[#This Row],['# People with access to soap]]&gt;WWWW[[#This Row],['# People with access to Sanity Pads]],WWWW[[#This Row],['# People with access to soap]],WWWW[[#This Row],['# People with access to Sanity Pads]])</f>
        <v>0</v>
      </c>
      <c r="DP581" s="424">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Q581" s="898">
        <f>IF(WWWW[[#This Row],[HRP3]]/WWWW[[#This Row],[Total PoP ]]&gt;1,1,WWWW[[#This Row],[HRP3]]/WWWW[[#This Row],[Total PoP ]])</f>
        <v>1</v>
      </c>
      <c r="DR581" s="631">
        <f>1-WWWW[[#This Row],[Hygiene Coverage%]]</f>
        <v>0</v>
      </c>
      <c r="DS581" s="423">
        <f>WWWW[[#This Row],['# people reached by regular dedicated hygiene promotion_5]]/WWWW[[#This Row],[Total PoP ]]</f>
        <v>1</v>
      </c>
      <c r="DT581"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81"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81" s="424">
        <f>WWWW[[#This Row],['#_Constructed/Existing hand washing stations]]-WWWW[[#This Row],['#_Non-Functional_hand_washing_stations]]</f>
        <v>7</v>
      </c>
      <c r="DW581" s="428">
        <f>IF(WWWW[[#This Row],['# Functional hand washing stations during reporting period]]*20&gt;WWWW[[#This Row],[Total HH]],WWWW[[#This Row],[Total HH]],WWWW[[#This Row],['# Functional hand washing stations during reporting period]]*20)</f>
        <v>45</v>
      </c>
      <c r="DX581" s="428">
        <f>IF(WWWW[[#This Row],[Is sufficient soap available for TLS? (Yes/No)]]="yes",WWWW[[#This Row],['#_Constructed/Existing hand washing stations at TLS/CFS/THF]],0)</f>
        <v>2</v>
      </c>
      <c r="DY581" s="428">
        <f>IF(WWWW[[#This Row],['# Functional hand washing stations during reporting period]]*100&gt;WWWW[[#This Row],[Total PoP ]],WWWW[[#This Row],[Total PoP ]],WWWW[[#This Row],['# Functional hand washing stations during reporting period]]*100)</f>
        <v>221</v>
      </c>
      <c r="DZ581" s="428" t="str">
        <f>IF(OR(WWWW[[#This Row],['#_students at TLS_CFS]]="",WWWW[[#This Row],['#_students at TLS_CFS]]=0),"No","Yes")</f>
        <v>No</v>
      </c>
      <c r="EA581"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81"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1"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D581"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1" s="425" t="str">
        <f>VLOOKUP(WWWW[[#This Row],[Site Name]],SiteDB6[[Site Name]:[CCCM Management]],6,FALSE)</f>
        <v>Yes</v>
      </c>
      <c r="EF581" s="425" t="str">
        <f>VLOOKUP(WWWW[[#This Row],[Site Name]],SiteDB6[[Site Name]:[CCCM Focal Agency]],7,FALSE)</f>
        <v>KMSS-LSO</v>
      </c>
      <c r="EG581" s="425" t="str">
        <f>VLOOKUP(WWWW[[#This Row],[Site Name]],SiteDB6[[Site Name]:[Location Type 1]],9,FALSE)</f>
        <v>Camp</v>
      </c>
      <c r="EH581" s="425" t="str">
        <f>VLOOKUP(WWWW[[#This Row],[Site Name]],SiteDB6[[Site Name]:[Type of Accommodation]],10,FALSE)</f>
        <v>Camp</v>
      </c>
      <c r="EI581" s="425" t="str">
        <f>VLOOKUP(WWWW[[#This Row],[Site Name]],SiteDB6[[Site Name]:[Ethnic or GCA/NGCA]],11,FALSE)</f>
        <v>GCA</v>
      </c>
      <c r="EJ581" s="425">
        <f>VLOOKUP(WWWW[[#This Row],[Site Name]],SiteDB6[[Site Name]:[Lat]],12,FALSE)</f>
        <v>23.59</v>
      </c>
      <c r="EK581" s="425">
        <f>VLOOKUP(WWWW[[#This Row],[Site Name]],SiteDB6[[Site Name]:[Long]],13,FALSE)</f>
        <v>97.805999999999997</v>
      </c>
      <c r="EL581" s="425" t="str">
        <f>VLOOKUP(WWWW[[#This Row],[Site Name]],SiteDB6[[Site Name]:[Pcode]],3,FALSE)</f>
        <v>MMR015CMP067</v>
      </c>
      <c r="EM581" s="860" t="str">
        <f t="shared" si="12"/>
        <v>Covered</v>
      </c>
      <c r="EN581" s="860"/>
      <c r="EO581" s="425">
        <f>VLOOKUP(WWWW[[#This Row],[Site Name]],SiteDB6[[Site Name]:[Pop
(Kachin/Shan-CCCM as of July 2021)]],16,FALSE)</f>
        <v>47</v>
      </c>
      <c r="EP581" s="425">
        <f>VLOOKUP(WWWW[[#This Row],[Site Name]],SiteDB6[[Site Name]:[Pop
(Kachin/Shan-CCCM as of July 2021)]],17,FALSE)</f>
        <v>230</v>
      </c>
    </row>
    <row r="582" spans="1:146">
      <c r="A582" s="707" t="s">
        <v>2765</v>
      </c>
      <c r="B582" s="707" t="s">
        <v>309</v>
      </c>
      <c r="C582" s="369" t="s">
        <v>309</v>
      </c>
      <c r="D582" s="369"/>
      <c r="E582" s="369" t="s">
        <v>515</v>
      </c>
      <c r="F582" s="369" t="s">
        <v>963</v>
      </c>
      <c r="G582" s="591" t="str">
        <f>VLOOKUP(WWWW[[#This Row],[Site Name]],SiteDB6[[Site Name]:[Location Type]],8,FALSE)</f>
        <v>Relocated</v>
      </c>
      <c r="H582" s="369" t="s">
        <v>2605</v>
      </c>
      <c r="I582" s="448">
        <v>657</v>
      </c>
      <c r="J582" s="448">
        <v>2786</v>
      </c>
      <c r="K582" s="800"/>
      <c r="L582" s="56"/>
      <c r="M582" s="448"/>
      <c r="N582" s="448"/>
      <c r="O582" s="448"/>
      <c r="P582" s="448"/>
      <c r="Q582" s="428"/>
      <c r="R582" s="448"/>
      <c r="S582" s="448"/>
      <c r="T582" s="448"/>
      <c r="U582" s="448"/>
      <c r="V582" s="448"/>
      <c r="W582" s="448"/>
      <c r="X582" s="448"/>
      <c r="Y582" s="448"/>
      <c r="Z582" s="448"/>
      <c r="AA582" s="448"/>
      <c r="AB582" s="448"/>
      <c r="AC582" s="448"/>
      <c r="AD582" s="448"/>
      <c r="AE582" s="448"/>
      <c r="AF582" s="448"/>
      <c r="AG582" s="448"/>
      <c r="AH582" s="448"/>
      <c r="AI582" s="448"/>
      <c r="AJ582" s="448"/>
      <c r="AK582" s="448"/>
      <c r="AL582" s="448"/>
      <c r="AM582" s="448"/>
      <c r="AN582" s="448"/>
      <c r="AO582" s="448"/>
      <c r="AP582" s="860"/>
      <c r="AQ582" s="448"/>
      <c r="AR582" s="448"/>
      <c r="AS582" s="423"/>
      <c r="AT582" s="448"/>
      <c r="AU582" s="448"/>
      <c r="AV582" s="448"/>
      <c r="AW582" s="448"/>
      <c r="AX582" s="448"/>
      <c r="AY582" s="425" t="s">
        <v>140</v>
      </c>
      <c r="AZ582" s="860" t="s">
        <v>140</v>
      </c>
      <c r="BA582" s="448"/>
      <c r="BB582" s="448"/>
      <c r="BC582" s="448"/>
      <c r="BD582" s="448"/>
      <c r="BE582" s="448"/>
      <c r="BF582" s="425"/>
      <c r="BG582" s="448"/>
      <c r="BH582" s="448"/>
      <c r="BI582" s="448"/>
      <c r="BJ582" s="448"/>
      <c r="BK582" s="448"/>
      <c r="BL582" s="448"/>
      <c r="BM582" s="448"/>
      <c r="BN582" s="448"/>
      <c r="BO582" s="448"/>
      <c r="BP582" s="425"/>
      <c r="BQ582" s="424"/>
      <c r="BR582" s="423"/>
      <c r="BS582" s="425"/>
      <c r="BT582" s="423"/>
      <c r="BU582" s="423"/>
      <c r="BV582" s="425"/>
      <c r="BW582" s="423"/>
      <c r="BX582" s="448"/>
      <c r="BY582" s="448"/>
      <c r="BZ582" s="448"/>
      <c r="CA582" s="448"/>
      <c r="CB582" s="448"/>
      <c r="CC582" s="777"/>
      <c r="CD582" s="448"/>
      <c r="CE582" s="631" t="str">
        <f>IFERROR(WWWW[[#This Row],['#_Water sources passed]]/WWWW[[#This Row],['#_Water sources tested for fecal coliform ]],"no test")</f>
        <v>no test</v>
      </c>
      <c r="CF582" s="423" t="str">
        <f>IFERROR(WWWW[[#This Row],['#_Household passed]]/WWWW[[#This Row],['#_Household water samples tested for fecal coliform]],"no test")</f>
        <v>no test</v>
      </c>
      <c r="CG582" s="424" t="str">
        <f>IF(AND(WWWW[[#This Row],[% of water sources passed]]="no test",WWWW[[#This Row],[% Household passed]]="no test"),"No Test","Tested")</f>
        <v>No Test</v>
      </c>
      <c r="CH582" s="424">
        <f>WWWW[[#This Row],['#_Constructed/existing protected hand dug well]]-WWWW[[#This Row],['#_Non-functional protected hand dug well]]</f>
        <v>0</v>
      </c>
      <c r="CI582" s="424">
        <f>(WWWW[[#This Row],['#_Constructed/Existing tube wells/boreholes/handpumps_WASH_agency]]+WWWW[[#This Row],['#_Non-Cluster partner water tube-wells/boreholes/handpumps]])-WWWW[[#This Row],['#_Non-functional tube wells/boreholes/handpumps]]</f>
        <v>0</v>
      </c>
      <c r="CJ582" s="424">
        <f>WWWW[[#This Row],['#_Constructed/Existingwater storage tank with gravity fed reticulation system]]-WWWW[[#This Row],['#_Non-functional storage tank gravity fed reticulation system]]</f>
        <v>0</v>
      </c>
      <c r="CK582" s="424">
        <f>(WWWW[[#This Row],['#_Water_Liters_supplied_by_Water boating or water trucking]]/90)/15</f>
        <v>0</v>
      </c>
      <c r="CL582" s="424">
        <f>WWWW[[#This Row],['#_Water_Liters_from_Constructed/Existing water distribution system from river or natural spring]]/90/15</f>
        <v>0</v>
      </c>
      <c r="CM582" s="424">
        <f>IF(WWWW[[#This Row],['#_of water points in TLS/CFS]]*500&gt;WWWW[[#This Row],[Total PoP ]],WWWW[[#This Row],[Total PoP ]],WWWW[[#This Row],['#_of water points in TLS/CFS]]*500)</f>
        <v>0</v>
      </c>
      <c r="CN582" s="424">
        <f>IF(WWWW[[#This Row],['#_of water points in THF]]*500&gt;WWWW[[#This Row],[Total PoP ]],WWWW[[#This Row],[Total PoP ]],WWWW[[#This Row],['#_of water points in THF]]*500)</f>
        <v>0</v>
      </c>
      <c r="CO582"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82"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82" s="423">
        <f>IF(WWWW[[#This Row],[Location Type 1]]="Village",WWWW[[#This Row],[Access to safe drinking water for Village]],WWWW[[#This Row],[Access to safe drinking water for Camp]])</f>
        <v>0</v>
      </c>
      <c r="CR582" s="428">
        <f>WWWW[[#This Row],[%Equitable and continuous access to sufficient quantity of safe drinking water]]*WWWW[[#This Row],[Total PoP ]]</f>
        <v>0</v>
      </c>
      <c r="CS582" s="423">
        <f>IF((WWWW[[#This Row],['#_Constructed/Existing protected/fenced ponds]]*250)/WWWW[[#This Row],[Total PoP ]]&gt;1,1,(WWWW[[#This Row],['#_Constructed/Existing protected/fenced ponds]]*250)/WWWW[[#This Row],[Total PoP ]])</f>
        <v>0</v>
      </c>
      <c r="CT582" s="428">
        <f>WWWW[[#This Row],[% Access to unimproved water points]]*WWWW[[#This Row],[Total PoP ]]</f>
        <v>0</v>
      </c>
      <c r="CU582"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82"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82" s="428">
        <f>WWWW[[#This Row],[HRP1]]/500</f>
        <v>0</v>
      </c>
      <c r="CX582" s="898">
        <f>1-WWWW[[#This Row],[% Equitable and continuous access to sufficient quantity of domestic water]]</f>
        <v>1</v>
      </c>
      <c r="CY582" s="428">
        <f>WWWW[[#This Row],[%equitable and continuous access to sufficient quantity of safe drinking and domestic water''s GAP]]*WWWW[[#This Row],[Total PoP ]]</f>
        <v>2786</v>
      </c>
      <c r="CZ582" s="424">
        <f>IF(WWWW[[#This Row],[Total required water points]]-WWWW[[#This Row],['#Water points coverage]]&lt;0,0,WWWW[[#This Row],[Total required water points]]-WWWW[[#This Row],['#Water points coverage]])</f>
        <v>6</v>
      </c>
      <c r="DA582" s="424">
        <f>ROUND(IF(WWWW[[#This Row],[Total PoP ]]&lt;500,1,WWWW[[#This Row],[Total PoP ]]/500),0)</f>
        <v>6</v>
      </c>
      <c r="DB582" s="424">
        <f>(WWWW[[#This Row],['#_Constructed latrines_by_WASHAgencies]]+WWWW[[#This Row],['#_Non Cluster partner latrines]])-WWWW[[#This Row],['#_Non-functional latrines]]</f>
        <v>0</v>
      </c>
      <c r="DC582" s="631">
        <f>WWWW[[#This Row],[HRP2]]/WWWW[[#This Row],[Total PoP ]]</f>
        <v>0</v>
      </c>
      <c r="DD582"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82"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82"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2" s="424">
        <f>IF(WWWW[[#This Row],['# of functional latrines in THF supported by WASH partners during the reporting period2]]="",0,WWWW[[#This Row],['# of functional latrines in THF supported by WASH partners during the reporting period2]]*50)</f>
        <v>0</v>
      </c>
      <c r="DH582" s="424">
        <f>ROUND(IF(WWWW[[#This Row],[Location Type 1]]="camp",WWWW[[#This Row],[Total PoP ]]/20,IF(WWWW[[#This Row],[Location Type 1]]="Temporary Location",WWWW[[#This Row],[Total PoP ]]/50,(WWWW[[#This Row],[Total PoP ]]/6))),0)</f>
        <v>464</v>
      </c>
      <c r="DI582" s="424">
        <f>IF(WWWW[[#This Row],[Total required Latrines]]-(WWWW[[#This Row],['#_Constructed latrines_by_WASHAgencies]]+WWWW[[#This Row],['#_Non Cluster partner latrines]])&lt;0,0,WWWW[[#This Row],[Total required Latrines]]-(WWWW[[#This Row],['#_Constructed latrines_by_WASHAgencies]]+WWWW[[#This Row],['#_Non Cluster partner latrines]]))</f>
        <v>464</v>
      </c>
      <c r="DJ582" s="898">
        <f>1-WWWW[[#This Row],[% people access to functioning Latrine]]</f>
        <v>1</v>
      </c>
      <c r="DK582" s="631">
        <f>IF(OR(WWWW[[#This Row],['#_Non-functional latrines]]="",WWWW[[#This Row],['#_Non-functional latrines]]=0),0,WWWW[[#This Row],['#_Non-functional latrines]]/(WWWW[[#This Row],['#_Constructed latrines_by_WASHAgencies]]+WWWW[[#This Row],['#_Non Cluster partner latrines]]))</f>
        <v>0</v>
      </c>
      <c r="DL582" s="428">
        <f>IF(500*(WWWW[[#This Row],['#_male hygiene promoters]]+WWWW[[#This Row],['#_female hygiene promoters]])&gt;WWWW[[#This Row],[Total PoP ]],WWWW[[#This Row],[Total PoP ]],500*(WWWW[[#This Row],['#_male hygiene promoters]]+WWWW[[#This Row],['#_female hygiene promoters]]))</f>
        <v>0</v>
      </c>
      <c r="DM582"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82"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82" s="424">
        <f>IF(WWWW[[#This Row],['# People with access to soap]]&gt;WWWW[[#This Row],['# People with access to Sanity Pads]],WWWW[[#This Row],['# People with access to soap]],WWWW[[#This Row],['# People with access to Sanity Pads]])</f>
        <v>0</v>
      </c>
      <c r="DP582"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82" s="898">
        <f>IF(WWWW[[#This Row],[HRP3]]/WWWW[[#This Row],[Total PoP ]]&gt;1,1,WWWW[[#This Row],[HRP3]]/WWWW[[#This Row],[Total PoP ]])</f>
        <v>0</v>
      </c>
      <c r="DR582" s="631">
        <f>1-WWWW[[#This Row],[Hygiene Coverage%]]</f>
        <v>1</v>
      </c>
      <c r="DS582" s="423">
        <f>WWWW[[#This Row],['# people reached by regular dedicated hygiene promotion_5]]/WWWW[[#This Row],[Total PoP ]]</f>
        <v>0</v>
      </c>
      <c r="DT582"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82"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82" s="424">
        <f>WWWW[[#This Row],['#_Constructed/Existing hand washing stations]]-WWWW[[#This Row],['#_Non-Functional_hand_washing_stations]]</f>
        <v>0</v>
      </c>
      <c r="DW582" s="428">
        <f>IF(WWWW[[#This Row],['# Functional hand washing stations during reporting period]]*20&gt;WWWW[[#This Row],[Total HH]],WWWW[[#This Row],[Total HH]],WWWW[[#This Row],['# Functional hand washing stations during reporting period]]*20)</f>
        <v>0</v>
      </c>
      <c r="DX582" s="428">
        <f>IF(WWWW[[#This Row],[Is sufficient soap available for TLS? (Yes/No)]]="yes",WWWW[[#This Row],['#_Constructed/Existing hand washing stations at TLS/CFS/THF]],0)</f>
        <v>0</v>
      </c>
      <c r="DY582" s="428">
        <f>IF(WWWW[[#This Row],['# Functional hand washing stations during reporting period]]*100&gt;WWWW[[#This Row],[Total PoP ]],WWWW[[#This Row],[Total PoP ]],WWWW[[#This Row],['# Functional hand washing stations during reporting period]]*100)</f>
        <v>0</v>
      </c>
      <c r="DZ582" s="428" t="str">
        <f>IF(OR(WWWW[[#This Row],['#_students at TLS_CFS]]="",WWWW[[#This Row],['#_students at TLS_CFS]]=0),"No","Yes")</f>
        <v>No</v>
      </c>
      <c r="EA582"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82"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2"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82"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2" s="425">
        <f>VLOOKUP(WWWW[[#This Row],[Site Name]],SiteDB6[[Site Name]:[CCCM Management]],6,FALSE)</f>
        <v>0</v>
      </c>
      <c r="EF582" s="425">
        <f>VLOOKUP(WWWW[[#This Row],[Site Name]],SiteDB6[[Site Name]:[CCCM Focal Agency]],7,FALSE)</f>
        <v>0</v>
      </c>
      <c r="EG582" s="425" t="str">
        <f>VLOOKUP(WWWW[[#This Row],[Site Name]],SiteDB6[[Site Name]:[Location Type 1]],9,FALSE)</f>
        <v>Relocated</v>
      </c>
      <c r="EH582" s="425" t="str">
        <f>VLOOKUP(WWWW[[#This Row],[Site Name]],SiteDB6[[Site Name]:[Type of Accommodation]],10,FALSE)</f>
        <v>Relocated-Individual House</v>
      </c>
      <c r="EI582" s="425" t="str">
        <f>VLOOKUP(WWWW[[#This Row],[Site Name]],SiteDB6[[Site Name]:[Ethnic or GCA/NGCA]],11,FALSE)</f>
        <v>GCA</v>
      </c>
      <c r="EJ582" s="425">
        <f>VLOOKUP(WWWW[[#This Row],[Site Name]],SiteDB6[[Site Name]:[Lat]],12,FALSE)</f>
        <v>23.363275999999999</v>
      </c>
      <c r="EK582" s="425">
        <f>VLOOKUP(WWWW[[#This Row],[Site Name]],SiteDB6[[Site Name]:[Long]],13,FALSE)</f>
        <v>98.472977999999998</v>
      </c>
      <c r="EL582" s="425" t="str">
        <f>VLOOKUP(WWWW[[#This Row],[Site Name]],SiteDB6[[Site Name]:[Pcode]],3,FALSE)</f>
        <v>MMR015CMP072</v>
      </c>
      <c r="EM582" s="860" t="str">
        <f t="shared" si="12"/>
        <v>Notcovered</v>
      </c>
      <c r="EN582" s="860"/>
      <c r="EO582" s="425">
        <f>VLOOKUP(WWWW[[#This Row],[Site Name]],SiteDB6[[Site Name]:[Pop
(Kachin/Shan-CCCM as of July 2021)]],16,FALSE)</f>
        <v>657</v>
      </c>
      <c r="EP582" s="425">
        <f>VLOOKUP(WWWW[[#This Row],[Site Name]],SiteDB6[[Site Name]:[Pop
(Kachin/Shan-CCCM as of July 2021)]],17,FALSE)</f>
        <v>2786</v>
      </c>
    </row>
    <row r="583" spans="1:146">
      <c r="A583" s="707" t="s">
        <v>2765</v>
      </c>
      <c r="B583" s="707" t="s">
        <v>309</v>
      </c>
      <c r="C583" s="369" t="s">
        <v>309</v>
      </c>
      <c r="D583" s="369"/>
      <c r="E583" s="369" t="s">
        <v>515</v>
      </c>
      <c r="F583" s="369" t="s">
        <v>963</v>
      </c>
      <c r="G583" s="591" t="str">
        <f>VLOOKUP(WWWW[[#This Row],[Site Name]],SiteDB6[[Site Name]:[Location Type]],8,FALSE)</f>
        <v>Camp</v>
      </c>
      <c r="H583" s="369" t="s">
        <v>2603</v>
      </c>
      <c r="I583" s="448">
        <v>34</v>
      </c>
      <c r="J583" s="448">
        <v>170</v>
      </c>
      <c r="K583" s="800"/>
      <c r="L583" s="56"/>
      <c r="M583" s="448"/>
      <c r="N583" s="448"/>
      <c r="O583" s="448"/>
      <c r="P583" s="448"/>
      <c r="Q583" s="428"/>
      <c r="R583" s="448"/>
      <c r="S583" s="448"/>
      <c r="T583" s="448"/>
      <c r="U583" s="448"/>
      <c r="V583" s="448"/>
      <c r="W583" s="448"/>
      <c r="X583" s="448"/>
      <c r="Y583" s="448"/>
      <c r="Z583" s="448"/>
      <c r="AA583" s="448"/>
      <c r="AB583" s="448"/>
      <c r="AC583" s="448"/>
      <c r="AD583" s="448"/>
      <c r="AE583" s="448"/>
      <c r="AF583" s="448"/>
      <c r="AG583" s="448"/>
      <c r="AH583" s="448"/>
      <c r="AI583" s="448"/>
      <c r="AJ583" s="448"/>
      <c r="AK583" s="448"/>
      <c r="AL583" s="448"/>
      <c r="AM583" s="448"/>
      <c r="AN583" s="448"/>
      <c r="AO583" s="448"/>
      <c r="AP583" s="860"/>
      <c r="AQ583" s="448"/>
      <c r="AR583" s="448"/>
      <c r="AS583" s="423"/>
      <c r="AT583" s="448"/>
      <c r="AU583" s="448"/>
      <c r="AV583" s="448"/>
      <c r="AW583" s="448"/>
      <c r="AX583" s="448"/>
      <c r="AY583" s="425" t="s">
        <v>140</v>
      </c>
      <c r="AZ583" s="860" t="s">
        <v>140</v>
      </c>
      <c r="BA583" s="448"/>
      <c r="BB583" s="448"/>
      <c r="BC583" s="448"/>
      <c r="BD583" s="448"/>
      <c r="BE583" s="448"/>
      <c r="BF583" s="425"/>
      <c r="BG583" s="448"/>
      <c r="BH583" s="448"/>
      <c r="BI583" s="448"/>
      <c r="BJ583" s="448"/>
      <c r="BK583" s="448"/>
      <c r="BL583" s="448"/>
      <c r="BM583" s="448"/>
      <c r="BN583" s="448"/>
      <c r="BO583" s="448"/>
      <c r="BP583" s="425"/>
      <c r="BQ583" s="424"/>
      <c r="BR583" s="423"/>
      <c r="BS583" s="425"/>
      <c r="BT583" s="423"/>
      <c r="BU583" s="423"/>
      <c r="BV583" s="425"/>
      <c r="BW583" s="423"/>
      <c r="BX583" s="448"/>
      <c r="BY583" s="448"/>
      <c r="BZ583" s="448"/>
      <c r="CA583" s="448"/>
      <c r="CB583" s="448"/>
      <c r="CC583" s="777"/>
      <c r="CD583" s="448"/>
      <c r="CE583" s="631" t="str">
        <f>IFERROR(WWWW[[#This Row],['#_Water sources passed]]/WWWW[[#This Row],['#_Water sources tested for fecal coliform ]],"no test")</f>
        <v>no test</v>
      </c>
      <c r="CF583" s="423" t="str">
        <f>IFERROR(WWWW[[#This Row],['#_Household passed]]/WWWW[[#This Row],['#_Household water samples tested for fecal coliform]],"no test")</f>
        <v>no test</v>
      </c>
      <c r="CG583" s="424" t="str">
        <f>IF(AND(WWWW[[#This Row],[% of water sources passed]]="no test",WWWW[[#This Row],[% Household passed]]="no test"),"No Test","Tested")</f>
        <v>No Test</v>
      </c>
      <c r="CH583" s="424">
        <f>WWWW[[#This Row],['#_Constructed/existing protected hand dug well]]-WWWW[[#This Row],['#_Non-functional protected hand dug well]]</f>
        <v>0</v>
      </c>
      <c r="CI583" s="424">
        <f>(WWWW[[#This Row],['#_Constructed/Existing tube wells/boreholes/handpumps_WASH_agency]]+WWWW[[#This Row],['#_Non-Cluster partner water tube-wells/boreholes/handpumps]])-WWWW[[#This Row],['#_Non-functional tube wells/boreholes/handpumps]]</f>
        <v>0</v>
      </c>
      <c r="CJ583" s="424">
        <f>WWWW[[#This Row],['#_Constructed/Existingwater storage tank with gravity fed reticulation system]]-WWWW[[#This Row],['#_Non-functional storage tank gravity fed reticulation system]]</f>
        <v>0</v>
      </c>
      <c r="CK583" s="424">
        <f>(WWWW[[#This Row],['#_Water_Liters_supplied_by_Water boating or water trucking]]/90)/15</f>
        <v>0</v>
      </c>
      <c r="CL583" s="424">
        <f>WWWW[[#This Row],['#_Water_Liters_from_Constructed/Existing water distribution system from river or natural spring]]/90/15</f>
        <v>0</v>
      </c>
      <c r="CM583" s="424">
        <f>IF(WWWW[[#This Row],['#_of water points in TLS/CFS]]*500&gt;WWWW[[#This Row],[Total PoP ]],WWWW[[#This Row],[Total PoP ]],WWWW[[#This Row],['#_of water points in TLS/CFS]]*500)</f>
        <v>0</v>
      </c>
      <c r="CN583" s="424">
        <f>IF(WWWW[[#This Row],['#_of water points in THF]]*500&gt;WWWW[[#This Row],[Total PoP ]],WWWW[[#This Row],[Total PoP ]],WWWW[[#This Row],['#_of water points in THF]]*500)</f>
        <v>0</v>
      </c>
      <c r="CO583"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83"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83" s="423">
        <f>IF(WWWW[[#This Row],[Location Type 1]]="Village",WWWW[[#This Row],[Access to safe drinking water for Village]],WWWW[[#This Row],[Access to safe drinking water for Camp]])</f>
        <v>0</v>
      </c>
      <c r="CR583" s="428">
        <f>WWWW[[#This Row],[%Equitable and continuous access to sufficient quantity of safe drinking water]]*WWWW[[#This Row],[Total PoP ]]</f>
        <v>0</v>
      </c>
      <c r="CS583" s="423">
        <f>IF((WWWW[[#This Row],['#_Constructed/Existing protected/fenced ponds]]*250)/WWWW[[#This Row],[Total PoP ]]&gt;1,1,(WWWW[[#This Row],['#_Constructed/Existing protected/fenced ponds]]*250)/WWWW[[#This Row],[Total PoP ]])</f>
        <v>0</v>
      </c>
      <c r="CT583" s="428">
        <f>WWWW[[#This Row],[% Access to unimproved water points]]*WWWW[[#This Row],[Total PoP ]]</f>
        <v>0</v>
      </c>
      <c r="CU583"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83"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83" s="428">
        <f>WWWW[[#This Row],[HRP1]]/500</f>
        <v>0</v>
      </c>
      <c r="CX583" s="898">
        <f>1-WWWW[[#This Row],[% Equitable and continuous access to sufficient quantity of domestic water]]</f>
        <v>1</v>
      </c>
      <c r="CY583" s="428">
        <f>WWWW[[#This Row],[%equitable and continuous access to sufficient quantity of safe drinking and domestic water''s GAP]]*WWWW[[#This Row],[Total PoP ]]</f>
        <v>170</v>
      </c>
      <c r="CZ583" s="424">
        <f>IF(WWWW[[#This Row],[Total required water points]]-WWWW[[#This Row],['#Water points coverage]]&lt;0,0,WWWW[[#This Row],[Total required water points]]-WWWW[[#This Row],['#Water points coverage]])</f>
        <v>1</v>
      </c>
      <c r="DA583" s="424">
        <f>ROUND(IF(WWWW[[#This Row],[Total PoP ]]&lt;500,1,WWWW[[#This Row],[Total PoP ]]/500),0)</f>
        <v>1</v>
      </c>
      <c r="DB583" s="424">
        <f>(WWWW[[#This Row],['#_Constructed latrines_by_WASHAgencies]]+WWWW[[#This Row],['#_Non Cluster partner latrines]])-WWWW[[#This Row],['#_Non-functional latrines]]</f>
        <v>0</v>
      </c>
      <c r="DC583" s="631">
        <f>WWWW[[#This Row],[HRP2]]/WWWW[[#This Row],[Total PoP ]]</f>
        <v>0</v>
      </c>
      <c r="DD583"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83"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83"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3" s="424">
        <f>IF(WWWW[[#This Row],['# of functional latrines in THF supported by WASH partners during the reporting period2]]="",0,WWWW[[#This Row],['# of functional latrines in THF supported by WASH partners during the reporting period2]]*50)</f>
        <v>0</v>
      </c>
      <c r="DH583" s="424">
        <f>ROUND(IF(WWWW[[#This Row],[Location Type 1]]="camp",WWWW[[#This Row],[Total PoP ]]/20,IF(WWWW[[#This Row],[Location Type 1]]="Temporary Location",WWWW[[#This Row],[Total PoP ]]/50,(WWWW[[#This Row],[Total PoP ]]/6))),0)</f>
        <v>9</v>
      </c>
      <c r="DI583" s="424">
        <f>IF(WWWW[[#This Row],[Total required Latrines]]-(WWWW[[#This Row],['#_Constructed latrines_by_WASHAgencies]]+WWWW[[#This Row],['#_Non Cluster partner latrines]])&lt;0,0,WWWW[[#This Row],[Total required Latrines]]-(WWWW[[#This Row],['#_Constructed latrines_by_WASHAgencies]]+WWWW[[#This Row],['#_Non Cluster partner latrines]]))</f>
        <v>9</v>
      </c>
      <c r="DJ583" s="898">
        <f>1-WWWW[[#This Row],[% people access to functioning Latrine]]</f>
        <v>1</v>
      </c>
      <c r="DK583" s="631">
        <f>IF(OR(WWWW[[#This Row],['#_Non-functional latrines]]="",WWWW[[#This Row],['#_Non-functional latrines]]=0),0,WWWW[[#This Row],['#_Non-functional latrines]]/(WWWW[[#This Row],['#_Constructed latrines_by_WASHAgencies]]+WWWW[[#This Row],['#_Non Cluster partner latrines]]))</f>
        <v>0</v>
      </c>
      <c r="DL583" s="428">
        <f>IF(500*(WWWW[[#This Row],['#_male hygiene promoters]]+WWWW[[#This Row],['#_female hygiene promoters]])&gt;WWWW[[#This Row],[Total PoP ]],WWWW[[#This Row],[Total PoP ]],500*(WWWW[[#This Row],['#_male hygiene promoters]]+WWWW[[#This Row],['#_female hygiene promoters]]))</f>
        <v>0</v>
      </c>
      <c r="DM583"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83"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83" s="424">
        <f>IF(WWWW[[#This Row],['# People with access to soap]]&gt;WWWW[[#This Row],['# People with access to Sanity Pads]],WWWW[[#This Row],['# People with access to soap]],WWWW[[#This Row],['# People with access to Sanity Pads]])</f>
        <v>0</v>
      </c>
      <c r="DP583"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83" s="898">
        <f>IF(WWWW[[#This Row],[HRP3]]/WWWW[[#This Row],[Total PoP ]]&gt;1,1,WWWW[[#This Row],[HRP3]]/WWWW[[#This Row],[Total PoP ]])</f>
        <v>0</v>
      </c>
      <c r="DR583" s="631">
        <f>1-WWWW[[#This Row],[Hygiene Coverage%]]</f>
        <v>1</v>
      </c>
      <c r="DS583" s="423">
        <f>WWWW[[#This Row],['# people reached by regular dedicated hygiene promotion_5]]/WWWW[[#This Row],[Total PoP ]]</f>
        <v>0</v>
      </c>
      <c r="DT583"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83"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83" s="424">
        <f>WWWW[[#This Row],['#_Constructed/Existing hand washing stations]]-WWWW[[#This Row],['#_Non-Functional_hand_washing_stations]]</f>
        <v>0</v>
      </c>
      <c r="DW583" s="428">
        <f>IF(WWWW[[#This Row],['# Functional hand washing stations during reporting period]]*20&gt;WWWW[[#This Row],[Total HH]],WWWW[[#This Row],[Total HH]],WWWW[[#This Row],['# Functional hand washing stations during reporting period]]*20)</f>
        <v>0</v>
      </c>
      <c r="DX583" s="428">
        <f>IF(WWWW[[#This Row],[Is sufficient soap available for TLS? (Yes/No)]]="yes",WWWW[[#This Row],['#_Constructed/Existing hand washing stations at TLS/CFS/THF]],0)</f>
        <v>0</v>
      </c>
      <c r="DY583" s="428">
        <f>IF(WWWW[[#This Row],['# Functional hand washing stations during reporting period]]*100&gt;WWWW[[#This Row],[Total PoP ]],WWWW[[#This Row],[Total PoP ]],WWWW[[#This Row],['# Functional hand washing stations during reporting period]]*100)</f>
        <v>0</v>
      </c>
      <c r="DZ583" s="428" t="str">
        <f>IF(OR(WWWW[[#This Row],['#_students at TLS_CFS]]="",WWWW[[#This Row],['#_students at TLS_CFS]]=0),"No","Yes")</f>
        <v>No</v>
      </c>
      <c r="EA583"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83"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3"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83"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3" s="425">
        <f>VLOOKUP(WWWW[[#This Row],[Site Name]],SiteDB6[[Site Name]:[CCCM Management]],6,FALSE)</f>
        <v>0</v>
      </c>
      <c r="EF583" s="425">
        <f>VLOOKUP(WWWW[[#This Row],[Site Name]],SiteDB6[[Site Name]:[CCCM Focal Agency]],7,FALSE)</f>
        <v>0</v>
      </c>
      <c r="EG583" s="425" t="str">
        <f>VLOOKUP(WWWW[[#This Row],[Site Name]],SiteDB6[[Site Name]:[Location Type 1]],9,FALSE)</f>
        <v>Camp</v>
      </c>
      <c r="EH583" s="425" t="str">
        <f>VLOOKUP(WWWW[[#This Row],[Site Name]],SiteDB6[[Site Name]:[Type of Accommodation]],10,FALSE)</f>
        <v>Camp Like setting</v>
      </c>
      <c r="EI583" s="425" t="str">
        <f>VLOOKUP(WWWW[[#This Row],[Site Name]],SiteDB6[[Site Name]:[Ethnic or GCA/NGCA]],11,FALSE)</f>
        <v>GCA</v>
      </c>
      <c r="EJ583" s="425">
        <f>VLOOKUP(WWWW[[#This Row],[Site Name]],SiteDB6[[Site Name]:[Lat]],12,FALSE)</f>
        <v>23.729893000000001</v>
      </c>
      <c r="EK583" s="425">
        <f>VLOOKUP(WWWW[[#This Row],[Site Name]],SiteDB6[[Site Name]:[Long]],13,FALSE)</f>
        <v>98.779853500000002</v>
      </c>
      <c r="EL583" s="425" t="str">
        <f>VLOOKUP(WWWW[[#This Row],[Site Name]],SiteDB6[[Site Name]:[Pcode]],3,FALSE)</f>
        <v>MMR015CMP070</v>
      </c>
      <c r="EM583" s="860" t="str">
        <f t="shared" si="12"/>
        <v>Notcovered</v>
      </c>
      <c r="EN583" s="860"/>
      <c r="EO583" s="425">
        <f>VLOOKUP(WWWW[[#This Row],[Site Name]],SiteDB6[[Site Name]:[Pop
(Kachin/Shan-CCCM as of July 2021)]],16,FALSE)</f>
        <v>34</v>
      </c>
      <c r="EP583" s="425">
        <f>VLOOKUP(WWWW[[#This Row],[Site Name]],SiteDB6[[Site Name]:[Pop
(Kachin/Shan-CCCM as of July 2021)]],17,FALSE)</f>
        <v>170</v>
      </c>
    </row>
    <row r="584" spans="1:146">
      <c r="A584" s="707" t="s">
        <v>2765</v>
      </c>
      <c r="B584" s="707" t="s">
        <v>192</v>
      </c>
      <c r="C584" s="369" t="s">
        <v>192</v>
      </c>
      <c r="D584" s="369" t="s">
        <v>241</v>
      </c>
      <c r="E584" s="369" t="s">
        <v>515</v>
      </c>
      <c r="F584" s="369" t="s">
        <v>960</v>
      </c>
      <c r="G584" s="591" t="str">
        <f>VLOOKUP(WWWW[[#This Row],[Site Name]],SiteDB6[[Site Name]:[Location Type]],8,FALSE)</f>
        <v>Camp</v>
      </c>
      <c r="H584" s="369" t="s">
        <v>2985</v>
      </c>
      <c r="I584" s="448">
        <v>54</v>
      </c>
      <c r="J584" s="448">
        <v>179</v>
      </c>
      <c r="K584" s="800">
        <v>44511</v>
      </c>
      <c r="L584" s="56">
        <v>44875</v>
      </c>
      <c r="M584" s="448"/>
      <c r="N584" s="448"/>
      <c r="O584" s="448"/>
      <c r="P584" s="448"/>
      <c r="Q584" s="428"/>
      <c r="R584" s="448"/>
      <c r="S584" s="448"/>
      <c r="T584" s="448"/>
      <c r="U584" s="448"/>
      <c r="V584" s="448"/>
      <c r="W584" s="448"/>
      <c r="X584" s="448">
        <v>2</v>
      </c>
      <c r="Y584" s="448"/>
      <c r="Z584" s="448"/>
      <c r="AA584" s="448"/>
      <c r="AB584" s="448"/>
      <c r="AC584" s="448"/>
      <c r="AD584" s="448"/>
      <c r="AE584" s="448"/>
      <c r="AF584" s="448"/>
      <c r="AG584" s="448"/>
      <c r="AH584" s="448"/>
      <c r="AI584" s="448"/>
      <c r="AJ584" s="448"/>
      <c r="AK584" s="448"/>
      <c r="AL584" s="448"/>
      <c r="AM584" s="448"/>
      <c r="AN584" s="448"/>
      <c r="AO584" s="448"/>
      <c r="AP584" s="860"/>
      <c r="AQ584" s="448">
        <v>24</v>
      </c>
      <c r="AR584" s="448">
        <v>6</v>
      </c>
      <c r="AS584" s="423"/>
      <c r="AT584" s="448"/>
      <c r="AU584" s="448"/>
      <c r="AV584" s="448"/>
      <c r="AW584" s="448"/>
      <c r="AX584" s="448"/>
      <c r="AY584" s="425" t="s">
        <v>140</v>
      </c>
      <c r="AZ584" s="860" t="s">
        <v>140</v>
      </c>
      <c r="BA584" s="448"/>
      <c r="BB584" s="448"/>
      <c r="BC584" s="448"/>
      <c r="BD584" s="448"/>
      <c r="BE584" s="448"/>
      <c r="BF584" s="425"/>
      <c r="BG584" s="448">
        <v>20</v>
      </c>
      <c r="BH584" s="448"/>
      <c r="BI584" s="448">
        <v>2</v>
      </c>
      <c r="BJ584" s="448"/>
      <c r="BK584" s="448"/>
      <c r="BL584" s="448"/>
      <c r="BM584" s="448"/>
      <c r="BN584" s="448"/>
      <c r="BO584" s="448"/>
      <c r="BP584" s="425" t="s">
        <v>41</v>
      </c>
      <c r="BQ584" s="424"/>
      <c r="BR584" s="423"/>
      <c r="BS584" s="425"/>
      <c r="BT584" s="423"/>
      <c r="BU584" s="423"/>
      <c r="BV584" s="425"/>
      <c r="BW584" s="423"/>
      <c r="BX584" s="448"/>
      <c r="BY584" s="448"/>
      <c r="BZ584" s="448"/>
      <c r="CA584" s="448"/>
      <c r="CB584" s="448"/>
      <c r="CC584" s="777"/>
      <c r="CD584" s="448"/>
      <c r="CE584" s="631" t="str">
        <f>IFERROR(WWWW[[#This Row],['#_Water sources passed]]/WWWW[[#This Row],['#_Water sources tested for fecal coliform ]],"no test")</f>
        <v>no test</v>
      </c>
      <c r="CF584" s="423" t="str">
        <f>IFERROR(WWWW[[#This Row],['#_Household passed]]/WWWW[[#This Row],['#_Household water samples tested for fecal coliform]],"no test")</f>
        <v>no test</v>
      </c>
      <c r="CG584" s="424" t="str">
        <f>IF(AND(WWWW[[#This Row],[% of water sources passed]]="no test",WWWW[[#This Row],[% Household passed]]="no test"),"No Test","Tested")</f>
        <v>No Test</v>
      </c>
      <c r="CH584" s="424">
        <f>WWWW[[#This Row],['#_Constructed/existing protected hand dug well]]-WWWW[[#This Row],['#_Non-functional protected hand dug well]]</f>
        <v>0</v>
      </c>
      <c r="CI584" s="424">
        <f>(WWWW[[#This Row],['#_Constructed/Existing tube wells/boreholes/handpumps_WASH_agency]]+WWWW[[#This Row],['#_Non-Cluster partner water tube-wells/boreholes/handpumps]])-WWWW[[#This Row],['#_Non-functional tube wells/boreholes/handpumps]]</f>
        <v>2</v>
      </c>
      <c r="CJ584" s="424">
        <f>WWWW[[#This Row],['#_Constructed/Existingwater storage tank with gravity fed reticulation system]]-WWWW[[#This Row],['#_Non-functional storage tank gravity fed reticulation system]]</f>
        <v>0</v>
      </c>
      <c r="CK584" s="424">
        <f>(WWWW[[#This Row],['#_Water_Liters_supplied_by_Water boating or water trucking]]/90)/15</f>
        <v>0</v>
      </c>
      <c r="CL584" s="424">
        <f>WWWW[[#This Row],['#_Water_Liters_from_Constructed/Existing water distribution system from river or natural spring]]/90/15</f>
        <v>0</v>
      </c>
      <c r="CM584" s="424">
        <f>IF(WWWW[[#This Row],['#_of water points in TLS/CFS]]*500&gt;WWWW[[#This Row],[Total PoP ]],WWWW[[#This Row],[Total PoP ]],WWWW[[#This Row],['#_of water points in TLS/CFS]]*500)</f>
        <v>0</v>
      </c>
      <c r="CN584" s="424">
        <f>IF(WWWW[[#This Row],['#_of water points in THF]]*500&gt;WWWW[[#This Row],[Total PoP ]],WWWW[[#This Row],[Total PoP ]],WWWW[[#This Row],['#_of water points in THF]]*500)</f>
        <v>0</v>
      </c>
      <c r="CO584"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84"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84" s="423">
        <f>IF(WWWW[[#This Row],[Location Type 1]]="Village",WWWW[[#This Row],[Access to safe drinking water for Village]],WWWW[[#This Row],[Access to safe drinking water for Camp]])</f>
        <v>1</v>
      </c>
      <c r="CR584" s="428">
        <f>WWWW[[#This Row],[%Equitable and continuous access to sufficient quantity of safe drinking water]]*WWWW[[#This Row],[Total PoP ]]</f>
        <v>179</v>
      </c>
      <c r="CS584" s="423">
        <f>IF((WWWW[[#This Row],['#_Constructed/Existing protected/fenced ponds]]*250)/WWWW[[#This Row],[Total PoP ]]&gt;1,1,(WWWW[[#This Row],['#_Constructed/Existing protected/fenced ponds]]*250)/WWWW[[#This Row],[Total PoP ]])</f>
        <v>0</v>
      </c>
      <c r="CT584" s="428">
        <f>WWWW[[#This Row],[% Access to unimproved water points]]*WWWW[[#This Row],[Total PoP ]]</f>
        <v>0</v>
      </c>
      <c r="CU584"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84"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179</v>
      </c>
      <c r="CW584" s="428">
        <f>WWWW[[#This Row],[HRP1]]/500</f>
        <v>0.35799999999999998</v>
      </c>
      <c r="CX584" s="898">
        <f>1-WWWW[[#This Row],[% Equitable and continuous access to sufficient quantity of domestic water]]</f>
        <v>0</v>
      </c>
      <c r="CY584" s="428">
        <f>WWWW[[#This Row],[%equitable and continuous access to sufficient quantity of safe drinking and domestic water''s GAP]]*WWWW[[#This Row],[Total PoP ]]</f>
        <v>0</v>
      </c>
      <c r="CZ584" s="424">
        <f>IF(WWWW[[#This Row],[Total required water points]]-WWWW[[#This Row],['#Water points coverage]]&lt;0,0,WWWW[[#This Row],[Total required water points]]-WWWW[[#This Row],['#Water points coverage]])</f>
        <v>0.64200000000000002</v>
      </c>
      <c r="DA584" s="424">
        <f>ROUND(IF(WWWW[[#This Row],[Total PoP ]]&lt;500,1,WWWW[[#This Row],[Total PoP ]]/500),0)</f>
        <v>1</v>
      </c>
      <c r="DB584" s="424">
        <f>(WWWW[[#This Row],['#_Constructed latrines_by_WASHAgencies]]+WWWW[[#This Row],['#_Non Cluster partner latrines]])-WWWW[[#This Row],['#_Non-functional latrines]]</f>
        <v>30</v>
      </c>
      <c r="DC584" s="631">
        <f>WWWW[[#This Row],[HRP2]]/WWWW[[#This Row],[Total PoP ]]</f>
        <v>1</v>
      </c>
      <c r="DD584"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179</v>
      </c>
      <c r="DE584"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84"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4" s="424">
        <f>IF(WWWW[[#This Row],['# of functional latrines in THF supported by WASH partners during the reporting period2]]="",0,WWWW[[#This Row],['# of functional latrines in THF supported by WASH partners during the reporting period2]]*50)</f>
        <v>0</v>
      </c>
      <c r="DH584" s="424">
        <f>ROUND(IF(WWWW[[#This Row],[Location Type 1]]="camp",WWWW[[#This Row],[Total PoP ]]/20,IF(WWWW[[#This Row],[Location Type 1]]="Temporary Location",WWWW[[#This Row],[Total PoP ]]/50,(WWWW[[#This Row],[Total PoP ]]/6))),0)</f>
        <v>9</v>
      </c>
      <c r="DI584" s="424">
        <f>IF(WWWW[[#This Row],[Total required Latrines]]-(WWWW[[#This Row],['#_Constructed latrines_by_WASHAgencies]]+WWWW[[#This Row],['#_Non Cluster partner latrines]])&lt;0,0,WWWW[[#This Row],[Total required Latrines]]-(WWWW[[#This Row],['#_Constructed latrines_by_WASHAgencies]]+WWWW[[#This Row],['#_Non Cluster partner latrines]]))</f>
        <v>0</v>
      </c>
      <c r="DJ584" s="898">
        <f>1-WWWW[[#This Row],[% people access to functioning Latrine]]</f>
        <v>0</v>
      </c>
      <c r="DK584" s="631">
        <f>IF(OR(WWWW[[#This Row],['#_Non-functional latrines]]="",WWWW[[#This Row],['#_Non-functional latrines]]=0),0,WWWW[[#This Row],['#_Non-functional latrines]]/(WWWW[[#This Row],['#_Constructed latrines_by_WASHAgencies]]+WWWW[[#This Row],['#_Non Cluster partner latrines]]))</f>
        <v>0</v>
      </c>
      <c r="DL584" s="428">
        <f>IF(500*(WWWW[[#This Row],['#_male hygiene promoters]]+WWWW[[#This Row],['#_female hygiene promoters]])&gt;WWWW[[#This Row],[Total PoP ]],WWWW[[#This Row],[Total PoP ]],500*(WWWW[[#This Row],['#_male hygiene promoters]]+WWWW[[#This Row],['#_female hygiene promoters]]))</f>
        <v>0</v>
      </c>
      <c r="DM584"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84"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84" s="424">
        <f>IF(WWWW[[#This Row],['# People with access to soap]]&gt;WWWW[[#This Row],['# People with access to Sanity Pads]],WWWW[[#This Row],['# People with access to soap]],WWWW[[#This Row],['# People with access to Sanity Pads]])</f>
        <v>0</v>
      </c>
      <c r="DP584"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84" s="898">
        <f>IF(WWWW[[#This Row],[HRP3]]/WWWW[[#This Row],[Total PoP ]]&gt;1,1,WWWW[[#This Row],[HRP3]]/WWWW[[#This Row],[Total PoP ]])</f>
        <v>0</v>
      </c>
      <c r="DR584" s="631">
        <f>1-WWWW[[#This Row],[Hygiene Coverage%]]</f>
        <v>1</v>
      </c>
      <c r="DS584" s="423">
        <f>WWWW[[#This Row],['# people reached by regular dedicated hygiene promotion_5]]/WWWW[[#This Row],[Total PoP ]]</f>
        <v>0</v>
      </c>
      <c r="DT584"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84"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84" s="424">
        <f>WWWW[[#This Row],['#_Constructed/Existing hand washing stations]]-WWWW[[#This Row],['#_Non-Functional_hand_washing_stations]]</f>
        <v>20</v>
      </c>
      <c r="DW584" s="428">
        <f>IF(WWWW[[#This Row],['# Functional hand washing stations during reporting period]]*20&gt;WWWW[[#This Row],[Total HH]],WWWW[[#This Row],[Total HH]],WWWW[[#This Row],['# Functional hand washing stations during reporting period]]*20)</f>
        <v>54</v>
      </c>
      <c r="DX584" s="428">
        <f>IF(WWWW[[#This Row],[Is sufficient soap available for TLS? (Yes/No)]]="yes",WWWW[[#This Row],['#_Constructed/Existing hand washing stations at TLS/CFS/THF]],0)</f>
        <v>0</v>
      </c>
      <c r="DY584" s="428">
        <f>IF(WWWW[[#This Row],['# Functional hand washing stations during reporting period]]*100&gt;WWWW[[#This Row],[Total PoP ]],WWWW[[#This Row],[Total PoP ]],WWWW[[#This Row],['# Functional hand washing stations during reporting period]]*100)</f>
        <v>179</v>
      </c>
      <c r="DZ584" s="428" t="str">
        <f>IF(OR(WWWW[[#This Row],['#_students at TLS_CFS]]="",WWWW[[#This Row],['#_students at TLS_CFS]]=0),"No","Yes")</f>
        <v>No</v>
      </c>
      <c r="EA584"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84"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4"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84"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4" s="425">
        <f>VLOOKUP(WWWW[[#This Row],[Site Name]],SiteDB6[[Site Name]:[CCCM Management]],6,FALSE)</f>
        <v>0</v>
      </c>
      <c r="EF584" s="425">
        <f>VLOOKUP(WWWW[[#This Row],[Site Name]],SiteDB6[[Site Name]:[CCCM Focal Agency]],7,FALSE)</f>
        <v>0</v>
      </c>
      <c r="EG584" s="425" t="str">
        <f>VLOOKUP(WWWW[[#This Row],[Site Name]],SiteDB6[[Site Name]:[Location Type 1]],9,FALSE)</f>
        <v>Camp</v>
      </c>
      <c r="EH584" s="425" t="str">
        <f>VLOOKUP(WWWW[[#This Row],[Site Name]],SiteDB6[[Site Name]:[Type of Accommodation]],10,FALSE)</f>
        <v>Camp like setting</v>
      </c>
      <c r="EI584" s="425" t="str">
        <f>VLOOKUP(WWWW[[#This Row],[Site Name]],SiteDB6[[Site Name]:[Ethnic or GCA/NGCA]],11,FALSE)</f>
        <v>GCA</v>
      </c>
      <c r="EJ584" s="425">
        <f>VLOOKUP(WWWW[[#This Row],[Site Name]],SiteDB6[[Site Name]:[Lat]],12,FALSE)</f>
        <v>0</v>
      </c>
      <c r="EK584" s="425">
        <f>VLOOKUP(WWWW[[#This Row],[Site Name]],SiteDB6[[Site Name]:[Long]],13,FALSE)</f>
        <v>0</v>
      </c>
      <c r="EL584" s="425" t="str">
        <f>VLOOKUP(WWWW[[#This Row],[Site Name]],SiteDB6[[Site Name]:[Pcode]],3,FALSE)</f>
        <v>MMR015CMP080</v>
      </c>
      <c r="EM584" s="860" t="str">
        <f t="shared" si="12"/>
        <v>Covered</v>
      </c>
      <c r="EN584" s="860"/>
      <c r="EO584" s="425">
        <f>VLOOKUP(WWWW[[#This Row],[Site Name]],SiteDB6[[Site Name]:[Pop
(Kachin/Shan-CCCM as of July 2021)]],16,FALSE)</f>
        <v>54</v>
      </c>
      <c r="EP584" s="425">
        <f>VLOOKUP(WWWW[[#This Row],[Site Name]],SiteDB6[[Site Name]:[Pop
(Kachin/Shan-CCCM as of July 2021)]],17,FALSE)</f>
        <v>179</v>
      </c>
    </row>
    <row r="585" spans="1:146">
      <c r="A585" s="707" t="s">
        <v>2765</v>
      </c>
      <c r="B585" s="707" t="s">
        <v>192</v>
      </c>
      <c r="C585" s="369" t="s">
        <v>192</v>
      </c>
      <c r="D585" s="369" t="s">
        <v>241</v>
      </c>
      <c r="E585" s="369" t="s">
        <v>515</v>
      </c>
      <c r="F585" s="369" t="s">
        <v>960</v>
      </c>
      <c r="G585" s="591" t="str">
        <f>VLOOKUP(WWWW[[#This Row],[Site Name]],SiteDB6[[Site Name]:[Location Type]],8,FALSE)</f>
        <v>Camp</v>
      </c>
      <c r="H585" s="369" t="s">
        <v>2986</v>
      </c>
      <c r="I585" s="448">
        <v>12</v>
      </c>
      <c r="J585" s="448">
        <v>26</v>
      </c>
      <c r="K585" s="800">
        <v>44511</v>
      </c>
      <c r="L585" s="56">
        <v>44875</v>
      </c>
      <c r="M585" s="448"/>
      <c r="N585" s="448"/>
      <c r="O585" s="448"/>
      <c r="P585" s="448"/>
      <c r="Q585" s="428"/>
      <c r="R585" s="448"/>
      <c r="S585" s="448"/>
      <c r="T585" s="448"/>
      <c r="U585" s="448"/>
      <c r="V585" s="448"/>
      <c r="W585" s="448"/>
      <c r="X585" s="448">
        <v>1</v>
      </c>
      <c r="Y585" s="448"/>
      <c r="Z585" s="448"/>
      <c r="AA585" s="448"/>
      <c r="AB585" s="448"/>
      <c r="AC585" s="448"/>
      <c r="AD585" s="448"/>
      <c r="AE585" s="448"/>
      <c r="AF585" s="448"/>
      <c r="AG585" s="448"/>
      <c r="AH585" s="448"/>
      <c r="AI585" s="448"/>
      <c r="AJ585" s="448"/>
      <c r="AK585" s="448"/>
      <c r="AL585" s="448"/>
      <c r="AM585" s="448"/>
      <c r="AN585" s="448"/>
      <c r="AO585" s="448"/>
      <c r="AP585" s="860"/>
      <c r="AQ585" s="448">
        <v>2</v>
      </c>
      <c r="AR585" s="448"/>
      <c r="AS585" s="423"/>
      <c r="AT585" s="448"/>
      <c r="AU585" s="448"/>
      <c r="AV585" s="448"/>
      <c r="AW585" s="448"/>
      <c r="AX585" s="448"/>
      <c r="AY585" s="425" t="s">
        <v>140</v>
      </c>
      <c r="AZ585" s="860" t="s">
        <v>140</v>
      </c>
      <c r="BA585" s="448"/>
      <c r="BB585" s="448"/>
      <c r="BC585" s="448"/>
      <c r="BD585" s="448"/>
      <c r="BE585" s="448"/>
      <c r="BF585" s="425"/>
      <c r="BG585" s="448">
        <v>4</v>
      </c>
      <c r="BH585" s="448"/>
      <c r="BI585" s="448"/>
      <c r="BJ585" s="448"/>
      <c r="BK585" s="448"/>
      <c r="BL585" s="448"/>
      <c r="BM585" s="448"/>
      <c r="BN585" s="448"/>
      <c r="BO585" s="448"/>
      <c r="BP585" s="425" t="s">
        <v>41</v>
      </c>
      <c r="BQ585" s="424"/>
      <c r="BR585" s="423"/>
      <c r="BS585" s="425"/>
      <c r="BT585" s="423"/>
      <c r="BU585" s="423"/>
      <c r="BV585" s="425"/>
      <c r="BW585" s="423"/>
      <c r="BX585" s="448"/>
      <c r="BY585" s="448"/>
      <c r="BZ585" s="448"/>
      <c r="CA585" s="448"/>
      <c r="CB585" s="448"/>
      <c r="CC585" s="777"/>
      <c r="CD585" s="448"/>
      <c r="CE585" s="631" t="str">
        <f>IFERROR(WWWW[[#This Row],['#_Water sources passed]]/WWWW[[#This Row],['#_Water sources tested for fecal coliform ]],"no test")</f>
        <v>no test</v>
      </c>
      <c r="CF585" s="423" t="str">
        <f>IFERROR(WWWW[[#This Row],['#_Household passed]]/WWWW[[#This Row],['#_Household water samples tested for fecal coliform]],"no test")</f>
        <v>no test</v>
      </c>
      <c r="CG585" s="424" t="str">
        <f>IF(AND(WWWW[[#This Row],[% of water sources passed]]="no test",WWWW[[#This Row],[% Household passed]]="no test"),"No Test","Tested")</f>
        <v>No Test</v>
      </c>
      <c r="CH585" s="424">
        <f>WWWW[[#This Row],['#_Constructed/existing protected hand dug well]]-WWWW[[#This Row],['#_Non-functional protected hand dug well]]</f>
        <v>0</v>
      </c>
      <c r="CI585" s="424">
        <f>(WWWW[[#This Row],['#_Constructed/Existing tube wells/boreholes/handpumps_WASH_agency]]+WWWW[[#This Row],['#_Non-Cluster partner water tube-wells/boreholes/handpumps]])-WWWW[[#This Row],['#_Non-functional tube wells/boreholes/handpumps]]</f>
        <v>1</v>
      </c>
      <c r="CJ585" s="424">
        <f>WWWW[[#This Row],['#_Constructed/Existingwater storage tank with gravity fed reticulation system]]-WWWW[[#This Row],['#_Non-functional storage tank gravity fed reticulation system]]</f>
        <v>0</v>
      </c>
      <c r="CK585" s="424">
        <f>(WWWW[[#This Row],['#_Water_Liters_supplied_by_Water boating or water trucking]]/90)/15</f>
        <v>0</v>
      </c>
      <c r="CL585" s="424">
        <f>WWWW[[#This Row],['#_Water_Liters_from_Constructed/Existing water distribution system from river or natural spring]]/90/15</f>
        <v>0</v>
      </c>
      <c r="CM585" s="424">
        <f>IF(WWWW[[#This Row],['#_of water points in TLS/CFS]]*500&gt;WWWW[[#This Row],[Total PoP ]],WWWW[[#This Row],[Total PoP ]],WWWW[[#This Row],['#_of water points in TLS/CFS]]*500)</f>
        <v>0</v>
      </c>
      <c r="CN585" s="424">
        <f>IF(WWWW[[#This Row],['#_of water points in THF]]*500&gt;WWWW[[#This Row],[Total PoP ]],WWWW[[#This Row],[Total PoP ]],WWWW[[#This Row],['#_of water points in THF]]*500)</f>
        <v>0</v>
      </c>
      <c r="CO585"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85"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85" s="423">
        <f>IF(WWWW[[#This Row],[Location Type 1]]="Village",WWWW[[#This Row],[Access to safe drinking water for Village]],WWWW[[#This Row],[Access to safe drinking water for Camp]])</f>
        <v>1</v>
      </c>
      <c r="CR585" s="428">
        <f>WWWW[[#This Row],[%Equitable and continuous access to sufficient quantity of safe drinking water]]*WWWW[[#This Row],[Total PoP ]]</f>
        <v>26</v>
      </c>
      <c r="CS585" s="423">
        <f>IF((WWWW[[#This Row],['#_Constructed/Existing protected/fenced ponds]]*250)/WWWW[[#This Row],[Total PoP ]]&gt;1,1,(WWWW[[#This Row],['#_Constructed/Existing protected/fenced ponds]]*250)/WWWW[[#This Row],[Total PoP ]])</f>
        <v>0</v>
      </c>
      <c r="CT585" s="428">
        <f>WWWW[[#This Row],[% Access to unimproved water points]]*WWWW[[#This Row],[Total PoP ]]</f>
        <v>0</v>
      </c>
      <c r="CU585"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85"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v>
      </c>
      <c r="CW585" s="428">
        <f>WWWW[[#This Row],[HRP1]]/500</f>
        <v>5.1999999999999998E-2</v>
      </c>
      <c r="CX585" s="898">
        <f>1-WWWW[[#This Row],[% Equitable and continuous access to sufficient quantity of domestic water]]</f>
        <v>0</v>
      </c>
      <c r="CY585" s="428">
        <f>WWWW[[#This Row],[%equitable and continuous access to sufficient quantity of safe drinking and domestic water''s GAP]]*WWWW[[#This Row],[Total PoP ]]</f>
        <v>0</v>
      </c>
      <c r="CZ585" s="424">
        <f>IF(WWWW[[#This Row],[Total required water points]]-WWWW[[#This Row],['#Water points coverage]]&lt;0,0,WWWW[[#This Row],[Total required water points]]-WWWW[[#This Row],['#Water points coverage]])</f>
        <v>0.94799999999999995</v>
      </c>
      <c r="DA585" s="424">
        <f>ROUND(IF(WWWW[[#This Row],[Total PoP ]]&lt;500,1,WWWW[[#This Row],[Total PoP ]]/500),0)</f>
        <v>1</v>
      </c>
      <c r="DB585" s="424">
        <f>(WWWW[[#This Row],['#_Constructed latrines_by_WASHAgencies]]+WWWW[[#This Row],['#_Non Cluster partner latrines]])-WWWW[[#This Row],['#_Non-functional latrines]]</f>
        <v>2</v>
      </c>
      <c r="DC585" s="631">
        <f>WWWW[[#This Row],[HRP2]]/WWWW[[#This Row],[Total PoP ]]</f>
        <v>1</v>
      </c>
      <c r="DD585"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v>
      </c>
      <c r="DE585"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85"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5" s="424">
        <f>IF(WWWW[[#This Row],['# of functional latrines in THF supported by WASH partners during the reporting period2]]="",0,WWWW[[#This Row],['# of functional latrines in THF supported by WASH partners during the reporting period2]]*50)</f>
        <v>0</v>
      </c>
      <c r="DH585" s="424">
        <f>ROUND(IF(WWWW[[#This Row],[Location Type 1]]="camp",WWWW[[#This Row],[Total PoP ]]/20,IF(WWWW[[#This Row],[Location Type 1]]="Temporary Location",WWWW[[#This Row],[Total PoP ]]/50,(WWWW[[#This Row],[Total PoP ]]/6))),0)</f>
        <v>1</v>
      </c>
      <c r="DI585" s="424">
        <f>IF(WWWW[[#This Row],[Total required Latrines]]-(WWWW[[#This Row],['#_Constructed latrines_by_WASHAgencies]]+WWWW[[#This Row],['#_Non Cluster partner latrines]])&lt;0,0,WWWW[[#This Row],[Total required Latrines]]-(WWWW[[#This Row],['#_Constructed latrines_by_WASHAgencies]]+WWWW[[#This Row],['#_Non Cluster partner latrines]]))</f>
        <v>0</v>
      </c>
      <c r="DJ585" s="898">
        <f>1-WWWW[[#This Row],[% people access to functioning Latrine]]</f>
        <v>0</v>
      </c>
      <c r="DK585" s="631">
        <f>IF(OR(WWWW[[#This Row],['#_Non-functional latrines]]="",WWWW[[#This Row],['#_Non-functional latrines]]=0),0,WWWW[[#This Row],['#_Non-functional latrines]]/(WWWW[[#This Row],['#_Constructed latrines_by_WASHAgencies]]+WWWW[[#This Row],['#_Non Cluster partner latrines]]))</f>
        <v>0</v>
      </c>
      <c r="DL585" s="428">
        <f>IF(500*(WWWW[[#This Row],['#_male hygiene promoters]]+WWWW[[#This Row],['#_female hygiene promoters]])&gt;WWWW[[#This Row],[Total PoP ]],WWWW[[#This Row],[Total PoP ]],500*(WWWW[[#This Row],['#_male hygiene promoters]]+WWWW[[#This Row],['#_female hygiene promoters]]))</f>
        <v>0</v>
      </c>
      <c r="DM585"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85"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85" s="424">
        <f>IF(WWWW[[#This Row],['# People with access to soap]]&gt;WWWW[[#This Row],['# People with access to Sanity Pads]],WWWW[[#This Row],['# People with access to soap]],WWWW[[#This Row],['# People with access to Sanity Pads]])</f>
        <v>0</v>
      </c>
      <c r="DP585"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85" s="898">
        <f>IF(WWWW[[#This Row],[HRP3]]/WWWW[[#This Row],[Total PoP ]]&gt;1,1,WWWW[[#This Row],[HRP3]]/WWWW[[#This Row],[Total PoP ]])</f>
        <v>0</v>
      </c>
      <c r="DR585" s="631">
        <f>1-WWWW[[#This Row],[Hygiene Coverage%]]</f>
        <v>1</v>
      </c>
      <c r="DS585" s="423">
        <f>WWWW[[#This Row],['# people reached by regular dedicated hygiene promotion_5]]/WWWW[[#This Row],[Total PoP ]]</f>
        <v>0</v>
      </c>
      <c r="DT585"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85"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85" s="424">
        <f>WWWW[[#This Row],['#_Constructed/Existing hand washing stations]]-WWWW[[#This Row],['#_Non-Functional_hand_washing_stations]]</f>
        <v>4</v>
      </c>
      <c r="DW585" s="428">
        <f>IF(WWWW[[#This Row],['# Functional hand washing stations during reporting period]]*20&gt;WWWW[[#This Row],[Total HH]],WWWW[[#This Row],[Total HH]],WWWW[[#This Row],['# Functional hand washing stations during reporting period]]*20)</f>
        <v>12</v>
      </c>
      <c r="DX585" s="428">
        <f>IF(WWWW[[#This Row],[Is sufficient soap available for TLS? (Yes/No)]]="yes",WWWW[[#This Row],['#_Constructed/Existing hand washing stations at TLS/CFS/THF]],0)</f>
        <v>0</v>
      </c>
      <c r="DY585" s="428">
        <f>IF(WWWW[[#This Row],['# Functional hand washing stations during reporting period]]*100&gt;WWWW[[#This Row],[Total PoP ]],WWWW[[#This Row],[Total PoP ]],WWWW[[#This Row],['# Functional hand washing stations during reporting period]]*100)</f>
        <v>26</v>
      </c>
      <c r="DZ585" s="428" t="str">
        <f>IF(OR(WWWW[[#This Row],['#_students at TLS_CFS]]="",WWWW[[#This Row],['#_students at TLS_CFS]]=0),"No","Yes")</f>
        <v>No</v>
      </c>
      <c r="EA585"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85"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5"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85"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5" s="425">
        <f>VLOOKUP(WWWW[[#This Row],[Site Name]],SiteDB6[[Site Name]:[CCCM Management]],6,FALSE)</f>
        <v>0</v>
      </c>
      <c r="EF585" s="425">
        <f>VLOOKUP(WWWW[[#This Row],[Site Name]],SiteDB6[[Site Name]:[CCCM Focal Agency]],7,FALSE)</f>
        <v>0</v>
      </c>
      <c r="EG585" s="425" t="str">
        <f>VLOOKUP(WWWW[[#This Row],[Site Name]],SiteDB6[[Site Name]:[Location Type 1]],9,FALSE)</f>
        <v>Camp</v>
      </c>
      <c r="EH585" s="425" t="str">
        <f>VLOOKUP(WWWW[[#This Row],[Site Name]],SiteDB6[[Site Name]:[Type of Accommodation]],10,FALSE)</f>
        <v>Camp like setting</v>
      </c>
      <c r="EI585" s="425" t="str">
        <f>VLOOKUP(WWWW[[#This Row],[Site Name]],SiteDB6[[Site Name]:[Ethnic or GCA/NGCA]],11,FALSE)</f>
        <v>GCA</v>
      </c>
      <c r="EJ585" s="425">
        <f>VLOOKUP(WWWW[[#This Row],[Site Name]],SiteDB6[[Site Name]:[Lat]],12,FALSE)</f>
        <v>0</v>
      </c>
      <c r="EK585" s="425">
        <f>VLOOKUP(WWWW[[#This Row],[Site Name]],SiteDB6[[Site Name]:[Long]],13,FALSE)</f>
        <v>0</v>
      </c>
      <c r="EL585" s="425" t="str">
        <f>VLOOKUP(WWWW[[#This Row],[Site Name]],SiteDB6[[Site Name]:[Pcode]],3,FALSE)</f>
        <v>MMR015CMP081</v>
      </c>
      <c r="EM585" s="860" t="str">
        <f t="shared" si="12"/>
        <v>Covered</v>
      </c>
      <c r="EN585" s="860"/>
      <c r="EO585" s="425">
        <f>VLOOKUP(WWWW[[#This Row],[Site Name]],SiteDB6[[Site Name]:[Pop
(Kachin/Shan-CCCM as of July 2021)]],16,FALSE)</f>
        <v>12</v>
      </c>
      <c r="EP585" s="425">
        <f>VLOOKUP(WWWW[[#This Row],[Site Name]],SiteDB6[[Site Name]:[Pop
(Kachin/Shan-CCCM as of July 2021)]],17,FALSE)</f>
        <v>47</v>
      </c>
    </row>
    <row r="586" spans="1:146">
      <c r="A586" s="707" t="s">
        <v>2765</v>
      </c>
      <c r="B586" s="707" t="s">
        <v>192</v>
      </c>
      <c r="C586" s="369" t="s">
        <v>192</v>
      </c>
      <c r="D586" s="369" t="s">
        <v>241</v>
      </c>
      <c r="E586" s="369" t="s">
        <v>515</v>
      </c>
      <c r="F586" s="369" t="s">
        <v>525</v>
      </c>
      <c r="G586" s="591" t="str">
        <f>VLOOKUP(WWWW[[#This Row],[Site Name]],SiteDB6[[Site Name]:[Location Type]],8,FALSE)</f>
        <v>Camp</v>
      </c>
      <c r="H586" s="369" t="s">
        <v>2987</v>
      </c>
      <c r="I586" s="448">
        <v>31</v>
      </c>
      <c r="J586" s="448">
        <v>155</v>
      </c>
      <c r="K586" s="800">
        <v>44511</v>
      </c>
      <c r="L586" s="56">
        <v>44875</v>
      </c>
      <c r="M586" s="448"/>
      <c r="N586" s="448"/>
      <c r="O586" s="448"/>
      <c r="P586" s="448"/>
      <c r="Q586" s="428"/>
      <c r="R586" s="448"/>
      <c r="S586" s="448"/>
      <c r="T586" s="448"/>
      <c r="U586" s="448"/>
      <c r="V586" s="448"/>
      <c r="W586" s="448"/>
      <c r="X586" s="448"/>
      <c r="Y586" s="448"/>
      <c r="Z586" s="448"/>
      <c r="AA586" s="448"/>
      <c r="AB586" s="448"/>
      <c r="AC586" s="448"/>
      <c r="AD586" s="448"/>
      <c r="AE586" s="448"/>
      <c r="AF586" s="448"/>
      <c r="AG586" s="448"/>
      <c r="AH586" s="448"/>
      <c r="AI586" s="448"/>
      <c r="AJ586" s="448"/>
      <c r="AK586" s="448"/>
      <c r="AL586" s="448"/>
      <c r="AM586" s="448"/>
      <c r="AN586" s="448"/>
      <c r="AO586" s="448"/>
      <c r="AP586" s="860"/>
      <c r="AQ586" s="448"/>
      <c r="AR586" s="448"/>
      <c r="AS586" s="423"/>
      <c r="AT586" s="448"/>
      <c r="AU586" s="448"/>
      <c r="AV586" s="448"/>
      <c r="AW586" s="448"/>
      <c r="AX586" s="448"/>
      <c r="AY586" s="425" t="s">
        <v>140</v>
      </c>
      <c r="AZ586" s="860" t="s">
        <v>140</v>
      </c>
      <c r="BA586" s="448"/>
      <c r="BB586" s="448"/>
      <c r="BC586" s="448"/>
      <c r="BD586" s="448"/>
      <c r="BE586" s="448"/>
      <c r="BF586" s="425"/>
      <c r="BG586" s="448"/>
      <c r="BH586" s="448"/>
      <c r="BI586" s="448"/>
      <c r="BJ586" s="448"/>
      <c r="BK586" s="448"/>
      <c r="BL586" s="448"/>
      <c r="BM586" s="448"/>
      <c r="BN586" s="448"/>
      <c r="BO586" s="448"/>
      <c r="BP586" s="425" t="s">
        <v>41</v>
      </c>
      <c r="BQ586" s="424"/>
      <c r="BR586" s="423"/>
      <c r="BS586" s="425"/>
      <c r="BT586" s="423"/>
      <c r="BU586" s="423"/>
      <c r="BV586" s="425"/>
      <c r="BW586" s="423"/>
      <c r="BX586" s="448"/>
      <c r="BY586" s="448"/>
      <c r="BZ586" s="448"/>
      <c r="CA586" s="448"/>
      <c r="CB586" s="448"/>
      <c r="CC586" s="777"/>
      <c r="CD586" s="448"/>
      <c r="CE586" s="631" t="str">
        <f>IFERROR(WWWW[[#This Row],['#_Water sources passed]]/WWWW[[#This Row],['#_Water sources tested for fecal coliform ]],"no test")</f>
        <v>no test</v>
      </c>
      <c r="CF586" s="423" t="str">
        <f>IFERROR(WWWW[[#This Row],['#_Household passed]]/WWWW[[#This Row],['#_Household water samples tested for fecal coliform]],"no test")</f>
        <v>no test</v>
      </c>
      <c r="CG586" s="424" t="str">
        <f>IF(AND(WWWW[[#This Row],[% of water sources passed]]="no test",WWWW[[#This Row],[% Household passed]]="no test"),"No Test","Tested")</f>
        <v>No Test</v>
      </c>
      <c r="CH586" s="424">
        <f>WWWW[[#This Row],['#_Constructed/existing protected hand dug well]]-WWWW[[#This Row],['#_Non-functional protected hand dug well]]</f>
        <v>0</v>
      </c>
      <c r="CI586" s="424">
        <f>(WWWW[[#This Row],['#_Constructed/Existing tube wells/boreholes/handpumps_WASH_agency]]+WWWW[[#This Row],['#_Non-Cluster partner water tube-wells/boreholes/handpumps]])-WWWW[[#This Row],['#_Non-functional tube wells/boreholes/handpumps]]</f>
        <v>0</v>
      </c>
      <c r="CJ586" s="424">
        <f>WWWW[[#This Row],['#_Constructed/Existingwater storage tank with gravity fed reticulation system]]-WWWW[[#This Row],['#_Non-functional storage tank gravity fed reticulation system]]</f>
        <v>0</v>
      </c>
      <c r="CK586" s="424">
        <f>(WWWW[[#This Row],['#_Water_Liters_supplied_by_Water boating or water trucking]]/90)/15</f>
        <v>0</v>
      </c>
      <c r="CL586" s="424">
        <f>WWWW[[#This Row],['#_Water_Liters_from_Constructed/Existing water distribution system from river or natural spring]]/90/15</f>
        <v>0</v>
      </c>
      <c r="CM586" s="424">
        <f>IF(WWWW[[#This Row],['#_of water points in TLS/CFS]]*500&gt;WWWW[[#This Row],[Total PoP ]],WWWW[[#This Row],[Total PoP ]],WWWW[[#This Row],['#_of water points in TLS/CFS]]*500)</f>
        <v>0</v>
      </c>
      <c r="CN586" s="424">
        <f>IF(WWWW[[#This Row],['#_of water points in THF]]*500&gt;WWWW[[#This Row],[Total PoP ]],WWWW[[#This Row],[Total PoP ]],WWWW[[#This Row],['#_of water points in THF]]*500)</f>
        <v>0</v>
      </c>
      <c r="CO586"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86"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86" s="423">
        <f>IF(WWWW[[#This Row],[Location Type 1]]="Village",WWWW[[#This Row],[Access to safe drinking water for Village]],WWWW[[#This Row],[Access to safe drinking water for Camp]])</f>
        <v>0</v>
      </c>
      <c r="CR586" s="428">
        <f>WWWW[[#This Row],[%Equitable and continuous access to sufficient quantity of safe drinking water]]*WWWW[[#This Row],[Total PoP ]]</f>
        <v>0</v>
      </c>
      <c r="CS586" s="423">
        <f>IF((WWWW[[#This Row],['#_Constructed/Existing protected/fenced ponds]]*250)/WWWW[[#This Row],[Total PoP ]]&gt;1,1,(WWWW[[#This Row],['#_Constructed/Existing protected/fenced ponds]]*250)/WWWW[[#This Row],[Total PoP ]])</f>
        <v>0</v>
      </c>
      <c r="CT586" s="428">
        <f>WWWW[[#This Row],[% Access to unimproved water points]]*WWWW[[#This Row],[Total PoP ]]</f>
        <v>0</v>
      </c>
      <c r="CU586"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86"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86" s="428">
        <f>WWWW[[#This Row],[HRP1]]/500</f>
        <v>0</v>
      </c>
      <c r="CX586" s="898">
        <f>1-WWWW[[#This Row],[% Equitable and continuous access to sufficient quantity of domestic water]]</f>
        <v>1</v>
      </c>
      <c r="CY586" s="428">
        <f>WWWW[[#This Row],[%equitable and continuous access to sufficient quantity of safe drinking and domestic water''s GAP]]*WWWW[[#This Row],[Total PoP ]]</f>
        <v>155</v>
      </c>
      <c r="CZ586" s="424">
        <f>IF(WWWW[[#This Row],[Total required water points]]-WWWW[[#This Row],['#Water points coverage]]&lt;0,0,WWWW[[#This Row],[Total required water points]]-WWWW[[#This Row],['#Water points coverage]])</f>
        <v>1</v>
      </c>
      <c r="DA586" s="424">
        <f>ROUND(IF(WWWW[[#This Row],[Total PoP ]]&lt;500,1,WWWW[[#This Row],[Total PoP ]]/500),0)</f>
        <v>1</v>
      </c>
      <c r="DB586" s="424">
        <f>(WWWW[[#This Row],['#_Constructed latrines_by_WASHAgencies]]+WWWW[[#This Row],['#_Non Cluster partner latrines]])-WWWW[[#This Row],['#_Non-functional latrines]]</f>
        <v>0</v>
      </c>
      <c r="DC586" s="631">
        <f>WWWW[[#This Row],[HRP2]]/WWWW[[#This Row],[Total PoP ]]</f>
        <v>0</v>
      </c>
      <c r="DD586"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586"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86"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6" s="424">
        <f>IF(WWWW[[#This Row],['# of functional latrines in THF supported by WASH partners during the reporting period2]]="",0,WWWW[[#This Row],['# of functional latrines in THF supported by WASH partners during the reporting period2]]*50)</f>
        <v>0</v>
      </c>
      <c r="DH586" s="424">
        <f>ROUND(IF(WWWW[[#This Row],[Location Type 1]]="camp",WWWW[[#This Row],[Total PoP ]]/20,IF(WWWW[[#This Row],[Location Type 1]]="Temporary Location",WWWW[[#This Row],[Total PoP ]]/50,(WWWW[[#This Row],[Total PoP ]]/6))),0)</f>
        <v>8</v>
      </c>
      <c r="DI586" s="424">
        <f>IF(WWWW[[#This Row],[Total required Latrines]]-(WWWW[[#This Row],['#_Constructed latrines_by_WASHAgencies]]+WWWW[[#This Row],['#_Non Cluster partner latrines]])&lt;0,0,WWWW[[#This Row],[Total required Latrines]]-(WWWW[[#This Row],['#_Constructed latrines_by_WASHAgencies]]+WWWW[[#This Row],['#_Non Cluster partner latrines]]))</f>
        <v>8</v>
      </c>
      <c r="DJ586" s="898">
        <f>1-WWWW[[#This Row],[% people access to functioning Latrine]]</f>
        <v>1</v>
      </c>
      <c r="DK586" s="631">
        <f>IF(OR(WWWW[[#This Row],['#_Non-functional latrines]]="",WWWW[[#This Row],['#_Non-functional latrines]]=0),0,WWWW[[#This Row],['#_Non-functional latrines]]/(WWWW[[#This Row],['#_Constructed latrines_by_WASHAgencies]]+WWWW[[#This Row],['#_Non Cluster partner latrines]]))</f>
        <v>0</v>
      </c>
      <c r="DL586" s="428">
        <f>IF(500*(WWWW[[#This Row],['#_male hygiene promoters]]+WWWW[[#This Row],['#_female hygiene promoters]])&gt;WWWW[[#This Row],[Total PoP ]],WWWW[[#This Row],[Total PoP ]],500*(WWWW[[#This Row],['#_male hygiene promoters]]+WWWW[[#This Row],['#_female hygiene promoters]]))</f>
        <v>0</v>
      </c>
      <c r="DM586"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86"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86" s="424">
        <f>IF(WWWW[[#This Row],['# People with access to soap]]&gt;WWWW[[#This Row],['# People with access to Sanity Pads]],WWWW[[#This Row],['# People with access to soap]],WWWW[[#This Row],['# People with access to Sanity Pads]])</f>
        <v>0</v>
      </c>
      <c r="DP586" s="424">
        <f>IF(WWWW[[#This Row],['# people reached by regular dedicated hygiene promotion_5]]&gt;WWWW[[#This Row],['# People received regular supply of hygiene items_6]],WWWW[[#This Row],['# people reached by regular dedicated hygiene promotion_5]],WWWW[[#This Row],['# People received regular supply of hygiene items_6]])</f>
        <v>0</v>
      </c>
      <c r="DQ586" s="898">
        <f>IF(WWWW[[#This Row],[HRP3]]/WWWW[[#This Row],[Total PoP ]]&gt;1,1,WWWW[[#This Row],[HRP3]]/WWWW[[#This Row],[Total PoP ]])</f>
        <v>0</v>
      </c>
      <c r="DR586" s="631">
        <f>1-WWWW[[#This Row],[Hygiene Coverage%]]</f>
        <v>1</v>
      </c>
      <c r="DS586" s="423">
        <f>WWWW[[#This Row],['# people reached by regular dedicated hygiene promotion_5]]/WWWW[[#This Row],[Total PoP ]]</f>
        <v>0</v>
      </c>
      <c r="DT586"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86"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86" s="424">
        <f>WWWW[[#This Row],['#_Constructed/Existing hand washing stations]]-WWWW[[#This Row],['#_Non-Functional_hand_washing_stations]]</f>
        <v>0</v>
      </c>
      <c r="DW586" s="428">
        <f>IF(WWWW[[#This Row],['# Functional hand washing stations during reporting period]]*20&gt;WWWW[[#This Row],[Total HH]],WWWW[[#This Row],[Total HH]],WWWW[[#This Row],['# Functional hand washing stations during reporting period]]*20)</f>
        <v>0</v>
      </c>
      <c r="DX586" s="428">
        <f>IF(WWWW[[#This Row],[Is sufficient soap available for TLS? (Yes/No)]]="yes",WWWW[[#This Row],['#_Constructed/Existing hand washing stations at TLS/CFS/THF]],0)</f>
        <v>0</v>
      </c>
      <c r="DY586" s="428">
        <f>IF(WWWW[[#This Row],['# Functional hand washing stations during reporting period]]*100&gt;WWWW[[#This Row],[Total PoP ]],WWWW[[#This Row],[Total PoP ]],WWWW[[#This Row],['# Functional hand washing stations during reporting period]]*100)</f>
        <v>0</v>
      </c>
      <c r="DZ586" s="428" t="str">
        <f>IF(OR(WWWW[[#This Row],['#_students at TLS_CFS]]="",WWWW[[#This Row],['#_students at TLS_CFS]]=0),"No","Yes")</f>
        <v>No</v>
      </c>
      <c r="EA586"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86"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6"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86"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6" s="425">
        <f>VLOOKUP(WWWW[[#This Row],[Site Name]],SiteDB6[[Site Name]:[CCCM Management]],6,FALSE)</f>
        <v>0</v>
      </c>
      <c r="EF586" s="425">
        <f>VLOOKUP(WWWW[[#This Row],[Site Name]],SiteDB6[[Site Name]:[CCCM Focal Agency]],7,FALSE)</f>
        <v>0</v>
      </c>
      <c r="EG586" s="425" t="str">
        <f>VLOOKUP(WWWW[[#This Row],[Site Name]],SiteDB6[[Site Name]:[Location Type 1]],9,FALSE)</f>
        <v>Camp</v>
      </c>
      <c r="EH586" s="425" t="str">
        <f>VLOOKUP(WWWW[[#This Row],[Site Name]],SiteDB6[[Site Name]:[Type of Accommodation]],10,FALSE)</f>
        <v>Camp like setting</v>
      </c>
      <c r="EI586" s="425" t="str">
        <f>VLOOKUP(WWWW[[#This Row],[Site Name]],SiteDB6[[Site Name]:[Ethnic or GCA/NGCA]],11,FALSE)</f>
        <v>GCA</v>
      </c>
      <c r="EJ586" s="425">
        <f>VLOOKUP(WWWW[[#This Row],[Site Name]],SiteDB6[[Site Name]:[Lat]],12,FALSE)</f>
        <v>0</v>
      </c>
      <c r="EK586" s="425">
        <f>VLOOKUP(WWWW[[#This Row],[Site Name]],SiteDB6[[Site Name]:[Long]],13,FALSE)</f>
        <v>0</v>
      </c>
      <c r="EL586" s="425" t="str">
        <f>VLOOKUP(WWWW[[#This Row],[Site Name]],SiteDB6[[Site Name]:[Pcode]],3,FALSE)</f>
        <v>MMR015CMP083</v>
      </c>
      <c r="EM586" s="860" t="str">
        <f t="shared" si="12"/>
        <v>Covered</v>
      </c>
      <c r="EN586" s="860"/>
      <c r="EO586" s="425">
        <f>VLOOKUP(WWWW[[#This Row],[Site Name]],SiteDB6[[Site Name]:[Pop
(Kachin/Shan-CCCM as of July 2021)]],16,FALSE)</f>
        <v>31</v>
      </c>
      <c r="EP586" s="425">
        <f>VLOOKUP(WWWW[[#This Row],[Site Name]],SiteDB6[[Site Name]:[Pop
(Kachin/Shan-CCCM as of July 2021)]],17,FALSE)</f>
        <v>155</v>
      </c>
    </row>
    <row r="587" spans="1:146">
      <c r="A587" s="1044" t="s">
        <v>2765</v>
      </c>
      <c r="B587" s="1044" t="s">
        <v>192</v>
      </c>
      <c r="C587" s="1045" t="s">
        <v>192</v>
      </c>
      <c r="D587" s="1045" t="s">
        <v>2673</v>
      </c>
      <c r="E587" s="1045" t="s">
        <v>515</v>
      </c>
      <c r="F587" s="1045" t="s">
        <v>534</v>
      </c>
      <c r="G587" s="1043" t="str">
        <f>VLOOKUP(WWWW[[#This Row],[Site Name]],SiteDB6[[Site Name]:[Location Type]],8,FALSE)</f>
        <v>Camp</v>
      </c>
      <c r="H587" s="1045" t="s">
        <v>563</v>
      </c>
      <c r="I587" s="448">
        <v>42</v>
      </c>
      <c r="J587" s="448">
        <v>195</v>
      </c>
      <c r="K587" s="800">
        <v>44511</v>
      </c>
      <c r="L587" s="56">
        <v>44875</v>
      </c>
      <c r="M587" s="448"/>
      <c r="N587" s="448"/>
      <c r="O587" s="448"/>
      <c r="P587" s="448"/>
      <c r="Q587" s="428"/>
      <c r="R587" s="448">
        <v>4</v>
      </c>
      <c r="S587" s="448">
        <v>4</v>
      </c>
      <c r="T587" s="448"/>
      <c r="U587" s="448"/>
      <c r="V587" s="448"/>
      <c r="W587" s="448">
        <v>1</v>
      </c>
      <c r="X587" s="448"/>
      <c r="Y587" s="448"/>
      <c r="Z587" s="448"/>
      <c r="AA587" s="448">
        <v>1</v>
      </c>
      <c r="AB587" s="448"/>
      <c r="AC587" s="448"/>
      <c r="AD587" s="448"/>
      <c r="AE587" s="448"/>
      <c r="AF587" s="448"/>
      <c r="AG587" s="448"/>
      <c r="AH587" s="448">
        <v>1</v>
      </c>
      <c r="AI587" s="448"/>
      <c r="AJ587" s="448"/>
      <c r="AK587" s="448"/>
      <c r="AL587" s="448"/>
      <c r="AM587" s="448">
        <v>1</v>
      </c>
      <c r="AN587" s="448"/>
      <c r="AO587" s="448"/>
      <c r="AP587" s="860"/>
      <c r="AQ587" s="448">
        <v>38</v>
      </c>
      <c r="AR587" s="448"/>
      <c r="AS587" s="423"/>
      <c r="AT587" s="448"/>
      <c r="AU587" s="448"/>
      <c r="AV587" s="448"/>
      <c r="AW587" s="448"/>
      <c r="AX587" s="448"/>
      <c r="AY587" s="425" t="s">
        <v>136</v>
      </c>
      <c r="AZ587" s="860" t="s">
        <v>136</v>
      </c>
      <c r="BA587" s="448"/>
      <c r="BB587" s="448"/>
      <c r="BC587" s="448"/>
      <c r="BD587" s="448"/>
      <c r="BE587" s="448"/>
      <c r="BF587" s="425"/>
      <c r="BG587" s="448"/>
      <c r="BH587" s="448"/>
      <c r="BI587" s="448"/>
      <c r="BJ587" s="448"/>
      <c r="BK587" s="448"/>
      <c r="BL587" s="448"/>
      <c r="BM587" s="448">
        <v>1</v>
      </c>
      <c r="BN587" s="448"/>
      <c r="BO587" s="448"/>
      <c r="BP587" s="425" t="s">
        <v>41</v>
      </c>
      <c r="BQ587" s="424"/>
      <c r="BR587" s="423">
        <v>1</v>
      </c>
      <c r="BS587" s="425"/>
      <c r="BT587" s="423"/>
      <c r="BU587" s="423"/>
      <c r="BV587" s="425"/>
      <c r="BW587" s="423"/>
      <c r="BX587" s="448"/>
      <c r="BY587" s="448"/>
      <c r="BZ587" s="448"/>
      <c r="CA587" s="448"/>
      <c r="CB587" s="448"/>
      <c r="CC587" s="777"/>
      <c r="CD587" s="448"/>
      <c r="CE587" s="631" t="str">
        <f>IFERROR(WWWW[[#This Row],['#_Water sources passed]]/WWWW[[#This Row],['#_Water sources tested for fecal coliform ]],"no test")</f>
        <v>no test</v>
      </c>
      <c r="CF587" s="423" t="str">
        <f>IFERROR(WWWW[[#This Row],['#_Household passed]]/WWWW[[#This Row],['#_Household water samples tested for fecal coliform]],"no test")</f>
        <v>no test</v>
      </c>
      <c r="CG587" s="424" t="str">
        <f>IF(AND(WWWW[[#This Row],[% of water sources passed]]="no test",WWWW[[#This Row],[% Household passed]]="no test"),"No Test","Tested")</f>
        <v>No Test</v>
      </c>
      <c r="CH587" s="424">
        <f>WWWW[[#This Row],['#_Constructed/existing protected hand dug well]]-WWWW[[#This Row],['#_Non-functional protected hand dug well]]</f>
        <v>0</v>
      </c>
      <c r="CI587" s="424">
        <f>(WWWW[[#This Row],['#_Constructed/Existing tube wells/boreholes/handpumps_WASH_agency]]+WWWW[[#This Row],['#_Non-Cluster partner water tube-wells/boreholes/handpumps]])-WWWW[[#This Row],['#_Non-functional tube wells/boreholes/handpumps]]</f>
        <v>1</v>
      </c>
      <c r="CJ587" s="424">
        <f>WWWW[[#This Row],['#_Constructed/Existingwater storage tank with gravity fed reticulation system]]-WWWW[[#This Row],['#_Non-functional storage tank gravity fed reticulation system]]</f>
        <v>1</v>
      </c>
      <c r="CK587" s="424">
        <f>(WWWW[[#This Row],['#_Water_Liters_supplied_by_Water boating or water trucking]]/90)/15</f>
        <v>0</v>
      </c>
      <c r="CL587" s="424">
        <f>WWWW[[#This Row],['#_Water_Liters_from_Constructed/Existing water distribution system from river or natural spring]]/90/15</f>
        <v>0</v>
      </c>
      <c r="CM587" s="424">
        <f>IF(WWWW[[#This Row],['#_of water points in TLS/CFS]]*500&gt;WWWW[[#This Row],[Total PoP ]],WWWW[[#This Row],[Total PoP ]],WWWW[[#This Row],['#_of water points in TLS/CFS]]*500)</f>
        <v>0</v>
      </c>
      <c r="CN587" s="424">
        <f>IF(WWWW[[#This Row],['#_of water points in THF]]*500&gt;WWWW[[#This Row],[Total PoP ]],WWWW[[#This Row],[Total PoP ]],WWWW[[#This Row],['#_of water points in THF]]*500)</f>
        <v>0</v>
      </c>
      <c r="CO587"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87"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87" s="423">
        <f>IF(WWWW[[#This Row],[Location Type 1]]="Village",WWWW[[#This Row],[Access to safe drinking water for Village]],WWWW[[#This Row],[Access to safe drinking water for Camp]])</f>
        <v>1</v>
      </c>
      <c r="CR587" s="428">
        <f>WWWW[[#This Row],[%Equitable and continuous access to sufficient quantity of safe drinking water]]*WWWW[[#This Row],[Total PoP ]]</f>
        <v>195</v>
      </c>
      <c r="CS587" s="423">
        <f>IF((WWWW[[#This Row],['#_Constructed/Existing protected/fenced ponds]]*250)/WWWW[[#This Row],[Total PoP ]]&gt;1,1,(WWWW[[#This Row],['#_Constructed/Existing protected/fenced ponds]]*250)/WWWW[[#This Row],[Total PoP ]])</f>
        <v>0</v>
      </c>
      <c r="CT587" s="428">
        <f>WWWW[[#This Row],[% Access to unimproved water points]]*WWWW[[#This Row],[Total PoP ]]</f>
        <v>0</v>
      </c>
      <c r="CU587"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87"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195</v>
      </c>
      <c r="CW587" s="428">
        <f>WWWW[[#This Row],[HRP1]]/500</f>
        <v>0.39</v>
      </c>
      <c r="CX587" s="898">
        <f>1-WWWW[[#This Row],[% Equitable and continuous access to sufficient quantity of domestic water]]</f>
        <v>0</v>
      </c>
      <c r="CY587" s="428">
        <f>WWWW[[#This Row],[%equitable and continuous access to sufficient quantity of safe drinking and domestic water''s GAP]]*WWWW[[#This Row],[Total PoP ]]</f>
        <v>0</v>
      </c>
      <c r="CZ587" s="424">
        <f>IF(WWWW[[#This Row],[Total required water points]]-WWWW[[#This Row],['#Water points coverage]]&lt;0,0,WWWW[[#This Row],[Total required water points]]-WWWW[[#This Row],['#Water points coverage]])</f>
        <v>0.61</v>
      </c>
      <c r="DA587" s="424">
        <f>ROUND(IF(WWWW[[#This Row],[Total PoP ]]&lt;500,1,WWWW[[#This Row],[Total PoP ]]/500),0)</f>
        <v>1</v>
      </c>
      <c r="DB587" s="424">
        <f>(WWWW[[#This Row],['#_Constructed latrines_by_WASHAgencies]]+WWWW[[#This Row],['#_Non Cluster partner latrines]])-WWWW[[#This Row],['#_Non-functional latrines]]</f>
        <v>38</v>
      </c>
      <c r="DC587" s="631">
        <f>WWWW[[#This Row],[HRP2]]/WWWW[[#This Row],[Total PoP ]]</f>
        <v>1</v>
      </c>
      <c r="DD587"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195</v>
      </c>
      <c r="DE587"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87"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7" s="424">
        <f>IF(WWWW[[#This Row],['# of functional latrines in THF supported by WASH partners during the reporting period2]]="",0,WWWW[[#This Row],['# of functional latrines in THF supported by WASH partners during the reporting period2]]*50)</f>
        <v>0</v>
      </c>
      <c r="DH587" s="424">
        <f>ROUND(IF(WWWW[[#This Row],[Location Type 1]]="camp",WWWW[[#This Row],[Total PoP ]]/20,IF(WWWW[[#This Row],[Location Type 1]]="Temporary Location",WWWW[[#This Row],[Total PoP ]]/50,(WWWW[[#This Row],[Total PoP ]]/6))),0)</f>
        <v>10</v>
      </c>
      <c r="DI587" s="424">
        <f>IF(WWWW[[#This Row],[Total required Latrines]]-(WWWW[[#This Row],['#_Constructed latrines_by_WASHAgencies]]+WWWW[[#This Row],['#_Non Cluster partner latrines]])&lt;0,0,WWWW[[#This Row],[Total required Latrines]]-(WWWW[[#This Row],['#_Constructed latrines_by_WASHAgencies]]+WWWW[[#This Row],['#_Non Cluster partner latrines]]))</f>
        <v>0</v>
      </c>
      <c r="DJ587" s="898">
        <f>1-WWWW[[#This Row],[% people access to functioning Latrine]]</f>
        <v>0</v>
      </c>
      <c r="DK587" s="631">
        <f>IF(OR(WWWW[[#This Row],['#_Non-functional latrines]]="",WWWW[[#This Row],['#_Non-functional latrines]]=0),0,WWWW[[#This Row],['#_Non-functional latrines]]/(WWWW[[#This Row],['#_Constructed latrines_by_WASHAgencies]]+WWWW[[#This Row],['#_Non Cluster partner latrines]]))</f>
        <v>0</v>
      </c>
      <c r="DL587" s="428">
        <f>IF(500*(WWWW[[#This Row],['#_male hygiene promoters]]+WWWW[[#This Row],['#_female hygiene promoters]])&gt;WWWW[[#This Row],[Total PoP ]],WWWW[[#This Row],[Total PoP ]],500*(WWWW[[#This Row],['#_male hygiene promoters]]+WWWW[[#This Row],['#_female hygiene promoters]]))</f>
        <v>195</v>
      </c>
      <c r="DM587"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87"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87" s="424">
        <f>IF(WWWW[[#This Row],['# People with access to soap]]&gt;WWWW[[#This Row],['# People with access to Sanity Pads]],WWWW[[#This Row],['# People with access to soap]],WWWW[[#This Row],['# People with access to Sanity Pads]])</f>
        <v>0</v>
      </c>
      <c r="DP587" s="424">
        <f>IF(WWWW[[#This Row],['# people reached by regular dedicated hygiene promotion_5]]&gt;WWWW[[#This Row],['# People received regular supply of hygiene items_6]],WWWW[[#This Row],['# people reached by regular dedicated hygiene promotion_5]],WWWW[[#This Row],['# People received regular supply of hygiene items_6]])</f>
        <v>195</v>
      </c>
      <c r="DQ587" s="898">
        <f>IF(WWWW[[#This Row],[HRP3]]/WWWW[[#This Row],[Total PoP ]]&gt;1,1,WWWW[[#This Row],[HRP3]]/WWWW[[#This Row],[Total PoP ]])</f>
        <v>1</v>
      </c>
      <c r="DR587" s="631">
        <f>1-WWWW[[#This Row],[Hygiene Coverage%]]</f>
        <v>0</v>
      </c>
      <c r="DS587" s="423">
        <f>WWWW[[#This Row],['# people reached by regular dedicated hygiene promotion_5]]/WWWW[[#This Row],[Total PoP ]]</f>
        <v>1</v>
      </c>
      <c r="DT587"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87"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87" s="424">
        <f>WWWW[[#This Row],['#_Constructed/Existing hand washing stations]]-WWWW[[#This Row],['#_Non-Functional_hand_washing_stations]]</f>
        <v>0</v>
      </c>
      <c r="DW587" s="428">
        <f>IF(WWWW[[#This Row],['# Functional hand washing stations during reporting period]]*20&gt;WWWW[[#This Row],[Total HH]],WWWW[[#This Row],[Total HH]],WWWW[[#This Row],['# Functional hand washing stations during reporting period]]*20)</f>
        <v>0</v>
      </c>
      <c r="DX587" s="428">
        <f>IF(WWWW[[#This Row],[Is sufficient soap available for TLS? (Yes/No)]]="yes",WWWW[[#This Row],['#_Constructed/Existing hand washing stations at TLS/CFS/THF]],0)</f>
        <v>1</v>
      </c>
      <c r="DY587" s="428">
        <f>IF(WWWW[[#This Row],['# Functional hand washing stations during reporting period]]*100&gt;WWWW[[#This Row],[Total PoP ]],WWWW[[#This Row],[Total PoP ]],WWWW[[#This Row],['# Functional hand washing stations during reporting period]]*100)</f>
        <v>0</v>
      </c>
      <c r="DZ587" s="428" t="str">
        <f>IF(OR(WWWW[[#This Row],['#_students at TLS_CFS]]="",WWWW[[#This Row],['#_students at TLS_CFS]]=0),"No","Yes")</f>
        <v>No</v>
      </c>
      <c r="EA587"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87"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7"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87"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7" s="425">
        <f>VLOOKUP(WWWW[[#This Row],[Site Name]],SiteDB6[[Site Name]:[CCCM Management]],6,FALSE)</f>
        <v>0</v>
      </c>
      <c r="EF587" s="425">
        <f>VLOOKUP(WWWW[[#This Row],[Site Name]],SiteDB6[[Site Name]:[CCCM Focal Agency]],7,FALSE)</f>
        <v>0</v>
      </c>
      <c r="EG587" s="425" t="str">
        <f>VLOOKUP(WWWW[[#This Row],[Site Name]],SiteDB6[[Site Name]:[Location Type 1]],9,FALSE)</f>
        <v>Camp</v>
      </c>
      <c r="EH587" s="425" t="str">
        <f>VLOOKUP(WWWW[[#This Row],[Site Name]],SiteDB6[[Site Name]:[Type of Accommodation]],10,FALSE)</f>
        <v>Closed Camp</v>
      </c>
      <c r="EI587" s="425" t="str">
        <f>VLOOKUP(WWWW[[#This Row],[Site Name]],SiteDB6[[Site Name]:[Ethnic or GCA/NGCA]],11,FALSE)</f>
        <v>GCA</v>
      </c>
      <c r="EJ587" s="425">
        <f>VLOOKUP(WWWW[[#This Row],[Site Name]],SiteDB6[[Site Name]:[Lat]],12,FALSE)</f>
        <v>23.353999999999999</v>
      </c>
      <c r="EK587" s="425">
        <f>VLOOKUP(WWWW[[#This Row],[Site Name]],SiteDB6[[Site Name]:[Long]],13,FALSE)</f>
        <v>98.221000000000004</v>
      </c>
      <c r="EL587" s="425" t="str">
        <f>VLOOKUP(WWWW[[#This Row],[Site Name]],SiteDB6[[Site Name]:[Pcode]],3,FALSE)</f>
        <v>MMR015CMP226</v>
      </c>
      <c r="EM587" s="860" t="str">
        <f t="shared" si="12"/>
        <v>Covered</v>
      </c>
      <c r="EN587" s="860"/>
      <c r="EO587" s="425">
        <f>VLOOKUP(WWWW[[#This Row],[Site Name]],SiteDB6[[Site Name]:[Pop
(Kachin/Shan-CCCM as of July 2021)]],16,FALSE)</f>
        <v>0</v>
      </c>
      <c r="EP587" s="425">
        <f>VLOOKUP(WWWW[[#This Row],[Site Name]],SiteDB6[[Site Name]:[Pop
(Kachin/Shan-CCCM as of July 2021)]],17,FALSE)</f>
        <v>0</v>
      </c>
    </row>
    <row r="588" spans="1:146">
      <c r="A588" s="1044" t="s">
        <v>2765</v>
      </c>
      <c r="B588" s="1044" t="s">
        <v>192</v>
      </c>
      <c r="C588" s="1045" t="s">
        <v>192</v>
      </c>
      <c r="D588" s="1045" t="s">
        <v>2673</v>
      </c>
      <c r="E588" s="1045" t="s">
        <v>515</v>
      </c>
      <c r="F588" s="1045" t="s">
        <v>519</v>
      </c>
      <c r="G588" s="1043" t="str">
        <f>VLOOKUP(WWWW[[#This Row],[Site Name]],SiteDB6[[Site Name]:[Location Type]],8,FALSE)</f>
        <v>Camp</v>
      </c>
      <c r="H588" s="1045" t="s">
        <v>538</v>
      </c>
      <c r="I588" s="448">
        <v>209</v>
      </c>
      <c r="J588" s="448">
        <v>1101</v>
      </c>
      <c r="K588" s="588">
        <v>44511</v>
      </c>
      <c r="L588" s="589">
        <v>44875</v>
      </c>
      <c r="M588" s="448"/>
      <c r="N588" s="448">
        <v>2</v>
      </c>
      <c r="O588" s="448"/>
      <c r="P588" s="448"/>
      <c r="Q588" s="428" t="s">
        <v>41</v>
      </c>
      <c r="R588" s="448">
        <v>5</v>
      </c>
      <c r="S588" s="448">
        <v>4</v>
      </c>
      <c r="T588" s="448">
        <v>2</v>
      </c>
      <c r="U588" s="448"/>
      <c r="V588" s="448"/>
      <c r="W588" s="448">
        <v>1</v>
      </c>
      <c r="X588" s="448"/>
      <c r="Y588" s="448"/>
      <c r="Z588" s="448"/>
      <c r="AA588" s="448">
        <v>48</v>
      </c>
      <c r="AB588" s="448"/>
      <c r="AC588" s="448"/>
      <c r="AD588" s="448"/>
      <c r="AE588" s="448"/>
      <c r="AF588" s="448"/>
      <c r="AG588" s="448"/>
      <c r="AH588" s="448">
        <v>1</v>
      </c>
      <c r="AI588" s="448"/>
      <c r="AJ588" s="448"/>
      <c r="AK588" s="448"/>
      <c r="AL588" s="448"/>
      <c r="AM588" s="448"/>
      <c r="AN588" s="448">
        <v>2</v>
      </c>
      <c r="AO588" s="448"/>
      <c r="AP588" s="860"/>
      <c r="AQ588" s="448">
        <v>200</v>
      </c>
      <c r="AR588" s="448">
        <v>5</v>
      </c>
      <c r="AS588" s="423"/>
      <c r="AT588" s="448"/>
      <c r="AU588" s="448"/>
      <c r="AV588" s="448"/>
      <c r="AW588" s="448"/>
      <c r="AX588" s="448">
        <v>18</v>
      </c>
      <c r="AY588" s="425" t="s">
        <v>136</v>
      </c>
      <c r="AZ588" s="860" t="s">
        <v>136</v>
      </c>
      <c r="BA588" s="448"/>
      <c r="BB588" s="448"/>
      <c r="BC588" s="448">
        <v>2</v>
      </c>
      <c r="BD588" s="448"/>
      <c r="BE588" s="448"/>
      <c r="BF588" s="425"/>
      <c r="BG588" s="448">
        <v>2</v>
      </c>
      <c r="BH588" s="448"/>
      <c r="BI588" s="448"/>
      <c r="BJ588" s="448">
        <v>5</v>
      </c>
      <c r="BK588" s="448"/>
      <c r="BL588" s="448"/>
      <c r="BM588" s="448">
        <v>1</v>
      </c>
      <c r="BN588" s="448"/>
      <c r="BO588" s="448"/>
      <c r="BP588" s="425" t="s">
        <v>41</v>
      </c>
      <c r="BQ588" s="424">
        <v>3</v>
      </c>
      <c r="BR588" s="423">
        <v>1</v>
      </c>
      <c r="BS588" s="425"/>
      <c r="BT588" s="423"/>
      <c r="BU588" s="423"/>
      <c r="BV588" s="425"/>
      <c r="BW588" s="423"/>
      <c r="BX588" s="448"/>
      <c r="BY588" s="448"/>
      <c r="BZ588" s="448"/>
      <c r="CA588" s="448"/>
      <c r="CB588" s="448"/>
      <c r="CC588" s="777"/>
      <c r="CD588" s="448"/>
      <c r="CE588" s="631" t="str">
        <f>IFERROR(WWWW[[#This Row],['#_Water sources passed]]/WWWW[[#This Row],['#_Water sources tested for fecal coliform ]],"no test")</f>
        <v>no test</v>
      </c>
      <c r="CF588" s="423" t="str">
        <f>IFERROR(WWWW[[#This Row],['#_Household passed]]/WWWW[[#This Row],['#_Household water samples tested for fecal coliform]],"no test")</f>
        <v>no test</v>
      </c>
      <c r="CG588" s="424" t="str">
        <f>IF(AND(WWWW[[#This Row],[% of water sources passed]]="no test",WWWW[[#This Row],[% Household passed]]="no test"),"No Test","Tested")</f>
        <v>No Test</v>
      </c>
      <c r="CH588" s="424">
        <f>WWWW[[#This Row],['#_Constructed/existing protected hand dug well]]-WWWW[[#This Row],['#_Non-functional protected hand dug well]]</f>
        <v>2</v>
      </c>
      <c r="CI588" s="424">
        <f>(WWWW[[#This Row],['#_Constructed/Existing tube wells/boreholes/handpumps_WASH_agency]]+WWWW[[#This Row],['#_Non-Cluster partner water tube-wells/boreholes/handpumps]])-WWWW[[#This Row],['#_Non-functional tube wells/boreholes/handpumps]]</f>
        <v>1</v>
      </c>
      <c r="CJ588" s="424">
        <f>WWWW[[#This Row],['#_Constructed/Existingwater storage tank with gravity fed reticulation system]]-WWWW[[#This Row],['#_Non-functional storage tank gravity fed reticulation system]]</f>
        <v>48</v>
      </c>
      <c r="CK588" s="424">
        <f>(WWWW[[#This Row],['#_Water_Liters_supplied_by_Water boating or water trucking]]/90)/15</f>
        <v>0</v>
      </c>
      <c r="CL588" s="424">
        <f>WWWW[[#This Row],['#_Water_Liters_from_Constructed/Existing water distribution system from river or natural spring]]/90/15</f>
        <v>0</v>
      </c>
      <c r="CM588" s="424">
        <f>IF(WWWW[[#This Row],['#_of water points in TLS/CFS]]*500&gt;WWWW[[#This Row],[Total PoP ]],WWWW[[#This Row],[Total PoP ]],WWWW[[#This Row],['#_of water points in TLS/CFS]]*500)</f>
        <v>1000</v>
      </c>
      <c r="CN588" s="424">
        <f>IF(WWWW[[#This Row],['#_of water points in THF]]*500&gt;WWWW[[#This Row],[Total PoP ]],WWWW[[#This Row],[Total PoP ]],WWWW[[#This Row],['#_of water points in THF]]*500)</f>
        <v>0</v>
      </c>
      <c r="CO588" s="6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88" s="6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88" s="423">
        <f>IF(WWWW[[#This Row],[Location Type 1]]="Village",WWWW[[#This Row],[Access to safe drinking water for Village]],WWWW[[#This Row],[Access to safe drinking water for Camp]])</f>
        <v>1</v>
      </c>
      <c r="CR588" s="428">
        <f>WWWW[[#This Row],[%Equitable and continuous access to sufficient quantity of safe drinking water]]*WWWW[[#This Row],[Total PoP ]]</f>
        <v>1101</v>
      </c>
      <c r="CS588" s="423">
        <f>IF((WWWW[[#This Row],['#_Constructed/Existing protected/fenced ponds]]*250)/WWWW[[#This Row],[Total PoP ]]&gt;1,1,(WWWW[[#This Row],['#_Constructed/Existing protected/fenced ponds]]*250)/WWWW[[#This Row],[Total PoP ]])</f>
        <v>0</v>
      </c>
      <c r="CT588" s="428">
        <f>WWWW[[#This Row],[% Access to unimproved water points]]*WWWW[[#This Row],[Total PoP ]]</f>
        <v>0</v>
      </c>
      <c r="CU588" s="4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88" s="42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W588" s="428">
        <f>WWWW[[#This Row],[HRP1]]/500</f>
        <v>2.202</v>
      </c>
      <c r="CX588" s="898">
        <f>1-WWWW[[#This Row],[% Equitable and continuous access to sufficient quantity of domestic water]]</f>
        <v>0</v>
      </c>
      <c r="CY588" s="428">
        <f>WWWW[[#This Row],[%equitable and continuous access to sufficient quantity of safe drinking and domestic water''s GAP]]*WWWW[[#This Row],[Total PoP ]]</f>
        <v>0</v>
      </c>
      <c r="CZ588" s="424">
        <f>IF(WWWW[[#This Row],[Total required water points]]-WWWW[[#This Row],['#Water points coverage]]&lt;0,0,WWWW[[#This Row],[Total required water points]]-WWWW[[#This Row],['#Water points coverage]])</f>
        <v>0</v>
      </c>
      <c r="DA588" s="424">
        <f>ROUND(IF(WWWW[[#This Row],[Total PoP ]]&lt;500,1,WWWW[[#This Row],[Total PoP ]]/500),0)</f>
        <v>2</v>
      </c>
      <c r="DB588" s="424">
        <f>(WWWW[[#This Row],['#_Constructed latrines_by_WASHAgencies]]+WWWW[[#This Row],['#_Non Cluster partner latrines]])-WWWW[[#This Row],['#_Non-functional latrines]]</f>
        <v>205</v>
      </c>
      <c r="DC588" s="631">
        <f>WWWW[[#This Row],[HRP2]]/WWWW[[#This Row],[Total PoP ]]</f>
        <v>0.93097184377838327</v>
      </c>
      <c r="DD588" s="42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1025</v>
      </c>
      <c r="DE588" s="89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88" s="4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8" s="424">
        <f>IF(WWWW[[#This Row],['# of functional latrines in THF supported by WASH partners during the reporting period2]]="",0,WWWW[[#This Row],['# of functional latrines in THF supported by WASH partners during the reporting period2]]*50)</f>
        <v>0</v>
      </c>
      <c r="DH588" s="424">
        <f>ROUND(IF(WWWW[[#This Row],[Location Type 1]]="camp",WWWW[[#This Row],[Total PoP ]]/20,IF(WWWW[[#This Row],[Location Type 1]]="Temporary Location",WWWW[[#This Row],[Total PoP ]]/50,(WWWW[[#This Row],[Total PoP ]]/6))),0)</f>
        <v>184</v>
      </c>
      <c r="DI588" s="424">
        <f>IF(WWWW[[#This Row],[Total required Latrines]]-(WWWW[[#This Row],['#_Constructed latrines_by_WASHAgencies]]+WWWW[[#This Row],['#_Non Cluster partner latrines]])&lt;0,0,WWWW[[#This Row],[Total required Latrines]]-(WWWW[[#This Row],['#_Constructed latrines_by_WASHAgencies]]+WWWW[[#This Row],['#_Non Cluster partner latrines]]))</f>
        <v>0</v>
      </c>
      <c r="DJ588" s="898">
        <f>1-WWWW[[#This Row],[% people access to functioning Latrine]]</f>
        <v>6.9028156221616732E-2</v>
      </c>
      <c r="DK588" s="631">
        <f>IF(OR(WWWW[[#This Row],['#_Non-functional latrines]]="",WWWW[[#This Row],['#_Non-functional latrines]]=0),0,WWWW[[#This Row],['#_Non-functional latrines]]/(WWWW[[#This Row],['#_Constructed latrines_by_WASHAgencies]]+WWWW[[#This Row],['#_Non Cluster partner latrines]]))</f>
        <v>0</v>
      </c>
      <c r="DL588" s="428">
        <f>IF(500*(WWWW[[#This Row],['#_male hygiene promoters]]+WWWW[[#This Row],['#_female hygiene promoters]])&gt;WWWW[[#This Row],[Total PoP ]],WWWW[[#This Row],[Total PoP ]],500*(WWWW[[#This Row],['#_male hygiene promoters]]+WWWW[[#This Row],['#_female hygiene promoters]]))</f>
        <v>500</v>
      </c>
      <c r="DM588" s="4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588" s="4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588" s="424">
        <f>IF(WWWW[[#This Row],['# People with access to soap]]&gt;WWWW[[#This Row],['# People with access to Sanity Pads]],WWWW[[#This Row],['# People with access to soap]],WWWW[[#This Row],['# People with access to Sanity Pads]])</f>
        <v>0</v>
      </c>
      <c r="DP588" s="42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588" s="898">
        <f>IF(WWWW[[#This Row],[HRP3]]/WWWW[[#This Row],[Total PoP ]]&gt;1,1,WWWW[[#This Row],[HRP3]]/WWWW[[#This Row],[Total PoP ]])</f>
        <v>0.45413260672116257</v>
      </c>
      <c r="DR588" s="631">
        <f>1-WWWW[[#This Row],[Hygiene Coverage%]]</f>
        <v>0.54586739327883738</v>
      </c>
      <c r="DS588" s="423">
        <f>WWWW[[#This Row],['# people reached by regular dedicated hygiene promotion_5]]/WWWW[[#This Row],[Total PoP ]]</f>
        <v>0.45413260672116257</v>
      </c>
      <c r="DT588" s="6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588" s="4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588" s="424">
        <f>WWWW[[#This Row],['#_Constructed/Existing hand washing stations]]-WWWW[[#This Row],['#_Non-Functional_hand_washing_stations]]</f>
        <v>2</v>
      </c>
      <c r="DW588" s="428">
        <f>IF(WWWW[[#This Row],['# Functional hand washing stations during reporting period]]*20&gt;WWWW[[#This Row],[Total HH]],WWWW[[#This Row],[Total HH]],WWWW[[#This Row],['# Functional hand washing stations during reporting period]]*20)</f>
        <v>40</v>
      </c>
      <c r="DX588" s="428">
        <f>IF(WWWW[[#This Row],[Is sufficient soap available for TLS? (Yes/No)]]="yes",WWWW[[#This Row],['#_Constructed/Existing hand washing stations at TLS/CFS/THF]],0)</f>
        <v>0</v>
      </c>
      <c r="DY588" s="428">
        <f>IF(WWWW[[#This Row],['# Functional hand washing stations during reporting period]]*100&gt;WWWW[[#This Row],[Total PoP ]],WWWW[[#This Row],[Total PoP ]],WWWW[[#This Row],['# Functional hand washing stations during reporting period]]*100)</f>
        <v>200</v>
      </c>
      <c r="DZ588" s="428" t="str">
        <f>IF(OR(WWWW[[#This Row],['#_students at TLS_CFS]]="",WWWW[[#This Row],['#_students at TLS_CFS]]=0),"No","Yes")</f>
        <v>No</v>
      </c>
      <c r="EA588" s="631"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88" s="574">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8" s="448">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588" s="448">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8" s="425" t="str">
        <f>VLOOKUP(WWWW[[#This Row],[Site Name]],SiteDB6[[Site Name]:[CCCM Management]],6,FALSE)</f>
        <v>Yes</v>
      </c>
      <c r="EF588" s="425" t="str">
        <f>VLOOKUP(WWWW[[#This Row],[Site Name]],SiteDB6[[Site Name]:[CCCM Focal Agency]],7,FALSE)</f>
        <v>KBC-NSS</v>
      </c>
      <c r="EG588" s="425" t="str">
        <f>VLOOKUP(WWWW[[#This Row],[Site Name]],SiteDB6[[Site Name]:[Location Type 1]],9,FALSE)</f>
        <v>Village Type Camp</v>
      </c>
      <c r="EH588" s="425" t="str">
        <f>VLOOKUP(WWWW[[#This Row],[Site Name]],SiteDB6[[Site Name]:[Type of Accommodation]],10,FALSE)</f>
        <v>Camp</v>
      </c>
      <c r="EI588" s="425" t="str">
        <f>VLOOKUP(WWWW[[#This Row],[Site Name]],SiteDB6[[Site Name]:[Ethnic or GCA/NGCA]],11,FALSE)</f>
        <v>GCA</v>
      </c>
      <c r="EJ588" s="425">
        <f>VLOOKUP(WWWW[[#This Row],[Site Name]],SiteDB6[[Site Name]:[Lat]],12,FALSE)</f>
        <v>23.38503</v>
      </c>
      <c r="EK588" s="425">
        <f>VLOOKUP(WWWW[[#This Row],[Site Name]],SiteDB6[[Site Name]:[Long]],13,FALSE)</f>
        <v>97.837040000000002</v>
      </c>
      <c r="EL588" s="425" t="str">
        <f>VLOOKUP(WWWW[[#This Row],[Site Name]],SiteDB6[[Site Name]:[Pcode]],3,FALSE)</f>
        <v>MMR015CMP020</v>
      </c>
      <c r="EM588" s="860" t="str">
        <f t="shared" si="12"/>
        <v>Covered</v>
      </c>
      <c r="EN588" s="860"/>
      <c r="EO588" s="425">
        <f>VLOOKUP(WWWW[[#This Row],[Site Name]],SiteDB6[[Site Name]:[Pop
(Kachin/Shan-CCCM as of July 2021)]],16,FALSE)</f>
        <v>209</v>
      </c>
      <c r="EP588" s="425">
        <f>VLOOKUP(WWWW[[#This Row],[Site Name]],SiteDB6[[Site Name]:[Pop
(Kachin/Shan-CCCM as of July 2021)]],17,FALSE)</f>
        <v>1084</v>
      </c>
    </row>
  </sheetData>
  <mergeCells count="22">
    <mergeCell ref="K1:L1"/>
    <mergeCell ref="CE2:CG3"/>
    <mergeCell ref="CH2:CQ3"/>
    <mergeCell ref="CR2:CR3"/>
    <mergeCell ref="CS2:CT3"/>
    <mergeCell ref="BT1:BW1"/>
    <mergeCell ref="BX1:BZ1"/>
    <mergeCell ref="EO5:EP5"/>
    <mergeCell ref="CU2:CU3"/>
    <mergeCell ref="CV2:CV3"/>
    <mergeCell ref="CE5:CG5"/>
    <mergeCell ref="CX5:CY5"/>
    <mergeCell ref="DK2:DK3"/>
    <mergeCell ref="DH2:DH3"/>
    <mergeCell ref="DI2:DJ3"/>
    <mergeCell ref="CZ2:DA3"/>
    <mergeCell ref="CW2:CW3"/>
    <mergeCell ref="DB2:DB3"/>
    <mergeCell ref="DF2:DF3"/>
    <mergeCell ref="DE2:DE3"/>
    <mergeCell ref="DD2:DD3"/>
    <mergeCell ref="CX2:CY3"/>
  </mergeCells>
  <phoneticPr fontId="149" type="noConversion"/>
  <conditionalFormatting sqref="DL5">
    <cfRule type="iconSet" priority="48">
      <iconSet reverse="1">
        <cfvo type="percent" val="0"/>
        <cfvo type="percent" val="0" gte="0"/>
        <cfvo type="percent" val="30"/>
      </iconSet>
    </cfRule>
  </conditionalFormatting>
  <conditionalFormatting sqref="DR4">
    <cfRule type="iconSet" priority="45">
      <iconSet reverse="1">
        <cfvo type="percent" val="0"/>
        <cfvo type="percent" val="0" gte="0"/>
        <cfvo type="percent" val="30"/>
      </iconSet>
    </cfRule>
  </conditionalFormatting>
  <conditionalFormatting sqref="CX4">
    <cfRule type="iconSet" priority="47">
      <iconSet reverse="1">
        <cfvo type="percent" val="0"/>
        <cfvo type="percent" val="0" gte="0"/>
        <cfvo type="percent" val="30"/>
      </iconSet>
    </cfRule>
  </conditionalFormatting>
  <conditionalFormatting sqref="DJ4">
    <cfRule type="iconSet" priority="11736">
      <iconSet reverse="1">
        <cfvo type="percent" val="0"/>
        <cfvo type="percent" val="0" gte="0"/>
        <cfvo type="percent" val="30"/>
      </iconSet>
    </cfRule>
  </conditionalFormatting>
  <conditionalFormatting sqref="DK5 DE5:DG5">
    <cfRule type="iconSet" priority="11756">
      <iconSet reverse="1">
        <cfvo type="percent" val="0"/>
        <cfvo type="percent" val="0" gte="0"/>
        <cfvo type="percent" val="10"/>
      </iconSet>
    </cfRule>
  </conditionalFormatting>
  <conditionalFormatting sqref="CY4">
    <cfRule type="iconSet" priority="38">
      <iconSet reverse="1">
        <cfvo type="percent" val="0"/>
        <cfvo type="percent" val="0" gte="0"/>
        <cfvo type="percent" val="30"/>
      </iconSet>
    </cfRule>
  </conditionalFormatting>
  <conditionalFormatting sqref="DR2 DL2">
    <cfRule type="iconSet" priority="12248">
      <iconSet reverse="1">
        <cfvo type="percent" val="0"/>
        <cfvo type="percent" val="0" gte="0"/>
        <cfvo type="percent" val="30"/>
      </iconSet>
    </cfRule>
  </conditionalFormatting>
  <conditionalFormatting sqref="DR3">
    <cfRule type="iconSet" priority="12251">
      <iconSet reverse="1">
        <cfvo type="percent" val="0"/>
        <cfvo type="percent" val="0" gte="0"/>
        <cfvo type="percent" val="30"/>
      </iconSet>
    </cfRule>
  </conditionalFormatting>
  <conditionalFormatting sqref="CX7:CX588">
    <cfRule type="iconSet" priority="12693">
      <iconSet reverse="1">
        <cfvo type="percent" val="0"/>
        <cfvo type="percent" val="0" gte="0"/>
        <cfvo type="percent" val="30"/>
      </iconSet>
    </cfRule>
  </conditionalFormatting>
  <conditionalFormatting sqref="DR7:DR588">
    <cfRule type="iconSet" priority="12695">
      <iconSet reverse="1">
        <cfvo type="percent" val="0"/>
        <cfvo type="percent" val="0" gte="0"/>
        <cfvo type="percent" val="30"/>
      </iconSet>
    </cfRule>
  </conditionalFormatting>
  <conditionalFormatting sqref="DJ7:DJ588">
    <cfRule type="iconSet" priority="12697">
      <iconSet reverse="1">
        <cfvo type="percent" val="0"/>
        <cfvo type="percent" val="0" gte="0"/>
        <cfvo type="percent" val="30"/>
      </iconSet>
    </cfRule>
  </conditionalFormatting>
  <dataValidations count="10">
    <dataValidation operator="lessThanOrEqual" allowBlank="1" showInputMessage="1" showErrorMessage="1" sqref="AS314:AS396 AS7:AS312 AS490 AS514" xr:uid="{00000000-0002-0000-0200-000007000000}"/>
    <dataValidation type="whole" operator="lessThanOrEqual" allowBlank="1" showInputMessage="1" showErrorMessage="1" sqref="AQ7:AR241 AR243:AR296 AQ242:AQ297 AQ298:AR396" xr:uid="{00000000-0002-0000-0200-000006000000}">
      <formula1>9999999</formula1>
    </dataValidation>
    <dataValidation type="whole" operator="lessThan" allowBlank="1" showInputMessage="1" showErrorMessage="1" sqref="M7:P588" xr:uid="{00000000-0002-0000-0200-000005000000}">
      <formula1>999999</formula1>
    </dataValidation>
    <dataValidation type="list" allowBlank="1" showInputMessage="1" showErrorMessage="1" sqref="BP7:BP588" xr:uid="{00000000-0002-0000-0200-00000A000000}">
      <formula1>"Yes, No"</formula1>
    </dataValidation>
    <dataValidation type="list" allowBlank="1" showInputMessage="1" showErrorMessage="1" sqref="Q7:Q588" xr:uid="{00000000-0002-0000-0200-000003000000}">
      <formula1>"Yes,No"</formula1>
    </dataValidation>
    <dataValidation type="list" allowBlank="1" showInputMessage="1" showErrorMessage="1" sqref="E7:E588" xr:uid="{00000000-0002-0000-0200-000001000000}">
      <formula1>"Kachin, Central Rakhine, Northern Rakhine, Shan (North)"</formula1>
    </dataValidation>
    <dataValidation type="list" allowBlank="1" showInputMessage="1" showErrorMessage="1" sqref="F7:F588" xr:uid="{00000000-0002-0000-0200-00000B000000}">
      <formula1>OFFSET(Statestart_1,MATCH(E7, State_list, 0), 1,COUNTIF(State_list,E7),1)</formula1>
    </dataValidation>
    <dataValidation type="list" allowBlank="1" showInputMessage="1" showErrorMessage="1" sqref="H7:H588" xr:uid="{00000000-0002-0000-0200-000004000000}">
      <formula1>OFFSET(Township_start,MATCH(F7,Township_list, 0),1, COUNTIF(Township_list,F7),1)</formula1>
    </dataValidation>
    <dataValidation type="list" allowBlank="1" showInputMessage="1" showErrorMessage="1" sqref="AY7:AY588" xr:uid="{D0016B6D-1FEB-4632-97EA-443A5F593847}">
      <formula1>"Yes, No, NA"</formula1>
    </dataValidation>
    <dataValidation type="list" allowBlank="1" showInputMessage="1" showErrorMessage="1" sqref="AZ7:AZ588" xr:uid="{1D0713F1-C99E-42E7-AD96-8BB60B932351}">
      <formula1>"Functional,Not_Functional,No,NA"</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D20E94CA-F408-4D77-A0AE-5A2D1CB7AB24}">
          <x14:formula1>
            <xm:f>Lookup!$B$4:$B$62</xm:f>
          </x14:formula1>
          <xm:sqref>B7:C266 B268:C396</xm:sqref>
        </x14:dataValidation>
        <x14:dataValidation type="list" allowBlank="1" showInputMessage="1" showErrorMessage="1" xr:uid="{00000000-0002-0000-0200-00000E000000}">
          <x14:formula1>
            <xm:f>Lookup!$A$4:$A$7</xm:f>
          </x14:formula1>
          <xm:sqref>A7:A588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412"/>
  <sheetViews>
    <sheetView zoomScale="110" zoomScaleNormal="110" workbookViewId="0">
      <pane xSplit="1" ySplit="2" topLeftCell="B3" activePane="bottomRight" state="frozen"/>
      <selection activeCell="E391" sqref="E391"/>
      <selection pane="topRight" activeCell="E391" sqref="E391"/>
      <selection pane="bottomLeft" activeCell="E391" sqref="E391"/>
      <selection pane="bottomRight" activeCell="C308" sqref="C308"/>
    </sheetView>
  </sheetViews>
  <sheetFormatPr defaultColWidth="9" defaultRowHeight="14.25" customHeight="1"/>
  <cols>
    <col min="1" max="1" width="9.6640625" bestFit="1" customWidth="1"/>
    <col min="2" max="2" width="17" style="17" customWidth="1"/>
    <col min="3" max="3" width="29.1640625" customWidth="1"/>
    <col min="4" max="4" width="16.6640625" style="89" customWidth="1"/>
    <col min="5" max="5" width="13.58203125" style="44" customWidth="1"/>
    <col min="6" max="6" width="15.83203125" customWidth="1"/>
    <col min="7" max="9" width="19.5" style="17" customWidth="1"/>
    <col min="10" max="10" width="13.1640625" style="17" customWidth="1"/>
    <col min="11" max="11" width="16.1640625" style="17" customWidth="1"/>
    <col min="12" max="12" width="14.83203125" style="17" customWidth="1"/>
    <col min="13" max="13" width="11.83203125" style="17" customWidth="1"/>
    <col min="14" max="15" width="12.6640625" style="17" customWidth="1"/>
    <col min="16" max="16" width="17.1640625" style="17" customWidth="1"/>
    <col min="17" max="18" width="9.9140625" style="17" customWidth="1"/>
    <col min="19" max="19" width="8.5" style="17" customWidth="1"/>
    <col min="20" max="20" width="7.6640625" style="17" customWidth="1"/>
    <col min="21" max="21" width="11.1640625" style="17" customWidth="1"/>
    <col min="22" max="22" width="15.6640625" style="17" customWidth="1"/>
    <col min="23" max="24" width="10.5" style="17" customWidth="1"/>
    <col min="25" max="25" width="16.5" style="44" customWidth="1"/>
    <col min="26" max="26" width="10.08203125" style="43" customWidth="1"/>
    <col min="27" max="27" width="8.58203125"/>
    <col min="28" max="28" width="12.08203125" style="91" customWidth="1"/>
    <col min="29" max="29" width="55" style="45" customWidth="1"/>
    <col min="30" max="30" width="16.58203125" style="17" customWidth="1"/>
    <col min="31" max="31" width="9" style="90"/>
    <col min="32" max="16384" width="9" style="17"/>
  </cols>
  <sheetData>
    <row r="1" spans="1:31" ht="14.25" customHeight="1">
      <c r="A1" s="17"/>
      <c r="C1" s="427"/>
      <c r="D1" s="17"/>
      <c r="E1" s="17"/>
      <c r="F1" s="17"/>
      <c r="T1" s="68"/>
      <c r="U1" s="68"/>
      <c r="V1" s="91"/>
      <c r="W1" s="45"/>
      <c r="Y1" s="17"/>
      <c r="Z1" s="17"/>
      <c r="AA1" s="17"/>
      <c r="AB1" s="17"/>
      <c r="AC1" s="17"/>
      <c r="AE1" s="17"/>
    </row>
    <row r="2" spans="1:31" ht="24" customHeight="1">
      <c r="A2" s="17" t="s">
        <v>21</v>
      </c>
      <c r="B2" s="17" t="s">
        <v>22</v>
      </c>
      <c r="C2" s="69" t="s">
        <v>23</v>
      </c>
      <c r="D2" s="17" t="s">
        <v>1296</v>
      </c>
      <c r="E2" s="17" t="s">
        <v>33</v>
      </c>
      <c r="F2" s="17" t="s">
        <v>1297</v>
      </c>
      <c r="G2" s="17" t="s">
        <v>1298</v>
      </c>
      <c r="H2" s="17" t="s">
        <v>27</v>
      </c>
      <c r="I2" s="17" t="s">
        <v>28</v>
      </c>
      <c r="J2" s="17" t="s">
        <v>134</v>
      </c>
      <c r="K2" s="17" t="s">
        <v>135</v>
      </c>
      <c r="L2" s="17" t="s">
        <v>566</v>
      </c>
      <c r="M2" s="17" t="s">
        <v>30</v>
      </c>
      <c r="N2" s="17" t="s">
        <v>31</v>
      </c>
      <c r="O2" s="17" t="s">
        <v>32</v>
      </c>
      <c r="P2" s="17" t="s">
        <v>567</v>
      </c>
      <c r="Q2" s="17" t="s">
        <v>568</v>
      </c>
      <c r="R2" s="68" t="s">
        <v>2677</v>
      </c>
      <c r="S2" s="68" t="s">
        <v>2678</v>
      </c>
      <c r="T2" s="91" t="s">
        <v>569</v>
      </c>
      <c r="U2" s="45" t="s">
        <v>35</v>
      </c>
      <c r="V2" s="17" t="s">
        <v>570</v>
      </c>
      <c r="W2" s="17" t="s">
        <v>1711</v>
      </c>
      <c r="X2" s="17" t="s">
        <v>2974</v>
      </c>
      <c r="Y2" s="17"/>
      <c r="Z2" s="17"/>
      <c r="AA2" s="17"/>
      <c r="AB2" s="17"/>
      <c r="AC2" s="17"/>
      <c r="AE2" s="17"/>
    </row>
    <row r="3" spans="1:31" s="69" customFormat="1" ht="14.25" customHeight="1">
      <c r="A3" s="436" t="s">
        <v>37</v>
      </c>
      <c r="B3" s="435" t="s">
        <v>195</v>
      </c>
      <c r="C3" s="441" t="s">
        <v>3030</v>
      </c>
      <c r="D3" s="430" t="s">
        <v>3001</v>
      </c>
      <c r="E3" s="429" t="s">
        <v>2697</v>
      </c>
      <c r="F3" s="429" t="s">
        <v>2698</v>
      </c>
      <c r="G3" s="429" t="s">
        <v>2699</v>
      </c>
      <c r="H3" s="429" t="s">
        <v>41</v>
      </c>
      <c r="I3" s="429" t="s">
        <v>242</v>
      </c>
      <c r="J3" s="429" t="s">
        <v>43</v>
      </c>
      <c r="K3" s="427" t="s">
        <v>43</v>
      </c>
      <c r="L3" s="427" t="s">
        <v>43</v>
      </c>
      <c r="M3" s="427" t="s">
        <v>44</v>
      </c>
      <c r="N3" s="429">
        <v>24.154199999999999</v>
      </c>
      <c r="O3" s="429">
        <v>97.160600000000002</v>
      </c>
      <c r="P3" s="427" t="s">
        <v>573</v>
      </c>
      <c r="Q3" s="429" t="s">
        <v>2700</v>
      </c>
      <c r="R3" s="439">
        <v>97</v>
      </c>
      <c r="S3" s="432">
        <v>480</v>
      </c>
      <c r="T3" s="445">
        <v>44544</v>
      </c>
      <c r="U3" s="437"/>
      <c r="V3" s="441" t="s">
        <v>2692</v>
      </c>
      <c r="W3" s="427" t="s">
        <v>2701</v>
      </c>
      <c r="X3" s="430"/>
    </row>
    <row r="4" spans="1:31" s="69" customFormat="1" ht="14.25" customHeight="1">
      <c r="A4" s="427" t="s">
        <v>37</v>
      </c>
      <c r="B4" s="427" t="s">
        <v>195</v>
      </c>
      <c r="C4" s="427" t="s">
        <v>2203</v>
      </c>
      <c r="D4" s="390"/>
      <c r="E4" s="427"/>
      <c r="F4" s="427"/>
      <c r="G4" s="427"/>
      <c r="H4" s="427"/>
      <c r="I4" s="427"/>
      <c r="J4" s="427" t="s">
        <v>1099</v>
      </c>
      <c r="K4" s="427" t="s">
        <v>43</v>
      </c>
      <c r="L4" s="427" t="s">
        <v>826</v>
      </c>
      <c r="M4" s="427" t="s">
        <v>44</v>
      </c>
      <c r="N4" s="427"/>
      <c r="O4" s="427"/>
      <c r="P4" s="427" t="s">
        <v>573</v>
      </c>
      <c r="Q4" s="427" t="s">
        <v>2175</v>
      </c>
      <c r="R4" s="431"/>
      <c r="S4" s="432"/>
      <c r="T4" s="444">
        <v>43749</v>
      </c>
      <c r="U4" s="433"/>
      <c r="V4" s="427"/>
      <c r="W4" s="427"/>
      <c r="X4" s="390"/>
    </row>
    <row r="5" spans="1:31" s="69" customFormat="1" ht="14.25" customHeight="1">
      <c r="A5" s="427" t="s">
        <v>37</v>
      </c>
      <c r="B5" s="427" t="s">
        <v>195</v>
      </c>
      <c r="C5" s="427" t="s">
        <v>814</v>
      </c>
      <c r="D5" s="390"/>
      <c r="E5" s="427"/>
      <c r="F5" s="427"/>
      <c r="G5" s="427"/>
      <c r="H5" s="427"/>
      <c r="I5" s="427"/>
      <c r="J5" s="427" t="s">
        <v>1099</v>
      </c>
      <c r="K5" s="427" t="s">
        <v>43</v>
      </c>
      <c r="L5" s="427" t="s">
        <v>815</v>
      </c>
      <c r="M5" s="427" t="s">
        <v>44</v>
      </c>
      <c r="N5" s="659"/>
      <c r="O5" s="659"/>
      <c r="P5" s="427" t="s">
        <v>573</v>
      </c>
      <c r="Q5" s="427"/>
      <c r="R5" s="431"/>
      <c r="S5" s="431"/>
      <c r="T5" s="444"/>
      <c r="U5" s="433"/>
      <c r="V5" s="427" t="s">
        <v>814</v>
      </c>
      <c r="W5" s="427"/>
      <c r="X5" s="390"/>
    </row>
    <row r="6" spans="1:31" s="69" customFormat="1" ht="14.25" customHeight="1">
      <c r="A6" s="427" t="s">
        <v>37</v>
      </c>
      <c r="B6" s="427" t="s">
        <v>195</v>
      </c>
      <c r="C6" s="427" t="s">
        <v>277</v>
      </c>
      <c r="D6" s="430" t="s">
        <v>3001</v>
      </c>
      <c r="E6" s="427" t="s">
        <v>1132</v>
      </c>
      <c r="F6" s="427" t="s">
        <v>1395</v>
      </c>
      <c r="G6" s="427" t="s">
        <v>1395</v>
      </c>
      <c r="H6" s="427" t="s">
        <v>41</v>
      </c>
      <c r="I6" s="427" t="s">
        <v>42</v>
      </c>
      <c r="J6" s="427" t="s">
        <v>43</v>
      </c>
      <c r="K6" s="427" t="s">
        <v>43</v>
      </c>
      <c r="L6" s="427" t="s">
        <v>43</v>
      </c>
      <c r="M6" s="427" t="s">
        <v>44</v>
      </c>
      <c r="N6" s="427">
        <v>24.260719999999999</v>
      </c>
      <c r="O6" s="427">
        <v>97.238829999999993</v>
      </c>
      <c r="P6" s="427" t="s">
        <v>573</v>
      </c>
      <c r="Q6" s="427" t="s">
        <v>592</v>
      </c>
      <c r="R6" s="439">
        <v>222</v>
      </c>
      <c r="S6" s="432">
        <v>1055</v>
      </c>
      <c r="T6" s="444"/>
      <c r="U6" s="433"/>
      <c r="V6" s="427" t="s">
        <v>277</v>
      </c>
      <c r="W6" s="427"/>
      <c r="X6" s="430"/>
    </row>
    <row r="7" spans="1:31" s="69" customFormat="1" ht="14.25" customHeight="1">
      <c r="A7" s="427" t="s">
        <v>37</v>
      </c>
      <c r="B7" s="429" t="s">
        <v>195</v>
      </c>
      <c r="C7" s="429" t="s">
        <v>196</v>
      </c>
      <c r="D7" s="430" t="s">
        <v>3001</v>
      </c>
      <c r="E7" s="427" t="s">
        <v>1131</v>
      </c>
      <c r="F7" s="429" t="s">
        <v>1394</v>
      </c>
      <c r="G7" s="427" t="s">
        <v>1394</v>
      </c>
      <c r="H7" s="427" t="s">
        <v>41</v>
      </c>
      <c r="I7" s="427" t="s">
        <v>2116</v>
      </c>
      <c r="J7" s="427" t="s">
        <v>43</v>
      </c>
      <c r="K7" s="427" t="s">
        <v>43</v>
      </c>
      <c r="L7" s="427" t="s">
        <v>43</v>
      </c>
      <c r="M7" s="427" t="s">
        <v>44</v>
      </c>
      <c r="N7" s="427">
        <v>24.260466999999998</v>
      </c>
      <c r="O7" s="427">
        <v>97.252650000000003</v>
      </c>
      <c r="P7" s="427" t="s">
        <v>573</v>
      </c>
      <c r="Q7" s="427" t="s">
        <v>592</v>
      </c>
      <c r="R7" s="439">
        <v>9</v>
      </c>
      <c r="S7" s="432">
        <v>37</v>
      </c>
      <c r="T7" s="444"/>
      <c r="U7" s="433"/>
      <c r="V7" s="427" t="s">
        <v>196</v>
      </c>
      <c r="W7" s="361"/>
      <c r="X7" s="430"/>
    </row>
    <row r="8" spans="1:31" s="69" customFormat="1" ht="14.25" customHeight="1">
      <c r="A8" s="427" t="s">
        <v>37</v>
      </c>
      <c r="B8" s="427" t="s">
        <v>195</v>
      </c>
      <c r="C8" s="427" t="s">
        <v>822</v>
      </c>
      <c r="D8" s="390" t="s">
        <v>1299</v>
      </c>
      <c r="E8" s="427"/>
      <c r="F8" s="427"/>
      <c r="G8" s="427"/>
      <c r="H8" s="427"/>
      <c r="I8" s="427"/>
      <c r="J8" s="427" t="s">
        <v>607</v>
      </c>
      <c r="K8" s="427" t="s">
        <v>607</v>
      </c>
      <c r="L8" s="427" t="s">
        <v>607</v>
      </c>
      <c r="M8" s="427" t="s">
        <v>44</v>
      </c>
      <c r="N8" s="427"/>
      <c r="O8" s="427"/>
      <c r="P8" s="427" t="s">
        <v>608</v>
      </c>
      <c r="Q8" s="427"/>
      <c r="R8" s="431"/>
      <c r="S8" s="431"/>
      <c r="T8" s="444"/>
      <c r="U8" s="433"/>
      <c r="V8" s="427"/>
      <c r="W8" s="427"/>
      <c r="X8" s="390"/>
    </row>
    <row r="9" spans="1:31" s="69" customFormat="1" ht="14.25" customHeight="1">
      <c r="A9" s="427" t="s">
        <v>37</v>
      </c>
      <c r="B9" s="427" t="s">
        <v>195</v>
      </c>
      <c r="C9" s="427" t="s">
        <v>3020</v>
      </c>
      <c r="D9" s="430" t="s">
        <v>3001</v>
      </c>
      <c r="E9" s="427" t="s">
        <v>1135</v>
      </c>
      <c r="F9" s="427"/>
      <c r="G9" s="427"/>
      <c r="H9" s="427"/>
      <c r="I9" s="427" t="s">
        <v>1619</v>
      </c>
      <c r="J9" s="427" t="s">
        <v>43</v>
      </c>
      <c r="K9" s="427" t="s">
        <v>43</v>
      </c>
      <c r="L9" s="427" t="s">
        <v>2608</v>
      </c>
      <c r="M9" s="427" t="s">
        <v>44</v>
      </c>
      <c r="N9" s="427">
        <v>24.263786</v>
      </c>
      <c r="O9" s="427">
        <v>97.228835000000004</v>
      </c>
      <c r="P9" s="427" t="s">
        <v>585</v>
      </c>
      <c r="Q9" s="427" t="s">
        <v>574</v>
      </c>
      <c r="R9" s="439">
        <v>65</v>
      </c>
      <c r="S9" s="432">
        <v>337</v>
      </c>
      <c r="T9" s="444"/>
      <c r="U9" s="433" t="s">
        <v>738</v>
      </c>
      <c r="V9" s="427" t="s">
        <v>737</v>
      </c>
      <c r="W9" s="427"/>
      <c r="X9" s="430"/>
    </row>
    <row r="10" spans="1:31" s="69" customFormat="1" ht="14.25" customHeight="1">
      <c r="A10" s="427" t="s">
        <v>37</v>
      </c>
      <c r="B10" s="427" t="s">
        <v>195</v>
      </c>
      <c r="C10" s="427" t="s">
        <v>580</v>
      </c>
      <c r="D10" s="390" t="s">
        <v>1300</v>
      </c>
      <c r="E10" s="427" t="s">
        <v>1033</v>
      </c>
      <c r="F10" s="427">
        <v>0</v>
      </c>
      <c r="G10" s="427">
        <v>0</v>
      </c>
      <c r="H10" s="427"/>
      <c r="I10" s="427">
        <v>0</v>
      </c>
      <c r="J10" s="427" t="s">
        <v>43</v>
      </c>
      <c r="K10" s="427" t="s">
        <v>43</v>
      </c>
      <c r="L10" s="427" t="s">
        <v>572</v>
      </c>
      <c r="M10" s="427" t="s">
        <v>44</v>
      </c>
      <c r="N10" s="427"/>
      <c r="O10" s="427"/>
      <c r="P10" s="427" t="s">
        <v>573</v>
      </c>
      <c r="Q10" s="427"/>
      <c r="R10" s="431">
        <v>0</v>
      </c>
      <c r="S10" s="431">
        <v>0</v>
      </c>
      <c r="T10" s="444"/>
      <c r="U10" s="433"/>
      <c r="V10" s="427" t="s">
        <v>580</v>
      </c>
      <c r="W10" s="427" t="s">
        <v>1620</v>
      </c>
      <c r="X10" s="390"/>
    </row>
    <row r="11" spans="1:31" s="69" customFormat="1" ht="14.25" customHeight="1">
      <c r="A11" s="427" t="s">
        <v>37</v>
      </c>
      <c r="B11" s="427" t="s">
        <v>195</v>
      </c>
      <c r="C11" s="427" t="s">
        <v>198</v>
      </c>
      <c r="D11" s="430" t="s">
        <v>3001</v>
      </c>
      <c r="E11" s="427" t="s">
        <v>1123</v>
      </c>
      <c r="F11" s="427" t="s">
        <v>1392</v>
      </c>
      <c r="G11" s="427" t="s">
        <v>1393</v>
      </c>
      <c r="H11" s="427" t="s">
        <v>41</v>
      </c>
      <c r="I11" s="427" t="s">
        <v>2116</v>
      </c>
      <c r="J11" s="427" t="s">
        <v>43</v>
      </c>
      <c r="K11" s="427" t="s">
        <v>43</v>
      </c>
      <c r="L11" s="427" t="s">
        <v>43</v>
      </c>
      <c r="M11" s="427" t="s">
        <v>44</v>
      </c>
      <c r="N11" s="427">
        <v>24.24766</v>
      </c>
      <c r="O11" s="427">
        <v>97.236919999999998</v>
      </c>
      <c r="P11" s="427" t="s">
        <v>573</v>
      </c>
      <c r="Q11" s="427" t="s">
        <v>592</v>
      </c>
      <c r="R11" s="439">
        <v>37</v>
      </c>
      <c r="S11" s="432">
        <v>226</v>
      </c>
      <c r="T11" s="444"/>
      <c r="U11" s="433"/>
      <c r="V11" s="427" t="s">
        <v>198</v>
      </c>
      <c r="W11" s="427"/>
      <c r="X11" s="430"/>
    </row>
    <row r="12" spans="1:31" s="69" customFormat="1" ht="14.25" customHeight="1">
      <c r="A12" s="427" t="s">
        <v>37</v>
      </c>
      <c r="B12" s="427" t="s">
        <v>195</v>
      </c>
      <c r="C12" s="427" t="s">
        <v>736</v>
      </c>
      <c r="D12" s="390" t="s">
        <v>1300</v>
      </c>
      <c r="E12" s="427" t="s">
        <v>1133</v>
      </c>
      <c r="F12" s="427">
        <v>0</v>
      </c>
      <c r="G12" s="427">
        <v>0</v>
      </c>
      <c r="H12" s="427"/>
      <c r="I12" s="427">
        <v>0</v>
      </c>
      <c r="J12" s="427" t="s">
        <v>43</v>
      </c>
      <c r="K12" s="427" t="s">
        <v>43</v>
      </c>
      <c r="L12" s="427" t="s">
        <v>572</v>
      </c>
      <c r="M12" s="427" t="s">
        <v>44</v>
      </c>
      <c r="N12" s="427">
        <v>24.262418019999998</v>
      </c>
      <c r="O12" s="427">
        <v>97.221556500000005</v>
      </c>
      <c r="P12" s="427" t="s">
        <v>573</v>
      </c>
      <c r="Q12" s="427"/>
      <c r="R12" s="431">
        <v>0</v>
      </c>
      <c r="S12" s="431">
        <v>0</v>
      </c>
      <c r="T12" s="444"/>
      <c r="U12" s="433"/>
      <c r="V12" s="427" t="s">
        <v>736</v>
      </c>
      <c r="W12" s="427" t="s">
        <v>1621</v>
      </c>
      <c r="X12" s="390"/>
    </row>
    <row r="13" spans="1:31" s="69" customFormat="1" ht="14.25" customHeight="1">
      <c r="A13" s="427" t="s">
        <v>37</v>
      </c>
      <c r="B13" s="427" t="s">
        <v>195</v>
      </c>
      <c r="C13" s="427" t="s">
        <v>200</v>
      </c>
      <c r="D13" s="430" t="s">
        <v>3001</v>
      </c>
      <c r="E13" s="427" t="s">
        <v>1134</v>
      </c>
      <c r="F13" s="427" t="s">
        <v>1395</v>
      </c>
      <c r="G13" s="427" t="s">
        <v>1395</v>
      </c>
      <c r="H13" s="427" t="s">
        <v>41</v>
      </c>
      <c r="I13" s="427" t="s">
        <v>242</v>
      </c>
      <c r="J13" s="427" t="s">
        <v>43</v>
      </c>
      <c r="K13" s="427" t="s">
        <v>43</v>
      </c>
      <c r="L13" s="427" t="s">
        <v>43</v>
      </c>
      <c r="M13" s="427" t="s">
        <v>44</v>
      </c>
      <c r="N13" s="427">
        <v>24.2631743589744</v>
      </c>
      <c r="O13" s="427">
        <v>97.240183461538507</v>
      </c>
      <c r="P13" s="427" t="s">
        <v>573</v>
      </c>
      <c r="Q13" s="427" t="s">
        <v>592</v>
      </c>
      <c r="R13" s="439">
        <v>134</v>
      </c>
      <c r="S13" s="432">
        <v>767</v>
      </c>
      <c r="T13" s="444"/>
      <c r="U13" s="433"/>
      <c r="V13" s="427" t="s">
        <v>200</v>
      </c>
      <c r="W13" s="427"/>
      <c r="X13" s="430"/>
    </row>
    <row r="14" spans="1:31" s="69" customFormat="1" ht="14.25" customHeight="1">
      <c r="A14" s="427" t="s">
        <v>37</v>
      </c>
      <c r="B14" s="427" t="s">
        <v>195</v>
      </c>
      <c r="C14" s="427" t="s">
        <v>2233</v>
      </c>
      <c r="D14" s="390"/>
      <c r="E14" s="427"/>
      <c r="F14" s="427"/>
      <c r="G14" s="427"/>
      <c r="H14" s="427"/>
      <c r="I14" s="427"/>
      <c r="J14" s="427" t="s">
        <v>1099</v>
      </c>
      <c r="K14" s="427" t="s">
        <v>43</v>
      </c>
      <c r="L14" s="427" t="s">
        <v>588</v>
      </c>
      <c r="M14" s="427" t="s">
        <v>44</v>
      </c>
      <c r="N14" s="427"/>
      <c r="O14" s="427"/>
      <c r="P14" s="427" t="s">
        <v>573</v>
      </c>
      <c r="Q14" s="427"/>
      <c r="R14" s="431"/>
      <c r="S14" s="431"/>
      <c r="T14" s="444">
        <v>43774</v>
      </c>
      <c r="U14" s="433" t="s">
        <v>2234</v>
      </c>
      <c r="V14" s="427" t="s">
        <v>1592</v>
      </c>
      <c r="W14" s="702"/>
      <c r="X14" s="390"/>
    </row>
    <row r="15" spans="1:31" s="69" customFormat="1" ht="14.25" customHeight="1">
      <c r="A15" s="427" t="s">
        <v>37</v>
      </c>
      <c r="B15" s="427" t="s">
        <v>195</v>
      </c>
      <c r="C15" s="427" t="s">
        <v>201</v>
      </c>
      <c r="D15" s="481" t="s">
        <v>2653</v>
      </c>
      <c r="E15" s="427" t="s">
        <v>1129</v>
      </c>
      <c r="F15" s="427" t="s">
        <v>1392</v>
      </c>
      <c r="G15" s="427" t="s">
        <v>1393</v>
      </c>
      <c r="H15" s="427" t="s">
        <v>41</v>
      </c>
      <c r="I15" s="427" t="s">
        <v>242</v>
      </c>
      <c r="J15" s="427" t="s">
        <v>43</v>
      </c>
      <c r="K15" s="427" t="s">
        <v>43</v>
      </c>
      <c r="L15" s="427" t="s">
        <v>572</v>
      </c>
      <c r="M15" s="427" t="s">
        <v>44</v>
      </c>
      <c r="N15" s="427">
        <v>24.253067000000001</v>
      </c>
      <c r="O15" s="427">
        <v>97.234200000000001</v>
      </c>
      <c r="P15" s="427" t="s">
        <v>573</v>
      </c>
      <c r="Q15" s="427" t="s">
        <v>592</v>
      </c>
      <c r="R15" s="431">
        <v>14</v>
      </c>
      <c r="S15" s="431">
        <v>55</v>
      </c>
      <c r="T15" s="444"/>
      <c r="U15" s="433"/>
      <c r="V15" s="427" t="s">
        <v>201</v>
      </c>
      <c r="W15" s="427" t="s">
        <v>2652</v>
      </c>
      <c r="X15" s="481"/>
    </row>
    <row r="16" spans="1:31" s="69" customFormat="1" ht="14.25" customHeight="1">
      <c r="A16" s="432" t="s">
        <v>37</v>
      </c>
      <c r="B16" s="435" t="s">
        <v>195</v>
      </c>
      <c r="C16" s="436" t="s">
        <v>2773</v>
      </c>
      <c r="D16" s="430" t="s">
        <v>3001</v>
      </c>
      <c r="E16" s="427" t="s">
        <v>2784</v>
      </c>
      <c r="F16" s="427" t="s">
        <v>1399</v>
      </c>
      <c r="G16" s="427" t="s">
        <v>2796</v>
      </c>
      <c r="H16" s="427"/>
      <c r="I16" s="427"/>
      <c r="J16" s="427" t="s">
        <v>43</v>
      </c>
      <c r="K16" s="427" t="s">
        <v>43</v>
      </c>
      <c r="L16" s="427" t="s">
        <v>43</v>
      </c>
      <c r="M16" s="427" t="s">
        <v>44</v>
      </c>
      <c r="N16" s="427">
        <v>24.314934000000001</v>
      </c>
      <c r="O16" s="427">
        <v>97.305190999999994</v>
      </c>
      <c r="P16" s="427"/>
      <c r="Q16" s="427" t="s">
        <v>2801</v>
      </c>
      <c r="R16" s="439">
        <v>40</v>
      </c>
      <c r="S16" s="432">
        <v>190</v>
      </c>
      <c r="T16" s="444">
        <v>44662</v>
      </c>
      <c r="U16" s="433">
        <v>44501</v>
      </c>
      <c r="V16" s="431"/>
      <c r="W16" s="716" t="s">
        <v>2803</v>
      </c>
      <c r="X16" s="430"/>
    </row>
    <row r="17" spans="1:24" s="69" customFormat="1" ht="14.25" customHeight="1">
      <c r="A17" s="427" t="s">
        <v>37</v>
      </c>
      <c r="B17" s="427" t="s">
        <v>195</v>
      </c>
      <c r="C17" s="427" t="s">
        <v>203</v>
      </c>
      <c r="D17" s="390" t="s">
        <v>2258</v>
      </c>
      <c r="E17" s="427" t="s">
        <v>1139</v>
      </c>
      <c r="F17" s="427" t="s">
        <v>1399</v>
      </c>
      <c r="G17" s="427" t="s">
        <v>1399</v>
      </c>
      <c r="H17" s="427" t="s">
        <v>41</v>
      </c>
      <c r="I17" s="427" t="s">
        <v>42</v>
      </c>
      <c r="J17" s="427" t="s">
        <v>43</v>
      </c>
      <c r="K17" s="427" t="s">
        <v>43</v>
      </c>
      <c r="L17" s="427" t="s">
        <v>43</v>
      </c>
      <c r="M17" s="427" t="s">
        <v>44</v>
      </c>
      <c r="N17" s="427">
        <v>24.32638</v>
      </c>
      <c r="O17" s="427">
        <v>97.315860000000001</v>
      </c>
      <c r="P17" s="427" t="s">
        <v>573</v>
      </c>
      <c r="Q17" s="427" t="s">
        <v>592</v>
      </c>
      <c r="R17" s="431">
        <v>17</v>
      </c>
      <c r="S17" s="431">
        <v>75</v>
      </c>
      <c r="T17" s="444"/>
      <c r="U17" s="433"/>
      <c r="V17" s="427" t="s">
        <v>203</v>
      </c>
      <c r="W17" s="427"/>
      <c r="X17" s="390"/>
    </row>
    <row r="18" spans="1:24" s="427" customFormat="1" ht="14.25" customHeight="1">
      <c r="A18" s="432" t="s">
        <v>37</v>
      </c>
      <c r="B18" s="427" t="s">
        <v>195</v>
      </c>
      <c r="C18" s="360" t="s">
        <v>279</v>
      </c>
      <c r="D18" s="430" t="s">
        <v>3001</v>
      </c>
      <c r="E18" s="427" t="s">
        <v>1120</v>
      </c>
      <c r="F18" s="427" t="s">
        <v>1389</v>
      </c>
      <c r="G18" s="427" t="s">
        <v>1390</v>
      </c>
      <c r="H18" s="427" t="s">
        <v>41</v>
      </c>
      <c r="I18" s="427" t="s">
        <v>2116</v>
      </c>
      <c r="J18" s="427" t="s">
        <v>43</v>
      </c>
      <c r="K18" s="427" t="s">
        <v>43</v>
      </c>
      <c r="L18" s="427" t="s">
        <v>43</v>
      </c>
      <c r="M18" s="427" t="s">
        <v>44</v>
      </c>
      <c r="N18" s="427">
        <v>24.222349999999999</v>
      </c>
      <c r="O18" s="427">
        <v>97.252650000000003</v>
      </c>
      <c r="P18" s="427" t="s">
        <v>573</v>
      </c>
      <c r="Q18" s="427" t="s">
        <v>592</v>
      </c>
      <c r="R18" s="439">
        <v>64</v>
      </c>
      <c r="S18" s="432">
        <v>339</v>
      </c>
      <c r="T18" s="444"/>
      <c r="U18" s="433"/>
      <c r="V18" s="360" t="s">
        <v>279</v>
      </c>
      <c r="X18" s="430"/>
    </row>
    <row r="19" spans="1:24" s="69" customFormat="1" ht="14.25" customHeight="1">
      <c r="A19" s="432" t="s">
        <v>37</v>
      </c>
      <c r="B19" s="435" t="s">
        <v>195</v>
      </c>
      <c r="C19" s="436" t="s">
        <v>280</v>
      </c>
      <c r="D19" s="430" t="s">
        <v>3001</v>
      </c>
      <c r="E19" s="427" t="s">
        <v>1136</v>
      </c>
      <c r="F19" s="427" t="s">
        <v>1392</v>
      </c>
      <c r="G19" s="427" t="s">
        <v>1396</v>
      </c>
      <c r="H19" s="427" t="s">
        <v>41</v>
      </c>
      <c r="I19" s="427" t="s">
        <v>2116</v>
      </c>
      <c r="J19" s="429" t="s">
        <v>43</v>
      </c>
      <c r="K19" s="427" t="s">
        <v>43</v>
      </c>
      <c r="L19" s="427" t="s">
        <v>43</v>
      </c>
      <c r="M19" s="427" t="s">
        <v>44</v>
      </c>
      <c r="N19" s="427">
        <v>24.268292826086999</v>
      </c>
      <c r="O19" s="427">
        <v>97.229116811594196</v>
      </c>
      <c r="P19" s="427" t="s">
        <v>573</v>
      </c>
      <c r="Q19" s="427" t="s">
        <v>592</v>
      </c>
      <c r="R19" s="439">
        <v>597</v>
      </c>
      <c r="S19" s="432">
        <v>3765</v>
      </c>
      <c r="T19" s="444"/>
      <c r="U19" s="439"/>
      <c r="V19" s="427" t="s">
        <v>280</v>
      </c>
      <c r="W19" s="431" t="s">
        <v>1733</v>
      </c>
      <c r="X19" s="430"/>
    </row>
    <row r="20" spans="1:24" s="69" customFormat="1" ht="14.25" customHeight="1">
      <c r="A20" s="436" t="s">
        <v>37</v>
      </c>
      <c r="B20" s="435" t="s">
        <v>195</v>
      </c>
      <c r="C20" s="441" t="s">
        <v>2202</v>
      </c>
      <c r="D20" s="390"/>
      <c r="E20" s="429"/>
      <c r="F20" s="429"/>
      <c r="G20" s="429"/>
      <c r="H20" s="429" t="s">
        <v>136</v>
      </c>
      <c r="I20" s="429"/>
      <c r="J20" s="429" t="s">
        <v>1099</v>
      </c>
      <c r="K20" s="427" t="s">
        <v>43</v>
      </c>
      <c r="L20" s="427" t="s">
        <v>43</v>
      </c>
      <c r="M20" s="427" t="s">
        <v>44</v>
      </c>
      <c r="N20" s="429"/>
      <c r="O20" s="429"/>
      <c r="P20" s="427" t="s">
        <v>573</v>
      </c>
      <c r="Q20" s="429"/>
      <c r="R20" s="440"/>
      <c r="S20" s="436"/>
      <c r="T20" s="445">
        <v>43749</v>
      </c>
      <c r="U20" s="437"/>
      <c r="V20" s="429"/>
      <c r="W20" s="427"/>
      <c r="X20" s="390"/>
    </row>
    <row r="21" spans="1:24" s="69" customFormat="1" ht="14.25" customHeight="1">
      <c r="A21" s="427" t="s">
        <v>37</v>
      </c>
      <c r="B21" s="429" t="s">
        <v>195</v>
      </c>
      <c r="C21" s="429" t="s">
        <v>1292</v>
      </c>
      <c r="D21" s="390"/>
      <c r="E21" s="429"/>
      <c r="F21" s="427"/>
      <c r="G21" s="427"/>
      <c r="H21" s="427" t="s">
        <v>136</v>
      </c>
      <c r="I21" s="427"/>
      <c r="J21" s="427" t="s">
        <v>1099</v>
      </c>
      <c r="K21" s="427" t="s">
        <v>43</v>
      </c>
      <c r="L21" s="427" t="s">
        <v>43</v>
      </c>
      <c r="M21" s="427" t="s">
        <v>44</v>
      </c>
      <c r="N21" s="427"/>
      <c r="O21" s="427"/>
      <c r="P21" s="427" t="s">
        <v>573</v>
      </c>
      <c r="Q21" s="427"/>
      <c r="R21" s="431"/>
      <c r="S21" s="432"/>
      <c r="T21" s="444"/>
      <c r="U21" s="433"/>
      <c r="V21" s="427"/>
      <c r="W21" s="361"/>
      <c r="X21" s="390"/>
    </row>
    <row r="22" spans="1:24" s="69" customFormat="1" ht="14.25" customHeight="1">
      <c r="A22" s="427" t="s">
        <v>37</v>
      </c>
      <c r="B22" s="429" t="s">
        <v>195</v>
      </c>
      <c r="C22" s="429" t="s">
        <v>739</v>
      </c>
      <c r="D22" s="390" t="s">
        <v>1541</v>
      </c>
      <c r="E22" s="429" t="s">
        <v>1138</v>
      </c>
      <c r="F22" s="427" t="s">
        <v>1392</v>
      </c>
      <c r="G22" s="427" t="s">
        <v>1460</v>
      </c>
      <c r="H22" s="427" t="s">
        <v>41</v>
      </c>
      <c r="I22" s="427" t="s">
        <v>242</v>
      </c>
      <c r="J22" s="427" t="s">
        <v>43</v>
      </c>
      <c r="K22" s="427" t="s">
        <v>43</v>
      </c>
      <c r="L22" s="427" t="s">
        <v>572</v>
      </c>
      <c r="M22" s="427" t="s">
        <v>44</v>
      </c>
      <c r="N22" s="427">
        <v>24.29138</v>
      </c>
      <c r="O22" s="427">
        <v>97.227789999999999</v>
      </c>
      <c r="P22" s="427" t="s">
        <v>573</v>
      </c>
      <c r="Q22" s="427" t="s">
        <v>574</v>
      </c>
      <c r="R22" s="431">
        <v>20</v>
      </c>
      <c r="S22" s="432">
        <v>95</v>
      </c>
      <c r="T22" s="444">
        <v>43276</v>
      </c>
      <c r="U22" s="433" t="s">
        <v>1542</v>
      </c>
      <c r="V22" s="427" t="s">
        <v>739</v>
      </c>
      <c r="W22" s="427" t="s">
        <v>1622</v>
      </c>
      <c r="X22" s="390"/>
    </row>
    <row r="23" spans="1:24" s="69" customFormat="1" ht="14.25" customHeight="1">
      <c r="A23" s="427" t="s">
        <v>37</v>
      </c>
      <c r="B23" s="429" t="s">
        <v>195</v>
      </c>
      <c r="C23" s="429" t="s">
        <v>603</v>
      </c>
      <c r="D23" s="390" t="s">
        <v>1300</v>
      </c>
      <c r="E23" s="429" t="s">
        <v>1053</v>
      </c>
      <c r="F23" s="427">
        <v>0</v>
      </c>
      <c r="G23" s="427">
        <v>0</v>
      </c>
      <c r="H23" s="427"/>
      <c r="I23" s="427">
        <v>0</v>
      </c>
      <c r="J23" s="427" t="s">
        <v>43</v>
      </c>
      <c r="K23" s="427" t="s">
        <v>43</v>
      </c>
      <c r="L23" s="427" t="s">
        <v>572</v>
      </c>
      <c r="M23" s="427" t="s">
        <v>44</v>
      </c>
      <c r="N23" s="427"/>
      <c r="O23" s="427"/>
      <c r="P23" s="427" t="s">
        <v>573</v>
      </c>
      <c r="Q23" s="427"/>
      <c r="R23" s="431">
        <v>0</v>
      </c>
      <c r="S23" s="431">
        <v>0</v>
      </c>
      <c r="T23" s="444"/>
      <c r="U23" s="433"/>
      <c r="V23" s="427" t="s">
        <v>603</v>
      </c>
      <c r="W23" s="427" t="s">
        <v>1623</v>
      </c>
      <c r="X23" s="390"/>
    </row>
    <row r="24" spans="1:24" s="69" customFormat="1" ht="14.25" customHeight="1">
      <c r="A24" s="427" t="s">
        <v>37</v>
      </c>
      <c r="B24" s="427" t="s">
        <v>195</v>
      </c>
      <c r="C24" s="427" t="s">
        <v>204</v>
      </c>
      <c r="D24" s="390" t="s">
        <v>2113</v>
      </c>
      <c r="E24" s="427" t="s">
        <v>1124</v>
      </c>
      <c r="F24" s="427" t="s">
        <v>1389</v>
      </c>
      <c r="G24" s="427" t="s">
        <v>1389</v>
      </c>
      <c r="H24" s="427" t="s">
        <v>41</v>
      </c>
      <c r="I24" s="427" t="s">
        <v>242</v>
      </c>
      <c r="J24" s="427" t="s">
        <v>43</v>
      </c>
      <c r="K24" s="427" t="s">
        <v>43</v>
      </c>
      <c r="L24" s="427" t="s">
        <v>43</v>
      </c>
      <c r="M24" s="427" t="s">
        <v>44</v>
      </c>
      <c r="N24" s="427">
        <v>24.24953</v>
      </c>
      <c r="O24" s="427">
        <v>97.240639999999999</v>
      </c>
      <c r="P24" s="427" t="s">
        <v>573</v>
      </c>
      <c r="Q24" s="427" t="s">
        <v>592</v>
      </c>
      <c r="R24" s="431">
        <v>11</v>
      </c>
      <c r="S24" s="432">
        <v>63</v>
      </c>
      <c r="T24" s="444"/>
      <c r="U24" s="433"/>
      <c r="V24" s="427" t="s">
        <v>204</v>
      </c>
      <c r="W24" s="427"/>
      <c r="X24" s="390"/>
    </row>
    <row r="25" spans="1:24" s="69" customFormat="1" ht="14.25" customHeight="1">
      <c r="A25" s="427" t="s">
        <v>37</v>
      </c>
      <c r="B25" s="427" t="s">
        <v>146</v>
      </c>
      <c r="C25" s="427" t="s">
        <v>825</v>
      </c>
      <c r="D25" s="390" t="s">
        <v>1299</v>
      </c>
      <c r="E25" s="427"/>
      <c r="F25" s="427"/>
      <c r="G25" s="427"/>
      <c r="H25" s="427"/>
      <c r="I25" s="427"/>
      <c r="J25" s="427" t="s">
        <v>43</v>
      </c>
      <c r="K25" s="427" t="s">
        <v>43</v>
      </c>
      <c r="L25" s="427" t="s">
        <v>826</v>
      </c>
      <c r="M25" s="427" t="s">
        <v>44</v>
      </c>
      <c r="N25" s="427"/>
      <c r="O25" s="427"/>
      <c r="P25" s="427" t="s">
        <v>573</v>
      </c>
      <c r="Q25" s="427"/>
      <c r="R25" s="431"/>
      <c r="S25" s="431"/>
      <c r="T25" s="444"/>
      <c r="U25" s="433"/>
      <c r="V25" s="427" t="s">
        <v>825</v>
      </c>
      <c r="W25" s="427"/>
      <c r="X25" s="390"/>
    </row>
    <row r="26" spans="1:24" s="69" customFormat="1" ht="14.25" customHeight="1">
      <c r="A26" s="427" t="s">
        <v>37</v>
      </c>
      <c r="B26" s="427" t="s">
        <v>146</v>
      </c>
      <c r="C26" s="427" t="s">
        <v>245</v>
      </c>
      <c r="D26" s="430" t="s">
        <v>3001</v>
      </c>
      <c r="E26" s="427" t="s">
        <v>1244</v>
      </c>
      <c r="F26" s="427" t="s">
        <v>1453</v>
      </c>
      <c r="G26" s="427" t="s">
        <v>1454</v>
      </c>
      <c r="H26" s="427" t="s">
        <v>41</v>
      </c>
      <c r="I26" s="427" t="s">
        <v>242</v>
      </c>
      <c r="J26" s="427" t="s">
        <v>43</v>
      </c>
      <c r="K26" s="427" t="s">
        <v>43</v>
      </c>
      <c r="L26" s="427" t="s">
        <v>43</v>
      </c>
      <c r="M26" s="427" t="s">
        <v>44</v>
      </c>
      <c r="N26" s="427">
        <v>25.889410000000002</v>
      </c>
      <c r="O26" s="427">
        <v>98.131550000000004</v>
      </c>
      <c r="P26" s="427" t="s">
        <v>573</v>
      </c>
      <c r="Q26" s="427" t="s">
        <v>592</v>
      </c>
      <c r="R26" s="439">
        <v>138</v>
      </c>
      <c r="S26" s="432">
        <v>706</v>
      </c>
      <c r="T26" s="444"/>
      <c r="U26" s="433"/>
      <c r="V26" s="427" t="s">
        <v>245</v>
      </c>
      <c r="W26" s="361"/>
      <c r="X26" s="430"/>
    </row>
    <row r="27" spans="1:24" s="69" customFormat="1" ht="14.25" customHeight="1">
      <c r="A27" s="427" t="s">
        <v>37</v>
      </c>
      <c r="B27" s="429" t="s">
        <v>146</v>
      </c>
      <c r="C27" s="429" t="s">
        <v>3023</v>
      </c>
      <c r="D27" s="430" t="s">
        <v>3001</v>
      </c>
      <c r="E27" s="427" t="s">
        <v>1221</v>
      </c>
      <c r="F27" s="427" t="s">
        <v>1445</v>
      </c>
      <c r="G27" s="427" t="s">
        <v>1338</v>
      </c>
      <c r="H27" s="427" t="s">
        <v>41</v>
      </c>
      <c r="I27" s="427" t="s">
        <v>1035</v>
      </c>
      <c r="J27" s="427" t="s">
        <v>43</v>
      </c>
      <c r="K27" s="427" t="s">
        <v>43</v>
      </c>
      <c r="L27" s="427" t="s">
        <v>2608</v>
      </c>
      <c r="M27" s="427" t="s">
        <v>44</v>
      </c>
      <c r="N27" s="427">
        <v>25.60867</v>
      </c>
      <c r="O27" s="427">
        <v>98.377780000000001</v>
      </c>
      <c r="P27" s="427" t="s">
        <v>573</v>
      </c>
      <c r="Q27" s="427" t="s">
        <v>592</v>
      </c>
      <c r="R27" s="439">
        <v>4</v>
      </c>
      <c r="S27" s="432">
        <v>20</v>
      </c>
      <c r="T27" s="444"/>
      <c r="U27" s="433"/>
      <c r="V27" s="427" t="s">
        <v>225</v>
      </c>
      <c r="W27" s="427"/>
      <c r="X27" s="430"/>
    </row>
    <row r="28" spans="1:24" s="69" customFormat="1" ht="14.25" customHeight="1">
      <c r="A28" s="427" t="s">
        <v>37</v>
      </c>
      <c r="B28" s="427" t="s">
        <v>146</v>
      </c>
      <c r="C28" s="427" t="s">
        <v>581</v>
      </c>
      <c r="D28" s="390" t="s">
        <v>1300</v>
      </c>
      <c r="E28" s="427" t="s">
        <v>1034</v>
      </c>
      <c r="F28" s="427">
        <v>0</v>
      </c>
      <c r="G28" s="427">
        <v>0</v>
      </c>
      <c r="H28" s="427" t="s">
        <v>41</v>
      </c>
      <c r="I28" s="427" t="s">
        <v>1035</v>
      </c>
      <c r="J28" s="427" t="s">
        <v>43</v>
      </c>
      <c r="K28" s="427" t="s">
        <v>43</v>
      </c>
      <c r="L28" s="427" t="s">
        <v>572</v>
      </c>
      <c r="M28" s="427" t="s">
        <v>44</v>
      </c>
      <c r="N28" s="427"/>
      <c r="O28" s="427"/>
      <c r="P28" s="427" t="s">
        <v>573</v>
      </c>
      <c r="Q28" s="427"/>
      <c r="R28" s="431">
        <v>0</v>
      </c>
      <c r="S28" s="431">
        <v>0</v>
      </c>
      <c r="T28" s="444"/>
      <c r="U28" s="433"/>
      <c r="V28" s="427" t="s">
        <v>581</v>
      </c>
      <c r="W28" s="361" t="s">
        <v>1624</v>
      </c>
      <c r="X28" s="390"/>
    </row>
    <row r="29" spans="1:24" s="69" customFormat="1" ht="14.25" customHeight="1">
      <c r="A29" s="427" t="s">
        <v>37</v>
      </c>
      <c r="B29" s="427" t="s">
        <v>146</v>
      </c>
      <c r="C29" s="427" t="s">
        <v>147</v>
      </c>
      <c r="D29" s="430" t="s">
        <v>3001</v>
      </c>
      <c r="E29" s="427" t="s">
        <v>1240</v>
      </c>
      <c r="F29" s="427" t="s">
        <v>1450</v>
      </c>
      <c r="G29" s="427" t="s">
        <v>1451</v>
      </c>
      <c r="H29" s="427" t="s">
        <v>41</v>
      </c>
      <c r="I29" s="427" t="s">
        <v>2117</v>
      </c>
      <c r="J29" s="427" t="s">
        <v>43</v>
      </c>
      <c r="K29" s="427" t="s">
        <v>43</v>
      </c>
      <c r="L29" s="427" t="s">
        <v>43</v>
      </c>
      <c r="M29" s="427" t="s">
        <v>590</v>
      </c>
      <c r="N29" s="427">
        <v>25.754110000000001</v>
      </c>
      <c r="O29" s="427">
        <v>98.475719999999995</v>
      </c>
      <c r="P29" s="427" t="s">
        <v>573</v>
      </c>
      <c r="Q29" s="427" t="s">
        <v>592</v>
      </c>
      <c r="R29" s="439">
        <v>167</v>
      </c>
      <c r="S29" s="432">
        <v>936</v>
      </c>
      <c r="T29" s="444"/>
      <c r="U29" s="433"/>
      <c r="V29" s="427" t="s">
        <v>147</v>
      </c>
      <c r="W29" s="427" t="s">
        <v>1734</v>
      </c>
      <c r="X29" s="430"/>
    </row>
    <row r="30" spans="1:24" s="69" customFormat="1" ht="14.25" customHeight="1">
      <c r="A30" s="427" t="s">
        <v>37</v>
      </c>
      <c r="B30" s="427" t="s">
        <v>146</v>
      </c>
      <c r="C30" s="427" t="s">
        <v>790</v>
      </c>
      <c r="D30" s="390" t="s">
        <v>1300</v>
      </c>
      <c r="E30" s="427" t="s">
        <v>1238</v>
      </c>
      <c r="F30" s="427" t="s">
        <v>1354</v>
      </c>
      <c r="G30" s="427" t="s">
        <v>1355</v>
      </c>
      <c r="H30" s="427"/>
      <c r="I30" s="427">
        <v>0</v>
      </c>
      <c r="J30" s="427" t="s">
        <v>43</v>
      </c>
      <c r="K30" s="427" t="s">
        <v>43</v>
      </c>
      <c r="L30" s="427" t="s">
        <v>572</v>
      </c>
      <c r="M30" s="427" t="s">
        <v>44</v>
      </c>
      <c r="N30" s="427">
        <v>25.708763000000001</v>
      </c>
      <c r="O30" s="427">
        <v>98.354146999999998</v>
      </c>
      <c r="P30" s="427" t="s">
        <v>585</v>
      </c>
      <c r="Q30" s="427" t="s">
        <v>574</v>
      </c>
      <c r="R30" s="431">
        <v>0</v>
      </c>
      <c r="S30" s="431">
        <v>0</v>
      </c>
      <c r="T30" s="444">
        <v>42983</v>
      </c>
      <c r="U30" s="433" t="s">
        <v>791</v>
      </c>
      <c r="V30" s="427" t="s">
        <v>790</v>
      </c>
      <c r="W30" s="427" t="s">
        <v>1625</v>
      </c>
      <c r="X30" s="390"/>
    </row>
    <row r="31" spans="1:24" s="69" customFormat="1" ht="14.25" customHeight="1">
      <c r="A31" s="427" t="s">
        <v>37</v>
      </c>
      <c r="B31" s="427" t="s">
        <v>146</v>
      </c>
      <c r="C31" s="427" t="s">
        <v>247</v>
      </c>
      <c r="D31" s="430" t="s">
        <v>3001</v>
      </c>
      <c r="E31" s="427" t="s">
        <v>1243</v>
      </c>
      <c r="F31" s="427" t="s">
        <v>1321</v>
      </c>
      <c r="G31" s="427" t="s">
        <v>1452</v>
      </c>
      <c r="H31" s="427" t="s">
        <v>41</v>
      </c>
      <c r="I31" s="427" t="s">
        <v>242</v>
      </c>
      <c r="J31" s="427" t="s">
        <v>43</v>
      </c>
      <c r="K31" s="427" t="s">
        <v>43</v>
      </c>
      <c r="L31" s="427" t="s">
        <v>43</v>
      </c>
      <c r="M31" s="427" t="s">
        <v>44</v>
      </c>
      <c r="N31" s="427">
        <v>25.887339999999998</v>
      </c>
      <c r="O31" s="427">
        <v>98.129990000000006</v>
      </c>
      <c r="P31" s="427" t="s">
        <v>573</v>
      </c>
      <c r="Q31" s="427" t="s">
        <v>592</v>
      </c>
      <c r="R31" s="439">
        <v>195</v>
      </c>
      <c r="S31" s="432">
        <v>854</v>
      </c>
      <c r="T31" s="444"/>
      <c r="U31" s="433"/>
      <c r="V31" s="427" t="s">
        <v>247</v>
      </c>
      <c r="W31" s="427"/>
      <c r="X31" s="430"/>
    </row>
    <row r="32" spans="1:24" s="69" customFormat="1" ht="14.25" customHeight="1">
      <c r="A32" s="427" t="s">
        <v>37</v>
      </c>
      <c r="B32" s="427" t="s">
        <v>146</v>
      </c>
      <c r="C32" s="427" t="s">
        <v>227</v>
      </c>
      <c r="D32" s="390" t="s">
        <v>2620</v>
      </c>
      <c r="E32" s="427" t="s">
        <v>1231</v>
      </c>
      <c r="F32" s="427" t="s">
        <v>1355</v>
      </c>
      <c r="G32" s="427" t="s">
        <v>227</v>
      </c>
      <c r="H32" s="427" t="s">
        <v>41</v>
      </c>
      <c r="I32" s="427" t="s">
        <v>1035</v>
      </c>
      <c r="J32" s="427" t="s">
        <v>43</v>
      </c>
      <c r="K32" s="427" t="s">
        <v>43</v>
      </c>
      <c r="L32" s="427" t="s">
        <v>572</v>
      </c>
      <c r="M32" s="427" t="s">
        <v>44</v>
      </c>
      <c r="N32" s="427">
        <v>25.645959999999999</v>
      </c>
      <c r="O32" s="427">
        <v>98.356260000000006</v>
      </c>
      <c r="P32" s="427" t="s">
        <v>573</v>
      </c>
      <c r="Q32" s="427" t="s">
        <v>592</v>
      </c>
      <c r="R32" s="431">
        <v>27</v>
      </c>
      <c r="S32" s="432">
        <v>154</v>
      </c>
      <c r="T32" s="444"/>
      <c r="U32" s="433"/>
      <c r="V32" s="427" t="s">
        <v>785</v>
      </c>
      <c r="W32" s="361"/>
      <c r="X32" s="390"/>
    </row>
    <row r="33" spans="1:24" s="69" customFormat="1" ht="14.25" customHeight="1">
      <c r="A33" s="427" t="s">
        <v>37</v>
      </c>
      <c r="B33" s="427" t="s">
        <v>148</v>
      </c>
      <c r="C33" s="427" t="s">
        <v>786</v>
      </c>
      <c r="D33" s="390" t="s">
        <v>1300</v>
      </c>
      <c r="E33" s="427" t="s">
        <v>1234</v>
      </c>
      <c r="F33" s="427" t="s">
        <v>1352</v>
      </c>
      <c r="G33" s="427" t="s">
        <v>1352</v>
      </c>
      <c r="H33" s="427" t="s">
        <v>41</v>
      </c>
      <c r="I33" s="427" t="s">
        <v>141</v>
      </c>
      <c r="J33" s="427" t="s">
        <v>43</v>
      </c>
      <c r="K33" s="427" t="s">
        <v>43</v>
      </c>
      <c r="L33" s="427" t="s">
        <v>572</v>
      </c>
      <c r="M33" s="427" t="s">
        <v>44</v>
      </c>
      <c r="N33" s="427">
        <v>25.656130000000001</v>
      </c>
      <c r="O33" s="427">
        <v>96.355270000000004</v>
      </c>
      <c r="P33" s="427" t="s">
        <v>573</v>
      </c>
      <c r="Q33" s="427" t="s">
        <v>592</v>
      </c>
      <c r="R33" s="431">
        <v>0</v>
      </c>
      <c r="S33" s="431">
        <v>0</v>
      </c>
      <c r="T33" s="444">
        <v>42983</v>
      </c>
      <c r="U33" s="433" t="s">
        <v>787</v>
      </c>
      <c r="V33" s="427" t="s">
        <v>786</v>
      </c>
      <c r="W33" s="427" t="s">
        <v>1626</v>
      </c>
      <c r="X33" s="390"/>
    </row>
    <row r="34" spans="1:24" s="69" customFormat="1" ht="14.25" customHeight="1">
      <c r="A34" s="427" t="s">
        <v>37</v>
      </c>
      <c r="B34" s="427" t="s">
        <v>148</v>
      </c>
      <c r="C34" s="427" t="s">
        <v>796</v>
      </c>
      <c r="D34" s="390" t="s">
        <v>1300</v>
      </c>
      <c r="E34" s="427" t="s">
        <v>1245</v>
      </c>
      <c r="F34" s="427" t="s">
        <v>1359</v>
      </c>
      <c r="G34" s="427" t="s">
        <v>1360</v>
      </c>
      <c r="H34" s="427"/>
      <c r="I34" s="427">
        <v>0</v>
      </c>
      <c r="J34" s="427" t="s">
        <v>43</v>
      </c>
      <c r="K34" s="427" t="s">
        <v>43</v>
      </c>
      <c r="L34" s="427" t="s">
        <v>572</v>
      </c>
      <c r="M34" s="427" t="s">
        <v>44</v>
      </c>
      <c r="N34" s="427">
        <v>25.920006000000001</v>
      </c>
      <c r="O34" s="427">
        <v>96.662092000000001</v>
      </c>
      <c r="P34" s="427" t="s">
        <v>573</v>
      </c>
      <c r="Q34" s="427" t="s">
        <v>574</v>
      </c>
      <c r="R34" s="431">
        <v>0</v>
      </c>
      <c r="S34" s="431">
        <v>0</v>
      </c>
      <c r="T34" s="444"/>
      <c r="U34" s="433"/>
      <c r="V34" s="427"/>
      <c r="W34" s="427" t="s">
        <v>1627</v>
      </c>
      <c r="X34" s="390"/>
    </row>
    <row r="35" spans="1:24" s="69" customFormat="1" ht="14.25" customHeight="1">
      <c r="A35" s="427" t="s">
        <v>37</v>
      </c>
      <c r="B35" s="427" t="s">
        <v>148</v>
      </c>
      <c r="C35" s="427" t="s">
        <v>248</v>
      </c>
      <c r="D35" s="430" t="s">
        <v>3001</v>
      </c>
      <c r="E35" s="427" t="s">
        <v>1229</v>
      </c>
      <c r="F35" s="427" t="s">
        <v>1352</v>
      </c>
      <c r="G35" s="427" t="s">
        <v>1352</v>
      </c>
      <c r="H35" s="427" t="s">
        <v>41</v>
      </c>
      <c r="I35" s="427" t="s">
        <v>242</v>
      </c>
      <c r="J35" s="427" t="s">
        <v>43</v>
      </c>
      <c r="K35" s="427" t="s">
        <v>43</v>
      </c>
      <c r="L35" s="427" t="s">
        <v>43</v>
      </c>
      <c r="M35" s="427" t="s">
        <v>44</v>
      </c>
      <c r="N35" s="427">
        <v>25.635300000000001</v>
      </c>
      <c r="O35" s="427">
        <v>96.345569999999995</v>
      </c>
      <c r="P35" s="427" t="s">
        <v>573</v>
      </c>
      <c r="Q35" s="427" t="s">
        <v>592</v>
      </c>
      <c r="R35" s="439">
        <v>94</v>
      </c>
      <c r="S35" s="432">
        <v>438</v>
      </c>
      <c r="T35" s="444"/>
      <c r="U35" s="433"/>
      <c r="V35" s="427" t="s">
        <v>248</v>
      </c>
      <c r="W35" s="427"/>
      <c r="X35" s="430"/>
    </row>
    <row r="36" spans="1:24" s="69" customFormat="1" ht="14.25" customHeight="1">
      <c r="A36" s="427" t="s">
        <v>37</v>
      </c>
      <c r="B36" s="427" t="s">
        <v>148</v>
      </c>
      <c r="C36" s="427" t="s">
        <v>249</v>
      </c>
      <c r="D36" s="430" t="s">
        <v>3001</v>
      </c>
      <c r="E36" s="427" t="s">
        <v>1226</v>
      </c>
      <c r="F36" s="427" t="s">
        <v>1446</v>
      </c>
      <c r="G36" s="427" t="s">
        <v>1447</v>
      </c>
      <c r="H36" s="427" t="s">
        <v>41</v>
      </c>
      <c r="I36" s="427" t="s">
        <v>242</v>
      </c>
      <c r="J36" s="427" t="s">
        <v>43</v>
      </c>
      <c r="K36" s="427" t="s">
        <v>43</v>
      </c>
      <c r="L36" s="427" t="s">
        <v>43</v>
      </c>
      <c r="M36" s="427" t="s">
        <v>44</v>
      </c>
      <c r="N36" s="427">
        <v>25.616509000000001</v>
      </c>
      <c r="O36" s="427">
        <v>96.317350000000005</v>
      </c>
      <c r="P36" s="427" t="s">
        <v>573</v>
      </c>
      <c r="Q36" s="427" t="s">
        <v>592</v>
      </c>
      <c r="R36" s="439">
        <v>14</v>
      </c>
      <c r="S36" s="432">
        <v>72</v>
      </c>
      <c r="T36" s="444"/>
      <c r="U36" s="433"/>
      <c r="V36" s="427" t="s">
        <v>249</v>
      </c>
      <c r="W36" s="427"/>
      <c r="X36" s="430"/>
    </row>
    <row r="37" spans="1:24" s="69" customFormat="1" ht="14.25" customHeight="1">
      <c r="A37" s="427" t="s">
        <v>37</v>
      </c>
      <c r="B37" s="427" t="s">
        <v>148</v>
      </c>
      <c r="C37" s="427" t="s">
        <v>250</v>
      </c>
      <c r="D37" s="430" t="s">
        <v>3001</v>
      </c>
      <c r="E37" s="427" t="s">
        <v>1232</v>
      </c>
      <c r="F37" s="427" t="s">
        <v>1352</v>
      </c>
      <c r="G37" s="427" t="s">
        <v>1449</v>
      </c>
      <c r="H37" s="427" t="s">
        <v>41</v>
      </c>
      <c r="I37" s="427" t="s">
        <v>2117</v>
      </c>
      <c r="J37" s="427" t="s">
        <v>43</v>
      </c>
      <c r="K37" s="427" t="s">
        <v>43</v>
      </c>
      <c r="L37" s="427" t="s">
        <v>43</v>
      </c>
      <c r="M37" s="427" t="s">
        <v>44</v>
      </c>
      <c r="N37" s="427">
        <v>25.647649999999999</v>
      </c>
      <c r="O37" s="427">
        <v>96.346469999999997</v>
      </c>
      <c r="P37" s="427" t="s">
        <v>573</v>
      </c>
      <c r="Q37" s="427" t="s">
        <v>592</v>
      </c>
      <c r="R37" s="439">
        <v>41</v>
      </c>
      <c r="S37" s="432">
        <v>249</v>
      </c>
      <c r="T37" s="444"/>
      <c r="U37" s="433"/>
      <c r="V37" s="427" t="s">
        <v>250</v>
      </c>
      <c r="W37" s="361"/>
      <c r="X37" s="430"/>
    </row>
    <row r="38" spans="1:24" s="69" customFormat="1" ht="14.25" customHeight="1">
      <c r="A38" s="427" t="s">
        <v>37</v>
      </c>
      <c r="B38" s="427" t="s">
        <v>148</v>
      </c>
      <c r="C38" s="427" t="s">
        <v>792</v>
      </c>
      <c r="D38" s="390" t="s">
        <v>1300</v>
      </c>
      <c r="E38" s="427" t="s">
        <v>1239</v>
      </c>
      <c r="F38" s="427" t="s">
        <v>1356</v>
      </c>
      <c r="G38" s="427" t="s">
        <v>1357</v>
      </c>
      <c r="H38" s="427" t="s">
        <v>41</v>
      </c>
      <c r="I38" s="427" t="s">
        <v>242</v>
      </c>
      <c r="J38" s="427" t="s">
        <v>43</v>
      </c>
      <c r="K38" s="427" t="s">
        <v>43</v>
      </c>
      <c r="L38" s="427" t="s">
        <v>572</v>
      </c>
      <c r="M38" s="427" t="s">
        <v>44</v>
      </c>
      <c r="N38" s="427">
        <v>25.728653000000001</v>
      </c>
      <c r="O38" s="427">
        <v>96.673805000000002</v>
      </c>
      <c r="P38" s="427" t="s">
        <v>573</v>
      </c>
      <c r="Q38" s="427"/>
      <c r="R38" s="431">
        <v>0</v>
      </c>
      <c r="S38" s="432">
        <v>0</v>
      </c>
      <c r="T38" s="444"/>
      <c r="U38" s="433"/>
      <c r="V38" s="427" t="s">
        <v>792</v>
      </c>
      <c r="W38" s="427" t="s">
        <v>1628</v>
      </c>
      <c r="X38" s="390"/>
    </row>
    <row r="39" spans="1:24" s="69" customFormat="1" ht="14.25" customHeight="1">
      <c r="A39" s="427" t="s">
        <v>37</v>
      </c>
      <c r="B39" s="427" t="s">
        <v>148</v>
      </c>
      <c r="C39" s="427" t="s">
        <v>789</v>
      </c>
      <c r="D39" s="390" t="s">
        <v>1300</v>
      </c>
      <c r="E39" s="427" t="s">
        <v>1237</v>
      </c>
      <c r="F39" s="427" t="s">
        <v>1352</v>
      </c>
      <c r="G39" s="427" t="s">
        <v>1353</v>
      </c>
      <c r="H39" s="427"/>
      <c r="I39" s="427">
        <v>0</v>
      </c>
      <c r="J39" s="427" t="s">
        <v>43</v>
      </c>
      <c r="K39" s="427" t="s">
        <v>43</v>
      </c>
      <c r="L39" s="427" t="s">
        <v>572</v>
      </c>
      <c r="M39" s="427" t="s">
        <v>44</v>
      </c>
      <c r="N39" s="427">
        <v>25.668469999999999</v>
      </c>
      <c r="O39" s="427">
        <v>96.353070000000002</v>
      </c>
      <c r="P39" s="427" t="s">
        <v>573</v>
      </c>
      <c r="Q39" s="427"/>
      <c r="R39" s="431">
        <v>0</v>
      </c>
      <c r="S39" s="431">
        <v>0</v>
      </c>
      <c r="T39" s="444"/>
      <c r="U39" s="433"/>
      <c r="V39" s="427" t="s">
        <v>789</v>
      </c>
      <c r="W39" s="427" t="s">
        <v>1629</v>
      </c>
      <c r="X39" s="390"/>
    </row>
    <row r="40" spans="1:24" s="69" customFormat="1" ht="14.25" customHeight="1">
      <c r="A40" s="427" t="s">
        <v>37</v>
      </c>
      <c r="B40" s="427" t="s">
        <v>148</v>
      </c>
      <c r="C40" s="427" t="s">
        <v>251</v>
      </c>
      <c r="D40" s="430" t="s">
        <v>3001</v>
      </c>
      <c r="E40" s="427" t="s">
        <v>1219</v>
      </c>
      <c r="F40" s="427" t="s">
        <v>1309</v>
      </c>
      <c r="G40" s="427" t="s">
        <v>1309</v>
      </c>
      <c r="H40" s="427" t="s">
        <v>41</v>
      </c>
      <c r="I40" s="427" t="s">
        <v>242</v>
      </c>
      <c r="J40" s="427" t="s">
        <v>43</v>
      </c>
      <c r="K40" s="427" t="s">
        <v>43</v>
      </c>
      <c r="L40" s="427" t="s">
        <v>588</v>
      </c>
      <c r="M40" s="427" t="s">
        <v>44</v>
      </c>
      <c r="N40" s="427">
        <v>25.582065</v>
      </c>
      <c r="O40" s="427">
        <v>96.283377000000002</v>
      </c>
      <c r="P40" s="427" t="s">
        <v>573</v>
      </c>
      <c r="Q40" s="427" t="s">
        <v>592</v>
      </c>
      <c r="R40" s="439">
        <v>5</v>
      </c>
      <c r="S40" s="432">
        <v>24</v>
      </c>
      <c r="T40" s="444"/>
      <c r="U40" s="433"/>
      <c r="V40" s="427" t="s">
        <v>251</v>
      </c>
      <c r="W40" s="427"/>
      <c r="X40" s="430"/>
    </row>
    <row r="41" spans="1:24" s="69" customFormat="1" ht="14.25" customHeight="1">
      <c r="A41" s="427" t="s">
        <v>37</v>
      </c>
      <c r="B41" s="427" t="s">
        <v>148</v>
      </c>
      <c r="C41" s="427" t="s">
        <v>252</v>
      </c>
      <c r="D41" s="430" t="s">
        <v>3001</v>
      </c>
      <c r="E41" s="427" t="s">
        <v>1230</v>
      </c>
      <c r="F41" s="427" t="s">
        <v>1352</v>
      </c>
      <c r="G41" s="427" t="s">
        <v>1448</v>
      </c>
      <c r="H41" s="427" t="s">
        <v>41</v>
      </c>
      <c r="I41" s="427" t="s">
        <v>242</v>
      </c>
      <c r="J41" s="427" t="s">
        <v>43</v>
      </c>
      <c r="K41" s="427" t="s">
        <v>43</v>
      </c>
      <c r="L41" s="427" t="s">
        <v>43</v>
      </c>
      <c r="M41" s="427" t="s">
        <v>44</v>
      </c>
      <c r="N41" s="427">
        <v>25.637309999999999</v>
      </c>
      <c r="O41" s="427">
        <v>96.35257</v>
      </c>
      <c r="P41" s="427" t="s">
        <v>573</v>
      </c>
      <c r="Q41" s="427" t="s">
        <v>592</v>
      </c>
      <c r="R41" s="439">
        <v>91</v>
      </c>
      <c r="S41" s="432">
        <v>442</v>
      </c>
      <c r="T41" s="444"/>
      <c r="U41" s="433"/>
      <c r="V41" s="427" t="s">
        <v>252</v>
      </c>
      <c r="W41" s="427"/>
      <c r="X41" s="430"/>
    </row>
    <row r="42" spans="1:24" s="69" customFormat="1" ht="14.25" customHeight="1">
      <c r="A42" s="427" t="s">
        <v>37</v>
      </c>
      <c r="B42" s="427" t="s">
        <v>148</v>
      </c>
      <c r="C42" s="427" t="s">
        <v>149</v>
      </c>
      <c r="D42" s="430" t="s">
        <v>3001</v>
      </c>
      <c r="E42" s="427" t="s">
        <v>1214</v>
      </c>
      <c r="F42" s="427" t="s">
        <v>1441</v>
      </c>
      <c r="G42" s="427" t="s">
        <v>1442</v>
      </c>
      <c r="H42" s="427" t="s">
        <v>41</v>
      </c>
      <c r="I42" s="427" t="s">
        <v>2117</v>
      </c>
      <c r="J42" s="427" t="s">
        <v>43</v>
      </c>
      <c r="K42" s="427" t="s">
        <v>43</v>
      </c>
      <c r="L42" s="427" t="s">
        <v>43</v>
      </c>
      <c r="M42" s="427" t="s">
        <v>44</v>
      </c>
      <c r="N42" s="427">
        <v>25.51352</v>
      </c>
      <c r="O42" s="427">
        <v>96.705960000000005</v>
      </c>
      <c r="P42" s="427" t="s">
        <v>573</v>
      </c>
      <c r="Q42" s="427" t="s">
        <v>592</v>
      </c>
      <c r="R42" s="439">
        <v>26</v>
      </c>
      <c r="S42" s="432">
        <v>133</v>
      </c>
      <c r="T42" s="444"/>
      <c r="U42" s="433"/>
      <c r="V42" s="427" t="s">
        <v>149</v>
      </c>
      <c r="W42" s="427"/>
      <c r="X42" s="430"/>
    </row>
    <row r="43" spans="1:24" s="69" customFormat="1" ht="14.25" customHeight="1">
      <c r="A43" s="427" t="s">
        <v>37</v>
      </c>
      <c r="B43" s="427" t="s">
        <v>148</v>
      </c>
      <c r="C43" s="427" t="s">
        <v>253</v>
      </c>
      <c r="D43" s="390" t="s">
        <v>2653</v>
      </c>
      <c r="E43" s="427" t="s">
        <v>1225</v>
      </c>
      <c r="F43" s="427" t="s">
        <v>1446</v>
      </c>
      <c r="G43" s="427" t="s">
        <v>1447</v>
      </c>
      <c r="H43" s="427" t="s">
        <v>41</v>
      </c>
      <c r="I43" s="427" t="s">
        <v>242</v>
      </c>
      <c r="J43" s="427" t="s">
        <v>43</v>
      </c>
      <c r="K43" s="427" t="s">
        <v>43</v>
      </c>
      <c r="L43" s="427" t="s">
        <v>572</v>
      </c>
      <c r="M43" s="427" t="s">
        <v>44</v>
      </c>
      <c r="N43" s="427">
        <v>25.615960999999999</v>
      </c>
      <c r="O43" s="427">
        <v>96.316564</v>
      </c>
      <c r="P43" s="427" t="s">
        <v>573</v>
      </c>
      <c r="Q43" s="427" t="s">
        <v>592</v>
      </c>
      <c r="R43" s="431">
        <v>2</v>
      </c>
      <c r="S43" s="431">
        <v>14</v>
      </c>
      <c r="T43" s="444"/>
      <c r="U43" s="433"/>
      <c r="V43" s="427" t="s">
        <v>253</v>
      </c>
      <c r="W43" s="427"/>
      <c r="X43" s="390"/>
    </row>
    <row r="44" spans="1:24" s="69" customFormat="1" ht="14.25" customHeight="1">
      <c r="A44" s="436" t="s">
        <v>37</v>
      </c>
      <c r="B44" s="435" t="s">
        <v>148</v>
      </c>
      <c r="C44" s="429" t="s">
        <v>254</v>
      </c>
      <c r="D44" s="430" t="s">
        <v>3001</v>
      </c>
      <c r="E44" s="427" t="s">
        <v>1222</v>
      </c>
      <c r="F44" s="427" t="s">
        <v>1444</v>
      </c>
      <c r="G44" s="427" t="s">
        <v>1444</v>
      </c>
      <c r="H44" s="427" t="s">
        <v>41</v>
      </c>
      <c r="I44" s="427" t="s">
        <v>2117</v>
      </c>
      <c r="J44" s="427" t="s">
        <v>43</v>
      </c>
      <c r="K44" s="427" t="s">
        <v>43</v>
      </c>
      <c r="L44" s="427" t="s">
        <v>43</v>
      </c>
      <c r="M44" s="427" t="s">
        <v>44</v>
      </c>
      <c r="N44" s="427">
        <v>25.611160000000002</v>
      </c>
      <c r="O44" s="427">
        <v>96.312790000000007</v>
      </c>
      <c r="P44" s="427" t="s">
        <v>573</v>
      </c>
      <c r="Q44" s="427" t="s">
        <v>592</v>
      </c>
      <c r="R44" s="439">
        <v>97</v>
      </c>
      <c r="S44" s="432">
        <v>484</v>
      </c>
      <c r="T44" s="444"/>
      <c r="U44" s="433"/>
      <c r="V44" s="427" t="s">
        <v>254</v>
      </c>
      <c r="W44" s="427"/>
      <c r="X44" s="430"/>
    </row>
    <row r="45" spans="1:24" s="69" customFormat="1" ht="14.25" customHeight="1">
      <c r="A45" s="436" t="s">
        <v>37</v>
      </c>
      <c r="B45" s="435" t="s">
        <v>148</v>
      </c>
      <c r="C45" s="429" t="s">
        <v>1529</v>
      </c>
      <c r="D45" s="390"/>
      <c r="E45" s="429"/>
      <c r="F45" s="429"/>
      <c r="G45" s="429"/>
      <c r="H45" s="429"/>
      <c r="I45" s="427"/>
      <c r="J45" s="427" t="s">
        <v>1099</v>
      </c>
      <c r="K45" s="427" t="s">
        <v>43</v>
      </c>
      <c r="L45" s="429" t="s">
        <v>43</v>
      </c>
      <c r="M45" s="427" t="s">
        <v>44</v>
      </c>
      <c r="N45" s="427"/>
      <c r="O45" s="427"/>
      <c r="P45" s="429" t="s">
        <v>573</v>
      </c>
      <c r="Q45" s="427" t="s">
        <v>1530</v>
      </c>
      <c r="R45" s="431"/>
      <c r="S45" s="431"/>
      <c r="T45" s="444">
        <v>43270</v>
      </c>
      <c r="U45" s="437"/>
      <c r="V45" s="429"/>
      <c r="W45" s="361"/>
      <c r="X45" s="390"/>
    </row>
    <row r="46" spans="1:24" s="69" customFormat="1" ht="14.25" customHeight="1">
      <c r="A46" s="427" t="s">
        <v>37</v>
      </c>
      <c r="B46" s="427" t="s">
        <v>148</v>
      </c>
      <c r="C46" s="427" t="s">
        <v>1563</v>
      </c>
      <c r="D46" s="430" t="s">
        <v>3001</v>
      </c>
      <c r="E46" s="427" t="s">
        <v>1564</v>
      </c>
      <c r="F46" s="427"/>
      <c r="G46" s="427"/>
      <c r="H46" s="427"/>
      <c r="I46" s="427" t="s">
        <v>1035</v>
      </c>
      <c r="J46" s="427" t="s">
        <v>43</v>
      </c>
      <c r="K46" s="427" t="s">
        <v>43</v>
      </c>
      <c r="L46" s="427" t="s">
        <v>43</v>
      </c>
      <c r="M46" s="427" t="s">
        <v>44</v>
      </c>
      <c r="N46" s="427">
        <v>25.522594999999999</v>
      </c>
      <c r="O46" s="427">
        <v>96.711534</v>
      </c>
      <c r="P46" s="427" t="s">
        <v>573</v>
      </c>
      <c r="Q46" s="427" t="s">
        <v>1530</v>
      </c>
      <c r="R46" s="439">
        <v>14</v>
      </c>
      <c r="S46" s="432">
        <v>52</v>
      </c>
      <c r="T46" s="444">
        <v>43276</v>
      </c>
      <c r="U46" s="433" t="s">
        <v>1579</v>
      </c>
      <c r="V46" s="427"/>
      <c r="W46" s="361" t="s">
        <v>1735</v>
      </c>
      <c r="X46" s="430"/>
    </row>
    <row r="47" spans="1:24" s="69" customFormat="1" ht="14.25" customHeight="1">
      <c r="A47" s="436" t="s">
        <v>37</v>
      </c>
      <c r="B47" s="435" t="s">
        <v>148</v>
      </c>
      <c r="C47" s="429" t="s">
        <v>793</v>
      </c>
      <c r="D47" s="390" t="s">
        <v>1300</v>
      </c>
      <c r="E47" s="429" t="s">
        <v>1241</v>
      </c>
      <c r="F47" s="429" t="s">
        <v>1352</v>
      </c>
      <c r="G47" s="429" t="s">
        <v>1358</v>
      </c>
      <c r="H47" s="429" t="s">
        <v>41</v>
      </c>
      <c r="I47" s="427" t="s">
        <v>141</v>
      </c>
      <c r="J47" s="427" t="s">
        <v>43</v>
      </c>
      <c r="K47" s="427" t="s">
        <v>43</v>
      </c>
      <c r="L47" s="429" t="s">
        <v>572</v>
      </c>
      <c r="M47" s="427" t="s">
        <v>44</v>
      </c>
      <c r="N47" s="427">
        <v>25.806999999999999</v>
      </c>
      <c r="O47" s="427">
        <v>96.637</v>
      </c>
      <c r="P47" s="429" t="s">
        <v>573</v>
      </c>
      <c r="Q47" s="427" t="s">
        <v>592</v>
      </c>
      <c r="R47" s="431">
        <v>0</v>
      </c>
      <c r="S47" s="431">
        <v>0</v>
      </c>
      <c r="T47" s="444">
        <v>42983</v>
      </c>
      <c r="U47" s="437" t="s">
        <v>787</v>
      </c>
      <c r="V47" s="429" t="s">
        <v>793</v>
      </c>
      <c r="W47" s="361" t="s">
        <v>1631</v>
      </c>
      <c r="X47" s="390"/>
    </row>
    <row r="48" spans="1:24" s="69" customFormat="1" ht="14.25" customHeight="1">
      <c r="A48" s="436" t="s">
        <v>37</v>
      </c>
      <c r="B48" s="435" t="s">
        <v>148</v>
      </c>
      <c r="C48" s="429" t="s">
        <v>1561</v>
      </c>
      <c r="D48" s="430" t="s">
        <v>2975</v>
      </c>
      <c r="E48" s="427" t="s">
        <v>1562</v>
      </c>
      <c r="F48" s="427"/>
      <c r="G48" s="427"/>
      <c r="H48" s="427"/>
      <c r="I48" s="427" t="s">
        <v>1035</v>
      </c>
      <c r="J48" s="427" t="s">
        <v>43</v>
      </c>
      <c r="K48" s="427" t="s">
        <v>43</v>
      </c>
      <c r="L48" s="427" t="s">
        <v>572</v>
      </c>
      <c r="M48" s="427" t="s">
        <v>44</v>
      </c>
      <c r="N48" s="427">
        <v>25.54677963</v>
      </c>
      <c r="O48" s="427">
        <v>96.793539999999993</v>
      </c>
      <c r="P48" s="427" t="s">
        <v>573</v>
      </c>
      <c r="Q48" s="427" t="s">
        <v>1530</v>
      </c>
      <c r="R48" s="439">
        <v>50</v>
      </c>
      <c r="S48" s="432">
        <v>250</v>
      </c>
      <c r="T48" s="444">
        <v>43276</v>
      </c>
      <c r="U48" s="433" t="s">
        <v>1579</v>
      </c>
      <c r="V48" s="427"/>
      <c r="W48" s="427" t="s">
        <v>1736</v>
      </c>
      <c r="X48" s="430"/>
    </row>
    <row r="49" spans="1:24" s="69" customFormat="1" ht="14.25" customHeight="1">
      <c r="A49" s="427" t="s">
        <v>37</v>
      </c>
      <c r="B49" s="427" t="s">
        <v>148</v>
      </c>
      <c r="C49" s="427" t="s">
        <v>1531</v>
      </c>
      <c r="D49" s="390"/>
      <c r="E49" s="427"/>
      <c r="F49" s="427"/>
      <c r="G49" s="427"/>
      <c r="H49" s="427"/>
      <c r="I49" s="427"/>
      <c r="J49" s="427" t="s">
        <v>1099</v>
      </c>
      <c r="K49" s="427" t="s">
        <v>43</v>
      </c>
      <c r="L49" s="427" t="s">
        <v>43</v>
      </c>
      <c r="M49" s="427" t="s">
        <v>44</v>
      </c>
      <c r="N49" s="427"/>
      <c r="O49" s="427"/>
      <c r="P49" s="17" t="s">
        <v>573</v>
      </c>
      <c r="Q49" s="427" t="s">
        <v>1530</v>
      </c>
      <c r="R49" s="431"/>
      <c r="S49" s="431"/>
      <c r="T49" s="444">
        <v>43270</v>
      </c>
      <c r="U49" s="433"/>
      <c r="V49" s="427"/>
      <c r="W49" s="361"/>
      <c r="X49" s="390"/>
    </row>
    <row r="50" spans="1:24" s="69" customFormat="1" ht="14.25" customHeight="1">
      <c r="A50" s="427" t="s">
        <v>37</v>
      </c>
      <c r="B50" s="427" t="s">
        <v>148</v>
      </c>
      <c r="C50" s="427" t="s">
        <v>243</v>
      </c>
      <c r="D50" s="430" t="s">
        <v>3001</v>
      </c>
      <c r="E50" s="427" t="s">
        <v>1260</v>
      </c>
      <c r="F50" s="427" t="s">
        <v>1352</v>
      </c>
      <c r="G50" s="427" t="s">
        <v>1458</v>
      </c>
      <c r="H50" s="427" t="s">
        <v>41</v>
      </c>
      <c r="I50" s="427" t="s">
        <v>2117</v>
      </c>
      <c r="J50" s="427" t="s">
        <v>43</v>
      </c>
      <c r="K50" s="427" t="s">
        <v>43</v>
      </c>
      <c r="L50" s="427" t="s">
        <v>815</v>
      </c>
      <c r="M50" s="427" t="s">
        <v>44</v>
      </c>
      <c r="N50" s="427">
        <v>25.664000000000001</v>
      </c>
      <c r="O50" s="427">
        <v>96.34</v>
      </c>
      <c r="P50" s="427" t="s">
        <v>573</v>
      </c>
      <c r="Q50" s="427" t="s">
        <v>667</v>
      </c>
      <c r="R50" s="439">
        <v>124</v>
      </c>
      <c r="S50" s="432">
        <v>634</v>
      </c>
      <c r="T50" s="444">
        <v>42983</v>
      </c>
      <c r="U50" s="433" t="s">
        <v>831</v>
      </c>
      <c r="V50" s="427"/>
      <c r="W50" s="427" t="s">
        <v>2083</v>
      </c>
      <c r="X50" s="430"/>
    </row>
    <row r="51" spans="1:24" s="69" customFormat="1" ht="14.25" customHeight="1">
      <c r="A51" s="427" t="s">
        <v>37</v>
      </c>
      <c r="B51" s="427" t="s">
        <v>148</v>
      </c>
      <c r="C51" s="427" t="s">
        <v>255</v>
      </c>
      <c r="D51" s="430" t="s">
        <v>3001</v>
      </c>
      <c r="E51" s="427" t="s">
        <v>1216</v>
      </c>
      <c r="F51" s="427" t="s">
        <v>1309</v>
      </c>
      <c r="G51" s="427" t="s">
        <v>1310</v>
      </c>
      <c r="H51" s="427" t="s">
        <v>41</v>
      </c>
      <c r="I51" s="427" t="s">
        <v>242</v>
      </c>
      <c r="J51" s="427" t="s">
        <v>43</v>
      </c>
      <c r="K51" s="427" t="s">
        <v>43</v>
      </c>
      <c r="L51" s="427" t="s">
        <v>43</v>
      </c>
      <c r="M51" s="427" t="s">
        <v>44</v>
      </c>
      <c r="N51" s="427">
        <v>25.566510000000001</v>
      </c>
      <c r="O51" s="427">
        <v>96.269199999999998</v>
      </c>
      <c r="P51" s="427" t="s">
        <v>573</v>
      </c>
      <c r="Q51" s="427" t="s">
        <v>592</v>
      </c>
      <c r="R51" s="439">
        <v>19</v>
      </c>
      <c r="S51" s="432">
        <v>100</v>
      </c>
      <c r="T51" s="444"/>
      <c r="U51" s="433"/>
      <c r="V51" s="427" t="s">
        <v>255</v>
      </c>
      <c r="W51" s="427"/>
      <c r="X51" s="430"/>
    </row>
    <row r="52" spans="1:24" s="69" customFormat="1" ht="14.25" customHeight="1">
      <c r="A52" s="432" t="s">
        <v>37</v>
      </c>
      <c r="B52" s="435" t="s">
        <v>148</v>
      </c>
      <c r="C52" s="436" t="s">
        <v>256</v>
      </c>
      <c r="D52" s="430" t="s">
        <v>3001</v>
      </c>
      <c r="E52" s="427" t="s">
        <v>1228</v>
      </c>
      <c r="F52" s="427" t="s">
        <v>1446</v>
      </c>
      <c r="G52" s="427" t="s">
        <v>1447</v>
      </c>
      <c r="H52" s="427" t="s">
        <v>41</v>
      </c>
      <c r="I52" s="427" t="s">
        <v>242</v>
      </c>
      <c r="J52" s="427" t="s">
        <v>43</v>
      </c>
      <c r="K52" s="429" t="s">
        <v>43</v>
      </c>
      <c r="L52" s="429" t="s">
        <v>43</v>
      </c>
      <c r="M52" s="427" t="s">
        <v>44</v>
      </c>
      <c r="N52" s="427">
        <v>25.61842</v>
      </c>
      <c r="O52" s="427">
        <v>96.316400000000002</v>
      </c>
      <c r="P52" s="427" t="s">
        <v>573</v>
      </c>
      <c r="Q52" s="427" t="s">
        <v>592</v>
      </c>
      <c r="R52" s="439">
        <v>10</v>
      </c>
      <c r="S52" s="432">
        <v>54</v>
      </c>
      <c r="T52" s="444"/>
      <c r="U52" s="433"/>
      <c r="V52" s="427" t="s">
        <v>256</v>
      </c>
      <c r="W52" s="427"/>
      <c r="X52" s="430"/>
    </row>
    <row r="53" spans="1:24" s="69" customFormat="1" ht="14.25" customHeight="1">
      <c r="A53" s="427" t="s">
        <v>37</v>
      </c>
      <c r="B53" s="427" t="s">
        <v>148</v>
      </c>
      <c r="C53" s="427" t="s">
        <v>1591</v>
      </c>
      <c r="D53" s="390"/>
      <c r="E53" s="427"/>
      <c r="F53" s="427"/>
      <c r="G53" s="427"/>
      <c r="H53" s="427"/>
      <c r="I53" s="427"/>
      <c r="J53" s="427" t="s">
        <v>1099</v>
      </c>
      <c r="K53" s="427" t="s">
        <v>43</v>
      </c>
      <c r="L53" s="427" t="s">
        <v>588</v>
      </c>
      <c r="M53" s="427" t="s">
        <v>44</v>
      </c>
      <c r="N53" s="427"/>
      <c r="O53" s="427"/>
      <c r="P53" s="427" t="s">
        <v>573</v>
      </c>
      <c r="Q53" s="427"/>
      <c r="R53" s="431"/>
      <c r="S53" s="431"/>
      <c r="T53" s="444">
        <v>43297</v>
      </c>
      <c r="U53" s="433"/>
      <c r="V53" s="427"/>
      <c r="W53" s="427"/>
      <c r="X53" s="390"/>
    </row>
    <row r="54" spans="1:24" s="69" customFormat="1" ht="14.25" customHeight="1">
      <c r="A54" s="427" t="s">
        <v>37</v>
      </c>
      <c r="B54" s="427" t="s">
        <v>148</v>
      </c>
      <c r="C54" s="427" t="s">
        <v>257</v>
      </c>
      <c r="D54" s="430" t="s">
        <v>3001</v>
      </c>
      <c r="E54" s="427" t="s">
        <v>1224</v>
      </c>
      <c r="F54" s="427" t="s">
        <v>1446</v>
      </c>
      <c r="G54" s="427" t="s">
        <v>1447</v>
      </c>
      <c r="H54" s="427" t="s">
        <v>41</v>
      </c>
      <c r="I54" s="427" t="s">
        <v>242</v>
      </c>
      <c r="J54" s="427" t="s">
        <v>43</v>
      </c>
      <c r="K54" s="427" t="s">
        <v>43</v>
      </c>
      <c r="L54" s="427" t="s">
        <v>588</v>
      </c>
      <c r="M54" s="427" t="s">
        <v>44</v>
      </c>
      <c r="N54" s="427">
        <v>25.6145</v>
      </c>
      <c r="O54" s="427">
        <v>96.319829999999996</v>
      </c>
      <c r="P54" s="427" t="s">
        <v>573</v>
      </c>
      <c r="Q54" s="427" t="s">
        <v>592</v>
      </c>
      <c r="R54" s="439">
        <v>3</v>
      </c>
      <c r="S54" s="432">
        <v>14</v>
      </c>
      <c r="T54" s="444"/>
      <c r="U54" s="433"/>
      <c r="V54" s="427" t="s">
        <v>257</v>
      </c>
      <c r="W54" s="427"/>
      <c r="X54" s="430"/>
    </row>
    <row r="55" spans="1:24" s="69" customFormat="1" ht="14.25" customHeight="1">
      <c r="A55" s="427" t="s">
        <v>37</v>
      </c>
      <c r="B55" s="427" t="s">
        <v>148</v>
      </c>
      <c r="C55" s="427" t="s">
        <v>788</v>
      </c>
      <c r="D55" s="390" t="s">
        <v>1300</v>
      </c>
      <c r="E55" s="427" t="s">
        <v>1235</v>
      </c>
      <c r="F55" s="427" t="s">
        <v>1352</v>
      </c>
      <c r="G55" s="427" t="s">
        <v>1352</v>
      </c>
      <c r="H55" s="427"/>
      <c r="I55" s="427">
        <v>0</v>
      </c>
      <c r="J55" s="427" t="s">
        <v>43</v>
      </c>
      <c r="K55" s="427" t="s">
        <v>43</v>
      </c>
      <c r="L55" s="427" t="s">
        <v>572</v>
      </c>
      <c r="M55" s="427" t="s">
        <v>44</v>
      </c>
      <c r="N55" s="427">
        <v>25.658670000000001</v>
      </c>
      <c r="O55" s="427">
        <v>96.354159999999993</v>
      </c>
      <c r="P55" s="427" t="s">
        <v>573</v>
      </c>
      <c r="Q55" s="427"/>
      <c r="R55" s="431">
        <v>0</v>
      </c>
      <c r="S55" s="431">
        <v>0</v>
      </c>
      <c r="T55" s="444"/>
      <c r="U55" s="433"/>
      <c r="V55" s="427" t="s">
        <v>788</v>
      </c>
      <c r="W55" s="427" t="s">
        <v>1632</v>
      </c>
      <c r="X55" s="390"/>
    </row>
    <row r="56" spans="1:24" s="69" customFormat="1" ht="14.25" customHeight="1">
      <c r="A56" s="427" t="s">
        <v>37</v>
      </c>
      <c r="B56" s="427" t="s">
        <v>148</v>
      </c>
      <c r="C56" s="427" t="s">
        <v>190</v>
      </c>
      <c r="D56" s="430" t="s">
        <v>3001</v>
      </c>
      <c r="E56" s="429" t="s">
        <v>1246</v>
      </c>
      <c r="F56" s="427" t="s">
        <v>1359</v>
      </c>
      <c r="G56" s="427" t="s">
        <v>1360</v>
      </c>
      <c r="H56" s="427" t="s">
        <v>41</v>
      </c>
      <c r="I56" s="427" t="s">
        <v>1035</v>
      </c>
      <c r="J56" s="427" t="s">
        <v>43</v>
      </c>
      <c r="K56" s="427" t="s">
        <v>43</v>
      </c>
      <c r="L56" s="427" t="s">
        <v>43</v>
      </c>
      <c r="M56" s="427" t="s">
        <v>44</v>
      </c>
      <c r="N56" s="427">
        <v>25.920006000000001</v>
      </c>
      <c r="O56" s="427">
        <v>96.662092000000001</v>
      </c>
      <c r="P56" s="427" t="s">
        <v>573</v>
      </c>
      <c r="Q56" s="427" t="s">
        <v>574</v>
      </c>
      <c r="R56" s="439">
        <v>24</v>
      </c>
      <c r="S56" s="432">
        <v>101</v>
      </c>
      <c r="T56" s="444"/>
      <c r="U56" s="433"/>
      <c r="V56" s="427"/>
      <c r="W56" s="427"/>
      <c r="X56" s="430"/>
    </row>
    <row r="57" spans="1:24" s="69" customFormat="1" ht="14.25" customHeight="1">
      <c r="A57" s="427" t="s">
        <v>37</v>
      </c>
      <c r="B57" s="427" t="s">
        <v>148</v>
      </c>
      <c r="C57" s="427" t="s">
        <v>258</v>
      </c>
      <c r="D57" s="430" t="s">
        <v>3001</v>
      </c>
      <c r="E57" s="427" t="s">
        <v>1227</v>
      </c>
      <c r="F57" s="427" t="s">
        <v>1444</v>
      </c>
      <c r="G57" s="427" t="s">
        <v>1444</v>
      </c>
      <c r="H57" s="427" t="s">
        <v>41</v>
      </c>
      <c r="I57" s="427" t="s">
        <v>242</v>
      </c>
      <c r="J57" s="427" t="s">
        <v>43</v>
      </c>
      <c r="K57" s="427" t="s">
        <v>43</v>
      </c>
      <c r="L57" s="427" t="s">
        <v>588</v>
      </c>
      <c r="M57" s="427" t="s">
        <v>44</v>
      </c>
      <c r="N57" s="427">
        <v>25.617998</v>
      </c>
      <c r="O57" s="427">
        <v>96.339590000000001</v>
      </c>
      <c r="P57" s="427" t="s">
        <v>573</v>
      </c>
      <c r="Q57" s="427" t="s">
        <v>592</v>
      </c>
      <c r="R57" s="439">
        <v>7</v>
      </c>
      <c r="S57" s="432">
        <v>24</v>
      </c>
      <c r="T57" s="444"/>
      <c r="U57" s="433"/>
      <c r="V57" s="427" t="s">
        <v>258</v>
      </c>
      <c r="W57" s="427"/>
      <c r="X57" s="430"/>
    </row>
    <row r="58" spans="1:24" s="69" customFormat="1" ht="14.25" customHeight="1">
      <c r="A58" s="429" t="s">
        <v>37</v>
      </c>
      <c r="B58" s="429" t="s">
        <v>148</v>
      </c>
      <c r="C58" s="429" t="s">
        <v>231</v>
      </c>
      <c r="D58" s="430" t="s">
        <v>3001</v>
      </c>
      <c r="E58" s="427" t="s">
        <v>1223</v>
      </c>
      <c r="F58" s="427" t="s">
        <v>1444</v>
      </c>
      <c r="G58" s="427" t="s">
        <v>1444</v>
      </c>
      <c r="H58" s="427" t="s">
        <v>41</v>
      </c>
      <c r="I58" s="427" t="s">
        <v>1035</v>
      </c>
      <c r="J58" s="427" t="s">
        <v>43</v>
      </c>
      <c r="K58" s="427" t="s">
        <v>43</v>
      </c>
      <c r="L58" s="427" t="s">
        <v>43</v>
      </c>
      <c r="M58" s="427" t="s">
        <v>44</v>
      </c>
      <c r="N58" s="427">
        <v>25.613894999999999</v>
      </c>
      <c r="O58" s="427">
        <v>96.341352999999998</v>
      </c>
      <c r="P58" s="427" t="s">
        <v>573</v>
      </c>
      <c r="Q58" s="427" t="s">
        <v>592</v>
      </c>
      <c r="R58" s="439">
        <v>47</v>
      </c>
      <c r="S58" s="432">
        <v>226</v>
      </c>
      <c r="T58" s="444"/>
      <c r="U58" s="433"/>
      <c r="V58" s="427" t="s">
        <v>231</v>
      </c>
      <c r="W58" s="427"/>
      <c r="X58" s="430"/>
    </row>
    <row r="59" spans="1:24" s="69" customFormat="1" ht="14.25" customHeight="1">
      <c r="A59" s="427" t="s">
        <v>37</v>
      </c>
      <c r="B59" s="429" t="s">
        <v>148</v>
      </c>
      <c r="C59" s="429" t="s">
        <v>259</v>
      </c>
      <c r="D59" s="430" t="s">
        <v>3001</v>
      </c>
      <c r="E59" s="427" t="s">
        <v>1215</v>
      </c>
      <c r="F59" s="427" t="s">
        <v>1309</v>
      </c>
      <c r="G59" s="427" t="s">
        <v>1310</v>
      </c>
      <c r="H59" s="427" t="s">
        <v>41</v>
      </c>
      <c r="I59" s="427" t="s">
        <v>242</v>
      </c>
      <c r="J59" s="427" t="s">
        <v>43</v>
      </c>
      <c r="K59" s="427" t="s">
        <v>43</v>
      </c>
      <c r="L59" s="427" t="s">
        <v>588</v>
      </c>
      <c r="M59" s="427" t="s">
        <v>44</v>
      </c>
      <c r="N59" s="427">
        <v>25.56551</v>
      </c>
      <c r="O59" s="427">
        <v>96.279200000000003</v>
      </c>
      <c r="P59" s="427" t="s">
        <v>573</v>
      </c>
      <c r="Q59" s="427" t="s">
        <v>592</v>
      </c>
      <c r="R59" s="439">
        <v>16</v>
      </c>
      <c r="S59" s="432">
        <v>70</v>
      </c>
      <c r="T59" s="444"/>
      <c r="U59" s="433"/>
      <c r="V59" s="427" t="s">
        <v>259</v>
      </c>
      <c r="W59" s="361"/>
      <c r="X59" s="430"/>
    </row>
    <row r="60" spans="1:24" s="69" customFormat="1" ht="14.25" customHeight="1">
      <c r="A60" s="427" t="s">
        <v>37</v>
      </c>
      <c r="B60" s="429" t="s">
        <v>148</v>
      </c>
      <c r="C60" s="429" t="s">
        <v>260</v>
      </c>
      <c r="D60" s="390" t="s">
        <v>1300</v>
      </c>
      <c r="E60" s="427" t="s">
        <v>1236</v>
      </c>
      <c r="F60" s="427" t="s">
        <v>1309</v>
      </c>
      <c r="G60" s="427" t="s">
        <v>1310</v>
      </c>
      <c r="H60" s="427" t="s">
        <v>41</v>
      </c>
      <c r="I60" s="427" t="s">
        <v>141</v>
      </c>
      <c r="J60" s="427" t="s">
        <v>43</v>
      </c>
      <c r="K60" s="429" t="s">
        <v>43</v>
      </c>
      <c r="L60" s="429" t="s">
        <v>572</v>
      </c>
      <c r="M60" s="427" t="s">
        <v>44</v>
      </c>
      <c r="N60" s="427">
        <v>25.668399999999998</v>
      </c>
      <c r="O60" s="427">
        <v>96.353030000000004</v>
      </c>
      <c r="P60" s="427" t="s">
        <v>573</v>
      </c>
      <c r="Q60" s="427" t="s">
        <v>592</v>
      </c>
      <c r="R60" s="431">
        <v>8</v>
      </c>
      <c r="S60" s="431">
        <v>32</v>
      </c>
      <c r="T60" s="444"/>
      <c r="U60" s="433"/>
      <c r="V60" s="427" t="s">
        <v>260</v>
      </c>
      <c r="W60" s="427" t="s">
        <v>2084</v>
      </c>
      <c r="X60" s="390"/>
    </row>
    <row r="61" spans="1:24" s="69" customFormat="1" ht="14.25" customHeight="1">
      <c r="A61" s="429" t="s">
        <v>37</v>
      </c>
      <c r="B61" s="429" t="s">
        <v>148</v>
      </c>
      <c r="C61" s="429" t="s">
        <v>188</v>
      </c>
      <c r="D61" s="430" t="s">
        <v>3001</v>
      </c>
      <c r="E61" s="427" t="s">
        <v>1247</v>
      </c>
      <c r="F61" s="427" t="s">
        <v>1359</v>
      </c>
      <c r="G61" s="427" t="s">
        <v>1360</v>
      </c>
      <c r="H61" s="427" t="s">
        <v>41</v>
      </c>
      <c r="I61" s="427" t="s">
        <v>2117</v>
      </c>
      <c r="J61" s="427" t="s">
        <v>43</v>
      </c>
      <c r="K61" s="429" t="s">
        <v>43</v>
      </c>
      <c r="L61" s="427" t="s">
        <v>43</v>
      </c>
      <c r="M61" s="427" t="s">
        <v>44</v>
      </c>
      <c r="N61" s="427">
        <v>25.920006000000001</v>
      </c>
      <c r="O61" s="427">
        <v>96.662092000000001</v>
      </c>
      <c r="P61" s="427" t="s">
        <v>573</v>
      </c>
      <c r="Q61" s="427" t="s">
        <v>574</v>
      </c>
      <c r="R61" s="439">
        <v>24</v>
      </c>
      <c r="S61" s="432">
        <v>110</v>
      </c>
      <c r="T61" s="444"/>
      <c r="U61" s="433"/>
      <c r="V61" s="427"/>
      <c r="W61" s="427"/>
      <c r="X61" s="430"/>
    </row>
    <row r="62" spans="1:24" s="69" customFormat="1" ht="14.25" customHeight="1">
      <c r="A62" s="427" t="s">
        <v>37</v>
      </c>
      <c r="B62" s="427" t="s">
        <v>148</v>
      </c>
      <c r="C62" s="429" t="s">
        <v>189</v>
      </c>
      <c r="D62" s="390" t="s">
        <v>2620</v>
      </c>
      <c r="E62" s="427" t="s">
        <v>1248</v>
      </c>
      <c r="F62" s="427" t="s">
        <v>1359</v>
      </c>
      <c r="G62" s="427" t="s">
        <v>1360</v>
      </c>
      <c r="H62" s="427" t="s">
        <v>41</v>
      </c>
      <c r="I62" s="427" t="s">
        <v>1619</v>
      </c>
      <c r="J62" s="427" t="s">
        <v>43</v>
      </c>
      <c r="K62" s="429" t="s">
        <v>43</v>
      </c>
      <c r="L62" s="429" t="s">
        <v>572</v>
      </c>
      <c r="M62" s="427" t="s">
        <v>44</v>
      </c>
      <c r="N62" s="427">
        <v>25.920006000000001</v>
      </c>
      <c r="O62" s="427">
        <v>96.662092000000001</v>
      </c>
      <c r="P62" s="427" t="s">
        <v>573</v>
      </c>
      <c r="Q62" s="427" t="s">
        <v>574</v>
      </c>
      <c r="R62" s="431">
        <v>4</v>
      </c>
      <c r="S62" s="432">
        <v>11</v>
      </c>
      <c r="T62" s="444"/>
      <c r="U62" s="433" t="s">
        <v>2137</v>
      </c>
      <c r="V62" s="427"/>
      <c r="W62" s="427"/>
      <c r="X62" s="390"/>
    </row>
    <row r="63" spans="1:24" s="69" customFormat="1" ht="14.25" customHeight="1">
      <c r="A63" s="427" t="s">
        <v>37</v>
      </c>
      <c r="B63" s="429" t="s">
        <v>148</v>
      </c>
      <c r="C63" s="429" t="s">
        <v>191</v>
      </c>
      <c r="D63" s="390"/>
      <c r="E63" s="427"/>
      <c r="F63" s="427"/>
      <c r="G63" s="427"/>
      <c r="H63" s="427"/>
      <c r="I63" s="427"/>
      <c r="J63" s="427" t="s">
        <v>1099</v>
      </c>
      <c r="K63" s="427" t="s">
        <v>43</v>
      </c>
      <c r="L63" s="427" t="s">
        <v>43</v>
      </c>
      <c r="M63" s="427" t="s">
        <v>44</v>
      </c>
      <c r="N63" s="427"/>
      <c r="O63" s="427"/>
      <c r="P63" s="427" t="s">
        <v>573</v>
      </c>
      <c r="Q63" s="427" t="s">
        <v>574</v>
      </c>
      <c r="R63" s="431"/>
      <c r="S63" s="432"/>
      <c r="T63" s="444">
        <v>42824</v>
      </c>
      <c r="U63" s="433"/>
      <c r="V63" s="427"/>
      <c r="W63" s="361"/>
      <c r="X63" s="390"/>
    </row>
    <row r="64" spans="1:24" s="69" customFormat="1" ht="14.25" customHeight="1">
      <c r="A64" s="427" t="s">
        <v>37</v>
      </c>
      <c r="B64" s="427" t="s">
        <v>148</v>
      </c>
      <c r="C64" s="427" t="s">
        <v>3021</v>
      </c>
      <c r="D64" s="430" t="s">
        <v>3001</v>
      </c>
      <c r="E64" s="427" t="s">
        <v>1233</v>
      </c>
      <c r="F64" s="427" t="s">
        <v>1352</v>
      </c>
      <c r="G64" s="427" t="s">
        <v>1352</v>
      </c>
      <c r="H64" s="427" t="s">
        <v>41</v>
      </c>
      <c r="I64" s="427" t="s">
        <v>1035</v>
      </c>
      <c r="J64" s="427" t="s">
        <v>43</v>
      </c>
      <c r="K64" s="427" t="s">
        <v>43</v>
      </c>
      <c r="L64" s="427" t="s">
        <v>43</v>
      </c>
      <c r="M64" s="427" t="s">
        <v>44</v>
      </c>
      <c r="N64" s="427">
        <v>25.656009999999998</v>
      </c>
      <c r="O64" s="427">
        <v>96.361609999999999</v>
      </c>
      <c r="P64" s="427" t="s">
        <v>573</v>
      </c>
      <c r="Q64" s="427" t="s">
        <v>592</v>
      </c>
      <c r="R64" s="439">
        <v>90</v>
      </c>
      <c r="S64" s="432">
        <v>456</v>
      </c>
      <c r="T64" s="444"/>
      <c r="U64" s="433"/>
      <c r="V64" s="427" t="s">
        <v>230</v>
      </c>
      <c r="W64" s="361"/>
      <c r="X64" s="430"/>
    </row>
    <row r="65" spans="1:24" s="69" customFormat="1" ht="14.25" customHeight="1">
      <c r="A65" s="427" t="s">
        <v>37</v>
      </c>
      <c r="B65" s="429" t="s">
        <v>148</v>
      </c>
      <c r="C65" s="429" t="s">
        <v>797</v>
      </c>
      <c r="D65" s="390" t="s">
        <v>1300</v>
      </c>
      <c r="E65" s="429" t="s">
        <v>1249</v>
      </c>
      <c r="F65" s="427" t="s">
        <v>1359</v>
      </c>
      <c r="G65" s="427" t="s">
        <v>1360</v>
      </c>
      <c r="H65" s="427"/>
      <c r="I65" s="427">
        <v>0</v>
      </c>
      <c r="J65" s="427" t="s">
        <v>43</v>
      </c>
      <c r="K65" s="427" t="s">
        <v>43</v>
      </c>
      <c r="L65" s="427" t="s">
        <v>572</v>
      </c>
      <c r="M65" s="427" t="s">
        <v>44</v>
      </c>
      <c r="N65" s="427">
        <v>25.920006000000001</v>
      </c>
      <c r="O65" s="427">
        <v>96.662092000000001</v>
      </c>
      <c r="P65" s="427" t="s">
        <v>573</v>
      </c>
      <c r="Q65" s="427" t="s">
        <v>574</v>
      </c>
      <c r="R65" s="431">
        <v>0</v>
      </c>
      <c r="S65" s="432">
        <v>0</v>
      </c>
      <c r="T65" s="444"/>
      <c r="U65" s="433"/>
      <c r="V65" s="427"/>
      <c r="W65" s="361" t="s">
        <v>1627</v>
      </c>
      <c r="X65" s="390"/>
    </row>
    <row r="66" spans="1:24" s="69" customFormat="1" ht="14.25" customHeight="1">
      <c r="A66" s="427" t="s">
        <v>37</v>
      </c>
      <c r="B66" s="429" t="s">
        <v>148</v>
      </c>
      <c r="C66" s="429" t="s">
        <v>794</v>
      </c>
      <c r="D66" s="390" t="s">
        <v>1300</v>
      </c>
      <c r="E66" s="427" t="s">
        <v>1242</v>
      </c>
      <c r="F66" s="427" t="s">
        <v>1359</v>
      </c>
      <c r="G66" s="427" t="s">
        <v>1359</v>
      </c>
      <c r="H66" s="427"/>
      <c r="I66" s="427">
        <v>0</v>
      </c>
      <c r="J66" s="427" t="s">
        <v>43</v>
      </c>
      <c r="K66" s="427" t="s">
        <v>43</v>
      </c>
      <c r="L66" s="427" t="s">
        <v>572</v>
      </c>
      <c r="M66" s="427" t="s">
        <v>44</v>
      </c>
      <c r="N66" s="427">
        <v>25.806999999999999</v>
      </c>
      <c r="O66" s="427">
        <v>96.637</v>
      </c>
      <c r="P66" s="427" t="s">
        <v>573</v>
      </c>
      <c r="Q66" s="427" t="s">
        <v>574</v>
      </c>
      <c r="R66" s="431">
        <v>0</v>
      </c>
      <c r="S66" s="432">
        <v>0</v>
      </c>
      <c r="T66" s="444">
        <v>42983</v>
      </c>
      <c r="U66" s="433" t="s">
        <v>795</v>
      </c>
      <c r="V66" s="427"/>
      <c r="W66" s="427" t="s">
        <v>1633</v>
      </c>
      <c r="X66" s="390"/>
    </row>
    <row r="67" spans="1:24" s="69" customFormat="1" ht="14.25" customHeight="1">
      <c r="A67" s="427" t="s">
        <v>37</v>
      </c>
      <c r="B67" s="429" t="s">
        <v>148</v>
      </c>
      <c r="C67" s="429" t="s">
        <v>784</v>
      </c>
      <c r="D67" s="390" t="s">
        <v>1300</v>
      </c>
      <c r="E67" s="427" t="s">
        <v>1218</v>
      </c>
      <c r="F67" s="427" t="s">
        <v>1309</v>
      </c>
      <c r="G67" s="427" t="s">
        <v>1309</v>
      </c>
      <c r="H67" s="427" t="s">
        <v>41</v>
      </c>
      <c r="I67" s="427" t="s">
        <v>1035</v>
      </c>
      <c r="J67" s="427" t="s">
        <v>43</v>
      </c>
      <c r="K67" s="427" t="s">
        <v>43</v>
      </c>
      <c r="L67" s="427" t="s">
        <v>572</v>
      </c>
      <c r="M67" s="427" t="s">
        <v>44</v>
      </c>
      <c r="N67" s="427">
        <v>25.57921</v>
      </c>
      <c r="O67" s="427">
        <v>96.288250000000005</v>
      </c>
      <c r="P67" s="427" t="s">
        <v>573</v>
      </c>
      <c r="Q67" s="427"/>
      <c r="R67" s="431">
        <v>0</v>
      </c>
      <c r="S67" s="431">
        <v>0</v>
      </c>
      <c r="T67" s="444"/>
      <c r="U67" s="433"/>
      <c r="V67" s="427" t="s">
        <v>784</v>
      </c>
      <c r="W67" s="427" t="s">
        <v>1634</v>
      </c>
      <c r="X67" s="390"/>
    </row>
    <row r="68" spans="1:24" s="69" customFormat="1" ht="14.25" customHeight="1">
      <c r="A68" s="427" t="s">
        <v>37</v>
      </c>
      <c r="B68" s="429" t="s">
        <v>148</v>
      </c>
      <c r="C68" s="429" t="s">
        <v>261</v>
      </c>
      <c r="D68" s="430" t="s">
        <v>3001</v>
      </c>
      <c r="E68" s="427" t="s">
        <v>1217</v>
      </c>
      <c r="F68" s="427" t="s">
        <v>1309</v>
      </c>
      <c r="G68" s="427" t="s">
        <v>1443</v>
      </c>
      <c r="H68" s="427" t="s">
        <v>41</v>
      </c>
      <c r="I68" s="427" t="s">
        <v>2117</v>
      </c>
      <c r="J68" s="427" t="s">
        <v>43</v>
      </c>
      <c r="K68" s="427" t="s">
        <v>43</v>
      </c>
      <c r="L68" s="427" t="s">
        <v>43</v>
      </c>
      <c r="M68" s="427" t="s">
        <v>44</v>
      </c>
      <c r="N68" s="427">
        <v>25.577559999999998</v>
      </c>
      <c r="O68" s="427">
        <v>96.286680000000004</v>
      </c>
      <c r="P68" s="427" t="s">
        <v>573</v>
      </c>
      <c r="Q68" s="427" t="s">
        <v>592</v>
      </c>
      <c r="R68" s="439">
        <v>25</v>
      </c>
      <c r="S68" s="432">
        <v>133</v>
      </c>
      <c r="T68" s="444"/>
      <c r="U68" s="433"/>
      <c r="V68" s="427" t="s">
        <v>261</v>
      </c>
      <c r="W68" s="427"/>
      <c r="X68" s="430"/>
    </row>
    <row r="69" spans="1:24" s="69" customFormat="1" ht="14.25" customHeight="1">
      <c r="A69" s="432" t="s">
        <v>37</v>
      </c>
      <c r="B69" s="435" t="s">
        <v>148</v>
      </c>
      <c r="C69" s="436" t="s">
        <v>262</v>
      </c>
      <c r="D69" s="430" t="s">
        <v>3001</v>
      </c>
      <c r="E69" s="427" t="s">
        <v>1220</v>
      </c>
      <c r="F69" s="427" t="s">
        <v>1444</v>
      </c>
      <c r="G69" s="427" t="s">
        <v>1444</v>
      </c>
      <c r="H69" s="427" t="s">
        <v>41</v>
      </c>
      <c r="I69" s="427" t="s">
        <v>2117</v>
      </c>
      <c r="J69" s="427" t="s">
        <v>43</v>
      </c>
      <c r="K69" s="427" t="s">
        <v>43</v>
      </c>
      <c r="L69" s="427" t="s">
        <v>43</v>
      </c>
      <c r="M69" s="427" t="s">
        <v>44</v>
      </c>
      <c r="N69" s="427">
        <v>25.599250000000001</v>
      </c>
      <c r="O69" s="427">
        <v>96.306910999999999</v>
      </c>
      <c r="P69" s="427" t="s">
        <v>573</v>
      </c>
      <c r="Q69" s="427" t="s">
        <v>592</v>
      </c>
      <c r="R69" s="439">
        <v>16</v>
      </c>
      <c r="S69" s="432">
        <v>64</v>
      </c>
      <c r="T69" s="444"/>
      <c r="U69" s="439"/>
      <c r="V69" s="427" t="s">
        <v>262</v>
      </c>
      <c r="W69" s="431"/>
      <c r="X69" s="430"/>
    </row>
    <row r="70" spans="1:24" s="69" customFormat="1" ht="14.25" customHeight="1">
      <c r="A70" s="427" t="s">
        <v>37</v>
      </c>
      <c r="B70" s="427" t="s">
        <v>587</v>
      </c>
      <c r="C70" s="427" t="s">
        <v>2693</v>
      </c>
      <c r="D70" s="430" t="s">
        <v>3001</v>
      </c>
      <c r="E70" s="427" t="s">
        <v>2702</v>
      </c>
      <c r="F70" s="427" t="s">
        <v>2703</v>
      </c>
      <c r="G70" s="427" t="s">
        <v>2704</v>
      </c>
      <c r="H70" s="427" t="s">
        <v>41</v>
      </c>
      <c r="I70" s="427" t="s">
        <v>2705</v>
      </c>
      <c r="J70" s="427" t="s">
        <v>43</v>
      </c>
      <c r="K70" s="427" t="s">
        <v>43</v>
      </c>
      <c r="L70" s="427" t="s">
        <v>43</v>
      </c>
      <c r="M70" s="427" t="s">
        <v>590</v>
      </c>
      <c r="N70" s="427">
        <v>26.007408000000002</v>
      </c>
      <c r="O70" s="427">
        <v>97.823777000000007</v>
      </c>
      <c r="P70" s="427"/>
      <c r="Q70" s="427" t="s">
        <v>2700</v>
      </c>
      <c r="R70" s="439">
        <v>140</v>
      </c>
      <c r="S70" s="432">
        <v>659</v>
      </c>
      <c r="T70" s="444">
        <v>44544</v>
      </c>
      <c r="U70" s="433"/>
      <c r="V70" s="427"/>
      <c r="W70" s="427"/>
      <c r="X70" s="430"/>
    </row>
    <row r="71" spans="1:24" s="69" customFormat="1" ht="14.25" customHeight="1">
      <c r="A71" s="432" t="s">
        <v>37</v>
      </c>
      <c r="B71" s="435" t="s">
        <v>587</v>
      </c>
      <c r="C71" s="436" t="s">
        <v>2245</v>
      </c>
      <c r="D71" s="430"/>
      <c r="E71" s="427"/>
      <c r="F71" s="427"/>
      <c r="G71" s="427"/>
      <c r="H71" s="427"/>
      <c r="I71" s="427"/>
      <c r="J71" s="427" t="s">
        <v>607</v>
      </c>
      <c r="K71" s="427" t="s">
        <v>607</v>
      </c>
      <c r="L71" s="427" t="s">
        <v>826</v>
      </c>
      <c r="M71" s="427" t="s">
        <v>590</v>
      </c>
      <c r="N71" s="427"/>
      <c r="O71" s="427"/>
      <c r="P71" s="427"/>
      <c r="Q71" s="427" t="s">
        <v>2239</v>
      </c>
      <c r="R71" s="439"/>
      <c r="S71" s="432"/>
      <c r="T71" s="444">
        <v>43851</v>
      </c>
      <c r="U71" s="439"/>
      <c r="V71" s="427"/>
      <c r="W71" s="431"/>
      <c r="X71" s="430"/>
    </row>
    <row r="72" spans="1:24" s="69" customFormat="1" ht="14.25" customHeight="1">
      <c r="A72" s="427" t="s">
        <v>37</v>
      </c>
      <c r="B72" s="427" t="s">
        <v>587</v>
      </c>
      <c r="C72" s="427" t="s">
        <v>586</v>
      </c>
      <c r="D72" s="390" t="s">
        <v>1300</v>
      </c>
      <c r="E72" s="429" t="s">
        <v>1039</v>
      </c>
      <c r="F72" s="427">
        <v>0</v>
      </c>
      <c r="G72" s="427">
        <v>0</v>
      </c>
      <c r="H72" s="427"/>
      <c r="I72" s="427">
        <v>0</v>
      </c>
      <c r="J72" s="427" t="s">
        <v>43</v>
      </c>
      <c r="K72" s="427" t="s">
        <v>43</v>
      </c>
      <c r="L72" s="427" t="s">
        <v>572</v>
      </c>
      <c r="M72" s="427" t="s">
        <v>44</v>
      </c>
      <c r="N72" s="427"/>
      <c r="O72" s="427"/>
      <c r="P72" s="427" t="s">
        <v>573</v>
      </c>
      <c r="Q72" s="427"/>
      <c r="R72" s="431">
        <v>0</v>
      </c>
      <c r="S72" s="432">
        <v>0</v>
      </c>
      <c r="T72" s="444"/>
      <c r="U72" s="433"/>
      <c r="V72" s="427" t="s">
        <v>586</v>
      </c>
      <c r="W72" s="361" t="s">
        <v>1635</v>
      </c>
      <c r="X72" s="390"/>
    </row>
    <row r="73" spans="1:24" s="69" customFormat="1" ht="14.25" customHeight="1">
      <c r="A73" s="427" t="s">
        <v>37</v>
      </c>
      <c r="B73" s="427" t="s">
        <v>587</v>
      </c>
      <c r="C73" s="427" t="s">
        <v>2246</v>
      </c>
      <c r="D73" s="390"/>
      <c r="E73" s="427"/>
      <c r="F73" s="427"/>
      <c r="G73" s="427"/>
      <c r="H73" s="427"/>
      <c r="I73" s="427"/>
      <c r="J73" s="427" t="s">
        <v>607</v>
      </c>
      <c r="K73" s="427" t="s">
        <v>607</v>
      </c>
      <c r="L73" s="427" t="s">
        <v>826</v>
      </c>
      <c r="M73" s="427" t="s">
        <v>590</v>
      </c>
      <c r="N73" s="427"/>
      <c r="O73" s="427"/>
      <c r="P73" s="427"/>
      <c r="Q73" s="427" t="s">
        <v>2239</v>
      </c>
      <c r="R73" s="431"/>
      <c r="S73" s="432"/>
      <c r="T73" s="444">
        <v>43851</v>
      </c>
      <c r="U73" s="433"/>
      <c r="V73" s="427"/>
      <c r="W73" s="361"/>
      <c r="X73" s="390"/>
    </row>
    <row r="74" spans="1:24" s="69" customFormat="1" ht="14.25" customHeight="1">
      <c r="A74" s="429" t="s">
        <v>37</v>
      </c>
      <c r="B74" s="429" t="s">
        <v>801</v>
      </c>
      <c r="C74" s="429" t="s">
        <v>800</v>
      </c>
      <c r="D74" s="430" t="s">
        <v>1300</v>
      </c>
      <c r="E74" s="438" t="s">
        <v>1253</v>
      </c>
      <c r="F74" s="438" t="s">
        <v>1361</v>
      </c>
      <c r="G74" s="438" t="s">
        <v>800</v>
      </c>
      <c r="H74" s="438"/>
      <c r="I74" s="438">
        <v>0</v>
      </c>
      <c r="J74" s="427" t="s">
        <v>43</v>
      </c>
      <c r="K74" s="429" t="s">
        <v>43</v>
      </c>
      <c r="L74" s="429" t="s">
        <v>572</v>
      </c>
      <c r="M74" s="427" t="s">
        <v>44</v>
      </c>
      <c r="N74" s="427">
        <v>26.890058</v>
      </c>
      <c r="O74" s="427">
        <v>98.144502500000002</v>
      </c>
      <c r="P74" s="427" t="s">
        <v>573</v>
      </c>
      <c r="Q74" s="427"/>
      <c r="R74" s="439">
        <v>0</v>
      </c>
      <c r="S74" s="432">
        <v>0</v>
      </c>
      <c r="T74" s="444"/>
      <c r="U74" s="433"/>
      <c r="V74" s="427" t="s">
        <v>800</v>
      </c>
      <c r="W74" s="427" t="s">
        <v>1636</v>
      </c>
      <c r="X74" s="430"/>
    </row>
    <row r="75" spans="1:24" s="69" customFormat="1" ht="14.25" customHeight="1">
      <c r="A75" s="429" t="s">
        <v>37</v>
      </c>
      <c r="B75" s="429" t="s">
        <v>806</v>
      </c>
      <c r="C75" s="429" t="s">
        <v>805</v>
      </c>
      <c r="D75" s="430" t="s">
        <v>1300</v>
      </c>
      <c r="E75" s="438" t="s">
        <v>1256</v>
      </c>
      <c r="F75" s="438">
        <v>0</v>
      </c>
      <c r="G75" s="438">
        <v>0</v>
      </c>
      <c r="H75" s="438"/>
      <c r="I75" s="438">
        <v>0</v>
      </c>
      <c r="J75" s="427" t="s">
        <v>43</v>
      </c>
      <c r="K75" s="429" t="s">
        <v>43</v>
      </c>
      <c r="L75" s="429" t="s">
        <v>572</v>
      </c>
      <c r="M75" s="429" t="s">
        <v>44</v>
      </c>
      <c r="N75" s="429">
        <v>27.274059999999999</v>
      </c>
      <c r="O75" s="429">
        <v>97.586470000000006</v>
      </c>
      <c r="P75" s="427" t="s">
        <v>573</v>
      </c>
      <c r="Q75" s="429"/>
      <c r="R75" s="440">
        <v>0</v>
      </c>
      <c r="S75" s="436">
        <v>0</v>
      </c>
      <c r="T75" s="445"/>
      <c r="U75" s="437"/>
      <c r="V75" s="429" t="s">
        <v>807</v>
      </c>
      <c r="W75" s="427" t="s">
        <v>1637</v>
      </c>
      <c r="X75" s="430"/>
    </row>
    <row r="76" spans="1:24" s="69" customFormat="1" ht="14.25" customHeight="1">
      <c r="A76" s="427" t="s">
        <v>37</v>
      </c>
      <c r="B76" s="427" t="s">
        <v>1025</v>
      </c>
      <c r="C76" s="427" t="s">
        <v>1472</v>
      </c>
      <c r="D76" s="390"/>
      <c r="E76" s="427"/>
      <c r="F76" s="427"/>
      <c r="G76" s="427"/>
      <c r="H76" s="427"/>
      <c r="I76" s="427"/>
      <c r="J76" s="427" t="s">
        <v>1099</v>
      </c>
      <c r="K76" s="427" t="s">
        <v>43</v>
      </c>
      <c r="L76" s="427" t="s">
        <v>43</v>
      </c>
      <c r="M76" s="427"/>
      <c r="N76" s="427"/>
      <c r="O76" s="427"/>
      <c r="P76" s="427" t="s">
        <v>573</v>
      </c>
      <c r="Q76" s="427"/>
      <c r="R76" s="431"/>
      <c r="S76" s="432"/>
      <c r="T76" s="444"/>
      <c r="U76" s="433"/>
      <c r="V76" s="427"/>
      <c r="W76" s="427"/>
      <c r="X76" s="390"/>
    </row>
    <row r="77" spans="1:24" s="69" customFormat="1" ht="14.25" customHeight="1">
      <c r="A77" s="427" t="s">
        <v>37</v>
      </c>
      <c r="B77" s="427" t="s">
        <v>1025</v>
      </c>
      <c r="C77" s="427" t="s">
        <v>1026</v>
      </c>
      <c r="D77" s="390"/>
      <c r="E77" s="427"/>
      <c r="F77" s="427"/>
      <c r="G77" s="427"/>
      <c r="H77" s="427"/>
      <c r="I77" s="427"/>
      <c r="J77" s="427" t="s">
        <v>1099</v>
      </c>
      <c r="K77" s="427" t="s">
        <v>43</v>
      </c>
      <c r="L77" s="427" t="s">
        <v>43</v>
      </c>
      <c r="M77" s="427"/>
      <c r="N77" s="427"/>
      <c r="O77" s="427"/>
      <c r="P77" s="427" t="s">
        <v>573</v>
      </c>
      <c r="Q77" s="427"/>
      <c r="R77" s="431"/>
      <c r="S77" s="432"/>
      <c r="T77" s="444"/>
      <c r="U77" s="433"/>
      <c r="V77" s="427"/>
      <c r="W77" s="361"/>
      <c r="X77" s="390"/>
    </row>
    <row r="78" spans="1:24" s="69" customFormat="1" ht="14.25" customHeight="1">
      <c r="A78" s="427" t="s">
        <v>37</v>
      </c>
      <c r="B78" s="427" t="s">
        <v>38</v>
      </c>
      <c r="C78" s="427" t="s">
        <v>577</v>
      </c>
      <c r="D78" s="390" t="s">
        <v>1300</v>
      </c>
      <c r="E78" s="427" t="s">
        <v>1030</v>
      </c>
      <c r="F78" s="427">
        <v>0</v>
      </c>
      <c r="G78" s="427">
        <v>0</v>
      </c>
      <c r="H78" s="427"/>
      <c r="I78" s="427">
        <v>0</v>
      </c>
      <c r="J78" s="427" t="s">
        <v>43</v>
      </c>
      <c r="K78" s="427" t="s">
        <v>43</v>
      </c>
      <c r="L78" s="427" t="s">
        <v>572</v>
      </c>
      <c r="M78" s="427" t="s">
        <v>44</v>
      </c>
      <c r="N78" s="427"/>
      <c r="O78" s="427"/>
      <c r="P78" s="427" t="s">
        <v>573</v>
      </c>
      <c r="Q78" s="427"/>
      <c r="R78" s="431">
        <v>0</v>
      </c>
      <c r="S78" s="432">
        <v>0</v>
      </c>
      <c r="T78" s="444"/>
      <c r="U78" s="433"/>
      <c r="V78" s="427" t="s">
        <v>577</v>
      </c>
      <c r="W78" s="427" t="s">
        <v>1638</v>
      </c>
      <c r="X78" s="390"/>
    </row>
    <row r="79" spans="1:24" s="69" customFormat="1" ht="14.25" customHeight="1">
      <c r="A79" s="427" t="s">
        <v>37</v>
      </c>
      <c r="B79" s="427" t="s">
        <v>38</v>
      </c>
      <c r="C79" s="427" t="s">
        <v>578</v>
      </c>
      <c r="D79" s="390" t="s">
        <v>1300</v>
      </c>
      <c r="E79" s="427" t="s">
        <v>1031</v>
      </c>
      <c r="F79" s="427">
        <v>0</v>
      </c>
      <c r="G79" s="427">
        <v>0</v>
      </c>
      <c r="H79" s="427"/>
      <c r="I79" s="427">
        <v>0</v>
      </c>
      <c r="J79" s="427" t="s">
        <v>43</v>
      </c>
      <c r="K79" s="427" t="s">
        <v>43</v>
      </c>
      <c r="L79" s="427" t="s">
        <v>572</v>
      </c>
      <c r="M79" s="427" t="s">
        <v>44</v>
      </c>
      <c r="N79" s="427"/>
      <c r="O79" s="427"/>
      <c r="P79" s="427" t="s">
        <v>573</v>
      </c>
      <c r="Q79" s="427"/>
      <c r="R79" s="431">
        <v>0</v>
      </c>
      <c r="S79" s="431">
        <v>0</v>
      </c>
      <c r="T79" s="444"/>
      <c r="U79" s="433"/>
      <c r="V79" s="427" t="s">
        <v>578</v>
      </c>
      <c r="W79" s="427" t="s">
        <v>1639</v>
      </c>
      <c r="X79" s="390"/>
    </row>
    <row r="80" spans="1:24" s="69" customFormat="1" ht="14.25" customHeight="1">
      <c r="A80" s="427" t="s">
        <v>37</v>
      </c>
      <c r="B80" s="427" t="s">
        <v>38</v>
      </c>
      <c r="C80" s="427" t="s">
        <v>579</v>
      </c>
      <c r="D80" s="390" t="s">
        <v>1300</v>
      </c>
      <c r="E80" s="427" t="s">
        <v>1032</v>
      </c>
      <c r="F80" s="427">
        <v>0</v>
      </c>
      <c r="G80" s="427">
        <v>0</v>
      </c>
      <c r="H80" s="427"/>
      <c r="I80" s="427">
        <v>0</v>
      </c>
      <c r="J80" s="427" t="s">
        <v>43</v>
      </c>
      <c r="K80" s="427" t="s">
        <v>43</v>
      </c>
      <c r="L80" s="427" t="s">
        <v>572</v>
      </c>
      <c r="M80" s="427" t="s">
        <v>44</v>
      </c>
      <c r="N80" s="427"/>
      <c r="O80" s="427"/>
      <c r="P80" s="427" t="s">
        <v>573</v>
      </c>
      <c r="Q80" s="427"/>
      <c r="R80" s="431">
        <v>0</v>
      </c>
      <c r="S80" s="432">
        <v>0</v>
      </c>
      <c r="T80" s="444"/>
      <c r="U80" s="433"/>
      <c r="V80" s="427" t="s">
        <v>579</v>
      </c>
      <c r="W80" s="427" t="s">
        <v>1638</v>
      </c>
      <c r="X80" s="390"/>
    </row>
    <row r="81" spans="1:24" s="69" customFormat="1" ht="14.25" customHeight="1">
      <c r="A81" s="427" t="s">
        <v>37</v>
      </c>
      <c r="B81" s="427" t="s">
        <v>38</v>
      </c>
      <c r="C81" s="427" t="s">
        <v>1490</v>
      </c>
      <c r="D81" s="430" t="s">
        <v>3001</v>
      </c>
      <c r="E81" s="427" t="s">
        <v>1101</v>
      </c>
      <c r="F81" s="427" t="s">
        <v>1329</v>
      </c>
      <c r="G81" s="427" t="s">
        <v>1329</v>
      </c>
      <c r="H81" s="427" t="s">
        <v>41</v>
      </c>
      <c r="I81" s="427" t="s">
        <v>42</v>
      </c>
      <c r="J81" s="427" t="s">
        <v>43</v>
      </c>
      <c r="K81" s="427" t="s">
        <v>43</v>
      </c>
      <c r="L81" s="427" t="s">
        <v>43</v>
      </c>
      <c r="M81" s="427" t="s">
        <v>590</v>
      </c>
      <c r="N81" s="427">
        <v>24.002433</v>
      </c>
      <c r="O81" s="427">
        <v>97.609832999999995</v>
      </c>
      <c r="P81" s="427" t="s">
        <v>573</v>
      </c>
      <c r="Q81" s="427" t="s">
        <v>574</v>
      </c>
      <c r="R81" s="439">
        <v>388</v>
      </c>
      <c r="S81" s="432">
        <v>1900</v>
      </c>
      <c r="T81" s="444"/>
      <c r="U81" s="433"/>
      <c r="V81" s="427"/>
      <c r="W81" s="361"/>
      <c r="X81" s="430"/>
    </row>
    <row r="82" spans="1:24" s="69" customFormat="1" ht="14.25" customHeight="1">
      <c r="A82" s="427" t="s">
        <v>37</v>
      </c>
      <c r="B82" s="427" t="s">
        <v>38</v>
      </c>
      <c r="C82" s="427" t="s">
        <v>1473</v>
      </c>
      <c r="D82" s="390"/>
      <c r="E82" s="427"/>
      <c r="F82" s="427"/>
      <c r="G82" s="427"/>
      <c r="H82" s="427"/>
      <c r="I82" s="427"/>
      <c r="J82" s="427" t="s">
        <v>1099</v>
      </c>
      <c r="K82" s="427" t="s">
        <v>43</v>
      </c>
      <c r="L82" s="427" t="s">
        <v>815</v>
      </c>
      <c r="M82" s="427" t="s">
        <v>590</v>
      </c>
      <c r="N82" s="427"/>
      <c r="O82" s="427"/>
      <c r="P82" s="427" t="s">
        <v>573</v>
      </c>
      <c r="Q82" s="427"/>
      <c r="R82" s="431"/>
      <c r="S82" s="432"/>
      <c r="T82" s="444"/>
      <c r="U82" s="433"/>
      <c r="V82" s="427" t="s">
        <v>824</v>
      </c>
      <c r="W82" s="427"/>
      <c r="X82" s="390"/>
    </row>
    <row r="83" spans="1:24" s="69" customFormat="1" ht="14.25" customHeight="1">
      <c r="A83" s="427" t="s">
        <v>37</v>
      </c>
      <c r="B83" s="427" t="s">
        <v>38</v>
      </c>
      <c r="C83" s="427" t="s">
        <v>1491</v>
      </c>
      <c r="D83" s="390" t="s">
        <v>1300</v>
      </c>
      <c r="E83" s="427" t="s">
        <v>1100</v>
      </c>
      <c r="F83" s="427" t="s">
        <v>1329</v>
      </c>
      <c r="G83" s="427" t="s">
        <v>1329</v>
      </c>
      <c r="H83" s="427" t="s">
        <v>41</v>
      </c>
      <c r="I83" s="427" t="s">
        <v>42</v>
      </c>
      <c r="J83" s="427" t="s">
        <v>43</v>
      </c>
      <c r="K83" s="427" t="s">
        <v>43</v>
      </c>
      <c r="L83" s="427" t="s">
        <v>572</v>
      </c>
      <c r="M83" s="427" t="s">
        <v>590</v>
      </c>
      <c r="N83" s="427">
        <v>24.000250000000001</v>
      </c>
      <c r="O83" s="427">
        <v>97.608249999999998</v>
      </c>
      <c r="P83" s="427" t="s">
        <v>573</v>
      </c>
      <c r="Q83" s="427"/>
      <c r="R83" s="431">
        <v>0</v>
      </c>
      <c r="S83" s="431">
        <v>0</v>
      </c>
      <c r="T83" s="444"/>
      <c r="U83" s="433"/>
      <c r="V83" s="427" t="s">
        <v>718</v>
      </c>
      <c r="W83" s="427" t="s">
        <v>1640</v>
      </c>
      <c r="X83" s="390"/>
    </row>
    <row r="84" spans="1:24" s="69" customFormat="1" ht="14.25" customHeight="1">
      <c r="A84" s="427" t="s">
        <v>37</v>
      </c>
      <c r="B84" s="427" t="s">
        <v>38</v>
      </c>
      <c r="C84" s="427" t="s">
        <v>712</v>
      </c>
      <c r="D84" s="390" t="s">
        <v>1300</v>
      </c>
      <c r="E84" s="427" t="s">
        <v>1093</v>
      </c>
      <c r="F84" s="427" t="s">
        <v>1323</v>
      </c>
      <c r="G84" s="427">
        <v>0</v>
      </c>
      <c r="H84" s="427" t="s">
        <v>41</v>
      </c>
      <c r="I84" s="427" t="s">
        <v>42</v>
      </c>
      <c r="J84" s="427" t="s">
        <v>43</v>
      </c>
      <c r="K84" s="427" t="s">
        <v>43</v>
      </c>
      <c r="L84" s="427" t="s">
        <v>572</v>
      </c>
      <c r="M84" s="427" t="s">
        <v>590</v>
      </c>
      <c r="N84" s="427">
        <v>23.867713999999999</v>
      </c>
      <c r="O84" s="427">
        <v>97.601243999999994</v>
      </c>
      <c r="P84" s="427" t="s">
        <v>573</v>
      </c>
      <c r="Q84" s="427"/>
      <c r="R84" s="431">
        <v>0</v>
      </c>
      <c r="S84" s="432">
        <v>0</v>
      </c>
      <c r="T84" s="444"/>
      <c r="U84" s="433"/>
      <c r="V84" s="427" t="s">
        <v>712</v>
      </c>
      <c r="W84" s="361" t="s">
        <v>1641</v>
      </c>
      <c r="X84" s="390"/>
    </row>
    <row r="85" spans="1:24" s="69" customFormat="1" ht="14.25" customHeight="1">
      <c r="A85" s="427" t="s">
        <v>37</v>
      </c>
      <c r="B85" s="427" t="s">
        <v>38</v>
      </c>
      <c r="C85" s="427" t="s">
        <v>294</v>
      </c>
      <c r="D85" s="430" t="s">
        <v>3001</v>
      </c>
      <c r="E85" s="427" t="s">
        <v>1105</v>
      </c>
      <c r="F85" s="427"/>
      <c r="G85" s="427"/>
      <c r="H85" s="427" t="s">
        <v>41</v>
      </c>
      <c r="I85" s="427" t="s">
        <v>42</v>
      </c>
      <c r="J85" s="427" t="s">
        <v>43</v>
      </c>
      <c r="K85" s="427" t="s">
        <v>43</v>
      </c>
      <c r="L85" s="427" t="s">
        <v>43</v>
      </c>
      <c r="M85" s="427" t="s">
        <v>590</v>
      </c>
      <c r="N85" s="427">
        <v>24.056132999999999</v>
      </c>
      <c r="O85" s="427">
        <v>97.625617000000005</v>
      </c>
      <c r="P85" s="427" t="s">
        <v>573</v>
      </c>
      <c r="Q85" s="427" t="s">
        <v>574</v>
      </c>
      <c r="R85" s="439">
        <v>542</v>
      </c>
      <c r="S85" s="432">
        <v>2503</v>
      </c>
      <c r="T85" s="444"/>
      <c r="U85" s="433"/>
      <c r="V85" s="427"/>
      <c r="W85" s="361"/>
      <c r="X85" s="430"/>
    </row>
    <row r="86" spans="1:24" s="69" customFormat="1" ht="14.25" customHeight="1">
      <c r="A86" s="427" t="s">
        <v>37</v>
      </c>
      <c r="B86" s="427" t="s">
        <v>38</v>
      </c>
      <c r="C86" s="427" t="s">
        <v>713</v>
      </c>
      <c r="D86" s="390" t="s">
        <v>1300</v>
      </c>
      <c r="E86" s="427" t="s">
        <v>1094</v>
      </c>
      <c r="F86" s="427" t="s">
        <v>1324</v>
      </c>
      <c r="G86" s="427">
        <v>0</v>
      </c>
      <c r="H86" s="427" t="s">
        <v>41</v>
      </c>
      <c r="I86" s="427" t="s">
        <v>42</v>
      </c>
      <c r="J86" s="427" t="s">
        <v>43</v>
      </c>
      <c r="K86" s="427" t="s">
        <v>43</v>
      </c>
      <c r="L86" s="427" t="s">
        <v>572</v>
      </c>
      <c r="M86" s="427" t="s">
        <v>590</v>
      </c>
      <c r="N86" s="427">
        <v>23.9055</v>
      </c>
      <c r="O86" s="427">
        <v>97.585667000000001</v>
      </c>
      <c r="P86" s="427" t="s">
        <v>573</v>
      </c>
      <c r="Q86" s="427"/>
      <c r="R86" s="431">
        <v>0</v>
      </c>
      <c r="S86" s="431">
        <v>0</v>
      </c>
      <c r="T86" s="444"/>
      <c r="U86" s="433"/>
      <c r="V86" s="427" t="s">
        <v>713</v>
      </c>
      <c r="W86" s="427" t="s">
        <v>1642</v>
      </c>
      <c r="X86" s="390"/>
    </row>
    <row r="87" spans="1:24" s="69" customFormat="1" ht="14.25" customHeight="1">
      <c r="A87" s="427" t="s">
        <v>37</v>
      </c>
      <c r="B87" s="427" t="s">
        <v>38</v>
      </c>
      <c r="C87" s="427" t="s">
        <v>183</v>
      </c>
      <c r="D87" s="430" t="s">
        <v>3001</v>
      </c>
      <c r="E87" s="427" t="s">
        <v>1096</v>
      </c>
      <c r="F87" s="427" t="s">
        <v>183</v>
      </c>
      <c r="G87" s="427" t="s">
        <v>183</v>
      </c>
      <c r="H87" s="427" t="s">
        <v>41</v>
      </c>
      <c r="I87" s="427" t="s">
        <v>2116</v>
      </c>
      <c r="J87" s="427" t="s">
        <v>43</v>
      </c>
      <c r="K87" s="427" t="s">
        <v>43</v>
      </c>
      <c r="L87" s="427" t="s">
        <v>43</v>
      </c>
      <c r="M87" s="427" t="s">
        <v>44</v>
      </c>
      <c r="N87" s="427">
        <v>23.972453000000002</v>
      </c>
      <c r="O87" s="427">
        <v>97.225881000000001</v>
      </c>
      <c r="P87" s="427" t="s">
        <v>573</v>
      </c>
      <c r="Q87" s="427" t="s">
        <v>592</v>
      </c>
      <c r="R87" s="439">
        <v>363</v>
      </c>
      <c r="S87" s="432">
        <v>1757</v>
      </c>
      <c r="T87" s="444"/>
      <c r="U87" s="433"/>
      <c r="V87" s="427" t="s">
        <v>183</v>
      </c>
      <c r="W87" s="427" t="s">
        <v>1737</v>
      </c>
      <c r="X87" s="430"/>
    </row>
    <row r="88" spans="1:24" s="69" customFormat="1" ht="14.25" customHeight="1">
      <c r="A88" s="427" t="s">
        <v>37</v>
      </c>
      <c r="B88" s="427" t="s">
        <v>38</v>
      </c>
      <c r="C88" s="427" t="s">
        <v>39</v>
      </c>
      <c r="D88" s="430" t="s">
        <v>3001</v>
      </c>
      <c r="E88" s="427" t="s">
        <v>1097</v>
      </c>
      <c r="F88" s="427" t="s">
        <v>183</v>
      </c>
      <c r="G88" s="427" t="s">
        <v>183</v>
      </c>
      <c r="H88" s="427" t="s">
        <v>41</v>
      </c>
      <c r="I88" s="427" t="s">
        <v>42</v>
      </c>
      <c r="J88" s="427" t="s">
        <v>43</v>
      </c>
      <c r="K88" s="427" t="s">
        <v>43</v>
      </c>
      <c r="L88" s="427" t="s">
        <v>43</v>
      </c>
      <c r="M88" s="427" t="s">
        <v>44</v>
      </c>
      <c r="N88" s="427">
        <v>23.976571</v>
      </c>
      <c r="O88" s="427">
        <v>97.227057000000002</v>
      </c>
      <c r="P88" s="427" t="s">
        <v>573</v>
      </c>
      <c r="Q88" s="427" t="s">
        <v>592</v>
      </c>
      <c r="R88" s="439">
        <v>151</v>
      </c>
      <c r="S88" s="432">
        <v>732</v>
      </c>
      <c r="T88" s="444"/>
      <c r="U88" s="433"/>
      <c r="V88" s="427" t="s">
        <v>39</v>
      </c>
      <c r="W88" s="427"/>
      <c r="X88" s="430"/>
    </row>
    <row r="89" spans="1:24" s="69" customFormat="1" ht="14.25" customHeight="1">
      <c r="A89" s="427" t="s">
        <v>37</v>
      </c>
      <c r="B89" s="427" t="s">
        <v>38</v>
      </c>
      <c r="C89" s="427" t="s">
        <v>716</v>
      </c>
      <c r="D89" s="390"/>
      <c r="E89" s="427"/>
      <c r="F89" s="427"/>
      <c r="G89" s="427"/>
      <c r="H89" s="427"/>
      <c r="I89" s="427"/>
      <c r="J89" s="427" t="s">
        <v>1099</v>
      </c>
      <c r="K89" s="427" t="s">
        <v>43</v>
      </c>
      <c r="L89" s="427" t="s">
        <v>43</v>
      </c>
      <c r="M89" s="427" t="s">
        <v>44</v>
      </c>
      <c r="N89" s="427">
        <v>23.989049999999999</v>
      </c>
      <c r="O89" s="427">
        <v>97.225311000000005</v>
      </c>
      <c r="P89" s="427" t="s">
        <v>573</v>
      </c>
      <c r="Q89" s="427" t="s">
        <v>574</v>
      </c>
      <c r="R89" s="431"/>
      <c r="S89" s="432"/>
      <c r="T89" s="444">
        <v>42849</v>
      </c>
      <c r="U89" s="433" t="s">
        <v>717</v>
      </c>
      <c r="V89" s="427"/>
      <c r="W89" s="427"/>
      <c r="X89" s="390"/>
    </row>
    <row r="90" spans="1:24" s="69" customFormat="1" ht="14.25" customHeight="1">
      <c r="A90" s="427" t="s">
        <v>37</v>
      </c>
      <c r="B90" s="427" t="s">
        <v>38</v>
      </c>
      <c r="C90" s="427" t="s">
        <v>726</v>
      </c>
      <c r="D90" s="390" t="s">
        <v>1300</v>
      </c>
      <c r="E90" s="427" t="s">
        <v>1110</v>
      </c>
      <c r="F90" s="427" t="s">
        <v>1330</v>
      </c>
      <c r="G90" s="427" t="s">
        <v>1331</v>
      </c>
      <c r="H90" s="427"/>
      <c r="I90" s="427">
        <v>0</v>
      </c>
      <c r="J90" s="427" t="s">
        <v>43</v>
      </c>
      <c r="K90" s="427" t="s">
        <v>43</v>
      </c>
      <c r="L90" s="427" t="s">
        <v>572</v>
      </c>
      <c r="M90" s="427" t="s">
        <v>44</v>
      </c>
      <c r="N90" s="427">
        <v>24.181640000000002</v>
      </c>
      <c r="O90" s="427">
        <v>97.710989999999995</v>
      </c>
      <c r="P90" s="427" t="s">
        <v>573</v>
      </c>
      <c r="Q90" s="427" t="s">
        <v>592</v>
      </c>
      <c r="R90" s="431">
        <v>0</v>
      </c>
      <c r="S90" s="431">
        <v>0</v>
      </c>
      <c r="T90" s="444"/>
      <c r="U90" s="433" t="s">
        <v>727</v>
      </c>
      <c r="V90" s="427" t="s">
        <v>726</v>
      </c>
      <c r="W90" s="427" t="s">
        <v>1643</v>
      </c>
      <c r="X90" s="390"/>
    </row>
    <row r="91" spans="1:24" s="69" customFormat="1" ht="14.25" customHeight="1">
      <c r="A91" s="427" t="s">
        <v>37</v>
      </c>
      <c r="B91" s="427" t="s">
        <v>38</v>
      </c>
      <c r="C91" s="427" t="s">
        <v>728</v>
      </c>
      <c r="D91" s="390" t="s">
        <v>1300</v>
      </c>
      <c r="E91" s="427" t="s">
        <v>1111</v>
      </c>
      <c r="F91" s="427" t="s">
        <v>1330</v>
      </c>
      <c r="G91" s="427" t="s">
        <v>1331</v>
      </c>
      <c r="H91" s="427"/>
      <c r="I91" s="427">
        <v>0</v>
      </c>
      <c r="J91" s="427" t="s">
        <v>43</v>
      </c>
      <c r="K91" s="427" t="s">
        <v>43</v>
      </c>
      <c r="L91" s="427" t="s">
        <v>572</v>
      </c>
      <c r="M91" s="427" t="s">
        <v>44</v>
      </c>
      <c r="N91" s="427">
        <v>24.181640000000002</v>
      </c>
      <c r="O91" s="427">
        <v>97.710989999999995</v>
      </c>
      <c r="P91" s="427" t="s">
        <v>573</v>
      </c>
      <c r="Q91" s="427"/>
      <c r="R91" s="431">
        <v>0</v>
      </c>
      <c r="S91" s="432">
        <v>0</v>
      </c>
      <c r="T91" s="444"/>
      <c r="U91" s="433"/>
      <c r="V91" s="427" t="s">
        <v>728</v>
      </c>
      <c r="W91" s="427" t="s">
        <v>1643</v>
      </c>
      <c r="X91" s="390"/>
    </row>
    <row r="92" spans="1:24" s="69" customFormat="1" ht="14.25" customHeight="1">
      <c r="A92" s="427" t="s">
        <v>37</v>
      </c>
      <c r="B92" s="427" t="s">
        <v>38</v>
      </c>
      <c r="C92" s="427" t="s">
        <v>298</v>
      </c>
      <c r="D92" s="430" t="s">
        <v>3001</v>
      </c>
      <c r="E92" s="427" t="s">
        <v>1087</v>
      </c>
      <c r="F92" s="427" t="s">
        <v>1314</v>
      </c>
      <c r="G92" s="427" t="s">
        <v>1314</v>
      </c>
      <c r="H92" s="427" t="s">
        <v>41</v>
      </c>
      <c r="I92" s="427" t="s">
        <v>2118</v>
      </c>
      <c r="J92" s="427" t="s">
        <v>43</v>
      </c>
      <c r="K92" s="427" t="s">
        <v>43</v>
      </c>
      <c r="L92" s="427" t="s">
        <v>43</v>
      </c>
      <c r="M92" s="427" t="s">
        <v>44</v>
      </c>
      <c r="N92" s="427">
        <v>23.83013</v>
      </c>
      <c r="O92" s="427">
        <v>97.589979999999997</v>
      </c>
      <c r="P92" s="427" t="s">
        <v>573</v>
      </c>
      <c r="Q92" s="427" t="s">
        <v>592</v>
      </c>
      <c r="R92" s="439">
        <v>132</v>
      </c>
      <c r="S92" s="432">
        <v>630</v>
      </c>
      <c r="T92" s="444"/>
      <c r="U92" s="433" t="s">
        <v>2627</v>
      </c>
      <c r="V92" s="427" t="s">
        <v>298</v>
      </c>
      <c r="W92" s="427"/>
      <c r="X92" s="430"/>
    </row>
    <row r="93" spans="1:24" s="69" customFormat="1" ht="14.25" customHeight="1">
      <c r="A93" s="427" t="s">
        <v>37</v>
      </c>
      <c r="B93" s="427" t="s">
        <v>38</v>
      </c>
      <c r="C93" s="427" t="s">
        <v>840</v>
      </c>
      <c r="D93" s="390" t="s">
        <v>2259</v>
      </c>
      <c r="E93" s="427"/>
      <c r="F93" s="427"/>
      <c r="G93" s="427"/>
      <c r="H93" s="427"/>
      <c r="I93" s="427"/>
      <c r="J93" s="427" t="s">
        <v>43</v>
      </c>
      <c r="K93" s="427" t="s">
        <v>43</v>
      </c>
      <c r="L93" s="427" t="s">
        <v>43</v>
      </c>
      <c r="M93" s="427" t="s">
        <v>44</v>
      </c>
      <c r="N93" s="427"/>
      <c r="O93" s="427"/>
      <c r="P93" s="427" t="s">
        <v>573</v>
      </c>
      <c r="Q93" s="427"/>
      <c r="R93" s="431"/>
      <c r="S93" s="431"/>
      <c r="T93" s="444"/>
      <c r="U93" s="433"/>
      <c r="V93" s="427"/>
      <c r="W93" s="427"/>
      <c r="X93" s="390"/>
    </row>
    <row r="94" spans="1:24" s="69" customFormat="1" ht="14.25" customHeight="1">
      <c r="A94" s="427" t="s">
        <v>37</v>
      </c>
      <c r="B94" s="427" t="s">
        <v>38</v>
      </c>
      <c r="C94" s="427" t="s">
        <v>300</v>
      </c>
      <c r="D94" s="430" t="s">
        <v>3001</v>
      </c>
      <c r="E94" s="427" t="s">
        <v>1086</v>
      </c>
      <c r="F94" s="427" t="s">
        <v>1314</v>
      </c>
      <c r="G94" s="427" t="s">
        <v>1314</v>
      </c>
      <c r="H94" s="427" t="s">
        <v>41</v>
      </c>
      <c r="I94" s="427" t="s">
        <v>2118</v>
      </c>
      <c r="J94" s="427" t="s">
        <v>43</v>
      </c>
      <c r="K94" s="427" t="s">
        <v>43</v>
      </c>
      <c r="L94" s="427" t="s">
        <v>43</v>
      </c>
      <c r="M94" s="427" t="s">
        <v>44</v>
      </c>
      <c r="N94" s="427">
        <v>23.829599000000002</v>
      </c>
      <c r="O94" s="427">
        <v>97.590767</v>
      </c>
      <c r="P94" s="427" t="s">
        <v>573</v>
      </c>
      <c r="Q94" s="427" t="s">
        <v>592</v>
      </c>
      <c r="R94" s="439">
        <v>155</v>
      </c>
      <c r="S94" s="432">
        <v>677</v>
      </c>
      <c r="T94" s="444"/>
      <c r="U94" s="433" t="s">
        <v>2627</v>
      </c>
      <c r="V94" s="427" t="s">
        <v>707</v>
      </c>
      <c r="W94" s="427"/>
      <c r="X94" s="430"/>
    </row>
    <row r="95" spans="1:24" s="69" customFormat="1" ht="14.25" customHeight="1">
      <c r="A95" s="427" t="s">
        <v>37</v>
      </c>
      <c r="B95" s="427" t="s">
        <v>38</v>
      </c>
      <c r="C95" s="427" t="s">
        <v>301</v>
      </c>
      <c r="D95" s="430" t="s">
        <v>3001</v>
      </c>
      <c r="E95" s="427" t="s">
        <v>1089</v>
      </c>
      <c r="F95" s="427" t="s">
        <v>1314</v>
      </c>
      <c r="G95" s="427" t="s">
        <v>1314</v>
      </c>
      <c r="H95" s="427" t="s">
        <v>41</v>
      </c>
      <c r="I95" s="427" t="s">
        <v>42</v>
      </c>
      <c r="J95" s="427" t="s">
        <v>43</v>
      </c>
      <c r="K95" s="427" t="s">
        <v>43</v>
      </c>
      <c r="L95" s="427" t="s">
        <v>43</v>
      </c>
      <c r="M95" s="427" t="s">
        <v>44</v>
      </c>
      <c r="N95" s="427">
        <v>23.835319999999999</v>
      </c>
      <c r="O95" s="427">
        <v>97.578490000000002</v>
      </c>
      <c r="P95" s="427" t="s">
        <v>573</v>
      </c>
      <c r="Q95" s="427" t="s">
        <v>592</v>
      </c>
      <c r="R95" s="439">
        <v>622</v>
      </c>
      <c r="S95" s="432">
        <v>3302</v>
      </c>
      <c r="T95" s="444"/>
      <c r="U95" s="433" t="s">
        <v>2627</v>
      </c>
      <c r="V95" s="427" t="s">
        <v>301</v>
      </c>
      <c r="W95" s="427"/>
      <c r="X95" s="430"/>
    </row>
    <row r="96" spans="1:24" s="69" customFormat="1" ht="14.25" customHeight="1">
      <c r="A96" s="427" t="s">
        <v>37</v>
      </c>
      <c r="B96" s="427" t="s">
        <v>38</v>
      </c>
      <c r="C96" s="427" t="s">
        <v>302</v>
      </c>
      <c r="D96" s="430" t="s">
        <v>3001</v>
      </c>
      <c r="E96" s="427" t="s">
        <v>1088</v>
      </c>
      <c r="F96" s="427" t="s">
        <v>1314</v>
      </c>
      <c r="G96" s="427" t="s">
        <v>1314</v>
      </c>
      <c r="H96" s="427" t="s">
        <v>41</v>
      </c>
      <c r="I96" s="427" t="s">
        <v>42</v>
      </c>
      <c r="J96" s="427" t="s">
        <v>43</v>
      </c>
      <c r="K96" s="427" t="s">
        <v>43</v>
      </c>
      <c r="L96" s="427" t="s">
        <v>43</v>
      </c>
      <c r="M96" s="427" t="s">
        <v>44</v>
      </c>
      <c r="N96" s="427">
        <v>23.833477999999999</v>
      </c>
      <c r="O96" s="427">
        <v>97.578367</v>
      </c>
      <c r="P96" s="427" t="s">
        <v>573</v>
      </c>
      <c r="Q96" s="427" t="s">
        <v>592</v>
      </c>
      <c r="R96" s="439">
        <v>142</v>
      </c>
      <c r="S96" s="432">
        <v>830</v>
      </c>
      <c r="T96" s="444"/>
      <c r="U96" s="433" t="s">
        <v>2627</v>
      </c>
      <c r="V96" s="427" t="s">
        <v>708</v>
      </c>
      <c r="W96" s="427"/>
      <c r="X96" s="430"/>
    </row>
    <row r="97" spans="1:24" s="69" customFormat="1" ht="14.25" customHeight="1">
      <c r="A97" s="427" t="s">
        <v>37</v>
      </c>
      <c r="B97" s="427" t="s">
        <v>38</v>
      </c>
      <c r="C97" s="427" t="s">
        <v>841</v>
      </c>
      <c r="D97" s="390"/>
      <c r="E97" s="427"/>
      <c r="F97" s="427"/>
      <c r="G97" s="427"/>
      <c r="H97" s="427"/>
      <c r="I97" s="427"/>
      <c r="J97" s="427" t="s">
        <v>1099</v>
      </c>
      <c r="K97" s="427" t="s">
        <v>43</v>
      </c>
      <c r="L97" s="427" t="s">
        <v>826</v>
      </c>
      <c r="M97" s="427" t="s">
        <v>44</v>
      </c>
      <c r="N97" s="427"/>
      <c r="O97" s="427"/>
      <c r="P97" s="427" t="s">
        <v>573</v>
      </c>
      <c r="Q97" s="427" t="s">
        <v>592</v>
      </c>
      <c r="R97" s="431"/>
      <c r="S97" s="431"/>
      <c r="T97" s="444"/>
      <c r="U97" s="433" t="s">
        <v>823</v>
      </c>
      <c r="V97" s="427" t="s">
        <v>841</v>
      </c>
      <c r="W97" s="427"/>
      <c r="X97" s="390"/>
    </row>
    <row r="98" spans="1:24" s="69" customFormat="1" ht="14.25" customHeight="1">
      <c r="A98" s="427" t="s">
        <v>37</v>
      </c>
      <c r="B98" s="427" t="s">
        <v>38</v>
      </c>
      <c r="C98" s="427" t="s">
        <v>3024</v>
      </c>
      <c r="D98" s="430" t="s">
        <v>3001</v>
      </c>
      <c r="E98" s="427" t="s">
        <v>1083</v>
      </c>
      <c r="F98" s="427" t="s">
        <v>1314</v>
      </c>
      <c r="G98" s="427" t="s">
        <v>1314</v>
      </c>
      <c r="H98" s="427"/>
      <c r="I98" s="427" t="s">
        <v>1619</v>
      </c>
      <c r="J98" s="427" t="s">
        <v>43</v>
      </c>
      <c r="K98" s="427" t="s">
        <v>43</v>
      </c>
      <c r="L98" s="427" t="s">
        <v>2608</v>
      </c>
      <c r="M98" s="427" t="s">
        <v>44</v>
      </c>
      <c r="N98" s="427">
        <v>23.827870999999998</v>
      </c>
      <c r="O98" s="427">
        <v>97.588291999999996</v>
      </c>
      <c r="P98" s="427" t="s">
        <v>585</v>
      </c>
      <c r="Q98" s="427" t="s">
        <v>574</v>
      </c>
      <c r="R98" s="439">
        <v>120</v>
      </c>
      <c r="S98" s="432">
        <v>664</v>
      </c>
      <c r="T98" s="444"/>
      <c r="U98" s="433" t="s">
        <v>2627</v>
      </c>
      <c r="V98" s="427" t="s">
        <v>706</v>
      </c>
      <c r="W98" s="427"/>
      <c r="X98" s="430"/>
    </row>
    <row r="99" spans="1:24" s="69" customFormat="1" ht="14.25" customHeight="1">
      <c r="A99" s="427" t="s">
        <v>37</v>
      </c>
      <c r="B99" s="427" t="s">
        <v>38</v>
      </c>
      <c r="C99" s="427" t="s">
        <v>193</v>
      </c>
      <c r="D99" s="430" t="s">
        <v>3001</v>
      </c>
      <c r="E99" s="427" t="s">
        <v>1109</v>
      </c>
      <c r="F99" s="427" t="s">
        <v>1382</v>
      </c>
      <c r="G99" s="427" t="s">
        <v>1383</v>
      </c>
      <c r="H99" s="427" t="s">
        <v>41</v>
      </c>
      <c r="I99" s="427" t="s">
        <v>2116</v>
      </c>
      <c r="J99" s="427" t="s">
        <v>43</v>
      </c>
      <c r="K99" s="427" t="s">
        <v>43</v>
      </c>
      <c r="L99" s="427" t="s">
        <v>43</v>
      </c>
      <c r="M99" s="427" t="s">
        <v>44</v>
      </c>
      <c r="N99" s="427">
        <v>24.129059999999999</v>
      </c>
      <c r="O99" s="427">
        <v>97.291820000000001</v>
      </c>
      <c r="P99" s="427" t="s">
        <v>573</v>
      </c>
      <c r="Q99" s="427" t="s">
        <v>592</v>
      </c>
      <c r="R99" s="439">
        <v>181</v>
      </c>
      <c r="S99" s="432">
        <v>815</v>
      </c>
      <c r="T99" s="444"/>
      <c r="U99" s="433"/>
      <c r="V99" s="427" t="s">
        <v>193</v>
      </c>
      <c r="W99" s="427"/>
      <c r="X99" s="430"/>
    </row>
    <row r="100" spans="1:24" s="69" customFormat="1" ht="14.25" customHeight="1">
      <c r="A100" s="427" t="s">
        <v>37</v>
      </c>
      <c r="B100" s="427" t="s">
        <v>38</v>
      </c>
      <c r="C100" s="427" t="s">
        <v>3025</v>
      </c>
      <c r="D100" s="430" t="s">
        <v>3001</v>
      </c>
      <c r="E100" s="427" t="s">
        <v>1108</v>
      </c>
      <c r="F100" s="427"/>
      <c r="G100" s="427"/>
      <c r="H100" s="427"/>
      <c r="I100" s="427" t="s">
        <v>1619</v>
      </c>
      <c r="J100" s="427" t="s">
        <v>43</v>
      </c>
      <c r="K100" s="427" t="s">
        <v>43</v>
      </c>
      <c r="L100" s="427" t="s">
        <v>2608</v>
      </c>
      <c r="M100" s="427" t="s">
        <v>44</v>
      </c>
      <c r="N100" s="427">
        <v>24.118618999999999</v>
      </c>
      <c r="O100" s="427">
        <v>97.298055000000005</v>
      </c>
      <c r="P100" s="427" t="s">
        <v>585</v>
      </c>
      <c r="Q100" s="427" t="s">
        <v>574</v>
      </c>
      <c r="R100" s="439">
        <v>70</v>
      </c>
      <c r="S100" s="432">
        <v>344</v>
      </c>
      <c r="T100" s="444"/>
      <c r="U100" s="433" t="s">
        <v>724</v>
      </c>
      <c r="V100" s="427" t="s">
        <v>725</v>
      </c>
      <c r="W100" s="427"/>
      <c r="X100" s="430"/>
    </row>
    <row r="101" spans="1:24" s="69" customFormat="1" ht="14.25" customHeight="1">
      <c r="A101" s="427" t="s">
        <v>37</v>
      </c>
      <c r="B101" s="427" t="s">
        <v>38</v>
      </c>
      <c r="C101" s="427" t="s">
        <v>729</v>
      </c>
      <c r="D101" s="390" t="s">
        <v>1300</v>
      </c>
      <c r="E101" s="427" t="s">
        <v>1118</v>
      </c>
      <c r="F101" s="427" t="s">
        <v>1332</v>
      </c>
      <c r="G101" s="427">
        <v>0</v>
      </c>
      <c r="H101" s="427"/>
      <c r="I101" s="427">
        <v>0</v>
      </c>
      <c r="J101" s="427" t="s">
        <v>43</v>
      </c>
      <c r="K101" s="427" t="s">
        <v>43</v>
      </c>
      <c r="L101" s="427" t="s">
        <v>572</v>
      </c>
      <c r="M101" s="427" t="s">
        <v>590</v>
      </c>
      <c r="N101" s="427">
        <v>24.20645</v>
      </c>
      <c r="O101" s="427">
        <v>96.808850000000007</v>
      </c>
      <c r="P101" s="427" t="s">
        <v>573</v>
      </c>
      <c r="Q101" s="427"/>
      <c r="R101" s="431">
        <v>0</v>
      </c>
      <c r="S101" s="432">
        <v>0</v>
      </c>
      <c r="T101" s="444"/>
      <c r="U101" s="433"/>
      <c r="V101" s="427" t="s">
        <v>729</v>
      </c>
      <c r="W101" s="427" t="s">
        <v>1621</v>
      </c>
      <c r="X101" s="390"/>
    </row>
    <row r="102" spans="1:24" s="69" customFormat="1" ht="14.25" customHeight="1">
      <c r="A102" s="427" t="s">
        <v>37</v>
      </c>
      <c r="B102" s="427" t="s">
        <v>38</v>
      </c>
      <c r="C102" s="427" t="s">
        <v>589</v>
      </c>
      <c r="D102" s="390" t="s">
        <v>1300</v>
      </c>
      <c r="E102" s="427" t="s">
        <v>1043</v>
      </c>
      <c r="F102" s="427" t="s">
        <v>1314</v>
      </c>
      <c r="G102" s="427">
        <v>0</v>
      </c>
      <c r="H102" s="427"/>
      <c r="I102" s="427">
        <v>0</v>
      </c>
      <c r="J102" s="427" t="s">
        <v>43</v>
      </c>
      <c r="K102" s="427" t="s">
        <v>43</v>
      </c>
      <c r="L102" s="427" t="s">
        <v>572</v>
      </c>
      <c r="M102" s="427" t="s">
        <v>590</v>
      </c>
      <c r="N102" s="427"/>
      <c r="O102" s="427"/>
      <c r="P102" s="427" t="s">
        <v>573</v>
      </c>
      <c r="Q102" s="427"/>
      <c r="R102" s="431">
        <v>0</v>
      </c>
      <c r="S102" s="432">
        <v>0</v>
      </c>
      <c r="T102" s="444"/>
      <c r="U102" s="433"/>
      <c r="V102" s="427" t="s">
        <v>589</v>
      </c>
      <c r="W102" s="427" t="s">
        <v>1644</v>
      </c>
      <c r="X102" s="390"/>
    </row>
    <row r="103" spans="1:24" s="69" customFormat="1" ht="14.25" customHeight="1">
      <c r="A103" s="427" t="s">
        <v>37</v>
      </c>
      <c r="B103" s="427" t="s">
        <v>38</v>
      </c>
      <c r="C103" s="427" t="s">
        <v>704</v>
      </c>
      <c r="D103" s="390" t="s">
        <v>1300</v>
      </c>
      <c r="E103" s="427" t="s">
        <v>1080</v>
      </c>
      <c r="F103" s="427" t="s">
        <v>1316</v>
      </c>
      <c r="G103" s="427">
        <v>0</v>
      </c>
      <c r="H103" s="427"/>
      <c r="I103" s="427">
        <v>0</v>
      </c>
      <c r="J103" s="427" t="s">
        <v>43</v>
      </c>
      <c r="K103" s="427" t="s">
        <v>43</v>
      </c>
      <c r="L103" s="427" t="s">
        <v>572</v>
      </c>
      <c r="M103" s="427" t="s">
        <v>590</v>
      </c>
      <c r="N103" s="427">
        <v>23.75817</v>
      </c>
      <c r="O103" s="427">
        <v>97.132339999999999</v>
      </c>
      <c r="P103" s="427" t="s">
        <v>573</v>
      </c>
      <c r="Q103" s="427"/>
      <c r="R103" s="431">
        <v>0</v>
      </c>
      <c r="S103" s="432">
        <v>0</v>
      </c>
      <c r="T103" s="444"/>
      <c r="U103" s="433"/>
      <c r="V103" s="427" t="s">
        <v>704</v>
      </c>
      <c r="W103" s="427" t="s">
        <v>1621</v>
      </c>
      <c r="X103" s="390"/>
    </row>
    <row r="104" spans="1:24" s="69" customFormat="1" ht="14.25" customHeight="1">
      <c r="A104" s="427" t="s">
        <v>37</v>
      </c>
      <c r="B104" s="429" t="s">
        <v>38</v>
      </c>
      <c r="C104" s="429" t="s">
        <v>593</v>
      </c>
      <c r="D104" s="390" t="s">
        <v>1300</v>
      </c>
      <c r="E104" s="427" t="s">
        <v>1046</v>
      </c>
      <c r="F104" s="427" t="s">
        <v>1316</v>
      </c>
      <c r="G104" s="427">
        <v>0</v>
      </c>
      <c r="H104" s="427"/>
      <c r="I104" s="427">
        <v>0</v>
      </c>
      <c r="J104" s="427" t="s">
        <v>43</v>
      </c>
      <c r="K104" s="427" t="s">
        <v>43</v>
      </c>
      <c r="L104" s="427" t="s">
        <v>572</v>
      </c>
      <c r="M104" s="427" t="s">
        <v>590</v>
      </c>
      <c r="N104" s="427"/>
      <c r="O104" s="427"/>
      <c r="P104" s="427" t="s">
        <v>573</v>
      </c>
      <c r="Q104" s="427"/>
      <c r="R104" s="431">
        <v>0</v>
      </c>
      <c r="S104" s="432">
        <v>0</v>
      </c>
      <c r="T104" s="444"/>
      <c r="U104" s="433"/>
      <c r="V104" s="427" t="s">
        <v>593</v>
      </c>
      <c r="W104" s="427" t="s">
        <v>1621</v>
      </c>
      <c r="X104" s="390"/>
    </row>
    <row r="105" spans="1:24" s="69" customFormat="1" ht="14.25" customHeight="1">
      <c r="A105" s="427" t="s">
        <v>37</v>
      </c>
      <c r="B105" s="429" t="s">
        <v>38</v>
      </c>
      <c r="C105" s="429" t="s">
        <v>705</v>
      </c>
      <c r="D105" s="390" t="s">
        <v>1300</v>
      </c>
      <c r="E105" s="427" t="s">
        <v>1081</v>
      </c>
      <c r="F105" s="427" t="s">
        <v>1316</v>
      </c>
      <c r="G105" s="427">
        <v>0</v>
      </c>
      <c r="H105" s="427"/>
      <c r="I105" s="427">
        <v>0</v>
      </c>
      <c r="J105" s="427" t="s">
        <v>43</v>
      </c>
      <c r="K105" s="427" t="s">
        <v>43</v>
      </c>
      <c r="L105" s="427" t="s">
        <v>572</v>
      </c>
      <c r="M105" s="427" t="s">
        <v>590</v>
      </c>
      <c r="N105" s="427">
        <v>23.75817</v>
      </c>
      <c r="O105" s="427">
        <v>97.132339999999999</v>
      </c>
      <c r="P105" s="427" t="s">
        <v>573</v>
      </c>
      <c r="Q105" s="427"/>
      <c r="R105" s="431">
        <v>0</v>
      </c>
      <c r="S105" s="432">
        <v>0</v>
      </c>
      <c r="T105" s="444"/>
      <c r="U105" s="433"/>
      <c r="V105" s="427" t="s">
        <v>705</v>
      </c>
      <c r="W105" s="427" t="s">
        <v>1645</v>
      </c>
      <c r="X105" s="390"/>
    </row>
    <row r="106" spans="1:24" s="69" customFormat="1" ht="14.25" customHeight="1">
      <c r="A106" s="432" t="s">
        <v>37</v>
      </c>
      <c r="B106" s="435" t="s">
        <v>38</v>
      </c>
      <c r="C106" s="436" t="s">
        <v>601</v>
      </c>
      <c r="D106" s="390" t="s">
        <v>1300</v>
      </c>
      <c r="E106" s="427" t="s">
        <v>1051</v>
      </c>
      <c r="F106" s="427">
        <v>0</v>
      </c>
      <c r="G106" s="427">
        <v>0</v>
      </c>
      <c r="H106" s="427"/>
      <c r="I106" s="427">
        <v>0</v>
      </c>
      <c r="J106" s="427" t="s">
        <v>43</v>
      </c>
      <c r="K106" s="427" t="s">
        <v>43</v>
      </c>
      <c r="L106" s="427" t="s">
        <v>572</v>
      </c>
      <c r="M106" s="427" t="s">
        <v>44</v>
      </c>
      <c r="N106" s="427"/>
      <c r="O106" s="427"/>
      <c r="P106" s="427" t="s">
        <v>573</v>
      </c>
      <c r="Q106" s="427"/>
      <c r="R106" s="431">
        <v>0</v>
      </c>
      <c r="S106" s="431">
        <v>0</v>
      </c>
      <c r="T106" s="444"/>
      <c r="U106" s="433"/>
      <c r="V106" s="431"/>
      <c r="W106" s="431" t="s">
        <v>1646</v>
      </c>
      <c r="X106" s="390"/>
    </row>
    <row r="107" spans="1:24" s="69" customFormat="1" ht="14.25" customHeight="1">
      <c r="A107" s="432" t="s">
        <v>37</v>
      </c>
      <c r="B107" s="435" t="s">
        <v>38</v>
      </c>
      <c r="C107" s="436" t="s">
        <v>139</v>
      </c>
      <c r="D107" s="430"/>
      <c r="E107" s="427"/>
      <c r="F107" s="427"/>
      <c r="G107" s="427"/>
      <c r="H107" s="427"/>
      <c r="I107" s="427"/>
      <c r="J107" s="427" t="s">
        <v>1099</v>
      </c>
      <c r="K107" s="427" t="s">
        <v>43</v>
      </c>
      <c r="L107" s="427" t="s">
        <v>43</v>
      </c>
      <c r="M107" s="427" t="s">
        <v>44</v>
      </c>
      <c r="N107" s="427"/>
      <c r="O107" s="427"/>
      <c r="P107" s="427" t="s">
        <v>573</v>
      </c>
      <c r="Q107" s="427" t="s">
        <v>592</v>
      </c>
      <c r="R107" s="439"/>
      <c r="S107" s="432"/>
      <c r="T107" s="444">
        <v>42747</v>
      </c>
      <c r="U107" s="439" t="s">
        <v>823</v>
      </c>
      <c r="V107" s="427"/>
      <c r="W107" s="431"/>
      <c r="X107" s="430"/>
    </row>
    <row r="108" spans="1:24" s="69" customFormat="1" ht="14.25" customHeight="1">
      <c r="A108" s="436" t="s">
        <v>37</v>
      </c>
      <c r="B108" s="435" t="s">
        <v>38</v>
      </c>
      <c r="C108" s="429" t="s">
        <v>2601</v>
      </c>
      <c r="D108" s="430" t="s">
        <v>3001</v>
      </c>
      <c r="E108" s="427" t="s">
        <v>2594</v>
      </c>
      <c r="F108" s="427" t="s">
        <v>2610</v>
      </c>
      <c r="G108" s="427" t="s">
        <v>2610</v>
      </c>
      <c r="H108" s="427"/>
      <c r="I108" s="427"/>
      <c r="J108" s="427" t="s">
        <v>620</v>
      </c>
      <c r="K108" s="427" t="s">
        <v>620</v>
      </c>
      <c r="L108" s="427" t="s">
        <v>3009</v>
      </c>
      <c r="M108" s="427" t="s">
        <v>44</v>
      </c>
      <c r="N108" s="427">
        <v>24.109690000000001</v>
      </c>
      <c r="O108" s="427">
        <v>97.241101</v>
      </c>
      <c r="P108" s="429"/>
      <c r="Q108" s="427" t="s">
        <v>2609</v>
      </c>
      <c r="R108" s="439">
        <v>86</v>
      </c>
      <c r="S108" s="432">
        <v>450</v>
      </c>
      <c r="T108" s="444">
        <v>44166</v>
      </c>
      <c r="U108" s="433"/>
      <c r="V108" s="427"/>
      <c r="W108" s="361"/>
      <c r="X108" s="430"/>
    </row>
    <row r="109" spans="1:24" s="69" customFormat="1" ht="14.25" customHeight="1">
      <c r="A109" s="427" t="s">
        <v>37</v>
      </c>
      <c r="B109" s="427" t="s">
        <v>38</v>
      </c>
      <c r="C109" s="427" t="s">
        <v>2204</v>
      </c>
      <c r="D109" s="390"/>
      <c r="E109" s="427"/>
      <c r="F109" s="427"/>
      <c r="G109" s="427"/>
      <c r="H109" s="427"/>
      <c r="I109" s="427"/>
      <c r="J109" s="427" t="s">
        <v>1099</v>
      </c>
      <c r="K109" s="427" t="s">
        <v>43</v>
      </c>
      <c r="L109" s="427" t="s">
        <v>826</v>
      </c>
      <c r="M109" s="427" t="s">
        <v>44</v>
      </c>
      <c r="N109" s="427"/>
      <c r="O109" s="427"/>
      <c r="P109" s="427" t="s">
        <v>573</v>
      </c>
      <c r="Q109" s="427" t="s">
        <v>2175</v>
      </c>
      <c r="R109" s="431"/>
      <c r="S109" s="431"/>
      <c r="T109" s="444">
        <v>43749</v>
      </c>
      <c r="U109" s="433"/>
      <c r="V109" s="427"/>
      <c r="W109" s="427"/>
      <c r="X109" s="390"/>
    </row>
    <row r="110" spans="1:24" s="69" customFormat="1" ht="14.25" customHeight="1">
      <c r="A110" s="436" t="s">
        <v>37</v>
      </c>
      <c r="B110" s="435" t="s">
        <v>152</v>
      </c>
      <c r="C110" s="436" t="s">
        <v>1546</v>
      </c>
      <c r="D110" s="430" t="s">
        <v>3001</v>
      </c>
      <c r="E110" s="427" t="s">
        <v>1552</v>
      </c>
      <c r="F110" s="427"/>
      <c r="G110" s="427"/>
      <c r="H110" s="427"/>
      <c r="I110" s="427" t="s">
        <v>1619</v>
      </c>
      <c r="J110" s="427" t="s">
        <v>43</v>
      </c>
      <c r="K110" s="429" t="s">
        <v>43</v>
      </c>
      <c r="L110" s="429" t="s">
        <v>588</v>
      </c>
      <c r="M110" s="427" t="s">
        <v>44</v>
      </c>
      <c r="N110" s="427">
        <v>25.30274</v>
      </c>
      <c r="O110" s="427">
        <v>96.940380000000005</v>
      </c>
      <c r="P110" s="427" t="s">
        <v>573</v>
      </c>
      <c r="Q110" s="427" t="s">
        <v>1530</v>
      </c>
      <c r="R110" s="439">
        <v>5</v>
      </c>
      <c r="S110" s="432">
        <v>32</v>
      </c>
      <c r="T110" s="444">
        <v>43276</v>
      </c>
      <c r="U110" s="433" t="s">
        <v>1578</v>
      </c>
      <c r="V110" s="427"/>
      <c r="W110" s="427" t="s">
        <v>1738</v>
      </c>
      <c r="X110" s="430"/>
    </row>
    <row r="111" spans="1:24" s="69" customFormat="1" ht="14.25" customHeight="1">
      <c r="A111" s="436" t="s">
        <v>37</v>
      </c>
      <c r="B111" s="435" t="s">
        <v>152</v>
      </c>
      <c r="C111" s="429" t="s">
        <v>153</v>
      </c>
      <c r="D111" s="430" t="s">
        <v>3001</v>
      </c>
      <c r="E111" s="427" t="s">
        <v>1173</v>
      </c>
      <c r="F111" s="427" t="s">
        <v>1365</v>
      </c>
      <c r="G111" s="427" t="s">
        <v>1417</v>
      </c>
      <c r="H111" s="427" t="s">
        <v>41</v>
      </c>
      <c r="I111" s="427" t="s">
        <v>2117</v>
      </c>
      <c r="J111" s="427" t="s">
        <v>43</v>
      </c>
      <c r="K111" s="427" t="s">
        <v>43</v>
      </c>
      <c r="L111" s="429" t="s">
        <v>43</v>
      </c>
      <c r="M111" s="427" t="s">
        <v>44</v>
      </c>
      <c r="N111" s="427">
        <v>25.305669999999999</v>
      </c>
      <c r="O111" s="427">
        <v>96.922619999999995</v>
      </c>
      <c r="P111" s="429" t="s">
        <v>573</v>
      </c>
      <c r="Q111" s="427" t="s">
        <v>592</v>
      </c>
      <c r="R111" s="439">
        <v>13</v>
      </c>
      <c r="S111" s="432">
        <v>76</v>
      </c>
      <c r="T111" s="444"/>
      <c r="U111" s="433"/>
      <c r="V111" s="427" t="s">
        <v>153</v>
      </c>
      <c r="W111" s="361"/>
      <c r="X111" s="430"/>
    </row>
    <row r="112" spans="1:24" s="69" customFormat="1" ht="14.25" customHeight="1">
      <c r="A112" s="436" t="s">
        <v>37</v>
      </c>
      <c r="B112" s="435" t="s">
        <v>152</v>
      </c>
      <c r="C112" s="429" t="s">
        <v>1575</v>
      </c>
      <c r="D112" s="430"/>
      <c r="E112" s="427"/>
      <c r="F112" s="427"/>
      <c r="G112" s="427"/>
      <c r="H112" s="427"/>
      <c r="I112" s="427"/>
      <c r="J112" s="427" t="s">
        <v>1099</v>
      </c>
      <c r="K112" s="427" t="s">
        <v>43</v>
      </c>
      <c r="L112" s="427" t="s">
        <v>588</v>
      </c>
      <c r="M112" s="427"/>
      <c r="N112" s="427"/>
      <c r="O112" s="427"/>
      <c r="P112" s="427" t="s">
        <v>573</v>
      </c>
      <c r="Q112" s="427" t="s">
        <v>1530</v>
      </c>
      <c r="R112" s="439"/>
      <c r="S112" s="432"/>
      <c r="T112" s="444">
        <v>43285</v>
      </c>
      <c r="U112" s="433" t="s">
        <v>1580</v>
      </c>
      <c r="V112" s="427"/>
      <c r="W112" s="427"/>
      <c r="X112" s="430"/>
    </row>
    <row r="113" spans="1:24" s="69" customFormat="1" ht="14.25" customHeight="1">
      <c r="A113" s="427" t="s">
        <v>37</v>
      </c>
      <c r="B113" s="427" t="s">
        <v>152</v>
      </c>
      <c r="C113" s="427" t="s">
        <v>1533</v>
      </c>
      <c r="D113" s="390"/>
      <c r="E113" s="427"/>
      <c r="F113" s="427"/>
      <c r="G113" s="427"/>
      <c r="H113" s="427"/>
      <c r="I113" s="427"/>
      <c r="J113" s="427" t="s">
        <v>1099</v>
      </c>
      <c r="K113" s="427" t="s">
        <v>43</v>
      </c>
      <c r="L113" s="427" t="s">
        <v>43</v>
      </c>
      <c r="M113" s="427" t="s">
        <v>44</v>
      </c>
      <c r="N113" s="427"/>
      <c r="O113" s="427"/>
      <c r="P113" s="427" t="s">
        <v>573</v>
      </c>
      <c r="Q113" s="427" t="s">
        <v>1530</v>
      </c>
      <c r="R113" s="431"/>
      <c r="S113" s="431"/>
      <c r="T113" s="444">
        <v>43270</v>
      </c>
      <c r="U113" s="433"/>
      <c r="V113" s="427"/>
      <c r="W113" s="427"/>
      <c r="X113" s="390"/>
    </row>
    <row r="114" spans="1:24" s="69" customFormat="1" ht="14.25" customHeight="1">
      <c r="A114" s="427" t="s">
        <v>37</v>
      </c>
      <c r="B114" s="427" t="s">
        <v>152</v>
      </c>
      <c r="C114" s="427" t="s">
        <v>1532</v>
      </c>
      <c r="D114" s="390"/>
      <c r="E114" s="427"/>
      <c r="F114" s="427"/>
      <c r="G114" s="427"/>
      <c r="H114" s="427"/>
      <c r="I114" s="427"/>
      <c r="J114" s="427" t="s">
        <v>1099</v>
      </c>
      <c r="K114" s="427" t="s">
        <v>43</v>
      </c>
      <c r="L114" s="427" t="s">
        <v>43</v>
      </c>
      <c r="M114" s="427" t="s">
        <v>44</v>
      </c>
      <c r="N114" s="427"/>
      <c r="O114" s="427"/>
      <c r="P114" s="427" t="s">
        <v>573</v>
      </c>
      <c r="Q114" s="427" t="s">
        <v>1530</v>
      </c>
      <c r="R114" s="431"/>
      <c r="S114" s="432"/>
      <c r="T114" s="444">
        <v>43270</v>
      </c>
      <c r="U114" s="433"/>
      <c r="V114" s="427"/>
      <c r="W114" s="361"/>
      <c r="X114" s="390"/>
    </row>
    <row r="115" spans="1:24" s="69" customFormat="1" ht="14.25" customHeight="1">
      <c r="A115" s="436" t="s">
        <v>37</v>
      </c>
      <c r="B115" s="435" t="s">
        <v>152</v>
      </c>
      <c r="C115" s="429" t="s">
        <v>1613</v>
      </c>
      <c r="D115" s="430" t="s">
        <v>3001</v>
      </c>
      <c r="E115" s="427" t="s">
        <v>1169</v>
      </c>
      <c r="F115" s="427"/>
      <c r="G115" s="427"/>
      <c r="H115" s="427" t="s">
        <v>41</v>
      </c>
      <c r="I115" s="427" t="s">
        <v>2117</v>
      </c>
      <c r="J115" s="427" t="s">
        <v>43</v>
      </c>
      <c r="K115" s="427" t="s">
        <v>43</v>
      </c>
      <c r="L115" s="429" t="s">
        <v>43</v>
      </c>
      <c r="M115" s="427" t="s">
        <v>44</v>
      </c>
      <c r="N115" s="427">
        <v>25.296579999999999</v>
      </c>
      <c r="O115" s="427">
        <v>96.942279999999997</v>
      </c>
      <c r="P115" s="429" t="s">
        <v>573</v>
      </c>
      <c r="Q115" s="427" t="s">
        <v>592</v>
      </c>
      <c r="R115" s="439">
        <v>16</v>
      </c>
      <c r="S115" s="432">
        <v>75</v>
      </c>
      <c r="T115" s="444"/>
      <c r="U115" s="437"/>
      <c r="V115" s="427" t="s">
        <v>154</v>
      </c>
      <c r="W115" s="361"/>
      <c r="X115" s="430"/>
    </row>
    <row r="116" spans="1:24" s="69" customFormat="1" ht="14.25" customHeight="1">
      <c r="A116" s="432" t="s">
        <v>37</v>
      </c>
      <c r="B116" s="435" t="s">
        <v>152</v>
      </c>
      <c r="C116" s="436" t="s">
        <v>240</v>
      </c>
      <c r="D116" s="430" t="s">
        <v>2259</v>
      </c>
      <c r="E116" s="427" t="s">
        <v>1170</v>
      </c>
      <c r="F116" s="427" t="s">
        <v>1414</v>
      </c>
      <c r="G116" s="427" t="s">
        <v>1415</v>
      </c>
      <c r="H116" s="427"/>
      <c r="I116" s="427">
        <v>0</v>
      </c>
      <c r="J116" s="427" t="s">
        <v>43</v>
      </c>
      <c r="K116" s="427" t="s">
        <v>43</v>
      </c>
      <c r="L116" s="427" t="s">
        <v>43</v>
      </c>
      <c r="M116" s="427" t="s">
        <v>44</v>
      </c>
      <c r="N116" s="427">
        <v>25.299679999999999</v>
      </c>
      <c r="O116" s="427">
        <v>96.942279999999997</v>
      </c>
      <c r="P116" s="427" t="s">
        <v>573</v>
      </c>
      <c r="Q116" s="427" t="s">
        <v>592</v>
      </c>
      <c r="R116" s="439">
        <v>6</v>
      </c>
      <c r="S116" s="432">
        <v>31</v>
      </c>
      <c r="T116" s="444">
        <v>42836</v>
      </c>
      <c r="U116" s="433" t="s">
        <v>2121</v>
      </c>
      <c r="V116" s="427" t="s">
        <v>240</v>
      </c>
      <c r="W116" s="427" t="s">
        <v>1647</v>
      </c>
      <c r="X116" s="430"/>
    </row>
    <row r="117" spans="1:24" s="69" customFormat="1" ht="14.25" customHeight="1">
      <c r="A117" s="436" t="s">
        <v>37</v>
      </c>
      <c r="B117" s="435" t="s">
        <v>152</v>
      </c>
      <c r="C117" s="429" t="s">
        <v>2624</v>
      </c>
      <c r="D117" s="390"/>
      <c r="E117" s="427"/>
      <c r="F117" s="427"/>
      <c r="G117" s="427"/>
      <c r="H117" s="427"/>
      <c r="I117" s="427"/>
      <c r="J117" s="427" t="s">
        <v>1099</v>
      </c>
      <c r="K117" s="427" t="s">
        <v>43</v>
      </c>
      <c r="L117" s="427" t="s">
        <v>588</v>
      </c>
      <c r="M117" s="427" t="s">
        <v>44</v>
      </c>
      <c r="N117" s="427"/>
      <c r="O117" s="427"/>
      <c r="P117" s="429" t="s">
        <v>573</v>
      </c>
      <c r="Q117" s="427"/>
      <c r="R117" s="431"/>
      <c r="S117" s="431"/>
      <c r="T117" s="444">
        <v>43298</v>
      </c>
      <c r="U117" s="437"/>
      <c r="V117" s="427"/>
      <c r="W117" s="361"/>
      <c r="X117" s="390"/>
    </row>
    <row r="118" spans="1:24" s="69" customFormat="1" ht="14.25" customHeight="1">
      <c r="A118" s="427" t="s">
        <v>37</v>
      </c>
      <c r="B118" s="427" t="s">
        <v>152</v>
      </c>
      <c r="C118" s="427" t="s">
        <v>848</v>
      </c>
      <c r="D118" s="390" t="s">
        <v>1300</v>
      </c>
      <c r="E118" s="427" t="s">
        <v>1559</v>
      </c>
      <c r="F118" s="427" t="s">
        <v>1365</v>
      </c>
      <c r="G118" s="427" t="s">
        <v>848</v>
      </c>
      <c r="H118" s="427"/>
      <c r="I118" s="427">
        <v>0</v>
      </c>
      <c r="J118" s="427" t="s">
        <v>43</v>
      </c>
      <c r="K118" s="427" t="s">
        <v>43</v>
      </c>
      <c r="L118" s="427" t="s">
        <v>572</v>
      </c>
      <c r="M118" s="427" t="s">
        <v>44</v>
      </c>
      <c r="N118" s="427"/>
      <c r="O118" s="427"/>
      <c r="P118" s="427" t="s">
        <v>573</v>
      </c>
      <c r="Q118" s="427" t="s">
        <v>667</v>
      </c>
      <c r="R118" s="431">
        <v>245</v>
      </c>
      <c r="S118" s="431">
        <v>1084</v>
      </c>
      <c r="T118" s="444"/>
      <c r="U118" s="433" t="s">
        <v>849</v>
      </c>
      <c r="V118" s="427"/>
      <c r="W118" s="427" t="s">
        <v>1648</v>
      </c>
      <c r="X118" s="390"/>
    </row>
    <row r="119" spans="1:24" s="69" customFormat="1" ht="14.25" customHeight="1">
      <c r="A119" s="427" t="s">
        <v>37</v>
      </c>
      <c r="B119" s="429" t="s">
        <v>152</v>
      </c>
      <c r="C119" s="429" t="s">
        <v>1612</v>
      </c>
      <c r="D119" s="430" t="s">
        <v>3001</v>
      </c>
      <c r="E119" s="427" t="s">
        <v>1551</v>
      </c>
      <c r="F119" s="427"/>
      <c r="G119" s="427"/>
      <c r="H119" s="427"/>
      <c r="I119" s="427" t="s">
        <v>2117</v>
      </c>
      <c r="J119" s="427" t="s">
        <v>43</v>
      </c>
      <c r="K119" s="427" t="s">
        <v>43</v>
      </c>
      <c r="L119" s="427" t="s">
        <v>43</v>
      </c>
      <c r="M119" s="427" t="s">
        <v>44</v>
      </c>
      <c r="N119" s="427">
        <v>25.2226</v>
      </c>
      <c r="O119" s="427">
        <v>97.012299999999996</v>
      </c>
      <c r="P119" s="427" t="s">
        <v>573</v>
      </c>
      <c r="Q119" s="427" t="s">
        <v>1530</v>
      </c>
      <c r="R119" s="439">
        <v>111</v>
      </c>
      <c r="S119" s="432">
        <v>599</v>
      </c>
      <c r="T119" s="444">
        <v>43276</v>
      </c>
      <c r="U119" s="433" t="s">
        <v>1579</v>
      </c>
      <c r="V119" s="429" t="s">
        <v>1612</v>
      </c>
      <c r="W119" s="361" t="s">
        <v>1740</v>
      </c>
      <c r="X119" s="430"/>
    </row>
    <row r="120" spans="1:24" s="69" customFormat="1" ht="14.25" customHeight="1">
      <c r="A120" s="427" t="s">
        <v>37</v>
      </c>
      <c r="B120" s="429" t="s">
        <v>152</v>
      </c>
      <c r="C120" s="429" t="s">
        <v>155</v>
      </c>
      <c r="D120" s="430" t="s">
        <v>3001</v>
      </c>
      <c r="E120" s="427" t="s">
        <v>1171</v>
      </c>
      <c r="F120" s="427" t="s">
        <v>1365</v>
      </c>
      <c r="G120" s="427" t="s">
        <v>1416</v>
      </c>
      <c r="H120" s="427" t="s">
        <v>41</v>
      </c>
      <c r="I120" s="427" t="s">
        <v>2117</v>
      </c>
      <c r="J120" s="427" t="s">
        <v>43</v>
      </c>
      <c r="K120" s="427" t="s">
        <v>43</v>
      </c>
      <c r="L120" s="427" t="s">
        <v>43</v>
      </c>
      <c r="M120" s="427" t="s">
        <v>44</v>
      </c>
      <c r="N120" s="427">
        <v>25.30442</v>
      </c>
      <c r="O120" s="427">
        <v>96.948740000000001</v>
      </c>
      <c r="P120" s="427" t="s">
        <v>573</v>
      </c>
      <c r="Q120" s="427" t="s">
        <v>592</v>
      </c>
      <c r="R120" s="439">
        <v>10</v>
      </c>
      <c r="S120" s="432">
        <v>48</v>
      </c>
      <c r="T120" s="444"/>
      <c r="U120" s="433"/>
      <c r="V120" s="427" t="s">
        <v>155</v>
      </c>
      <c r="W120" s="427"/>
      <c r="X120" s="430"/>
    </row>
    <row r="121" spans="1:24" s="69" customFormat="1" ht="14.25" customHeight="1">
      <c r="A121" s="427" t="s">
        <v>37</v>
      </c>
      <c r="B121" s="427" t="s">
        <v>152</v>
      </c>
      <c r="C121" s="427" t="s">
        <v>768</v>
      </c>
      <c r="D121" s="390" t="s">
        <v>1300</v>
      </c>
      <c r="E121" s="427" t="s">
        <v>1166</v>
      </c>
      <c r="F121" s="427" t="s">
        <v>1347</v>
      </c>
      <c r="G121" s="427" t="s">
        <v>1347</v>
      </c>
      <c r="H121" s="427"/>
      <c r="I121" s="427">
        <v>0</v>
      </c>
      <c r="J121" s="427" t="s">
        <v>43</v>
      </c>
      <c r="K121" s="427" t="s">
        <v>43</v>
      </c>
      <c r="L121" s="427" t="s">
        <v>572</v>
      </c>
      <c r="M121" s="427" t="s">
        <v>44</v>
      </c>
      <c r="N121" s="427">
        <v>25.225000000000001</v>
      </c>
      <c r="O121" s="427">
        <v>96.793999999999997</v>
      </c>
      <c r="P121" s="427" t="s">
        <v>585</v>
      </c>
      <c r="Q121" s="427" t="s">
        <v>592</v>
      </c>
      <c r="R121" s="431">
        <v>0</v>
      </c>
      <c r="S121" s="431">
        <v>0</v>
      </c>
      <c r="T121" s="444">
        <v>42983</v>
      </c>
      <c r="U121" s="433" t="s">
        <v>769</v>
      </c>
      <c r="V121" s="427" t="s">
        <v>770</v>
      </c>
      <c r="W121" s="427" t="s">
        <v>1649</v>
      </c>
      <c r="X121" s="390"/>
    </row>
    <row r="122" spans="1:24" s="69" customFormat="1" ht="14.25" customHeight="1">
      <c r="A122" s="427" t="s">
        <v>37</v>
      </c>
      <c r="B122" s="427" t="s">
        <v>152</v>
      </c>
      <c r="C122" s="427" t="s">
        <v>156</v>
      </c>
      <c r="D122" s="430" t="s">
        <v>3001</v>
      </c>
      <c r="E122" s="427" t="s">
        <v>1167</v>
      </c>
      <c r="F122" s="427" t="s">
        <v>1347</v>
      </c>
      <c r="G122" s="427" t="s">
        <v>1347</v>
      </c>
      <c r="H122" s="427" t="s">
        <v>41</v>
      </c>
      <c r="I122" s="427" t="s">
        <v>2117</v>
      </c>
      <c r="J122" s="427" t="s">
        <v>43</v>
      </c>
      <c r="K122" s="427" t="s">
        <v>43</v>
      </c>
      <c r="L122" s="427" t="s">
        <v>43</v>
      </c>
      <c r="M122" s="427" t="s">
        <v>44</v>
      </c>
      <c r="N122" s="427">
        <v>25.225000000000001</v>
      </c>
      <c r="O122" s="427">
        <v>96.793999999999997</v>
      </c>
      <c r="P122" s="427" t="s">
        <v>573</v>
      </c>
      <c r="Q122" s="427" t="s">
        <v>592</v>
      </c>
      <c r="R122" s="439">
        <v>27</v>
      </c>
      <c r="S122" s="432">
        <v>137</v>
      </c>
      <c r="T122" s="444"/>
      <c r="U122" s="433"/>
      <c r="V122" s="427" t="s">
        <v>156</v>
      </c>
      <c r="W122" s="427"/>
      <c r="X122" s="430"/>
    </row>
    <row r="123" spans="1:24" s="69" customFormat="1" ht="14.25" customHeight="1">
      <c r="A123" s="427" t="s">
        <v>37</v>
      </c>
      <c r="B123" s="427" t="s">
        <v>152</v>
      </c>
      <c r="C123" s="427" t="s">
        <v>3028</v>
      </c>
      <c r="D123" s="430" t="s">
        <v>3001</v>
      </c>
      <c r="E123" s="427" t="s">
        <v>1549</v>
      </c>
      <c r="F123" s="427"/>
      <c r="G123" s="427"/>
      <c r="H123" s="427"/>
      <c r="I123" s="427" t="s">
        <v>1035</v>
      </c>
      <c r="J123" s="427" t="s">
        <v>43</v>
      </c>
      <c r="K123" s="427" t="s">
        <v>43</v>
      </c>
      <c r="L123" s="427" t="s">
        <v>43</v>
      </c>
      <c r="M123" s="427" t="s">
        <v>44</v>
      </c>
      <c r="N123" s="427">
        <v>25.383058999999999</v>
      </c>
      <c r="O123" s="427">
        <v>97.014313000000001</v>
      </c>
      <c r="P123" s="427" t="s">
        <v>573</v>
      </c>
      <c r="Q123" s="427" t="s">
        <v>1530</v>
      </c>
      <c r="R123" s="439">
        <v>48</v>
      </c>
      <c r="S123" s="432">
        <v>268</v>
      </c>
      <c r="T123" s="444">
        <v>43276</v>
      </c>
      <c r="U123" s="433" t="s">
        <v>1579</v>
      </c>
      <c r="V123" s="427" t="s">
        <v>1544</v>
      </c>
      <c r="W123" s="427" t="s">
        <v>1739</v>
      </c>
      <c r="X123" s="430"/>
    </row>
    <row r="124" spans="1:24" s="69" customFormat="1" ht="14.25" customHeight="1">
      <c r="A124" s="436" t="s">
        <v>37</v>
      </c>
      <c r="B124" s="435" t="s">
        <v>152</v>
      </c>
      <c r="C124" s="429" t="s">
        <v>3029</v>
      </c>
      <c r="D124" s="430" t="s">
        <v>3001</v>
      </c>
      <c r="E124" s="427" t="s">
        <v>1550</v>
      </c>
      <c r="F124" s="427"/>
      <c r="G124" s="427"/>
      <c r="H124" s="427"/>
      <c r="I124" s="427" t="s">
        <v>1035</v>
      </c>
      <c r="J124" s="427" t="s">
        <v>43</v>
      </c>
      <c r="K124" s="427" t="s">
        <v>43</v>
      </c>
      <c r="L124" s="427" t="s">
        <v>43</v>
      </c>
      <c r="M124" s="427" t="s">
        <v>44</v>
      </c>
      <c r="N124" s="427">
        <v>25.383058999999999</v>
      </c>
      <c r="O124" s="427">
        <v>97.014313000000001</v>
      </c>
      <c r="P124" s="427" t="s">
        <v>573</v>
      </c>
      <c r="Q124" s="427" t="s">
        <v>1530</v>
      </c>
      <c r="R124" s="439">
        <v>83</v>
      </c>
      <c r="S124" s="432">
        <v>422</v>
      </c>
      <c r="T124" s="444">
        <v>43276</v>
      </c>
      <c r="U124" s="433" t="s">
        <v>1712</v>
      </c>
      <c r="V124" s="429" t="s">
        <v>1545</v>
      </c>
      <c r="W124" s="427" t="s">
        <v>1739</v>
      </c>
      <c r="X124" s="430"/>
    </row>
    <row r="125" spans="1:24" s="69" customFormat="1" ht="14.25" customHeight="1">
      <c r="A125" s="427" t="s">
        <v>37</v>
      </c>
      <c r="B125" s="427" t="s">
        <v>157</v>
      </c>
      <c r="C125" s="427" t="s">
        <v>3026</v>
      </c>
      <c r="D125" s="430" t="s">
        <v>3001</v>
      </c>
      <c r="E125" s="427" t="s">
        <v>1159</v>
      </c>
      <c r="F125" s="427" t="s">
        <v>1463</v>
      </c>
      <c r="G125" s="427" t="s">
        <v>1464</v>
      </c>
      <c r="H125" s="427"/>
      <c r="I125" s="427" t="s">
        <v>1619</v>
      </c>
      <c r="J125" s="427" t="s">
        <v>43</v>
      </c>
      <c r="K125" s="427" t="s">
        <v>43</v>
      </c>
      <c r="L125" s="427" t="s">
        <v>2608</v>
      </c>
      <c r="M125" s="427" t="s">
        <v>44</v>
      </c>
      <c r="N125" s="427">
        <v>24.996279999999999</v>
      </c>
      <c r="O125" s="427">
        <v>96.52534</v>
      </c>
      <c r="P125" s="427" t="s">
        <v>585</v>
      </c>
      <c r="Q125" s="427" t="s">
        <v>574</v>
      </c>
      <c r="R125" s="439">
        <v>26</v>
      </c>
      <c r="S125" s="432">
        <v>125</v>
      </c>
      <c r="T125" s="444"/>
      <c r="U125" s="433" t="s">
        <v>759</v>
      </c>
      <c r="V125" s="427" t="s">
        <v>762</v>
      </c>
      <c r="W125" s="427"/>
      <c r="X125" s="430"/>
    </row>
    <row r="126" spans="1:24" s="69" customFormat="1" ht="14.25" customHeight="1">
      <c r="A126" s="427" t="s">
        <v>37</v>
      </c>
      <c r="B126" s="427" t="s">
        <v>157</v>
      </c>
      <c r="C126" s="427" t="s">
        <v>3027</v>
      </c>
      <c r="D126" s="430" t="s">
        <v>3001</v>
      </c>
      <c r="E126" s="427" t="s">
        <v>1156</v>
      </c>
      <c r="F126" s="427" t="s">
        <v>1406</v>
      </c>
      <c r="G126" s="427">
        <v>0</v>
      </c>
      <c r="H126" s="427"/>
      <c r="I126" s="427" t="s">
        <v>1619</v>
      </c>
      <c r="J126" s="427" t="s">
        <v>43</v>
      </c>
      <c r="K126" s="427" t="s">
        <v>43</v>
      </c>
      <c r="L126" s="427" t="s">
        <v>2608</v>
      </c>
      <c r="M126" s="427" t="s">
        <v>44</v>
      </c>
      <c r="N126" s="427">
        <v>24.764959999999999</v>
      </c>
      <c r="O126" s="427">
        <v>96.366919999999993</v>
      </c>
      <c r="P126" s="427" t="s">
        <v>585</v>
      </c>
      <c r="Q126" s="427" t="s">
        <v>574</v>
      </c>
      <c r="R126" s="439">
        <v>7</v>
      </c>
      <c r="S126" s="432">
        <v>35</v>
      </c>
      <c r="T126" s="444"/>
      <c r="U126" s="433" t="s">
        <v>759</v>
      </c>
      <c r="V126" s="427" t="s">
        <v>758</v>
      </c>
      <c r="W126" s="427"/>
      <c r="X126" s="430"/>
    </row>
    <row r="127" spans="1:24" s="69" customFormat="1" ht="14.25" customHeight="1">
      <c r="A127" s="427" t="s">
        <v>37</v>
      </c>
      <c r="B127" s="427" t="s">
        <v>157</v>
      </c>
      <c r="C127" s="427" t="s">
        <v>157</v>
      </c>
      <c r="D127" s="390" t="s">
        <v>1299</v>
      </c>
      <c r="E127" s="427"/>
      <c r="F127" s="427"/>
      <c r="G127" s="427"/>
      <c r="H127" s="427"/>
      <c r="I127" s="427"/>
      <c r="J127" s="427" t="s">
        <v>607</v>
      </c>
      <c r="K127" s="427" t="s">
        <v>607</v>
      </c>
      <c r="L127" s="427" t="s">
        <v>607</v>
      </c>
      <c r="M127" s="427"/>
      <c r="N127" s="427"/>
      <c r="O127" s="427"/>
      <c r="P127" s="427" t="s">
        <v>608</v>
      </c>
      <c r="Q127" s="427"/>
      <c r="R127" s="431"/>
      <c r="S127" s="431"/>
      <c r="T127" s="444"/>
      <c r="U127" s="433"/>
      <c r="V127" s="427" t="s">
        <v>157</v>
      </c>
      <c r="W127" s="361"/>
      <c r="X127" s="390"/>
    </row>
    <row r="128" spans="1:24" s="69" customFormat="1" ht="14.25" customHeight="1">
      <c r="A128" s="427" t="s">
        <v>37</v>
      </c>
      <c r="B128" s="429" t="s">
        <v>157</v>
      </c>
      <c r="C128" s="429" t="s">
        <v>763</v>
      </c>
      <c r="D128" s="390" t="s">
        <v>1300</v>
      </c>
      <c r="E128" s="427" t="s">
        <v>1160</v>
      </c>
      <c r="F128" s="427" t="s">
        <v>1344</v>
      </c>
      <c r="G128" s="427" t="s">
        <v>1344</v>
      </c>
      <c r="H128" s="427" t="s">
        <v>41</v>
      </c>
      <c r="I128" s="427" t="s">
        <v>141</v>
      </c>
      <c r="J128" s="427" t="s">
        <v>43</v>
      </c>
      <c r="K128" s="427" t="s">
        <v>43</v>
      </c>
      <c r="L128" s="427" t="s">
        <v>572</v>
      </c>
      <c r="M128" s="427" t="s">
        <v>44</v>
      </c>
      <c r="N128" s="427">
        <v>24.998349999999999</v>
      </c>
      <c r="O128" s="427">
        <v>96.364949999999993</v>
      </c>
      <c r="P128" s="427" t="s">
        <v>573</v>
      </c>
      <c r="Q128" s="427"/>
      <c r="R128" s="431">
        <v>0</v>
      </c>
      <c r="S128" s="431">
        <v>0</v>
      </c>
      <c r="T128" s="444"/>
      <c r="U128" s="433"/>
      <c r="V128" s="427" t="s">
        <v>763</v>
      </c>
      <c r="W128" s="427" t="s">
        <v>1650</v>
      </c>
      <c r="X128" s="390"/>
    </row>
    <row r="129" spans="1:24" s="69" customFormat="1" ht="14.25" customHeight="1">
      <c r="A129" s="432" t="s">
        <v>37</v>
      </c>
      <c r="B129" s="435" t="s">
        <v>157</v>
      </c>
      <c r="C129" s="436" t="s">
        <v>158</v>
      </c>
      <c r="D129" s="430" t="s">
        <v>3001</v>
      </c>
      <c r="E129" s="427" t="s">
        <v>1161</v>
      </c>
      <c r="F129" s="427"/>
      <c r="G129" s="427"/>
      <c r="H129" s="427" t="s">
        <v>41</v>
      </c>
      <c r="I129" s="427" t="s">
        <v>2117</v>
      </c>
      <c r="J129" s="427" t="s">
        <v>43</v>
      </c>
      <c r="K129" s="429" t="s">
        <v>43</v>
      </c>
      <c r="L129" s="429" t="s">
        <v>43</v>
      </c>
      <c r="M129" s="427" t="s">
        <v>44</v>
      </c>
      <c r="N129" s="427">
        <v>24.998349999999999</v>
      </c>
      <c r="O129" s="427">
        <v>96.364949999999993</v>
      </c>
      <c r="P129" s="427" t="s">
        <v>573</v>
      </c>
      <c r="Q129" s="427" t="s">
        <v>592</v>
      </c>
      <c r="R129" s="439">
        <v>26</v>
      </c>
      <c r="S129" s="432">
        <v>127</v>
      </c>
      <c r="T129" s="444"/>
      <c r="U129" s="433"/>
      <c r="V129" s="427" t="s">
        <v>764</v>
      </c>
      <c r="W129" s="427" t="s">
        <v>1741</v>
      </c>
      <c r="X129" s="430"/>
    </row>
    <row r="130" spans="1:24" s="69" customFormat="1" ht="14.25" customHeight="1">
      <c r="A130" s="427" t="s">
        <v>37</v>
      </c>
      <c r="B130" s="427" t="s">
        <v>157</v>
      </c>
      <c r="C130" s="427" t="s">
        <v>239</v>
      </c>
      <c r="D130" s="430" t="s">
        <v>2975</v>
      </c>
      <c r="E130" s="427" t="s">
        <v>1155</v>
      </c>
      <c r="F130" s="427" t="s">
        <v>1406</v>
      </c>
      <c r="G130" s="427" t="s">
        <v>1407</v>
      </c>
      <c r="H130" s="427" t="s">
        <v>41</v>
      </c>
      <c r="I130" s="427" t="s">
        <v>1035</v>
      </c>
      <c r="J130" s="427" t="s">
        <v>43</v>
      </c>
      <c r="K130" s="427" t="s">
        <v>43</v>
      </c>
      <c r="L130" s="427" t="s">
        <v>572</v>
      </c>
      <c r="M130" s="427" t="s">
        <v>44</v>
      </c>
      <c r="N130" s="427">
        <v>24.764800000000001</v>
      </c>
      <c r="O130" s="427">
        <v>96.367059999999995</v>
      </c>
      <c r="P130" s="427" t="s">
        <v>573</v>
      </c>
      <c r="Q130" s="427" t="s">
        <v>592</v>
      </c>
      <c r="R130" s="439">
        <v>11</v>
      </c>
      <c r="S130" s="432">
        <v>68</v>
      </c>
      <c r="T130" s="444"/>
      <c r="U130" s="433"/>
      <c r="V130" s="427" t="s">
        <v>239</v>
      </c>
      <c r="W130" s="427"/>
      <c r="X130" s="430"/>
    </row>
    <row r="131" spans="1:24" s="69" customFormat="1" ht="14.25" customHeight="1">
      <c r="A131" s="427" t="s">
        <v>37</v>
      </c>
      <c r="B131" s="427" t="s">
        <v>1593</v>
      </c>
      <c r="C131" s="427" t="s">
        <v>1598</v>
      </c>
      <c r="D131" s="390"/>
      <c r="E131" s="427"/>
      <c r="F131" s="427"/>
      <c r="G131" s="427"/>
      <c r="H131" s="427"/>
      <c r="I131" s="427"/>
      <c r="J131" s="427" t="s">
        <v>1099</v>
      </c>
      <c r="K131" s="427" t="s">
        <v>43</v>
      </c>
      <c r="L131" s="427" t="s">
        <v>588</v>
      </c>
      <c r="M131" s="427" t="s">
        <v>590</v>
      </c>
      <c r="N131" s="427"/>
      <c r="O131" s="427"/>
      <c r="P131" s="427" t="s">
        <v>573</v>
      </c>
      <c r="Q131" s="427"/>
      <c r="R131" s="431"/>
      <c r="S131" s="432"/>
      <c r="T131" s="444">
        <v>43298</v>
      </c>
      <c r="U131" s="433"/>
      <c r="V131" s="427"/>
      <c r="W131" s="361"/>
      <c r="X131" s="390"/>
    </row>
    <row r="132" spans="1:24" s="69" customFormat="1" ht="14.25" customHeight="1">
      <c r="A132" s="427" t="s">
        <v>37</v>
      </c>
      <c r="B132" s="427" t="s">
        <v>205</v>
      </c>
      <c r="C132" s="427" t="s">
        <v>206</v>
      </c>
      <c r="D132" s="390"/>
      <c r="E132" s="427"/>
      <c r="F132" s="427"/>
      <c r="G132" s="427"/>
      <c r="H132" s="427"/>
      <c r="I132" s="427"/>
      <c r="J132" s="427" t="s">
        <v>1099</v>
      </c>
      <c r="K132" s="427" t="s">
        <v>43</v>
      </c>
      <c r="L132" s="427" t="s">
        <v>43</v>
      </c>
      <c r="M132" s="427" t="s">
        <v>44</v>
      </c>
      <c r="N132" s="427"/>
      <c r="O132" s="427"/>
      <c r="P132" s="427" t="s">
        <v>573</v>
      </c>
      <c r="Q132" s="427" t="s">
        <v>592</v>
      </c>
      <c r="R132" s="431"/>
      <c r="S132" s="431"/>
      <c r="T132" s="444"/>
      <c r="U132" s="433" t="s">
        <v>818</v>
      </c>
      <c r="V132" s="427" t="s">
        <v>206</v>
      </c>
      <c r="W132" s="427"/>
      <c r="X132" s="390"/>
    </row>
    <row r="133" spans="1:24" s="69" customFormat="1" ht="14.25" customHeight="1">
      <c r="A133" s="427" t="s">
        <v>37</v>
      </c>
      <c r="B133" s="429" t="s">
        <v>205</v>
      </c>
      <c r="C133" s="483" t="s">
        <v>749</v>
      </c>
      <c r="D133" s="390" t="s">
        <v>1300</v>
      </c>
      <c r="E133" s="427" t="s">
        <v>1147</v>
      </c>
      <c r="F133" s="427" t="s">
        <v>1337</v>
      </c>
      <c r="G133" s="427" t="s">
        <v>1338</v>
      </c>
      <c r="H133" s="427"/>
      <c r="I133" s="427">
        <v>0</v>
      </c>
      <c r="J133" s="427" t="s">
        <v>43</v>
      </c>
      <c r="K133" s="427" t="s">
        <v>43</v>
      </c>
      <c r="L133" s="427" t="s">
        <v>572</v>
      </c>
      <c r="M133" s="427" t="s">
        <v>44</v>
      </c>
      <c r="N133" s="427">
        <v>24.613976000000001</v>
      </c>
      <c r="O133" s="427">
        <v>97.461271999999994</v>
      </c>
      <c r="P133" s="427" t="s">
        <v>573</v>
      </c>
      <c r="Q133" s="427" t="s">
        <v>574</v>
      </c>
      <c r="R133" s="431">
        <v>0</v>
      </c>
      <c r="S133" s="431">
        <v>0</v>
      </c>
      <c r="T133" s="444">
        <v>42983</v>
      </c>
      <c r="U133" s="482" t="s">
        <v>750</v>
      </c>
      <c r="V133" s="427" t="s">
        <v>749</v>
      </c>
      <c r="W133" s="427" t="s">
        <v>1651</v>
      </c>
      <c r="X133" s="390"/>
    </row>
    <row r="134" spans="1:24" s="69" customFormat="1" ht="14.25" customHeight="1">
      <c r="A134" s="427" t="s">
        <v>37</v>
      </c>
      <c r="B134" s="427" t="s">
        <v>205</v>
      </c>
      <c r="C134" s="427" t="s">
        <v>232</v>
      </c>
      <c r="D134" s="430" t="s">
        <v>3001</v>
      </c>
      <c r="E134" s="427" t="s">
        <v>1145</v>
      </c>
      <c r="F134" s="427" t="s">
        <v>1402</v>
      </c>
      <c r="G134" s="427" t="s">
        <v>1403</v>
      </c>
      <c r="H134" s="427" t="s">
        <v>41</v>
      </c>
      <c r="I134" s="427" t="s">
        <v>1035</v>
      </c>
      <c r="J134" s="427" t="s">
        <v>43</v>
      </c>
      <c r="K134" s="427" t="s">
        <v>43</v>
      </c>
      <c r="L134" s="427" t="s">
        <v>43</v>
      </c>
      <c r="M134" s="427" t="s">
        <v>590</v>
      </c>
      <c r="N134" s="427">
        <v>24.461033</v>
      </c>
      <c r="O134" s="427">
        <v>97.537099999999995</v>
      </c>
      <c r="P134" s="17" t="s">
        <v>573</v>
      </c>
      <c r="Q134" s="427" t="s">
        <v>592</v>
      </c>
      <c r="R134" s="439">
        <v>72</v>
      </c>
      <c r="S134" s="432">
        <v>404</v>
      </c>
      <c r="T134" s="444"/>
      <c r="U134" s="433"/>
      <c r="V134" s="427" t="s">
        <v>232</v>
      </c>
      <c r="W134" s="427"/>
      <c r="X134" s="430"/>
    </row>
    <row r="135" spans="1:24" s="69" customFormat="1" ht="14.25" customHeight="1">
      <c r="A135" s="432" t="s">
        <v>37</v>
      </c>
      <c r="B135" s="435" t="s">
        <v>205</v>
      </c>
      <c r="C135" s="368" t="s">
        <v>2172</v>
      </c>
      <c r="D135" s="430" t="s">
        <v>2772</v>
      </c>
      <c r="E135" s="427" t="s">
        <v>2173</v>
      </c>
      <c r="F135" s="427" t="s">
        <v>205</v>
      </c>
      <c r="G135" s="427" t="s">
        <v>2174</v>
      </c>
      <c r="H135" s="427"/>
      <c r="I135" s="427" t="s">
        <v>1619</v>
      </c>
      <c r="J135" s="427" t="s">
        <v>43</v>
      </c>
      <c r="K135" s="427" t="s">
        <v>43</v>
      </c>
      <c r="L135" s="427" t="s">
        <v>572</v>
      </c>
      <c r="M135" s="427" t="s">
        <v>44</v>
      </c>
      <c r="N135" s="427">
        <v>24.613662999999999</v>
      </c>
      <c r="O135" s="427">
        <v>97.461727999999994</v>
      </c>
      <c r="P135" s="427" t="s">
        <v>573</v>
      </c>
      <c r="Q135" s="427" t="s">
        <v>2175</v>
      </c>
      <c r="R135" s="439">
        <v>0</v>
      </c>
      <c r="S135" s="432">
        <v>24</v>
      </c>
      <c r="T135" s="444">
        <v>43717</v>
      </c>
      <c r="U135" s="439"/>
      <c r="V135" s="427"/>
      <c r="W135" s="431" t="s">
        <v>2176</v>
      </c>
      <c r="X135" s="430"/>
    </row>
    <row r="136" spans="1:24" s="69" customFormat="1" ht="14.25" customHeight="1">
      <c r="A136" s="427" t="s">
        <v>37</v>
      </c>
      <c r="B136" s="427" t="s">
        <v>205</v>
      </c>
      <c r="C136" s="427" t="s">
        <v>217</v>
      </c>
      <c r="D136" s="430" t="s">
        <v>3001</v>
      </c>
      <c r="E136" s="427" t="s">
        <v>1149</v>
      </c>
      <c r="F136" s="427" t="s">
        <v>1404</v>
      </c>
      <c r="G136" s="427" t="s">
        <v>1405</v>
      </c>
      <c r="H136" s="427" t="s">
        <v>41</v>
      </c>
      <c r="I136" s="427" t="s">
        <v>1035</v>
      </c>
      <c r="J136" s="427" t="s">
        <v>43</v>
      </c>
      <c r="K136" s="427" t="s">
        <v>43</v>
      </c>
      <c r="L136" s="427" t="s">
        <v>43</v>
      </c>
      <c r="M136" s="427" t="s">
        <v>590</v>
      </c>
      <c r="N136" s="427">
        <v>24.661905999999998</v>
      </c>
      <c r="O136" s="427">
        <v>97.573126000000002</v>
      </c>
      <c r="P136" s="17" t="s">
        <v>573</v>
      </c>
      <c r="Q136" s="427" t="s">
        <v>592</v>
      </c>
      <c r="R136" s="439">
        <v>664</v>
      </c>
      <c r="S136" s="432">
        <v>3491</v>
      </c>
      <c r="T136" s="444"/>
      <c r="U136" s="433"/>
      <c r="V136" s="427" t="s">
        <v>217</v>
      </c>
      <c r="W136" s="427"/>
      <c r="X136" s="430"/>
    </row>
    <row r="137" spans="1:24" s="69" customFormat="1" ht="14.25" customHeight="1">
      <c r="A137" s="427" t="s">
        <v>37</v>
      </c>
      <c r="B137" s="427" t="s">
        <v>205</v>
      </c>
      <c r="C137" s="427" t="s">
        <v>2160</v>
      </c>
      <c r="D137" s="390"/>
      <c r="E137" s="427"/>
      <c r="F137" s="427"/>
      <c r="G137" s="427"/>
      <c r="H137" s="427"/>
      <c r="I137" s="427"/>
      <c r="J137" s="427" t="s">
        <v>1099</v>
      </c>
      <c r="K137" s="427" t="s">
        <v>43</v>
      </c>
      <c r="L137" s="427" t="s">
        <v>43</v>
      </c>
      <c r="M137" s="427" t="s">
        <v>44</v>
      </c>
      <c r="N137" s="427"/>
      <c r="O137" s="427"/>
      <c r="P137" s="427" t="s">
        <v>573</v>
      </c>
      <c r="Q137" s="427" t="s">
        <v>2158</v>
      </c>
      <c r="R137" s="431"/>
      <c r="S137" s="432"/>
      <c r="T137" s="444">
        <v>42554</v>
      </c>
      <c r="U137" s="433"/>
      <c r="V137" s="427"/>
      <c r="W137" s="427"/>
      <c r="X137" s="390"/>
    </row>
    <row r="138" spans="1:24" s="69" customFormat="1" ht="14.25" customHeight="1">
      <c r="A138" s="427" t="s">
        <v>37</v>
      </c>
      <c r="B138" s="427" t="s">
        <v>205</v>
      </c>
      <c r="C138" s="427" t="s">
        <v>290</v>
      </c>
      <c r="D138" s="430" t="s">
        <v>3001</v>
      </c>
      <c r="E138" s="427" t="s">
        <v>1150</v>
      </c>
      <c r="F138" s="427" t="s">
        <v>1404</v>
      </c>
      <c r="G138" s="427" t="s">
        <v>1405</v>
      </c>
      <c r="H138" s="427" t="s">
        <v>41</v>
      </c>
      <c r="I138" s="427" t="s">
        <v>1035</v>
      </c>
      <c r="J138" s="427" t="s">
        <v>43</v>
      </c>
      <c r="K138" s="427" t="s">
        <v>43</v>
      </c>
      <c r="L138" s="427" t="s">
        <v>43</v>
      </c>
      <c r="M138" s="427" t="s">
        <v>590</v>
      </c>
      <c r="N138" s="427">
        <v>24.688338999999999</v>
      </c>
      <c r="O138" s="427">
        <v>97.568331999999998</v>
      </c>
      <c r="P138" s="427" t="s">
        <v>573</v>
      </c>
      <c r="Q138" s="427" t="s">
        <v>592</v>
      </c>
      <c r="R138" s="439">
        <v>1592</v>
      </c>
      <c r="S138" s="432">
        <v>8220</v>
      </c>
      <c r="T138" s="444"/>
      <c r="U138" s="433"/>
      <c r="V138" s="427" t="s">
        <v>290</v>
      </c>
      <c r="W138" s="427"/>
      <c r="X138" s="430"/>
    </row>
    <row r="139" spans="1:24" s="69" customFormat="1" ht="14.25" customHeight="1">
      <c r="A139" s="427" t="s">
        <v>37</v>
      </c>
      <c r="B139" s="427" t="s">
        <v>205</v>
      </c>
      <c r="C139" s="427" t="s">
        <v>207</v>
      </c>
      <c r="D139" s="390"/>
      <c r="E139" s="427"/>
      <c r="F139" s="427"/>
      <c r="G139" s="427"/>
      <c r="H139" s="427"/>
      <c r="I139" s="427"/>
      <c r="J139" s="427" t="s">
        <v>1099</v>
      </c>
      <c r="K139" s="427" t="s">
        <v>43</v>
      </c>
      <c r="L139" s="427" t="s">
        <v>43</v>
      </c>
      <c r="M139" s="427" t="s">
        <v>44</v>
      </c>
      <c r="N139" s="427"/>
      <c r="O139" s="427"/>
      <c r="P139" s="427" t="s">
        <v>573</v>
      </c>
      <c r="Q139" s="427" t="s">
        <v>592</v>
      </c>
      <c r="R139" s="431"/>
      <c r="S139" s="431"/>
      <c r="T139" s="444"/>
      <c r="U139" s="433" t="s">
        <v>818</v>
      </c>
      <c r="V139" s="427" t="s">
        <v>207</v>
      </c>
      <c r="W139" s="427"/>
      <c r="X139" s="390"/>
    </row>
    <row r="140" spans="1:24" s="69" customFormat="1" ht="14.25" customHeight="1">
      <c r="A140" s="427" t="s">
        <v>37</v>
      </c>
      <c r="B140" s="427" t="s">
        <v>205</v>
      </c>
      <c r="C140" s="427" t="s">
        <v>209</v>
      </c>
      <c r="D140" s="390"/>
      <c r="E140" s="427"/>
      <c r="F140" s="427"/>
      <c r="G140" s="427"/>
      <c r="H140" s="427"/>
      <c r="I140" s="427"/>
      <c r="J140" s="427" t="s">
        <v>1099</v>
      </c>
      <c r="K140" s="427" t="s">
        <v>43</v>
      </c>
      <c r="L140" s="427" t="s">
        <v>43</v>
      </c>
      <c r="M140" s="427" t="s">
        <v>44</v>
      </c>
      <c r="N140" s="427"/>
      <c r="O140" s="427"/>
      <c r="P140" s="427" t="s">
        <v>573</v>
      </c>
      <c r="Q140" s="427" t="s">
        <v>592</v>
      </c>
      <c r="R140" s="431"/>
      <c r="S140" s="432"/>
      <c r="T140" s="444"/>
      <c r="U140" s="433" t="s">
        <v>818</v>
      </c>
      <c r="V140" s="427" t="s">
        <v>209</v>
      </c>
      <c r="W140" s="427"/>
      <c r="X140" s="390"/>
    </row>
    <row r="141" spans="1:24" s="69" customFormat="1" ht="14.25" customHeight="1">
      <c r="A141" s="427" t="s">
        <v>37</v>
      </c>
      <c r="B141" s="427" t="s">
        <v>205</v>
      </c>
      <c r="C141" s="427" t="s">
        <v>740</v>
      </c>
      <c r="D141" s="390" t="s">
        <v>2620</v>
      </c>
      <c r="E141" s="427" t="s">
        <v>1140</v>
      </c>
      <c r="F141" s="427" t="s">
        <v>1461</v>
      </c>
      <c r="G141" s="427" t="s">
        <v>1462</v>
      </c>
      <c r="H141" s="427"/>
      <c r="I141" s="427" t="s">
        <v>1619</v>
      </c>
      <c r="J141" s="427" t="s">
        <v>43</v>
      </c>
      <c r="K141" s="427" t="s">
        <v>43</v>
      </c>
      <c r="L141" s="427" t="s">
        <v>572</v>
      </c>
      <c r="M141" s="427" t="s">
        <v>44</v>
      </c>
      <c r="N141" s="427">
        <v>24.377054000000001</v>
      </c>
      <c r="O141" s="427">
        <v>97.343406999999999</v>
      </c>
      <c r="P141" s="427" t="s">
        <v>585</v>
      </c>
      <c r="Q141" s="427" t="s">
        <v>574</v>
      </c>
      <c r="R141" s="431">
        <v>3</v>
      </c>
      <c r="S141" s="431">
        <v>18</v>
      </c>
      <c r="T141" s="444"/>
      <c r="U141" s="433" t="s">
        <v>741</v>
      </c>
      <c r="V141" s="427" t="s">
        <v>740</v>
      </c>
      <c r="W141" s="427"/>
      <c r="X141" s="390"/>
    </row>
    <row r="142" spans="1:24" s="69" customFormat="1" ht="14.25" customHeight="1">
      <c r="A142" s="427" t="s">
        <v>37</v>
      </c>
      <c r="B142" s="427" t="s">
        <v>205</v>
      </c>
      <c r="C142" s="427" t="s">
        <v>289</v>
      </c>
      <c r="D142" s="390"/>
      <c r="E142" s="427"/>
      <c r="F142" s="427"/>
      <c r="G142" s="427"/>
      <c r="H142" s="427"/>
      <c r="I142" s="427"/>
      <c r="J142" s="427" t="s">
        <v>1099</v>
      </c>
      <c r="K142" s="427" t="s">
        <v>43</v>
      </c>
      <c r="L142" s="427" t="s">
        <v>826</v>
      </c>
      <c r="M142" s="427" t="s">
        <v>590</v>
      </c>
      <c r="N142" s="427"/>
      <c r="O142" s="427"/>
      <c r="P142" s="427" t="s">
        <v>573</v>
      </c>
      <c r="Q142" s="427" t="s">
        <v>574</v>
      </c>
      <c r="R142" s="431"/>
      <c r="S142" s="431"/>
      <c r="T142" s="444">
        <v>42849</v>
      </c>
      <c r="U142" s="433"/>
      <c r="V142" s="427"/>
      <c r="W142" s="427"/>
      <c r="X142" s="390"/>
    </row>
    <row r="143" spans="1:24" s="69" customFormat="1" ht="14.25" customHeight="1">
      <c r="A143" s="427" t="s">
        <v>37</v>
      </c>
      <c r="B143" s="427" t="s">
        <v>205</v>
      </c>
      <c r="C143" s="427" t="s">
        <v>281</v>
      </c>
      <c r="D143" s="430" t="s">
        <v>3001</v>
      </c>
      <c r="E143" s="427" t="s">
        <v>1115</v>
      </c>
      <c r="F143" s="427" t="s">
        <v>1385</v>
      </c>
      <c r="G143" s="427" t="s">
        <v>1387</v>
      </c>
      <c r="H143" s="427" t="s">
        <v>41</v>
      </c>
      <c r="I143" s="427" t="s">
        <v>2116</v>
      </c>
      <c r="J143" s="427" t="s">
        <v>43</v>
      </c>
      <c r="K143" s="427" t="s">
        <v>43</v>
      </c>
      <c r="L143" s="427" t="s">
        <v>43</v>
      </c>
      <c r="M143" s="427" t="s">
        <v>44</v>
      </c>
      <c r="N143" s="427">
        <v>24.200972</v>
      </c>
      <c r="O143" s="427">
        <v>97.718582999999995</v>
      </c>
      <c r="P143" s="427" t="s">
        <v>573</v>
      </c>
      <c r="Q143" s="427" t="s">
        <v>592</v>
      </c>
      <c r="R143" s="439">
        <v>40</v>
      </c>
      <c r="S143" s="432">
        <v>247</v>
      </c>
      <c r="T143" s="444"/>
      <c r="U143" s="433"/>
      <c r="V143" s="427" t="s">
        <v>281</v>
      </c>
      <c r="W143" s="427"/>
      <c r="X143" s="430"/>
    </row>
    <row r="144" spans="1:24" s="69" customFormat="1" ht="14.25" customHeight="1">
      <c r="A144" s="427" t="s">
        <v>37</v>
      </c>
      <c r="B144" s="427" t="s">
        <v>205</v>
      </c>
      <c r="C144" s="427" t="s">
        <v>282</v>
      </c>
      <c r="D144" s="430" t="s">
        <v>3001</v>
      </c>
      <c r="E144" s="427" t="s">
        <v>1116</v>
      </c>
      <c r="F144" s="427" t="s">
        <v>1385</v>
      </c>
      <c r="G144" s="427" t="s">
        <v>1387</v>
      </c>
      <c r="H144" s="427" t="s">
        <v>41</v>
      </c>
      <c r="I144" s="427" t="s">
        <v>42</v>
      </c>
      <c r="J144" s="427" t="s">
        <v>43</v>
      </c>
      <c r="K144" s="427" t="s">
        <v>43</v>
      </c>
      <c r="L144" s="427" t="s">
        <v>43</v>
      </c>
      <c r="M144" s="427" t="s">
        <v>44</v>
      </c>
      <c r="N144" s="427">
        <v>24.205417000000001</v>
      </c>
      <c r="O144" s="427">
        <v>97.724566999999993</v>
      </c>
      <c r="P144" s="427" t="s">
        <v>573</v>
      </c>
      <c r="Q144" s="427" t="s">
        <v>592</v>
      </c>
      <c r="R144" s="439">
        <v>79</v>
      </c>
      <c r="S144" s="432">
        <v>448</v>
      </c>
      <c r="T144" s="444"/>
      <c r="U144" s="433"/>
      <c r="V144" s="427" t="s">
        <v>282</v>
      </c>
      <c r="W144" s="427"/>
      <c r="X144" s="430"/>
    </row>
    <row r="145" spans="1:24" s="69" customFormat="1" ht="14.25" customHeight="1">
      <c r="A145" s="427" t="s">
        <v>37</v>
      </c>
      <c r="B145" s="427" t="s">
        <v>205</v>
      </c>
      <c r="C145" s="427" t="s">
        <v>833</v>
      </c>
      <c r="D145" s="390" t="s">
        <v>1299</v>
      </c>
      <c r="E145" s="427"/>
      <c r="F145" s="427"/>
      <c r="G145" s="427"/>
      <c r="H145" s="427"/>
      <c r="I145" s="427"/>
      <c r="J145" s="427" t="s">
        <v>43</v>
      </c>
      <c r="K145" s="427" t="s">
        <v>43</v>
      </c>
      <c r="L145" s="427" t="s">
        <v>815</v>
      </c>
      <c r="M145" s="427" t="s">
        <v>44</v>
      </c>
      <c r="N145" s="427"/>
      <c r="O145" s="427"/>
      <c r="P145" s="427" t="s">
        <v>573</v>
      </c>
      <c r="Q145" s="427"/>
      <c r="R145" s="431"/>
      <c r="S145" s="432"/>
      <c r="T145" s="444"/>
      <c r="U145" s="433"/>
      <c r="V145" s="427" t="s">
        <v>834</v>
      </c>
      <c r="W145" s="427"/>
      <c r="X145" s="390"/>
    </row>
    <row r="146" spans="1:24" s="69" customFormat="1" ht="14.25" customHeight="1">
      <c r="A146" s="427" t="s">
        <v>37</v>
      </c>
      <c r="B146" s="427" t="s">
        <v>205</v>
      </c>
      <c r="C146" s="427" t="s">
        <v>835</v>
      </c>
      <c r="D146" s="390" t="s">
        <v>1299</v>
      </c>
      <c r="E146" s="427"/>
      <c r="F146" s="427"/>
      <c r="G146" s="427"/>
      <c r="H146" s="427"/>
      <c r="I146" s="427"/>
      <c r="J146" s="427" t="s">
        <v>43</v>
      </c>
      <c r="K146" s="427" t="s">
        <v>43</v>
      </c>
      <c r="L146" s="427" t="s">
        <v>815</v>
      </c>
      <c r="M146" s="427" t="s">
        <v>44</v>
      </c>
      <c r="N146" s="427"/>
      <c r="O146" s="427"/>
      <c r="P146" s="427" t="s">
        <v>573</v>
      </c>
      <c r="Q146" s="427"/>
      <c r="R146" s="431"/>
      <c r="S146" s="431"/>
      <c r="T146" s="444"/>
      <c r="U146" s="433"/>
      <c r="V146" s="427" t="s">
        <v>836</v>
      </c>
      <c r="W146" s="427"/>
      <c r="X146" s="390"/>
    </row>
    <row r="147" spans="1:24" s="366" customFormat="1" ht="14.25" customHeight="1">
      <c r="A147" s="427" t="s">
        <v>37</v>
      </c>
      <c r="B147" s="427" t="s">
        <v>205</v>
      </c>
      <c r="C147" s="427" t="s">
        <v>837</v>
      </c>
      <c r="D147" s="390" t="s">
        <v>1299</v>
      </c>
      <c r="E147" s="427"/>
      <c r="F147" s="427"/>
      <c r="G147" s="427"/>
      <c r="H147" s="427"/>
      <c r="I147" s="427"/>
      <c r="J147" s="427" t="s">
        <v>43</v>
      </c>
      <c r="K147" s="427" t="s">
        <v>43</v>
      </c>
      <c r="L147" s="427" t="s">
        <v>815</v>
      </c>
      <c r="M147" s="427" t="s">
        <v>44</v>
      </c>
      <c r="N147" s="427"/>
      <c r="O147" s="427"/>
      <c r="P147" s="427" t="s">
        <v>573</v>
      </c>
      <c r="Q147" s="427"/>
      <c r="R147" s="431"/>
      <c r="S147" s="432"/>
      <c r="T147" s="444"/>
      <c r="U147" s="433"/>
      <c r="V147" s="427" t="s">
        <v>838</v>
      </c>
      <c r="W147" s="427"/>
      <c r="X147" s="390"/>
    </row>
    <row r="148" spans="1:24" s="69" customFormat="1" ht="14.25" customHeight="1">
      <c r="A148" s="427" t="s">
        <v>37</v>
      </c>
      <c r="B148" s="429" t="s">
        <v>205</v>
      </c>
      <c r="C148" s="483" t="s">
        <v>283</v>
      </c>
      <c r="D148" s="430" t="s">
        <v>3001</v>
      </c>
      <c r="E148" s="484" t="s">
        <v>1114</v>
      </c>
      <c r="F148" s="447" t="s">
        <v>1385</v>
      </c>
      <c r="G148" s="447" t="s">
        <v>1386</v>
      </c>
      <c r="H148" s="427" t="s">
        <v>41</v>
      </c>
      <c r="I148" s="427" t="s">
        <v>2116</v>
      </c>
      <c r="J148" s="427" t="s">
        <v>43</v>
      </c>
      <c r="K148" s="427" t="s">
        <v>43</v>
      </c>
      <c r="L148" s="427" t="s">
        <v>43</v>
      </c>
      <c r="M148" s="427" t="s">
        <v>44</v>
      </c>
      <c r="N148" s="427">
        <v>24.200433</v>
      </c>
      <c r="O148" s="427">
        <v>97.717133000000004</v>
      </c>
      <c r="P148" s="427" t="s">
        <v>573</v>
      </c>
      <c r="Q148" s="427" t="s">
        <v>592</v>
      </c>
      <c r="R148" s="439">
        <v>240</v>
      </c>
      <c r="S148" s="432">
        <v>1395</v>
      </c>
      <c r="T148" s="444"/>
      <c r="U148" s="482"/>
      <c r="V148" s="427" t="s">
        <v>283</v>
      </c>
      <c r="W148" s="427"/>
      <c r="X148" s="430"/>
    </row>
    <row r="149" spans="1:24" s="69" customFormat="1" ht="14.25" customHeight="1">
      <c r="A149" s="427" t="s">
        <v>37</v>
      </c>
      <c r="B149" s="427" t="s">
        <v>205</v>
      </c>
      <c r="C149" s="427" t="s">
        <v>839</v>
      </c>
      <c r="D149" s="390" t="s">
        <v>2259</v>
      </c>
      <c r="E149" s="427"/>
      <c r="F149" s="427"/>
      <c r="G149" s="427"/>
      <c r="H149" s="427"/>
      <c r="I149" s="427"/>
      <c r="J149" s="427" t="s">
        <v>826</v>
      </c>
      <c r="K149" s="427" t="s">
        <v>43</v>
      </c>
      <c r="L149" s="427" t="s">
        <v>826</v>
      </c>
      <c r="M149" s="427" t="s">
        <v>44</v>
      </c>
      <c r="N149" s="427"/>
      <c r="O149" s="427"/>
      <c r="P149" s="427" t="s">
        <v>573</v>
      </c>
      <c r="Q149" s="427"/>
      <c r="R149" s="431"/>
      <c r="S149" s="432"/>
      <c r="T149" s="444"/>
      <c r="U149" s="433"/>
      <c r="V149" s="427" t="s">
        <v>839</v>
      </c>
      <c r="W149" s="427"/>
      <c r="X149" s="390"/>
    </row>
    <row r="150" spans="1:24" s="69" customFormat="1" ht="14.25" customHeight="1">
      <c r="A150" s="427" t="s">
        <v>37</v>
      </c>
      <c r="B150" s="427" t="s">
        <v>205</v>
      </c>
      <c r="C150" s="427" t="s">
        <v>2177</v>
      </c>
      <c r="D150" s="430" t="s">
        <v>2772</v>
      </c>
      <c r="E150" s="427" t="s">
        <v>2178</v>
      </c>
      <c r="F150" s="427" t="s">
        <v>205</v>
      </c>
      <c r="G150" s="427" t="s">
        <v>2179</v>
      </c>
      <c r="H150" s="427"/>
      <c r="I150" s="427" t="s">
        <v>1619</v>
      </c>
      <c r="J150" s="427" t="s">
        <v>43</v>
      </c>
      <c r="K150" s="427" t="s">
        <v>43</v>
      </c>
      <c r="L150" s="427" t="s">
        <v>572</v>
      </c>
      <c r="M150" s="427" t="s">
        <v>44</v>
      </c>
      <c r="N150" s="427">
        <v>24.721878</v>
      </c>
      <c r="O150" s="427">
        <v>97.721878000000004</v>
      </c>
      <c r="P150" s="427" t="s">
        <v>573</v>
      </c>
      <c r="Q150" s="427"/>
      <c r="R150" s="439">
        <v>0</v>
      </c>
      <c r="S150" s="432">
        <v>36</v>
      </c>
      <c r="T150" s="444">
        <v>43717</v>
      </c>
      <c r="U150" s="433"/>
      <c r="V150" s="427"/>
      <c r="W150" s="361" t="s">
        <v>2176</v>
      </c>
      <c r="X150" s="430"/>
    </row>
    <row r="151" spans="1:24" s="69" customFormat="1" ht="14.25" customHeight="1">
      <c r="A151" s="427" t="s">
        <v>37</v>
      </c>
      <c r="B151" s="427" t="s">
        <v>205</v>
      </c>
      <c r="C151" s="427" t="s">
        <v>288</v>
      </c>
      <c r="D151" s="390"/>
      <c r="E151" s="427"/>
      <c r="F151" s="427"/>
      <c r="G151" s="427"/>
      <c r="H151" s="427"/>
      <c r="I151" s="427"/>
      <c r="J151" s="427" t="s">
        <v>1099</v>
      </c>
      <c r="K151" s="427" t="s">
        <v>43</v>
      </c>
      <c r="L151" s="427" t="s">
        <v>826</v>
      </c>
      <c r="M151" s="427" t="s">
        <v>44</v>
      </c>
      <c r="N151" s="427"/>
      <c r="O151" s="427"/>
      <c r="P151" s="427" t="s">
        <v>573</v>
      </c>
      <c r="Q151" s="427" t="s">
        <v>574</v>
      </c>
      <c r="R151" s="431"/>
      <c r="S151" s="431"/>
      <c r="T151" s="444">
        <v>42849</v>
      </c>
      <c r="U151" s="433"/>
      <c r="V151" s="427"/>
      <c r="W151" s="427"/>
      <c r="X151" s="390"/>
    </row>
    <row r="152" spans="1:24" s="69" customFormat="1" ht="14.25" customHeight="1">
      <c r="A152" s="427" t="s">
        <v>37</v>
      </c>
      <c r="B152" s="427" t="s">
        <v>205</v>
      </c>
      <c r="C152" s="427" t="s">
        <v>746</v>
      </c>
      <c r="D152" s="390" t="s">
        <v>1300</v>
      </c>
      <c r="E152" s="427" t="s">
        <v>1144</v>
      </c>
      <c r="F152" s="427" t="s">
        <v>1335</v>
      </c>
      <c r="G152" s="427" t="s">
        <v>1335</v>
      </c>
      <c r="H152" s="427"/>
      <c r="I152" s="427">
        <v>0</v>
      </c>
      <c r="J152" s="427" t="s">
        <v>43</v>
      </c>
      <c r="K152" s="427" t="s">
        <v>43</v>
      </c>
      <c r="L152" s="427" t="s">
        <v>572</v>
      </c>
      <c r="M152" s="427" t="s">
        <v>44</v>
      </c>
      <c r="N152" s="427">
        <v>24.441697000000001</v>
      </c>
      <c r="O152" s="427">
        <v>97.409474000000003</v>
      </c>
      <c r="P152" s="427" t="s">
        <v>585</v>
      </c>
      <c r="Q152" s="427" t="s">
        <v>574</v>
      </c>
      <c r="R152" s="431">
        <v>0</v>
      </c>
      <c r="S152" s="432">
        <v>0</v>
      </c>
      <c r="T152" s="444">
        <v>42983</v>
      </c>
      <c r="U152" s="433" t="s">
        <v>747</v>
      </c>
      <c r="V152" s="427" t="s">
        <v>746</v>
      </c>
      <c r="W152" s="427" t="s">
        <v>1652</v>
      </c>
      <c r="X152" s="390"/>
    </row>
    <row r="153" spans="1:24" s="69" customFormat="1" ht="14.25" customHeight="1">
      <c r="A153" s="427" t="s">
        <v>37</v>
      </c>
      <c r="B153" s="427" t="s">
        <v>205</v>
      </c>
      <c r="C153" s="427" t="s">
        <v>210</v>
      </c>
      <c r="D153" s="430" t="s">
        <v>3001</v>
      </c>
      <c r="E153" s="427" t="s">
        <v>1122</v>
      </c>
      <c r="F153" s="427" t="s">
        <v>1391</v>
      </c>
      <c r="G153" s="427" t="s">
        <v>1391</v>
      </c>
      <c r="H153" s="427" t="s">
        <v>41</v>
      </c>
      <c r="I153" s="427" t="s">
        <v>42</v>
      </c>
      <c r="J153" s="427" t="s">
        <v>43</v>
      </c>
      <c r="K153" s="427" t="s">
        <v>43</v>
      </c>
      <c r="L153" s="427" t="s">
        <v>43</v>
      </c>
      <c r="M153" s="427" t="s">
        <v>44</v>
      </c>
      <c r="N153" s="427">
        <v>24.245100000000001</v>
      </c>
      <c r="O153" s="427">
        <v>97.325019999999995</v>
      </c>
      <c r="P153" s="427" t="s">
        <v>573</v>
      </c>
      <c r="Q153" s="427" t="s">
        <v>592</v>
      </c>
      <c r="R153" s="439">
        <v>122</v>
      </c>
      <c r="S153" s="432">
        <v>571</v>
      </c>
      <c r="T153" s="444"/>
      <c r="U153" s="433"/>
      <c r="V153" s="427" t="s">
        <v>210</v>
      </c>
      <c r="W153" s="427"/>
      <c r="X153" s="430"/>
    </row>
    <row r="154" spans="1:24" s="69" customFormat="1" ht="14.25" customHeight="1">
      <c r="A154" s="427" t="s">
        <v>37</v>
      </c>
      <c r="B154" s="427" t="s">
        <v>205</v>
      </c>
      <c r="C154" s="427" t="s">
        <v>287</v>
      </c>
      <c r="D154" s="390"/>
      <c r="E154" s="427"/>
      <c r="F154" s="427"/>
      <c r="G154" s="427"/>
      <c r="H154" s="427"/>
      <c r="I154" s="427"/>
      <c r="J154" s="427" t="s">
        <v>1099</v>
      </c>
      <c r="K154" s="427" t="s">
        <v>43</v>
      </c>
      <c r="L154" s="427" t="s">
        <v>43</v>
      </c>
      <c r="M154" s="427" t="s">
        <v>44</v>
      </c>
      <c r="N154" s="427"/>
      <c r="O154" s="427"/>
      <c r="P154" s="427" t="s">
        <v>573</v>
      </c>
      <c r="Q154" s="427" t="s">
        <v>592</v>
      </c>
      <c r="R154" s="431"/>
      <c r="S154" s="432"/>
      <c r="T154" s="444"/>
      <c r="U154" s="433" t="s">
        <v>818</v>
      </c>
      <c r="V154" s="427" t="s">
        <v>287</v>
      </c>
      <c r="W154" s="361"/>
      <c r="X154" s="390"/>
    </row>
    <row r="155" spans="1:24" s="69" customFormat="1" ht="14.25" customHeight="1">
      <c r="A155" s="427" t="s">
        <v>37</v>
      </c>
      <c r="B155" s="427" t="s">
        <v>205</v>
      </c>
      <c r="C155" s="427" t="s">
        <v>744</v>
      </c>
      <c r="D155" s="390" t="s">
        <v>1300</v>
      </c>
      <c r="E155" s="427" t="s">
        <v>1143</v>
      </c>
      <c r="F155" s="427" t="s">
        <v>1334</v>
      </c>
      <c r="G155" s="427" t="s">
        <v>1334</v>
      </c>
      <c r="H155" s="427"/>
      <c r="I155" s="427">
        <v>0</v>
      </c>
      <c r="J155" s="427" t="s">
        <v>43</v>
      </c>
      <c r="K155" s="427" t="s">
        <v>43</v>
      </c>
      <c r="L155" s="427" t="s">
        <v>572</v>
      </c>
      <c r="M155" s="427" t="s">
        <v>44</v>
      </c>
      <c r="N155" s="427">
        <v>24.410008999999999</v>
      </c>
      <c r="O155" s="427">
        <v>97.321659999999994</v>
      </c>
      <c r="P155" s="427" t="s">
        <v>585</v>
      </c>
      <c r="Q155" s="427" t="s">
        <v>574</v>
      </c>
      <c r="R155" s="431">
        <v>0</v>
      </c>
      <c r="S155" s="432">
        <v>0</v>
      </c>
      <c r="T155" s="444">
        <v>42983</v>
      </c>
      <c r="U155" s="433" t="s">
        <v>745</v>
      </c>
      <c r="V155" s="427" t="s">
        <v>744</v>
      </c>
      <c r="W155" s="361" t="s">
        <v>1653</v>
      </c>
      <c r="X155" s="390"/>
    </row>
    <row r="156" spans="1:24" s="69" customFormat="1" ht="14.25" customHeight="1">
      <c r="A156" s="427" t="s">
        <v>37</v>
      </c>
      <c r="B156" s="427" t="s">
        <v>205</v>
      </c>
      <c r="C156" s="427" t="s">
        <v>756</v>
      </c>
      <c r="D156" s="390" t="s">
        <v>1300</v>
      </c>
      <c r="E156" s="427" t="s">
        <v>1154</v>
      </c>
      <c r="F156" s="427" t="s">
        <v>1342</v>
      </c>
      <c r="G156" s="427" t="s">
        <v>1343</v>
      </c>
      <c r="H156" s="427"/>
      <c r="I156" s="427">
        <v>0</v>
      </c>
      <c r="J156" s="427" t="s">
        <v>43</v>
      </c>
      <c r="K156" s="427" t="s">
        <v>43</v>
      </c>
      <c r="L156" s="427" t="s">
        <v>572</v>
      </c>
      <c r="M156" s="427" t="s">
        <v>44</v>
      </c>
      <c r="N156" s="427">
        <v>24.759551999999999</v>
      </c>
      <c r="O156" s="427">
        <v>97.276591999999994</v>
      </c>
      <c r="P156" s="427" t="s">
        <v>585</v>
      </c>
      <c r="Q156" s="427" t="s">
        <v>574</v>
      </c>
      <c r="R156" s="431">
        <v>0</v>
      </c>
      <c r="S156" s="431">
        <v>0</v>
      </c>
      <c r="T156" s="444">
        <v>42983</v>
      </c>
      <c r="U156" s="433" t="s">
        <v>757</v>
      </c>
      <c r="V156" s="427" t="s">
        <v>756</v>
      </c>
      <c r="W156" s="427" t="s">
        <v>1654</v>
      </c>
      <c r="X156" s="390"/>
    </row>
    <row r="157" spans="1:24" s="69" customFormat="1" ht="14.25" customHeight="1">
      <c r="A157" s="427" t="s">
        <v>37</v>
      </c>
      <c r="B157" s="427" t="s">
        <v>205</v>
      </c>
      <c r="C157" s="427" t="s">
        <v>211</v>
      </c>
      <c r="D157" s="390" t="s">
        <v>1300</v>
      </c>
      <c r="E157" s="427" t="s">
        <v>1128</v>
      </c>
      <c r="F157" s="427" t="s">
        <v>1307</v>
      </c>
      <c r="G157" s="427" t="s">
        <v>1308</v>
      </c>
      <c r="H157" s="427"/>
      <c r="I157" s="427">
        <v>0</v>
      </c>
      <c r="J157" s="427" t="s">
        <v>43</v>
      </c>
      <c r="K157" s="427" t="s">
        <v>43</v>
      </c>
      <c r="L157" s="427" t="s">
        <v>43</v>
      </c>
      <c r="M157" s="427" t="s">
        <v>44</v>
      </c>
      <c r="N157" s="427">
        <v>24.251860000000001</v>
      </c>
      <c r="O157" s="427">
        <v>97.346940000000004</v>
      </c>
      <c r="P157" s="427" t="s">
        <v>573</v>
      </c>
      <c r="Q157" s="427" t="s">
        <v>592</v>
      </c>
      <c r="R157" s="431">
        <v>0</v>
      </c>
      <c r="S157" s="432">
        <v>0</v>
      </c>
      <c r="T157" s="444"/>
      <c r="U157" s="433" t="s">
        <v>727</v>
      </c>
      <c r="V157" s="427" t="s">
        <v>211</v>
      </c>
      <c r="W157" s="427" t="s">
        <v>1655</v>
      </c>
      <c r="X157" s="390"/>
    </row>
    <row r="158" spans="1:24" s="69" customFormat="1" ht="14.25" customHeight="1">
      <c r="A158" s="436" t="s">
        <v>37</v>
      </c>
      <c r="B158" s="435" t="s">
        <v>205</v>
      </c>
      <c r="C158" s="429" t="s">
        <v>213</v>
      </c>
      <c r="D158" s="430" t="s">
        <v>3001</v>
      </c>
      <c r="E158" s="427" t="s">
        <v>1125</v>
      </c>
      <c r="F158" s="427" t="s">
        <v>1307</v>
      </c>
      <c r="G158" s="427" t="s">
        <v>1308</v>
      </c>
      <c r="H158" s="427" t="s">
        <v>41</v>
      </c>
      <c r="I158" s="427" t="s">
        <v>2116</v>
      </c>
      <c r="J158" s="427" t="s">
        <v>43</v>
      </c>
      <c r="K158" s="427" t="s">
        <v>43</v>
      </c>
      <c r="L158" s="427" t="s">
        <v>43</v>
      </c>
      <c r="M158" s="427" t="s">
        <v>44</v>
      </c>
      <c r="N158" s="427">
        <v>24.250689999999999</v>
      </c>
      <c r="O158" s="427">
        <v>97.344359999999995</v>
      </c>
      <c r="P158" s="427" t="s">
        <v>573</v>
      </c>
      <c r="Q158" s="427" t="s">
        <v>592</v>
      </c>
      <c r="R158" s="439">
        <v>646</v>
      </c>
      <c r="S158" s="432">
        <v>2978</v>
      </c>
      <c r="T158" s="444"/>
      <c r="U158" s="433"/>
      <c r="V158" s="427" t="s">
        <v>213</v>
      </c>
      <c r="W158" s="427"/>
      <c r="X158" s="430"/>
    </row>
    <row r="159" spans="1:24" s="69" customFormat="1" ht="14.25" customHeight="1">
      <c r="A159" s="427" t="s">
        <v>37</v>
      </c>
      <c r="B159" s="427" t="s">
        <v>205</v>
      </c>
      <c r="C159" s="427" t="s">
        <v>734</v>
      </c>
      <c r="D159" s="390" t="s">
        <v>1300</v>
      </c>
      <c r="E159" s="427" t="s">
        <v>1127</v>
      </c>
      <c r="F159" s="427" t="s">
        <v>1307</v>
      </c>
      <c r="G159" s="427" t="s">
        <v>1333</v>
      </c>
      <c r="H159" s="427" t="s">
        <v>41</v>
      </c>
      <c r="I159" s="427" t="s">
        <v>42</v>
      </c>
      <c r="J159" s="427" t="s">
        <v>43</v>
      </c>
      <c r="K159" s="427" t="s">
        <v>43</v>
      </c>
      <c r="L159" s="427" t="s">
        <v>572</v>
      </c>
      <c r="M159" s="427" t="s">
        <v>44</v>
      </c>
      <c r="N159" s="427">
        <v>24.25177</v>
      </c>
      <c r="O159" s="427">
        <v>97.346950000000007</v>
      </c>
      <c r="P159" s="427" t="s">
        <v>573</v>
      </c>
      <c r="Q159" s="427"/>
      <c r="R159" s="431">
        <v>0</v>
      </c>
      <c r="S159" s="431">
        <v>0</v>
      </c>
      <c r="T159" s="444"/>
      <c r="U159" s="433"/>
      <c r="V159" s="427" t="s">
        <v>734</v>
      </c>
      <c r="W159" s="427" t="s">
        <v>1656</v>
      </c>
      <c r="X159" s="390"/>
    </row>
    <row r="160" spans="1:24" s="69" customFormat="1" ht="14.25" customHeight="1">
      <c r="A160" s="427" t="s">
        <v>37</v>
      </c>
      <c r="B160" s="427" t="s">
        <v>205</v>
      </c>
      <c r="C160" s="427" t="s">
        <v>1534</v>
      </c>
      <c r="D160" s="390"/>
      <c r="E160" s="427"/>
      <c r="F160" s="427"/>
      <c r="G160" s="427"/>
      <c r="H160" s="427"/>
      <c r="I160" s="427"/>
      <c r="J160" s="427" t="s">
        <v>1099</v>
      </c>
      <c r="K160" s="427" t="s">
        <v>43</v>
      </c>
      <c r="L160" s="427" t="s">
        <v>43</v>
      </c>
      <c r="M160" s="427" t="s">
        <v>44</v>
      </c>
      <c r="N160" s="427"/>
      <c r="O160" s="427"/>
      <c r="P160" s="427" t="s">
        <v>573</v>
      </c>
      <c r="Q160" s="427" t="s">
        <v>1530</v>
      </c>
      <c r="R160" s="431"/>
      <c r="S160" s="431"/>
      <c r="T160" s="444">
        <v>43270</v>
      </c>
      <c r="U160" s="433"/>
      <c r="V160" s="427"/>
      <c r="W160" s="427"/>
      <c r="X160" s="390"/>
    </row>
    <row r="161" spans="1:24" s="69" customFormat="1" ht="14.25" customHeight="1">
      <c r="A161" s="427" t="s">
        <v>37</v>
      </c>
      <c r="B161" s="427" t="s">
        <v>205</v>
      </c>
      <c r="C161" s="427" t="s">
        <v>3022</v>
      </c>
      <c r="D161" s="430" t="s">
        <v>3001</v>
      </c>
      <c r="E161" s="427" t="s">
        <v>1126</v>
      </c>
      <c r="F161" s="427"/>
      <c r="G161" s="427"/>
      <c r="H161" s="427"/>
      <c r="I161" s="427" t="s">
        <v>1619</v>
      </c>
      <c r="J161" s="427" t="s">
        <v>43</v>
      </c>
      <c r="K161" s="427" t="s">
        <v>43</v>
      </c>
      <c r="L161" s="427" t="s">
        <v>2608</v>
      </c>
      <c r="M161" s="427" t="s">
        <v>44</v>
      </c>
      <c r="N161" s="427">
        <v>24.251232000000002</v>
      </c>
      <c r="O161" s="427">
        <v>97.348405</v>
      </c>
      <c r="P161" s="427" t="s">
        <v>585</v>
      </c>
      <c r="Q161" s="427" t="s">
        <v>574</v>
      </c>
      <c r="R161" s="439">
        <v>171</v>
      </c>
      <c r="S161" s="432">
        <v>882</v>
      </c>
      <c r="T161" s="444"/>
      <c r="U161" s="433" t="s">
        <v>724</v>
      </c>
      <c r="V161" s="427" t="s">
        <v>732</v>
      </c>
      <c r="W161" s="427"/>
      <c r="X161" s="430"/>
    </row>
    <row r="162" spans="1:24" s="69" customFormat="1" ht="14.25" customHeight="1">
      <c r="A162" s="427" t="s">
        <v>37</v>
      </c>
      <c r="B162" s="427" t="s">
        <v>205</v>
      </c>
      <c r="C162" s="427" t="s">
        <v>3019</v>
      </c>
      <c r="D162" s="430" t="s">
        <v>3001</v>
      </c>
      <c r="E162" s="427" t="s">
        <v>1142</v>
      </c>
      <c r="F162" s="427" t="s">
        <v>1461</v>
      </c>
      <c r="G162" s="427" t="s">
        <v>1461</v>
      </c>
      <c r="H162" s="427"/>
      <c r="I162" s="427" t="s">
        <v>1619</v>
      </c>
      <c r="J162" s="427" t="s">
        <v>43</v>
      </c>
      <c r="K162" s="427" t="s">
        <v>43</v>
      </c>
      <c r="L162" s="427" t="s">
        <v>2608</v>
      </c>
      <c r="M162" s="427" t="s">
        <v>44</v>
      </c>
      <c r="N162" s="427">
        <v>24.404876999999999</v>
      </c>
      <c r="O162" s="427">
        <v>97.407787999999996</v>
      </c>
      <c r="P162" s="427" t="s">
        <v>585</v>
      </c>
      <c r="Q162" s="427" t="s">
        <v>574</v>
      </c>
      <c r="R162" s="439">
        <v>15</v>
      </c>
      <c r="S162" s="432">
        <v>101</v>
      </c>
      <c r="T162" s="444"/>
      <c r="U162" s="433" t="s">
        <v>743</v>
      </c>
      <c r="V162" s="427" t="s">
        <v>742</v>
      </c>
      <c r="W162" s="361"/>
      <c r="X162" s="430"/>
    </row>
    <row r="163" spans="1:24" s="69" customFormat="1" ht="14.25" customHeight="1">
      <c r="A163" s="427" t="s">
        <v>37</v>
      </c>
      <c r="B163" s="427" t="s">
        <v>205</v>
      </c>
      <c r="C163" s="427" t="s">
        <v>295</v>
      </c>
      <c r="D163" s="430" t="s">
        <v>3001</v>
      </c>
      <c r="E163" s="427" t="s">
        <v>1141</v>
      </c>
      <c r="F163" s="427" t="s">
        <v>1400</v>
      </c>
      <c r="G163" s="427" t="s">
        <v>1401</v>
      </c>
      <c r="H163" s="427" t="s">
        <v>41</v>
      </c>
      <c r="I163" s="427" t="s">
        <v>42</v>
      </c>
      <c r="J163" s="427" t="s">
        <v>43</v>
      </c>
      <c r="K163" s="427" t="s">
        <v>43</v>
      </c>
      <c r="L163" s="427" t="s">
        <v>43</v>
      </c>
      <c r="M163" s="427" t="s">
        <v>590</v>
      </c>
      <c r="N163" s="427">
        <v>24.378167000000001</v>
      </c>
      <c r="O163" s="427">
        <v>97.669366999999994</v>
      </c>
      <c r="P163" s="427" t="s">
        <v>573</v>
      </c>
      <c r="Q163" s="427" t="s">
        <v>574</v>
      </c>
      <c r="R163" s="439">
        <v>349</v>
      </c>
      <c r="S163" s="432">
        <v>1570</v>
      </c>
      <c r="T163" s="444"/>
      <c r="U163" s="433"/>
      <c r="V163" s="427" t="s">
        <v>295</v>
      </c>
      <c r="W163" s="427"/>
      <c r="X163" s="430"/>
    </row>
    <row r="164" spans="1:24" s="69" customFormat="1" ht="14.25" customHeight="1">
      <c r="A164" s="427" t="s">
        <v>37</v>
      </c>
      <c r="B164" s="427" t="s">
        <v>205</v>
      </c>
      <c r="C164" s="427" t="s">
        <v>735</v>
      </c>
      <c r="D164" s="390" t="s">
        <v>1300</v>
      </c>
      <c r="E164" s="427" t="s">
        <v>1130</v>
      </c>
      <c r="F164" s="427" t="s">
        <v>1307</v>
      </c>
      <c r="G164" s="427" t="s">
        <v>1308</v>
      </c>
      <c r="H164" s="427" t="s">
        <v>41</v>
      </c>
      <c r="I164" s="427" t="s">
        <v>242</v>
      </c>
      <c r="J164" s="427" t="s">
        <v>43</v>
      </c>
      <c r="K164" s="427" t="s">
        <v>43</v>
      </c>
      <c r="L164" s="427" t="s">
        <v>572</v>
      </c>
      <c r="M164" s="427" t="s">
        <v>44</v>
      </c>
      <c r="N164" s="427">
        <v>24.253769999999999</v>
      </c>
      <c r="O164" s="427">
        <v>97.347740000000002</v>
      </c>
      <c r="P164" s="427" t="s">
        <v>573</v>
      </c>
      <c r="Q164" s="427"/>
      <c r="R164" s="431">
        <v>0</v>
      </c>
      <c r="S164" s="431">
        <v>0</v>
      </c>
      <c r="T164" s="444"/>
      <c r="U164" s="433"/>
      <c r="V164" s="427" t="s">
        <v>735</v>
      </c>
      <c r="W164" s="427" t="s">
        <v>1657</v>
      </c>
      <c r="X164" s="390"/>
    </row>
    <row r="165" spans="1:24" s="69" customFormat="1" ht="14.25" customHeight="1">
      <c r="A165" s="427" t="s">
        <v>37</v>
      </c>
      <c r="B165" s="427" t="s">
        <v>205</v>
      </c>
      <c r="C165" s="427" t="s">
        <v>284</v>
      </c>
      <c r="D165" s="430" t="s">
        <v>3001</v>
      </c>
      <c r="E165" s="427" t="s">
        <v>1117</v>
      </c>
      <c r="F165" s="427" t="s">
        <v>1385</v>
      </c>
      <c r="G165" s="427" t="s">
        <v>1386</v>
      </c>
      <c r="H165" s="427" t="s">
        <v>41</v>
      </c>
      <c r="I165" s="427" t="s">
        <v>2116</v>
      </c>
      <c r="J165" s="427" t="s">
        <v>43</v>
      </c>
      <c r="K165" s="427" t="s">
        <v>43</v>
      </c>
      <c r="L165" s="427" t="s">
        <v>43</v>
      </c>
      <c r="M165" s="427" t="s">
        <v>44</v>
      </c>
      <c r="N165" s="427">
        <v>24.205417000000001</v>
      </c>
      <c r="O165" s="427">
        <v>97.724483000000006</v>
      </c>
      <c r="P165" s="427" t="s">
        <v>573</v>
      </c>
      <c r="Q165" s="427" t="s">
        <v>592</v>
      </c>
      <c r="R165" s="439">
        <v>47</v>
      </c>
      <c r="S165" s="432">
        <v>291</v>
      </c>
      <c r="T165" s="444"/>
      <c r="U165" s="433"/>
      <c r="V165" s="427" t="s">
        <v>284</v>
      </c>
      <c r="W165" s="427"/>
      <c r="X165" s="430"/>
    </row>
    <row r="166" spans="1:24" s="69" customFormat="1" ht="14.25" customHeight="1">
      <c r="A166" s="427" t="s">
        <v>37</v>
      </c>
      <c r="B166" s="427" t="s">
        <v>205</v>
      </c>
      <c r="C166" s="427" t="s">
        <v>296</v>
      </c>
      <c r="D166" s="430" t="s">
        <v>3001</v>
      </c>
      <c r="E166" s="427" t="s">
        <v>1137</v>
      </c>
      <c r="F166" s="427" t="s">
        <v>1397</v>
      </c>
      <c r="G166" s="427" t="s">
        <v>1398</v>
      </c>
      <c r="H166" s="427" t="s">
        <v>41</v>
      </c>
      <c r="I166" s="427" t="s">
        <v>42</v>
      </c>
      <c r="J166" s="427" t="s">
        <v>43</v>
      </c>
      <c r="K166" s="427" t="s">
        <v>43</v>
      </c>
      <c r="L166" s="427" t="s">
        <v>43</v>
      </c>
      <c r="M166" s="427" t="s">
        <v>590</v>
      </c>
      <c r="N166" s="427">
        <v>24.2744</v>
      </c>
      <c r="O166" s="427">
        <v>97.752667000000002</v>
      </c>
      <c r="P166" s="427" t="s">
        <v>573</v>
      </c>
      <c r="Q166" s="427" t="s">
        <v>574</v>
      </c>
      <c r="R166" s="439">
        <v>616</v>
      </c>
      <c r="S166" s="432">
        <v>3682</v>
      </c>
      <c r="T166" s="444"/>
      <c r="U166" s="433"/>
      <c r="V166" s="427" t="s">
        <v>296</v>
      </c>
      <c r="W166" s="427"/>
      <c r="X166" s="430"/>
    </row>
    <row r="167" spans="1:24" s="69" customFormat="1" ht="14.25" customHeight="1">
      <c r="A167" s="427" t="s">
        <v>37</v>
      </c>
      <c r="B167" s="427" t="s">
        <v>205</v>
      </c>
      <c r="C167" s="427" t="s">
        <v>854</v>
      </c>
      <c r="D167" s="390" t="s">
        <v>1299</v>
      </c>
      <c r="E167" s="427"/>
      <c r="F167" s="427"/>
      <c r="G167" s="427"/>
      <c r="H167" s="427"/>
      <c r="I167" s="427"/>
      <c r="J167" s="427" t="s">
        <v>43</v>
      </c>
      <c r="K167" s="427" t="s">
        <v>43</v>
      </c>
      <c r="L167" s="427" t="s">
        <v>815</v>
      </c>
      <c r="M167" s="427" t="s">
        <v>590</v>
      </c>
      <c r="N167" s="427"/>
      <c r="O167" s="427"/>
      <c r="P167" s="427" t="s">
        <v>573</v>
      </c>
      <c r="Q167" s="427"/>
      <c r="R167" s="431"/>
      <c r="S167" s="432"/>
      <c r="T167" s="444"/>
      <c r="U167" s="433"/>
      <c r="V167" s="427" t="s">
        <v>854</v>
      </c>
      <c r="W167" s="427"/>
      <c r="X167" s="390"/>
    </row>
    <row r="168" spans="1:24" s="69" customFormat="1" ht="14.25" customHeight="1">
      <c r="A168" s="429" t="s">
        <v>37</v>
      </c>
      <c r="B168" s="429" t="s">
        <v>205</v>
      </c>
      <c r="C168" s="429" t="s">
        <v>855</v>
      </c>
      <c r="D168" s="390" t="s">
        <v>1299</v>
      </c>
      <c r="E168" s="429"/>
      <c r="F168" s="429"/>
      <c r="G168" s="429"/>
      <c r="H168" s="429"/>
      <c r="I168" s="429"/>
      <c r="J168" s="429" t="s">
        <v>43</v>
      </c>
      <c r="K168" s="429" t="s">
        <v>43</v>
      </c>
      <c r="L168" s="427" t="s">
        <v>815</v>
      </c>
      <c r="M168" s="429" t="s">
        <v>590</v>
      </c>
      <c r="N168" s="429"/>
      <c r="O168" s="429"/>
      <c r="P168" s="427" t="s">
        <v>573</v>
      </c>
      <c r="Q168" s="429"/>
      <c r="R168" s="435"/>
      <c r="S168" s="436"/>
      <c r="T168" s="445"/>
      <c r="U168" s="437"/>
      <c r="V168" s="429" t="s">
        <v>855</v>
      </c>
      <c r="W168" s="427"/>
      <c r="X168" s="390"/>
    </row>
    <row r="169" spans="1:24" s="69" customFormat="1" ht="14.25" customHeight="1">
      <c r="A169" s="427" t="s">
        <v>37</v>
      </c>
      <c r="B169" s="427" t="s">
        <v>205</v>
      </c>
      <c r="C169" s="427" t="s">
        <v>856</v>
      </c>
      <c r="D169" s="390" t="s">
        <v>2259</v>
      </c>
      <c r="E169" s="427"/>
      <c r="F169" s="427"/>
      <c r="G169" s="427"/>
      <c r="H169" s="427"/>
      <c r="I169" s="427"/>
      <c r="J169" s="427" t="s">
        <v>826</v>
      </c>
      <c r="K169" s="427" t="s">
        <v>43</v>
      </c>
      <c r="L169" s="427" t="s">
        <v>826</v>
      </c>
      <c r="M169" s="427" t="s">
        <v>590</v>
      </c>
      <c r="N169" s="427"/>
      <c r="O169" s="427"/>
      <c r="P169" s="427" t="s">
        <v>573</v>
      </c>
      <c r="Q169" s="427"/>
      <c r="R169" s="431"/>
      <c r="S169" s="432"/>
      <c r="T169" s="444"/>
      <c r="U169" s="433"/>
      <c r="V169" s="427" t="s">
        <v>856</v>
      </c>
      <c r="W169" s="427"/>
      <c r="X169" s="390"/>
    </row>
    <row r="170" spans="1:24" s="69" customFormat="1" ht="14.25" customHeight="1">
      <c r="A170" s="427" t="s">
        <v>37</v>
      </c>
      <c r="B170" s="427" t="s">
        <v>205</v>
      </c>
      <c r="C170" s="427" t="s">
        <v>857</v>
      </c>
      <c r="D170" s="390" t="s">
        <v>2259</v>
      </c>
      <c r="E170" s="427"/>
      <c r="F170" s="427"/>
      <c r="G170" s="427"/>
      <c r="H170" s="427"/>
      <c r="I170" s="427"/>
      <c r="J170" s="427" t="s">
        <v>826</v>
      </c>
      <c r="K170" s="427" t="s">
        <v>43</v>
      </c>
      <c r="L170" s="427" t="s">
        <v>826</v>
      </c>
      <c r="M170" s="427" t="s">
        <v>590</v>
      </c>
      <c r="N170" s="427"/>
      <c r="O170" s="427"/>
      <c r="P170" s="427" t="s">
        <v>573</v>
      </c>
      <c r="Q170" s="427"/>
      <c r="R170" s="431"/>
      <c r="S170" s="432"/>
      <c r="T170" s="444"/>
      <c r="U170" s="433"/>
      <c r="V170" s="427" t="s">
        <v>857</v>
      </c>
      <c r="W170" s="427"/>
      <c r="X170" s="390"/>
    </row>
    <row r="171" spans="1:24" s="69" customFormat="1" ht="14.25" customHeight="1">
      <c r="A171" s="427" t="s">
        <v>37</v>
      </c>
      <c r="B171" s="427" t="s">
        <v>205</v>
      </c>
      <c r="C171" s="427" t="s">
        <v>858</v>
      </c>
      <c r="D171" s="390" t="s">
        <v>1299</v>
      </c>
      <c r="E171" s="427"/>
      <c r="F171" s="427"/>
      <c r="G171" s="427"/>
      <c r="H171" s="427"/>
      <c r="I171" s="427"/>
      <c r="J171" s="427" t="s">
        <v>607</v>
      </c>
      <c r="K171" s="427" t="s">
        <v>607</v>
      </c>
      <c r="L171" s="427" t="s">
        <v>607</v>
      </c>
      <c r="M171" s="427" t="s">
        <v>590</v>
      </c>
      <c r="N171" s="427"/>
      <c r="O171" s="427"/>
      <c r="P171" s="427" t="s">
        <v>608</v>
      </c>
      <c r="Q171" s="427"/>
      <c r="R171" s="431"/>
      <c r="S171" s="432"/>
      <c r="T171" s="444"/>
      <c r="U171" s="433"/>
      <c r="V171" s="427" t="s">
        <v>858</v>
      </c>
      <c r="W171" s="361"/>
      <c r="X171" s="390"/>
    </row>
    <row r="172" spans="1:24" s="69" customFormat="1" ht="14.25" customHeight="1">
      <c r="A172" s="427" t="s">
        <v>37</v>
      </c>
      <c r="B172" s="429" t="s">
        <v>205</v>
      </c>
      <c r="C172" s="429" t="s">
        <v>859</v>
      </c>
      <c r="D172" s="390" t="s">
        <v>2259</v>
      </c>
      <c r="E172" s="427"/>
      <c r="F172" s="427"/>
      <c r="G172" s="427"/>
      <c r="H172" s="427"/>
      <c r="I172" s="427"/>
      <c r="J172" s="427" t="s">
        <v>826</v>
      </c>
      <c r="K172" s="427" t="s">
        <v>43</v>
      </c>
      <c r="L172" s="427" t="s">
        <v>826</v>
      </c>
      <c r="M172" s="427" t="s">
        <v>590</v>
      </c>
      <c r="N172" s="427"/>
      <c r="O172" s="427"/>
      <c r="P172" s="427" t="s">
        <v>573</v>
      </c>
      <c r="Q172" s="427"/>
      <c r="R172" s="431"/>
      <c r="S172" s="431"/>
      <c r="T172" s="444"/>
      <c r="U172" s="433"/>
      <c r="V172" s="427" t="s">
        <v>859</v>
      </c>
      <c r="W172" s="427"/>
      <c r="X172" s="390"/>
    </row>
    <row r="173" spans="1:24" s="69" customFormat="1" ht="14.25" customHeight="1">
      <c r="A173" s="427" t="s">
        <v>37</v>
      </c>
      <c r="B173" s="429" t="s">
        <v>205</v>
      </c>
      <c r="C173" s="429" t="s">
        <v>751</v>
      </c>
      <c r="D173" s="390" t="s">
        <v>1300</v>
      </c>
      <c r="E173" s="427" t="s">
        <v>1148</v>
      </c>
      <c r="F173" s="427" t="s">
        <v>1339</v>
      </c>
      <c r="G173" s="427" t="s">
        <v>1340</v>
      </c>
      <c r="H173" s="427"/>
      <c r="I173" s="427">
        <v>0</v>
      </c>
      <c r="J173" s="427" t="s">
        <v>43</v>
      </c>
      <c r="K173" s="427" t="s">
        <v>43</v>
      </c>
      <c r="L173" s="427" t="s">
        <v>572</v>
      </c>
      <c r="M173" s="427" t="s">
        <v>44</v>
      </c>
      <c r="N173" s="427">
        <v>24.630859999999998</v>
      </c>
      <c r="O173" s="427">
        <v>97.429860000000005</v>
      </c>
      <c r="P173" s="427" t="s">
        <v>585</v>
      </c>
      <c r="Q173" s="427" t="s">
        <v>574</v>
      </c>
      <c r="R173" s="431">
        <v>0</v>
      </c>
      <c r="S173" s="432">
        <v>0</v>
      </c>
      <c r="T173" s="444">
        <v>42983</v>
      </c>
      <c r="U173" s="433" t="s">
        <v>752</v>
      </c>
      <c r="V173" s="427" t="s">
        <v>751</v>
      </c>
      <c r="W173" s="361" t="s">
        <v>1658</v>
      </c>
      <c r="X173" s="390"/>
    </row>
    <row r="174" spans="1:24" s="69" customFormat="1" ht="14.25" customHeight="1">
      <c r="A174" s="427" t="s">
        <v>37</v>
      </c>
      <c r="B174" s="427" t="s">
        <v>205</v>
      </c>
      <c r="C174" s="427" t="s">
        <v>286</v>
      </c>
      <c r="D174" s="430" t="s">
        <v>3001</v>
      </c>
      <c r="E174" s="427" t="s">
        <v>1119</v>
      </c>
      <c r="F174" s="427" t="s">
        <v>1385</v>
      </c>
      <c r="G174" s="427" t="s">
        <v>1388</v>
      </c>
      <c r="H174" s="427" t="s">
        <v>41</v>
      </c>
      <c r="I174" s="427" t="s">
        <v>2116</v>
      </c>
      <c r="J174" s="427" t="s">
        <v>43</v>
      </c>
      <c r="K174" s="427" t="s">
        <v>43</v>
      </c>
      <c r="L174" s="427" t="s">
        <v>43</v>
      </c>
      <c r="M174" s="427" t="s">
        <v>44</v>
      </c>
      <c r="N174" s="427">
        <v>24.207332999999998</v>
      </c>
      <c r="O174" s="427">
        <v>97.710864000000001</v>
      </c>
      <c r="P174" s="427" t="s">
        <v>573</v>
      </c>
      <c r="Q174" s="427" t="s">
        <v>592</v>
      </c>
      <c r="R174" s="439">
        <v>47</v>
      </c>
      <c r="S174" s="432">
        <v>279</v>
      </c>
      <c r="T174" s="444"/>
      <c r="U174" s="433"/>
      <c r="V174" s="427" t="s">
        <v>286</v>
      </c>
      <c r="W174" s="427"/>
      <c r="X174" s="430"/>
    </row>
    <row r="175" spans="1:24" s="69" customFormat="1" ht="14.25" customHeight="1">
      <c r="A175" s="432" t="s">
        <v>37</v>
      </c>
      <c r="B175" s="435" t="s">
        <v>205</v>
      </c>
      <c r="C175" s="436" t="s">
        <v>748</v>
      </c>
      <c r="D175" s="430" t="s">
        <v>1300</v>
      </c>
      <c r="E175" s="427" t="s">
        <v>1146</v>
      </c>
      <c r="F175" s="427" t="s">
        <v>1336</v>
      </c>
      <c r="G175" s="427" t="s">
        <v>1336</v>
      </c>
      <c r="H175" s="427"/>
      <c r="I175" s="427">
        <v>0</v>
      </c>
      <c r="J175" s="427" t="s">
        <v>43</v>
      </c>
      <c r="K175" s="429" t="s">
        <v>43</v>
      </c>
      <c r="L175" s="429" t="s">
        <v>572</v>
      </c>
      <c r="M175" s="427" t="s">
        <v>44</v>
      </c>
      <c r="N175" s="427">
        <v>24.492493</v>
      </c>
      <c r="O175" s="427">
        <v>97.416826999999998</v>
      </c>
      <c r="P175" s="427" t="s">
        <v>585</v>
      </c>
      <c r="Q175" s="427" t="s">
        <v>574</v>
      </c>
      <c r="R175" s="439">
        <v>0</v>
      </c>
      <c r="S175" s="432">
        <v>0</v>
      </c>
      <c r="T175" s="444">
        <v>42983</v>
      </c>
      <c r="U175" s="433" t="s">
        <v>745</v>
      </c>
      <c r="V175" s="427" t="s">
        <v>748</v>
      </c>
      <c r="W175" s="427" t="s">
        <v>1659</v>
      </c>
      <c r="X175" s="430"/>
    </row>
    <row r="176" spans="1:24" s="69" customFormat="1" ht="14.25" customHeight="1">
      <c r="A176" s="427" t="s">
        <v>37</v>
      </c>
      <c r="B176" s="427" t="s">
        <v>159</v>
      </c>
      <c r="C176" s="427" t="s">
        <v>816</v>
      </c>
      <c r="D176" s="390" t="s">
        <v>1300</v>
      </c>
      <c r="E176" s="427" t="s">
        <v>1558</v>
      </c>
      <c r="F176" s="427" t="s">
        <v>1349</v>
      </c>
      <c r="G176" s="427" t="s">
        <v>1364</v>
      </c>
      <c r="H176" s="427"/>
      <c r="I176" s="427" t="s">
        <v>1619</v>
      </c>
      <c r="J176" s="427" t="s">
        <v>43</v>
      </c>
      <c r="K176" s="427" t="s">
        <v>43</v>
      </c>
      <c r="L176" s="427" t="s">
        <v>572</v>
      </c>
      <c r="M176" s="427" t="s">
        <v>44</v>
      </c>
      <c r="N176" s="427"/>
      <c r="O176" s="427"/>
      <c r="P176" s="427" t="s">
        <v>573</v>
      </c>
      <c r="Q176" s="427" t="s">
        <v>667</v>
      </c>
      <c r="R176" s="431">
        <v>25</v>
      </c>
      <c r="S176" s="431">
        <v>69</v>
      </c>
      <c r="T176" s="444"/>
      <c r="U176" s="433" t="s">
        <v>817</v>
      </c>
      <c r="V176" s="427"/>
      <c r="W176" s="427" t="s">
        <v>1660</v>
      </c>
      <c r="X176" s="390"/>
    </row>
    <row r="177" spans="1:24" s="69" customFormat="1" ht="14.25" customHeight="1">
      <c r="A177" s="427" t="s">
        <v>37</v>
      </c>
      <c r="B177" s="427" t="s">
        <v>159</v>
      </c>
      <c r="C177" s="427" t="s">
        <v>1595</v>
      </c>
      <c r="D177" s="390"/>
      <c r="E177" s="427"/>
      <c r="F177" s="427"/>
      <c r="G177" s="427"/>
      <c r="H177" s="427"/>
      <c r="I177" s="427"/>
      <c r="J177" s="427" t="s">
        <v>1099</v>
      </c>
      <c r="K177" s="427" t="s">
        <v>43</v>
      </c>
      <c r="L177" s="427" t="s">
        <v>588</v>
      </c>
      <c r="M177" s="427" t="s">
        <v>590</v>
      </c>
      <c r="N177" s="427"/>
      <c r="O177" s="427"/>
      <c r="P177" s="427" t="s">
        <v>573</v>
      </c>
      <c r="Q177" s="427"/>
      <c r="R177" s="431"/>
      <c r="S177" s="432"/>
      <c r="T177" s="444">
        <v>43298</v>
      </c>
      <c r="U177" s="433"/>
      <c r="V177" s="427"/>
      <c r="W177" s="427"/>
      <c r="X177" s="390"/>
    </row>
    <row r="178" spans="1:24" s="69" customFormat="1" ht="14.25" customHeight="1">
      <c r="A178" s="427" t="s">
        <v>37</v>
      </c>
      <c r="B178" s="427" t="s">
        <v>159</v>
      </c>
      <c r="C178" s="427" t="s">
        <v>160</v>
      </c>
      <c r="D178" s="430" t="s">
        <v>3001</v>
      </c>
      <c r="E178" s="427" t="s">
        <v>1192</v>
      </c>
      <c r="F178" s="427" t="s">
        <v>1349</v>
      </c>
      <c r="G178" s="427" t="s">
        <v>1428</v>
      </c>
      <c r="H178" s="427" t="s">
        <v>41</v>
      </c>
      <c r="I178" s="427" t="s">
        <v>2117</v>
      </c>
      <c r="J178" s="427" t="s">
        <v>43</v>
      </c>
      <c r="K178" s="427" t="s">
        <v>43</v>
      </c>
      <c r="L178" s="427" t="s">
        <v>43</v>
      </c>
      <c r="M178" s="427" t="s">
        <v>44</v>
      </c>
      <c r="N178" s="427">
        <v>25.3959740909091</v>
      </c>
      <c r="O178" s="427">
        <v>97.382997575757599</v>
      </c>
      <c r="P178" s="427" t="s">
        <v>573</v>
      </c>
      <c r="Q178" s="427" t="s">
        <v>592</v>
      </c>
      <c r="R178" s="439">
        <v>44</v>
      </c>
      <c r="S178" s="432">
        <v>196</v>
      </c>
      <c r="T178" s="444">
        <v>42983</v>
      </c>
      <c r="U178" s="433" t="s">
        <v>779</v>
      </c>
      <c r="V178" s="427" t="s">
        <v>780</v>
      </c>
      <c r="W178" s="427"/>
      <c r="X178" s="430"/>
    </row>
    <row r="179" spans="1:24" s="69" customFormat="1" ht="14.25" customHeight="1">
      <c r="A179" s="427" t="s">
        <v>37</v>
      </c>
      <c r="B179" s="427" t="s">
        <v>159</v>
      </c>
      <c r="C179" s="427" t="s">
        <v>782</v>
      </c>
      <c r="D179" s="390" t="s">
        <v>2259</v>
      </c>
      <c r="E179" s="427" t="s">
        <v>1194</v>
      </c>
      <c r="F179" s="427"/>
      <c r="G179" s="427"/>
      <c r="H179" s="427"/>
      <c r="I179" s="427"/>
      <c r="J179" s="427" t="s">
        <v>43</v>
      </c>
      <c r="K179" s="427" t="s">
        <v>43</v>
      </c>
      <c r="L179" s="427" t="s">
        <v>43</v>
      </c>
      <c r="M179" s="427" t="s">
        <v>44</v>
      </c>
      <c r="N179" s="427">
        <v>25.400270190000001</v>
      </c>
      <c r="O179" s="427">
        <v>97.384729629999995</v>
      </c>
      <c r="P179" s="427" t="s">
        <v>573</v>
      </c>
      <c r="Q179" s="427" t="s">
        <v>592</v>
      </c>
      <c r="R179" s="431"/>
      <c r="S179" s="432"/>
      <c r="T179" s="444"/>
      <c r="U179" s="433" t="s">
        <v>779</v>
      </c>
      <c r="V179" s="427" t="s">
        <v>782</v>
      </c>
      <c r="W179" s="427"/>
      <c r="X179" s="390"/>
    </row>
    <row r="180" spans="1:24" s="69" customFormat="1" ht="14.25" customHeight="1">
      <c r="A180" s="427" t="s">
        <v>37</v>
      </c>
      <c r="B180" s="427" t="s">
        <v>159</v>
      </c>
      <c r="C180" s="427" t="s">
        <v>780</v>
      </c>
      <c r="D180" s="390" t="s">
        <v>2259</v>
      </c>
      <c r="E180" s="427"/>
      <c r="F180" s="427"/>
      <c r="G180" s="427"/>
      <c r="H180" s="427"/>
      <c r="I180" s="427"/>
      <c r="J180" s="427" t="s">
        <v>43</v>
      </c>
      <c r="K180" s="427" t="s">
        <v>43</v>
      </c>
      <c r="L180" s="427" t="s">
        <v>43</v>
      </c>
      <c r="M180" s="427" t="s">
        <v>44</v>
      </c>
      <c r="N180" s="427">
        <v>25.395974089999999</v>
      </c>
      <c r="O180" s="427">
        <v>97.382997579999994</v>
      </c>
      <c r="P180" s="427" t="s">
        <v>573</v>
      </c>
      <c r="Q180" s="427" t="s">
        <v>592</v>
      </c>
      <c r="R180" s="431"/>
      <c r="S180" s="431"/>
      <c r="T180" s="444"/>
      <c r="U180" s="433"/>
      <c r="V180" s="427" t="s">
        <v>780</v>
      </c>
      <c r="W180" s="427"/>
      <c r="X180" s="390"/>
    </row>
    <row r="181" spans="1:24" s="69" customFormat="1" ht="14.25" customHeight="1">
      <c r="A181" s="427" t="s">
        <v>37</v>
      </c>
      <c r="B181" s="427" t="s">
        <v>159</v>
      </c>
      <c r="C181" s="427" t="s">
        <v>781</v>
      </c>
      <c r="D181" s="390" t="s">
        <v>2259</v>
      </c>
      <c r="E181" s="427" t="s">
        <v>1193</v>
      </c>
      <c r="F181" s="427"/>
      <c r="G181" s="427"/>
      <c r="H181" s="427"/>
      <c r="I181" s="427"/>
      <c r="J181" s="427" t="s">
        <v>43</v>
      </c>
      <c r="K181" s="427" t="s">
        <v>43</v>
      </c>
      <c r="L181" s="427" t="s">
        <v>43</v>
      </c>
      <c r="M181" s="427" t="s">
        <v>44</v>
      </c>
      <c r="N181" s="427">
        <v>25.396492500000001</v>
      </c>
      <c r="O181" s="427">
        <v>97.381325000000004</v>
      </c>
      <c r="P181" s="427" t="s">
        <v>573</v>
      </c>
      <c r="Q181" s="427" t="s">
        <v>592</v>
      </c>
      <c r="R181" s="431"/>
      <c r="S181" s="431"/>
      <c r="T181" s="444"/>
      <c r="U181" s="433" t="s">
        <v>779</v>
      </c>
      <c r="V181" s="427" t="s">
        <v>781</v>
      </c>
      <c r="W181" s="427"/>
      <c r="X181" s="390"/>
    </row>
    <row r="182" spans="1:24" s="69" customFormat="1" ht="14.25" customHeight="1">
      <c r="A182" s="436" t="s">
        <v>37</v>
      </c>
      <c r="B182" s="435" t="s">
        <v>159</v>
      </c>
      <c r="C182" s="429" t="s">
        <v>161</v>
      </c>
      <c r="D182" s="430" t="s">
        <v>3001</v>
      </c>
      <c r="E182" s="427" t="s">
        <v>1196</v>
      </c>
      <c r="F182" s="427" t="s">
        <v>1349</v>
      </c>
      <c r="G182" s="427" t="s">
        <v>1429</v>
      </c>
      <c r="H182" s="427" t="s">
        <v>41</v>
      </c>
      <c r="I182" s="427" t="s">
        <v>2117</v>
      </c>
      <c r="J182" s="427" t="s">
        <v>43</v>
      </c>
      <c r="K182" s="427" t="s">
        <v>43</v>
      </c>
      <c r="L182" s="427" t="s">
        <v>43</v>
      </c>
      <c r="M182" s="427" t="s">
        <v>44</v>
      </c>
      <c r="N182" s="427">
        <v>25.397850999999999</v>
      </c>
      <c r="O182" s="427">
        <v>97.370900000000006</v>
      </c>
      <c r="P182" s="429" t="s">
        <v>573</v>
      </c>
      <c r="Q182" s="427" t="s">
        <v>592</v>
      </c>
      <c r="R182" s="439">
        <v>201</v>
      </c>
      <c r="S182" s="432">
        <v>1187</v>
      </c>
      <c r="T182" s="444"/>
      <c r="U182" s="433"/>
      <c r="V182" s="427" t="s">
        <v>161</v>
      </c>
      <c r="W182" s="361"/>
      <c r="X182" s="430"/>
    </row>
    <row r="183" spans="1:24" s="69" customFormat="1" ht="14.25" customHeight="1">
      <c r="A183" s="436" t="s">
        <v>37</v>
      </c>
      <c r="B183" s="435" t="s">
        <v>159</v>
      </c>
      <c r="C183" s="429" t="s">
        <v>233</v>
      </c>
      <c r="D183" s="430" t="s">
        <v>3001</v>
      </c>
      <c r="E183" s="427" t="s">
        <v>1195</v>
      </c>
      <c r="F183" s="427" t="s">
        <v>1349</v>
      </c>
      <c r="G183" s="427" t="s">
        <v>1429</v>
      </c>
      <c r="H183" s="427" t="s">
        <v>41</v>
      </c>
      <c r="I183" s="427" t="s">
        <v>1035</v>
      </c>
      <c r="J183" s="427" t="s">
        <v>43</v>
      </c>
      <c r="K183" s="427" t="s">
        <v>43</v>
      </c>
      <c r="L183" s="427" t="s">
        <v>43</v>
      </c>
      <c r="M183" s="427" t="s">
        <v>44</v>
      </c>
      <c r="N183" s="427">
        <v>25.403476999999999</v>
      </c>
      <c r="O183" s="427">
        <v>97.373361000000003</v>
      </c>
      <c r="P183" s="427" t="s">
        <v>573</v>
      </c>
      <c r="Q183" s="427" t="s">
        <v>592</v>
      </c>
      <c r="R183" s="439">
        <v>73</v>
      </c>
      <c r="S183" s="432">
        <v>387</v>
      </c>
      <c r="T183" s="444"/>
      <c r="U183" s="433"/>
      <c r="V183" s="427" t="s">
        <v>233</v>
      </c>
      <c r="W183" s="427"/>
      <c r="X183" s="430"/>
    </row>
    <row r="184" spans="1:24" s="69" customFormat="1" ht="14.25" customHeight="1">
      <c r="A184" s="427" t="s">
        <v>37</v>
      </c>
      <c r="B184" s="427" t="s">
        <v>159</v>
      </c>
      <c r="C184" s="427" t="s">
        <v>1604</v>
      </c>
      <c r="D184" s="430" t="s">
        <v>3001</v>
      </c>
      <c r="E184" s="427" t="s">
        <v>1555</v>
      </c>
      <c r="F184" s="427"/>
      <c r="G184" s="427"/>
      <c r="H184" s="427"/>
      <c r="I184" s="427" t="s">
        <v>2117</v>
      </c>
      <c r="J184" s="427" t="s">
        <v>43</v>
      </c>
      <c r="K184" s="427" t="s">
        <v>43</v>
      </c>
      <c r="L184" s="429" t="s">
        <v>43</v>
      </c>
      <c r="M184" s="427" t="s">
        <v>44</v>
      </c>
      <c r="N184" s="427">
        <v>25.489669799804702</v>
      </c>
      <c r="O184" s="427">
        <v>97.458778381347699</v>
      </c>
      <c r="P184" s="427" t="s">
        <v>573</v>
      </c>
      <c r="Q184" s="427" t="s">
        <v>1530</v>
      </c>
      <c r="R184" s="439">
        <v>136</v>
      </c>
      <c r="S184" s="432">
        <v>658</v>
      </c>
      <c r="T184" s="444">
        <v>43276</v>
      </c>
      <c r="U184" s="433" t="s">
        <v>1579</v>
      </c>
      <c r="V184" s="427"/>
      <c r="W184" s="361" t="s">
        <v>1742</v>
      </c>
      <c r="X184" s="430"/>
    </row>
    <row r="185" spans="1:24" s="69" customFormat="1" ht="14.25" customHeight="1">
      <c r="A185" s="427" t="s">
        <v>37</v>
      </c>
      <c r="B185" s="427" t="s">
        <v>159</v>
      </c>
      <c r="C185" s="427" t="s">
        <v>1537</v>
      </c>
      <c r="D185" s="390"/>
      <c r="E185" s="427"/>
      <c r="F185" s="427"/>
      <c r="G185" s="427"/>
      <c r="H185" s="427"/>
      <c r="I185" s="427"/>
      <c r="J185" s="427" t="s">
        <v>1099</v>
      </c>
      <c r="K185" s="427" t="s">
        <v>43</v>
      </c>
      <c r="L185" s="427" t="s">
        <v>43</v>
      </c>
      <c r="M185" s="427" t="s">
        <v>44</v>
      </c>
      <c r="N185" s="427"/>
      <c r="O185" s="427"/>
      <c r="P185" s="427" t="s">
        <v>573</v>
      </c>
      <c r="Q185" s="427" t="s">
        <v>1530</v>
      </c>
      <c r="R185" s="431"/>
      <c r="S185" s="431"/>
      <c r="T185" s="444">
        <v>43270</v>
      </c>
      <c r="U185" s="433"/>
      <c r="V185" s="427"/>
      <c r="W185" s="427"/>
      <c r="X185" s="390"/>
    </row>
    <row r="186" spans="1:24" s="69" customFormat="1" ht="14.25" customHeight="1">
      <c r="A186" s="436" t="s">
        <v>37</v>
      </c>
      <c r="B186" s="435" t="s">
        <v>159</v>
      </c>
      <c r="C186" s="453" t="s">
        <v>828</v>
      </c>
      <c r="D186" s="430" t="s">
        <v>3001</v>
      </c>
      <c r="E186" s="447" t="s">
        <v>1543</v>
      </c>
      <c r="F186" s="427" t="s">
        <v>1349</v>
      </c>
      <c r="G186" s="427" t="s">
        <v>1470</v>
      </c>
      <c r="H186" s="427"/>
      <c r="I186" s="427" t="s">
        <v>1035</v>
      </c>
      <c r="J186" s="427" t="s">
        <v>43</v>
      </c>
      <c r="K186" s="427" t="s">
        <v>43</v>
      </c>
      <c r="L186" s="427" t="s">
        <v>43</v>
      </c>
      <c r="M186" s="427" t="s">
        <v>44</v>
      </c>
      <c r="N186" s="427">
        <v>25.244700000000002</v>
      </c>
      <c r="O186" s="427">
        <v>97.2209</v>
      </c>
      <c r="P186" s="427" t="s">
        <v>573</v>
      </c>
      <c r="Q186" s="427" t="s">
        <v>667</v>
      </c>
      <c r="R186" s="439">
        <v>18</v>
      </c>
      <c r="S186" s="432">
        <v>60</v>
      </c>
      <c r="T186" s="444">
        <v>42983</v>
      </c>
      <c r="U186" s="433" t="s">
        <v>829</v>
      </c>
      <c r="V186" s="427"/>
      <c r="W186" s="427" t="s">
        <v>1743</v>
      </c>
      <c r="X186" s="430"/>
    </row>
    <row r="187" spans="1:24" s="69" customFormat="1" ht="14.25" customHeight="1">
      <c r="A187" s="432" t="s">
        <v>37</v>
      </c>
      <c r="B187" s="435" t="s">
        <v>159</v>
      </c>
      <c r="C187" s="436" t="s">
        <v>162</v>
      </c>
      <c r="D187" s="430" t="s">
        <v>2113</v>
      </c>
      <c r="E187" s="427" t="s">
        <v>1187</v>
      </c>
      <c r="F187" s="427" t="s">
        <v>1349</v>
      </c>
      <c r="G187" s="427" t="s">
        <v>1426</v>
      </c>
      <c r="H187" s="427" t="s">
        <v>41</v>
      </c>
      <c r="I187" s="427" t="s">
        <v>141</v>
      </c>
      <c r="J187" s="427" t="s">
        <v>43</v>
      </c>
      <c r="K187" s="429" t="s">
        <v>43</v>
      </c>
      <c r="L187" s="429" t="s">
        <v>572</v>
      </c>
      <c r="M187" s="427" t="s">
        <v>44</v>
      </c>
      <c r="N187" s="427">
        <v>25.36600361</v>
      </c>
      <c r="O187" s="427">
        <v>97.405202779999996</v>
      </c>
      <c r="P187" s="427" t="s">
        <v>573</v>
      </c>
      <c r="Q187" s="427" t="s">
        <v>592</v>
      </c>
      <c r="R187" s="439">
        <v>45</v>
      </c>
      <c r="S187" s="432">
        <v>207</v>
      </c>
      <c r="T187" s="444"/>
      <c r="U187" s="433"/>
      <c r="V187" s="427" t="s">
        <v>162</v>
      </c>
      <c r="W187" s="427"/>
      <c r="X187" s="430"/>
    </row>
    <row r="188" spans="1:24" s="69" customFormat="1" ht="14.25" customHeight="1">
      <c r="A188" s="427" t="s">
        <v>37</v>
      </c>
      <c r="B188" s="427" t="s">
        <v>159</v>
      </c>
      <c r="C188" s="427" t="s">
        <v>583</v>
      </c>
      <c r="D188" s="390" t="s">
        <v>2259</v>
      </c>
      <c r="E188" s="427" t="s">
        <v>1038</v>
      </c>
      <c r="F188" s="427"/>
      <c r="G188" s="427"/>
      <c r="H188" s="427"/>
      <c r="I188" s="427" t="s">
        <v>1619</v>
      </c>
      <c r="J188" s="427" t="s">
        <v>43</v>
      </c>
      <c r="K188" s="427" t="s">
        <v>43</v>
      </c>
      <c r="L188" s="427" t="s">
        <v>43</v>
      </c>
      <c r="M188" s="427" t="s">
        <v>44</v>
      </c>
      <c r="N188" s="427">
        <v>0</v>
      </c>
      <c r="O188" s="427">
        <v>0</v>
      </c>
      <c r="P188" s="427" t="s">
        <v>573</v>
      </c>
      <c r="Q188" s="427" t="s">
        <v>1607</v>
      </c>
      <c r="R188" s="431">
        <v>375</v>
      </c>
      <c r="S188" s="431">
        <v>1691</v>
      </c>
      <c r="T188" s="444">
        <v>43360</v>
      </c>
      <c r="U188" s="433" t="s">
        <v>1609</v>
      </c>
      <c r="V188" s="427"/>
      <c r="W188" s="361"/>
      <c r="X188" s="390"/>
    </row>
    <row r="189" spans="1:24" s="69" customFormat="1" ht="14.25" customHeight="1">
      <c r="A189" s="427" t="s">
        <v>37</v>
      </c>
      <c r="B189" s="427" t="s">
        <v>159</v>
      </c>
      <c r="C189" s="427" t="s">
        <v>1599</v>
      </c>
      <c r="D189" s="390"/>
      <c r="E189" s="427"/>
      <c r="F189" s="427"/>
      <c r="G189" s="427"/>
      <c r="H189" s="427"/>
      <c r="I189" s="427"/>
      <c r="J189" s="427" t="s">
        <v>1099</v>
      </c>
      <c r="K189" s="427" t="s">
        <v>43</v>
      </c>
      <c r="L189" s="427" t="s">
        <v>588</v>
      </c>
      <c r="M189" s="427" t="s">
        <v>590</v>
      </c>
      <c r="N189" s="427"/>
      <c r="O189" s="427"/>
      <c r="P189" s="427" t="s">
        <v>573</v>
      </c>
      <c r="Q189" s="427"/>
      <c r="R189" s="431"/>
      <c r="S189" s="431"/>
      <c r="T189" s="444">
        <v>43298</v>
      </c>
      <c r="U189" s="433"/>
      <c r="V189" s="427"/>
      <c r="W189" s="427"/>
      <c r="X189" s="390"/>
    </row>
    <row r="190" spans="1:24" s="69" customFormat="1" ht="14.25" customHeight="1">
      <c r="A190" s="427" t="s">
        <v>37</v>
      </c>
      <c r="B190" s="427" t="s">
        <v>159</v>
      </c>
      <c r="C190" s="427" t="s">
        <v>163</v>
      </c>
      <c r="D190" s="430" t="s">
        <v>3001</v>
      </c>
      <c r="E190" s="427" t="s">
        <v>1186</v>
      </c>
      <c r="F190" s="427" t="s">
        <v>1349</v>
      </c>
      <c r="G190" s="427" t="s">
        <v>1420</v>
      </c>
      <c r="H190" s="427" t="s">
        <v>41</v>
      </c>
      <c r="I190" s="427" t="s">
        <v>2117</v>
      </c>
      <c r="J190" s="427" t="s">
        <v>43</v>
      </c>
      <c r="K190" s="427" t="s">
        <v>43</v>
      </c>
      <c r="L190" s="427" t="s">
        <v>43</v>
      </c>
      <c r="M190" s="427" t="s">
        <v>44</v>
      </c>
      <c r="N190" s="427">
        <v>25.362420757575801</v>
      </c>
      <c r="O190" s="427">
        <v>97.409035000000003</v>
      </c>
      <c r="P190" s="17" t="s">
        <v>573</v>
      </c>
      <c r="Q190" s="427" t="s">
        <v>592</v>
      </c>
      <c r="R190" s="439">
        <v>144</v>
      </c>
      <c r="S190" s="432">
        <v>723</v>
      </c>
      <c r="T190" s="444"/>
      <c r="U190" s="433"/>
      <c r="V190" s="427" t="s">
        <v>163</v>
      </c>
      <c r="W190" s="427" t="s">
        <v>1744</v>
      </c>
      <c r="X190" s="430"/>
    </row>
    <row r="191" spans="1:24" s="69" customFormat="1" ht="14.25" customHeight="1">
      <c r="A191" s="427" t="s">
        <v>37</v>
      </c>
      <c r="B191" s="427" t="s">
        <v>159</v>
      </c>
      <c r="C191" s="427" t="s">
        <v>164</v>
      </c>
      <c r="D191" s="430" t="s">
        <v>3001</v>
      </c>
      <c r="E191" s="427" t="s">
        <v>1178</v>
      </c>
      <c r="F191" s="427" t="s">
        <v>1349</v>
      </c>
      <c r="G191" s="427" t="s">
        <v>1420</v>
      </c>
      <c r="H191" s="427" t="s">
        <v>41</v>
      </c>
      <c r="I191" s="427" t="s">
        <v>2117</v>
      </c>
      <c r="J191" s="427" t="s">
        <v>43</v>
      </c>
      <c r="K191" s="427" t="s">
        <v>43</v>
      </c>
      <c r="L191" s="427" t="s">
        <v>43</v>
      </c>
      <c r="M191" s="427" t="s">
        <v>44</v>
      </c>
      <c r="N191" s="427">
        <v>25.3510167948718</v>
      </c>
      <c r="O191" s="427">
        <v>97.403402307692303</v>
      </c>
      <c r="P191" s="427" t="s">
        <v>573</v>
      </c>
      <c r="Q191" s="427" t="s">
        <v>592</v>
      </c>
      <c r="R191" s="439">
        <v>136</v>
      </c>
      <c r="S191" s="432">
        <v>697</v>
      </c>
      <c r="T191" s="444"/>
      <c r="U191" s="433"/>
      <c r="V191" s="427" t="s">
        <v>164</v>
      </c>
      <c r="W191" s="427"/>
      <c r="X191" s="430"/>
    </row>
    <row r="192" spans="1:24" s="69" customFormat="1" ht="14.25" customHeight="1">
      <c r="A192" s="427" t="s">
        <v>37</v>
      </c>
      <c r="B192" s="427" t="s">
        <v>159</v>
      </c>
      <c r="C192" s="427" t="s">
        <v>165</v>
      </c>
      <c r="D192" s="430" t="s">
        <v>3001</v>
      </c>
      <c r="E192" s="427" t="s">
        <v>1185</v>
      </c>
      <c r="F192" s="427" t="s">
        <v>1349</v>
      </c>
      <c r="G192" s="427" t="s">
        <v>1425</v>
      </c>
      <c r="H192" s="427" t="s">
        <v>41</v>
      </c>
      <c r="I192" s="427" t="s">
        <v>2117</v>
      </c>
      <c r="J192" s="427" t="s">
        <v>43</v>
      </c>
      <c r="K192" s="427" t="s">
        <v>43</v>
      </c>
      <c r="L192" s="427" t="s">
        <v>43</v>
      </c>
      <c r="M192" s="427" t="s">
        <v>44</v>
      </c>
      <c r="N192" s="427">
        <v>25.360463124999999</v>
      </c>
      <c r="O192" s="427">
        <v>97.4113064583333</v>
      </c>
      <c r="P192" s="427" t="s">
        <v>573</v>
      </c>
      <c r="Q192" s="427" t="s">
        <v>592</v>
      </c>
      <c r="R192" s="439">
        <v>59</v>
      </c>
      <c r="S192" s="432">
        <v>327</v>
      </c>
      <c r="T192" s="444"/>
      <c r="U192" s="433"/>
      <c r="V192" s="427" t="s">
        <v>165</v>
      </c>
      <c r="W192" s="427"/>
      <c r="X192" s="430"/>
    </row>
    <row r="193" spans="1:24" s="69" customFormat="1" ht="14.25" customHeight="1">
      <c r="A193" s="427" t="s">
        <v>37</v>
      </c>
      <c r="B193" s="427" t="s">
        <v>159</v>
      </c>
      <c r="C193" s="427" t="s">
        <v>166</v>
      </c>
      <c r="D193" s="430" t="s">
        <v>3001</v>
      </c>
      <c r="E193" s="427" t="s">
        <v>1211</v>
      </c>
      <c r="F193" s="427" t="s">
        <v>1349</v>
      </c>
      <c r="G193" s="427" t="s">
        <v>1437</v>
      </c>
      <c r="H193" s="427" t="s">
        <v>41</v>
      </c>
      <c r="I193" s="427" t="s">
        <v>2117</v>
      </c>
      <c r="J193" s="427" t="s">
        <v>43</v>
      </c>
      <c r="K193" s="427" t="s">
        <v>43</v>
      </c>
      <c r="L193" s="427" t="s">
        <v>43</v>
      </c>
      <c r="M193" s="427" t="s">
        <v>44</v>
      </c>
      <c r="N193" s="427">
        <v>25.428910999999999</v>
      </c>
      <c r="O193" s="427">
        <v>97.418694000000002</v>
      </c>
      <c r="P193" s="427" t="s">
        <v>573</v>
      </c>
      <c r="Q193" s="427" t="s">
        <v>592</v>
      </c>
      <c r="R193" s="439">
        <v>108</v>
      </c>
      <c r="S193" s="432">
        <v>622</v>
      </c>
      <c r="T193" s="444"/>
      <c r="U193" s="433"/>
      <c r="V193" s="427" t="s">
        <v>166</v>
      </c>
      <c r="W193" s="427"/>
      <c r="X193" s="430"/>
    </row>
    <row r="194" spans="1:24" s="69" customFormat="1" ht="14.25" customHeight="1">
      <c r="A194" s="427" t="s">
        <v>37</v>
      </c>
      <c r="B194" s="427" t="s">
        <v>159</v>
      </c>
      <c r="C194" s="427" t="s">
        <v>263</v>
      </c>
      <c r="D194" s="430" t="s">
        <v>3001</v>
      </c>
      <c r="E194" s="427" t="s">
        <v>1189</v>
      </c>
      <c r="F194" s="427" t="s">
        <v>1427</v>
      </c>
      <c r="G194" s="427" t="s">
        <v>1427</v>
      </c>
      <c r="H194" s="427" t="s">
        <v>41</v>
      </c>
      <c r="I194" s="427" t="s">
        <v>242</v>
      </c>
      <c r="J194" s="427" t="s">
        <v>43</v>
      </c>
      <c r="K194" s="427" t="s">
        <v>43</v>
      </c>
      <c r="L194" s="427" t="s">
        <v>43</v>
      </c>
      <c r="M194" s="427" t="s">
        <v>44</v>
      </c>
      <c r="N194" s="427">
        <v>25.374343974359</v>
      </c>
      <c r="O194" s="427">
        <v>97.2843958974359</v>
      </c>
      <c r="P194" s="427" t="s">
        <v>573</v>
      </c>
      <c r="Q194" s="427" t="s">
        <v>592</v>
      </c>
      <c r="R194" s="439">
        <v>22</v>
      </c>
      <c r="S194" s="432">
        <v>90</v>
      </c>
      <c r="T194" s="444"/>
      <c r="U194" s="433"/>
      <c r="V194" s="427" t="s">
        <v>263</v>
      </c>
      <c r="W194" s="361"/>
      <c r="X194" s="430"/>
    </row>
    <row r="195" spans="1:24" s="69" customFormat="1" ht="14.25" customHeight="1">
      <c r="A195" s="427" t="s">
        <v>37</v>
      </c>
      <c r="B195" s="427" t="s">
        <v>159</v>
      </c>
      <c r="C195" s="427" t="s">
        <v>264</v>
      </c>
      <c r="D195" s="430" t="s">
        <v>3001</v>
      </c>
      <c r="E195" s="427" t="s">
        <v>1188</v>
      </c>
      <c r="F195" s="427" t="s">
        <v>1427</v>
      </c>
      <c r="G195" s="427" t="s">
        <v>1427</v>
      </c>
      <c r="H195" s="427" t="s">
        <v>41</v>
      </c>
      <c r="I195" s="427" t="s">
        <v>242</v>
      </c>
      <c r="J195" s="427" t="s">
        <v>43</v>
      </c>
      <c r="K195" s="427" t="s">
        <v>43</v>
      </c>
      <c r="L195" s="427" t="s">
        <v>43</v>
      </c>
      <c r="M195" s="427" t="s">
        <v>44</v>
      </c>
      <c r="N195" s="427">
        <v>25.371049444444399</v>
      </c>
      <c r="O195" s="427">
        <v>97.290952037037002</v>
      </c>
      <c r="P195" s="427" t="s">
        <v>573</v>
      </c>
      <c r="Q195" s="427" t="s">
        <v>592</v>
      </c>
      <c r="R195" s="439">
        <v>30</v>
      </c>
      <c r="S195" s="432">
        <v>177</v>
      </c>
      <c r="T195" s="444"/>
      <c r="U195" s="433"/>
      <c r="V195" s="427" t="s">
        <v>264</v>
      </c>
      <c r="W195" s="427"/>
      <c r="X195" s="430"/>
    </row>
    <row r="196" spans="1:24" s="69" customFormat="1" ht="14.25" customHeight="1">
      <c r="A196" s="427" t="s">
        <v>37</v>
      </c>
      <c r="B196" s="427" t="s">
        <v>159</v>
      </c>
      <c r="C196" s="427" t="s">
        <v>777</v>
      </c>
      <c r="D196" s="390" t="s">
        <v>1300</v>
      </c>
      <c r="E196" s="427" t="s">
        <v>1191</v>
      </c>
      <c r="F196" s="427" t="s">
        <v>1349</v>
      </c>
      <c r="G196" s="427" t="s">
        <v>1351</v>
      </c>
      <c r="H196" s="427" t="s">
        <v>41</v>
      </c>
      <c r="I196" s="427" t="s">
        <v>242</v>
      </c>
      <c r="J196" s="427" t="s">
        <v>43</v>
      </c>
      <c r="K196" s="427" t="s">
        <v>43</v>
      </c>
      <c r="L196" s="427" t="s">
        <v>572</v>
      </c>
      <c r="M196" s="427" t="s">
        <v>44</v>
      </c>
      <c r="N196" s="427">
        <v>25.387862999999999</v>
      </c>
      <c r="O196" s="427">
        <v>97.376671999999999</v>
      </c>
      <c r="P196" s="427" t="s">
        <v>573</v>
      </c>
      <c r="Q196" s="427"/>
      <c r="R196" s="431">
        <v>0</v>
      </c>
      <c r="S196" s="431">
        <v>0</v>
      </c>
      <c r="T196" s="444"/>
      <c r="U196" s="433"/>
      <c r="V196" s="427" t="s">
        <v>777</v>
      </c>
      <c r="W196" s="427" t="s">
        <v>1661</v>
      </c>
      <c r="X196" s="390"/>
    </row>
    <row r="197" spans="1:24" s="69" customFormat="1" ht="14.25" customHeight="1">
      <c r="A197" s="427" t="s">
        <v>37</v>
      </c>
      <c r="B197" s="427" t="s">
        <v>159</v>
      </c>
      <c r="C197" s="427" t="s">
        <v>234</v>
      </c>
      <c r="D197" s="430" t="s">
        <v>3001</v>
      </c>
      <c r="E197" s="427" t="s">
        <v>1200</v>
      </c>
      <c r="F197" s="427" t="s">
        <v>1432</v>
      </c>
      <c r="G197" s="427" t="s">
        <v>1432</v>
      </c>
      <c r="H197" s="427" t="s">
        <v>41</v>
      </c>
      <c r="I197" s="427" t="s">
        <v>1035</v>
      </c>
      <c r="J197" s="427" t="s">
        <v>43</v>
      </c>
      <c r="K197" s="427" t="s">
        <v>43</v>
      </c>
      <c r="L197" s="427" t="s">
        <v>43</v>
      </c>
      <c r="M197" s="427" t="s">
        <v>44</v>
      </c>
      <c r="N197" s="427">
        <v>25.410569299999999</v>
      </c>
      <c r="O197" s="427">
        <v>97.359320179999997</v>
      </c>
      <c r="P197" s="427" t="s">
        <v>573</v>
      </c>
      <c r="Q197" s="427" t="s">
        <v>592</v>
      </c>
      <c r="R197" s="439">
        <v>61</v>
      </c>
      <c r="S197" s="432">
        <v>290</v>
      </c>
      <c r="T197" s="444"/>
      <c r="U197" s="433"/>
      <c r="V197" s="427" t="s">
        <v>234</v>
      </c>
      <c r="W197" s="427"/>
      <c r="X197" s="430"/>
    </row>
    <row r="198" spans="1:24" s="69" customFormat="1" ht="14.25" customHeight="1">
      <c r="A198" s="436" t="s">
        <v>37</v>
      </c>
      <c r="B198" s="435" t="s">
        <v>159</v>
      </c>
      <c r="C198" s="436" t="s">
        <v>167</v>
      </c>
      <c r="D198" s="430" t="s">
        <v>3001</v>
      </c>
      <c r="E198" s="427" t="s">
        <v>1207</v>
      </c>
      <c r="F198" s="427" t="s">
        <v>1349</v>
      </c>
      <c r="G198" s="427" t="s">
        <v>1436</v>
      </c>
      <c r="H198" s="427" t="s">
        <v>41</v>
      </c>
      <c r="I198" s="427" t="s">
        <v>2117</v>
      </c>
      <c r="J198" s="427" t="s">
        <v>43</v>
      </c>
      <c r="K198" s="429" t="s">
        <v>43</v>
      </c>
      <c r="L198" s="429" t="s">
        <v>43</v>
      </c>
      <c r="M198" s="427" t="s">
        <v>44</v>
      </c>
      <c r="N198" s="427">
        <v>25.422194000000001</v>
      </c>
      <c r="O198" s="427">
        <v>97.394547000000003</v>
      </c>
      <c r="P198" s="429" t="s">
        <v>573</v>
      </c>
      <c r="Q198" s="427" t="s">
        <v>592</v>
      </c>
      <c r="R198" s="439">
        <v>72</v>
      </c>
      <c r="S198" s="432">
        <v>323</v>
      </c>
      <c r="T198" s="444"/>
      <c r="U198" s="433"/>
      <c r="V198" s="427" t="s">
        <v>167</v>
      </c>
      <c r="W198" s="361"/>
      <c r="X198" s="430"/>
    </row>
    <row r="199" spans="1:24" s="69" customFormat="1" ht="14.25" customHeight="1">
      <c r="A199" s="432" t="s">
        <v>37</v>
      </c>
      <c r="B199" s="435" t="s">
        <v>159</v>
      </c>
      <c r="C199" s="436" t="s">
        <v>235</v>
      </c>
      <c r="D199" s="430" t="s">
        <v>3001</v>
      </c>
      <c r="E199" s="427" t="s">
        <v>1213</v>
      </c>
      <c r="F199" s="427" t="s">
        <v>1439</v>
      </c>
      <c r="G199" s="427" t="s">
        <v>1440</v>
      </c>
      <c r="H199" s="427" t="s">
        <v>41</v>
      </c>
      <c r="I199" s="427" t="s">
        <v>1035</v>
      </c>
      <c r="J199" s="427" t="s">
        <v>43</v>
      </c>
      <c r="K199" s="427" t="s">
        <v>43</v>
      </c>
      <c r="L199" s="427" t="s">
        <v>43</v>
      </c>
      <c r="M199" s="427" t="s">
        <v>44</v>
      </c>
      <c r="N199" s="427">
        <v>25.493819999999999</v>
      </c>
      <c r="O199" s="427">
        <v>97.4345</v>
      </c>
      <c r="P199" s="427" t="s">
        <v>573</v>
      </c>
      <c r="Q199" s="427" t="s">
        <v>592</v>
      </c>
      <c r="R199" s="439">
        <v>152</v>
      </c>
      <c r="S199" s="432">
        <v>941</v>
      </c>
      <c r="T199" s="444"/>
      <c r="U199" s="439"/>
      <c r="V199" s="427" t="s">
        <v>235</v>
      </c>
      <c r="W199" s="431"/>
      <c r="X199" s="430"/>
    </row>
    <row r="200" spans="1:24" s="69" customFormat="1" ht="14.25" customHeight="1">
      <c r="A200" s="436" t="s">
        <v>37</v>
      </c>
      <c r="B200" s="435" t="s">
        <v>159</v>
      </c>
      <c r="C200" s="436" t="s">
        <v>1605</v>
      </c>
      <c r="D200" s="430" t="s">
        <v>3001</v>
      </c>
      <c r="E200" s="484" t="s">
        <v>1606</v>
      </c>
      <c r="F200" s="429"/>
      <c r="G200" s="429"/>
      <c r="H200" s="429" t="s">
        <v>41</v>
      </c>
      <c r="I200" s="429" t="s">
        <v>1035</v>
      </c>
      <c r="J200" s="427" t="s">
        <v>43</v>
      </c>
      <c r="K200" s="427" t="s">
        <v>43</v>
      </c>
      <c r="L200" s="429" t="s">
        <v>43</v>
      </c>
      <c r="M200" s="427" t="s">
        <v>44</v>
      </c>
      <c r="N200" s="427">
        <v>25.493819999999999</v>
      </c>
      <c r="O200" s="427">
        <v>97.4345</v>
      </c>
      <c r="P200" s="17" t="s">
        <v>573</v>
      </c>
      <c r="Q200" s="427" t="s">
        <v>1607</v>
      </c>
      <c r="R200" s="439">
        <v>215</v>
      </c>
      <c r="S200" s="432">
        <v>1188</v>
      </c>
      <c r="T200" s="444">
        <v>43360</v>
      </c>
      <c r="U200" s="437" t="s">
        <v>1608</v>
      </c>
      <c r="V200" s="429"/>
      <c r="W200" s="482" t="s">
        <v>1745</v>
      </c>
      <c r="X200" s="430"/>
    </row>
    <row r="201" spans="1:24" s="69" customFormat="1" ht="14.25" customHeight="1">
      <c r="A201" s="427" t="s">
        <v>37</v>
      </c>
      <c r="B201" s="427" t="s">
        <v>159</v>
      </c>
      <c r="C201" s="429" t="s">
        <v>2205</v>
      </c>
      <c r="D201" s="390"/>
      <c r="E201" s="427"/>
      <c r="F201" s="427"/>
      <c r="G201" s="427"/>
      <c r="H201" s="427"/>
      <c r="I201" s="427"/>
      <c r="J201" s="427" t="s">
        <v>1099</v>
      </c>
      <c r="K201" s="427" t="s">
        <v>43</v>
      </c>
      <c r="L201" s="427" t="s">
        <v>43</v>
      </c>
      <c r="M201" s="427" t="s">
        <v>44</v>
      </c>
      <c r="N201" s="427"/>
      <c r="O201" s="427"/>
      <c r="P201" s="427" t="s">
        <v>573</v>
      </c>
      <c r="Q201" s="427" t="s">
        <v>2175</v>
      </c>
      <c r="R201" s="431"/>
      <c r="S201" s="431"/>
      <c r="T201" s="444">
        <v>43749</v>
      </c>
      <c r="U201" s="433"/>
      <c r="V201" s="427"/>
      <c r="W201" s="427"/>
      <c r="X201" s="390"/>
    </row>
    <row r="202" spans="1:24" s="69" customFormat="1" ht="14.25" customHeight="1">
      <c r="A202" s="427" t="s">
        <v>37</v>
      </c>
      <c r="B202" s="429" t="s">
        <v>159</v>
      </c>
      <c r="C202" s="429" t="s">
        <v>3018</v>
      </c>
      <c r="D202" s="430" t="s">
        <v>3001</v>
      </c>
      <c r="E202" s="427" t="s">
        <v>1205</v>
      </c>
      <c r="F202" s="427" t="s">
        <v>1349</v>
      </c>
      <c r="G202" s="427" t="s">
        <v>1430</v>
      </c>
      <c r="H202" s="427" t="s">
        <v>41</v>
      </c>
      <c r="I202" s="427" t="s">
        <v>242</v>
      </c>
      <c r="J202" s="427" t="s">
        <v>43</v>
      </c>
      <c r="K202" s="427" t="s">
        <v>43</v>
      </c>
      <c r="L202" s="427" t="s">
        <v>43</v>
      </c>
      <c r="M202" s="427" t="s">
        <v>44</v>
      </c>
      <c r="N202" s="427">
        <v>25.417733999999999</v>
      </c>
      <c r="O202" s="427">
        <v>97.389778000000007</v>
      </c>
      <c r="P202" s="427" t="s">
        <v>573</v>
      </c>
      <c r="Q202" s="427" t="s">
        <v>592</v>
      </c>
      <c r="R202" s="439">
        <v>16</v>
      </c>
      <c r="S202" s="432">
        <v>83</v>
      </c>
      <c r="T202" s="444"/>
      <c r="U202" s="433"/>
      <c r="V202" s="427" t="s">
        <v>267</v>
      </c>
      <c r="W202" s="427"/>
      <c r="X202" s="430"/>
    </row>
    <row r="203" spans="1:24" s="69" customFormat="1" ht="14.25" customHeight="1">
      <c r="A203" s="427" t="s">
        <v>37</v>
      </c>
      <c r="B203" s="427" t="s">
        <v>159</v>
      </c>
      <c r="C203" s="429" t="s">
        <v>2235</v>
      </c>
      <c r="D203" s="430" t="s">
        <v>3001</v>
      </c>
      <c r="E203" s="427" t="s">
        <v>2236</v>
      </c>
      <c r="F203" s="427" t="s">
        <v>2238</v>
      </c>
      <c r="G203" s="427" t="s">
        <v>2238</v>
      </c>
      <c r="H203" s="427"/>
      <c r="I203" s="427" t="s">
        <v>1619</v>
      </c>
      <c r="J203" s="427" t="s">
        <v>43</v>
      </c>
      <c r="K203" s="427" t="s">
        <v>43</v>
      </c>
      <c r="L203" s="427" t="s">
        <v>43</v>
      </c>
      <c r="M203" s="427" t="s">
        <v>44</v>
      </c>
      <c r="N203" s="427">
        <v>25.387892000000001</v>
      </c>
      <c r="O203" s="427">
        <v>97.325181999999998</v>
      </c>
      <c r="P203" s="427" t="s">
        <v>573</v>
      </c>
      <c r="Q203" s="427" t="s">
        <v>2239</v>
      </c>
      <c r="R203" s="439">
        <v>26</v>
      </c>
      <c r="S203" s="432">
        <v>138</v>
      </c>
      <c r="T203" s="444">
        <v>43805</v>
      </c>
      <c r="U203" s="433"/>
      <c r="V203" s="427"/>
      <c r="W203" s="427" t="s">
        <v>2237</v>
      </c>
      <c r="X203" s="430"/>
    </row>
    <row r="204" spans="1:24" s="69" customFormat="1" ht="14.25" customHeight="1">
      <c r="A204" s="427" t="s">
        <v>37</v>
      </c>
      <c r="B204" s="429" t="s">
        <v>159</v>
      </c>
      <c r="C204" s="429" t="s">
        <v>168</v>
      </c>
      <c r="D204" s="430" t="s">
        <v>3001</v>
      </c>
      <c r="E204" s="427" t="s">
        <v>1202</v>
      </c>
      <c r="F204" s="427" t="s">
        <v>1349</v>
      </c>
      <c r="G204" s="427" t="s">
        <v>1433</v>
      </c>
      <c r="H204" s="427" t="s">
        <v>41</v>
      </c>
      <c r="I204" s="427" t="s">
        <v>2117</v>
      </c>
      <c r="J204" s="427" t="s">
        <v>43</v>
      </c>
      <c r="K204" s="427" t="s">
        <v>43</v>
      </c>
      <c r="L204" s="427" t="s">
        <v>43</v>
      </c>
      <c r="M204" s="427" t="s">
        <v>44</v>
      </c>
      <c r="N204" s="427">
        <v>25.412313000000001</v>
      </c>
      <c r="O204" s="427">
        <v>97.399628000000007</v>
      </c>
      <c r="P204" s="427" t="s">
        <v>573</v>
      </c>
      <c r="Q204" s="427" t="s">
        <v>592</v>
      </c>
      <c r="R204" s="439">
        <v>110</v>
      </c>
      <c r="S204" s="432">
        <v>562</v>
      </c>
      <c r="T204" s="444"/>
      <c r="U204" s="433"/>
      <c r="V204" s="427" t="s">
        <v>168</v>
      </c>
      <c r="W204" s="427"/>
      <c r="X204" s="430"/>
    </row>
    <row r="205" spans="1:24" s="69" customFormat="1" ht="14.25" customHeight="1">
      <c r="A205" s="436" t="s">
        <v>37</v>
      </c>
      <c r="B205" s="435" t="s">
        <v>159</v>
      </c>
      <c r="C205" s="429" t="s">
        <v>265</v>
      </c>
      <c r="D205" s="430" t="s">
        <v>3001</v>
      </c>
      <c r="E205" s="427" t="s">
        <v>1209</v>
      </c>
      <c r="F205" s="427" t="s">
        <v>1349</v>
      </c>
      <c r="G205" s="427" t="s">
        <v>1433</v>
      </c>
      <c r="H205" s="427" t="s">
        <v>41</v>
      </c>
      <c r="I205" s="427" t="s">
        <v>242</v>
      </c>
      <c r="J205" s="427" t="s">
        <v>43</v>
      </c>
      <c r="K205" s="427" t="s">
        <v>43</v>
      </c>
      <c r="L205" s="427" t="s">
        <v>43</v>
      </c>
      <c r="M205" s="427" t="s">
        <v>44</v>
      </c>
      <c r="N205" s="427">
        <v>25.423817</v>
      </c>
      <c r="O205" s="427">
        <v>97.418004999999994</v>
      </c>
      <c r="P205" s="429" t="s">
        <v>573</v>
      </c>
      <c r="Q205" s="427" t="s">
        <v>592</v>
      </c>
      <c r="R205" s="439">
        <v>26</v>
      </c>
      <c r="S205" s="432">
        <v>119</v>
      </c>
      <c r="T205" s="444"/>
      <c r="U205" s="433"/>
      <c r="V205" s="427" t="s">
        <v>265</v>
      </c>
      <c r="W205" s="361"/>
      <c r="X205" s="430"/>
    </row>
    <row r="206" spans="1:24" s="69" customFormat="1" ht="14.25" customHeight="1">
      <c r="A206" s="427" t="s">
        <v>37</v>
      </c>
      <c r="B206" s="429" t="s">
        <v>159</v>
      </c>
      <c r="C206" s="429" t="s">
        <v>169</v>
      </c>
      <c r="D206" s="430" t="s">
        <v>3001</v>
      </c>
      <c r="E206" s="427" t="s">
        <v>1212</v>
      </c>
      <c r="F206" s="427" t="s">
        <v>1349</v>
      </c>
      <c r="G206" s="427" t="s">
        <v>1438</v>
      </c>
      <c r="H206" s="427" t="s">
        <v>41</v>
      </c>
      <c r="I206" s="427" t="s">
        <v>2117</v>
      </c>
      <c r="J206" s="427" t="s">
        <v>43</v>
      </c>
      <c r="K206" s="427" t="s">
        <v>43</v>
      </c>
      <c r="L206" s="427" t="s">
        <v>43</v>
      </c>
      <c r="M206" s="427" t="s">
        <v>44</v>
      </c>
      <c r="N206" s="427">
        <v>25.440928</v>
      </c>
      <c r="O206" s="427">
        <v>97.419403000000003</v>
      </c>
      <c r="P206" s="427" t="s">
        <v>573</v>
      </c>
      <c r="Q206" s="427" t="s">
        <v>592</v>
      </c>
      <c r="R206" s="439">
        <v>104</v>
      </c>
      <c r="S206" s="432">
        <v>633</v>
      </c>
      <c r="T206" s="444"/>
      <c r="U206" s="433"/>
      <c r="V206" s="427" t="s">
        <v>169</v>
      </c>
      <c r="W206" s="427"/>
      <c r="X206" s="430"/>
    </row>
    <row r="207" spans="1:24" s="69" customFormat="1" ht="14.25" customHeight="1">
      <c r="A207" s="427" t="s">
        <v>37</v>
      </c>
      <c r="B207" s="429" t="s">
        <v>159</v>
      </c>
      <c r="C207" s="429" t="s">
        <v>1547</v>
      </c>
      <c r="D207" s="390" t="s">
        <v>2113</v>
      </c>
      <c r="E207" s="427" t="s">
        <v>1554</v>
      </c>
      <c r="F207" s="427"/>
      <c r="G207" s="427"/>
      <c r="H207" s="427"/>
      <c r="I207" s="427" t="s">
        <v>1619</v>
      </c>
      <c r="J207" s="427" t="s">
        <v>43</v>
      </c>
      <c r="K207" s="427" t="s">
        <v>43</v>
      </c>
      <c r="L207" s="427" t="s">
        <v>572</v>
      </c>
      <c r="M207" s="427" t="s">
        <v>44</v>
      </c>
      <c r="N207" s="978">
        <v>25.717300000000002</v>
      </c>
      <c r="O207" s="427">
        <v>97.49136</v>
      </c>
      <c r="P207" s="427" t="s">
        <v>573</v>
      </c>
      <c r="Q207" s="427" t="s">
        <v>1530</v>
      </c>
      <c r="R207" s="431">
        <v>229</v>
      </c>
      <c r="S207" s="431">
        <v>1247</v>
      </c>
      <c r="T207" s="444">
        <v>43276</v>
      </c>
      <c r="U207" s="433" t="s">
        <v>1578</v>
      </c>
      <c r="V207" s="427"/>
      <c r="W207" s="427" t="s">
        <v>1746</v>
      </c>
      <c r="X207" s="390"/>
    </row>
    <row r="208" spans="1:24" s="427" customFormat="1" ht="14.25" customHeight="1">
      <c r="A208" s="427" t="s">
        <v>37</v>
      </c>
      <c r="B208" s="429" t="s">
        <v>159</v>
      </c>
      <c r="C208" s="443" t="s">
        <v>868</v>
      </c>
      <c r="D208" s="390" t="s">
        <v>1299</v>
      </c>
      <c r="J208" s="427" t="s">
        <v>43</v>
      </c>
      <c r="K208" s="427" t="s">
        <v>43</v>
      </c>
      <c r="L208" s="427" t="s">
        <v>815</v>
      </c>
      <c r="M208" s="427" t="s">
        <v>44</v>
      </c>
      <c r="P208" s="427" t="s">
        <v>573</v>
      </c>
      <c r="R208" s="431"/>
      <c r="S208" s="431"/>
      <c r="T208" s="444"/>
      <c r="U208" s="433"/>
      <c r="V208" s="427" t="s">
        <v>868</v>
      </c>
      <c r="X208" s="390"/>
    </row>
    <row r="209" spans="1:24" s="69" customFormat="1" ht="14.25" customHeight="1">
      <c r="A209" s="427" t="s">
        <v>37</v>
      </c>
      <c r="B209" s="429" t="s">
        <v>159</v>
      </c>
      <c r="C209" s="429" t="s">
        <v>170</v>
      </c>
      <c r="D209" s="430" t="s">
        <v>3001</v>
      </c>
      <c r="E209" s="427" t="s">
        <v>1203</v>
      </c>
      <c r="F209" s="427" t="s">
        <v>1349</v>
      </c>
      <c r="G209" s="427" t="s">
        <v>1430</v>
      </c>
      <c r="H209" s="427" t="s">
        <v>41</v>
      </c>
      <c r="I209" s="427" t="s">
        <v>2117</v>
      </c>
      <c r="J209" s="427" t="s">
        <v>43</v>
      </c>
      <c r="K209" s="427" t="s">
        <v>43</v>
      </c>
      <c r="L209" s="427" t="s">
        <v>43</v>
      </c>
      <c r="M209" s="427" t="s">
        <v>44</v>
      </c>
      <c r="N209" s="427">
        <v>25.415482000000001</v>
      </c>
      <c r="O209" s="427">
        <v>97.386718999999999</v>
      </c>
      <c r="P209" s="427" t="s">
        <v>573</v>
      </c>
      <c r="Q209" s="427" t="s">
        <v>592</v>
      </c>
      <c r="R209" s="439">
        <v>98</v>
      </c>
      <c r="S209" s="432">
        <v>540</v>
      </c>
      <c r="T209" s="444"/>
      <c r="U209" s="433"/>
      <c r="V209" s="427" t="s">
        <v>170</v>
      </c>
      <c r="W209" s="427"/>
      <c r="X209" s="430"/>
    </row>
    <row r="210" spans="1:24" s="69" customFormat="1" ht="14.25" customHeight="1">
      <c r="A210" s="427" t="s">
        <v>37</v>
      </c>
      <c r="B210" s="429" t="s">
        <v>159</v>
      </c>
      <c r="C210" s="429" t="s">
        <v>266</v>
      </c>
      <c r="D210" s="430" t="s">
        <v>3001</v>
      </c>
      <c r="E210" s="427" t="s">
        <v>1208</v>
      </c>
      <c r="F210" s="427" t="s">
        <v>1349</v>
      </c>
      <c r="G210" s="427" t="s">
        <v>1430</v>
      </c>
      <c r="H210" s="427" t="s">
        <v>41</v>
      </c>
      <c r="I210" s="427" t="s">
        <v>242</v>
      </c>
      <c r="J210" s="427" t="s">
        <v>43</v>
      </c>
      <c r="K210" s="427" t="s">
        <v>43</v>
      </c>
      <c r="L210" s="427" t="s">
        <v>43</v>
      </c>
      <c r="M210" s="427" t="s">
        <v>44</v>
      </c>
      <c r="N210" s="427">
        <v>25.423209</v>
      </c>
      <c r="O210" s="427">
        <v>97.379987</v>
      </c>
      <c r="P210" s="427" t="s">
        <v>573</v>
      </c>
      <c r="Q210" s="427" t="s">
        <v>592</v>
      </c>
      <c r="R210" s="439">
        <v>56</v>
      </c>
      <c r="S210" s="432">
        <v>266</v>
      </c>
      <c r="T210" s="444"/>
      <c r="U210" s="433"/>
      <c r="V210" s="427" t="s">
        <v>783</v>
      </c>
      <c r="W210" s="427"/>
      <c r="X210" s="430"/>
    </row>
    <row r="211" spans="1:24" s="69" customFormat="1" ht="14.25" customHeight="1">
      <c r="A211" s="436" t="s">
        <v>37</v>
      </c>
      <c r="B211" s="435" t="s">
        <v>159</v>
      </c>
      <c r="C211" s="429" t="s">
        <v>171</v>
      </c>
      <c r="D211" s="430" t="s">
        <v>3001</v>
      </c>
      <c r="E211" s="427" t="s">
        <v>1198</v>
      </c>
      <c r="F211" s="427" t="s">
        <v>1349</v>
      </c>
      <c r="G211" s="427" t="s">
        <v>1430</v>
      </c>
      <c r="H211" s="427" t="s">
        <v>41</v>
      </c>
      <c r="I211" s="427" t="s">
        <v>2117</v>
      </c>
      <c r="J211" s="427" t="s">
        <v>43</v>
      </c>
      <c r="K211" s="427" t="s">
        <v>43</v>
      </c>
      <c r="L211" s="427" t="s">
        <v>43</v>
      </c>
      <c r="M211" s="427" t="s">
        <v>44</v>
      </c>
      <c r="N211" s="427">
        <v>25.404752999999999</v>
      </c>
      <c r="O211" s="427">
        <v>97.377662999999998</v>
      </c>
      <c r="P211" s="427" t="s">
        <v>573</v>
      </c>
      <c r="Q211" s="427" t="s">
        <v>592</v>
      </c>
      <c r="R211" s="439">
        <v>35</v>
      </c>
      <c r="S211" s="432">
        <v>189</v>
      </c>
      <c r="T211" s="444"/>
      <c r="U211" s="433"/>
      <c r="V211" s="427" t="s">
        <v>171</v>
      </c>
      <c r="W211" s="427"/>
      <c r="X211" s="430"/>
    </row>
    <row r="212" spans="1:24" s="69" customFormat="1" ht="14.25" customHeight="1">
      <c r="A212" s="436" t="s">
        <v>37</v>
      </c>
      <c r="B212" s="435" t="s">
        <v>159</v>
      </c>
      <c r="C212" s="429" t="s">
        <v>172</v>
      </c>
      <c r="D212" s="430" t="s">
        <v>3001</v>
      </c>
      <c r="E212" s="429" t="s">
        <v>1197</v>
      </c>
      <c r="F212" s="429" t="s">
        <v>1349</v>
      </c>
      <c r="G212" s="429" t="s">
        <v>1430</v>
      </c>
      <c r="H212" s="429" t="s">
        <v>41</v>
      </c>
      <c r="I212" s="429" t="s">
        <v>2117</v>
      </c>
      <c r="J212" s="427" t="s">
        <v>43</v>
      </c>
      <c r="K212" s="427" t="s">
        <v>43</v>
      </c>
      <c r="L212" s="427" t="s">
        <v>43</v>
      </c>
      <c r="M212" s="427" t="s">
        <v>44</v>
      </c>
      <c r="N212" s="427">
        <v>25.437125999999999</v>
      </c>
      <c r="O212" s="427">
        <v>97.387276</v>
      </c>
      <c r="P212" s="17" t="s">
        <v>573</v>
      </c>
      <c r="Q212" s="427" t="s">
        <v>592</v>
      </c>
      <c r="R212" s="439">
        <v>47</v>
      </c>
      <c r="S212" s="432">
        <v>239</v>
      </c>
      <c r="T212" s="444"/>
      <c r="U212" s="437"/>
      <c r="V212" s="429" t="s">
        <v>172</v>
      </c>
      <c r="W212" s="361"/>
      <c r="X212" s="430"/>
    </row>
    <row r="213" spans="1:24" s="69" customFormat="1" ht="14.25" customHeight="1">
      <c r="A213" s="436" t="s">
        <v>37</v>
      </c>
      <c r="B213" s="435" t="s">
        <v>159</v>
      </c>
      <c r="C213" s="429" t="s">
        <v>1535</v>
      </c>
      <c r="D213" s="390"/>
      <c r="E213" s="427"/>
      <c r="F213" s="427"/>
      <c r="G213" s="427"/>
      <c r="H213" s="427"/>
      <c r="I213" s="427"/>
      <c r="J213" s="427" t="s">
        <v>1099</v>
      </c>
      <c r="K213" s="427" t="s">
        <v>43</v>
      </c>
      <c r="L213" s="427" t="s">
        <v>43</v>
      </c>
      <c r="M213" s="427" t="s">
        <v>44</v>
      </c>
      <c r="N213" s="427"/>
      <c r="O213" s="427"/>
      <c r="P213" s="429" t="s">
        <v>573</v>
      </c>
      <c r="Q213" s="427" t="s">
        <v>1530</v>
      </c>
      <c r="R213" s="431"/>
      <c r="S213" s="431"/>
      <c r="T213" s="444">
        <v>43270</v>
      </c>
      <c r="U213" s="433"/>
      <c r="V213" s="427"/>
      <c r="W213" s="361"/>
      <c r="X213" s="390"/>
    </row>
    <row r="214" spans="1:24" s="69" customFormat="1" ht="14.25" customHeight="1">
      <c r="A214" s="436" t="s">
        <v>37</v>
      </c>
      <c r="B214" s="435" t="s">
        <v>159</v>
      </c>
      <c r="C214" s="429" t="s">
        <v>1548</v>
      </c>
      <c r="D214" s="430" t="s">
        <v>2676</v>
      </c>
      <c r="E214" s="427" t="s">
        <v>1556</v>
      </c>
      <c r="F214" s="427"/>
      <c r="G214" s="427"/>
      <c r="H214" s="427"/>
      <c r="I214" s="427" t="s">
        <v>1619</v>
      </c>
      <c r="J214" s="427" t="s">
        <v>43</v>
      </c>
      <c r="K214" s="427" t="s">
        <v>43</v>
      </c>
      <c r="L214" s="427" t="s">
        <v>572</v>
      </c>
      <c r="M214" s="427" t="s">
        <v>44</v>
      </c>
      <c r="N214" s="427">
        <v>25.970190048217798</v>
      </c>
      <c r="O214" s="427">
        <v>97.532951354980497</v>
      </c>
      <c r="P214" s="427" t="s">
        <v>573</v>
      </c>
      <c r="Q214" s="427" t="s">
        <v>1530</v>
      </c>
      <c r="R214" s="439"/>
      <c r="S214" s="432"/>
      <c r="T214" s="444">
        <v>43276</v>
      </c>
      <c r="U214" s="433" t="s">
        <v>1579</v>
      </c>
      <c r="V214" s="427"/>
      <c r="W214" s="427" t="s">
        <v>1630</v>
      </c>
      <c r="X214" s="430"/>
    </row>
    <row r="215" spans="1:24" s="69" customFormat="1" ht="14.25" customHeight="1">
      <c r="A215" s="427" t="s">
        <v>37</v>
      </c>
      <c r="B215" s="429" t="s">
        <v>159</v>
      </c>
      <c r="C215" s="429" t="s">
        <v>1614</v>
      </c>
      <c r="D215" s="430" t="s">
        <v>3001</v>
      </c>
      <c r="E215" s="427" t="s">
        <v>1553</v>
      </c>
      <c r="F215" s="427"/>
      <c r="G215" s="427"/>
      <c r="H215" s="427" t="s">
        <v>41</v>
      </c>
      <c r="I215" s="427" t="s">
        <v>2117</v>
      </c>
      <c r="J215" s="427" t="s">
        <v>43</v>
      </c>
      <c r="K215" s="427" t="s">
        <v>43</v>
      </c>
      <c r="L215" s="427" t="s">
        <v>43</v>
      </c>
      <c r="M215" s="427" t="s">
        <v>44</v>
      </c>
      <c r="N215" s="427">
        <v>25.480989999999998</v>
      </c>
      <c r="O215" s="427">
        <v>97.431079999999994</v>
      </c>
      <c r="P215" s="427" t="s">
        <v>573</v>
      </c>
      <c r="Q215" s="427" t="s">
        <v>1530</v>
      </c>
      <c r="R215" s="439">
        <v>197</v>
      </c>
      <c r="S215" s="432">
        <v>981</v>
      </c>
      <c r="T215" s="444">
        <v>43276</v>
      </c>
      <c r="U215" s="433" t="s">
        <v>1578</v>
      </c>
      <c r="V215" s="427"/>
      <c r="W215" s="427" t="s">
        <v>1747</v>
      </c>
      <c r="X215" s="430"/>
    </row>
    <row r="216" spans="1:24" s="69" customFormat="1" ht="14.25" customHeight="1">
      <c r="A216" s="427" t="s">
        <v>37</v>
      </c>
      <c r="B216" s="427" t="s">
        <v>159</v>
      </c>
      <c r="C216" s="427" t="s">
        <v>1536</v>
      </c>
      <c r="D216" s="390"/>
      <c r="E216" s="427"/>
      <c r="F216" s="427"/>
      <c r="G216" s="427"/>
      <c r="H216" s="427"/>
      <c r="I216" s="427"/>
      <c r="J216" s="427" t="s">
        <v>1099</v>
      </c>
      <c r="K216" s="427" t="s">
        <v>43</v>
      </c>
      <c r="L216" s="427" t="s">
        <v>43</v>
      </c>
      <c r="M216" s="427" t="s">
        <v>44</v>
      </c>
      <c r="N216" s="427"/>
      <c r="O216" s="427"/>
      <c r="P216" s="427" t="s">
        <v>573</v>
      </c>
      <c r="Q216" s="427" t="s">
        <v>1530</v>
      </c>
      <c r="R216" s="431"/>
      <c r="S216" s="432"/>
      <c r="T216" s="444">
        <v>43270</v>
      </c>
      <c r="U216" s="433"/>
      <c r="V216" s="427"/>
      <c r="W216" s="427"/>
      <c r="X216" s="390"/>
    </row>
    <row r="217" spans="1:24" s="69" customFormat="1" ht="14.25" customHeight="1">
      <c r="A217" s="427" t="s">
        <v>37</v>
      </c>
      <c r="B217" s="427" t="s">
        <v>159</v>
      </c>
      <c r="C217" s="427" t="s">
        <v>775</v>
      </c>
      <c r="D217" s="390" t="s">
        <v>1300</v>
      </c>
      <c r="E217" s="427" t="s">
        <v>1190</v>
      </c>
      <c r="F217" s="427" t="s">
        <v>1349</v>
      </c>
      <c r="G217" s="427" t="s">
        <v>1350</v>
      </c>
      <c r="H217" s="427" t="s">
        <v>41</v>
      </c>
      <c r="I217" s="429" t="s">
        <v>242</v>
      </c>
      <c r="J217" s="427" t="s">
        <v>43</v>
      </c>
      <c r="K217" s="427" t="s">
        <v>43</v>
      </c>
      <c r="L217" s="427" t="s">
        <v>572</v>
      </c>
      <c r="M217" s="427" t="s">
        <v>44</v>
      </c>
      <c r="N217" s="427">
        <v>25.377038169999999</v>
      </c>
      <c r="O217" s="427">
        <v>97.403878500000005</v>
      </c>
      <c r="P217" s="427" t="s">
        <v>573</v>
      </c>
      <c r="Q217" s="427" t="s">
        <v>592</v>
      </c>
      <c r="R217" s="431">
        <v>7</v>
      </c>
      <c r="S217" s="431">
        <v>37</v>
      </c>
      <c r="T217" s="444">
        <v>42983</v>
      </c>
      <c r="U217" s="433" t="s">
        <v>776</v>
      </c>
      <c r="V217" s="427" t="s">
        <v>775</v>
      </c>
      <c r="W217" s="427" t="s">
        <v>1662</v>
      </c>
      <c r="X217" s="390"/>
    </row>
    <row r="218" spans="1:24" s="69" customFormat="1" ht="14.25" customHeight="1">
      <c r="A218" s="427" t="s">
        <v>37</v>
      </c>
      <c r="B218" s="427" t="s">
        <v>173</v>
      </c>
      <c r="C218" s="427" t="s">
        <v>827</v>
      </c>
      <c r="D218" s="390" t="s">
        <v>1299</v>
      </c>
      <c r="E218" s="427"/>
      <c r="F218" s="427"/>
      <c r="G218" s="427"/>
      <c r="H218" s="427"/>
      <c r="I218" s="427"/>
      <c r="J218" s="427" t="s">
        <v>43</v>
      </c>
      <c r="K218" s="427" t="s">
        <v>43</v>
      </c>
      <c r="L218" s="427" t="s">
        <v>815</v>
      </c>
      <c r="M218" s="427" t="s">
        <v>44</v>
      </c>
      <c r="N218" s="427"/>
      <c r="O218" s="427"/>
      <c r="P218" s="427" t="s">
        <v>573</v>
      </c>
      <c r="Q218" s="427"/>
      <c r="R218" s="431"/>
      <c r="S218" s="431"/>
      <c r="T218" s="444"/>
      <c r="U218" s="433"/>
      <c r="V218" s="427" t="s">
        <v>827</v>
      </c>
      <c r="W218" s="427"/>
      <c r="X218" s="390"/>
    </row>
    <row r="219" spans="1:24" s="69" customFormat="1" ht="14.25" customHeight="1">
      <c r="A219" s="427" t="s">
        <v>37</v>
      </c>
      <c r="B219" s="427" t="s">
        <v>173</v>
      </c>
      <c r="C219" s="427" t="s">
        <v>802</v>
      </c>
      <c r="D219" s="430" t="s">
        <v>2772</v>
      </c>
      <c r="E219" s="427" t="s">
        <v>1254</v>
      </c>
      <c r="F219" s="427" t="s">
        <v>1362</v>
      </c>
      <c r="G219" s="427" t="s">
        <v>1468</v>
      </c>
      <c r="H219" s="427"/>
      <c r="I219" s="427" t="s">
        <v>1619</v>
      </c>
      <c r="J219" s="427" t="s">
        <v>43</v>
      </c>
      <c r="K219" s="427" t="s">
        <v>43</v>
      </c>
      <c r="L219" s="427" t="s">
        <v>572</v>
      </c>
      <c r="M219" s="427" t="s">
        <v>44</v>
      </c>
      <c r="N219" s="427">
        <v>27.248964999999998</v>
      </c>
      <c r="O219" s="427">
        <v>97.561105999999995</v>
      </c>
      <c r="P219" s="427" t="s">
        <v>585</v>
      </c>
      <c r="Q219" s="427" t="s">
        <v>574</v>
      </c>
      <c r="R219" s="439">
        <v>10</v>
      </c>
      <c r="S219" s="432">
        <v>56</v>
      </c>
      <c r="T219" s="444"/>
      <c r="U219" s="433" t="s">
        <v>803</v>
      </c>
      <c r="V219" s="427"/>
      <c r="W219" s="361"/>
      <c r="X219" s="430"/>
    </row>
    <row r="220" spans="1:24" s="69" customFormat="1" ht="14.25" customHeight="1">
      <c r="A220" s="427" t="s">
        <v>37</v>
      </c>
      <c r="B220" s="427" t="s">
        <v>173</v>
      </c>
      <c r="C220" s="427" t="s">
        <v>174</v>
      </c>
      <c r="D220" s="390" t="s">
        <v>2676</v>
      </c>
      <c r="E220" s="427" t="s">
        <v>1258</v>
      </c>
      <c r="F220" s="427" t="s">
        <v>1455</v>
      </c>
      <c r="G220" s="427" t="s">
        <v>1456</v>
      </c>
      <c r="H220" s="427" t="s">
        <v>41</v>
      </c>
      <c r="I220" s="427" t="s">
        <v>2117</v>
      </c>
      <c r="J220" s="427" t="s">
        <v>43</v>
      </c>
      <c r="K220" s="427" t="s">
        <v>43</v>
      </c>
      <c r="L220" s="427" t="s">
        <v>572</v>
      </c>
      <c r="M220" s="427" t="s">
        <v>44</v>
      </c>
      <c r="N220" s="427">
        <v>27.337499999999999</v>
      </c>
      <c r="O220" s="427">
        <v>97.416121000000004</v>
      </c>
      <c r="P220" s="427" t="s">
        <v>573</v>
      </c>
      <c r="Q220" s="427" t="s">
        <v>592</v>
      </c>
      <c r="R220" s="431"/>
      <c r="S220" s="432"/>
      <c r="T220" s="444"/>
      <c r="U220" s="433"/>
      <c r="V220" s="427" t="s">
        <v>810</v>
      </c>
      <c r="W220" s="427" t="s">
        <v>3006</v>
      </c>
      <c r="X220" s="390"/>
    </row>
    <row r="221" spans="1:24" s="69" customFormat="1" ht="14.25" customHeight="1">
      <c r="A221" s="427" t="s">
        <v>37</v>
      </c>
      <c r="B221" s="429" t="s">
        <v>173</v>
      </c>
      <c r="C221" s="429" t="s">
        <v>804</v>
      </c>
      <c r="D221" s="390" t="s">
        <v>1300</v>
      </c>
      <c r="E221" s="427" t="s">
        <v>1255</v>
      </c>
      <c r="F221" s="427" t="s">
        <v>1362</v>
      </c>
      <c r="G221" s="427" t="s">
        <v>1363</v>
      </c>
      <c r="H221" s="427"/>
      <c r="I221" s="429">
        <v>0</v>
      </c>
      <c r="J221" s="427" t="s">
        <v>43</v>
      </c>
      <c r="K221" s="427" t="s">
        <v>43</v>
      </c>
      <c r="L221" s="427" t="s">
        <v>572</v>
      </c>
      <c r="M221" s="427" t="s">
        <v>44</v>
      </c>
      <c r="N221" s="427">
        <v>27.270199999999999</v>
      </c>
      <c r="O221" s="427">
        <v>97.58184</v>
      </c>
      <c r="P221" s="427" t="s">
        <v>573</v>
      </c>
      <c r="Q221" s="427"/>
      <c r="R221" s="431">
        <v>0</v>
      </c>
      <c r="S221" s="431">
        <v>0</v>
      </c>
      <c r="T221" s="444"/>
      <c r="U221" s="433"/>
      <c r="V221" s="427" t="s">
        <v>804</v>
      </c>
      <c r="W221" s="427" t="s">
        <v>1663</v>
      </c>
      <c r="X221" s="390"/>
    </row>
    <row r="222" spans="1:24" s="69" customFormat="1" ht="14.25" customHeight="1">
      <c r="A222" s="432" t="s">
        <v>37</v>
      </c>
      <c r="B222" s="435" t="s">
        <v>173</v>
      </c>
      <c r="C222" s="436" t="s">
        <v>851</v>
      </c>
      <c r="D222" s="430" t="s">
        <v>1299</v>
      </c>
      <c r="E222" s="427"/>
      <c r="F222" s="427"/>
      <c r="G222" s="427"/>
      <c r="H222" s="427"/>
      <c r="I222" s="427"/>
      <c r="J222" s="427" t="s">
        <v>43</v>
      </c>
      <c r="K222" s="429" t="s">
        <v>43</v>
      </c>
      <c r="L222" s="429" t="s">
        <v>815</v>
      </c>
      <c r="M222" s="427" t="s">
        <v>44</v>
      </c>
      <c r="N222" s="427"/>
      <c r="O222" s="427"/>
      <c r="P222" s="427" t="s">
        <v>573</v>
      </c>
      <c r="Q222" s="427"/>
      <c r="R222" s="439"/>
      <c r="S222" s="432"/>
      <c r="T222" s="444"/>
      <c r="U222" s="433"/>
      <c r="V222" s="427" t="s">
        <v>851</v>
      </c>
      <c r="W222" s="427"/>
      <c r="X222" s="430"/>
    </row>
    <row r="223" spans="1:24" s="69" customFormat="1" ht="14.25" customHeight="1">
      <c r="A223" s="436" t="s">
        <v>37</v>
      </c>
      <c r="B223" s="435" t="s">
        <v>173</v>
      </c>
      <c r="C223" s="368" t="s">
        <v>808</v>
      </c>
      <c r="D223" s="430" t="s">
        <v>2772</v>
      </c>
      <c r="E223" s="427" t="s">
        <v>1257</v>
      </c>
      <c r="F223" s="427" t="s">
        <v>1455</v>
      </c>
      <c r="G223" s="427" t="s">
        <v>1469</v>
      </c>
      <c r="H223" s="427"/>
      <c r="I223" s="427" t="s">
        <v>1619</v>
      </c>
      <c r="J223" s="427" t="s">
        <v>43</v>
      </c>
      <c r="K223" s="429" t="s">
        <v>43</v>
      </c>
      <c r="L223" s="427" t="s">
        <v>572</v>
      </c>
      <c r="M223" s="427" t="s">
        <v>44</v>
      </c>
      <c r="N223" s="427">
        <v>27.311699999999998</v>
      </c>
      <c r="O223" s="427">
        <v>97.415289999999999</v>
      </c>
      <c r="P223" s="427" t="s">
        <v>585</v>
      </c>
      <c r="Q223" s="427" t="s">
        <v>574</v>
      </c>
      <c r="R223" s="439">
        <v>17</v>
      </c>
      <c r="S223" s="432">
        <v>92</v>
      </c>
      <c r="T223" s="444"/>
      <c r="U223" s="433" t="s">
        <v>809</v>
      </c>
      <c r="V223" s="427" t="s">
        <v>808</v>
      </c>
      <c r="W223" s="427"/>
      <c r="X223" s="430"/>
    </row>
    <row r="224" spans="1:24" s="69" customFormat="1" ht="14.25" customHeight="1">
      <c r="A224" s="427" t="s">
        <v>37</v>
      </c>
      <c r="B224" s="429" t="s">
        <v>214</v>
      </c>
      <c r="C224" s="429" t="s">
        <v>1597</v>
      </c>
      <c r="D224" s="390"/>
      <c r="E224" s="427"/>
      <c r="F224" s="427"/>
      <c r="G224" s="427"/>
      <c r="H224" s="427"/>
      <c r="I224" s="427"/>
      <c r="J224" s="427" t="s">
        <v>1099</v>
      </c>
      <c r="K224" s="427" t="s">
        <v>43</v>
      </c>
      <c r="L224" s="427" t="s">
        <v>588</v>
      </c>
      <c r="M224" s="427" t="s">
        <v>590</v>
      </c>
      <c r="N224" s="427"/>
      <c r="O224" s="427"/>
      <c r="P224" s="427" t="s">
        <v>573</v>
      </c>
      <c r="Q224" s="427"/>
      <c r="R224" s="431"/>
      <c r="S224" s="431"/>
      <c r="T224" s="444">
        <v>43298</v>
      </c>
      <c r="U224" s="433"/>
      <c r="V224" s="427"/>
      <c r="W224" s="427"/>
      <c r="X224" s="390"/>
    </row>
    <row r="225" spans="1:24" s="69" customFormat="1" ht="14.25" customHeight="1">
      <c r="A225" s="427" t="s">
        <v>37</v>
      </c>
      <c r="B225" s="429" t="s">
        <v>214</v>
      </c>
      <c r="C225" s="429" t="s">
        <v>1590</v>
      </c>
      <c r="D225" s="430" t="s">
        <v>3001</v>
      </c>
      <c r="E225" s="427" t="s">
        <v>2155</v>
      </c>
      <c r="F225" s="427"/>
      <c r="G225" s="427"/>
      <c r="H225" s="427"/>
      <c r="I225" s="427" t="s">
        <v>1619</v>
      </c>
      <c r="J225" s="427" t="s">
        <v>43</v>
      </c>
      <c r="K225" s="427" t="s">
        <v>43</v>
      </c>
      <c r="L225" s="427" t="s">
        <v>588</v>
      </c>
      <c r="M225" s="427" t="s">
        <v>590</v>
      </c>
      <c r="N225" s="427">
        <v>24.590350000000001</v>
      </c>
      <c r="O225" s="427">
        <v>96.95626</v>
      </c>
      <c r="P225" s="427" t="s">
        <v>573</v>
      </c>
      <c r="Q225" s="427"/>
      <c r="R225" s="439">
        <v>318</v>
      </c>
      <c r="S225" s="432">
        <v>1329</v>
      </c>
      <c r="T225" s="444">
        <v>43628</v>
      </c>
      <c r="U225" s="433"/>
      <c r="V225" s="429" t="s">
        <v>1590</v>
      </c>
      <c r="W225" s="427" t="s">
        <v>2156</v>
      </c>
      <c r="X225" s="430"/>
    </row>
    <row r="226" spans="1:24" s="69" customFormat="1" ht="14.25" customHeight="1">
      <c r="A226" s="427" t="s">
        <v>37</v>
      </c>
      <c r="B226" s="429" t="s">
        <v>214</v>
      </c>
      <c r="C226" s="429" t="s">
        <v>215</v>
      </c>
      <c r="D226" s="430" t="s">
        <v>3001</v>
      </c>
      <c r="E226" s="427" t="s">
        <v>1112</v>
      </c>
      <c r="F226" s="427" t="s">
        <v>1384</v>
      </c>
      <c r="G226" s="427" t="s">
        <v>1384</v>
      </c>
      <c r="H226" s="427" t="s">
        <v>41</v>
      </c>
      <c r="I226" s="427" t="s">
        <v>2116</v>
      </c>
      <c r="J226" s="427" t="s">
        <v>43</v>
      </c>
      <c r="K226" s="427" t="s">
        <v>43</v>
      </c>
      <c r="L226" s="427" t="s">
        <v>43</v>
      </c>
      <c r="M226" s="427" t="s">
        <v>44</v>
      </c>
      <c r="N226" s="427">
        <v>24.200361000000001</v>
      </c>
      <c r="O226" s="427">
        <v>96.807353000000006</v>
      </c>
      <c r="P226" s="427" t="s">
        <v>573</v>
      </c>
      <c r="Q226" s="427" t="s">
        <v>592</v>
      </c>
      <c r="R226" s="439">
        <v>46</v>
      </c>
      <c r="S226" s="432">
        <v>263</v>
      </c>
      <c r="T226" s="444"/>
      <c r="U226" s="433"/>
      <c r="V226" s="427" t="s">
        <v>215</v>
      </c>
      <c r="W226" s="427"/>
      <c r="X226" s="430"/>
    </row>
    <row r="227" spans="1:24" s="69" customFormat="1" ht="14.25" customHeight="1">
      <c r="A227" s="427" t="s">
        <v>37</v>
      </c>
      <c r="B227" s="429" t="s">
        <v>214</v>
      </c>
      <c r="C227" s="429" t="s">
        <v>216</v>
      </c>
      <c r="D227" s="430" t="s">
        <v>3001</v>
      </c>
      <c r="E227" s="427" t="s">
        <v>1113</v>
      </c>
      <c r="F227" s="427" t="s">
        <v>1384</v>
      </c>
      <c r="G227" s="427" t="s">
        <v>1384</v>
      </c>
      <c r="H227" s="427" t="s">
        <v>41</v>
      </c>
      <c r="I227" s="427" t="s">
        <v>42</v>
      </c>
      <c r="J227" s="427" t="s">
        <v>43</v>
      </c>
      <c r="K227" s="427" t="s">
        <v>43</v>
      </c>
      <c r="L227" s="427" t="s">
        <v>43</v>
      </c>
      <c r="M227" s="427" t="s">
        <v>44</v>
      </c>
      <c r="N227" s="427">
        <v>24.200367</v>
      </c>
      <c r="O227" s="427">
        <v>96.807353000000006</v>
      </c>
      <c r="P227" s="427" t="s">
        <v>573</v>
      </c>
      <c r="Q227" s="427" t="s">
        <v>592</v>
      </c>
      <c r="R227" s="439">
        <v>35</v>
      </c>
      <c r="S227" s="432">
        <v>170</v>
      </c>
      <c r="T227" s="444"/>
      <c r="U227" s="433"/>
      <c r="V227" s="427" t="s">
        <v>216</v>
      </c>
      <c r="W227" s="427"/>
      <c r="X227" s="430"/>
    </row>
    <row r="228" spans="1:24" s="69" customFormat="1" ht="14.25" customHeight="1">
      <c r="A228" s="432" t="s">
        <v>37</v>
      </c>
      <c r="B228" s="435" t="s">
        <v>214</v>
      </c>
      <c r="C228" s="436" t="s">
        <v>862</v>
      </c>
      <c r="D228" s="430" t="s">
        <v>2259</v>
      </c>
      <c r="E228" s="427"/>
      <c r="F228" s="427"/>
      <c r="G228" s="427"/>
      <c r="H228" s="427"/>
      <c r="I228" s="427"/>
      <c r="J228" s="427" t="s">
        <v>815</v>
      </c>
      <c r="K228" s="429" t="s">
        <v>43</v>
      </c>
      <c r="L228" s="429" t="s">
        <v>43</v>
      </c>
      <c r="M228" s="427" t="s">
        <v>44</v>
      </c>
      <c r="N228" s="427"/>
      <c r="O228" s="427"/>
      <c r="P228" s="427" t="s">
        <v>573</v>
      </c>
      <c r="Q228" s="427"/>
      <c r="R228" s="439"/>
      <c r="S228" s="432"/>
      <c r="T228" s="444"/>
      <c r="U228" s="433"/>
      <c r="V228" s="427" t="s">
        <v>862</v>
      </c>
      <c r="W228" s="427"/>
      <c r="X228" s="430"/>
    </row>
    <row r="229" spans="1:24" s="69" customFormat="1" ht="14.25" customHeight="1">
      <c r="A229" s="432" t="s">
        <v>37</v>
      </c>
      <c r="B229" s="435" t="s">
        <v>214</v>
      </c>
      <c r="C229" s="436" t="s">
        <v>730</v>
      </c>
      <c r="D229" s="430" t="s">
        <v>2259</v>
      </c>
      <c r="E229" s="427" t="s">
        <v>1121</v>
      </c>
      <c r="F229" s="427"/>
      <c r="G229" s="427"/>
      <c r="H229" s="427"/>
      <c r="I229" s="427">
        <v>0</v>
      </c>
      <c r="J229" s="427" t="s">
        <v>43</v>
      </c>
      <c r="K229" s="429" t="s">
        <v>43</v>
      </c>
      <c r="L229" s="429" t="s">
        <v>43</v>
      </c>
      <c r="M229" s="427" t="s">
        <v>44</v>
      </c>
      <c r="N229" s="427">
        <v>24.224830999999998</v>
      </c>
      <c r="O229" s="427">
        <v>96.793177</v>
      </c>
      <c r="P229" s="427" t="s">
        <v>573</v>
      </c>
      <c r="Q229" s="427" t="s">
        <v>574</v>
      </c>
      <c r="R229" s="439">
        <v>0</v>
      </c>
      <c r="S229" s="432">
        <v>0</v>
      </c>
      <c r="T229" s="444">
        <v>42983</v>
      </c>
      <c r="U229" s="433" t="s">
        <v>731</v>
      </c>
      <c r="V229" s="427"/>
      <c r="W229" s="427" t="s">
        <v>1664</v>
      </c>
      <c r="X229" s="430"/>
    </row>
    <row r="230" spans="1:24" s="69" customFormat="1" ht="14.25" customHeight="1">
      <c r="A230" s="432" t="s">
        <v>37</v>
      </c>
      <c r="B230" s="435" t="s">
        <v>214</v>
      </c>
      <c r="C230" s="436" t="s">
        <v>1596</v>
      </c>
      <c r="D230" s="430"/>
      <c r="E230" s="427"/>
      <c r="F230" s="427"/>
      <c r="G230" s="427"/>
      <c r="H230" s="427"/>
      <c r="I230" s="427"/>
      <c r="J230" s="427" t="s">
        <v>1099</v>
      </c>
      <c r="K230" s="427" t="s">
        <v>43</v>
      </c>
      <c r="L230" s="427" t="s">
        <v>588</v>
      </c>
      <c r="M230" s="427" t="s">
        <v>590</v>
      </c>
      <c r="N230" s="427"/>
      <c r="O230" s="427"/>
      <c r="P230" s="427" t="s">
        <v>573</v>
      </c>
      <c r="Q230" s="427"/>
      <c r="R230" s="439"/>
      <c r="S230" s="432"/>
      <c r="T230" s="444">
        <v>43298</v>
      </c>
      <c r="U230" s="439"/>
      <c r="V230" s="427"/>
      <c r="W230" s="431"/>
      <c r="X230" s="430"/>
    </row>
    <row r="231" spans="1:24" s="69" customFormat="1" ht="14.25" customHeight="1">
      <c r="A231" s="432" t="s">
        <v>37</v>
      </c>
      <c r="B231" s="435" t="s">
        <v>214</v>
      </c>
      <c r="C231" s="436" t="s">
        <v>1594</v>
      </c>
      <c r="D231" s="430"/>
      <c r="E231" s="427"/>
      <c r="F231" s="427"/>
      <c r="G231" s="427"/>
      <c r="H231" s="427"/>
      <c r="I231" s="427"/>
      <c r="J231" s="427" t="s">
        <v>1099</v>
      </c>
      <c r="K231" s="427" t="s">
        <v>43</v>
      </c>
      <c r="L231" s="427" t="s">
        <v>588</v>
      </c>
      <c r="M231" s="427" t="s">
        <v>590</v>
      </c>
      <c r="N231" s="427"/>
      <c r="O231" s="427"/>
      <c r="P231" s="427" t="s">
        <v>573</v>
      </c>
      <c r="Q231" s="427"/>
      <c r="R231" s="439"/>
      <c r="S231" s="432"/>
      <c r="T231" s="444">
        <v>43298</v>
      </c>
      <c r="U231" s="439"/>
      <c r="V231" s="427"/>
      <c r="W231" s="431"/>
      <c r="X231" s="430"/>
    </row>
    <row r="232" spans="1:24" s="69" customFormat="1" ht="14.25" customHeight="1">
      <c r="A232" s="427" t="s">
        <v>37</v>
      </c>
      <c r="B232" s="427" t="s">
        <v>184</v>
      </c>
      <c r="C232" s="389" t="s">
        <v>2249</v>
      </c>
      <c r="D232" s="390"/>
      <c r="E232" s="427"/>
      <c r="F232" s="427"/>
      <c r="G232" s="427"/>
      <c r="H232" s="427"/>
      <c r="I232" s="429"/>
      <c r="J232" s="427" t="s">
        <v>607</v>
      </c>
      <c r="K232" s="427" t="s">
        <v>607</v>
      </c>
      <c r="L232" s="388" t="s">
        <v>826</v>
      </c>
      <c r="M232" s="427" t="s">
        <v>590</v>
      </c>
      <c r="N232" s="427"/>
      <c r="O232" s="427"/>
      <c r="P232" s="17"/>
      <c r="Q232" s="427" t="s">
        <v>2239</v>
      </c>
      <c r="R232" s="431"/>
      <c r="S232" s="431"/>
      <c r="T232" s="444">
        <v>43851</v>
      </c>
      <c r="U232" s="433"/>
      <c r="V232" s="427"/>
      <c r="W232" s="427"/>
      <c r="X232" s="390"/>
    </row>
    <row r="233" spans="1:24" s="69" customFormat="1" ht="14.25" customHeight="1">
      <c r="A233" s="432" t="s">
        <v>37</v>
      </c>
      <c r="B233" s="435" t="s">
        <v>184</v>
      </c>
      <c r="C233" s="436" t="s">
        <v>2247</v>
      </c>
      <c r="D233" s="430"/>
      <c r="E233" s="427"/>
      <c r="F233" s="427"/>
      <c r="G233" s="427"/>
      <c r="H233" s="427"/>
      <c r="I233" s="427"/>
      <c r="J233" s="427" t="s">
        <v>607</v>
      </c>
      <c r="K233" s="427" t="s">
        <v>607</v>
      </c>
      <c r="L233" s="427" t="s">
        <v>826</v>
      </c>
      <c r="M233" s="427" t="s">
        <v>590</v>
      </c>
      <c r="N233" s="427"/>
      <c r="O233" s="427"/>
      <c r="P233" s="427"/>
      <c r="Q233" s="427" t="s">
        <v>2239</v>
      </c>
      <c r="R233" s="439"/>
      <c r="S233" s="432"/>
      <c r="T233" s="444">
        <v>43851</v>
      </c>
      <c r="U233" s="439"/>
      <c r="V233" s="427"/>
      <c r="W233" s="431"/>
      <c r="X233" s="430"/>
    </row>
    <row r="234" spans="1:24" s="69" customFormat="1" ht="14.25" customHeight="1">
      <c r="A234" s="427" t="s">
        <v>37</v>
      </c>
      <c r="B234" s="427" t="s">
        <v>184</v>
      </c>
      <c r="C234" s="427" t="s">
        <v>2114</v>
      </c>
      <c r="D234" s="430" t="s">
        <v>3001</v>
      </c>
      <c r="E234" s="427" t="s">
        <v>2115</v>
      </c>
      <c r="F234" s="427">
        <v>0</v>
      </c>
      <c r="G234" s="427">
        <v>0</v>
      </c>
      <c r="H234" s="427"/>
      <c r="I234" s="427" t="s">
        <v>1619</v>
      </c>
      <c r="J234" s="427" t="s">
        <v>43</v>
      </c>
      <c r="K234" s="427" t="s">
        <v>43</v>
      </c>
      <c r="L234" s="427" t="s">
        <v>588</v>
      </c>
      <c r="M234" s="427" t="s">
        <v>44</v>
      </c>
      <c r="N234" s="427">
        <v>26.299828999999999</v>
      </c>
      <c r="O234" s="427">
        <v>97.487258999999995</v>
      </c>
      <c r="P234" s="17" t="s">
        <v>573</v>
      </c>
      <c r="Q234" s="427" t="s">
        <v>2085</v>
      </c>
      <c r="R234" s="439">
        <v>31</v>
      </c>
      <c r="S234" s="432">
        <v>171</v>
      </c>
      <c r="T234" s="444">
        <v>43579</v>
      </c>
      <c r="U234" s="433"/>
      <c r="V234" s="427"/>
      <c r="W234" s="427"/>
      <c r="X234" s="430"/>
    </row>
    <row r="235" spans="1:24" s="69" customFormat="1" ht="14.25" customHeight="1">
      <c r="A235" s="427" t="s">
        <v>37</v>
      </c>
      <c r="B235" s="427" t="s">
        <v>184</v>
      </c>
      <c r="C235" s="427" t="s">
        <v>2250</v>
      </c>
      <c r="D235" s="390"/>
      <c r="E235" s="427"/>
      <c r="F235" s="427"/>
      <c r="G235" s="427"/>
      <c r="H235" s="427"/>
      <c r="I235" s="427"/>
      <c r="J235" s="427" t="s">
        <v>607</v>
      </c>
      <c r="K235" s="427" t="s">
        <v>607</v>
      </c>
      <c r="L235" s="427" t="s">
        <v>826</v>
      </c>
      <c r="M235" s="427" t="s">
        <v>590</v>
      </c>
      <c r="N235" s="427"/>
      <c r="O235" s="427"/>
      <c r="P235" s="427"/>
      <c r="Q235" s="427" t="s">
        <v>2239</v>
      </c>
      <c r="R235" s="431"/>
      <c r="S235" s="432"/>
      <c r="T235" s="444">
        <v>43851</v>
      </c>
      <c r="U235" s="433"/>
      <c r="V235" s="427"/>
      <c r="W235" s="427"/>
      <c r="X235" s="390"/>
    </row>
    <row r="236" spans="1:24" s="69" customFormat="1" ht="14.25" customHeight="1">
      <c r="A236" s="427" t="s">
        <v>37</v>
      </c>
      <c r="B236" s="429" t="s">
        <v>184</v>
      </c>
      <c r="C236" s="429" t="s">
        <v>185</v>
      </c>
      <c r="D236" s="430" t="s">
        <v>3001</v>
      </c>
      <c r="E236" s="427" t="s">
        <v>1252</v>
      </c>
      <c r="F236" s="427">
        <v>0</v>
      </c>
      <c r="G236" s="427">
        <v>0</v>
      </c>
      <c r="H236" s="427" t="s">
        <v>41</v>
      </c>
      <c r="I236" s="427" t="s">
        <v>2117</v>
      </c>
      <c r="J236" s="427" t="s">
        <v>43</v>
      </c>
      <c r="K236" s="427" t="s">
        <v>43</v>
      </c>
      <c r="L236" s="427" t="s">
        <v>43</v>
      </c>
      <c r="M236" s="427" t="s">
        <v>590</v>
      </c>
      <c r="N236" s="427">
        <v>26.569633</v>
      </c>
      <c r="O236" s="427">
        <v>97.745480999999998</v>
      </c>
      <c r="P236" s="17" t="s">
        <v>573</v>
      </c>
      <c r="Q236" s="427" t="s">
        <v>574</v>
      </c>
      <c r="R236" s="439">
        <v>123</v>
      </c>
      <c r="S236" s="432">
        <v>646</v>
      </c>
      <c r="T236" s="444"/>
      <c r="U236" s="433"/>
      <c r="V236" s="427" t="s">
        <v>799</v>
      </c>
      <c r="W236" s="427"/>
      <c r="X236" s="430"/>
    </row>
    <row r="237" spans="1:24" s="69" customFormat="1" ht="14.25" customHeight="1">
      <c r="A237" s="429" t="s">
        <v>37</v>
      </c>
      <c r="B237" s="429" t="s">
        <v>184</v>
      </c>
      <c r="C237" s="429" t="s">
        <v>850</v>
      </c>
      <c r="D237" s="390" t="s">
        <v>1299</v>
      </c>
      <c r="E237" s="427"/>
      <c r="F237" s="427"/>
      <c r="G237" s="427"/>
      <c r="H237" s="427"/>
      <c r="I237" s="429"/>
      <c r="J237" s="427" t="s">
        <v>43</v>
      </c>
      <c r="K237" s="427" t="s">
        <v>43</v>
      </c>
      <c r="L237" s="427" t="s">
        <v>815</v>
      </c>
      <c r="M237" s="427" t="s">
        <v>44</v>
      </c>
      <c r="N237" s="427"/>
      <c r="O237" s="427"/>
      <c r="P237" s="427" t="s">
        <v>573</v>
      </c>
      <c r="Q237" s="427"/>
      <c r="R237" s="431"/>
      <c r="S237" s="431"/>
      <c r="T237" s="444"/>
      <c r="U237" s="433"/>
      <c r="V237" s="427" t="s">
        <v>850</v>
      </c>
      <c r="W237" s="427"/>
      <c r="X237" s="390"/>
    </row>
    <row r="238" spans="1:24" s="69" customFormat="1" ht="14.25" customHeight="1">
      <c r="A238" s="432" t="s">
        <v>37</v>
      </c>
      <c r="B238" s="435" t="s">
        <v>184</v>
      </c>
      <c r="C238" s="436" t="s">
        <v>187</v>
      </c>
      <c r="D238" s="430" t="s">
        <v>3001</v>
      </c>
      <c r="E238" s="427" t="s">
        <v>1251</v>
      </c>
      <c r="F238" s="427">
        <v>0</v>
      </c>
      <c r="G238" s="427">
        <v>0</v>
      </c>
      <c r="H238" s="427" t="s">
        <v>41</v>
      </c>
      <c r="I238" s="427" t="s">
        <v>2117</v>
      </c>
      <c r="J238" s="427" t="s">
        <v>43</v>
      </c>
      <c r="K238" s="427" t="s">
        <v>43</v>
      </c>
      <c r="L238" s="427" t="s">
        <v>43</v>
      </c>
      <c r="M238" s="427" t="s">
        <v>590</v>
      </c>
      <c r="N238" s="427">
        <v>26.548506</v>
      </c>
      <c r="O238" s="427">
        <v>97.75609</v>
      </c>
      <c r="P238" s="427" t="s">
        <v>573</v>
      </c>
      <c r="Q238" s="427" t="s">
        <v>574</v>
      </c>
      <c r="R238" s="439">
        <v>68</v>
      </c>
      <c r="S238" s="432">
        <v>353</v>
      </c>
      <c r="T238" s="444">
        <v>42788</v>
      </c>
      <c r="U238" s="439"/>
      <c r="V238" s="427"/>
      <c r="W238" s="431"/>
      <c r="X238" s="430"/>
    </row>
    <row r="239" spans="1:24" s="69" customFormat="1" ht="14.25" customHeight="1">
      <c r="A239" s="429" t="s">
        <v>37</v>
      </c>
      <c r="B239" s="429" t="s">
        <v>184</v>
      </c>
      <c r="C239" s="429" t="s">
        <v>184</v>
      </c>
      <c r="D239" s="430" t="s">
        <v>2772</v>
      </c>
      <c r="E239" s="429" t="s">
        <v>1250</v>
      </c>
      <c r="F239" s="427" t="s">
        <v>1467</v>
      </c>
      <c r="G239" s="427">
        <v>0</v>
      </c>
      <c r="H239" s="429"/>
      <c r="I239" s="429" t="s">
        <v>1619</v>
      </c>
      <c r="J239" s="429" t="s">
        <v>43</v>
      </c>
      <c r="K239" s="429" t="s">
        <v>43</v>
      </c>
      <c r="L239" s="427" t="s">
        <v>572</v>
      </c>
      <c r="M239" s="429" t="s">
        <v>44</v>
      </c>
      <c r="N239" s="429">
        <v>26.541930000000001</v>
      </c>
      <c r="O239" s="429">
        <v>97.568836000000005</v>
      </c>
      <c r="P239" s="427" t="s">
        <v>573</v>
      </c>
      <c r="Q239" s="429" t="s">
        <v>574</v>
      </c>
      <c r="R239" s="439">
        <v>5</v>
      </c>
      <c r="S239" s="432">
        <v>32</v>
      </c>
      <c r="T239" s="445"/>
      <c r="U239" s="437" t="s">
        <v>798</v>
      </c>
      <c r="V239" s="427" t="s">
        <v>184</v>
      </c>
      <c r="W239" s="427"/>
      <c r="X239" s="430"/>
    </row>
    <row r="240" spans="1:24" s="69" customFormat="1" ht="14.25" customHeight="1">
      <c r="A240" s="436" t="s">
        <v>37</v>
      </c>
      <c r="B240" s="435" t="s">
        <v>184</v>
      </c>
      <c r="C240" s="436" t="s">
        <v>2248</v>
      </c>
      <c r="D240" s="391"/>
      <c r="E240" s="429"/>
      <c r="F240" s="429"/>
      <c r="G240" s="429"/>
      <c r="H240" s="429"/>
      <c r="I240" s="429"/>
      <c r="J240" s="429" t="s">
        <v>607</v>
      </c>
      <c r="K240" s="429" t="s">
        <v>607</v>
      </c>
      <c r="L240" s="429" t="s">
        <v>826</v>
      </c>
      <c r="M240" s="429" t="s">
        <v>590</v>
      </c>
      <c r="N240" s="429"/>
      <c r="O240" s="429"/>
      <c r="P240" s="427"/>
      <c r="Q240" s="429" t="s">
        <v>2239</v>
      </c>
      <c r="R240" s="440"/>
      <c r="S240" s="436"/>
      <c r="T240" s="445">
        <v>43851</v>
      </c>
      <c r="U240" s="437"/>
      <c r="V240" s="429"/>
      <c r="W240" s="427"/>
      <c r="X240" s="391"/>
    </row>
    <row r="241" spans="1:24" s="69" customFormat="1" ht="14.25" customHeight="1">
      <c r="A241" s="436" t="s">
        <v>37</v>
      </c>
      <c r="B241" s="435" t="s">
        <v>184</v>
      </c>
      <c r="C241" s="436" t="s">
        <v>872</v>
      </c>
      <c r="D241" s="430" t="s">
        <v>2259</v>
      </c>
      <c r="E241" s="427"/>
      <c r="F241" s="427"/>
      <c r="G241" s="427"/>
      <c r="H241" s="427"/>
      <c r="I241" s="427"/>
      <c r="J241" s="427" t="s">
        <v>1099</v>
      </c>
      <c r="K241" s="429" t="s">
        <v>43</v>
      </c>
      <c r="L241" s="429" t="s">
        <v>43</v>
      </c>
      <c r="M241" s="427" t="s">
        <v>44</v>
      </c>
      <c r="N241" s="427"/>
      <c r="O241" s="427"/>
      <c r="P241" s="427" t="s">
        <v>573</v>
      </c>
      <c r="Q241" s="427" t="s">
        <v>574</v>
      </c>
      <c r="R241" s="439"/>
      <c r="S241" s="432"/>
      <c r="T241" s="444">
        <v>42788</v>
      </c>
      <c r="U241" s="437"/>
      <c r="V241" s="427"/>
      <c r="W241" s="427"/>
      <c r="X241" s="430"/>
    </row>
    <row r="242" spans="1:24" s="69" customFormat="1" ht="14.25" customHeight="1">
      <c r="A242" s="427" t="s">
        <v>37</v>
      </c>
      <c r="B242" s="429" t="s">
        <v>863</v>
      </c>
      <c r="C242" s="429" t="s">
        <v>1576</v>
      </c>
      <c r="D242" s="390"/>
      <c r="E242" s="427"/>
      <c r="F242" s="427"/>
      <c r="G242" s="427"/>
      <c r="H242" s="427"/>
      <c r="I242" s="427"/>
      <c r="J242" s="427" t="s">
        <v>1099</v>
      </c>
      <c r="K242" s="427" t="s">
        <v>43</v>
      </c>
      <c r="L242" s="429" t="s">
        <v>588</v>
      </c>
      <c r="M242" s="427"/>
      <c r="N242" s="427"/>
      <c r="O242" s="427"/>
      <c r="P242" s="427" t="s">
        <v>573</v>
      </c>
      <c r="Q242" s="427" t="s">
        <v>1530</v>
      </c>
      <c r="R242" s="431"/>
      <c r="S242" s="431"/>
      <c r="T242" s="444">
        <v>43285</v>
      </c>
      <c r="U242" s="162" t="s">
        <v>1581</v>
      </c>
      <c r="V242" s="427"/>
      <c r="W242" s="361"/>
      <c r="X242" s="390"/>
    </row>
    <row r="243" spans="1:24" s="69" customFormat="1" ht="14.25" customHeight="1">
      <c r="A243" s="427" t="s">
        <v>37</v>
      </c>
      <c r="B243" s="429" t="s">
        <v>863</v>
      </c>
      <c r="C243" s="429" t="s">
        <v>1577</v>
      </c>
      <c r="D243" s="390"/>
      <c r="E243" s="427"/>
      <c r="F243" s="427"/>
      <c r="G243" s="427"/>
      <c r="H243" s="427"/>
      <c r="I243" s="427"/>
      <c r="J243" s="427" t="s">
        <v>1099</v>
      </c>
      <c r="K243" s="427" t="s">
        <v>43</v>
      </c>
      <c r="L243" s="427" t="s">
        <v>588</v>
      </c>
      <c r="M243" s="427"/>
      <c r="N243" s="427"/>
      <c r="O243" s="427"/>
      <c r="P243" s="427" t="s">
        <v>573</v>
      </c>
      <c r="Q243" s="427" t="s">
        <v>1530</v>
      </c>
      <c r="R243" s="431"/>
      <c r="S243" s="431"/>
      <c r="T243" s="444">
        <v>43285</v>
      </c>
      <c r="U243" s="433" t="s">
        <v>1581</v>
      </c>
      <c r="V243" s="427"/>
      <c r="W243" s="427"/>
      <c r="X243" s="390"/>
    </row>
    <row r="244" spans="1:24" s="69" customFormat="1" ht="14.25" customHeight="1">
      <c r="A244" s="427" t="s">
        <v>37</v>
      </c>
      <c r="B244" s="429" t="s">
        <v>863</v>
      </c>
      <c r="C244" s="429" t="s">
        <v>1717</v>
      </c>
      <c r="D244" s="430" t="s">
        <v>3001</v>
      </c>
      <c r="E244" s="427" t="s">
        <v>1266</v>
      </c>
      <c r="F244" s="427" t="s">
        <v>863</v>
      </c>
      <c r="G244" s="427">
        <v>0</v>
      </c>
      <c r="H244" s="427" t="s">
        <v>41</v>
      </c>
      <c r="I244" s="427" t="s">
        <v>1035</v>
      </c>
      <c r="J244" s="427" t="s">
        <v>43</v>
      </c>
      <c r="K244" s="427" t="s">
        <v>43</v>
      </c>
      <c r="L244" s="429" t="s">
        <v>43</v>
      </c>
      <c r="M244" s="427" t="s">
        <v>44</v>
      </c>
      <c r="N244" s="427">
        <v>26.350176000000001</v>
      </c>
      <c r="O244" s="427">
        <v>96.711387999999999</v>
      </c>
      <c r="P244" s="427" t="s">
        <v>573</v>
      </c>
      <c r="Q244" s="427" t="s">
        <v>667</v>
      </c>
      <c r="R244" s="439">
        <v>133</v>
      </c>
      <c r="S244" s="432">
        <v>622</v>
      </c>
      <c r="T244" s="444">
        <v>43444</v>
      </c>
      <c r="U244" s="433" t="s">
        <v>1716</v>
      </c>
      <c r="V244" s="427" t="s">
        <v>867</v>
      </c>
      <c r="W244" s="361" t="s">
        <v>1716</v>
      </c>
      <c r="X244" s="430"/>
    </row>
    <row r="245" spans="1:24" s="69" customFormat="1" ht="14.25" customHeight="1">
      <c r="A245" s="427" t="s">
        <v>37</v>
      </c>
      <c r="B245" s="429" t="s">
        <v>863</v>
      </c>
      <c r="C245" s="429" t="s">
        <v>1567</v>
      </c>
      <c r="D245" s="390" t="s">
        <v>1719</v>
      </c>
      <c r="E245" s="434" t="s">
        <v>1263</v>
      </c>
      <c r="F245" s="427" t="s">
        <v>863</v>
      </c>
      <c r="G245" s="427">
        <v>0</v>
      </c>
      <c r="H245" s="427"/>
      <c r="I245" s="427" t="s">
        <v>1619</v>
      </c>
      <c r="J245" s="427" t="s">
        <v>43</v>
      </c>
      <c r="K245" s="427" t="s">
        <v>43</v>
      </c>
      <c r="L245" s="427" t="s">
        <v>572</v>
      </c>
      <c r="M245" s="427" t="s">
        <v>44</v>
      </c>
      <c r="N245" s="427"/>
      <c r="O245" s="427"/>
      <c r="P245" s="427" t="s">
        <v>573</v>
      </c>
      <c r="Q245" s="427" t="s">
        <v>667</v>
      </c>
      <c r="R245" s="431">
        <v>42</v>
      </c>
      <c r="S245" s="431">
        <v>190</v>
      </c>
      <c r="T245" s="444">
        <v>43444</v>
      </c>
      <c r="U245" s="433" t="s">
        <v>2120</v>
      </c>
      <c r="V245" s="427"/>
      <c r="W245" s="361" t="s">
        <v>1718</v>
      </c>
      <c r="X245" s="390"/>
    </row>
    <row r="246" spans="1:24" s="69" customFormat="1" ht="14.25" customHeight="1">
      <c r="A246" s="436" t="s">
        <v>37</v>
      </c>
      <c r="B246" s="435" t="s">
        <v>863</v>
      </c>
      <c r="C246" s="429" t="s">
        <v>865</v>
      </c>
      <c r="D246" s="430" t="s">
        <v>3001</v>
      </c>
      <c r="E246" s="429" t="s">
        <v>1264</v>
      </c>
      <c r="F246" s="427" t="s">
        <v>863</v>
      </c>
      <c r="G246" s="427">
        <v>0</v>
      </c>
      <c r="H246" s="427" t="s">
        <v>41</v>
      </c>
      <c r="I246" s="427" t="s">
        <v>1035</v>
      </c>
      <c r="J246" s="427" t="s">
        <v>43</v>
      </c>
      <c r="K246" s="427" t="s">
        <v>43</v>
      </c>
      <c r="L246" s="427" t="s">
        <v>43</v>
      </c>
      <c r="M246" s="427" t="s">
        <v>44</v>
      </c>
      <c r="N246" s="427">
        <v>26.351690999999999</v>
      </c>
      <c r="O246" s="427">
        <v>96.690871999999999</v>
      </c>
      <c r="P246" s="427" t="s">
        <v>573</v>
      </c>
      <c r="Q246" s="427" t="s">
        <v>667</v>
      </c>
      <c r="R246" s="439">
        <v>35</v>
      </c>
      <c r="S246" s="432">
        <v>161</v>
      </c>
      <c r="T246" s="444">
        <v>42983</v>
      </c>
      <c r="U246" s="433" t="s">
        <v>864</v>
      </c>
      <c r="V246" s="427"/>
      <c r="W246" s="427" t="s">
        <v>1748</v>
      </c>
      <c r="X246" s="430"/>
    </row>
    <row r="247" spans="1:24" s="69" customFormat="1" ht="14.25" customHeight="1">
      <c r="A247" s="427" t="s">
        <v>37</v>
      </c>
      <c r="B247" s="427" t="s">
        <v>863</v>
      </c>
      <c r="C247" s="427" t="s">
        <v>1615</v>
      </c>
      <c r="D247" s="430" t="s">
        <v>3001</v>
      </c>
      <c r="E247" s="427" t="s">
        <v>1265</v>
      </c>
      <c r="F247" s="427" t="s">
        <v>863</v>
      </c>
      <c r="G247" s="427">
        <v>0</v>
      </c>
      <c r="H247" s="427" t="s">
        <v>41</v>
      </c>
      <c r="I247" s="427" t="s">
        <v>2117</v>
      </c>
      <c r="J247" s="427" t="s">
        <v>43</v>
      </c>
      <c r="K247" s="427" t="s">
        <v>43</v>
      </c>
      <c r="L247" s="427" t="s">
        <v>43</v>
      </c>
      <c r="M247" s="427" t="s">
        <v>44</v>
      </c>
      <c r="N247" s="427">
        <v>26.356223</v>
      </c>
      <c r="O247" s="427">
        <v>96.721439000000004</v>
      </c>
      <c r="P247" s="427" t="s">
        <v>573</v>
      </c>
      <c r="Q247" s="427" t="s">
        <v>667</v>
      </c>
      <c r="R247" s="439">
        <v>110</v>
      </c>
      <c r="S247" s="432">
        <v>486</v>
      </c>
      <c r="T247" s="444">
        <v>42983</v>
      </c>
      <c r="U247" s="433" t="s">
        <v>866</v>
      </c>
      <c r="V247" s="427"/>
      <c r="W247" s="427" t="s">
        <v>1749</v>
      </c>
      <c r="X247" s="430"/>
    </row>
    <row r="248" spans="1:24" s="69" customFormat="1" ht="14.25" customHeight="1">
      <c r="A248" s="427" t="s">
        <v>37</v>
      </c>
      <c r="B248" s="427" t="s">
        <v>863</v>
      </c>
      <c r="C248" s="427" t="s">
        <v>1539</v>
      </c>
      <c r="D248" s="390"/>
      <c r="E248" s="427"/>
      <c r="F248" s="427"/>
      <c r="G248" s="427"/>
      <c r="H248" s="427"/>
      <c r="I248" s="427"/>
      <c r="J248" s="427" t="s">
        <v>1099</v>
      </c>
      <c r="K248" s="427" t="s">
        <v>43</v>
      </c>
      <c r="L248" s="427" t="s">
        <v>43</v>
      </c>
      <c r="M248" s="427" t="s">
        <v>44</v>
      </c>
      <c r="N248" s="427"/>
      <c r="O248" s="427"/>
      <c r="P248" s="427" t="s">
        <v>573</v>
      </c>
      <c r="Q248" s="427" t="s">
        <v>1530</v>
      </c>
      <c r="R248" s="431"/>
      <c r="S248" s="432"/>
      <c r="T248" s="444">
        <v>43270</v>
      </c>
      <c r="U248" s="433"/>
      <c r="V248" s="427"/>
      <c r="W248" s="427"/>
      <c r="X248" s="390"/>
    </row>
    <row r="249" spans="1:24" s="69" customFormat="1" ht="14.25" customHeight="1">
      <c r="A249" s="427" t="s">
        <v>37</v>
      </c>
      <c r="B249" s="427" t="s">
        <v>142</v>
      </c>
      <c r="C249" s="427" t="s">
        <v>236</v>
      </c>
      <c r="D249" s="430" t="s">
        <v>3001</v>
      </c>
      <c r="E249" s="427" t="s">
        <v>1165</v>
      </c>
      <c r="F249" s="427" t="s">
        <v>1413</v>
      </c>
      <c r="G249" s="427" t="s">
        <v>1411</v>
      </c>
      <c r="H249" s="427" t="s">
        <v>41</v>
      </c>
      <c r="I249" s="427" t="s">
        <v>1035</v>
      </c>
      <c r="J249" s="427" t="s">
        <v>43</v>
      </c>
      <c r="K249" s="427" t="s">
        <v>43</v>
      </c>
      <c r="L249" s="427" t="s">
        <v>43</v>
      </c>
      <c r="M249" s="427" t="s">
        <v>590</v>
      </c>
      <c r="N249" s="427">
        <v>25.220278</v>
      </c>
      <c r="O249" s="427">
        <v>97.915833000000006</v>
      </c>
      <c r="P249" s="427" t="s">
        <v>573</v>
      </c>
      <c r="Q249" s="427" t="s">
        <v>592</v>
      </c>
      <c r="R249" s="439">
        <v>118</v>
      </c>
      <c r="S249" s="432">
        <v>419</v>
      </c>
      <c r="T249" s="444"/>
      <c r="U249" s="433"/>
      <c r="V249" s="427" t="s">
        <v>236</v>
      </c>
      <c r="W249" s="427"/>
      <c r="X249" s="430"/>
    </row>
    <row r="250" spans="1:24" s="69" customFormat="1" ht="14.25" customHeight="1">
      <c r="A250" s="427" t="s">
        <v>37</v>
      </c>
      <c r="B250" s="427" t="s">
        <v>142</v>
      </c>
      <c r="C250" s="427" t="s">
        <v>219</v>
      </c>
      <c r="D250" s="390"/>
      <c r="E250" s="427"/>
      <c r="F250" s="427"/>
      <c r="G250" s="427"/>
      <c r="H250" s="427"/>
      <c r="I250" s="429"/>
      <c r="J250" s="427" t="s">
        <v>1099</v>
      </c>
      <c r="K250" s="427" t="s">
        <v>43</v>
      </c>
      <c r="L250" s="427" t="s">
        <v>755</v>
      </c>
      <c r="M250" s="427" t="s">
        <v>590</v>
      </c>
      <c r="N250" s="427"/>
      <c r="O250" s="427"/>
      <c r="P250" s="427" t="s">
        <v>573</v>
      </c>
      <c r="Q250" s="427" t="s">
        <v>592</v>
      </c>
      <c r="R250" s="431"/>
      <c r="S250" s="431"/>
      <c r="T250" s="444"/>
      <c r="U250" s="433" t="s">
        <v>823</v>
      </c>
      <c r="V250" s="427" t="s">
        <v>219</v>
      </c>
      <c r="W250" s="427"/>
      <c r="X250" s="390"/>
    </row>
    <row r="251" spans="1:24" s="69" customFormat="1" ht="14.25" customHeight="1">
      <c r="A251" s="432" t="s">
        <v>37</v>
      </c>
      <c r="B251" s="435" t="s">
        <v>142</v>
      </c>
      <c r="C251" s="436" t="s">
        <v>2781</v>
      </c>
      <c r="D251" s="430" t="s">
        <v>3001</v>
      </c>
      <c r="E251" s="427" t="s">
        <v>2792</v>
      </c>
      <c r="F251" s="427" t="s">
        <v>2795</v>
      </c>
      <c r="G251" s="427" t="s">
        <v>2174</v>
      </c>
      <c r="H251" s="427"/>
      <c r="I251" s="926" t="s">
        <v>2802</v>
      </c>
      <c r="J251" s="427" t="s">
        <v>43</v>
      </c>
      <c r="K251" s="427" t="s">
        <v>43</v>
      </c>
      <c r="L251" s="427" t="s">
        <v>588</v>
      </c>
      <c r="M251" s="427" t="s">
        <v>44</v>
      </c>
      <c r="N251" s="427"/>
      <c r="O251" s="427"/>
      <c r="P251" s="427"/>
      <c r="Q251" s="427" t="s">
        <v>2801</v>
      </c>
      <c r="R251" s="439">
        <v>48</v>
      </c>
      <c r="S251" s="432">
        <v>240</v>
      </c>
      <c r="T251" s="444">
        <v>44662</v>
      </c>
      <c r="U251" s="433" t="s">
        <v>2800</v>
      </c>
      <c r="V251" s="431"/>
      <c r="W251" s="716" t="s">
        <v>2805</v>
      </c>
      <c r="X251" s="430"/>
    </row>
    <row r="252" spans="1:24" s="69" customFormat="1" ht="14.25" customHeight="1">
      <c r="A252" s="432" t="s">
        <v>37</v>
      </c>
      <c r="B252" s="435" t="s">
        <v>142</v>
      </c>
      <c r="C252" s="436" t="s">
        <v>2782</v>
      </c>
      <c r="D252" s="430" t="s">
        <v>3001</v>
      </c>
      <c r="E252" s="427" t="s">
        <v>2793</v>
      </c>
      <c r="F252" s="427" t="s">
        <v>2795</v>
      </c>
      <c r="G252" s="427" t="s">
        <v>2174</v>
      </c>
      <c r="H252" s="427"/>
      <c r="I252" s="926" t="s">
        <v>2802</v>
      </c>
      <c r="J252" s="427" t="s">
        <v>43</v>
      </c>
      <c r="K252" s="427" t="s">
        <v>43</v>
      </c>
      <c r="L252" s="427" t="s">
        <v>588</v>
      </c>
      <c r="M252" s="427" t="s">
        <v>44</v>
      </c>
      <c r="N252" s="427"/>
      <c r="O252" s="427"/>
      <c r="P252" s="427"/>
      <c r="Q252" s="427" t="s">
        <v>2801</v>
      </c>
      <c r="R252" s="439">
        <v>34</v>
      </c>
      <c r="S252" s="432">
        <v>189</v>
      </c>
      <c r="T252" s="444">
        <v>44662</v>
      </c>
      <c r="U252" s="433" t="s">
        <v>2800</v>
      </c>
      <c r="V252" s="431"/>
      <c r="W252" s="716" t="s">
        <v>2805</v>
      </c>
      <c r="X252" s="430"/>
    </row>
    <row r="253" spans="1:24" s="69" customFormat="1" ht="14.25" customHeight="1">
      <c r="A253" s="427" t="s">
        <v>37</v>
      </c>
      <c r="B253" s="427" t="s">
        <v>142</v>
      </c>
      <c r="C253" s="427" t="s">
        <v>220</v>
      </c>
      <c r="D253" s="390"/>
      <c r="E253" s="427"/>
      <c r="F253" s="427"/>
      <c r="G253" s="427"/>
      <c r="H253" s="427"/>
      <c r="I253" s="427"/>
      <c r="J253" s="427" t="s">
        <v>1099</v>
      </c>
      <c r="K253" s="427" t="s">
        <v>43</v>
      </c>
      <c r="L253" s="427" t="s">
        <v>755</v>
      </c>
      <c r="M253" s="427" t="s">
        <v>590</v>
      </c>
      <c r="N253" s="427"/>
      <c r="O253" s="427"/>
      <c r="P253" s="427" t="s">
        <v>573</v>
      </c>
      <c r="Q253" s="427" t="s">
        <v>592</v>
      </c>
      <c r="R253" s="431"/>
      <c r="S253" s="431"/>
      <c r="T253" s="444"/>
      <c r="U253" s="433" t="s">
        <v>823</v>
      </c>
      <c r="V253" s="427" t="s">
        <v>220</v>
      </c>
      <c r="W253" s="427"/>
      <c r="X253" s="390"/>
    </row>
    <row r="254" spans="1:24" s="69" customFormat="1" ht="14.25" customHeight="1">
      <c r="A254" s="427" t="s">
        <v>37</v>
      </c>
      <c r="B254" s="427" t="s">
        <v>142</v>
      </c>
      <c r="C254" s="427" t="s">
        <v>771</v>
      </c>
      <c r="D254" s="430" t="s">
        <v>3001</v>
      </c>
      <c r="E254" s="427" t="s">
        <v>1172</v>
      </c>
      <c r="F254" s="427" t="s">
        <v>1465</v>
      </c>
      <c r="G254" s="427" t="s">
        <v>1466</v>
      </c>
      <c r="H254" s="427"/>
      <c r="I254" s="427" t="s">
        <v>1619</v>
      </c>
      <c r="J254" s="427" t="s">
        <v>43</v>
      </c>
      <c r="K254" s="427" t="s">
        <v>43</v>
      </c>
      <c r="L254" s="427" t="s">
        <v>588</v>
      </c>
      <c r="M254" s="427" t="s">
        <v>44</v>
      </c>
      <c r="N254" s="427">
        <v>25.305008999999998</v>
      </c>
      <c r="O254" s="427">
        <v>97.430321000000006</v>
      </c>
      <c r="P254" s="427" t="s">
        <v>573</v>
      </c>
      <c r="Q254" s="427" t="s">
        <v>611</v>
      </c>
      <c r="R254" s="439">
        <v>60</v>
      </c>
      <c r="S254" s="432">
        <v>371</v>
      </c>
      <c r="T254" s="444">
        <v>42916</v>
      </c>
      <c r="U254" s="433" t="s">
        <v>772</v>
      </c>
      <c r="V254" s="427"/>
      <c r="W254" s="427"/>
      <c r="X254" s="430"/>
    </row>
    <row r="255" spans="1:24" s="69" customFormat="1" ht="14.25" customHeight="1">
      <c r="A255" s="427" t="s">
        <v>37</v>
      </c>
      <c r="B255" s="427" t="s">
        <v>142</v>
      </c>
      <c r="C255" s="427" t="s">
        <v>268</v>
      </c>
      <c r="D255" s="430" t="s">
        <v>3001</v>
      </c>
      <c r="E255" s="429" t="s">
        <v>1174</v>
      </c>
      <c r="F255" s="427" t="s">
        <v>1418</v>
      </c>
      <c r="G255" s="427" t="s">
        <v>1418</v>
      </c>
      <c r="H255" s="427" t="s">
        <v>41</v>
      </c>
      <c r="I255" s="429" t="s">
        <v>242</v>
      </c>
      <c r="J255" s="427" t="s">
        <v>43</v>
      </c>
      <c r="K255" s="427" t="s">
        <v>43</v>
      </c>
      <c r="L255" s="427" t="s">
        <v>43</v>
      </c>
      <c r="M255" s="427" t="s">
        <v>44</v>
      </c>
      <c r="N255" s="427">
        <v>25.321710740740698</v>
      </c>
      <c r="O255" s="427">
        <v>97.404195925926004</v>
      </c>
      <c r="P255" s="427" t="s">
        <v>573</v>
      </c>
      <c r="Q255" s="427" t="s">
        <v>592</v>
      </c>
      <c r="R255" s="439">
        <v>59</v>
      </c>
      <c r="S255" s="432">
        <v>291</v>
      </c>
      <c r="T255" s="444"/>
      <c r="U255" s="433"/>
      <c r="V255" s="427" t="s">
        <v>268</v>
      </c>
      <c r="W255" s="427"/>
      <c r="X255" s="430"/>
    </row>
    <row r="256" spans="1:24" s="69" customFormat="1" ht="14.25" customHeight="1">
      <c r="A256" s="427" t="s">
        <v>37</v>
      </c>
      <c r="B256" s="427" t="s">
        <v>142</v>
      </c>
      <c r="C256" s="427" t="s">
        <v>175</v>
      </c>
      <c r="D256" s="430" t="s">
        <v>3001</v>
      </c>
      <c r="E256" s="429" t="s">
        <v>1164</v>
      </c>
      <c r="F256" s="427" t="s">
        <v>1411</v>
      </c>
      <c r="G256" s="427" t="s">
        <v>1412</v>
      </c>
      <c r="H256" s="427" t="s">
        <v>41</v>
      </c>
      <c r="I256" s="427" t="s">
        <v>2117</v>
      </c>
      <c r="J256" s="427" t="s">
        <v>43</v>
      </c>
      <c r="K256" s="427" t="s">
        <v>43</v>
      </c>
      <c r="L256" s="427" t="s">
        <v>43</v>
      </c>
      <c r="M256" s="427" t="s">
        <v>590</v>
      </c>
      <c r="N256" s="427">
        <v>25.200333000000001</v>
      </c>
      <c r="O256" s="427">
        <v>97.807182999999995</v>
      </c>
      <c r="P256" s="427" t="s">
        <v>573</v>
      </c>
      <c r="Q256" s="427" t="s">
        <v>592</v>
      </c>
      <c r="R256" s="439">
        <v>138</v>
      </c>
      <c r="S256" s="432">
        <v>966</v>
      </c>
      <c r="T256" s="444"/>
      <c r="U256" s="433"/>
      <c r="V256" s="427" t="s">
        <v>175</v>
      </c>
      <c r="W256" s="361"/>
      <c r="X256" s="430"/>
    </row>
    <row r="257" spans="1:24" s="69" customFormat="1" ht="14.25" customHeight="1">
      <c r="A257" s="427" t="s">
        <v>37</v>
      </c>
      <c r="B257" s="427" t="s">
        <v>142</v>
      </c>
      <c r="C257" s="427" t="s">
        <v>224</v>
      </c>
      <c r="D257" s="430" t="s">
        <v>3001</v>
      </c>
      <c r="E257" s="427" t="s">
        <v>1152</v>
      </c>
      <c r="F257" s="427" t="s">
        <v>1341</v>
      </c>
      <c r="G257" s="427">
        <v>0</v>
      </c>
      <c r="H257" s="427"/>
      <c r="I257" s="427" t="s">
        <v>1619</v>
      </c>
      <c r="J257" s="427" t="s">
        <v>43</v>
      </c>
      <c r="K257" s="427" t="s">
        <v>43</v>
      </c>
      <c r="L257" s="427" t="s">
        <v>755</v>
      </c>
      <c r="M257" s="427" t="s">
        <v>590</v>
      </c>
      <c r="N257" s="427">
        <v>24.752471</v>
      </c>
      <c r="O257" s="427">
        <v>97.541793999999996</v>
      </c>
      <c r="P257" s="427" t="s">
        <v>573</v>
      </c>
      <c r="Q257" s="427" t="s">
        <v>574</v>
      </c>
      <c r="R257" s="439">
        <v>0</v>
      </c>
      <c r="S257" s="432">
        <v>366</v>
      </c>
      <c r="T257" s="444"/>
      <c r="U257" s="433"/>
      <c r="V257" s="427" t="s">
        <v>224</v>
      </c>
      <c r="W257" s="427"/>
      <c r="X257" s="430"/>
    </row>
    <row r="258" spans="1:24" s="69" customFormat="1" ht="14.25" customHeight="1">
      <c r="A258" s="427" t="s">
        <v>37</v>
      </c>
      <c r="B258" s="427" t="s">
        <v>142</v>
      </c>
      <c r="C258" s="427" t="s">
        <v>753</v>
      </c>
      <c r="D258" s="390" t="s">
        <v>1300</v>
      </c>
      <c r="E258" s="427" t="s">
        <v>1151</v>
      </c>
      <c r="F258" s="427" t="s">
        <v>1341</v>
      </c>
      <c r="G258" s="427" t="s">
        <v>1341</v>
      </c>
      <c r="H258" s="427" t="s">
        <v>41</v>
      </c>
      <c r="I258" s="427" t="s">
        <v>1035</v>
      </c>
      <c r="J258" s="427" t="s">
        <v>43</v>
      </c>
      <c r="K258" s="427" t="s">
        <v>43</v>
      </c>
      <c r="L258" s="427" t="s">
        <v>572</v>
      </c>
      <c r="M258" s="427" t="s">
        <v>590</v>
      </c>
      <c r="N258" s="427">
        <v>24.747212999999999</v>
      </c>
      <c r="O258" s="427">
        <v>97.551507000000001</v>
      </c>
      <c r="P258" s="427" t="s">
        <v>573</v>
      </c>
      <c r="Q258" s="427"/>
      <c r="R258" s="431">
        <v>0</v>
      </c>
      <c r="S258" s="431">
        <v>0</v>
      </c>
      <c r="T258" s="444"/>
      <c r="U258" s="433"/>
      <c r="V258" s="427" t="s">
        <v>754</v>
      </c>
      <c r="W258" s="427" t="s">
        <v>1665</v>
      </c>
      <c r="X258" s="390"/>
    </row>
    <row r="259" spans="1:24" s="69" customFormat="1" ht="14.25" customHeight="1">
      <c r="A259" s="427" t="s">
        <v>37</v>
      </c>
      <c r="B259" s="427" t="s">
        <v>142</v>
      </c>
      <c r="C259" s="427" t="s">
        <v>767</v>
      </c>
      <c r="D259" s="390" t="s">
        <v>2259</v>
      </c>
      <c r="E259" s="427" t="s">
        <v>1163</v>
      </c>
      <c r="F259" s="427"/>
      <c r="G259" s="427"/>
      <c r="H259" s="427"/>
      <c r="I259" s="427"/>
      <c r="J259" s="427" t="s">
        <v>43</v>
      </c>
      <c r="K259" s="427" t="s">
        <v>43</v>
      </c>
      <c r="L259" s="427" t="s">
        <v>43</v>
      </c>
      <c r="M259" s="427" t="s">
        <v>590</v>
      </c>
      <c r="N259" s="427">
        <v>25.108011999999999</v>
      </c>
      <c r="O259" s="427">
        <v>97.718008999999995</v>
      </c>
      <c r="P259" s="17" t="s">
        <v>573</v>
      </c>
      <c r="Q259" s="427"/>
      <c r="R259" s="431"/>
      <c r="S259" s="431"/>
      <c r="T259" s="444"/>
      <c r="U259" s="433"/>
      <c r="V259" s="427" t="s">
        <v>767</v>
      </c>
      <c r="W259" s="427"/>
      <c r="X259" s="390"/>
    </row>
    <row r="260" spans="1:24" s="69" customFormat="1" ht="14.25" customHeight="1">
      <c r="A260" s="432" t="s">
        <v>37</v>
      </c>
      <c r="B260" s="435" t="s">
        <v>142</v>
      </c>
      <c r="C260" s="436" t="s">
        <v>2780</v>
      </c>
      <c r="D260" s="430" t="s">
        <v>3001</v>
      </c>
      <c r="E260" s="427" t="s">
        <v>2791</v>
      </c>
      <c r="F260" s="427" t="s">
        <v>1348</v>
      </c>
      <c r="G260" s="427" t="s">
        <v>2799</v>
      </c>
      <c r="H260" s="427"/>
      <c r="I260" s="926" t="s">
        <v>2802</v>
      </c>
      <c r="J260" s="427" t="s">
        <v>43</v>
      </c>
      <c r="K260" s="427" t="s">
        <v>43</v>
      </c>
      <c r="L260" s="427" t="s">
        <v>588</v>
      </c>
      <c r="M260" s="427" t="s">
        <v>44</v>
      </c>
      <c r="N260" s="427"/>
      <c r="O260" s="427"/>
      <c r="P260" s="427"/>
      <c r="Q260" s="427" t="s">
        <v>2801</v>
      </c>
      <c r="R260" s="439">
        <v>87</v>
      </c>
      <c r="S260" s="432">
        <v>478</v>
      </c>
      <c r="T260" s="444">
        <v>44662</v>
      </c>
      <c r="U260" s="433" t="s">
        <v>2800</v>
      </c>
      <c r="V260" s="431"/>
      <c r="W260" s="716" t="s">
        <v>2805</v>
      </c>
      <c r="X260" s="430"/>
    </row>
    <row r="261" spans="1:24" s="69" customFormat="1" ht="14.25" customHeight="1">
      <c r="A261" s="432" t="s">
        <v>37</v>
      </c>
      <c r="B261" s="435" t="s">
        <v>142</v>
      </c>
      <c r="C261" s="436" t="s">
        <v>2777</v>
      </c>
      <c r="D261" s="430" t="s">
        <v>3001</v>
      </c>
      <c r="E261" s="427" t="s">
        <v>2788</v>
      </c>
      <c r="F261" s="427" t="s">
        <v>1348</v>
      </c>
      <c r="G261" s="427" t="s">
        <v>2799</v>
      </c>
      <c r="H261" s="427"/>
      <c r="I261" s="926" t="s">
        <v>2802</v>
      </c>
      <c r="J261" s="427" t="s">
        <v>43</v>
      </c>
      <c r="K261" s="427" t="s">
        <v>43</v>
      </c>
      <c r="L261" s="427" t="s">
        <v>588</v>
      </c>
      <c r="M261" s="427" t="s">
        <v>44</v>
      </c>
      <c r="N261" s="427">
        <v>25.210599999999999</v>
      </c>
      <c r="O261" s="427">
        <v>97.264700000000005</v>
      </c>
      <c r="P261" s="427"/>
      <c r="Q261" s="427" t="s">
        <v>2801</v>
      </c>
      <c r="R261" s="439">
        <v>40</v>
      </c>
      <c r="S261" s="432">
        <v>220</v>
      </c>
      <c r="T261" s="444">
        <v>44662</v>
      </c>
      <c r="U261" s="433" t="s">
        <v>2800</v>
      </c>
      <c r="V261" s="431"/>
      <c r="W261" s="716" t="s">
        <v>2805</v>
      </c>
      <c r="X261" s="430"/>
    </row>
    <row r="262" spans="1:24" s="69" customFormat="1" ht="14.25" customHeight="1">
      <c r="A262" s="427" t="s">
        <v>37</v>
      </c>
      <c r="B262" s="427" t="s">
        <v>142</v>
      </c>
      <c r="C262" s="427" t="s">
        <v>176</v>
      </c>
      <c r="D262" s="430" t="s">
        <v>3001</v>
      </c>
      <c r="E262" s="429" t="s">
        <v>1184</v>
      </c>
      <c r="F262" s="427" t="s">
        <v>1423</v>
      </c>
      <c r="G262" s="427" t="s">
        <v>1424</v>
      </c>
      <c r="H262" s="427" t="s">
        <v>41</v>
      </c>
      <c r="I262" s="427" t="s">
        <v>2117</v>
      </c>
      <c r="J262" s="427" t="s">
        <v>43</v>
      </c>
      <c r="K262" s="427" t="s">
        <v>43</v>
      </c>
      <c r="L262" s="427" t="s">
        <v>43</v>
      </c>
      <c r="M262" s="427" t="s">
        <v>44</v>
      </c>
      <c r="N262" s="427">
        <v>25.356632000000001</v>
      </c>
      <c r="O262" s="427">
        <v>97.451965000000001</v>
      </c>
      <c r="P262" s="427" t="s">
        <v>573</v>
      </c>
      <c r="Q262" s="427" t="s">
        <v>592</v>
      </c>
      <c r="R262" s="439">
        <v>39</v>
      </c>
      <c r="S262" s="432">
        <v>238</v>
      </c>
      <c r="T262" s="444"/>
      <c r="U262" s="433"/>
      <c r="V262" s="427" t="s">
        <v>176</v>
      </c>
      <c r="W262" s="427"/>
      <c r="X262" s="430"/>
    </row>
    <row r="263" spans="1:24" s="69" customFormat="1" ht="14.25" customHeight="1">
      <c r="A263" s="427" t="s">
        <v>37</v>
      </c>
      <c r="B263" s="427" t="s">
        <v>142</v>
      </c>
      <c r="C263" s="427" t="s">
        <v>177</v>
      </c>
      <c r="D263" s="430" t="s">
        <v>3001</v>
      </c>
      <c r="E263" s="429" t="s">
        <v>1158</v>
      </c>
      <c r="F263" s="427" t="s">
        <v>1408</v>
      </c>
      <c r="G263" s="427" t="s">
        <v>1410</v>
      </c>
      <c r="H263" s="427" t="s">
        <v>41</v>
      </c>
      <c r="I263" s="427" t="s">
        <v>1035</v>
      </c>
      <c r="J263" s="427" t="s">
        <v>43</v>
      </c>
      <c r="K263" s="427" t="s">
        <v>697</v>
      </c>
      <c r="L263" s="427" t="s">
        <v>43</v>
      </c>
      <c r="M263" s="427" t="s">
        <v>590</v>
      </c>
      <c r="N263" s="427">
        <v>24.980250000000002</v>
      </c>
      <c r="O263" s="427">
        <v>97.715230000000005</v>
      </c>
      <c r="P263" s="427" t="s">
        <v>573</v>
      </c>
      <c r="Q263" s="427" t="s">
        <v>592</v>
      </c>
      <c r="R263" s="439">
        <v>417</v>
      </c>
      <c r="S263" s="432">
        <v>1608</v>
      </c>
      <c r="T263" s="444"/>
      <c r="U263" s="433" t="s">
        <v>760</v>
      </c>
      <c r="V263" s="427" t="s">
        <v>177</v>
      </c>
      <c r="W263" s="427"/>
      <c r="X263" s="430"/>
    </row>
    <row r="264" spans="1:24" s="69" customFormat="1" ht="14.25" customHeight="1">
      <c r="A264" s="427" t="s">
        <v>37</v>
      </c>
      <c r="B264" s="427" t="s">
        <v>142</v>
      </c>
      <c r="C264" s="427" t="s">
        <v>269</v>
      </c>
      <c r="D264" s="430" t="s">
        <v>3001</v>
      </c>
      <c r="E264" s="427" t="s">
        <v>1210</v>
      </c>
      <c r="F264" s="427" t="s">
        <v>1431</v>
      </c>
      <c r="G264" s="427" t="s">
        <v>1431</v>
      </c>
      <c r="H264" s="427" t="s">
        <v>41</v>
      </c>
      <c r="I264" s="427" t="s">
        <v>242</v>
      </c>
      <c r="J264" s="427" t="s">
        <v>43</v>
      </c>
      <c r="K264" s="427" t="s">
        <v>43</v>
      </c>
      <c r="L264" s="427" t="s">
        <v>43</v>
      </c>
      <c r="M264" s="427" t="s">
        <v>44</v>
      </c>
      <c r="N264" s="427">
        <v>25.424529444444399</v>
      </c>
      <c r="O264" s="427">
        <v>97.433419259259296</v>
      </c>
      <c r="P264" s="427" t="s">
        <v>573</v>
      </c>
      <c r="Q264" s="427" t="s">
        <v>592</v>
      </c>
      <c r="R264" s="439">
        <v>353</v>
      </c>
      <c r="S264" s="432">
        <v>2166</v>
      </c>
      <c r="T264" s="444"/>
      <c r="U264" s="433"/>
      <c r="V264" s="427" t="s">
        <v>269</v>
      </c>
      <c r="W264" s="361"/>
      <c r="X264" s="430"/>
    </row>
    <row r="265" spans="1:24" s="69" customFormat="1" ht="14.25" customHeight="1">
      <c r="A265" s="427" t="s">
        <v>37</v>
      </c>
      <c r="B265" s="427" t="s">
        <v>142</v>
      </c>
      <c r="C265" s="427" t="s">
        <v>237</v>
      </c>
      <c r="D265" s="430" t="s">
        <v>3001</v>
      </c>
      <c r="E265" s="427" t="s">
        <v>1204</v>
      </c>
      <c r="F265" s="427" t="s">
        <v>1431</v>
      </c>
      <c r="G265" s="427" t="s">
        <v>1431</v>
      </c>
      <c r="H265" s="427" t="s">
        <v>41</v>
      </c>
      <c r="I265" s="427" t="s">
        <v>1035</v>
      </c>
      <c r="J265" s="427" t="s">
        <v>43</v>
      </c>
      <c r="K265" s="427" t="s">
        <v>43</v>
      </c>
      <c r="L265" s="427" t="s">
        <v>43</v>
      </c>
      <c r="M265" s="427" t="s">
        <v>44</v>
      </c>
      <c r="N265" s="427">
        <v>25.415667500000001</v>
      </c>
      <c r="O265" s="427">
        <v>97.437782499999997</v>
      </c>
      <c r="P265" s="427" t="s">
        <v>573</v>
      </c>
      <c r="Q265" s="427" t="s">
        <v>592</v>
      </c>
      <c r="R265" s="439">
        <v>276</v>
      </c>
      <c r="S265" s="432">
        <v>1492</v>
      </c>
      <c r="T265" s="444"/>
      <c r="U265" s="433"/>
      <c r="V265" s="427" t="s">
        <v>237</v>
      </c>
      <c r="W265" s="361"/>
      <c r="X265" s="430"/>
    </row>
    <row r="266" spans="1:24" s="69" customFormat="1" ht="14.25" customHeight="1">
      <c r="A266" s="432" t="s">
        <v>37</v>
      </c>
      <c r="B266" s="435" t="s">
        <v>142</v>
      </c>
      <c r="C266" s="436" t="s">
        <v>178</v>
      </c>
      <c r="D266" s="430" t="s">
        <v>3001</v>
      </c>
      <c r="E266" s="427" t="s">
        <v>1201</v>
      </c>
      <c r="F266" s="427" t="s">
        <v>1431</v>
      </c>
      <c r="G266" s="427" t="s">
        <v>1431</v>
      </c>
      <c r="H266" s="427" t="s">
        <v>41</v>
      </c>
      <c r="I266" s="427" t="s">
        <v>2117</v>
      </c>
      <c r="J266" s="427" t="s">
        <v>43</v>
      </c>
      <c r="K266" s="427" t="s">
        <v>43</v>
      </c>
      <c r="L266" s="427" t="s">
        <v>43</v>
      </c>
      <c r="M266" s="427" t="s">
        <v>44</v>
      </c>
      <c r="N266" s="427">
        <v>25.4118005797101</v>
      </c>
      <c r="O266" s="427">
        <v>97.434855869565197</v>
      </c>
      <c r="P266" s="427" t="s">
        <v>573</v>
      </c>
      <c r="Q266" s="427" t="s">
        <v>592</v>
      </c>
      <c r="R266" s="439">
        <v>531</v>
      </c>
      <c r="S266" s="432">
        <v>2920</v>
      </c>
      <c r="T266" s="444"/>
      <c r="U266" s="433"/>
      <c r="V266" s="431" t="s">
        <v>178</v>
      </c>
      <c r="W266" s="431" t="s">
        <v>1750</v>
      </c>
      <c r="X266" s="430"/>
    </row>
    <row r="267" spans="1:24" s="69" customFormat="1" ht="14.25" customHeight="1">
      <c r="A267" s="432" t="s">
        <v>37</v>
      </c>
      <c r="B267" s="429" t="s">
        <v>142</v>
      </c>
      <c r="C267" s="716" t="s">
        <v>179</v>
      </c>
      <c r="D267" s="430" t="s">
        <v>3001</v>
      </c>
      <c r="E267" s="427" t="s">
        <v>1199</v>
      </c>
      <c r="F267" s="427" t="s">
        <v>1431</v>
      </c>
      <c r="G267" s="427" t="s">
        <v>1431</v>
      </c>
      <c r="H267" s="427" t="s">
        <v>41</v>
      </c>
      <c r="I267" s="427" t="s">
        <v>2117</v>
      </c>
      <c r="J267" s="427" t="s">
        <v>43</v>
      </c>
      <c r="K267" s="427" t="s">
        <v>43</v>
      </c>
      <c r="L267" s="427" t="s">
        <v>43</v>
      </c>
      <c r="M267" s="427" t="s">
        <v>44</v>
      </c>
      <c r="N267" s="427">
        <v>25.409612685185198</v>
      </c>
      <c r="O267" s="427">
        <v>97.426536944444507</v>
      </c>
      <c r="P267" s="427" t="s">
        <v>573</v>
      </c>
      <c r="Q267" s="427" t="s">
        <v>592</v>
      </c>
      <c r="R267" s="439">
        <v>55</v>
      </c>
      <c r="S267" s="432">
        <v>283</v>
      </c>
      <c r="T267" s="444"/>
      <c r="U267" s="433"/>
      <c r="V267" s="431" t="s">
        <v>179</v>
      </c>
      <c r="W267" s="362" t="s">
        <v>1751</v>
      </c>
      <c r="X267" s="430"/>
    </row>
    <row r="268" spans="1:24" s="69" customFormat="1" ht="14.25" customHeight="1">
      <c r="A268" s="436" t="s">
        <v>37</v>
      </c>
      <c r="B268" s="435" t="s">
        <v>142</v>
      </c>
      <c r="C268" s="429" t="s">
        <v>3003</v>
      </c>
      <c r="D268" s="430" t="s">
        <v>3001</v>
      </c>
      <c r="E268" s="429" t="s">
        <v>1176</v>
      </c>
      <c r="F268" s="427" t="s">
        <v>1348</v>
      </c>
      <c r="G268" s="427" t="s">
        <v>1373</v>
      </c>
      <c r="H268" s="429" t="s">
        <v>41</v>
      </c>
      <c r="I268" s="429" t="s">
        <v>242</v>
      </c>
      <c r="J268" s="427" t="s">
        <v>43</v>
      </c>
      <c r="K268" s="427" t="s">
        <v>43</v>
      </c>
      <c r="L268" s="429" t="s">
        <v>43</v>
      </c>
      <c r="M268" s="427" t="s">
        <v>44</v>
      </c>
      <c r="N268" s="427">
        <v>25.345918166666699</v>
      </c>
      <c r="O268" s="427">
        <v>97.437472666666693</v>
      </c>
      <c r="P268" s="17" t="s">
        <v>573</v>
      </c>
      <c r="Q268" s="427" t="s">
        <v>592</v>
      </c>
      <c r="R268" s="439">
        <v>40</v>
      </c>
      <c r="S268" s="432">
        <v>221</v>
      </c>
      <c r="T268" s="444"/>
      <c r="U268" s="437"/>
      <c r="V268" s="429" t="s">
        <v>272</v>
      </c>
      <c r="W268" s="427"/>
      <c r="X268" s="430"/>
    </row>
    <row r="269" spans="1:24" s="69" customFormat="1" ht="14.25" customHeight="1">
      <c r="A269" s="427" t="s">
        <v>37</v>
      </c>
      <c r="B269" s="427" t="s">
        <v>142</v>
      </c>
      <c r="C269" s="427" t="s">
        <v>2600</v>
      </c>
      <c r="D269" s="430" t="s">
        <v>3001</v>
      </c>
      <c r="E269" s="427" t="s">
        <v>2593</v>
      </c>
      <c r="F269" s="427" t="s">
        <v>1431</v>
      </c>
      <c r="G269" s="427" t="s">
        <v>1431</v>
      </c>
      <c r="H269" s="427"/>
      <c r="I269" s="427"/>
      <c r="J269" s="427" t="s">
        <v>620</v>
      </c>
      <c r="K269" s="427" t="s">
        <v>620</v>
      </c>
      <c r="L269" s="427" t="s">
        <v>3009</v>
      </c>
      <c r="M269" s="427" t="s">
        <v>44</v>
      </c>
      <c r="N269" s="427">
        <v>25.415667500000001</v>
      </c>
      <c r="O269" s="427">
        <v>97.437782499999997</v>
      </c>
      <c r="P269" s="427"/>
      <c r="Q269" s="427" t="s">
        <v>2609</v>
      </c>
      <c r="R269" s="439">
        <v>95</v>
      </c>
      <c r="S269" s="432">
        <v>499</v>
      </c>
      <c r="T269" s="444">
        <v>44166</v>
      </c>
      <c r="U269" s="433"/>
      <c r="V269" s="427"/>
      <c r="W269" s="427"/>
      <c r="X269" s="430"/>
    </row>
    <row r="270" spans="1:24" s="69" customFormat="1" ht="14.25" customHeight="1">
      <c r="A270" s="427" t="s">
        <v>37</v>
      </c>
      <c r="B270" s="427" t="s">
        <v>142</v>
      </c>
      <c r="C270" s="427" t="s">
        <v>3002</v>
      </c>
      <c r="D270" s="430" t="s">
        <v>3001</v>
      </c>
      <c r="E270" s="427" t="s">
        <v>2654</v>
      </c>
      <c r="F270" s="427" t="s">
        <v>2655</v>
      </c>
      <c r="G270" s="427" t="s">
        <v>2656</v>
      </c>
      <c r="H270" s="427"/>
      <c r="I270" s="427"/>
      <c r="J270" s="427" t="s">
        <v>43</v>
      </c>
      <c r="K270" s="427" t="s">
        <v>43</v>
      </c>
      <c r="L270" s="427" t="s">
        <v>43</v>
      </c>
      <c r="M270" s="427" t="s">
        <v>44</v>
      </c>
      <c r="N270" s="427">
        <v>25.428995</v>
      </c>
      <c r="O270" s="427">
        <v>97.957487999999998</v>
      </c>
      <c r="P270" s="427" t="s">
        <v>573</v>
      </c>
      <c r="Q270" s="427" t="s">
        <v>2657</v>
      </c>
      <c r="R270" s="439">
        <v>55</v>
      </c>
      <c r="S270" s="432">
        <v>320</v>
      </c>
      <c r="T270" s="444">
        <v>44232</v>
      </c>
      <c r="U270" s="433"/>
      <c r="V270" s="427"/>
      <c r="W270" s="427" t="s">
        <v>2658</v>
      </c>
      <c r="X270" s="430"/>
    </row>
    <row r="271" spans="1:24" s="69" customFormat="1" ht="14.25" customHeight="1">
      <c r="A271" s="432" t="s">
        <v>37</v>
      </c>
      <c r="B271" s="435" t="s">
        <v>142</v>
      </c>
      <c r="C271" s="436" t="s">
        <v>2783</v>
      </c>
      <c r="D271" s="430" t="s">
        <v>3001</v>
      </c>
      <c r="E271" s="427" t="s">
        <v>2794</v>
      </c>
      <c r="F271" s="427" t="s">
        <v>268</v>
      </c>
      <c r="G271" s="427" t="s">
        <v>268</v>
      </c>
      <c r="H271" s="427"/>
      <c r="I271" s="926" t="s">
        <v>2802</v>
      </c>
      <c r="J271" s="427" t="s">
        <v>43</v>
      </c>
      <c r="K271" s="427" t="s">
        <v>43</v>
      </c>
      <c r="L271" s="427" t="s">
        <v>588</v>
      </c>
      <c r="M271" s="427" t="s">
        <v>44</v>
      </c>
      <c r="N271" s="427"/>
      <c r="O271" s="427"/>
      <c r="P271" s="427"/>
      <c r="Q271" s="427" t="s">
        <v>2801</v>
      </c>
      <c r="R271" s="439">
        <v>12</v>
      </c>
      <c r="S271" s="432">
        <v>59</v>
      </c>
      <c r="T271" s="444">
        <v>44662</v>
      </c>
      <c r="U271" s="433" t="s">
        <v>2800</v>
      </c>
      <c r="V271" s="431"/>
      <c r="W271" s="716" t="s">
        <v>2805</v>
      </c>
      <c r="X271" s="430"/>
    </row>
    <row r="272" spans="1:24" s="69" customFormat="1" ht="14.25" customHeight="1">
      <c r="A272" s="432" t="s">
        <v>37</v>
      </c>
      <c r="B272" s="435" t="s">
        <v>142</v>
      </c>
      <c r="C272" s="436" t="s">
        <v>2774</v>
      </c>
      <c r="D272" s="430" t="s">
        <v>3001</v>
      </c>
      <c r="E272" s="427" t="s">
        <v>2785</v>
      </c>
      <c r="F272" s="427" t="s">
        <v>1348</v>
      </c>
      <c r="G272" s="427" t="s">
        <v>2797</v>
      </c>
      <c r="H272" s="427" t="s">
        <v>41</v>
      </c>
      <c r="I272" s="926" t="s">
        <v>242</v>
      </c>
      <c r="J272" s="427" t="s">
        <v>43</v>
      </c>
      <c r="K272" s="427" t="s">
        <v>43</v>
      </c>
      <c r="L272" s="427" t="s">
        <v>588</v>
      </c>
      <c r="M272" s="427" t="s">
        <v>44</v>
      </c>
      <c r="N272" s="427">
        <v>25.221299999999999</v>
      </c>
      <c r="O272" s="427">
        <v>97.255300000000005</v>
      </c>
      <c r="P272" s="427"/>
      <c r="Q272" s="427" t="s">
        <v>2801</v>
      </c>
      <c r="R272" s="439">
        <v>12</v>
      </c>
      <c r="S272" s="432">
        <v>80</v>
      </c>
      <c r="T272" s="444">
        <v>44662</v>
      </c>
      <c r="U272" s="433" t="s">
        <v>2800</v>
      </c>
      <c r="V272" s="431"/>
      <c r="W272" s="716" t="s">
        <v>2804</v>
      </c>
      <c r="X272" s="430"/>
    </row>
    <row r="273" spans="1:31" s="69" customFormat="1" ht="14.25" customHeight="1">
      <c r="A273" s="427" t="s">
        <v>37</v>
      </c>
      <c r="B273" s="427" t="s">
        <v>142</v>
      </c>
      <c r="C273" s="427" t="s">
        <v>270</v>
      </c>
      <c r="D273" s="430" t="s">
        <v>3001</v>
      </c>
      <c r="E273" s="427" t="s">
        <v>1181</v>
      </c>
      <c r="F273" s="427" t="s">
        <v>1421</v>
      </c>
      <c r="G273" s="427" t="s">
        <v>1422</v>
      </c>
      <c r="H273" s="427" t="s">
        <v>41</v>
      </c>
      <c r="I273" s="427" t="s">
        <v>242</v>
      </c>
      <c r="J273" s="427" t="s">
        <v>43</v>
      </c>
      <c r="K273" s="427" t="s">
        <v>43</v>
      </c>
      <c r="L273" s="427" t="s">
        <v>43</v>
      </c>
      <c r="M273" s="427" t="s">
        <v>44</v>
      </c>
      <c r="N273" s="427">
        <v>25.351965</v>
      </c>
      <c r="O273" s="427">
        <v>97.345039</v>
      </c>
      <c r="P273" s="427" t="s">
        <v>573</v>
      </c>
      <c r="Q273" s="427" t="s">
        <v>592</v>
      </c>
      <c r="R273" s="439">
        <v>19</v>
      </c>
      <c r="S273" s="432">
        <v>85</v>
      </c>
      <c r="T273" s="444"/>
      <c r="U273" s="433"/>
      <c r="V273" s="427" t="s">
        <v>270</v>
      </c>
      <c r="W273" s="427"/>
      <c r="X273" s="430"/>
    </row>
    <row r="274" spans="1:31" s="69" customFormat="1" ht="14.25" customHeight="1">
      <c r="A274" s="427" t="s">
        <v>37</v>
      </c>
      <c r="B274" s="427" t="s">
        <v>142</v>
      </c>
      <c r="C274" s="427" t="s">
        <v>180</v>
      </c>
      <c r="D274" s="430" t="s">
        <v>3001</v>
      </c>
      <c r="E274" s="427" t="s">
        <v>1157</v>
      </c>
      <c r="F274" s="427" t="s">
        <v>1408</v>
      </c>
      <c r="G274" s="427" t="s">
        <v>1409</v>
      </c>
      <c r="H274" s="427" t="s">
        <v>41</v>
      </c>
      <c r="I274" s="427" t="s">
        <v>2117</v>
      </c>
      <c r="J274" s="427" t="s">
        <v>43</v>
      </c>
      <c r="K274" s="427" t="s">
        <v>697</v>
      </c>
      <c r="L274" s="427" t="s">
        <v>43</v>
      </c>
      <c r="M274" s="427" t="s">
        <v>590</v>
      </c>
      <c r="N274" s="427">
        <v>24.831944</v>
      </c>
      <c r="O274" s="427">
        <v>97.751389000000003</v>
      </c>
      <c r="P274" s="427" t="s">
        <v>573</v>
      </c>
      <c r="Q274" s="427" t="s">
        <v>592</v>
      </c>
      <c r="R274" s="439">
        <v>166</v>
      </c>
      <c r="S274" s="432">
        <v>966</v>
      </c>
      <c r="T274" s="444"/>
      <c r="U274" s="433" t="s">
        <v>760</v>
      </c>
      <c r="V274" s="427" t="s">
        <v>761</v>
      </c>
      <c r="W274" s="427"/>
      <c r="X274" s="430"/>
    </row>
    <row r="275" spans="1:31" s="69" customFormat="1" ht="14.25" customHeight="1">
      <c r="A275" s="432" t="s">
        <v>37</v>
      </c>
      <c r="B275" s="435" t="s">
        <v>142</v>
      </c>
      <c r="C275" s="436" t="s">
        <v>2778</v>
      </c>
      <c r="D275" s="430" t="s">
        <v>3001</v>
      </c>
      <c r="E275" s="427" t="s">
        <v>2789</v>
      </c>
      <c r="F275" s="427" t="s">
        <v>1348</v>
      </c>
      <c r="G275" s="427" t="s">
        <v>2799</v>
      </c>
      <c r="H275" s="427"/>
      <c r="I275" s="926" t="s">
        <v>2802</v>
      </c>
      <c r="J275" s="427" t="s">
        <v>43</v>
      </c>
      <c r="K275" s="427" t="s">
        <v>43</v>
      </c>
      <c r="L275" s="427" t="s">
        <v>2771</v>
      </c>
      <c r="M275" s="427" t="s">
        <v>44</v>
      </c>
      <c r="N275" s="427">
        <v>25.2057</v>
      </c>
      <c r="O275" s="427">
        <v>97.262200000000007</v>
      </c>
      <c r="P275" s="427"/>
      <c r="Q275" s="427" t="s">
        <v>2801</v>
      </c>
      <c r="R275" s="439">
        <v>39</v>
      </c>
      <c r="S275" s="432">
        <v>183</v>
      </c>
      <c r="T275" s="444">
        <v>44662</v>
      </c>
      <c r="U275" s="433" t="s">
        <v>2800</v>
      </c>
      <c r="V275" s="431"/>
      <c r="W275" s="716" t="s">
        <v>3004</v>
      </c>
      <c r="X275" s="430"/>
    </row>
    <row r="276" spans="1:31" s="69" customFormat="1" ht="14.25" customHeight="1">
      <c r="A276" s="427" t="s">
        <v>37</v>
      </c>
      <c r="B276" s="427" t="s">
        <v>142</v>
      </c>
      <c r="C276" s="427" t="s">
        <v>238</v>
      </c>
      <c r="D276" s="390" t="s">
        <v>2668</v>
      </c>
      <c r="E276" s="427" t="s">
        <v>1168</v>
      </c>
      <c r="F276" s="427" t="s">
        <v>1411</v>
      </c>
      <c r="G276" s="427" t="s">
        <v>1411</v>
      </c>
      <c r="H276" s="427" t="s">
        <v>41</v>
      </c>
      <c r="I276" s="427" t="s">
        <v>1035</v>
      </c>
      <c r="J276" s="427" t="s">
        <v>43</v>
      </c>
      <c r="K276" s="427" t="s">
        <v>43</v>
      </c>
      <c r="L276" s="427" t="s">
        <v>572</v>
      </c>
      <c r="M276" s="427" t="s">
        <v>590</v>
      </c>
      <c r="N276" s="427">
        <v>25.265277999999999</v>
      </c>
      <c r="O276" s="427">
        <v>97.990555999999998</v>
      </c>
      <c r="P276" s="427" t="s">
        <v>573</v>
      </c>
      <c r="Q276" s="427" t="s">
        <v>592</v>
      </c>
      <c r="R276" s="431">
        <v>0</v>
      </c>
      <c r="S276" s="431">
        <v>0</v>
      </c>
      <c r="T276" s="444"/>
      <c r="U276" s="433"/>
      <c r="V276" s="427" t="s">
        <v>238</v>
      </c>
      <c r="W276" s="427" t="s">
        <v>3007</v>
      </c>
      <c r="X276" s="390"/>
    </row>
    <row r="277" spans="1:31" s="69" customFormat="1" ht="14.25" customHeight="1">
      <c r="A277" s="427" t="s">
        <v>37</v>
      </c>
      <c r="B277" s="427" t="s">
        <v>142</v>
      </c>
      <c r="C277" s="427" t="s">
        <v>271</v>
      </c>
      <c r="D277" s="430" t="s">
        <v>3001</v>
      </c>
      <c r="E277" s="427" t="s">
        <v>1182</v>
      </c>
      <c r="F277" s="427" t="s">
        <v>1348</v>
      </c>
      <c r="G277" s="427" t="s">
        <v>1338</v>
      </c>
      <c r="H277" s="427" t="s">
        <v>41</v>
      </c>
      <c r="I277" s="427" t="s">
        <v>242</v>
      </c>
      <c r="J277" s="427" t="s">
        <v>43</v>
      </c>
      <c r="K277" s="427" t="s">
        <v>43</v>
      </c>
      <c r="L277" s="427" t="s">
        <v>43</v>
      </c>
      <c r="M277" s="427" t="s">
        <v>44</v>
      </c>
      <c r="N277" s="427">
        <v>25.3540362037037</v>
      </c>
      <c r="O277" s="427">
        <v>97.441166388888902</v>
      </c>
      <c r="P277" s="427" t="s">
        <v>573</v>
      </c>
      <c r="Q277" s="427" t="s">
        <v>592</v>
      </c>
      <c r="R277" s="439">
        <v>111</v>
      </c>
      <c r="S277" s="432">
        <v>505</v>
      </c>
      <c r="T277" s="444"/>
      <c r="U277" s="433"/>
      <c r="V277" s="427" t="s">
        <v>271</v>
      </c>
      <c r="W277" s="427"/>
      <c r="X277" s="430"/>
    </row>
    <row r="278" spans="1:31" s="69" customFormat="1" ht="14.25" customHeight="1">
      <c r="A278" s="427" t="s">
        <v>37</v>
      </c>
      <c r="B278" s="427" t="s">
        <v>142</v>
      </c>
      <c r="C278" s="427" t="s">
        <v>181</v>
      </c>
      <c r="D278" s="430" t="s">
        <v>3001</v>
      </c>
      <c r="E278" s="427" t="s">
        <v>1180</v>
      </c>
      <c r="F278" s="427" t="s">
        <v>1348</v>
      </c>
      <c r="G278" s="427" t="s">
        <v>1338</v>
      </c>
      <c r="H278" s="427" t="s">
        <v>41</v>
      </c>
      <c r="I278" s="427" t="s">
        <v>2117</v>
      </c>
      <c r="J278" s="427" t="s">
        <v>43</v>
      </c>
      <c r="K278" s="427" t="s">
        <v>43</v>
      </c>
      <c r="L278" s="427" t="s">
        <v>43</v>
      </c>
      <c r="M278" s="427" t="s">
        <v>44</v>
      </c>
      <c r="N278" s="427">
        <v>25.351724999999998</v>
      </c>
      <c r="O278" s="427">
        <v>97.438432380952406</v>
      </c>
      <c r="P278" s="427" t="s">
        <v>573</v>
      </c>
      <c r="Q278" s="427" t="s">
        <v>592</v>
      </c>
      <c r="R278" s="439">
        <v>72</v>
      </c>
      <c r="S278" s="432">
        <v>360</v>
      </c>
      <c r="T278" s="444"/>
      <c r="U278" s="433"/>
      <c r="V278" s="427" t="s">
        <v>181</v>
      </c>
      <c r="W278" s="361"/>
      <c r="X278" s="430"/>
    </row>
    <row r="279" spans="1:31" s="69" customFormat="1" ht="14.25" customHeight="1">
      <c r="A279" s="427" t="s">
        <v>37</v>
      </c>
      <c r="B279" s="429" t="s">
        <v>142</v>
      </c>
      <c r="C279" s="429" t="s">
        <v>273</v>
      </c>
      <c r="D279" s="390" t="s">
        <v>1610</v>
      </c>
      <c r="E279" s="427" t="s">
        <v>1177</v>
      </c>
      <c r="F279" s="427" t="s">
        <v>1348</v>
      </c>
      <c r="G279" s="427" t="s">
        <v>1419</v>
      </c>
      <c r="H279" s="427" t="s">
        <v>41</v>
      </c>
      <c r="I279" s="427" t="s">
        <v>242</v>
      </c>
      <c r="J279" s="427" t="s">
        <v>43</v>
      </c>
      <c r="K279" s="429" t="s">
        <v>43</v>
      </c>
      <c r="L279" s="429" t="s">
        <v>572</v>
      </c>
      <c r="M279" s="427" t="s">
        <v>44</v>
      </c>
      <c r="N279" s="427">
        <v>25.350809000000002</v>
      </c>
      <c r="O279" s="427">
        <v>97.432495000000003</v>
      </c>
      <c r="P279" s="17" t="s">
        <v>573</v>
      </c>
      <c r="Q279" s="427" t="s">
        <v>592</v>
      </c>
      <c r="R279" s="431">
        <v>92</v>
      </c>
      <c r="S279" s="431">
        <v>505</v>
      </c>
      <c r="T279" s="444"/>
      <c r="U279" s="433"/>
      <c r="V279" s="427" t="s">
        <v>273</v>
      </c>
      <c r="W279" s="361" t="s">
        <v>1666</v>
      </c>
      <c r="X279" s="390"/>
    </row>
    <row r="280" spans="1:31" s="69" customFormat="1" ht="14.25" customHeight="1">
      <c r="A280" s="427" t="s">
        <v>37</v>
      </c>
      <c r="B280" s="429" t="s">
        <v>142</v>
      </c>
      <c r="C280" s="429" t="s">
        <v>778</v>
      </c>
      <c r="D280" s="430" t="s">
        <v>3001</v>
      </c>
      <c r="E280" s="427" t="s">
        <v>1560</v>
      </c>
      <c r="F280" s="429" t="s">
        <v>778</v>
      </c>
      <c r="G280" s="427" t="s">
        <v>778</v>
      </c>
      <c r="H280" s="427"/>
      <c r="I280" s="427" t="s">
        <v>1619</v>
      </c>
      <c r="J280" s="427" t="s">
        <v>43</v>
      </c>
      <c r="K280" s="427" t="s">
        <v>43</v>
      </c>
      <c r="L280" s="427" t="s">
        <v>588</v>
      </c>
      <c r="M280" s="427" t="s">
        <v>44</v>
      </c>
      <c r="N280" s="427">
        <v>25.391428000000001</v>
      </c>
      <c r="O280" s="427">
        <v>97.898184999999998</v>
      </c>
      <c r="P280" s="427" t="s">
        <v>573</v>
      </c>
      <c r="Q280" s="427" t="s">
        <v>1530</v>
      </c>
      <c r="R280" s="439">
        <v>45</v>
      </c>
      <c r="S280" s="432">
        <v>247</v>
      </c>
      <c r="T280" s="444">
        <v>43276</v>
      </c>
      <c r="U280" s="433"/>
      <c r="V280" s="427"/>
      <c r="W280" s="361" t="s">
        <v>1667</v>
      </c>
      <c r="X280" s="430"/>
    </row>
    <row r="281" spans="1:31" ht="14.25" customHeight="1">
      <c r="A281" s="443" t="s">
        <v>37</v>
      </c>
      <c r="B281" s="443" t="s">
        <v>142</v>
      </c>
      <c r="C281" s="443" t="s">
        <v>143</v>
      </c>
      <c r="D281" s="430" t="s">
        <v>3001</v>
      </c>
      <c r="E281" s="427" t="s">
        <v>1262</v>
      </c>
      <c r="F281" s="427" t="s">
        <v>1408</v>
      </c>
      <c r="G281" s="427" t="s">
        <v>1409</v>
      </c>
      <c r="H281" s="427" t="s">
        <v>41</v>
      </c>
      <c r="I281" s="427" t="s">
        <v>2117</v>
      </c>
      <c r="J281" s="427" t="s">
        <v>43</v>
      </c>
      <c r="K281" s="427" t="s">
        <v>43</v>
      </c>
      <c r="L281" s="427" t="s">
        <v>43</v>
      </c>
      <c r="M281" s="427" t="s">
        <v>590</v>
      </c>
      <c r="N281" s="427">
        <v>25.418084</v>
      </c>
      <c r="O281" s="427">
        <v>98.025662999999994</v>
      </c>
      <c r="P281" s="427" t="s">
        <v>573</v>
      </c>
      <c r="Q281" s="427" t="s">
        <v>611</v>
      </c>
      <c r="R281" s="439">
        <v>380</v>
      </c>
      <c r="S281" s="432">
        <v>1877</v>
      </c>
      <c r="T281" s="444">
        <v>42916</v>
      </c>
      <c r="U281" s="433" t="s">
        <v>861</v>
      </c>
      <c r="V281" s="427"/>
      <c r="W281" s="427" t="s">
        <v>1752</v>
      </c>
      <c r="X281" s="430"/>
      <c r="Y281" s="45"/>
      <c r="Z281" s="17"/>
      <c r="AA281" s="90"/>
      <c r="AB281" s="17"/>
      <c r="AC281" s="17"/>
      <c r="AE281" s="17"/>
    </row>
    <row r="282" spans="1:31" ht="14.25" customHeight="1">
      <c r="A282" s="399" t="s">
        <v>37</v>
      </c>
      <c r="B282" s="446" t="s">
        <v>142</v>
      </c>
      <c r="C282" s="443" t="s">
        <v>182</v>
      </c>
      <c r="D282" s="430" t="s">
        <v>3001</v>
      </c>
      <c r="E282" s="429" t="s">
        <v>1206</v>
      </c>
      <c r="F282" s="429" t="s">
        <v>1434</v>
      </c>
      <c r="G282" s="429" t="s">
        <v>1435</v>
      </c>
      <c r="H282" s="427" t="s">
        <v>41</v>
      </c>
      <c r="I282" s="427" t="s">
        <v>2117</v>
      </c>
      <c r="J282" s="427" t="s">
        <v>43</v>
      </c>
      <c r="K282" s="427" t="s">
        <v>43</v>
      </c>
      <c r="L282" s="427" t="s">
        <v>43</v>
      </c>
      <c r="M282" s="427" t="s">
        <v>44</v>
      </c>
      <c r="N282" s="427">
        <v>25.418084</v>
      </c>
      <c r="O282" s="427">
        <v>98.025662999999994</v>
      </c>
      <c r="P282" s="429" t="s">
        <v>573</v>
      </c>
      <c r="Q282" s="427" t="s">
        <v>592</v>
      </c>
      <c r="R282" s="439">
        <v>213</v>
      </c>
      <c r="S282" s="432">
        <v>1172</v>
      </c>
      <c r="T282" s="444"/>
      <c r="U282" s="437"/>
      <c r="V282" s="429" t="s">
        <v>182</v>
      </c>
      <c r="W282" s="361" t="s">
        <v>1753</v>
      </c>
      <c r="X282" s="430"/>
      <c r="Y282" s="45"/>
      <c r="Z282" s="17"/>
      <c r="AA282" s="90"/>
      <c r="AB282" s="17"/>
      <c r="AC282" s="17"/>
      <c r="AE282" s="17"/>
    </row>
    <row r="283" spans="1:31" ht="14.25" customHeight="1">
      <c r="A283" s="443" t="s">
        <v>37</v>
      </c>
      <c r="B283" s="443" t="s">
        <v>142</v>
      </c>
      <c r="C283" s="443" t="s">
        <v>274</v>
      </c>
      <c r="D283" s="430" t="s">
        <v>3001</v>
      </c>
      <c r="E283" s="427" t="s">
        <v>1175</v>
      </c>
      <c r="F283" s="427" t="s">
        <v>1348</v>
      </c>
      <c r="G283" s="427" t="s">
        <v>1419</v>
      </c>
      <c r="H283" s="427" t="s">
        <v>41</v>
      </c>
      <c r="I283" s="427" t="s">
        <v>242</v>
      </c>
      <c r="J283" s="427" t="s">
        <v>43</v>
      </c>
      <c r="K283" s="427" t="s">
        <v>43</v>
      </c>
      <c r="L283" s="427" t="s">
        <v>43</v>
      </c>
      <c r="M283" s="427" t="s">
        <v>44</v>
      </c>
      <c r="N283" s="427">
        <v>25.333683333333301</v>
      </c>
      <c r="O283" s="427">
        <v>97.428251153846105</v>
      </c>
      <c r="P283" s="427" t="s">
        <v>573</v>
      </c>
      <c r="Q283" s="427" t="s">
        <v>592</v>
      </c>
      <c r="R283" s="439">
        <v>46</v>
      </c>
      <c r="S283" s="432">
        <v>192</v>
      </c>
      <c r="T283" s="444"/>
      <c r="U283" s="433"/>
      <c r="V283" s="427" t="s">
        <v>274</v>
      </c>
      <c r="W283" s="427"/>
      <c r="X283" s="430"/>
      <c r="Y283" s="45"/>
      <c r="Z283" s="17"/>
      <c r="AA283" s="90"/>
      <c r="AB283" s="17"/>
      <c r="AC283" s="17"/>
      <c r="AE283" s="17"/>
    </row>
    <row r="284" spans="1:31" ht="14.25" customHeight="1">
      <c r="A284" s="443" t="s">
        <v>37</v>
      </c>
      <c r="B284" s="443" t="s">
        <v>142</v>
      </c>
      <c r="C284" s="443" t="s">
        <v>1611</v>
      </c>
      <c r="D284" s="430" t="s">
        <v>3001</v>
      </c>
      <c r="E284" s="427" t="s">
        <v>1557</v>
      </c>
      <c r="F284" s="427"/>
      <c r="G284" s="427"/>
      <c r="H284" s="427" t="s">
        <v>41</v>
      </c>
      <c r="I284" s="427" t="s">
        <v>2117</v>
      </c>
      <c r="J284" s="427" t="s">
        <v>43</v>
      </c>
      <c r="K284" s="427" t="s">
        <v>43</v>
      </c>
      <c r="L284" s="427" t="s">
        <v>43</v>
      </c>
      <c r="M284" s="427" t="s">
        <v>44</v>
      </c>
      <c r="N284" s="427">
        <v>25.350989999999999</v>
      </c>
      <c r="O284" s="427">
        <v>97.442809999999994</v>
      </c>
      <c r="P284" s="427" t="s">
        <v>573</v>
      </c>
      <c r="Q284" s="427" t="s">
        <v>1530</v>
      </c>
      <c r="R284" s="439">
        <v>81</v>
      </c>
      <c r="S284" s="432">
        <v>387</v>
      </c>
      <c r="T284" s="444">
        <v>43276</v>
      </c>
      <c r="U284" s="433" t="s">
        <v>1579</v>
      </c>
      <c r="V284" s="427"/>
      <c r="W284" s="361" t="s">
        <v>1754</v>
      </c>
      <c r="X284" s="430"/>
      <c r="Y284" s="45"/>
      <c r="Z284" s="17"/>
      <c r="AA284" s="90"/>
      <c r="AB284" s="17"/>
      <c r="AC284" s="17"/>
      <c r="AE284" s="17"/>
    </row>
    <row r="285" spans="1:31" ht="14.25" customHeight="1">
      <c r="A285" s="399" t="s">
        <v>37</v>
      </c>
      <c r="B285" s="446" t="s">
        <v>142</v>
      </c>
      <c r="C285" s="443" t="s">
        <v>275</v>
      </c>
      <c r="D285" s="430" t="s">
        <v>3001</v>
      </c>
      <c r="E285" s="429" t="s">
        <v>1179</v>
      </c>
      <c r="F285" s="429" t="s">
        <v>1348</v>
      </c>
      <c r="G285" s="429" t="s">
        <v>1373</v>
      </c>
      <c r="H285" s="429" t="s">
        <v>41</v>
      </c>
      <c r="I285" s="429" t="s">
        <v>242</v>
      </c>
      <c r="J285" s="427" t="s">
        <v>43</v>
      </c>
      <c r="K285" s="427" t="s">
        <v>43</v>
      </c>
      <c r="L285" s="427" t="s">
        <v>43</v>
      </c>
      <c r="M285" s="427" t="s">
        <v>44</v>
      </c>
      <c r="N285" s="429">
        <v>25.351250396825399</v>
      </c>
      <c r="O285" s="429">
        <v>97.444283730158702</v>
      </c>
      <c r="P285" s="427" t="s">
        <v>573</v>
      </c>
      <c r="Q285" s="427" t="s">
        <v>592</v>
      </c>
      <c r="R285" s="439">
        <v>71</v>
      </c>
      <c r="S285" s="432">
        <v>307</v>
      </c>
      <c r="T285" s="444"/>
      <c r="U285" s="437"/>
      <c r="V285" s="429" t="s">
        <v>275</v>
      </c>
      <c r="W285" s="427"/>
      <c r="X285" s="430"/>
      <c r="Y285" s="45"/>
      <c r="Z285" s="17"/>
      <c r="AA285" s="90"/>
      <c r="AB285" s="17"/>
      <c r="AC285" s="17"/>
      <c r="AE285" s="17"/>
    </row>
    <row r="286" spans="1:31" ht="14.25" customHeight="1">
      <c r="A286" s="443" t="s">
        <v>37</v>
      </c>
      <c r="B286" s="443" t="s">
        <v>142</v>
      </c>
      <c r="C286" s="443" t="s">
        <v>773</v>
      </c>
      <c r="D286" s="390" t="s">
        <v>1300</v>
      </c>
      <c r="E286" s="443" t="s">
        <v>1183</v>
      </c>
      <c r="F286" s="427" t="s">
        <v>1348</v>
      </c>
      <c r="G286" s="427" t="s">
        <v>1338</v>
      </c>
      <c r="H286" s="427" t="s">
        <v>41</v>
      </c>
      <c r="I286" s="427" t="s">
        <v>141</v>
      </c>
      <c r="J286" s="427" t="s">
        <v>43</v>
      </c>
      <c r="K286" s="427" t="s">
        <v>43</v>
      </c>
      <c r="L286" s="427" t="s">
        <v>572</v>
      </c>
      <c r="M286" s="427" t="s">
        <v>44</v>
      </c>
      <c r="N286" s="427">
        <v>25.355841999999999</v>
      </c>
      <c r="O286" s="427">
        <v>97.438259000000002</v>
      </c>
      <c r="P286" s="427" t="s">
        <v>573</v>
      </c>
      <c r="Q286" s="427" t="s">
        <v>592</v>
      </c>
      <c r="R286" s="431">
        <v>0</v>
      </c>
      <c r="S286" s="431">
        <v>0</v>
      </c>
      <c r="T286" s="444"/>
      <c r="U286" s="433" t="s">
        <v>774</v>
      </c>
      <c r="V286" s="427" t="s">
        <v>773</v>
      </c>
      <c r="W286" s="361" t="s">
        <v>1668</v>
      </c>
      <c r="X286" s="390"/>
      <c r="Y286" s="45"/>
      <c r="Z286" s="17"/>
      <c r="AA286" s="90"/>
      <c r="AB286" s="17"/>
      <c r="AC286" s="17"/>
      <c r="AE286" s="17"/>
    </row>
    <row r="287" spans="1:31" ht="14.25" customHeight="1">
      <c r="A287" s="443" t="s">
        <v>37</v>
      </c>
      <c r="B287" s="443" t="s">
        <v>142</v>
      </c>
      <c r="C287" s="443" t="s">
        <v>1540</v>
      </c>
      <c r="D287" s="390"/>
      <c r="E287" s="427"/>
      <c r="F287" s="427"/>
      <c r="G287" s="427"/>
      <c r="H287" s="427"/>
      <c r="I287" s="427"/>
      <c r="J287" s="427" t="s">
        <v>1099</v>
      </c>
      <c r="K287" s="427" t="s">
        <v>43</v>
      </c>
      <c r="L287" s="427" t="s">
        <v>43</v>
      </c>
      <c r="M287" s="427" t="s">
        <v>44</v>
      </c>
      <c r="N287" s="427"/>
      <c r="O287" s="427"/>
      <c r="P287" s="427" t="s">
        <v>573</v>
      </c>
      <c r="Q287" s="427" t="s">
        <v>1530</v>
      </c>
      <c r="R287" s="431"/>
      <c r="S287" s="432"/>
      <c r="T287" s="444">
        <v>43270</v>
      </c>
      <c r="U287" s="433"/>
      <c r="V287" s="427"/>
      <c r="W287" s="427"/>
      <c r="X287" s="390"/>
      <c r="Y287" s="45"/>
      <c r="Z287" s="17"/>
      <c r="AA287" s="90"/>
      <c r="AB287" s="17"/>
      <c r="AC287" s="17"/>
      <c r="AE287" s="17"/>
    </row>
    <row r="288" spans="1:31" ht="14.25" customHeight="1">
      <c r="A288" s="399" t="s">
        <v>37</v>
      </c>
      <c r="B288" s="446" t="s">
        <v>142</v>
      </c>
      <c r="C288" s="399" t="s">
        <v>2776</v>
      </c>
      <c r="D288" s="430" t="s">
        <v>2975</v>
      </c>
      <c r="E288" s="427" t="s">
        <v>2787</v>
      </c>
      <c r="F288" s="427" t="s">
        <v>1348</v>
      </c>
      <c r="G288" s="427" t="s">
        <v>2798</v>
      </c>
      <c r="H288" s="427"/>
      <c r="I288" s="926" t="s">
        <v>2802</v>
      </c>
      <c r="J288" s="427" t="s">
        <v>43</v>
      </c>
      <c r="K288" s="427" t="s">
        <v>43</v>
      </c>
      <c r="L288" s="427" t="s">
        <v>572</v>
      </c>
      <c r="M288" s="427" t="s">
        <v>44</v>
      </c>
      <c r="N288" s="427">
        <v>25.211600000000001</v>
      </c>
      <c r="O288" s="427">
        <v>97.262799999999999</v>
      </c>
      <c r="P288" s="427"/>
      <c r="Q288" s="427" t="s">
        <v>2801</v>
      </c>
      <c r="R288" s="439">
        <v>42</v>
      </c>
      <c r="S288" s="432">
        <v>231</v>
      </c>
      <c r="T288" s="444">
        <v>44662</v>
      </c>
      <c r="U288" s="433" t="s">
        <v>2800</v>
      </c>
      <c r="V288" s="431"/>
      <c r="W288" s="716" t="s">
        <v>2805</v>
      </c>
      <c r="X288" s="430"/>
      <c r="Y288" s="45"/>
      <c r="Z288" s="17"/>
      <c r="AA288" s="90"/>
      <c r="AB288" s="17"/>
      <c r="AC288" s="17"/>
      <c r="AE288" s="17"/>
    </row>
    <row r="289" spans="1:31" ht="14.25" customHeight="1">
      <c r="A289" s="399" t="s">
        <v>37</v>
      </c>
      <c r="B289" s="446" t="s">
        <v>142</v>
      </c>
      <c r="C289" s="399" t="s">
        <v>2775</v>
      </c>
      <c r="D289" s="430" t="s">
        <v>3001</v>
      </c>
      <c r="E289" s="427" t="s">
        <v>2786</v>
      </c>
      <c r="F289" s="427" t="s">
        <v>1348</v>
      </c>
      <c r="G289" s="427" t="s">
        <v>2798</v>
      </c>
      <c r="H289" s="427"/>
      <c r="I289" s="926" t="s">
        <v>2802</v>
      </c>
      <c r="J289" s="427" t="s">
        <v>43</v>
      </c>
      <c r="K289" s="427" t="s">
        <v>43</v>
      </c>
      <c r="L289" s="427" t="s">
        <v>588</v>
      </c>
      <c r="M289" s="427" t="s">
        <v>44</v>
      </c>
      <c r="N289" s="427">
        <v>25.211500000000001</v>
      </c>
      <c r="O289" s="427">
        <v>97.261799999999994</v>
      </c>
      <c r="P289" s="427"/>
      <c r="Q289" s="427" t="s">
        <v>2801</v>
      </c>
      <c r="R289" s="439">
        <v>27</v>
      </c>
      <c r="S289" s="432">
        <v>139</v>
      </c>
      <c r="T289" s="444">
        <v>44662</v>
      </c>
      <c r="U289" s="433" t="s">
        <v>2800</v>
      </c>
      <c r="V289" s="431"/>
      <c r="W289" s="716" t="s">
        <v>2805</v>
      </c>
      <c r="X289" s="430"/>
      <c r="Y289" s="45"/>
      <c r="Z289" s="17"/>
      <c r="AA289" s="90"/>
      <c r="AB289" s="17"/>
      <c r="AC289" s="17"/>
      <c r="AE289" s="17"/>
    </row>
    <row r="290" spans="1:31" ht="14.25" customHeight="1">
      <c r="A290" s="443" t="s">
        <v>37</v>
      </c>
      <c r="B290" s="443" t="s">
        <v>142</v>
      </c>
      <c r="C290" s="443" t="s">
        <v>221</v>
      </c>
      <c r="D290" s="430" t="s">
        <v>3001</v>
      </c>
      <c r="E290" s="443" t="s">
        <v>1153</v>
      </c>
      <c r="F290" s="427" t="s">
        <v>1341</v>
      </c>
      <c r="G290" s="427" t="s">
        <v>1341</v>
      </c>
      <c r="H290" s="427" t="s">
        <v>41</v>
      </c>
      <c r="I290" s="427" t="s">
        <v>1035</v>
      </c>
      <c r="J290" s="427" t="s">
        <v>43</v>
      </c>
      <c r="K290" s="427" t="s">
        <v>43</v>
      </c>
      <c r="L290" s="427" t="s">
        <v>43</v>
      </c>
      <c r="M290" s="427" t="s">
        <v>590</v>
      </c>
      <c r="N290" s="427">
        <v>24.755253</v>
      </c>
      <c r="O290" s="427">
        <v>97.546893999999995</v>
      </c>
      <c r="P290" s="427" t="s">
        <v>573</v>
      </c>
      <c r="Q290" s="427" t="s">
        <v>592</v>
      </c>
      <c r="R290" s="439">
        <v>1333</v>
      </c>
      <c r="S290" s="432">
        <v>7163</v>
      </c>
      <c r="T290" s="444"/>
      <c r="U290" s="433"/>
      <c r="V290" s="427" t="s">
        <v>221</v>
      </c>
      <c r="W290" s="427" t="s">
        <v>1755</v>
      </c>
      <c r="X290" s="430"/>
      <c r="Y290" s="45"/>
      <c r="Z290" s="17"/>
      <c r="AA290" s="90"/>
      <c r="AB290" s="17"/>
      <c r="AC290" s="17"/>
      <c r="AE290" s="17"/>
    </row>
    <row r="291" spans="1:31" ht="14.25" customHeight="1">
      <c r="A291" s="443" t="s">
        <v>37</v>
      </c>
      <c r="B291" s="443" t="s">
        <v>142</v>
      </c>
      <c r="C291" s="443" t="s">
        <v>223</v>
      </c>
      <c r="D291" s="390"/>
      <c r="E291" s="443"/>
      <c r="F291" s="427"/>
      <c r="G291" s="427"/>
      <c r="H291" s="427"/>
      <c r="I291" s="427"/>
      <c r="J291" s="427" t="s">
        <v>1099</v>
      </c>
      <c r="K291" s="427" t="s">
        <v>43</v>
      </c>
      <c r="L291" s="427" t="s">
        <v>871</v>
      </c>
      <c r="M291" s="427" t="s">
        <v>590</v>
      </c>
      <c r="N291" s="427"/>
      <c r="O291" s="427"/>
      <c r="P291" s="427" t="s">
        <v>573</v>
      </c>
      <c r="Q291" s="427" t="s">
        <v>592</v>
      </c>
      <c r="R291" s="431"/>
      <c r="S291" s="432"/>
      <c r="T291" s="444"/>
      <c r="U291" s="433" t="s">
        <v>823</v>
      </c>
      <c r="V291" s="427"/>
      <c r="W291" s="361"/>
      <c r="X291" s="390"/>
      <c r="Y291" s="45"/>
      <c r="Z291" s="17"/>
      <c r="AA291" s="90"/>
      <c r="AB291" s="17"/>
      <c r="AC291" s="17"/>
      <c r="AE291" s="17"/>
    </row>
    <row r="292" spans="1:31" ht="14.25" customHeight="1">
      <c r="A292" s="399" t="s">
        <v>37</v>
      </c>
      <c r="B292" s="446" t="s">
        <v>142</v>
      </c>
      <c r="C292" s="399" t="s">
        <v>222</v>
      </c>
      <c r="D292" s="430"/>
      <c r="E292" s="427"/>
      <c r="F292" s="427"/>
      <c r="G292" s="427"/>
      <c r="H292" s="427"/>
      <c r="I292" s="427"/>
      <c r="J292" s="427" t="s">
        <v>1099</v>
      </c>
      <c r="K292" s="427" t="s">
        <v>43</v>
      </c>
      <c r="L292" s="427" t="s">
        <v>584</v>
      </c>
      <c r="M292" s="427" t="s">
        <v>590</v>
      </c>
      <c r="N292" s="427"/>
      <c r="O292" s="427"/>
      <c r="P292" s="427" t="s">
        <v>585</v>
      </c>
      <c r="Q292" s="427" t="s">
        <v>592</v>
      </c>
      <c r="R292" s="439"/>
      <c r="S292" s="432"/>
      <c r="T292" s="444"/>
      <c r="U292" s="439" t="s">
        <v>823</v>
      </c>
      <c r="V292" s="427"/>
      <c r="W292" s="431"/>
      <c r="X292" s="430"/>
      <c r="Y292" s="45"/>
      <c r="Z292" s="17"/>
      <c r="AA292" s="90"/>
      <c r="AB292" s="17"/>
      <c r="AC292" s="17"/>
      <c r="AE292" s="17"/>
    </row>
    <row r="293" spans="1:31" ht="14.25" customHeight="1">
      <c r="A293" s="399" t="s">
        <v>37</v>
      </c>
      <c r="B293" s="446" t="s">
        <v>142</v>
      </c>
      <c r="C293" s="399" t="s">
        <v>2779</v>
      </c>
      <c r="D293" s="430" t="s">
        <v>3001</v>
      </c>
      <c r="E293" s="427" t="s">
        <v>2790</v>
      </c>
      <c r="F293" s="427" t="s">
        <v>1348</v>
      </c>
      <c r="G293" s="427" t="s">
        <v>2799</v>
      </c>
      <c r="H293" s="427"/>
      <c r="I293" s="926" t="s">
        <v>2802</v>
      </c>
      <c r="J293" s="427" t="s">
        <v>43</v>
      </c>
      <c r="K293" s="427" t="s">
        <v>43</v>
      </c>
      <c r="L293" s="427" t="s">
        <v>2771</v>
      </c>
      <c r="M293" s="427" t="s">
        <v>44</v>
      </c>
      <c r="N293" s="427">
        <v>25.2056</v>
      </c>
      <c r="O293" s="427">
        <v>97.260800000000003</v>
      </c>
      <c r="P293" s="427"/>
      <c r="Q293" s="427" t="s">
        <v>2801</v>
      </c>
      <c r="R293" s="439">
        <v>45</v>
      </c>
      <c r="S293" s="432">
        <v>247</v>
      </c>
      <c r="T293" s="444">
        <v>44662</v>
      </c>
      <c r="U293" s="433" t="s">
        <v>2800</v>
      </c>
      <c r="V293" s="431"/>
      <c r="W293" s="716" t="s">
        <v>3005</v>
      </c>
      <c r="X293" s="430"/>
      <c r="Y293" s="45"/>
      <c r="Z293" s="17"/>
      <c r="AA293" s="90"/>
      <c r="AB293" s="17"/>
      <c r="AC293" s="17"/>
      <c r="AE293" s="17"/>
    </row>
    <row r="294" spans="1:31" ht="14.25" customHeight="1">
      <c r="A294" s="399" t="s">
        <v>37</v>
      </c>
      <c r="B294" s="446" t="s">
        <v>142</v>
      </c>
      <c r="C294" s="399" t="s">
        <v>765</v>
      </c>
      <c r="D294" s="430" t="s">
        <v>1300</v>
      </c>
      <c r="E294" s="443" t="s">
        <v>1162</v>
      </c>
      <c r="F294" s="427" t="s">
        <v>1345</v>
      </c>
      <c r="G294" s="427" t="s">
        <v>1346</v>
      </c>
      <c r="H294" s="427" t="s">
        <v>41</v>
      </c>
      <c r="I294" s="427" t="s">
        <v>141</v>
      </c>
      <c r="J294" s="427" t="s">
        <v>43</v>
      </c>
      <c r="K294" s="427" t="s">
        <v>43</v>
      </c>
      <c r="L294" s="427" t="s">
        <v>572</v>
      </c>
      <c r="M294" s="427" t="s">
        <v>590</v>
      </c>
      <c r="N294" s="427">
        <v>25.106670000000001</v>
      </c>
      <c r="O294" s="427">
        <v>97.756789999999995</v>
      </c>
      <c r="P294" s="427" t="s">
        <v>573</v>
      </c>
      <c r="Q294" s="427" t="s">
        <v>592</v>
      </c>
      <c r="R294" s="439">
        <v>0</v>
      </c>
      <c r="S294" s="432">
        <v>0</v>
      </c>
      <c r="T294" s="444"/>
      <c r="U294" s="439" t="s">
        <v>760</v>
      </c>
      <c r="V294" s="443" t="s">
        <v>766</v>
      </c>
      <c r="W294" s="431" t="s">
        <v>1669</v>
      </c>
      <c r="X294" s="430"/>
      <c r="Y294" s="45"/>
      <c r="Z294" s="17"/>
      <c r="AA294" s="90"/>
      <c r="AB294" s="17"/>
      <c r="AC294" s="17"/>
      <c r="AE294" s="17"/>
    </row>
    <row r="295" spans="1:31" ht="14.25" customHeight="1">
      <c r="A295" s="399" t="s">
        <v>515</v>
      </c>
      <c r="B295" s="446" t="s">
        <v>534</v>
      </c>
      <c r="C295" s="399" t="s">
        <v>2215</v>
      </c>
      <c r="D295" s="390"/>
      <c r="E295" s="427"/>
      <c r="F295" s="427"/>
      <c r="G295" s="427"/>
      <c r="H295" s="427"/>
      <c r="I295" s="427"/>
      <c r="J295" s="427" t="s">
        <v>2098</v>
      </c>
      <c r="K295" s="427" t="s">
        <v>2082</v>
      </c>
      <c r="L295" s="427" t="s">
        <v>2082</v>
      </c>
      <c r="M295" s="427" t="s">
        <v>44</v>
      </c>
      <c r="N295" s="427"/>
      <c r="O295" s="427"/>
      <c r="P295" s="427" t="s">
        <v>1573</v>
      </c>
      <c r="Q295" s="427" t="s">
        <v>2175</v>
      </c>
      <c r="R295" s="431"/>
      <c r="S295" s="431"/>
      <c r="T295" s="444">
        <v>43759</v>
      </c>
      <c r="U295" s="433"/>
      <c r="V295" s="427"/>
      <c r="W295" s="362"/>
      <c r="X295" s="390"/>
      <c r="Y295" s="45"/>
      <c r="Z295" s="17"/>
      <c r="AA295" s="90"/>
      <c r="AB295" s="17"/>
      <c r="AC295" s="17"/>
      <c r="AE295" s="17"/>
    </row>
    <row r="296" spans="1:31" ht="14.25" customHeight="1">
      <c r="A296" s="399" t="s">
        <v>515</v>
      </c>
      <c r="B296" s="446" t="s">
        <v>534</v>
      </c>
      <c r="C296" s="399" t="s">
        <v>2211</v>
      </c>
      <c r="D296" s="390"/>
      <c r="E296" s="443"/>
      <c r="F296" s="427"/>
      <c r="G296" s="427"/>
      <c r="H296" s="427"/>
      <c r="I296" s="427"/>
      <c r="J296" s="427" t="s">
        <v>2098</v>
      </c>
      <c r="K296" s="427" t="s">
        <v>2082</v>
      </c>
      <c r="L296" s="427" t="s">
        <v>2082</v>
      </c>
      <c r="M296" s="427" t="s">
        <v>44</v>
      </c>
      <c r="N296" s="427"/>
      <c r="O296" s="427"/>
      <c r="P296" s="427" t="s">
        <v>1573</v>
      </c>
      <c r="Q296" s="427" t="s">
        <v>2175</v>
      </c>
      <c r="R296" s="439"/>
      <c r="S296" s="432"/>
      <c r="T296" s="444">
        <v>43759</v>
      </c>
      <c r="U296" s="433"/>
      <c r="V296" s="427"/>
      <c r="W296" s="362"/>
      <c r="X296" s="390"/>
      <c r="Y296" s="45"/>
      <c r="Z296" s="17"/>
      <c r="AA296" s="90"/>
      <c r="AB296" s="17"/>
      <c r="AC296" s="17"/>
      <c r="AE296" s="17"/>
    </row>
    <row r="297" spans="1:31" ht="14.25" customHeight="1">
      <c r="A297" s="399" t="s">
        <v>515</v>
      </c>
      <c r="B297" s="446" t="s">
        <v>534</v>
      </c>
      <c r="C297" s="399" t="s">
        <v>535</v>
      </c>
      <c r="D297" s="430" t="s">
        <v>3001</v>
      </c>
      <c r="E297" s="897" t="s">
        <v>2947</v>
      </c>
      <c r="F297" s="427" t="s">
        <v>535</v>
      </c>
      <c r="G297" s="427" t="s">
        <v>535</v>
      </c>
      <c r="H297" s="427" t="s">
        <v>41</v>
      </c>
      <c r="I297" s="427" t="s">
        <v>2118</v>
      </c>
      <c r="J297" s="427" t="s">
        <v>43</v>
      </c>
      <c r="K297" s="427" t="s">
        <v>43</v>
      </c>
      <c r="L297" s="427" t="s">
        <v>43</v>
      </c>
      <c r="M297" s="427" t="s">
        <v>44</v>
      </c>
      <c r="N297" s="427">
        <v>23.354268999999999</v>
      </c>
      <c r="O297" s="427">
        <v>98.218626999999998</v>
      </c>
      <c r="P297" s="427" t="s">
        <v>573</v>
      </c>
      <c r="Q297" s="427" t="s">
        <v>592</v>
      </c>
      <c r="R297" s="439">
        <v>36</v>
      </c>
      <c r="S297" s="432">
        <v>180</v>
      </c>
      <c r="T297" s="444"/>
      <c r="U297" s="433"/>
      <c r="V297" s="427" t="s">
        <v>535</v>
      </c>
      <c r="W297" s="362" t="s">
        <v>1670</v>
      </c>
      <c r="X297" s="427" t="s">
        <v>1064</v>
      </c>
      <c r="Y297" s="45"/>
      <c r="Z297" s="17"/>
      <c r="AA297" s="90"/>
      <c r="AB297" s="17"/>
      <c r="AC297" s="17"/>
      <c r="AE297" s="17"/>
    </row>
    <row r="298" spans="1:31" ht="14.25" customHeight="1">
      <c r="A298" s="399" t="s">
        <v>515</v>
      </c>
      <c r="B298" s="446" t="s">
        <v>534</v>
      </c>
      <c r="C298" s="399" t="s">
        <v>558</v>
      </c>
      <c r="D298" s="430" t="s">
        <v>2259</v>
      </c>
      <c r="E298" s="427" t="s">
        <v>1065</v>
      </c>
      <c r="F298" s="427" t="s">
        <v>1370</v>
      </c>
      <c r="G298" s="427" t="s">
        <v>1370</v>
      </c>
      <c r="H298" s="427"/>
      <c r="I298" s="427" t="s">
        <v>1619</v>
      </c>
      <c r="J298" s="427" t="s">
        <v>43</v>
      </c>
      <c r="K298" s="427" t="s">
        <v>697</v>
      </c>
      <c r="L298" s="427" t="s">
        <v>43</v>
      </c>
      <c r="M298" s="427" t="s">
        <v>590</v>
      </c>
      <c r="N298" s="427">
        <v>23.372409999999999</v>
      </c>
      <c r="O298" s="427">
        <v>98.352670000000003</v>
      </c>
      <c r="P298" s="427" t="s">
        <v>585</v>
      </c>
      <c r="Q298" s="427" t="s">
        <v>592</v>
      </c>
      <c r="R298" s="439">
        <v>67</v>
      </c>
      <c r="S298" s="432">
        <v>392</v>
      </c>
      <c r="T298" s="444">
        <v>43276</v>
      </c>
      <c r="U298" s="433" t="s">
        <v>1565</v>
      </c>
      <c r="V298" s="427" t="s">
        <v>558</v>
      </c>
      <c r="W298" s="431" t="s">
        <v>1671</v>
      </c>
      <c r="X298" s="430"/>
      <c r="Y298" s="45"/>
      <c r="Z298" s="17"/>
      <c r="AA298" s="90"/>
      <c r="AB298" s="17"/>
      <c r="AC298" s="17"/>
      <c r="AE298" s="17"/>
    </row>
    <row r="299" spans="1:31" ht="14.25" customHeight="1">
      <c r="A299" s="399" t="s">
        <v>515</v>
      </c>
      <c r="B299" s="446" t="s">
        <v>534</v>
      </c>
      <c r="C299" s="399" t="s">
        <v>563</v>
      </c>
      <c r="D299" s="390" t="s">
        <v>1300</v>
      </c>
      <c r="E299" s="427" t="s">
        <v>1063</v>
      </c>
      <c r="F299" s="427" t="s">
        <v>1304</v>
      </c>
      <c r="G299" s="427" t="s">
        <v>1304</v>
      </c>
      <c r="H299" s="427"/>
      <c r="I299" s="429">
        <v>0</v>
      </c>
      <c r="J299" s="427" t="s">
        <v>43</v>
      </c>
      <c r="K299" s="427" t="s">
        <v>43</v>
      </c>
      <c r="L299" s="427" t="s">
        <v>572</v>
      </c>
      <c r="M299" s="427" t="s">
        <v>44</v>
      </c>
      <c r="N299" s="427">
        <v>23.353999999999999</v>
      </c>
      <c r="O299" s="427">
        <v>98.221000000000004</v>
      </c>
      <c r="P299" s="427" t="s">
        <v>573</v>
      </c>
      <c r="Q299" s="427" t="s">
        <v>574</v>
      </c>
      <c r="R299" s="431">
        <v>0</v>
      </c>
      <c r="S299" s="431">
        <v>0</v>
      </c>
      <c r="T299" s="444"/>
      <c r="U299" s="433"/>
      <c r="V299" s="427"/>
      <c r="W299" s="362" t="s">
        <v>1672</v>
      </c>
      <c r="X299" s="390"/>
      <c r="Y299" s="45"/>
      <c r="Z299" s="17"/>
      <c r="AA299" s="90"/>
      <c r="AB299" s="17"/>
      <c r="AC299" s="17"/>
      <c r="AE299" s="17"/>
    </row>
    <row r="300" spans="1:31" ht="14.25" customHeight="1">
      <c r="A300" s="399" t="s">
        <v>515</v>
      </c>
      <c r="B300" s="446" t="s">
        <v>556</v>
      </c>
      <c r="C300" s="399" t="s">
        <v>2087</v>
      </c>
      <c r="D300" s="430"/>
      <c r="E300" s="427"/>
      <c r="F300" s="427"/>
      <c r="G300" s="427"/>
      <c r="H300" s="427"/>
      <c r="I300" s="427"/>
      <c r="J300" s="427" t="s">
        <v>2098</v>
      </c>
      <c r="K300" s="427" t="s">
        <v>2082</v>
      </c>
      <c r="L300" s="427" t="s">
        <v>2082</v>
      </c>
      <c r="M300" s="427" t="s">
        <v>44</v>
      </c>
      <c r="N300" s="427"/>
      <c r="O300" s="427"/>
      <c r="P300" s="427" t="s">
        <v>1573</v>
      </c>
      <c r="Q300" s="427"/>
      <c r="R300" s="439"/>
      <c r="S300" s="432"/>
      <c r="T300" s="444">
        <v>43567</v>
      </c>
      <c r="U300" s="433"/>
      <c r="V300" s="427"/>
      <c r="W300" s="431"/>
      <c r="X300" s="430"/>
      <c r="Y300" s="45"/>
      <c r="Z300" s="17"/>
      <c r="AA300" s="90"/>
      <c r="AB300" s="17"/>
      <c r="AC300" s="17"/>
      <c r="AE300" s="17"/>
    </row>
    <row r="301" spans="1:31" ht="14.25" customHeight="1">
      <c r="A301" s="399" t="s">
        <v>515</v>
      </c>
      <c r="B301" s="446" t="s">
        <v>556</v>
      </c>
      <c r="C301" s="399" t="s">
        <v>2695</v>
      </c>
      <c r="D301" s="430" t="s">
        <v>2975</v>
      </c>
      <c r="E301" s="925" t="s">
        <v>2948</v>
      </c>
      <c r="F301" s="427" t="s">
        <v>2707</v>
      </c>
      <c r="G301" s="427" t="s">
        <v>2708</v>
      </c>
      <c r="H301" s="427"/>
      <c r="I301" s="427" t="s">
        <v>1619</v>
      </c>
      <c r="J301" s="427" t="s">
        <v>43</v>
      </c>
      <c r="K301" s="427" t="s">
        <v>43</v>
      </c>
      <c r="L301" s="427" t="s">
        <v>572</v>
      </c>
      <c r="M301" s="427" t="s">
        <v>44</v>
      </c>
      <c r="N301" s="427">
        <v>22.6923503875732</v>
      </c>
      <c r="O301" s="427">
        <v>97.434150695800795</v>
      </c>
      <c r="P301" s="427" t="s">
        <v>573</v>
      </c>
      <c r="Q301" s="427" t="s">
        <v>2700</v>
      </c>
      <c r="R301" s="439">
        <v>13</v>
      </c>
      <c r="S301" s="432">
        <v>29</v>
      </c>
      <c r="T301" s="444">
        <v>44544</v>
      </c>
      <c r="U301" s="433"/>
      <c r="V301" s="427"/>
      <c r="W301" s="431" t="s">
        <v>2709</v>
      </c>
      <c r="X301" s="427" t="s">
        <v>2706</v>
      </c>
      <c r="Y301" s="45"/>
      <c r="Z301" s="17"/>
      <c r="AA301" s="90"/>
      <c r="AB301" s="17"/>
      <c r="AC301" s="17"/>
      <c r="AE301" s="17"/>
    </row>
    <row r="302" spans="1:31" ht="14.25" customHeight="1">
      <c r="A302" s="399" t="s">
        <v>515</v>
      </c>
      <c r="B302" s="446" t="s">
        <v>556</v>
      </c>
      <c r="C302" s="399" t="s">
        <v>557</v>
      </c>
      <c r="D302" s="430" t="s">
        <v>3001</v>
      </c>
      <c r="E302" s="925" t="s">
        <v>2949</v>
      </c>
      <c r="F302" s="427" t="s">
        <v>1366</v>
      </c>
      <c r="G302" s="427" t="s">
        <v>1367</v>
      </c>
      <c r="H302" s="427"/>
      <c r="I302" s="427" t="s">
        <v>1619</v>
      </c>
      <c r="J302" s="427" t="s">
        <v>43</v>
      </c>
      <c r="K302" s="427" t="s">
        <v>43</v>
      </c>
      <c r="L302" s="427" t="s">
        <v>588</v>
      </c>
      <c r="M302" s="427" t="s">
        <v>44</v>
      </c>
      <c r="N302" s="427">
        <v>22.677008000000001</v>
      </c>
      <c r="O302" s="427">
        <v>97.314762999999999</v>
      </c>
      <c r="P302" s="427" t="s">
        <v>573</v>
      </c>
      <c r="Q302" s="427" t="s">
        <v>574</v>
      </c>
      <c r="R302" s="439">
        <v>37</v>
      </c>
      <c r="S302" s="432">
        <v>120</v>
      </c>
      <c r="T302" s="444"/>
      <c r="U302" s="433" t="s">
        <v>691</v>
      </c>
      <c r="V302" s="431" t="s">
        <v>692</v>
      </c>
      <c r="W302" s="431" t="s">
        <v>1673</v>
      </c>
      <c r="X302" s="427" t="s">
        <v>1055</v>
      </c>
      <c r="Y302" s="45"/>
      <c r="Z302" s="17"/>
      <c r="AA302" s="90"/>
      <c r="AB302" s="17"/>
      <c r="AC302" s="17"/>
      <c r="AE302" s="17"/>
    </row>
    <row r="303" spans="1:31" ht="14.25" customHeight="1">
      <c r="A303" s="399" t="s">
        <v>515</v>
      </c>
      <c r="B303" s="446" t="s">
        <v>556</v>
      </c>
      <c r="C303" s="399" t="s">
        <v>2088</v>
      </c>
      <c r="D303" s="430"/>
      <c r="E303" s="427"/>
      <c r="F303" s="427"/>
      <c r="G303" s="427"/>
      <c r="H303" s="427"/>
      <c r="I303" s="427"/>
      <c r="J303" s="427" t="s">
        <v>2098</v>
      </c>
      <c r="K303" s="427" t="s">
        <v>2082</v>
      </c>
      <c r="L303" s="427" t="s">
        <v>2082</v>
      </c>
      <c r="M303" s="427" t="s">
        <v>44</v>
      </c>
      <c r="N303" s="427"/>
      <c r="O303" s="427"/>
      <c r="P303" s="427" t="s">
        <v>1573</v>
      </c>
      <c r="Q303" s="427"/>
      <c r="R303" s="439"/>
      <c r="S303" s="432"/>
      <c r="T303" s="444">
        <v>43567</v>
      </c>
      <c r="U303" s="439"/>
      <c r="V303" s="443"/>
      <c r="W303" s="431"/>
      <c r="X303" s="430"/>
      <c r="Y303" s="45"/>
      <c r="Z303" s="17"/>
      <c r="AA303" s="90"/>
      <c r="AB303" s="17"/>
      <c r="AC303" s="17"/>
      <c r="AE303" s="17"/>
    </row>
    <row r="304" spans="1:31" ht="14.25" customHeight="1">
      <c r="A304" s="399" t="s">
        <v>515</v>
      </c>
      <c r="B304" s="446" t="s">
        <v>556</v>
      </c>
      <c r="C304" s="703" t="s">
        <v>2089</v>
      </c>
      <c r="D304" s="390"/>
      <c r="E304" s="427"/>
      <c r="F304" s="427"/>
      <c r="G304" s="427"/>
      <c r="H304" s="427"/>
      <c r="I304" s="429"/>
      <c r="J304" s="427" t="s">
        <v>2098</v>
      </c>
      <c r="K304" s="427" t="s">
        <v>2082</v>
      </c>
      <c r="L304" s="427" t="s">
        <v>2082</v>
      </c>
      <c r="M304" s="427" t="s">
        <v>44</v>
      </c>
      <c r="N304" s="427"/>
      <c r="O304" s="427"/>
      <c r="P304" s="427" t="s">
        <v>1573</v>
      </c>
      <c r="Q304" s="427"/>
      <c r="R304" s="431"/>
      <c r="S304" s="431"/>
      <c r="T304" s="444">
        <v>43567</v>
      </c>
      <c r="U304" s="433"/>
      <c r="V304" s="427"/>
      <c r="W304" s="362"/>
      <c r="X304" s="390"/>
      <c r="Y304" s="45"/>
      <c r="Z304" s="17"/>
      <c r="AA304" s="90"/>
      <c r="AB304" s="17"/>
      <c r="AC304" s="17"/>
      <c r="AE304" s="17"/>
    </row>
    <row r="305" spans="1:31" ht="14.25" customHeight="1">
      <c r="A305" s="399" t="s">
        <v>515</v>
      </c>
      <c r="B305" s="446" t="s">
        <v>519</v>
      </c>
      <c r="C305" s="399" t="s">
        <v>3031</v>
      </c>
      <c r="D305" s="430" t="s">
        <v>3001</v>
      </c>
      <c r="E305" s="925" t="s">
        <v>2950</v>
      </c>
      <c r="F305" s="427" t="s">
        <v>1374</v>
      </c>
      <c r="G305" s="427" t="s">
        <v>1375</v>
      </c>
      <c r="H305" s="427"/>
      <c r="I305" s="427"/>
      <c r="J305" s="427" t="s">
        <v>43</v>
      </c>
      <c r="K305" s="427" t="s">
        <v>43</v>
      </c>
      <c r="L305" s="427" t="s">
        <v>2608</v>
      </c>
      <c r="M305" s="427" t="s">
        <v>44</v>
      </c>
      <c r="N305" s="427">
        <v>23.400155999999999</v>
      </c>
      <c r="O305" s="427">
        <v>98.220614999999995</v>
      </c>
      <c r="P305" s="427" t="s">
        <v>573</v>
      </c>
      <c r="Q305" s="427" t="s">
        <v>2609</v>
      </c>
      <c r="R305" s="439">
        <v>27</v>
      </c>
      <c r="S305" s="432">
        <v>162</v>
      </c>
      <c r="T305" s="444">
        <v>44166</v>
      </c>
      <c r="U305" s="433"/>
      <c r="V305" s="436" t="s">
        <v>2604</v>
      </c>
      <c r="W305" s="362"/>
      <c r="X305" s="427" t="s">
        <v>2597</v>
      </c>
      <c r="Y305" s="45"/>
      <c r="Z305" s="17"/>
      <c r="AA305" s="90"/>
      <c r="AB305" s="17"/>
      <c r="AC305" s="17"/>
      <c r="AE305" s="17"/>
    </row>
    <row r="306" spans="1:31" ht="14.25" customHeight="1">
      <c r="A306" s="399" t="s">
        <v>515</v>
      </c>
      <c r="B306" s="446" t="s">
        <v>519</v>
      </c>
      <c r="C306" s="399" t="s">
        <v>1722</v>
      </c>
      <c r="D306" s="430"/>
      <c r="E306" s="427"/>
      <c r="F306" s="427"/>
      <c r="G306" s="427"/>
      <c r="H306" s="427"/>
      <c r="I306" s="427"/>
      <c r="J306" s="427" t="s">
        <v>2098</v>
      </c>
      <c r="K306" s="427" t="s">
        <v>2082</v>
      </c>
      <c r="L306" s="427" t="s">
        <v>2082</v>
      </c>
      <c r="M306" s="427" t="s">
        <v>44</v>
      </c>
      <c r="N306" s="427"/>
      <c r="O306" s="427"/>
      <c r="P306" s="427" t="s">
        <v>1573</v>
      </c>
      <c r="Q306" s="427" t="s">
        <v>2175</v>
      </c>
      <c r="R306" s="439"/>
      <c r="S306" s="432"/>
      <c r="T306" s="444">
        <v>43759</v>
      </c>
      <c r="U306" s="439"/>
      <c r="V306" s="427"/>
      <c r="W306" s="431"/>
      <c r="X306" s="430"/>
      <c r="Y306" s="45"/>
      <c r="Z306" s="17"/>
      <c r="AA306" s="90"/>
      <c r="AB306" s="17"/>
      <c r="AC306" s="17"/>
      <c r="AE306" s="17"/>
    </row>
    <row r="307" spans="1:31" ht="14.25" customHeight="1">
      <c r="A307" s="399" t="s">
        <v>515</v>
      </c>
      <c r="B307" s="446" t="s">
        <v>519</v>
      </c>
      <c r="C307" s="399" t="s">
        <v>1720</v>
      </c>
      <c r="D307" s="430" t="s">
        <v>3001</v>
      </c>
      <c r="E307" s="925" t="s">
        <v>2951</v>
      </c>
      <c r="F307" s="427" t="s">
        <v>1722</v>
      </c>
      <c r="G307" s="427" t="s">
        <v>1722</v>
      </c>
      <c r="H307" s="427"/>
      <c r="I307" s="427" t="s">
        <v>1619</v>
      </c>
      <c r="J307" s="427" t="s">
        <v>43</v>
      </c>
      <c r="K307" s="427" t="s">
        <v>43</v>
      </c>
      <c r="L307" s="427" t="s">
        <v>588</v>
      </c>
      <c r="M307" s="427" t="s">
        <v>44</v>
      </c>
      <c r="N307" s="427">
        <v>23.234137</v>
      </c>
      <c r="O307" s="427">
        <v>97.505339000000006</v>
      </c>
      <c r="P307" s="427" t="s">
        <v>573</v>
      </c>
      <c r="Q307" s="427" t="s">
        <v>1723</v>
      </c>
      <c r="R307" s="439">
        <v>86</v>
      </c>
      <c r="S307" s="432">
        <v>525</v>
      </c>
      <c r="T307" s="444">
        <v>43405</v>
      </c>
      <c r="U307" s="433" t="s">
        <v>1724</v>
      </c>
      <c r="V307" s="427" t="s">
        <v>1720</v>
      </c>
      <c r="W307" s="362" t="s">
        <v>1725</v>
      </c>
      <c r="X307" s="427" t="s">
        <v>1721</v>
      </c>
      <c r="Y307" s="45"/>
      <c r="Z307" s="17"/>
      <c r="AA307" s="90"/>
      <c r="AB307" s="17"/>
      <c r="AC307" s="17"/>
      <c r="AE307" s="17"/>
    </row>
    <row r="308" spans="1:31" ht="14.25" customHeight="1">
      <c r="A308" s="399" t="s">
        <v>515</v>
      </c>
      <c r="B308" s="446" t="s">
        <v>519</v>
      </c>
      <c r="C308" s="703" t="s">
        <v>3032</v>
      </c>
      <c r="D308" s="430" t="s">
        <v>3001</v>
      </c>
      <c r="E308" s="427" t="s">
        <v>1072</v>
      </c>
      <c r="F308" s="427" t="s">
        <v>1371</v>
      </c>
      <c r="G308" s="427" t="s">
        <v>1373</v>
      </c>
      <c r="H308" s="427" t="s">
        <v>41</v>
      </c>
      <c r="I308" s="429" t="s">
        <v>1041</v>
      </c>
      <c r="J308" s="427" t="s">
        <v>43</v>
      </c>
      <c r="K308" s="427" t="s">
        <v>43</v>
      </c>
      <c r="L308" s="427" t="s">
        <v>43</v>
      </c>
      <c r="M308" s="427" t="s">
        <v>44</v>
      </c>
      <c r="N308" s="427">
        <v>23.38503</v>
      </c>
      <c r="O308" s="427">
        <v>97.837040000000002</v>
      </c>
      <c r="P308" s="427" t="s">
        <v>573</v>
      </c>
      <c r="Q308" s="427" t="s">
        <v>592</v>
      </c>
      <c r="R308" s="439">
        <v>26</v>
      </c>
      <c r="S308" s="432">
        <v>133</v>
      </c>
      <c r="T308" s="444"/>
      <c r="U308" s="433"/>
      <c r="V308" s="453" t="s">
        <v>520</v>
      </c>
      <c r="W308" s="362" t="s">
        <v>1677</v>
      </c>
      <c r="X308" s="430"/>
      <c r="Y308" s="45"/>
      <c r="Z308" s="17"/>
      <c r="AA308" s="90"/>
      <c r="AB308" s="17"/>
      <c r="AC308" s="17"/>
      <c r="AE308" s="17"/>
    </row>
    <row r="309" spans="1:31" ht="14.25" customHeight="1">
      <c r="A309" s="399" t="s">
        <v>515</v>
      </c>
      <c r="B309" s="446" t="s">
        <v>519</v>
      </c>
      <c r="C309" s="399" t="s">
        <v>1726</v>
      </c>
      <c r="D309" s="430" t="s">
        <v>3001</v>
      </c>
      <c r="E309" s="925" t="s">
        <v>2952</v>
      </c>
      <c r="F309" s="427" t="s">
        <v>1728</v>
      </c>
      <c r="G309" s="427"/>
      <c r="H309" s="427" t="s">
        <v>41</v>
      </c>
      <c r="I309" s="427" t="s">
        <v>1041</v>
      </c>
      <c r="J309" s="427" t="s">
        <v>43</v>
      </c>
      <c r="K309" s="427" t="s">
        <v>43</v>
      </c>
      <c r="L309" s="427" t="s">
        <v>43</v>
      </c>
      <c r="M309" s="427" t="s">
        <v>44</v>
      </c>
      <c r="N309" s="427">
        <v>23.638999999999999</v>
      </c>
      <c r="O309" s="427">
        <v>97.861999999999995</v>
      </c>
      <c r="P309" s="427" t="s">
        <v>573</v>
      </c>
      <c r="Q309" s="427" t="s">
        <v>1723</v>
      </c>
      <c r="R309" s="439">
        <v>31</v>
      </c>
      <c r="S309" s="432">
        <v>133</v>
      </c>
      <c r="T309" s="444"/>
      <c r="U309" s="433" t="s">
        <v>1729</v>
      </c>
      <c r="V309" s="427" t="s">
        <v>1726</v>
      </c>
      <c r="W309" s="431" t="s">
        <v>1732</v>
      </c>
      <c r="X309" s="427" t="s">
        <v>1727</v>
      </c>
      <c r="Y309" s="45"/>
      <c r="Z309" s="17"/>
      <c r="AA309" s="90"/>
      <c r="AB309" s="17"/>
      <c r="AC309" s="17"/>
      <c r="AE309" s="17"/>
    </row>
    <row r="310" spans="1:31" ht="14.25" customHeight="1">
      <c r="A310" s="399" t="s">
        <v>515</v>
      </c>
      <c r="B310" s="446" t="s">
        <v>519</v>
      </c>
      <c r="C310" s="399" t="s">
        <v>2216</v>
      </c>
      <c r="D310" s="390"/>
      <c r="E310" s="427"/>
      <c r="F310" s="427"/>
      <c r="G310" s="427"/>
      <c r="H310" s="427"/>
      <c r="I310" s="427"/>
      <c r="J310" s="427" t="s">
        <v>2098</v>
      </c>
      <c r="K310" s="427" t="s">
        <v>2082</v>
      </c>
      <c r="L310" s="427" t="s">
        <v>2082</v>
      </c>
      <c r="M310" s="427" t="s">
        <v>44</v>
      </c>
      <c r="N310" s="427"/>
      <c r="O310" s="427"/>
      <c r="P310" s="427" t="s">
        <v>1573</v>
      </c>
      <c r="Q310" s="427" t="s">
        <v>2175</v>
      </c>
      <c r="R310" s="431"/>
      <c r="S310" s="431"/>
      <c r="T310" s="444">
        <v>43759</v>
      </c>
      <c r="U310" s="433"/>
      <c r="V310" s="427"/>
      <c r="W310" s="362"/>
      <c r="X310" s="390"/>
      <c r="Y310" s="45"/>
      <c r="Z310" s="17"/>
      <c r="AA310" s="90"/>
      <c r="AB310" s="17"/>
      <c r="AC310" s="17"/>
      <c r="AE310" s="17"/>
    </row>
    <row r="311" spans="1:31" ht="14.25" customHeight="1">
      <c r="A311" s="399" t="s">
        <v>515</v>
      </c>
      <c r="B311" s="446" t="s">
        <v>519</v>
      </c>
      <c r="C311" s="399" t="s">
        <v>540</v>
      </c>
      <c r="D311" s="390" t="s">
        <v>1300</v>
      </c>
      <c r="E311" s="427" t="s">
        <v>1068</v>
      </c>
      <c r="F311" s="427" t="s">
        <v>1305</v>
      </c>
      <c r="G311" s="427" t="s">
        <v>1306</v>
      </c>
      <c r="H311" s="427" t="s">
        <v>41</v>
      </c>
      <c r="I311" s="427" t="s">
        <v>141</v>
      </c>
      <c r="J311" s="427" t="s">
        <v>43</v>
      </c>
      <c r="K311" s="427" t="s">
        <v>697</v>
      </c>
      <c r="L311" s="427" t="s">
        <v>572</v>
      </c>
      <c r="M311" s="427" t="s">
        <v>44</v>
      </c>
      <c r="N311" s="427">
        <v>23.4008</v>
      </c>
      <c r="O311" s="427">
        <v>97.848529999999997</v>
      </c>
      <c r="P311" s="427" t="s">
        <v>573</v>
      </c>
      <c r="Q311" s="427" t="s">
        <v>592</v>
      </c>
      <c r="R311" s="431">
        <v>0</v>
      </c>
      <c r="S311" s="431">
        <v>0</v>
      </c>
      <c r="T311" s="444">
        <v>43049</v>
      </c>
      <c r="U311" s="433" t="s">
        <v>699</v>
      </c>
      <c r="V311" s="427" t="s">
        <v>540</v>
      </c>
      <c r="W311" s="362" t="s">
        <v>1674</v>
      </c>
      <c r="X311" s="390"/>
      <c r="Y311" s="45"/>
      <c r="Z311" s="17"/>
      <c r="AA311" s="90"/>
      <c r="AB311" s="17"/>
      <c r="AC311" s="17"/>
      <c r="AE311" s="17"/>
    </row>
    <row r="312" spans="1:31" ht="14.25" customHeight="1">
      <c r="A312" s="399" t="s">
        <v>515</v>
      </c>
      <c r="B312" s="446" t="s">
        <v>519</v>
      </c>
      <c r="C312" s="399" t="s">
        <v>830</v>
      </c>
      <c r="D312" s="390"/>
      <c r="E312" s="427"/>
      <c r="F312" s="427"/>
      <c r="G312" s="427"/>
      <c r="H312" s="427"/>
      <c r="I312" s="427"/>
      <c r="J312" s="427" t="s">
        <v>1099</v>
      </c>
      <c r="K312" s="427" t="s">
        <v>43</v>
      </c>
      <c r="L312" s="427" t="s">
        <v>826</v>
      </c>
      <c r="M312" s="427" t="s">
        <v>44</v>
      </c>
      <c r="N312" s="427"/>
      <c r="O312" s="427"/>
      <c r="P312" s="427" t="s">
        <v>573</v>
      </c>
      <c r="Q312" s="427" t="s">
        <v>592</v>
      </c>
      <c r="R312" s="431"/>
      <c r="S312" s="431"/>
      <c r="T312" s="444"/>
      <c r="U312" s="433" t="s">
        <v>823</v>
      </c>
      <c r="V312" s="427" t="s">
        <v>830</v>
      </c>
      <c r="W312" s="362"/>
      <c r="X312" s="390"/>
      <c r="Y312" s="45"/>
      <c r="Z312" s="17"/>
      <c r="AA312" s="90"/>
      <c r="AB312" s="17"/>
      <c r="AC312" s="17"/>
      <c r="AE312" s="17"/>
    </row>
    <row r="313" spans="1:31" ht="14.25" customHeight="1">
      <c r="A313" s="399" t="s">
        <v>515</v>
      </c>
      <c r="B313" s="446" t="s">
        <v>519</v>
      </c>
      <c r="C313" s="399" t="s">
        <v>541</v>
      </c>
      <c r="D313" s="430" t="s">
        <v>3001</v>
      </c>
      <c r="E313" s="427" t="s">
        <v>1070</v>
      </c>
      <c r="F313" s="427" t="s">
        <v>1371</v>
      </c>
      <c r="G313" s="427" t="s">
        <v>1372</v>
      </c>
      <c r="H313" s="427" t="s">
        <v>41</v>
      </c>
      <c r="I313" s="427" t="s">
        <v>2118</v>
      </c>
      <c r="J313" s="427" t="s">
        <v>43</v>
      </c>
      <c r="K313" s="427" t="s">
        <v>43</v>
      </c>
      <c r="L313" s="427" t="s">
        <v>43</v>
      </c>
      <c r="M313" s="427" t="s">
        <v>44</v>
      </c>
      <c r="N313" s="427">
        <v>23.450914000000001</v>
      </c>
      <c r="O313" s="427">
        <v>97.926813999999993</v>
      </c>
      <c r="P313" s="427" t="s">
        <v>573</v>
      </c>
      <c r="Q313" s="427" t="s">
        <v>592</v>
      </c>
      <c r="R313" s="439">
        <v>40</v>
      </c>
      <c r="S313" s="432">
        <v>251</v>
      </c>
      <c r="T313" s="444"/>
      <c r="U313" s="433"/>
      <c r="V313" s="427" t="s">
        <v>541</v>
      </c>
      <c r="W313" s="431" t="s">
        <v>1675</v>
      </c>
      <c r="X313" s="430"/>
      <c r="Y313" s="45"/>
      <c r="Z313" s="17"/>
      <c r="AA313" s="90"/>
      <c r="AB313" s="17"/>
      <c r="AC313" s="17"/>
      <c r="AE313" s="17"/>
    </row>
    <row r="314" spans="1:31" ht="14.25" customHeight="1">
      <c r="A314" s="399" t="s">
        <v>515</v>
      </c>
      <c r="B314" s="446" t="s">
        <v>519</v>
      </c>
      <c r="C314" s="399" t="s">
        <v>546</v>
      </c>
      <c r="D314" s="430" t="s">
        <v>3001</v>
      </c>
      <c r="E314" s="427" t="s">
        <v>2955</v>
      </c>
      <c r="F314" s="427" t="s">
        <v>1371</v>
      </c>
      <c r="G314" s="427" t="s">
        <v>1303</v>
      </c>
      <c r="H314" s="427" t="s">
        <v>41</v>
      </c>
      <c r="I314" s="427" t="s">
        <v>2118</v>
      </c>
      <c r="J314" s="427" t="s">
        <v>43</v>
      </c>
      <c r="K314" s="427" t="s">
        <v>43</v>
      </c>
      <c r="L314" s="427" t="s">
        <v>43</v>
      </c>
      <c r="M314" s="427" t="s">
        <v>44</v>
      </c>
      <c r="N314" s="427">
        <v>23.460349999999998</v>
      </c>
      <c r="O314" s="427">
        <v>97.947360000000003</v>
      </c>
      <c r="P314" s="427" t="s">
        <v>573</v>
      </c>
      <c r="Q314" s="427" t="s">
        <v>574</v>
      </c>
      <c r="R314" s="439">
        <v>36</v>
      </c>
      <c r="S314" s="432">
        <v>158</v>
      </c>
      <c r="T314" s="444">
        <v>42836</v>
      </c>
      <c r="U314" s="433" t="s">
        <v>700</v>
      </c>
      <c r="V314" s="427"/>
      <c r="W314" s="362" t="s">
        <v>1676</v>
      </c>
      <c r="X314" s="427" t="s">
        <v>1071</v>
      </c>
      <c r="Y314" s="45"/>
      <c r="Z314" s="17"/>
      <c r="AA314" s="90"/>
      <c r="AB314" s="17"/>
      <c r="AC314" s="17"/>
      <c r="AE314" s="17"/>
    </row>
    <row r="315" spans="1:31" ht="14.25" customHeight="1">
      <c r="A315" s="399" t="s">
        <v>515</v>
      </c>
      <c r="B315" s="446" t="s">
        <v>519</v>
      </c>
      <c r="C315" s="399" t="s">
        <v>564</v>
      </c>
      <c r="D315" s="430"/>
      <c r="E315" s="427"/>
      <c r="F315" s="427"/>
      <c r="G315" s="427"/>
      <c r="H315" s="427"/>
      <c r="I315" s="427"/>
      <c r="J315" s="427" t="s">
        <v>1099</v>
      </c>
      <c r="K315" s="427" t="s">
        <v>43</v>
      </c>
      <c r="L315" s="427" t="s">
        <v>43</v>
      </c>
      <c r="M315" s="427" t="s">
        <v>44</v>
      </c>
      <c r="N315" s="427"/>
      <c r="O315" s="427"/>
      <c r="P315" s="427" t="s">
        <v>573</v>
      </c>
      <c r="Q315" s="427" t="s">
        <v>592</v>
      </c>
      <c r="R315" s="439"/>
      <c r="S315" s="432"/>
      <c r="T315" s="444">
        <v>42747</v>
      </c>
      <c r="U315" s="439"/>
      <c r="V315" s="427"/>
      <c r="W315" s="431"/>
      <c r="X315" s="430"/>
      <c r="Y315" s="45"/>
      <c r="Z315" s="17"/>
      <c r="AA315" s="90"/>
      <c r="AB315" s="17"/>
      <c r="AC315" s="17"/>
      <c r="AE315" s="17"/>
    </row>
    <row r="316" spans="1:31" ht="14.25" customHeight="1">
      <c r="A316" s="399" t="s">
        <v>515</v>
      </c>
      <c r="B316" s="446" t="s">
        <v>519</v>
      </c>
      <c r="C316" s="399" t="s">
        <v>1616</v>
      </c>
      <c r="D316" s="430" t="s">
        <v>3001</v>
      </c>
      <c r="E316" s="427" t="s">
        <v>2956</v>
      </c>
      <c r="F316" s="427" t="s">
        <v>1376</v>
      </c>
      <c r="G316" s="427" t="s">
        <v>1376</v>
      </c>
      <c r="H316" s="427" t="s">
        <v>41</v>
      </c>
      <c r="I316" s="427" t="s">
        <v>1041</v>
      </c>
      <c r="J316" s="427" t="s">
        <v>43</v>
      </c>
      <c r="K316" s="427" t="s">
        <v>43</v>
      </c>
      <c r="L316" s="427" t="s">
        <v>43</v>
      </c>
      <c r="M316" s="427" t="s">
        <v>44</v>
      </c>
      <c r="N316" s="427">
        <v>23.591999999999999</v>
      </c>
      <c r="O316" s="427">
        <v>97.796999999999997</v>
      </c>
      <c r="P316" s="427" t="s">
        <v>573</v>
      </c>
      <c r="Q316" s="427" t="s">
        <v>592</v>
      </c>
      <c r="R316" s="439">
        <v>75</v>
      </c>
      <c r="S316" s="432">
        <v>395</v>
      </c>
      <c r="T316" s="444" t="s">
        <v>612</v>
      </c>
      <c r="U316" s="433"/>
      <c r="V316" s="427"/>
      <c r="W316" s="362" t="s">
        <v>1678</v>
      </c>
      <c r="X316" s="427" t="s">
        <v>1075</v>
      </c>
      <c r="Y316" s="45"/>
      <c r="Z316" s="17"/>
      <c r="AA316" s="90"/>
      <c r="AB316" s="17"/>
      <c r="AC316" s="17"/>
      <c r="AE316" s="17"/>
    </row>
    <row r="317" spans="1:31" ht="14.25" customHeight="1">
      <c r="A317" s="399" t="s">
        <v>515</v>
      </c>
      <c r="B317" s="446" t="s">
        <v>519</v>
      </c>
      <c r="C317" s="399" t="s">
        <v>554</v>
      </c>
      <c r="D317" s="430" t="s">
        <v>3001</v>
      </c>
      <c r="E317" s="427" t="s">
        <v>2957</v>
      </c>
      <c r="F317" s="427" t="s">
        <v>1459</v>
      </c>
      <c r="G317" s="427" t="s">
        <v>554</v>
      </c>
      <c r="H317" s="427"/>
      <c r="I317" s="427" t="s">
        <v>1619</v>
      </c>
      <c r="J317" s="427" t="s">
        <v>43</v>
      </c>
      <c r="K317" s="427" t="s">
        <v>43</v>
      </c>
      <c r="L317" s="427" t="s">
        <v>588</v>
      </c>
      <c r="M317" s="427" t="s">
        <v>44</v>
      </c>
      <c r="N317" s="427">
        <v>23.621317999999999</v>
      </c>
      <c r="O317" s="427">
        <v>97.795981999999995</v>
      </c>
      <c r="P317" s="427" t="s">
        <v>573</v>
      </c>
      <c r="Q317" s="427" t="s">
        <v>611</v>
      </c>
      <c r="R317" s="439">
        <v>24</v>
      </c>
      <c r="S317" s="432">
        <v>84</v>
      </c>
      <c r="T317" s="444" t="s">
        <v>811</v>
      </c>
      <c r="U317" s="433"/>
      <c r="V317" s="427"/>
      <c r="W317" s="431" t="s">
        <v>1679</v>
      </c>
      <c r="X317" s="427" t="s">
        <v>1261</v>
      </c>
      <c r="Y317" s="45"/>
      <c r="Z317" s="17"/>
      <c r="AA317" s="90"/>
      <c r="AB317" s="17"/>
      <c r="AC317" s="17"/>
      <c r="AE317" s="17"/>
    </row>
    <row r="318" spans="1:31" ht="14.25" customHeight="1">
      <c r="A318" s="399" t="s">
        <v>515</v>
      </c>
      <c r="B318" s="446" t="s">
        <v>519</v>
      </c>
      <c r="C318" s="703" t="s">
        <v>2220</v>
      </c>
      <c r="D318" s="390"/>
      <c r="E318" s="427"/>
      <c r="F318" s="427"/>
      <c r="G318" s="427"/>
      <c r="H318" s="427"/>
      <c r="I318" s="429"/>
      <c r="J318" s="427" t="s">
        <v>2098</v>
      </c>
      <c r="K318" s="427" t="s">
        <v>2082</v>
      </c>
      <c r="L318" s="427" t="s">
        <v>2082</v>
      </c>
      <c r="M318" s="427" t="s">
        <v>44</v>
      </c>
      <c r="N318" s="427"/>
      <c r="O318" s="427"/>
      <c r="P318" s="427" t="s">
        <v>1573</v>
      </c>
      <c r="Q318" s="427" t="s">
        <v>2175</v>
      </c>
      <c r="R318" s="431"/>
      <c r="S318" s="431"/>
      <c r="T318" s="444">
        <v>43759</v>
      </c>
      <c r="U318" s="433"/>
      <c r="V318" s="427"/>
      <c r="W318" s="362"/>
      <c r="X318" s="390"/>
      <c r="Y318" s="45"/>
      <c r="Z318" s="17"/>
      <c r="AA318" s="90"/>
      <c r="AB318" s="17"/>
      <c r="AC318" s="17"/>
      <c r="AE318" s="17"/>
    </row>
    <row r="319" spans="1:31" ht="14.25" customHeight="1">
      <c r="A319" s="399" t="s">
        <v>515</v>
      </c>
      <c r="B319" s="446" t="s">
        <v>519</v>
      </c>
      <c r="C319" s="399" t="s">
        <v>1617</v>
      </c>
      <c r="D319" s="430" t="s">
        <v>3001</v>
      </c>
      <c r="E319" s="427" t="s">
        <v>1074</v>
      </c>
      <c r="F319" s="427" t="s">
        <v>1376</v>
      </c>
      <c r="G319" s="427" t="s">
        <v>1376</v>
      </c>
      <c r="H319" s="427" t="s">
        <v>41</v>
      </c>
      <c r="I319" s="427" t="s">
        <v>1041</v>
      </c>
      <c r="J319" s="427" t="s">
        <v>43</v>
      </c>
      <c r="K319" s="427" t="s">
        <v>697</v>
      </c>
      <c r="L319" s="427" t="s">
        <v>43</v>
      </c>
      <c r="M319" s="427" t="s">
        <v>44</v>
      </c>
      <c r="N319" s="427">
        <v>23.588920000000002</v>
      </c>
      <c r="O319" s="427">
        <v>97.793019999999999</v>
      </c>
      <c r="P319" s="427" t="s">
        <v>573</v>
      </c>
      <c r="Q319" s="427" t="s">
        <v>592</v>
      </c>
      <c r="R319" s="439">
        <v>66</v>
      </c>
      <c r="S319" s="432">
        <v>248</v>
      </c>
      <c r="T319" s="444"/>
      <c r="U319" s="433"/>
      <c r="V319" s="427" t="s">
        <v>549</v>
      </c>
      <c r="W319" s="362" t="s">
        <v>1680</v>
      </c>
      <c r="X319" s="430"/>
      <c r="Y319" s="45"/>
      <c r="Z319" s="17"/>
      <c r="AA319" s="90"/>
      <c r="AB319" s="17"/>
      <c r="AC319" s="17"/>
      <c r="AE319" s="17"/>
    </row>
    <row r="320" spans="1:31" ht="14.25" customHeight="1">
      <c r="A320" s="399" t="s">
        <v>515</v>
      </c>
      <c r="B320" s="446" t="s">
        <v>519</v>
      </c>
      <c r="C320" s="399" t="s">
        <v>842</v>
      </c>
      <c r="D320" s="390"/>
      <c r="E320" s="427"/>
      <c r="F320" s="427"/>
      <c r="G320" s="427"/>
      <c r="H320" s="427"/>
      <c r="I320" s="427"/>
      <c r="J320" s="427" t="s">
        <v>1099</v>
      </c>
      <c r="K320" s="427" t="s">
        <v>43</v>
      </c>
      <c r="L320" s="427" t="s">
        <v>43</v>
      </c>
      <c r="M320" s="427" t="s">
        <v>44</v>
      </c>
      <c r="N320" s="427"/>
      <c r="O320" s="427"/>
      <c r="P320" s="427" t="s">
        <v>573</v>
      </c>
      <c r="Q320" s="427" t="s">
        <v>592</v>
      </c>
      <c r="R320" s="431"/>
      <c r="S320" s="431"/>
      <c r="T320" s="444"/>
      <c r="U320" s="433" t="s">
        <v>823</v>
      </c>
      <c r="V320" s="427"/>
      <c r="W320" s="362"/>
      <c r="X320" s="390"/>
      <c r="Y320" s="45"/>
      <c r="Z320" s="17"/>
      <c r="AA320" s="90"/>
      <c r="AB320" s="17"/>
      <c r="AC320" s="17"/>
      <c r="AE320" s="17"/>
    </row>
    <row r="321" spans="1:31" ht="14.25" customHeight="1">
      <c r="A321" s="399" t="s">
        <v>515</v>
      </c>
      <c r="B321" s="446" t="s">
        <v>519</v>
      </c>
      <c r="C321" s="399" t="s">
        <v>545</v>
      </c>
      <c r="D321" s="430" t="s">
        <v>3001</v>
      </c>
      <c r="E321" s="427" t="s">
        <v>2958</v>
      </c>
      <c r="F321" s="427" t="s">
        <v>1380</v>
      </c>
      <c r="G321" s="427" t="s">
        <v>1381</v>
      </c>
      <c r="H321" s="427"/>
      <c r="I321" s="427" t="s">
        <v>1619</v>
      </c>
      <c r="J321" s="427" t="s">
        <v>43</v>
      </c>
      <c r="K321" s="427" t="s">
        <v>43</v>
      </c>
      <c r="L321" s="427" t="s">
        <v>588</v>
      </c>
      <c r="M321" s="427" t="s">
        <v>44</v>
      </c>
      <c r="N321" s="427">
        <v>23.850999999999999</v>
      </c>
      <c r="O321" s="427">
        <v>98.337999999999994</v>
      </c>
      <c r="P321" s="427" t="s">
        <v>573</v>
      </c>
      <c r="Q321" s="427" t="s">
        <v>574</v>
      </c>
      <c r="R321" s="439">
        <v>30</v>
      </c>
      <c r="S321" s="432">
        <v>170</v>
      </c>
      <c r="T321" s="444"/>
      <c r="U321" s="433" t="s">
        <v>711</v>
      </c>
      <c r="V321" s="427"/>
      <c r="W321" s="431" t="s">
        <v>1681</v>
      </c>
      <c r="X321" s="427" t="s">
        <v>1092</v>
      </c>
      <c r="Y321" s="45"/>
      <c r="Z321" s="17"/>
      <c r="AA321" s="90"/>
      <c r="AB321" s="17"/>
      <c r="AC321" s="17"/>
      <c r="AE321" s="17"/>
    </row>
    <row r="322" spans="1:31" ht="14.25" customHeight="1">
      <c r="A322" s="399" t="s">
        <v>515</v>
      </c>
      <c r="B322" s="446" t="s">
        <v>519</v>
      </c>
      <c r="C322" s="399" t="s">
        <v>528</v>
      </c>
      <c r="D322" s="390" t="s">
        <v>2620</v>
      </c>
      <c r="E322" s="427" t="s">
        <v>1067</v>
      </c>
      <c r="F322" s="427"/>
      <c r="G322" s="427"/>
      <c r="H322" s="427" t="s">
        <v>41</v>
      </c>
      <c r="I322" s="427" t="s">
        <v>2118</v>
      </c>
      <c r="J322" s="427" t="s">
        <v>43</v>
      </c>
      <c r="K322" s="427" t="s">
        <v>697</v>
      </c>
      <c r="L322" s="427" t="s">
        <v>572</v>
      </c>
      <c r="M322" s="427" t="s">
        <v>44</v>
      </c>
      <c r="N322" s="427">
        <v>23.400155999999999</v>
      </c>
      <c r="O322" s="427">
        <v>98.220614999999995</v>
      </c>
      <c r="P322" s="427" t="s">
        <v>573</v>
      </c>
      <c r="Q322" s="427" t="s">
        <v>592</v>
      </c>
      <c r="R322" s="431">
        <v>38</v>
      </c>
      <c r="S322" s="431">
        <v>210</v>
      </c>
      <c r="T322" s="444"/>
      <c r="U322" s="433"/>
      <c r="V322" s="427" t="s">
        <v>698</v>
      </c>
      <c r="W322" s="362" t="s">
        <v>1682</v>
      </c>
      <c r="X322" s="390"/>
      <c r="Y322" s="45"/>
      <c r="Z322" s="17"/>
      <c r="AA322" s="90"/>
      <c r="AB322" s="17"/>
      <c r="AC322" s="17"/>
      <c r="AE322" s="17"/>
    </row>
    <row r="323" spans="1:31" ht="14.25" customHeight="1">
      <c r="A323" s="399" t="s">
        <v>515</v>
      </c>
      <c r="B323" s="446" t="s">
        <v>519</v>
      </c>
      <c r="C323" s="399" t="s">
        <v>524</v>
      </c>
      <c r="D323" s="390" t="s">
        <v>2653</v>
      </c>
      <c r="E323" s="427" t="s">
        <v>1073</v>
      </c>
      <c r="F323" s="427" t="s">
        <v>1374</v>
      </c>
      <c r="G323" s="427" t="s">
        <v>1375</v>
      </c>
      <c r="H323" s="427" t="s">
        <v>41</v>
      </c>
      <c r="I323" s="427" t="s">
        <v>1041</v>
      </c>
      <c r="J323" s="427" t="s">
        <v>43</v>
      </c>
      <c r="K323" s="427" t="s">
        <v>43</v>
      </c>
      <c r="L323" s="427" t="s">
        <v>572</v>
      </c>
      <c r="M323" s="427" t="s">
        <v>44</v>
      </c>
      <c r="N323" s="427">
        <v>23.463000000000001</v>
      </c>
      <c r="O323" s="427">
        <v>98.248999999999995</v>
      </c>
      <c r="P323" s="427" t="s">
        <v>573</v>
      </c>
      <c r="Q323" s="427" t="s">
        <v>592</v>
      </c>
      <c r="R323" s="431">
        <v>19</v>
      </c>
      <c r="S323" s="431">
        <v>103</v>
      </c>
      <c r="T323" s="444"/>
      <c r="U323" s="433"/>
      <c r="V323" s="427" t="s">
        <v>701</v>
      </c>
      <c r="W323" s="362" t="s">
        <v>1683</v>
      </c>
      <c r="X323" s="390"/>
      <c r="Y323" s="45"/>
      <c r="Z323" s="17"/>
      <c r="AA323" s="90"/>
      <c r="AB323" s="17"/>
      <c r="AC323" s="17"/>
      <c r="AE323" s="17"/>
    </row>
    <row r="324" spans="1:31" ht="14.25" customHeight="1">
      <c r="A324" s="399" t="s">
        <v>515</v>
      </c>
      <c r="B324" s="446" t="s">
        <v>519</v>
      </c>
      <c r="C324" s="399" t="s">
        <v>846</v>
      </c>
      <c r="D324" s="430"/>
      <c r="E324" s="427"/>
      <c r="F324" s="427"/>
      <c r="G324" s="427"/>
      <c r="H324" s="427"/>
      <c r="I324" s="427"/>
      <c r="J324" s="427" t="s">
        <v>1099</v>
      </c>
      <c r="K324" s="427" t="s">
        <v>43</v>
      </c>
      <c r="L324" s="427" t="s">
        <v>826</v>
      </c>
      <c r="M324" s="427" t="s">
        <v>44</v>
      </c>
      <c r="N324" s="427"/>
      <c r="O324" s="427"/>
      <c r="P324" s="427" t="s">
        <v>573</v>
      </c>
      <c r="Q324" s="427" t="s">
        <v>592</v>
      </c>
      <c r="R324" s="439"/>
      <c r="S324" s="432"/>
      <c r="T324" s="444"/>
      <c r="U324" s="439" t="s">
        <v>823</v>
      </c>
      <c r="V324" s="427" t="s">
        <v>847</v>
      </c>
      <c r="W324" s="431"/>
      <c r="X324" s="430"/>
      <c r="Y324" s="45"/>
      <c r="Z324" s="17"/>
      <c r="AA324" s="90"/>
      <c r="AB324" s="17"/>
      <c r="AC324" s="17"/>
      <c r="AE324" s="17"/>
    </row>
    <row r="325" spans="1:31" ht="14.25" customHeight="1">
      <c r="A325" s="399" t="s">
        <v>515</v>
      </c>
      <c r="B325" s="446" t="s">
        <v>519</v>
      </c>
      <c r="C325" s="399" t="s">
        <v>531</v>
      </c>
      <c r="D325" s="430" t="s">
        <v>3001</v>
      </c>
      <c r="E325" s="427" t="s">
        <v>1079</v>
      </c>
      <c r="F325" s="427" t="s">
        <v>1377</v>
      </c>
      <c r="G325" s="427" t="s">
        <v>1378</v>
      </c>
      <c r="H325" s="427" t="s">
        <v>41</v>
      </c>
      <c r="I325" s="427" t="s">
        <v>2118</v>
      </c>
      <c r="J325" s="427" t="s">
        <v>43</v>
      </c>
      <c r="K325" s="427" t="s">
        <v>43</v>
      </c>
      <c r="L325" s="427" t="s">
        <v>43</v>
      </c>
      <c r="M325" s="427" t="s">
        <v>44</v>
      </c>
      <c r="N325" s="427">
        <v>23.694130000000001</v>
      </c>
      <c r="O325" s="427">
        <v>97.818979999999996</v>
      </c>
      <c r="P325" s="427" t="s">
        <v>573</v>
      </c>
      <c r="Q325" s="427" t="s">
        <v>592</v>
      </c>
      <c r="R325" s="439">
        <v>54</v>
      </c>
      <c r="S325" s="432">
        <v>279</v>
      </c>
      <c r="T325" s="444"/>
      <c r="U325" s="433"/>
      <c r="V325" s="427" t="s">
        <v>531</v>
      </c>
      <c r="W325" s="362" t="s">
        <v>1684</v>
      </c>
      <c r="X325" s="430"/>
      <c r="Y325" s="45"/>
      <c r="Z325" s="17"/>
      <c r="AA325" s="90"/>
      <c r="AB325" s="17"/>
      <c r="AC325" s="17"/>
      <c r="AE325" s="17"/>
    </row>
    <row r="326" spans="1:31" ht="14.25" customHeight="1">
      <c r="A326" s="399" t="s">
        <v>515</v>
      </c>
      <c r="B326" s="446" t="s">
        <v>519</v>
      </c>
      <c r="C326" s="399" t="s">
        <v>1618</v>
      </c>
      <c r="D326" s="430" t="s">
        <v>3001</v>
      </c>
      <c r="E326" s="427" t="s">
        <v>2959</v>
      </c>
      <c r="F326" s="427"/>
      <c r="G326" s="427"/>
      <c r="H326" s="427" t="s">
        <v>41</v>
      </c>
      <c r="I326" s="427" t="s">
        <v>1041</v>
      </c>
      <c r="J326" s="427" t="s">
        <v>43</v>
      </c>
      <c r="K326" s="427" t="s">
        <v>43</v>
      </c>
      <c r="L326" s="427" t="s">
        <v>43</v>
      </c>
      <c r="M326" s="427" t="s">
        <v>44</v>
      </c>
      <c r="N326" s="427">
        <v>23.682887999999998</v>
      </c>
      <c r="O326" s="427">
        <v>97.810101000000003</v>
      </c>
      <c r="P326" s="427" t="s">
        <v>573</v>
      </c>
      <c r="Q326" s="427" t="s">
        <v>592</v>
      </c>
      <c r="R326" s="439">
        <v>34</v>
      </c>
      <c r="S326" s="432">
        <v>144</v>
      </c>
      <c r="T326" s="444" t="s">
        <v>612</v>
      </c>
      <c r="U326" s="433"/>
      <c r="V326" s="427"/>
      <c r="W326" s="362" t="s">
        <v>1685</v>
      </c>
      <c r="X326" s="427" t="s">
        <v>1078</v>
      </c>
      <c r="Y326" s="45"/>
      <c r="Z326" s="17"/>
      <c r="AA326" s="90"/>
      <c r="AB326" s="17"/>
      <c r="AC326" s="17"/>
      <c r="AE326" s="17"/>
    </row>
    <row r="327" spans="1:31" ht="14.25" customHeight="1">
      <c r="A327" s="436" t="s">
        <v>515</v>
      </c>
      <c r="B327" s="446" t="s">
        <v>519</v>
      </c>
      <c r="C327" s="399" t="s">
        <v>2207</v>
      </c>
      <c r="D327" s="430"/>
      <c r="E327" s="427"/>
      <c r="F327" s="427"/>
      <c r="G327" s="427"/>
      <c r="H327" s="427"/>
      <c r="I327" s="427"/>
      <c r="J327" s="427" t="s">
        <v>2098</v>
      </c>
      <c r="K327" s="427" t="s">
        <v>2082</v>
      </c>
      <c r="L327" s="427" t="s">
        <v>2082</v>
      </c>
      <c r="M327" s="427" t="s">
        <v>44</v>
      </c>
      <c r="N327" s="427"/>
      <c r="O327" s="427"/>
      <c r="P327" s="427" t="s">
        <v>1573</v>
      </c>
      <c r="Q327" s="427" t="s">
        <v>2175</v>
      </c>
      <c r="R327" s="439"/>
      <c r="S327" s="432"/>
      <c r="T327" s="444">
        <v>43759</v>
      </c>
      <c r="U327" s="439"/>
      <c r="V327" s="427"/>
      <c r="W327" s="431"/>
      <c r="X327" s="430"/>
      <c r="Y327" s="45"/>
      <c r="Z327" s="17"/>
      <c r="AA327" s="90"/>
      <c r="AB327" s="17"/>
      <c r="AC327" s="17"/>
      <c r="AE327" s="17"/>
    </row>
    <row r="328" spans="1:31" ht="14.25" customHeight="1">
      <c r="A328" s="436" t="s">
        <v>515</v>
      </c>
      <c r="B328" s="446" t="s">
        <v>519</v>
      </c>
      <c r="C328" s="399" t="s">
        <v>542</v>
      </c>
      <c r="D328" s="430" t="s">
        <v>3001</v>
      </c>
      <c r="E328" s="427" t="s">
        <v>2960</v>
      </c>
      <c r="F328" s="427" t="s">
        <v>1305</v>
      </c>
      <c r="G328" s="427">
        <v>0</v>
      </c>
      <c r="H328" s="427" t="s">
        <v>41</v>
      </c>
      <c r="I328" s="427" t="s">
        <v>1041</v>
      </c>
      <c r="J328" s="427" t="s">
        <v>43</v>
      </c>
      <c r="K328" s="427" t="s">
        <v>697</v>
      </c>
      <c r="L328" s="427" t="s">
        <v>43</v>
      </c>
      <c r="M328" s="427" t="s">
        <v>44</v>
      </c>
      <c r="N328" s="427">
        <v>23.447111</v>
      </c>
      <c r="O328" s="427">
        <v>97.868876999999998</v>
      </c>
      <c r="P328" s="427" t="s">
        <v>573</v>
      </c>
      <c r="Q328" s="427" t="s">
        <v>574</v>
      </c>
      <c r="R328" s="439">
        <v>123</v>
      </c>
      <c r="S328" s="432">
        <v>706</v>
      </c>
      <c r="T328" s="444"/>
      <c r="U328" s="439"/>
      <c r="V328" s="427"/>
      <c r="W328" s="431" t="s">
        <v>1686</v>
      </c>
      <c r="X328" s="427" t="s">
        <v>1069</v>
      </c>
      <c r="Y328" s="45"/>
      <c r="Z328" s="17"/>
      <c r="AA328" s="90"/>
      <c r="AB328" s="17"/>
      <c r="AC328" s="17"/>
      <c r="AE328" s="17"/>
    </row>
    <row r="329" spans="1:31" ht="14.25" customHeight="1">
      <c r="A329" s="436" t="s">
        <v>515</v>
      </c>
      <c r="B329" s="446" t="s">
        <v>519</v>
      </c>
      <c r="C329" s="399" t="s">
        <v>561</v>
      </c>
      <c r="D329" s="430" t="s">
        <v>3001</v>
      </c>
      <c r="E329" s="427" t="s">
        <v>2961</v>
      </c>
      <c r="F329" s="427" t="s">
        <v>561</v>
      </c>
      <c r="G329" s="427" t="s">
        <v>561</v>
      </c>
      <c r="H329" s="427" t="s">
        <v>41</v>
      </c>
      <c r="I329" s="427" t="s">
        <v>1041</v>
      </c>
      <c r="J329" s="427" t="s">
        <v>43</v>
      </c>
      <c r="K329" s="427" t="s">
        <v>43</v>
      </c>
      <c r="L329" s="427" t="s">
        <v>43</v>
      </c>
      <c r="M329" s="427" t="s">
        <v>44</v>
      </c>
      <c r="N329" s="427">
        <v>23.59</v>
      </c>
      <c r="O329" s="427">
        <v>97.805999999999997</v>
      </c>
      <c r="P329" s="427" t="s">
        <v>573</v>
      </c>
      <c r="Q329" s="427"/>
      <c r="R329" s="439">
        <v>47</v>
      </c>
      <c r="S329" s="432">
        <v>230</v>
      </c>
      <c r="T329" s="444"/>
      <c r="U329" s="439" t="s">
        <v>873</v>
      </c>
      <c r="V329" s="427"/>
      <c r="W329" s="431" t="s">
        <v>1687</v>
      </c>
      <c r="X329" s="427" t="s">
        <v>1492</v>
      </c>
      <c r="Y329" s="45"/>
      <c r="Z329" s="17"/>
      <c r="AA329" s="90"/>
      <c r="AB329" s="17"/>
      <c r="AC329" s="17"/>
      <c r="AE329" s="17"/>
    </row>
    <row r="330" spans="1:31" ht="14.25" customHeight="1">
      <c r="A330" s="436" t="s">
        <v>515</v>
      </c>
      <c r="B330" s="446" t="s">
        <v>519</v>
      </c>
      <c r="C330" s="399" t="s">
        <v>2218</v>
      </c>
      <c r="D330" s="390"/>
      <c r="E330" s="427"/>
      <c r="F330" s="427"/>
      <c r="G330" s="427"/>
      <c r="H330" s="427"/>
      <c r="I330" s="427"/>
      <c r="J330" s="427" t="s">
        <v>2098</v>
      </c>
      <c r="K330" s="427" t="s">
        <v>2082</v>
      </c>
      <c r="L330" s="427" t="s">
        <v>2082</v>
      </c>
      <c r="M330" s="427" t="s">
        <v>44</v>
      </c>
      <c r="N330" s="427"/>
      <c r="O330" s="427"/>
      <c r="P330" s="427" t="s">
        <v>1573</v>
      </c>
      <c r="Q330" s="427" t="s">
        <v>2175</v>
      </c>
      <c r="R330" s="431"/>
      <c r="S330" s="431"/>
      <c r="T330" s="444">
        <v>43759</v>
      </c>
      <c r="U330" s="433"/>
      <c r="V330" s="427"/>
      <c r="W330" s="362"/>
      <c r="X330" s="390"/>
      <c r="Y330" s="45"/>
      <c r="Z330" s="17"/>
      <c r="AA330" s="90"/>
      <c r="AB330" s="17"/>
      <c r="AC330" s="17"/>
      <c r="AE330" s="17"/>
    </row>
    <row r="331" spans="1:31" ht="14.25" customHeight="1">
      <c r="A331" s="436" t="s">
        <v>515</v>
      </c>
      <c r="B331" s="446" t="s">
        <v>519</v>
      </c>
      <c r="C331" s="399" t="s">
        <v>2219</v>
      </c>
      <c r="D331" s="430"/>
      <c r="E331" s="427"/>
      <c r="F331" s="427"/>
      <c r="G331" s="427"/>
      <c r="H331" s="427"/>
      <c r="I331" s="427"/>
      <c r="J331" s="427" t="s">
        <v>2098</v>
      </c>
      <c r="K331" s="427" t="s">
        <v>2082</v>
      </c>
      <c r="L331" s="427" t="s">
        <v>2082</v>
      </c>
      <c r="M331" s="427" t="s">
        <v>44</v>
      </c>
      <c r="N331" s="427"/>
      <c r="O331" s="427"/>
      <c r="P331" s="427" t="s">
        <v>1573</v>
      </c>
      <c r="Q331" s="427" t="s">
        <v>2175</v>
      </c>
      <c r="R331" s="439"/>
      <c r="S331" s="432"/>
      <c r="T331" s="444">
        <v>43759</v>
      </c>
      <c r="U331" s="439"/>
      <c r="V331" s="427"/>
      <c r="W331" s="431"/>
      <c r="X331" s="430"/>
      <c r="Y331" s="45"/>
      <c r="Z331" s="17"/>
      <c r="AA331" s="90"/>
      <c r="AB331" s="17"/>
      <c r="AC331" s="17"/>
      <c r="AE331" s="17"/>
    </row>
    <row r="332" spans="1:31" ht="14.25" customHeight="1">
      <c r="A332" s="436" t="s">
        <v>515</v>
      </c>
      <c r="B332" s="446" t="s">
        <v>519</v>
      </c>
      <c r="C332" s="399" t="s">
        <v>2217</v>
      </c>
      <c r="D332" s="430"/>
      <c r="E332" s="427"/>
      <c r="F332" s="427"/>
      <c r="G332" s="427"/>
      <c r="H332" s="427"/>
      <c r="I332" s="427"/>
      <c r="J332" s="427" t="s">
        <v>2098</v>
      </c>
      <c r="K332" s="427" t="s">
        <v>2082</v>
      </c>
      <c r="L332" s="427" t="s">
        <v>2082</v>
      </c>
      <c r="M332" s="427" t="s">
        <v>44</v>
      </c>
      <c r="N332" s="427"/>
      <c r="O332" s="427"/>
      <c r="P332" s="427" t="s">
        <v>1573</v>
      </c>
      <c r="Q332" s="427" t="s">
        <v>2175</v>
      </c>
      <c r="R332" s="439"/>
      <c r="S332" s="432"/>
      <c r="T332" s="444">
        <v>43759</v>
      </c>
      <c r="U332" s="439"/>
      <c r="V332" s="427"/>
      <c r="W332" s="431"/>
      <c r="X332" s="430"/>
      <c r="Y332" s="45"/>
      <c r="Z332" s="17"/>
      <c r="AA332" s="90"/>
      <c r="AB332" s="17"/>
      <c r="AC332" s="17"/>
      <c r="AE332" s="17"/>
    </row>
    <row r="333" spans="1:31" ht="14.25" customHeight="1">
      <c r="A333" s="436" t="s">
        <v>515</v>
      </c>
      <c r="B333" s="446" t="s">
        <v>519</v>
      </c>
      <c r="C333" s="399" t="s">
        <v>538</v>
      </c>
      <c r="D333" s="430" t="s">
        <v>3001</v>
      </c>
      <c r="E333" s="427" t="s">
        <v>1066</v>
      </c>
      <c r="F333" s="427" t="s">
        <v>1305</v>
      </c>
      <c r="G333" s="427" t="s">
        <v>1306</v>
      </c>
      <c r="H333" s="427" t="s">
        <v>41</v>
      </c>
      <c r="I333" s="427" t="s">
        <v>2118</v>
      </c>
      <c r="J333" s="427" t="s">
        <v>43</v>
      </c>
      <c r="K333" s="427" t="s">
        <v>697</v>
      </c>
      <c r="L333" s="427" t="s">
        <v>43</v>
      </c>
      <c r="M333" s="427" t="s">
        <v>44</v>
      </c>
      <c r="N333" s="427">
        <v>23.38503</v>
      </c>
      <c r="O333" s="427">
        <v>97.837040000000002</v>
      </c>
      <c r="P333" s="427" t="s">
        <v>573</v>
      </c>
      <c r="Q333" s="427" t="s">
        <v>592</v>
      </c>
      <c r="R333" s="439">
        <v>209</v>
      </c>
      <c r="S333" s="432">
        <v>1084</v>
      </c>
      <c r="T333" s="444"/>
      <c r="U333" s="439"/>
      <c r="V333" s="427" t="s">
        <v>538</v>
      </c>
      <c r="W333" s="431" t="s">
        <v>1688</v>
      </c>
      <c r="X333" s="430"/>
      <c r="Y333" s="45"/>
      <c r="Z333" s="17"/>
      <c r="AA333" s="90"/>
      <c r="AB333" s="17"/>
      <c r="AC333" s="17"/>
      <c r="AE333" s="17"/>
    </row>
    <row r="334" spans="1:31" ht="14.25" customHeight="1">
      <c r="A334" s="436" t="s">
        <v>515</v>
      </c>
      <c r="B334" s="446" t="s">
        <v>960</v>
      </c>
      <c r="C334" s="399" t="s">
        <v>2241</v>
      </c>
      <c r="D334" s="430"/>
      <c r="E334" s="427"/>
      <c r="F334" s="427"/>
      <c r="G334" s="427"/>
      <c r="H334" s="427"/>
      <c r="I334" s="427"/>
      <c r="J334" s="427" t="s">
        <v>2098</v>
      </c>
      <c r="K334" s="427" t="s">
        <v>2082</v>
      </c>
      <c r="L334" s="427" t="s">
        <v>2082</v>
      </c>
      <c r="M334" s="427" t="s">
        <v>44</v>
      </c>
      <c r="N334" s="427"/>
      <c r="O334" s="427"/>
      <c r="P334" s="427"/>
      <c r="Q334" s="427" t="s">
        <v>2239</v>
      </c>
      <c r="R334" s="439"/>
      <c r="S334" s="432"/>
      <c r="T334" s="444">
        <v>43841</v>
      </c>
      <c r="U334" s="433"/>
      <c r="V334" s="431"/>
      <c r="W334" s="454"/>
      <c r="X334" s="430"/>
      <c r="Y334" s="45"/>
      <c r="Z334" s="17"/>
      <c r="AA334" s="90"/>
      <c r="AB334" s="17"/>
      <c r="AC334" s="17"/>
      <c r="AE334" s="17"/>
    </row>
    <row r="335" spans="1:31" ht="14.25" customHeight="1">
      <c r="A335" s="436" t="s">
        <v>515</v>
      </c>
      <c r="B335" s="446" t="s">
        <v>960</v>
      </c>
      <c r="C335" s="399" t="s">
        <v>2243</v>
      </c>
      <c r="D335" s="430"/>
      <c r="E335" s="427"/>
      <c r="F335" s="427"/>
      <c r="G335" s="427"/>
      <c r="H335" s="427"/>
      <c r="I335" s="427"/>
      <c r="J335" s="427" t="s">
        <v>2098</v>
      </c>
      <c r="K335" s="429" t="s">
        <v>2082</v>
      </c>
      <c r="L335" s="429" t="s">
        <v>2082</v>
      </c>
      <c r="M335" s="427" t="s">
        <v>44</v>
      </c>
      <c r="N335" s="427"/>
      <c r="O335" s="427"/>
      <c r="P335" s="427"/>
      <c r="Q335" s="427" t="s">
        <v>2239</v>
      </c>
      <c r="R335" s="439"/>
      <c r="S335" s="432"/>
      <c r="T335" s="444">
        <v>43841</v>
      </c>
      <c r="U335" s="433"/>
      <c r="V335" s="427"/>
      <c r="W335" s="431"/>
      <c r="X335" s="430"/>
      <c r="Y335" s="45"/>
      <c r="Z335" s="17"/>
      <c r="AA335" s="90"/>
      <c r="AB335" s="17"/>
      <c r="AC335" s="17"/>
      <c r="AE335" s="17"/>
    </row>
    <row r="336" spans="1:31" ht="14.25" customHeight="1">
      <c r="A336" s="436" t="s">
        <v>515</v>
      </c>
      <c r="B336" s="446" t="s">
        <v>960</v>
      </c>
      <c r="C336" s="399" t="s">
        <v>2696</v>
      </c>
      <c r="D336" s="430" t="s">
        <v>3001</v>
      </c>
      <c r="E336" s="427" t="s">
        <v>2962</v>
      </c>
      <c r="F336" s="427" t="s">
        <v>2711</v>
      </c>
      <c r="G336" s="427" t="s">
        <v>2712</v>
      </c>
      <c r="H336" s="427"/>
      <c r="I336" s="427" t="s">
        <v>1619</v>
      </c>
      <c r="J336" s="427" t="s">
        <v>43</v>
      </c>
      <c r="K336" s="427" t="s">
        <v>43</v>
      </c>
      <c r="L336" s="427" t="s">
        <v>2608</v>
      </c>
      <c r="M336" s="427" t="s">
        <v>44</v>
      </c>
      <c r="N336" s="427">
        <v>22.325900000000001</v>
      </c>
      <c r="O336" s="427">
        <v>97.021000000000001</v>
      </c>
      <c r="P336" s="427" t="s">
        <v>573</v>
      </c>
      <c r="Q336" s="427" t="s">
        <v>2700</v>
      </c>
      <c r="R336" s="439">
        <v>1036</v>
      </c>
      <c r="S336" s="432">
        <v>3986</v>
      </c>
      <c r="T336" s="444">
        <v>44544</v>
      </c>
      <c r="U336" s="439"/>
      <c r="V336" s="427"/>
      <c r="W336" s="431" t="s">
        <v>2713</v>
      </c>
      <c r="X336" s="427" t="s">
        <v>2710</v>
      </c>
      <c r="Y336" s="45"/>
      <c r="Z336" s="17"/>
      <c r="AA336" s="90"/>
      <c r="AB336" s="17"/>
      <c r="AC336" s="17"/>
      <c r="AE336" s="17"/>
    </row>
    <row r="337" spans="1:31" ht="14.25" customHeight="1">
      <c r="A337" s="432" t="s">
        <v>515</v>
      </c>
      <c r="B337" s="446" t="s">
        <v>960</v>
      </c>
      <c r="C337" s="399" t="s">
        <v>2982</v>
      </c>
      <c r="D337" s="430" t="s">
        <v>3000</v>
      </c>
      <c r="E337" s="427" t="s">
        <v>2976</v>
      </c>
      <c r="F337" s="427" t="s">
        <v>2988</v>
      </c>
      <c r="G337" s="427" t="s">
        <v>2993</v>
      </c>
      <c r="H337" s="427"/>
      <c r="I337" s="427"/>
      <c r="J337" s="427" t="s">
        <v>43</v>
      </c>
      <c r="K337" s="427" t="s">
        <v>43</v>
      </c>
      <c r="L337" s="427" t="s">
        <v>588</v>
      </c>
      <c r="M337" s="427" t="s">
        <v>44</v>
      </c>
      <c r="N337" s="427"/>
      <c r="O337" s="427"/>
      <c r="P337" s="427" t="s">
        <v>573</v>
      </c>
      <c r="Q337" s="427" t="s">
        <v>2999</v>
      </c>
      <c r="R337" s="439">
        <v>11</v>
      </c>
      <c r="S337" s="431">
        <v>40</v>
      </c>
      <c r="T337" s="444">
        <v>44734</v>
      </c>
      <c r="U337" s="433"/>
      <c r="V337" s="431"/>
      <c r="W337" s="431" t="s">
        <v>2996</v>
      </c>
      <c r="X337" s="430"/>
      <c r="Y337" s="45"/>
      <c r="Z337" s="17"/>
      <c r="AA337" s="90"/>
      <c r="AB337" s="17"/>
      <c r="AC337" s="17"/>
      <c r="AE337" s="17"/>
    </row>
    <row r="338" spans="1:31" ht="14.25" customHeight="1">
      <c r="A338" s="432" t="s">
        <v>515</v>
      </c>
      <c r="B338" s="446" t="s">
        <v>960</v>
      </c>
      <c r="C338" s="399" t="s">
        <v>2983</v>
      </c>
      <c r="D338" s="430" t="s">
        <v>3000</v>
      </c>
      <c r="E338" s="427" t="s">
        <v>2977</v>
      </c>
      <c r="F338" s="434" t="s">
        <v>2989</v>
      </c>
      <c r="G338" s="427" t="s">
        <v>2994</v>
      </c>
      <c r="H338" s="427"/>
      <c r="I338" s="427"/>
      <c r="J338" s="427" t="s">
        <v>43</v>
      </c>
      <c r="K338" s="427" t="s">
        <v>43</v>
      </c>
      <c r="L338" s="427" t="s">
        <v>588</v>
      </c>
      <c r="M338" s="427" t="s">
        <v>44</v>
      </c>
      <c r="N338" s="427"/>
      <c r="O338" s="427"/>
      <c r="P338" s="427" t="s">
        <v>573</v>
      </c>
      <c r="Q338" s="427" t="s">
        <v>2999</v>
      </c>
      <c r="R338" s="439">
        <v>9</v>
      </c>
      <c r="S338" s="431">
        <v>28</v>
      </c>
      <c r="T338" s="444">
        <v>44734</v>
      </c>
      <c r="U338" s="433"/>
      <c r="V338" s="431"/>
      <c r="W338" s="431" t="s">
        <v>2996</v>
      </c>
      <c r="X338" s="430"/>
      <c r="Y338" s="45"/>
      <c r="Z338" s="17"/>
      <c r="AA338" s="90"/>
      <c r="AB338" s="17"/>
      <c r="AC338" s="17"/>
      <c r="AE338" s="17"/>
    </row>
    <row r="339" spans="1:31" ht="14.25" customHeight="1">
      <c r="A339" s="432" t="s">
        <v>515</v>
      </c>
      <c r="B339" s="446" t="s">
        <v>960</v>
      </c>
      <c r="C339" s="399" t="s">
        <v>2984</v>
      </c>
      <c r="D339" s="430" t="s">
        <v>3000</v>
      </c>
      <c r="E339" s="427" t="s">
        <v>2978</v>
      </c>
      <c r="F339" s="427" t="s">
        <v>2990</v>
      </c>
      <c r="G339" s="427" t="s">
        <v>2995</v>
      </c>
      <c r="H339" s="427"/>
      <c r="I339" s="427"/>
      <c r="J339" s="427" t="s">
        <v>43</v>
      </c>
      <c r="K339" s="427" t="s">
        <v>43</v>
      </c>
      <c r="L339" s="427" t="s">
        <v>588</v>
      </c>
      <c r="M339" s="427" t="s">
        <v>44</v>
      </c>
      <c r="N339" s="427"/>
      <c r="O339" s="427"/>
      <c r="P339" s="427" t="s">
        <v>573</v>
      </c>
      <c r="Q339" s="427" t="s">
        <v>2999</v>
      </c>
      <c r="R339" s="439">
        <v>14</v>
      </c>
      <c r="S339" s="431">
        <v>31</v>
      </c>
      <c r="T339" s="444">
        <v>44734</v>
      </c>
      <c r="U339" s="433"/>
      <c r="V339" s="431"/>
      <c r="W339" s="431" t="s">
        <v>2997</v>
      </c>
      <c r="X339" s="430"/>
      <c r="Y339" s="45"/>
      <c r="Z339" s="17"/>
      <c r="AA339" s="90"/>
      <c r="AB339" s="17"/>
      <c r="AC339" s="17"/>
      <c r="AE339" s="17"/>
    </row>
    <row r="340" spans="1:31" ht="14.25" customHeight="1">
      <c r="A340" s="436" t="s">
        <v>515</v>
      </c>
      <c r="B340" s="446" t="s">
        <v>960</v>
      </c>
      <c r="C340" s="399" t="s">
        <v>2242</v>
      </c>
      <c r="D340" s="430"/>
      <c r="E340" s="427"/>
      <c r="F340" s="427"/>
      <c r="G340" s="427"/>
      <c r="H340" s="427"/>
      <c r="I340" s="427"/>
      <c r="J340" s="427" t="s">
        <v>2098</v>
      </c>
      <c r="K340" s="427" t="s">
        <v>2082</v>
      </c>
      <c r="L340" s="427" t="s">
        <v>2082</v>
      </c>
      <c r="M340" s="427" t="s">
        <v>44</v>
      </c>
      <c r="N340" s="427"/>
      <c r="O340" s="427"/>
      <c r="P340" s="427"/>
      <c r="Q340" s="427" t="s">
        <v>2239</v>
      </c>
      <c r="R340" s="439"/>
      <c r="S340" s="432"/>
      <c r="T340" s="444">
        <v>43841</v>
      </c>
      <c r="U340" s="439"/>
      <c r="V340" s="442"/>
      <c r="W340" s="431"/>
      <c r="X340" s="430"/>
      <c r="Y340" s="45"/>
      <c r="Z340" s="17"/>
      <c r="AA340" s="90"/>
      <c r="AB340" s="17"/>
      <c r="AC340" s="17"/>
      <c r="AE340" s="17"/>
    </row>
    <row r="341" spans="1:31" ht="14.25" customHeight="1">
      <c r="A341" s="432" t="s">
        <v>515</v>
      </c>
      <c r="B341" s="446" t="s">
        <v>960</v>
      </c>
      <c r="C341" s="399" t="s">
        <v>2985</v>
      </c>
      <c r="D341" s="430" t="s">
        <v>3000</v>
      </c>
      <c r="E341" s="427" t="s">
        <v>2979</v>
      </c>
      <c r="F341" s="427" t="s">
        <v>2991</v>
      </c>
      <c r="G341" s="427" t="s">
        <v>2991</v>
      </c>
      <c r="H341" s="427"/>
      <c r="I341" s="427"/>
      <c r="J341" s="427" t="s">
        <v>43</v>
      </c>
      <c r="K341" s="427" t="s">
        <v>43</v>
      </c>
      <c r="L341" s="427" t="s">
        <v>588</v>
      </c>
      <c r="M341" s="427" t="s">
        <v>44</v>
      </c>
      <c r="N341" s="427"/>
      <c r="O341" s="427"/>
      <c r="P341" s="427" t="s">
        <v>573</v>
      </c>
      <c r="Q341" s="427" t="s">
        <v>2999</v>
      </c>
      <c r="R341" s="439">
        <v>54</v>
      </c>
      <c r="S341" s="431">
        <v>179</v>
      </c>
      <c r="T341" s="444">
        <v>44734</v>
      </c>
      <c r="U341" s="433"/>
      <c r="V341" s="431"/>
      <c r="W341" s="431" t="s">
        <v>2996</v>
      </c>
      <c r="X341" s="430"/>
      <c r="Y341" s="45"/>
      <c r="Z341" s="17"/>
      <c r="AA341" s="90"/>
      <c r="AB341" s="17"/>
      <c r="AC341" s="17"/>
      <c r="AE341" s="17"/>
    </row>
    <row r="342" spans="1:31" ht="14.25" customHeight="1">
      <c r="A342" s="432" t="s">
        <v>515</v>
      </c>
      <c r="B342" s="446" t="s">
        <v>960</v>
      </c>
      <c r="C342" s="399" t="s">
        <v>2986</v>
      </c>
      <c r="D342" s="430" t="s">
        <v>3000</v>
      </c>
      <c r="E342" s="427" t="s">
        <v>2980</v>
      </c>
      <c r="F342" s="427" t="s">
        <v>2992</v>
      </c>
      <c r="G342" s="427"/>
      <c r="H342" s="427"/>
      <c r="I342" s="427"/>
      <c r="J342" s="427" t="s">
        <v>43</v>
      </c>
      <c r="K342" s="427" t="s">
        <v>43</v>
      </c>
      <c r="L342" s="427" t="s">
        <v>588</v>
      </c>
      <c r="M342" s="427" t="s">
        <v>44</v>
      </c>
      <c r="N342" s="427"/>
      <c r="O342" s="427"/>
      <c r="P342" s="427" t="s">
        <v>573</v>
      </c>
      <c r="Q342" s="427" t="s">
        <v>2999</v>
      </c>
      <c r="R342" s="439">
        <v>12</v>
      </c>
      <c r="S342" s="431">
        <v>47</v>
      </c>
      <c r="T342" s="444">
        <v>44734</v>
      </c>
      <c r="U342" s="433"/>
      <c r="V342" s="431"/>
      <c r="W342" s="431" t="s">
        <v>2996</v>
      </c>
      <c r="X342" s="430"/>
      <c r="Y342" s="45"/>
      <c r="Z342" s="17"/>
      <c r="AA342" s="90"/>
      <c r="AB342" s="17"/>
      <c r="AC342" s="17"/>
      <c r="AE342" s="17"/>
    </row>
    <row r="343" spans="1:31" ht="14.25" customHeight="1">
      <c r="A343" s="436" t="s">
        <v>515</v>
      </c>
      <c r="B343" s="446" t="s">
        <v>961</v>
      </c>
      <c r="C343" s="399" t="s">
        <v>2157</v>
      </c>
      <c r="D343" s="430"/>
      <c r="E343" s="427"/>
      <c r="F343" s="427"/>
      <c r="G343" s="427"/>
      <c r="H343" s="427"/>
      <c r="I343" s="427"/>
      <c r="J343" s="427" t="s">
        <v>1099</v>
      </c>
      <c r="K343" s="427" t="s">
        <v>43</v>
      </c>
      <c r="L343" s="427" t="s">
        <v>588</v>
      </c>
      <c r="M343" s="427" t="s">
        <v>44</v>
      </c>
      <c r="N343" s="427"/>
      <c r="O343" s="427"/>
      <c r="P343" s="427" t="s">
        <v>573</v>
      </c>
      <c r="Q343" s="427" t="s">
        <v>2158</v>
      </c>
      <c r="R343" s="439"/>
      <c r="S343" s="432"/>
      <c r="T343" s="444"/>
      <c r="U343" s="439"/>
      <c r="V343" s="427"/>
      <c r="W343" s="431"/>
      <c r="X343" s="430"/>
      <c r="Y343" s="45"/>
      <c r="Z343" s="17"/>
      <c r="AA343" s="90"/>
      <c r="AB343" s="17"/>
      <c r="AC343" s="17"/>
      <c r="AE343" s="17"/>
    </row>
    <row r="344" spans="1:31" ht="14.25" customHeight="1">
      <c r="A344" s="436" t="s">
        <v>515</v>
      </c>
      <c r="B344" s="435" t="s">
        <v>961</v>
      </c>
      <c r="C344" s="436" t="s">
        <v>1023</v>
      </c>
      <c r="D344" s="430"/>
      <c r="E344" s="427"/>
      <c r="F344" s="427" t="s">
        <v>1471</v>
      </c>
      <c r="G344" s="427"/>
      <c r="H344" s="427"/>
      <c r="I344" s="427"/>
      <c r="J344" s="427" t="s">
        <v>1099</v>
      </c>
      <c r="K344" s="427" t="s">
        <v>43</v>
      </c>
      <c r="L344" s="427" t="s">
        <v>43</v>
      </c>
      <c r="M344" s="427"/>
      <c r="N344" s="427"/>
      <c r="O344" s="427"/>
      <c r="P344" s="427" t="s">
        <v>573</v>
      </c>
      <c r="Q344" s="427"/>
      <c r="R344" s="439"/>
      <c r="S344" s="432"/>
      <c r="T344" s="444"/>
      <c r="U344" s="439"/>
      <c r="V344" s="427"/>
      <c r="W344" s="431"/>
      <c r="X344" s="430"/>
      <c r="Y344" s="45"/>
      <c r="Z344" s="17"/>
      <c r="AA344" s="90"/>
      <c r="AB344" s="17"/>
      <c r="AC344" s="17"/>
      <c r="AE344" s="17"/>
    </row>
    <row r="345" spans="1:31" ht="14.25" customHeight="1">
      <c r="A345" s="436" t="s">
        <v>515</v>
      </c>
      <c r="B345" s="435" t="s">
        <v>961</v>
      </c>
      <c r="C345" s="436" t="s">
        <v>2159</v>
      </c>
      <c r="D345" s="430"/>
      <c r="E345" s="427"/>
      <c r="F345" s="427"/>
      <c r="G345" s="427"/>
      <c r="H345" s="427"/>
      <c r="I345" s="427"/>
      <c r="J345" s="427" t="s">
        <v>1099</v>
      </c>
      <c r="K345" s="427" t="s">
        <v>43</v>
      </c>
      <c r="L345" s="427" t="s">
        <v>588</v>
      </c>
      <c r="M345" s="427" t="s">
        <v>44</v>
      </c>
      <c r="N345" s="427"/>
      <c r="O345" s="427"/>
      <c r="P345" s="427" t="s">
        <v>573</v>
      </c>
      <c r="Q345" s="427" t="s">
        <v>2158</v>
      </c>
      <c r="R345" s="439"/>
      <c r="S345" s="432"/>
      <c r="T345" s="444">
        <v>43633</v>
      </c>
      <c r="U345" s="439"/>
      <c r="V345" s="427"/>
      <c r="W345" s="431"/>
      <c r="X345" s="430"/>
      <c r="Y345" s="45"/>
      <c r="Z345" s="17"/>
      <c r="AA345" s="90"/>
      <c r="AB345" s="17"/>
      <c r="AC345" s="17"/>
      <c r="AE345" s="17"/>
    </row>
    <row r="346" spans="1:31" ht="14.25" customHeight="1">
      <c r="A346" s="436" t="s">
        <v>515</v>
      </c>
      <c r="B346" s="435" t="s">
        <v>961</v>
      </c>
      <c r="C346" s="436" t="s">
        <v>2210</v>
      </c>
      <c r="D346" s="430"/>
      <c r="E346" s="427"/>
      <c r="F346" s="427"/>
      <c r="G346" s="427"/>
      <c r="H346" s="427"/>
      <c r="I346" s="427"/>
      <c r="J346" s="427" t="s">
        <v>2098</v>
      </c>
      <c r="K346" s="427" t="s">
        <v>2082</v>
      </c>
      <c r="L346" s="427" t="s">
        <v>2082</v>
      </c>
      <c r="M346" s="427" t="s">
        <v>44</v>
      </c>
      <c r="N346" s="427"/>
      <c r="O346" s="427"/>
      <c r="P346" s="427" t="s">
        <v>1573</v>
      </c>
      <c r="Q346" s="427" t="s">
        <v>2175</v>
      </c>
      <c r="R346" s="439"/>
      <c r="S346" s="432"/>
      <c r="T346" s="444">
        <v>43759</v>
      </c>
      <c r="U346" s="433"/>
      <c r="V346" s="427"/>
      <c r="W346" s="431"/>
      <c r="X346" s="430"/>
      <c r="Y346" s="45"/>
      <c r="Z346" s="17"/>
      <c r="AA346" s="90"/>
      <c r="AB346" s="17"/>
      <c r="AC346" s="17"/>
      <c r="AE346" s="17"/>
    </row>
    <row r="347" spans="1:31" ht="14.25" customHeight="1">
      <c r="A347" s="432" t="s">
        <v>515</v>
      </c>
      <c r="B347" s="435" t="s">
        <v>961</v>
      </c>
      <c r="C347" s="436" t="s">
        <v>2209</v>
      </c>
      <c r="D347" s="390"/>
      <c r="E347" s="427"/>
      <c r="F347" s="427"/>
      <c r="G347" s="427"/>
      <c r="H347" s="427"/>
      <c r="I347" s="427"/>
      <c r="J347" s="427" t="s">
        <v>2098</v>
      </c>
      <c r="K347" s="427" t="s">
        <v>2082</v>
      </c>
      <c r="L347" s="427" t="s">
        <v>2082</v>
      </c>
      <c r="M347" s="427" t="s">
        <v>44</v>
      </c>
      <c r="N347" s="427"/>
      <c r="O347" s="427"/>
      <c r="P347" s="427" t="s">
        <v>1573</v>
      </c>
      <c r="Q347" s="427" t="s">
        <v>2175</v>
      </c>
      <c r="R347" s="431"/>
      <c r="S347" s="431"/>
      <c r="T347" s="444">
        <v>43759</v>
      </c>
      <c r="U347" s="433"/>
      <c r="V347" s="431"/>
      <c r="W347" s="431"/>
      <c r="X347" s="390"/>
      <c r="Y347" s="45"/>
      <c r="Z347" s="17"/>
      <c r="AA347" s="90"/>
      <c r="AB347" s="17"/>
      <c r="AC347" s="17"/>
      <c r="AE347" s="17"/>
    </row>
    <row r="348" spans="1:31" ht="14.25" customHeight="1">
      <c r="A348" s="432" t="s">
        <v>515</v>
      </c>
      <c r="B348" s="435" t="s">
        <v>961</v>
      </c>
      <c r="C348" s="399" t="s">
        <v>2208</v>
      </c>
      <c r="D348" s="390"/>
      <c r="E348" s="427"/>
      <c r="F348" s="427"/>
      <c r="G348" s="427"/>
      <c r="H348" s="427"/>
      <c r="I348" s="427"/>
      <c r="J348" s="427" t="s">
        <v>2098</v>
      </c>
      <c r="K348" s="427" t="s">
        <v>2082</v>
      </c>
      <c r="L348" s="427" t="s">
        <v>2082</v>
      </c>
      <c r="M348" s="427" t="s">
        <v>44</v>
      </c>
      <c r="N348" s="427"/>
      <c r="O348" s="427"/>
      <c r="P348" s="427" t="s">
        <v>1573</v>
      </c>
      <c r="Q348" s="427" t="s">
        <v>2175</v>
      </c>
      <c r="R348" s="431"/>
      <c r="S348" s="431"/>
      <c r="T348" s="444">
        <v>43759</v>
      </c>
      <c r="U348" s="433"/>
      <c r="V348" s="431"/>
      <c r="W348" s="431"/>
      <c r="X348" s="390"/>
      <c r="Y348" s="45"/>
      <c r="Z348" s="17"/>
      <c r="AA348" s="90"/>
      <c r="AB348" s="17"/>
      <c r="AC348" s="17"/>
      <c r="AE348" s="17"/>
    </row>
    <row r="349" spans="1:31" ht="14.25" customHeight="1">
      <c r="A349" s="436" t="s">
        <v>515</v>
      </c>
      <c r="B349" s="922" t="s">
        <v>961</v>
      </c>
      <c r="C349" s="456" t="s">
        <v>2212</v>
      </c>
      <c r="D349" s="430"/>
      <c r="E349" s="427"/>
      <c r="F349" s="427"/>
      <c r="G349" s="427"/>
      <c r="H349" s="427"/>
      <c r="I349" s="427"/>
      <c r="J349" s="427" t="s">
        <v>2098</v>
      </c>
      <c r="K349" s="427" t="s">
        <v>2082</v>
      </c>
      <c r="L349" s="427" t="s">
        <v>2082</v>
      </c>
      <c r="M349" s="427" t="s">
        <v>44</v>
      </c>
      <c r="N349" s="427"/>
      <c r="O349" s="427"/>
      <c r="P349" s="427" t="s">
        <v>1573</v>
      </c>
      <c r="Q349" s="427" t="s">
        <v>2175</v>
      </c>
      <c r="R349" s="439"/>
      <c r="S349" s="432"/>
      <c r="T349" s="444">
        <v>43759</v>
      </c>
      <c r="U349" s="439"/>
      <c r="V349" s="427"/>
      <c r="W349" s="431"/>
      <c r="X349" s="430"/>
      <c r="Y349" s="45"/>
      <c r="Z349" s="17"/>
      <c r="AA349" s="90"/>
      <c r="AB349" s="17"/>
      <c r="AC349" s="17"/>
      <c r="AE349" s="17"/>
    </row>
    <row r="350" spans="1:31" ht="14.25" customHeight="1">
      <c r="A350" s="432" t="s">
        <v>515</v>
      </c>
      <c r="B350" s="446" t="s">
        <v>961</v>
      </c>
      <c r="C350" s="399" t="s">
        <v>1941</v>
      </c>
      <c r="D350" s="390"/>
      <c r="E350" s="427"/>
      <c r="F350" s="427"/>
      <c r="G350" s="427"/>
      <c r="H350" s="427"/>
      <c r="I350" s="427"/>
      <c r="J350" s="427" t="s">
        <v>2098</v>
      </c>
      <c r="K350" s="427" t="s">
        <v>2082</v>
      </c>
      <c r="L350" s="427" t="s">
        <v>2082</v>
      </c>
      <c r="M350" s="427" t="s">
        <v>44</v>
      </c>
      <c r="N350" s="427"/>
      <c r="O350" s="427"/>
      <c r="P350" s="427" t="s">
        <v>1573</v>
      </c>
      <c r="Q350" s="427"/>
      <c r="R350" s="431"/>
      <c r="S350" s="431"/>
      <c r="T350" s="444">
        <v>43759</v>
      </c>
      <c r="U350" s="433"/>
      <c r="V350" s="431"/>
      <c r="W350" s="431"/>
      <c r="X350" s="390"/>
      <c r="Y350" s="45"/>
      <c r="Z350" s="17"/>
      <c r="AA350" s="90"/>
      <c r="AB350" s="17"/>
      <c r="AC350" s="17"/>
      <c r="AE350" s="17"/>
    </row>
    <row r="351" spans="1:31" ht="14.25" customHeight="1">
      <c r="A351" s="436" t="s">
        <v>515</v>
      </c>
      <c r="B351" s="455" t="s">
        <v>962</v>
      </c>
      <c r="C351" s="455" t="s">
        <v>2606</v>
      </c>
      <c r="D351" s="430" t="s">
        <v>3001</v>
      </c>
      <c r="E351" s="427" t="s">
        <v>2963</v>
      </c>
      <c r="F351" s="427" t="s">
        <v>2614</v>
      </c>
      <c r="G351" s="427" t="s">
        <v>2618</v>
      </c>
      <c r="H351" s="427"/>
      <c r="I351" s="427"/>
      <c r="J351" s="427" t="s">
        <v>620</v>
      </c>
      <c r="K351" s="427" t="s">
        <v>620</v>
      </c>
      <c r="L351" s="427" t="s">
        <v>3009</v>
      </c>
      <c r="M351" s="427" t="s">
        <v>44</v>
      </c>
      <c r="N351" s="427">
        <v>23.415991000000002</v>
      </c>
      <c r="O351" s="427">
        <v>98.471779999999995</v>
      </c>
      <c r="P351" s="427" t="s">
        <v>573</v>
      </c>
      <c r="Q351" s="427" t="s">
        <v>2609</v>
      </c>
      <c r="R351" s="439">
        <v>219</v>
      </c>
      <c r="S351" s="432">
        <v>653</v>
      </c>
      <c r="T351" s="444">
        <v>44166</v>
      </c>
      <c r="U351" s="439"/>
      <c r="V351" s="427"/>
      <c r="W351" s="431"/>
      <c r="X351" s="427" t="s">
        <v>2599</v>
      </c>
      <c r="Y351" s="45"/>
      <c r="Z351" s="17"/>
      <c r="AA351" s="90"/>
      <c r="AB351" s="17"/>
      <c r="AC351" s="17"/>
      <c r="AE351" s="17"/>
    </row>
    <row r="352" spans="1:31" ht="14.25" customHeight="1">
      <c r="A352" s="436" t="s">
        <v>515</v>
      </c>
      <c r="B352" s="455" t="s">
        <v>2619</v>
      </c>
      <c r="C352" s="456" t="s">
        <v>2605</v>
      </c>
      <c r="D352" s="430" t="s">
        <v>3001</v>
      </c>
      <c r="E352" s="427" t="s">
        <v>2964</v>
      </c>
      <c r="F352" s="427" t="s">
        <v>2613</v>
      </c>
      <c r="G352" s="427" t="s">
        <v>2617</v>
      </c>
      <c r="H352" s="427"/>
      <c r="I352" s="427"/>
      <c r="J352" s="427" t="s">
        <v>620</v>
      </c>
      <c r="K352" s="427" t="s">
        <v>620</v>
      </c>
      <c r="L352" s="427" t="s">
        <v>3009</v>
      </c>
      <c r="M352" s="427" t="s">
        <v>44</v>
      </c>
      <c r="N352" s="427">
        <v>23.363275999999999</v>
      </c>
      <c r="O352" s="427">
        <v>98.472977999999998</v>
      </c>
      <c r="P352" s="427" t="s">
        <v>573</v>
      </c>
      <c r="Q352" s="427" t="s">
        <v>2609</v>
      </c>
      <c r="R352" s="439">
        <v>657</v>
      </c>
      <c r="S352" s="432">
        <v>2786</v>
      </c>
      <c r="T352" s="444">
        <v>44166</v>
      </c>
      <c r="U352" s="439"/>
      <c r="V352" s="427"/>
      <c r="W352" s="431"/>
      <c r="X352" s="427" t="s">
        <v>2598</v>
      </c>
      <c r="Y352" s="45"/>
      <c r="Z352" s="17"/>
      <c r="AA352" s="90"/>
      <c r="AB352" s="17"/>
      <c r="AC352" s="17"/>
      <c r="AE352" s="17"/>
    </row>
    <row r="353" spans="1:31" ht="14.25" customHeight="1">
      <c r="A353" s="436" t="s">
        <v>515</v>
      </c>
      <c r="B353" s="455" t="s">
        <v>963</v>
      </c>
      <c r="C353" s="456" t="s">
        <v>2164</v>
      </c>
      <c r="D353" s="430"/>
      <c r="E353" s="427"/>
      <c r="F353" s="427"/>
      <c r="G353" s="427"/>
      <c r="H353" s="427"/>
      <c r="I353" s="427"/>
      <c r="J353" s="427" t="s">
        <v>607</v>
      </c>
      <c r="K353" s="427" t="s">
        <v>607</v>
      </c>
      <c r="L353" s="427" t="s">
        <v>607</v>
      </c>
      <c r="M353" s="427" t="s">
        <v>44</v>
      </c>
      <c r="N353" s="427"/>
      <c r="O353" s="427"/>
      <c r="P353" s="427" t="s">
        <v>608</v>
      </c>
      <c r="Q353" s="427" t="s">
        <v>2158</v>
      </c>
      <c r="R353" s="439"/>
      <c r="S353" s="432"/>
      <c r="T353" s="444">
        <v>43650</v>
      </c>
      <c r="U353" s="439"/>
      <c r="V353" s="427"/>
      <c r="W353" s="431"/>
      <c r="X353" s="430"/>
      <c r="Y353" s="45"/>
      <c r="Z353" s="17"/>
      <c r="AA353" s="90"/>
      <c r="AB353" s="17"/>
      <c r="AC353" s="17"/>
      <c r="AE353" s="17"/>
    </row>
    <row r="354" spans="1:31" ht="14.25" customHeight="1">
      <c r="A354" s="432" t="s">
        <v>515</v>
      </c>
      <c r="B354" s="435" t="s">
        <v>963</v>
      </c>
      <c r="C354" s="436" t="s">
        <v>2602</v>
      </c>
      <c r="D354" s="430" t="s">
        <v>3001</v>
      </c>
      <c r="E354" s="427" t="s">
        <v>2965</v>
      </c>
      <c r="F354" s="429" t="s">
        <v>2611</v>
      </c>
      <c r="G354" s="427" t="s">
        <v>2615</v>
      </c>
      <c r="H354" s="427"/>
      <c r="I354" s="427"/>
      <c r="J354" s="427" t="s">
        <v>43</v>
      </c>
      <c r="K354" s="427" t="s">
        <v>43</v>
      </c>
      <c r="L354" s="427" t="s">
        <v>2607</v>
      </c>
      <c r="M354" s="427" t="s">
        <v>44</v>
      </c>
      <c r="N354" s="427">
        <v>23.420603</v>
      </c>
      <c r="O354" s="427">
        <v>98.451791999999998</v>
      </c>
      <c r="P354" s="427" t="s">
        <v>573</v>
      </c>
      <c r="Q354" s="427" t="s">
        <v>2609</v>
      </c>
      <c r="R354" s="439">
        <v>166</v>
      </c>
      <c r="S354" s="432">
        <v>830</v>
      </c>
      <c r="T354" s="444">
        <v>44166</v>
      </c>
      <c r="U354" s="433"/>
      <c r="V354" s="431"/>
      <c r="W354" s="431"/>
      <c r="X354" s="427" t="s">
        <v>2595</v>
      </c>
      <c r="Y354" s="45"/>
      <c r="Z354" s="17"/>
      <c r="AA354" s="90"/>
      <c r="AB354" s="17"/>
      <c r="AC354" s="17"/>
      <c r="AE354" s="17"/>
    </row>
    <row r="355" spans="1:31" ht="14.25" customHeight="1">
      <c r="A355" s="436" t="s">
        <v>515</v>
      </c>
      <c r="B355" s="435" t="s">
        <v>963</v>
      </c>
      <c r="C355" s="436" t="s">
        <v>2162</v>
      </c>
      <c r="D355" s="430"/>
      <c r="E355" s="427"/>
      <c r="F355" s="429"/>
      <c r="G355" s="427"/>
      <c r="H355" s="427"/>
      <c r="I355" s="427"/>
      <c r="J355" s="427" t="s">
        <v>607</v>
      </c>
      <c r="K355" s="427" t="s">
        <v>607</v>
      </c>
      <c r="L355" s="427" t="s">
        <v>607</v>
      </c>
      <c r="M355" s="427" t="s">
        <v>44</v>
      </c>
      <c r="N355" s="427"/>
      <c r="O355" s="427"/>
      <c r="P355" s="427" t="s">
        <v>608</v>
      </c>
      <c r="Q355" s="427" t="s">
        <v>2158</v>
      </c>
      <c r="R355" s="439"/>
      <c r="S355" s="432"/>
      <c r="T355" s="444">
        <v>43650</v>
      </c>
      <c r="U355" s="433"/>
      <c r="V355" s="427"/>
      <c r="W355" s="431"/>
      <c r="X355" s="430"/>
      <c r="Y355" s="45"/>
      <c r="Z355" s="17"/>
      <c r="AA355" s="90"/>
      <c r="AB355" s="17"/>
      <c r="AC355" s="17"/>
      <c r="AE355" s="17"/>
    </row>
    <row r="356" spans="1:31" ht="14.25" customHeight="1">
      <c r="A356" s="436" t="s">
        <v>515</v>
      </c>
      <c r="B356" s="435" t="s">
        <v>963</v>
      </c>
      <c r="C356" s="436" t="s">
        <v>2163</v>
      </c>
      <c r="D356" s="430"/>
      <c r="E356" s="427"/>
      <c r="F356" s="427"/>
      <c r="G356" s="427"/>
      <c r="H356" s="427"/>
      <c r="I356" s="427"/>
      <c r="J356" s="427" t="s">
        <v>607</v>
      </c>
      <c r="K356" s="427" t="s">
        <v>607</v>
      </c>
      <c r="L356" s="427" t="s">
        <v>607</v>
      </c>
      <c r="M356" s="427" t="s">
        <v>44</v>
      </c>
      <c r="N356" s="427"/>
      <c r="O356" s="427"/>
      <c r="P356" s="427" t="s">
        <v>608</v>
      </c>
      <c r="Q356" s="427" t="s">
        <v>2158</v>
      </c>
      <c r="R356" s="439"/>
      <c r="S356" s="432"/>
      <c r="T356" s="444">
        <v>43650</v>
      </c>
      <c r="U356" s="433"/>
      <c r="V356" s="429"/>
      <c r="W356" s="362"/>
      <c r="X356" s="430"/>
      <c r="Y356" s="45"/>
      <c r="Z356" s="17"/>
      <c r="AA356" s="90"/>
      <c r="AB356" s="17"/>
      <c r="AC356" s="17"/>
      <c r="AE356" s="17"/>
    </row>
    <row r="357" spans="1:31" ht="14.25" customHeight="1">
      <c r="A357" s="436" t="s">
        <v>515</v>
      </c>
      <c r="B357" s="435" t="s">
        <v>963</v>
      </c>
      <c r="C357" s="436" t="s">
        <v>2165</v>
      </c>
      <c r="D357" s="390"/>
      <c r="E357" s="427"/>
      <c r="F357" s="427"/>
      <c r="G357" s="427"/>
      <c r="H357" s="427"/>
      <c r="I357" s="427"/>
      <c r="J357" s="427" t="s">
        <v>607</v>
      </c>
      <c r="K357" s="427" t="s">
        <v>607</v>
      </c>
      <c r="L357" s="427" t="s">
        <v>607</v>
      </c>
      <c r="M357" s="427" t="s">
        <v>44</v>
      </c>
      <c r="N357" s="427"/>
      <c r="O357" s="427"/>
      <c r="P357" s="427" t="s">
        <v>608</v>
      </c>
      <c r="Q357" s="427" t="s">
        <v>2158</v>
      </c>
      <c r="R357" s="431"/>
      <c r="S357" s="431"/>
      <c r="T357" s="444">
        <v>43650</v>
      </c>
      <c r="U357" s="433"/>
      <c r="V357" s="429"/>
      <c r="W357" s="362"/>
      <c r="X357" s="390"/>
      <c r="Y357" s="45"/>
      <c r="Z357" s="17"/>
      <c r="AA357" s="90"/>
      <c r="AB357" s="17"/>
      <c r="AC357" s="17"/>
      <c r="AE357" s="17"/>
    </row>
    <row r="358" spans="1:31" ht="14.25" customHeight="1">
      <c r="A358" s="436" t="s">
        <v>515</v>
      </c>
      <c r="B358" s="435" t="s">
        <v>963</v>
      </c>
      <c r="C358" s="436" t="s">
        <v>2603</v>
      </c>
      <c r="D358" s="430" t="s">
        <v>3001</v>
      </c>
      <c r="E358" s="427" t="s">
        <v>2966</v>
      </c>
      <c r="F358" s="427" t="s">
        <v>2612</v>
      </c>
      <c r="G358" s="427" t="s">
        <v>2616</v>
      </c>
      <c r="H358" s="427"/>
      <c r="I358" s="427"/>
      <c r="J358" s="427" t="s">
        <v>43</v>
      </c>
      <c r="K358" s="427" t="s">
        <v>43</v>
      </c>
      <c r="L358" s="427" t="s">
        <v>2607</v>
      </c>
      <c r="M358" s="427" t="s">
        <v>44</v>
      </c>
      <c r="N358" s="427">
        <v>23.729893000000001</v>
      </c>
      <c r="O358" s="427">
        <v>98.779853500000002</v>
      </c>
      <c r="P358" s="427" t="s">
        <v>573</v>
      </c>
      <c r="Q358" s="427" t="s">
        <v>2609</v>
      </c>
      <c r="R358" s="439">
        <v>34</v>
      </c>
      <c r="S358" s="432">
        <v>170</v>
      </c>
      <c r="T358" s="444">
        <v>44166</v>
      </c>
      <c r="U358" s="433"/>
      <c r="V358" s="427"/>
      <c r="W358" s="362"/>
      <c r="X358" s="427" t="s">
        <v>2596</v>
      </c>
      <c r="Y358" s="45"/>
      <c r="Z358" s="17"/>
      <c r="AA358" s="90"/>
      <c r="AB358" s="17"/>
      <c r="AC358" s="17"/>
      <c r="AE358" s="17"/>
    </row>
    <row r="359" spans="1:31" ht="14.25" customHeight="1">
      <c r="A359" s="436" t="s">
        <v>515</v>
      </c>
      <c r="B359" s="435" t="s">
        <v>522</v>
      </c>
      <c r="C359" s="436" t="s">
        <v>812</v>
      </c>
      <c r="D359" s="430" t="s">
        <v>1299</v>
      </c>
      <c r="E359" s="427"/>
      <c r="F359" s="427"/>
      <c r="G359" s="427"/>
      <c r="H359" s="427"/>
      <c r="I359" s="427"/>
      <c r="J359" s="427" t="s">
        <v>607</v>
      </c>
      <c r="K359" s="427" t="s">
        <v>607</v>
      </c>
      <c r="L359" s="427" t="s">
        <v>607</v>
      </c>
      <c r="M359" s="427"/>
      <c r="N359" s="427"/>
      <c r="O359" s="427"/>
      <c r="P359" s="427" t="s">
        <v>608</v>
      </c>
      <c r="Q359" s="427"/>
      <c r="R359" s="439"/>
      <c r="S359" s="432"/>
      <c r="T359" s="444"/>
      <c r="U359" s="433"/>
      <c r="V359" s="427" t="s">
        <v>813</v>
      </c>
      <c r="W359" s="362"/>
      <c r="X359" s="430"/>
      <c r="Y359" s="45"/>
      <c r="Z359" s="17"/>
      <c r="AA359" s="90"/>
      <c r="AB359" s="17"/>
      <c r="AC359" s="17"/>
      <c r="AE359" s="17"/>
    </row>
    <row r="360" spans="1:31" ht="14.25" customHeight="1">
      <c r="A360" s="436" t="s">
        <v>515</v>
      </c>
      <c r="B360" s="435" t="s">
        <v>522</v>
      </c>
      <c r="C360" s="436" t="s">
        <v>560</v>
      </c>
      <c r="D360" s="430" t="s">
        <v>1730</v>
      </c>
      <c r="E360" s="427" t="s">
        <v>1042</v>
      </c>
      <c r="F360" s="429">
        <v>0</v>
      </c>
      <c r="G360" s="427">
        <v>0</v>
      </c>
      <c r="H360" s="427"/>
      <c r="I360" s="427" t="s">
        <v>1619</v>
      </c>
      <c r="J360" s="427" t="s">
        <v>43</v>
      </c>
      <c r="K360" s="427" t="s">
        <v>43</v>
      </c>
      <c r="L360" s="427" t="s">
        <v>572</v>
      </c>
      <c r="M360" s="427" t="s">
        <v>44</v>
      </c>
      <c r="N360" s="427"/>
      <c r="O360" s="427"/>
      <c r="P360" s="427" t="s">
        <v>573</v>
      </c>
      <c r="Q360" s="427" t="s">
        <v>574</v>
      </c>
      <c r="R360" s="439">
        <v>36</v>
      </c>
      <c r="S360" s="432">
        <v>188</v>
      </c>
      <c r="T360" s="444"/>
      <c r="U360" s="433" t="s">
        <v>2122</v>
      </c>
      <c r="V360" s="427"/>
      <c r="W360" s="362" t="s">
        <v>1731</v>
      </c>
      <c r="X360" s="430"/>
      <c r="Y360" s="45"/>
      <c r="Z360" s="17"/>
      <c r="AA360" s="90"/>
      <c r="AB360" s="17"/>
      <c r="AC360" s="17"/>
      <c r="AE360" s="17"/>
    </row>
    <row r="361" spans="1:31" ht="14.25" customHeight="1">
      <c r="A361" s="436" t="s">
        <v>515</v>
      </c>
      <c r="B361" s="435" t="s">
        <v>522</v>
      </c>
      <c r="C361" s="436" t="s">
        <v>548</v>
      </c>
      <c r="D361" s="430" t="s">
        <v>2772</v>
      </c>
      <c r="E361" s="427" t="s">
        <v>1062</v>
      </c>
      <c r="F361" s="427" t="s">
        <v>1321</v>
      </c>
      <c r="G361" s="427" t="s">
        <v>1338</v>
      </c>
      <c r="H361" s="427" t="s">
        <v>41</v>
      </c>
      <c r="I361" s="427" t="s">
        <v>2118</v>
      </c>
      <c r="J361" s="427" t="s">
        <v>43</v>
      </c>
      <c r="K361" s="427" t="s">
        <v>43</v>
      </c>
      <c r="L361" s="427" t="s">
        <v>572</v>
      </c>
      <c r="M361" s="427" t="s">
        <v>44</v>
      </c>
      <c r="N361" s="427">
        <v>23.250678000000001</v>
      </c>
      <c r="O361" s="427">
        <v>97.124403000000001</v>
      </c>
      <c r="P361" s="427" t="s">
        <v>573</v>
      </c>
      <c r="Q361" s="427" t="s">
        <v>592</v>
      </c>
      <c r="R361" s="439">
        <v>28</v>
      </c>
      <c r="S361" s="432">
        <v>147</v>
      </c>
      <c r="T361" s="444"/>
      <c r="U361" s="433"/>
      <c r="V361" s="427" t="s">
        <v>548</v>
      </c>
      <c r="W361" s="362" t="s">
        <v>1689</v>
      </c>
      <c r="X361" s="430"/>
      <c r="Y361" s="45"/>
      <c r="Z361" s="17"/>
      <c r="AA361" s="90"/>
      <c r="AB361" s="17"/>
      <c r="AC361" s="17"/>
      <c r="AE361" s="17"/>
    </row>
    <row r="362" spans="1:31" ht="14.25" customHeight="1">
      <c r="A362" s="436" t="s">
        <v>515</v>
      </c>
      <c r="B362" s="435" t="s">
        <v>522</v>
      </c>
      <c r="C362" s="436" t="s">
        <v>523</v>
      </c>
      <c r="D362" s="430" t="s">
        <v>3001</v>
      </c>
      <c r="E362" s="427" t="s">
        <v>2967</v>
      </c>
      <c r="F362" s="427" t="s">
        <v>1321</v>
      </c>
      <c r="G362" s="427" t="s">
        <v>1338</v>
      </c>
      <c r="H362" s="427" t="s">
        <v>41</v>
      </c>
      <c r="I362" s="427" t="s">
        <v>1041</v>
      </c>
      <c r="J362" s="427" t="s">
        <v>43</v>
      </c>
      <c r="K362" s="427" t="s">
        <v>43</v>
      </c>
      <c r="L362" s="427" t="s">
        <v>43</v>
      </c>
      <c r="M362" s="427" t="s">
        <v>44</v>
      </c>
      <c r="N362" s="427">
        <v>23.24661</v>
      </c>
      <c r="O362" s="427">
        <v>97.116680000000002</v>
      </c>
      <c r="P362" s="427" t="s">
        <v>573</v>
      </c>
      <c r="Q362" s="427" t="s">
        <v>592</v>
      </c>
      <c r="R362" s="439">
        <v>30</v>
      </c>
      <c r="S362" s="432">
        <v>159</v>
      </c>
      <c r="T362" s="444"/>
      <c r="U362" s="433"/>
      <c r="V362" s="429" t="s">
        <v>523</v>
      </c>
      <c r="W362" s="362" t="s">
        <v>1690</v>
      </c>
      <c r="X362" s="427" t="s">
        <v>1061</v>
      </c>
      <c r="Y362" s="45"/>
      <c r="Z362" s="17"/>
      <c r="AA362" s="90"/>
      <c r="AB362" s="17"/>
      <c r="AC362" s="17"/>
      <c r="AE362" s="17"/>
    </row>
    <row r="363" spans="1:31" ht="14.25" customHeight="1">
      <c r="A363" s="436" t="s">
        <v>515</v>
      </c>
      <c r="B363" s="435" t="s">
        <v>525</v>
      </c>
      <c r="C363" s="436" t="s">
        <v>571</v>
      </c>
      <c r="D363" s="390" t="s">
        <v>1300</v>
      </c>
      <c r="E363" s="427" t="s">
        <v>1027</v>
      </c>
      <c r="F363" s="427" t="s">
        <v>1311</v>
      </c>
      <c r="G363" s="427" t="s">
        <v>1312</v>
      </c>
      <c r="H363" s="427"/>
      <c r="I363" s="427">
        <v>0</v>
      </c>
      <c r="J363" s="427" t="s">
        <v>43</v>
      </c>
      <c r="K363" s="427" t="s">
        <v>43</v>
      </c>
      <c r="L363" s="427" t="s">
        <v>572</v>
      </c>
      <c r="M363" s="427" t="s">
        <v>44</v>
      </c>
      <c r="N363" s="427"/>
      <c r="O363" s="427"/>
      <c r="P363" s="427" t="s">
        <v>573</v>
      </c>
      <c r="Q363" s="427" t="s">
        <v>574</v>
      </c>
      <c r="R363" s="431">
        <v>0</v>
      </c>
      <c r="S363" s="431">
        <v>0</v>
      </c>
      <c r="T363" s="444">
        <v>42832</v>
      </c>
      <c r="U363" s="433"/>
      <c r="V363" s="427"/>
      <c r="W363" s="362" t="s">
        <v>1691</v>
      </c>
      <c r="X363" s="390"/>
      <c r="Y363" s="45"/>
      <c r="Z363" s="17"/>
      <c r="AA363" s="90"/>
      <c r="AB363" s="17"/>
      <c r="AC363" s="17"/>
      <c r="AE363" s="17"/>
    </row>
    <row r="364" spans="1:31" ht="14.25" customHeight="1">
      <c r="A364" s="436" t="s">
        <v>515</v>
      </c>
      <c r="B364" s="435" t="s">
        <v>525</v>
      </c>
      <c r="C364" s="436" t="s">
        <v>575</v>
      </c>
      <c r="D364" s="390" t="s">
        <v>1300</v>
      </c>
      <c r="E364" s="427" t="s">
        <v>1028</v>
      </c>
      <c r="F364" s="427" t="s">
        <v>1311</v>
      </c>
      <c r="G364" s="427" t="s">
        <v>1313</v>
      </c>
      <c r="H364" s="427"/>
      <c r="I364" s="427">
        <v>0</v>
      </c>
      <c r="J364" s="427" t="s">
        <v>43</v>
      </c>
      <c r="K364" s="427" t="s">
        <v>43</v>
      </c>
      <c r="L364" s="427" t="s">
        <v>572</v>
      </c>
      <c r="M364" s="427" t="s">
        <v>44</v>
      </c>
      <c r="N364" s="427"/>
      <c r="O364" s="427"/>
      <c r="P364" s="427" t="s">
        <v>573</v>
      </c>
      <c r="Q364" s="427" t="s">
        <v>574</v>
      </c>
      <c r="R364" s="439">
        <v>0</v>
      </c>
      <c r="S364" s="432">
        <v>0</v>
      </c>
      <c r="T364" s="444"/>
      <c r="U364" s="433"/>
      <c r="V364" s="427">
        <v>42920</v>
      </c>
      <c r="W364" s="362" t="s">
        <v>1691</v>
      </c>
      <c r="X364" s="390"/>
      <c r="Y364" s="45"/>
      <c r="Z364" s="17"/>
      <c r="AA364" s="90"/>
      <c r="AB364" s="17"/>
      <c r="AC364" s="17"/>
      <c r="AE364" s="17"/>
    </row>
    <row r="365" spans="1:31" ht="14.25" customHeight="1">
      <c r="A365" s="436" t="s">
        <v>515</v>
      </c>
      <c r="B365" s="435" t="s">
        <v>525</v>
      </c>
      <c r="C365" s="399" t="s">
        <v>576</v>
      </c>
      <c r="D365" s="430" t="s">
        <v>1300</v>
      </c>
      <c r="E365" s="427" t="s">
        <v>1029</v>
      </c>
      <c r="F365" s="427" t="s">
        <v>1311</v>
      </c>
      <c r="G365" s="427" t="s">
        <v>1313</v>
      </c>
      <c r="H365" s="427"/>
      <c r="I365" s="427">
        <v>0</v>
      </c>
      <c r="J365" s="427" t="s">
        <v>43</v>
      </c>
      <c r="K365" s="427" t="s">
        <v>43</v>
      </c>
      <c r="L365" s="427" t="s">
        <v>572</v>
      </c>
      <c r="M365" s="427" t="s">
        <v>44</v>
      </c>
      <c r="N365" s="427"/>
      <c r="O365" s="427"/>
      <c r="P365" s="427" t="s">
        <v>573</v>
      </c>
      <c r="Q365" s="427" t="s">
        <v>574</v>
      </c>
      <c r="R365" s="439">
        <v>0</v>
      </c>
      <c r="S365" s="432">
        <v>0</v>
      </c>
      <c r="T365" s="444"/>
      <c r="U365" s="433"/>
      <c r="V365" s="427">
        <v>42920</v>
      </c>
      <c r="W365" s="362" t="s">
        <v>1691</v>
      </c>
      <c r="X365" s="430"/>
      <c r="Y365" s="45"/>
      <c r="Z365" s="17"/>
      <c r="AA365" s="90"/>
      <c r="AB365" s="17"/>
      <c r="AC365" s="17"/>
      <c r="AE365" s="17"/>
    </row>
    <row r="366" spans="1:31" ht="14.25" customHeight="1">
      <c r="A366" s="436" t="s">
        <v>515</v>
      </c>
      <c r="B366" s="435" t="s">
        <v>525</v>
      </c>
      <c r="C366" s="436" t="s">
        <v>714</v>
      </c>
      <c r="D366" s="430" t="s">
        <v>1300</v>
      </c>
      <c r="E366" s="427" t="s">
        <v>1095</v>
      </c>
      <c r="F366" s="427" t="s">
        <v>1325</v>
      </c>
      <c r="G366" s="427" t="s">
        <v>1326</v>
      </c>
      <c r="H366" s="427"/>
      <c r="I366" s="427">
        <v>0</v>
      </c>
      <c r="J366" s="427" t="s">
        <v>43</v>
      </c>
      <c r="K366" s="427" t="s">
        <v>43</v>
      </c>
      <c r="L366" s="427" t="s">
        <v>572</v>
      </c>
      <c r="M366" s="427" t="s">
        <v>44</v>
      </c>
      <c r="N366" s="427">
        <v>23.917631</v>
      </c>
      <c r="O366" s="427">
        <v>98.116817999999995</v>
      </c>
      <c r="P366" s="427" t="s">
        <v>573</v>
      </c>
      <c r="Q366" s="427" t="s">
        <v>574</v>
      </c>
      <c r="R366" s="439">
        <v>0</v>
      </c>
      <c r="S366" s="432">
        <v>0</v>
      </c>
      <c r="T366" s="444">
        <v>42836</v>
      </c>
      <c r="U366" s="433"/>
      <c r="V366" s="427"/>
      <c r="W366" s="362" t="s">
        <v>1692</v>
      </c>
      <c r="X366" s="430"/>
      <c r="Y366" s="45"/>
      <c r="Z366" s="17"/>
      <c r="AA366" s="90"/>
      <c r="AB366" s="17"/>
      <c r="AC366" s="17"/>
      <c r="AE366" s="17"/>
    </row>
    <row r="367" spans="1:31" ht="14.25" customHeight="1">
      <c r="A367" s="436" t="s">
        <v>515</v>
      </c>
      <c r="B367" s="435" t="s">
        <v>525</v>
      </c>
      <c r="C367" s="436" t="s">
        <v>555</v>
      </c>
      <c r="D367" s="430" t="s">
        <v>3001</v>
      </c>
      <c r="E367" s="427" t="s">
        <v>2968</v>
      </c>
      <c r="F367" s="427" t="s">
        <v>1457</v>
      </c>
      <c r="G367" s="427" t="s">
        <v>555</v>
      </c>
      <c r="H367" s="427" t="s">
        <v>41</v>
      </c>
      <c r="I367" s="427" t="s">
        <v>2118</v>
      </c>
      <c r="J367" s="427" t="s">
        <v>43</v>
      </c>
      <c r="K367" s="427" t="s">
        <v>43</v>
      </c>
      <c r="L367" s="427" t="s">
        <v>43</v>
      </c>
      <c r="M367" s="427" t="s">
        <v>44</v>
      </c>
      <c r="N367" s="427">
        <v>24.08738</v>
      </c>
      <c r="O367" s="427">
        <v>98.115809999999996</v>
      </c>
      <c r="P367" s="427" t="s">
        <v>573</v>
      </c>
      <c r="Q367" s="427" t="s">
        <v>611</v>
      </c>
      <c r="R367" s="439">
        <v>306</v>
      </c>
      <c r="S367" s="432">
        <v>1573</v>
      </c>
      <c r="T367" s="444" t="s">
        <v>811</v>
      </c>
      <c r="U367" s="433"/>
      <c r="V367" s="427"/>
      <c r="W367" s="362" t="s">
        <v>1676</v>
      </c>
      <c r="X367" s="427" t="s">
        <v>1259</v>
      </c>
      <c r="Y367" s="45"/>
      <c r="Z367" s="17"/>
      <c r="AA367" s="90"/>
      <c r="AB367" s="17"/>
      <c r="AC367" s="17"/>
      <c r="AE367" s="17"/>
    </row>
    <row r="368" spans="1:31" ht="14.25" customHeight="1">
      <c r="A368" s="436" t="s">
        <v>515</v>
      </c>
      <c r="B368" s="435" t="s">
        <v>525</v>
      </c>
      <c r="C368" s="436" t="s">
        <v>559</v>
      </c>
      <c r="D368" s="430" t="s">
        <v>2259</v>
      </c>
      <c r="E368" s="427" t="s">
        <v>1106</v>
      </c>
      <c r="F368" s="429" t="s">
        <v>555</v>
      </c>
      <c r="G368" s="427" t="s">
        <v>555</v>
      </c>
      <c r="H368" s="427"/>
      <c r="I368" s="427">
        <v>0</v>
      </c>
      <c r="J368" s="427" t="s">
        <v>43</v>
      </c>
      <c r="K368" s="427" t="s">
        <v>43</v>
      </c>
      <c r="L368" s="427" t="s">
        <v>572</v>
      </c>
      <c r="M368" s="427" t="s">
        <v>44</v>
      </c>
      <c r="N368" s="427">
        <v>24.08738</v>
      </c>
      <c r="O368" s="427">
        <v>98.115809999999996</v>
      </c>
      <c r="P368" s="427" t="s">
        <v>573</v>
      </c>
      <c r="Q368" s="427" t="s">
        <v>592</v>
      </c>
      <c r="R368" s="439">
        <v>32</v>
      </c>
      <c r="S368" s="432">
        <v>187</v>
      </c>
      <c r="T368" s="444">
        <v>43276</v>
      </c>
      <c r="U368" s="433" t="s">
        <v>1566</v>
      </c>
      <c r="V368" s="427" t="s">
        <v>559</v>
      </c>
      <c r="W368" s="362" t="s">
        <v>1566</v>
      </c>
      <c r="X368" s="430"/>
      <c r="Y368" s="45"/>
      <c r="Z368" s="17"/>
      <c r="AA368" s="90"/>
      <c r="AB368" s="17"/>
      <c r="AC368" s="17"/>
      <c r="AE368" s="17"/>
    </row>
    <row r="369" spans="1:31" ht="14.25" customHeight="1">
      <c r="A369" s="436" t="s">
        <v>515</v>
      </c>
      <c r="B369" s="446" t="s">
        <v>525</v>
      </c>
      <c r="C369" s="399" t="s">
        <v>565</v>
      </c>
      <c r="D369" s="390" t="s">
        <v>1300</v>
      </c>
      <c r="E369" s="427" t="s">
        <v>1036</v>
      </c>
      <c r="F369" s="427">
        <v>0</v>
      </c>
      <c r="G369" s="427">
        <v>0</v>
      </c>
      <c r="H369" s="427"/>
      <c r="I369" s="429">
        <v>0</v>
      </c>
      <c r="J369" s="427" t="s">
        <v>43</v>
      </c>
      <c r="K369" s="427" t="s">
        <v>43</v>
      </c>
      <c r="L369" s="427" t="s">
        <v>572</v>
      </c>
      <c r="M369" s="427" t="s">
        <v>44</v>
      </c>
      <c r="N369" s="427"/>
      <c r="O369" s="427"/>
      <c r="P369" s="427" t="s">
        <v>573</v>
      </c>
      <c r="Q369" s="427" t="s">
        <v>574</v>
      </c>
      <c r="R369" s="431">
        <v>0</v>
      </c>
      <c r="S369" s="431">
        <v>0</v>
      </c>
      <c r="T369" s="444"/>
      <c r="U369" s="433"/>
      <c r="V369" s="427">
        <v>42920</v>
      </c>
      <c r="W369" s="362" t="s">
        <v>1691</v>
      </c>
      <c r="X369" s="390"/>
      <c r="Y369" s="45"/>
      <c r="Z369" s="17"/>
      <c r="AA369" s="90"/>
      <c r="AB369" s="17"/>
      <c r="AC369" s="17"/>
      <c r="AE369" s="17"/>
    </row>
    <row r="370" spans="1:31" ht="14.25" customHeight="1">
      <c r="A370" s="436" t="s">
        <v>515</v>
      </c>
      <c r="B370" s="446" t="s">
        <v>525</v>
      </c>
      <c r="C370" s="436" t="s">
        <v>582</v>
      </c>
      <c r="D370" s="390" t="s">
        <v>1300</v>
      </c>
      <c r="E370" s="427" t="s">
        <v>1037</v>
      </c>
      <c r="F370" s="427" t="s">
        <v>1311</v>
      </c>
      <c r="G370" s="427" t="s">
        <v>1313</v>
      </c>
      <c r="H370" s="427"/>
      <c r="I370" s="427">
        <v>0</v>
      </c>
      <c r="J370" s="427" t="s">
        <v>43</v>
      </c>
      <c r="K370" s="427" t="s">
        <v>43</v>
      </c>
      <c r="L370" s="427" t="s">
        <v>572</v>
      </c>
      <c r="M370" s="427" t="s">
        <v>44</v>
      </c>
      <c r="N370" s="427"/>
      <c r="O370" s="427"/>
      <c r="P370" s="427" t="s">
        <v>573</v>
      </c>
      <c r="Q370" s="427" t="s">
        <v>574</v>
      </c>
      <c r="R370" s="431">
        <v>0</v>
      </c>
      <c r="S370" s="431">
        <v>0</v>
      </c>
      <c r="T370" s="444"/>
      <c r="U370" s="433"/>
      <c r="V370" s="429">
        <v>42920</v>
      </c>
      <c r="W370" s="362" t="s">
        <v>1691</v>
      </c>
      <c r="X370" s="390"/>
      <c r="Y370" s="45"/>
      <c r="Z370" s="17"/>
      <c r="AA370" s="90"/>
      <c r="AB370" s="17"/>
      <c r="AC370" s="17"/>
      <c r="AE370" s="17"/>
    </row>
    <row r="371" spans="1:31" ht="14.25" customHeight="1">
      <c r="A371" s="436" t="s">
        <v>515</v>
      </c>
      <c r="B371" s="446" t="s">
        <v>525</v>
      </c>
      <c r="C371" s="436" t="s">
        <v>2694</v>
      </c>
      <c r="D371" s="430" t="s">
        <v>3001</v>
      </c>
      <c r="E371" s="427" t="s">
        <v>2969</v>
      </c>
      <c r="F371" s="429" t="s">
        <v>2715</v>
      </c>
      <c r="G371" s="427" t="s">
        <v>2716</v>
      </c>
      <c r="H371" s="427"/>
      <c r="I371" s="427"/>
      <c r="J371" s="427" t="s">
        <v>43</v>
      </c>
      <c r="K371" s="427" t="s">
        <v>43</v>
      </c>
      <c r="L371" s="427" t="s">
        <v>2608</v>
      </c>
      <c r="M371" s="427" t="s">
        <v>44</v>
      </c>
      <c r="N371" s="427">
        <v>23.963060379028299</v>
      </c>
      <c r="O371" s="427">
        <v>98.127189636230497</v>
      </c>
      <c r="P371" s="427" t="s">
        <v>573</v>
      </c>
      <c r="Q371" s="427" t="s">
        <v>2700</v>
      </c>
      <c r="R371" s="439">
        <v>19</v>
      </c>
      <c r="S371" s="432">
        <v>60</v>
      </c>
      <c r="T371" s="444">
        <v>44544</v>
      </c>
      <c r="U371" s="433"/>
      <c r="V371" s="427"/>
      <c r="W371" s="431" t="s">
        <v>2717</v>
      </c>
      <c r="X371" s="427" t="s">
        <v>2714</v>
      </c>
      <c r="Y371" s="45"/>
      <c r="Z371" s="17"/>
      <c r="AA371" s="90"/>
      <c r="AB371" s="17"/>
      <c r="AC371" s="17"/>
      <c r="AE371" s="17"/>
    </row>
    <row r="372" spans="1:31" ht="14.25" customHeight="1">
      <c r="A372" s="436" t="s">
        <v>515</v>
      </c>
      <c r="B372" s="446" t="s">
        <v>525</v>
      </c>
      <c r="C372" s="399" t="s">
        <v>722</v>
      </c>
      <c r="D372" s="430" t="s">
        <v>2259</v>
      </c>
      <c r="E372" s="427" t="s">
        <v>1107</v>
      </c>
      <c r="F372" s="427"/>
      <c r="G372" s="427"/>
      <c r="H372" s="427" t="s">
        <v>41</v>
      </c>
      <c r="I372" s="427" t="s">
        <v>141</v>
      </c>
      <c r="J372" s="427" t="s">
        <v>43</v>
      </c>
      <c r="K372" s="427" t="s">
        <v>43</v>
      </c>
      <c r="L372" s="427" t="s">
        <v>43</v>
      </c>
      <c r="M372" s="427" t="s">
        <v>590</v>
      </c>
      <c r="N372" s="427">
        <v>24.101320999999999</v>
      </c>
      <c r="O372" s="427">
        <v>98.320651999999995</v>
      </c>
      <c r="P372" s="427" t="s">
        <v>573</v>
      </c>
      <c r="Q372" s="427"/>
      <c r="R372" s="439">
        <v>0</v>
      </c>
      <c r="S372" s="432">
        <v>0</v>
      </c>
      <c r="T372" s="444"/>
      <c r="U372" s="433"/>
      <c r="V372" s="427" t="s">
        <v>723</v>
      </c>
      <c r="W372" s="362" t="s">
        <v>1693</v>
      </c>
      <c r="X372" s="430"/>
      <c r="Y372" s="45"/>
      <c r="Z372" s="17"/>
      <c r="AA372" s="90"/>
      <c r="AB372" s="17"/>
      <c r="AC372" s="17"/>
      <c r="AE372" s="17"/>
    </row>
    <row r="373" spans="1:31" ht="14.25" customHeight="1">
      <c r="A373" s="436" t="s">
        <v>515</v>
      </c>
      <c r="B373" s="446" t="s">
        <v>525</v>
      </c>
      <c r="C373" s="399" t="s">
        <v>721</v>
      </c>
      <c r="D373" s="430" t="s">
        <v>1300</v>
      </c>
      <c r="E373" s="427" t="s">
        <v>1104</v>
      </c>
      <c r="F373" s="427" t="s">
        <v>721</v>
      </c>
      <c r="G373" s="427" t="s">
        <v>721</v>
      </c>
      <c r="H373" s="427"/>
      <c r="I373" s="427">
        <v>0</v>
      </c>
      <c r="J373" s="427" t="s">
        <v>43</v>
      </c>
      <c r="K373" s="427" t="s">
        <v>43</v>
      </c>
      <c r="L373" s="427" t="s">
        <v>572</v>
      </c>
      <c r="M373" s="427" t="s">
        <v>590</v>
      </c>
      <c r="N373" s="427">
        <v>24.008452999999999</v>
      </c>
      <c r="O373" s="427">
        <v>98.054946000000001</v>
      </c>
      <c r="P373" s="427" t="s">
        <v>573</v>
      </c>
      <c r="Q373" s="427" t="s">
        <v>592</v>
      </c>
      <c r="R373" s="439">
        <v>0</v>
      </c>
      <c r="S373" s="432">
        <v>0</v>
      </c>
      <c r="T373" s="444"/>
      <c r="U373" s="433"/>
      <c r="V373" s="429" t="s">
        <v>721</v>
      </c>
      <c r="W373" s="362" t="s">
        <v>1694</v>
      </c>
      <c r="X373" s="430"/>
      <c r="Y373" s="45"/>
      <c r="Z373" s="17"/>
      <c r="AA373" s="90"/>
      <c r="AB373" s="17"/>
      <c r="AC373" s="17"/>
      <c r="AE373" s="17"/>
    </row>
    <row r="374" spans="1:31" ht="14.25" customHeight="1">
      <c r="A374" s="436" t="s">
        <v>515</v>
      </c>
      <c r="B374" s="435" t="s">
        <v>525</v>
      </c>
      <c r="C374" s="436" t="s">
        <v>550</v>
      </c>
      <c r="D374" s="430" t="s">
        <v>2259</v>
      </c>
      <c r="E374" s="427" t="s">
        <v>1102</v>
      </c>
      <c r="F374" s="427" t="s">
        <v>1311</v>
      </c>
      <c r="G374" s="427" t="s">
        <v>1313</v>
      </c>
      <c r="H374" s="427"/>
      <c r="I374" s="427" t="s">
        <v>1619</v>
      </c>
      <c r="J374" s="427" t="s">
        <v>43</v>
      </c>
      <c r="K374" s="427" t="s">
        <v>43</v>
      </c>
      <c r="L374" s="427" t="s">
        <v>572</v>
      </c>
      <c r="M374" s="427" t="s">
        <v>44</v>
      </c>
      <c r="N374" s="427">
        <v>24.006319999999999</v>
      </c>
      <c r="O374" s="427">
        <v>97.909400000000005</v>
      </c>
      <c r="P374" s="427" t="s">
        <v>573</v>
      </c>
      <c r="Q374" s="427" t="s">
        <v>592</v>
      </c>
      <c r="R374" s="439">
        <v>40</v>
      </c>
      <c r="S374" s="432">
        <v>180</v>
      </c>
      <c r="T374" s="444"/>
      <c r="U374" s="433"/>
      <c r="V374" s="427" t="s">
        <v>719</v>
      </c>
      <c r="W374" s="362" t="s">
        <v>1695</v>
      </c>
      <c r="X374" s="430"/>
      <c r="Y374" s="45"/>
      <c r="Z374" s="17"/>
      <c r="AA374" s="90"/>
      <c r="AB374" s="17"/>
      <c r="AC374" s="17"/>
      <c r="AE374" s="17"/>
    </row>
    <row r="375" spans="1:31" ht="14.25" customHeight="1">
      <c r="A375" s="436" t="s">
        <v>515</v>
      </c>
      <c r="B375" s="435" t="s">
        <v>525</v>
      </c>
      <c r="C375" s="436" t="s">
        <v>526</v>
      </c>
      <c r="D375" s="430" t="s">
        <v>2620</v>
      </c>
      <c r="E375" s="427" t="s">
        <v>1103</v>
      </c>
      <c r="F375" s="427" t="s">
        <v>1311</v>
      </c>
      <c r="G375" s="427" t="s">
        <v>1313</v>
      </c>
      <c r="H375" s="427" t="s">
        <v>41</v>
      </c>
      <c r="I375" s="427" t="s">
        <v>1041</v>
      </c>
      <c r="J375" s="427" t="s">
        <v>43</v>
      </c>
      <c r="K375" s="427" t="s">
        <v>43</v>
      </c>
      <c r="L375" s="427" t="s">
        <v>572</v>
      </c>
      <c r="M375" s="427" t="s">
        <v>44</v>
      </c>
      <c r="N375" s="427">
        <v>24.006789000000001</v>
      </c>
      <c r="O375" s="427">
        <v>97.911647000000002</v>
      </c>
      <c r="P375" s="427" t="s">
        <v>573</v>
      </c>
      <c r="Q375" s="427" t="s">
        <v>592</v>
      </c>
      <c r="R375" s="439">
        <v>17</v>
      </c>
      <c r="S375" s="432">
        <v>81</v>
      </c>
      <c r="T375" s="444"/>
      <c r="U375" s="433"/>
      <c r="V375" s="427" t="s">
        <v>720</v>
      </c>
      <c r="W375" s="362" t="s">
        <v>1696</v>
      </c>
      <c r="X375" s="430"/>
      <c r="Y375" s="45"/>
      <c r="Z375" s="17"/>
      <c r="AA375" s="90"/>
      <c r="AB375" s="17"/>
      <c r="AC375" s="17"/>
      <c r="AE375" s="17"/>
    </row>
    <row r="376" spans="1:31" ht="14.25" customHeight="1">
      <c r="A376" s="436" t="s">
        <v>515</v>
      </c>
      <c r="B376" s="435" t="s">
        <v>525</v>
      </c>
      <c r="C376" s="453" t="s">
        <v>530</v>
      </c>
      <c r="D376" s="390" t="s">
        <v>1300</v>
      </c>
      <c r="E376" s="427" t="s">
        <v>1045</v>
      </c>
      <c r="F376" s="427" t="s">
        <v>1301</v>
      </c>
      <c r="G376" s="427" t="s">
        <v>1302</v>
      </c>
      <c r="H376" s="427"/>
      <c r="I376" s="429">
        <v>0</v>
      </c>
      <c r="J376" s="427" t="s">
        <v>43</v>
      </c>
      <c r="K376" s="427" t="s">
        <v>43</v>
      </c>
      <c r="L376" s="427" t="s">
        <v>572</v>
      </c>
      <c r="M376" s="427" t="s">
        <v>590</v>
      </c>
      <c r="N376" s="427">
        <v>23.933098999999999</v>
      </c>
      <c r="O376" s="427">
        <v>98.139397000000002</v>
      </c>
      <c r="P376" s="427" t="s">
        <v>573</v>
      </c>
      <c r="Q376" s="427" t="s">
        <v>592</v>
      </c>
      <c r="R376" s="431">
        <v>9</v>
      </c>
      <c r="S376" s="431">
        <v>44</v>
      </c>
      <c r="T376" s="444"/>
      <c r="U376" s="433"/>
      <c r="V376" s="427" t="s">
        <v>530</v>
      </c>
      <c r="W376" s="362" t="s">
        <v>1697</v>
      </c>
      <c r="X376" s="390"/>
      <c r="Y376" s="45"/>
      <c r="Z376" s="17"/>
      <c r="AA376" s="90"/>
      <c r="AB376" s="17"/>
      <c r="AC376" s="17"/>
      <c r="AE376" s="17"/>
    </row>
    <row r="377" spans="1:31" ht="14.25" customHeight="1">
      <c r="A377" s="436" t="s">
        <v>515</v>
      </c>
      <c r="B377" s="435" t="s">
        <v>525</v>
      </c>
      <c r="C377" s="436" t="s">
        <v>715</v>
      </c>
      <c r="D377" s="430" t="s">
        <v>1300</v>
      </c>
      <c r="E377" s="427" t="s">
        <v>1098</v>
      </c>
      <c r="F377" s="427" t="s">
        <v>1327</v>
      </c>
      <c r="G377" s="427" t="s">
        <v>1328</v>
      </c>
      <c r="H377" s="427"/>
      <c r="I377" s="427">
        <v>0</v>
      </c>
      <c r="J377" s="427" t="s">
        <v>43</v>
      </c>
      <c r="K377" s="427" t="s">
        <v>43</v>
      </c>
      <c r="L377" s="427" t="s">
        <v>572</v>
      </c>
      <c r="M377" s="427" t="s">
        <v>44</v>
      </c>
      <c r="N377" s="427">
        <v>23.978088</v>
      </c>
      <c r="O377" s="427">
        <v>98.129380999999995</v>
      </c>
      <c r="P377" s="427" t="s">
        <v>573</v>
      </c>
      <c r="Q377" s="427" t="s">
        <v>574</v>
      </c>
      <c r="R377" s="439">
        <v>0</v>
      </c>
      <c r="S377" s="432">
        <v>0</v>
      </c>
      <c r="T377" s="444">
        <v>42836</v>
      </c>
      <c r="U377" s="433"/>
      <c r="V377" s="427"/>
      <c r="W377" s="362" t="s">
        <v>1692</v>
      </c>
      <c r="X377" s="430"/>
      <c r="Y377" s="45"/>
      <c r="Z377" s="17"/>
      <c r="AA377" s="90"/>
      <c r="AB377" s="17"/>
      <c r="AC377" s="17"/>
      <c r="AE377" s="17"/>
    </row>
    <row r="378" spans="1:31" ht="14.25" customHeight="1">
      <c r="A378" s="436" t="s">
        <v>515</v>
      </c>
      <c r="B378" s="435" t="s">
        <v>525</v>
      </c>
      <c r="C378" s="436" t="s">
        <v>594</v>
      </c>
      <c r="D378" s="390" t="s">
        <v>1300</v>
      </c>
      <c r="E378" s="427" t="s">
        <v>1047</v>
      </c>
      <c r="F378" s="427" t="s">
        <v>1317</v>
      </c>
      <c r="G378" s="427" t="s">
        <v>1318</v>
      </c>
      <c r="H378" s="427"/>
      <c r="I378" s="427">
        <v>0</v>
      </c>
      <c r="J378" s="427" t="s">
        <v>43</v>
      </c>
      <c r="K378" s="427" t="s">
        <v>43</v>
      </c>
      <c r="L378" s="427" t="s">
        <v>572</v>
      </c>
      <c r="M378" s="427" t="s">
        <v>44</v>
      </c>
      <c r="N378" s="427"/>
      <c r="O378" s="427"/>
      <c r="P378" s="427" t="s">
        <v>573</v>
      </c>
      <c r="Q378" s="427" t="s">
        <v>574</v>
      </c>
      <c r="R378" s="431">
        <v>0</v>
      </c>
      <c r="S378" s="431">
        <v>0</v>
      </c>
      <c r="T378" s="444">
        <v>42832</v>
      </c>
      <c r="U378" s="433"/>
      <c r="V378" s="427"/>
      <c r="W378" s="362" t="s">
        <v>1691</v>
      </c>
      <c r="X378" s="390"/>
      <c r="Y378" s="45"/>
      <c r="Z378" s="17"/>
      <c r="AA378" s="90"/>
      <c r="AB378" s="17"/>
      <c r="AC378" s="17"/>
      <c r="AE378" s="17"/>
    </row>
    <row r="379" spans="1:31" ht="14.25" customHeight="1">
      <c r="A379" s="436" t="s">
        <v>515</v>
      </c>
      <c r="B379" s="446" t="s">
        <v>525</v>
      </c>
      <c r="C379" s="399" t="s">
        <v>602</v>
      </c>
      <c r="D379" s="390" t="s">
        <v>1300</v>
      </c>
      <c r="E379" s="427" t="s">
        <v>1052</v>
      </c>
      <c r="F379" s="427" t="s">
        <v>1311</v>
      </c>
      <c r="G379" s="427" t="s">
        <v>1313</v>
      </c>
      <c r="H379" s="427"/>
      <c r="I379" s="427">
        <v>0</v>
      </c>
      <c r="J379" s="427" t="s">
        <v>43</v>
      </c>
      <c r="K379" s="427" t="s">
        <v>43</v>
      </c>
      <c r="L379" s="427" t="s">
        <v>572</v>
      </c>
      <c r="M379" s="427" t="s">
        <v>44</v>
      </c>
      <c r="N379" s="427"/>
      <c r="O379" s="427"/>
      <c r="P379" s="427" t="s">
        <v>573</v>
      </c>
      <c r="Q379" s="427" t="s">
        <v>574</v>
      </c>
      <c r="R379" s="431">
        <v>0</v>
      </c>
      <c r="S379" s="431">
        <v>0</v>
      </c>
      <c r="T379" s="444">
        <v>42832</v>
      </c>
      <c r="U379" s="433"/>
      <c r="V379" s="427"/>
      <c r="W379" s="362" t="s">
        <v>1691</v>
      </c>
      <c r="X379" s="390"/>
      <c r="Y379" s="91"/>
      <c r="Z379" s="45"/>
      <c r="AA379" s="17"/>
      <c r="AB379" s="90"/>
      <c r="AC379" s="17"/>
      <c r="AE379" s="17"/>
    </row>
    <row r="380" spans="1:31" ht="14.25" customHeight="1">
      <c r="A380" s="432" t="s">
        <v>515</v>
      </c>
      <c r="B380" s="446" t="s">
        <v>525</v>
      </c>
      <c r="C380" s="399" t="s">
        <v>2987</v>
      </c>
      <c r="D380" s="430" t="s">
        <v>3000</v>
      </c>
      <c r="E380" s="427" t="s">
        <v>2981</v>
      </c>
      <c r="F380" s="427" t="s">
        <v>1311</v>
      </c>
      <c r="G380" s="427"/>
      <c r="H380" s="427"/>
      <c r="I380" s="427"/>
      <c r="J380" s="427" t="s">
        <v>43</v>
      </c>
      <c r="K380" s="427" t="s">
        <v>43</v>
      </c>
      <c r="L380" s="427" t="s">
        <v>588</v>
      </c>
      <c r="M380" s="427" t="s">
        <v>44</v>
      </c>
      <c r="N380" s="427"/>
      <c r="O380" s="427"/>
      <c r="P380" s="427" t="s">
        <v>573</v>
      </c>
      <c r="Q380" s="427" t="s">
        <v>2999</v>
      </c>
      <c r="R380" s="439">
        <v>31</v>
      </c>
      <c r="S380" s="431">
        <v>155</v>
      </c>
      <c r="T380" s="444">
        <v>44734</v>
      </c>
      <c r="U380" s="433"/>
      <c r="V380" s="431"/>
      <c r="W380" s="431" t="s">
        <v>2998</v>
      </c>
      <c r="X380" s="430"/>
      <c r="Y380" s="91"/>
      <c r="Z380" s="45"/>
      <c r="AA380" s="17"/>
      <c r="AB380" s="90"/>
      <c r="AC380" s="17"/>
      <c r="AE380" s="17"/>
    </row>
    <row r="381" spans="1:31" ht="14.25" customHeight="1">
      <c r="A381" s="436" t="s">
        <v>515</v>
      </c>
      <c r="B381" s="446" t="s">
        <v>525</v>
      </c>
      <c r="C381" s="399" t="s">
        <v>604</v>
      </c>
      <c r="D381" s="390" t="s">
        <v>1300</v>
      </c>
      <c r="E381" s="427" t="s">
        <v>1054</v>
      </c>
      <c r="F381" s="427">
        <v>0</v>
      </c>
      <c r="G381" s="427">
        <v>0</v>
      </c>
      <c r="H381" s="427"/>
      <c r="I381" s="427">
        <v>0</v>
      </c>
      <c r="J381" s="427" t="s">
        <v>43</v>
      </c>
      <c r="K381" s="427" t="s">
        <v>43</v>
      </c>
      <c r="L381" s="427" t="s">
        <v>572</v>
      </c>
      <c r="M381" s="427" t="s">
        <v>44</v>
      </c>
      <c r="N381" s="427"/>
      <c r="O381" s="427"/>
      <c r="P381" s="427" t="s">
        <v>573</v>
      </c>
      <c r="Q381" s="427" t="s">
        <v>574</v>
      </c>
      <c r="R381" s="431">
        <v>0</v>
      </c>
      <c r="S381" s="431">
        <v>0</v>
      </c>
      <c r="T381" s="444">
        <v>42832</v>
      </c>
      <c r="U381" s="433"/>
      <c r="V381" s="427"/>
      <c r="W381" s="362" t="s">
        <v>1691</v>
      </c>
      <c r="X381" s="390"/>
      <c r="Y381" s="91"/>
      <c r="Z381" s="45"/>
      <c r="AA381" s="17"/>
      <c r="AB381" s="90"/>
      <c r="AC381" s="17"/>
      <c r="AE381" s="17"/>
    </row>
    <row r="382" spans="1:31" ht="14.25" customHeight="1">
      <c r="A382" s="436" t="s">
        <v>515</v>
      </c>
      <c r="B382" s="435" t="s">
        <v>516</v>
      </c>
      <c r="C382" s="924" t="s">
        <v>2953</v>
      </c>
      <c r="D382" s="430" t="s">
        <v>2975</v>
      </c>
      <c r="E382" s="427" t="s">
        <v>2970</v>
      </c>
      <c r="F382" s="427" t="s">
        <v>1322</v>
      </c>
      <c r="G382" s="427" t="s">
        <v>1322</v>
      </c>
      <c r="H382" s="427"/>
      <c r="I382" s="427" t="s">
        <v>1619</v>
      </c>
      <c r="J382" s="427" t="s">
        <v>620</v>
      </c>
      <c r="K382" s="427" t="s">
        <v>620</v>
      </c>
      <c r="L382" s="427" t="s">
        <v>572</v>
      </c>
      <c r="M382" s="427" t="s">
        <v>44</v>
      </c>
      <c r="N382" s="427">
        <v>23.611999999999998</v>
      </c>
      <c r="O382" s="427">
        <v>97.506</v>
      </c>
      <c r="P382" s="427" t="s">
        <v>573</v>
      </c>
      <c r="Q382" s="427" t="s">
        <v>574</v>
      </c>
      <c r="R382" s="439">
        <v>67</v>
      </c>
      <c r="S382" s="432">
        <v>307</v>
      </c>
      <c r="T382" s="444"/>
      <c r="U382" s="433" t="s">
        <v>702</v>
      </c>
      <c r="V382" s="427"/>
      <c r="W382" s="362" t="s">
        <v>1698</v>
      </c>
      <c r="X382" s="427" t="s">
        <v>1076</v>
      </c>
      <c r="Y382" s="91"/>
      <c r="Z382" s="45"/>
      <c r="AA382" s="17"/>
      <c r="AB382" s="90"/>
      <c r="AC382" s="17"/>
      <c r="AE382" s="17"/>
    </row>
    <row r="383" spans="1:31" ht="14.25" customHeight="1">
      <c r="A383" s="436" t="s">
        <v>515</v>
      </c>
      <c r="B383" s="435" t="s">
        <v>516</v>
      </c>
      <c r="C383" s="436" t="s">
        <v>703</v>
      </c>
      <c r="D383" s="430" t="s">
        <v>1300</v>
      </c>
      <c r="E383" s="427" t="s">
        <v>1077</v>
      </c>
      <c r="F383" s="427" t="s">
        <v>1322</v>
      </c>
      <c r="G383" s="427" t="s">
        <v>1322</v>
      </c>
      <c r="H383" s="427"/>
      <c r="I383" s="427">
        <v>0</v>
      </c>
      <c r="J383" s="427" t="s">
        <v>43</v>
      </c>
      <c r="K383" s="427" t="s">
        <v>43</v>
      </c>
      <c r="L383" s="427" t="s">
        <v>572</v>
      </c>
      <c r="M383" s="427" t="s">
        <v>44</v>
      </c>
      <c r="N383" s="427">
        <v>23.611999999999998</v>
      </c>
      <c r="O383" s="427">
        <v>97.504999999999995</v>
      </c>
      <c r="P383" s="427" t="s">
        <v>573</v>
      </c>
      <c r="Q383" s="427" t="s">
        <v>574</v>
      </c>
      <c r="R383" s="439">
        <v>0</v>
      </c>
      <c r="S383" s="432">
        <v>0</v>
      </c>
      <c r="T383" s="444"/>
      <c r="U383" s="433"/>
      <c r="V383" s="427"/>
      <c r="W383" s="431" t="s">
        <v>1699</v>
      </c>
      <c r="X383" s="430"/>
      <c r="Y383" s="91"/>
      <c r="Z383" s="45"/>
      <c r="AA383" s="17"/>
      <c r="AB383" s="90"/>
      <c r="AC383" s="17"/>
      <c r="AE383" s="17"/>
    </row>
    <row r="384" spans="1:31" ht="14.25" customHeight="1">
      <c r="A384" s="436" t="s">
        <v>515</v>
      </c>
      <c r="B384" s="435" t="s">
        <v>516</v>
      </c>
      <c r="C384" s="436" t="s">
        <v>527</v>
      </c>
      <c r="D384" s="430" t="s">
        <v>3001</v>
      </c>
      <c r="E384" s="427" t="s">
        <v>1082</v>
      </c>
      <c r="F384" s="427" t="s">
        <v>1315</v>
      </c>
      <c r="G384" s="427" t="s">
        <v>1315</v>
      </c>
      <c r="H384" s="427" t="s">
        <v>41</v>
      </c>
      <c r="I384" s="427" t="s">
        <v>2118</v>
      </c>
      <c r="J384" s="427" t="s">
        <v>43</v>
      </c>
      <c r="K384" s="427" t="s">
        <v>43</v>
      </c>
      <c r="L384" s="427" t="s">
        <v>43</v>
      </c>
      <c r="M384" s="427" t="s">
        <v>44</v>
      </c>
      <c r="N384" s="427">
        <v>23.821380000000001</v>
      </c>
      <c r="O384" s="427">
        <v>97.681970000000007</v>
      </c>
      <c r="P384" s="427" t="s">
        <v>573</v>
      </c>
      <c r="Q384" s="427" t="s">
        <v>592</v>
      </c>
      <c r="R384" s="439">
        <v>89</v>
      </c>
      <c r="S384" s="432">
        <v>401</v>
      </c>
      <c r="T384" s="444"/>
      <c r="U384" s="433"/>
      <c r="V384" s="427" t="s">
        <v>527</v>
      </c>
      <c r="W384" s="362" t="s">
        <v>1700</v>
      </c>
      <c r="X384" s="430"/>
      <c r="Y384" s="91"/>
      <c r="Z384" s="45"/>
      <c r="AA384" s="17"/>
      <c r="AB384" s="90"/>
      <c r="AC384" s="17"/>
      <c r="AE384" s="17"/>
    </row>
    <row r="385" spans="1:31" ht="14.25" customHeight="1">
      <c r="A385" s="432" t="s">
        <v>515</v>
      </c>
      <c r="B385" s="435" t="s">
        <v>516</v>
      </c>
      <c r="C385" s="436" t="s">
        <v>562</v>
      </c>
      <c r="D385" s="430" t="s">
        <v>3001</v>
      </c>
      <c r="E385" s="427" t="s">
        <v>1085</v>
      </c>
      <c r="F385" s="427" t="s">
        <v>1315</v>
      </c>
      <c r="G385" s="427" t="s">
        <v>1315</v>
      </c>
      <c r="H385" s="427" t="s">
        <v>41</v>
      </c>
      <c r="I385" s="427" t="s">
        <v>2118</v>
      </c>
      <c r="J385" s="427" t="s">
        <v>43</v>
      </c>
      <c r="K385" s="427" t="s">
        <v>43</v>
      </c>
      <c r="L385" s="427" t="s">
        <v>43</v>
      </c>
      <c r="M385" s="427" t="s">
        <v>44</v>
      </c>
      <c r="N385" s="427">
        <v>23.828520000000001</v>
      </c>
      <c r="O385" s="427">
        <v>97.669557999999995</v>
      </c>
      <c r="P385" s="427" t="s">
        <v>573</v>
      </c>
      <c r="Q385" s="427" t="s">
        <v>592</v>
      </c>
      <c r="R385" s="439">
        <v>66</v>
      </c>
      <c r="S385" s="432">
        <v>333</v>
      </c>
      <c r="T385" s="444"/>
      <c r="U385" s="439"/>
      <c r="V385" s="427" t="s">
        <v>562</v>
      </c>
      <c r="W385" s="431" t="s">
        <v>1701</v>
      </c>
      <c r="X385" s="430"/>
      <c r="Y385" s="91"/>
      <c r="Z385" s="45"/>
      <c r="AA385" s="17"/>
      <c r="AB385" s="90"/>
      <c r="AC385" s="17"/>
      <c r="AE385" s="17"/>
    </row>
    <row r="386" spans="1:31" ht="14.25" customHeight="1">
      <c r="A386" s="432" t="s">
        <v>515</v>
      </c>
      <c r="B386" s="435" t="s">
        <v>516</v>
      </c>
      <c r="C386" s="399" t="s">
        <v>551</v>
      </c>
      <c r="D386" s="430" t="s">
        <v>2772</v>
      </c>
      <c r="E386" s="427" t="s">
        <v>1091</v>
      </c>
      <c r="F386" s="427" t="s">
        <v>1315</v>
      </c>
      <c r="G386" s="427" t="s">
        <v>1315</v>
      </c>
      <c r="H386" s="427" t="s">
        <v>41</v>
      </c>
      <c r="I386" s="427" t="s">
        <v>2118</v>
      </c>
      <c r="J386" s="427" t="s">
        <v>43</v>
      </c>
      <c r="K386" s="427" t="s">
        <v>43</v>
      </c>
      <c r="L386" s="427" t="s">
        <v>572</v>
      </c>
      <c r="M386" s="427" t="s">
        <v>44</v>
      </c>
      <c r="N386" s="427">
        <v>23.841646999999998</v>
      </c>
      <c r="O386" s="427">
        <v>97.700940000000003</v>
      </c>
      <c r="P386" s="427" t="s">
        <v>573</v>
      </c>
      <c r="Q386" s="427" t="s">
        <v>592</v>
      </c>
      <c r="R386" s="439">
        <v>7</v>
      </c>
      <c r="S386" s="432">
        <v>32</v>
      </c>
      <c r="T386" s="444"/>
      <c r="U386" s="439"/>
      <c r="V386" s="427" t="s">
        <v>710</v>
      </c>
      <c r="W386" s="431" t="s">
        <v>1702</v>
      </c>
      <c r="X386" s="430"/>
      <c r="Y386" s="91"/>
      <c r="Z386" s="45"/>
      <c r="AA386" s="17"/>
      <c r="AB386" s="90"/>
      <c r="AC386" s="17"/>
      <c r="AE386" s="17"/>
    </row>
    <row r="387" spans="1:31" ht="14.25" customHeight="1">
      <c r="A387" s="432" t="s">
        <v>515</v>
      </c>
      <c r="B387" s="446" t="s">
        <v>516</v>
      </c>
      <c r="C387" s="923" t="s">
        <v>517</v>
      </c>
      <c r="D387" s="430" t="s">
        <v>3001</v>
      </c>
      <c r="E387" s="427" t="s">
        <v>1084</v>
      </c>
      <c r="F387" s="427" t="s">
        <v>1315</v>
      </c>
      <c r="G387" s="427" t="s">
        <v>1315</v>
      </c>
      <c r="H387" s="427" t="s">
        <v>41</v>
      </c>
      <c r="I387" s="427" t="s">
        <v>1041</v>
      </c>
      <c r="J387" s="427" t="s">
        <v>43</v>
      </c>
      <c r="K387" s="427" t="s">
        <v>43</v>
      </c>
      <c r="L387" s="427" t="s">
        <v>43</v>
      </c>
      <c r="M387" s="427" t="s">
        <v>44</v>
      </c>
      <c r="N387" s="427">
        <v>23.828150000000001</v>
      </c>
      <c r="O387" s="427">
        <v>97.670360000000002</v>
      </c>
      <c r="P387" s="427" t="s">
        <v>573</v>
      </c>
      <c r="Q387" s="427" t="s">
        <v>592</v>
      </c>
      <c r="R387" s="439">
        <v>44</v>
      </c>
      <c r="S387" s="432">
        <v>217</v>
      </c>
      <c r="T387" s="444"/>
      <c r="U387" s="433"/>
      <c r="V387" s="431" t="s">
        <v>517</v>
      </c>
      <c r="W387" s="923" t="s">
        <v>1703</v>
      </c>
      <c r="X387" s="430"/>
      <c r="Y387" s="91"/>
      <c r="Z387" s="45"/>
      <c r="AA387" s="17"/>
      <c r="AB387" s="90"/>
      <c r="AC387" s="17"/>
      <c r="AE387" s="17"/>
    </row>
    <row r="388" spans="1:31" ht="14.25" customHeight="1">
      <c r="A388" s="436" t="s">
        <v>515</v>
      </c>
      <c r="B388" s="446" t="s">
        <v>516</v>
      </c>
      <c r="C388" s="399" t="s">
        <v>591</v>
      </c>
      <c r="D388" s="390" t="s">
        <v>1300</v>
      </c>
      <c r="E388" s="427" t="s">
        <v>1044</v>
      </c>
      <c r="F388" s="429" t="s">
        <v>1315</v>
      </c>
      <c r="G388" s="427" t="s">
        <v>1315</v>
      </c>
      <c r="H388" s="427"/>
      <c r="I388" s="427">
        <v>0</v>
      </c>
      <c r="J388" s="427" t="s">
        <v>43</v>
      </c>
      <c r="K388" s="427" t="s">
        <v>43</v>
      </c>
      <c r="L388" s="427" t="s">
        <v>572</v>
      </c>
      <c r="M388" s="427" t="s">
        <v>590</v>
      </c>
      <c r="N388" s="427"/>
      <c r="O388" s="427"/>
      <c r="P388" s="427" t="s">
        <v>573</v>
      </c>
      <c r="Q388" s="427"/>
      <c r="R388" s="431">
        <v>0</v>
      </c>
      <c r="S388" s="431">
        <v>0</v>
      </c>
      <c r="T388" s="444"/>
      <c r="U388" s="433"/>
      <c r="V388" s="427" t="s">
        <v>591</v>
      </c>
      <c r="W388" s="362" t="s">
        <v>1704</v>
      </c>
      <c r="X388" s="390"/>
      <c r="Y388" s="91"/>
      <c r="Z388" s="45"/>
      <c r="AA388" s="17"/>
      <c r="AB388" s="90"/>
      <c r="AC388" s="17"/>
      <c r="AE388" s="17"/>
    </row>
    <row r="389" spans="1:31" ht="14.25" customHeight="1">
      <c r="A389" s="436" t="s">
        <v>515</v>
      </c>
      <c r="B389" s="435" t="s">
        <v>516</v>
      </c>
      <c r="C389" s="436" t="s">
        <v>553</v>
      </c>
      <c r="D389" s="430" t="s">
        <v>2676</v>
      </c>
      <c r="E389" s="427" t="s">
        <v>1090</v>
      </c>
      <c r="F389" s="429" t="s">
        <v>1379</v>
      </c>
      <c r="G389" s="427" t="s">
        <v>1368</v>
      </c>
      <c r="H389" s="427" t="s">
        <v>41</v>
      </c>
      <c r="I389" s="427" t="s">
        <v>2118</v>
      </c>
      <c r="J389" s="427" t="s">
        <v>43</v>
      </c>
      <c r="K389" s="427" t="s">
        <v>43</v>
      </c>
      <c r="L389" s="427" t="s">
        <v>572</v>
      </c>
      <c r="M389" s="427" t="s">
        <v>44</v>
      </c>
      <c r="N389" s="427">
        <v>23.838190000000001</v>
      </c>
      <c r="O389" s="427">
        <v>97.709879999999998</v>
      </c>
      <c r="P389" s="427" t="s">
        <v>573</v>
      </c>
      <c r="Q389" s="427" t="s">
        <v>592</v>
      </c>
      <c r="R389" s="439"/>
      <c r="S389" s="432"/>
      <c r="T389" s="444"/>
      <c r="U389" s="433"/>
      <c r="V389" s="427" t="s">
        <v>709</v>
      </c>
      <c r="W389" s="431" t="s">
        <v>1705</v>
      </c>
      <c r="X389" s="430"/>
      <c r="Y389" s="91"/>
      <c r="Z389" s="45"/>
      <c r="AA389" s="17"/>
      <c r="AB389" s="90"/>
      <c r="AC389" s="17"/>
      <c r="AE389" s="17"/>
    </row>
    <row r="390" spans="1:31" ht="14.25" customHeight="1">
      <c r="A390" s="436" t="s">
        <v>515</v>
      </c>
      <c r="B390" s="435" t="s">
        <v>974</v>
      </c>
      <c r="C390" s="436" t="s">
        <v>2214</v>
      </c>
      <c r="D390" s="390"/>
      <c r="E390" s="427"/>
      <c r="F390" s="427"/>
      <c r="G390" s="427"/>
      <c r="H390" s="427"/>
      <c r="I390" s="427"/>
      <c r="J390" s="427" t="s">
        <v>2098</v>
      </c>
      <c r="K390" s="427" t="s">
        <v>2082</v>
      </c>
      <c r="L390" s="427" t="s">
        <v>2082</v>
      </c>
      <c r="M390" s="427" t="s">
        <v>44</v>
      </c>
      <c r="N390" s="427"/>
      <c r="O390" s="427"/>
      <c r="P390" s="427" t="s">
        <v>1573</v>
      </c>
      <c r="Q390" s="427" t="s">
        <v>2175</v>
      </c>
      <c r="R390" s="431"/>
      <c r="S390" s="431"/>
      <c r="T390" s="444">
        <v>43759</v>
      </c>
      <c r="U390" s="433"/>
      <c r="V390" s="429"/>
      <c r="W390" s="362"/>
      <c r="X390" s="390"/>
      <c r="Y390" s="91"/>
      <c r="Z390" s="45"/>
      <c r="AA390" s="17"/>
      <c r="AB390" s="90"/>
      <c r="AC390" s="17"/>
      <c r="AE390" s="17"/>
    </row>
    <row r="391" spans="1:31" ht="14.25" customHeight="1">
      <c r="A391" s="432" t="s">
        <v>515</v>
      </c>
      <c r="B391" s="435" t="s">
        <v>974</v>
      </c>
      <c r="C391" s="436" t="s">
        <v>2213</v>
      </c>
      <c r="D391" s="430"/>
      <c r="E391" s="427"/>
      <c r="F391" s="427"/>
      <c r="G391" s="427"/>
      <c r="H391" s="427"/>
      <c r="I391" s="427"/>
      <c r="J391" s="427" t="s">
        <v>2098</v>
      </c>
      <c r="K391" s="427" t="s">
        <v>2082</v>
      </c>
      <c r="L391" s="427" t="s">
        <v>2082</v>
      </c>
      <c r="M391" s="427" t="s">
        <v>44</v>
      </c>
      <c r="N391" s="427"/>
      <c r="O391" s="427"/>
      <c r="P391" s="427" t="s">
        <v>1573</v>
      </c>
      <c r="Q391" s="427" t="s">
        <v>2175</v>
      </c>
      <c r="R391" s="439"/>
      <c r="S391" s="432"/>
      <c r="T391" s="444">
        <v>43759</v>
      </c>
      <c r="U391" s="439"/>
      <c r="V391" s="427"/>
      <c r="W391" s="431"/>
      <c r="X391" s="430"/>
      <c r="Y391" s="91"/>
      <c r="Z391" s="45"/>
      <c r="AA391" s="17"/>
      <c r="AB391" s="90"/>
      <c r="AC391" s="17"/>
      <c r="AE391" s="17"/>
    </row>
    <row r="392" spans="1:31" ht="14.25" customHeight="1">
      <c r="A392" s="436" t="s">
        <v>515</v>
      </c>
      <c r="B392" s="435" t="s">
        <v>536</v>
      </c>
      <c r="C392" s="436" t="s">
        <v>2954</v>
      </c>
      <c r="D392" s="430" t="s">
        <v>3001</v>
      </c>
      <c r="E392" s="427" t="s">
        <v>2971</v>
      </c>
      <c r="F392" s="427" t="s">
        <v>2660</v>
      </c>
      <c r="G392" s="427" t="s">
        <v>2661</v>
      </c>
      <c r="H392" s="427"/>
      <c r="I392" s="427"/>
      <c r="J392" s="427" t="s">
        <v>620</v>
      </c>
      <c r="K392" s="427" t="s">
        <v>620</v>
      </c>
      <c r="L392" s="427" t="s">
        <v>3008</v>
      </c>
      <c r="M392" s="427" t="s">
        <v>44</v>
      </c>
      <c r="N392" s="427">
        <v>23.078210830688501</v>
      </c>
      <c r="O392" s="427">
        <v>97.411773681640597</v>
      </c>
      <c r="P392" s="427" t="s">
        <v>573</v>
      </c>
      <c r="Q392" s="427" t="s">
        <v>2657</v>
      </c>
      <c r="R392" s="439">
        <v>19</v>
      </c>
      <c r="S392" s="432">
        <v>77</v>
      </c>
      <c r="T392" s="444">
        <v>44318</v>
      </c>
      <c r="U392" s="433"/>
      <c r="V392" s="429"/>
      <c r="W392" s="431" t="s">
        <v>2662</v>
      </c>
      <c r="X392" s="427" t="s">
        <v>2659</v>
      </c>
      <c r="Y392" s="91"/>
      <c r="Z392" s="45"/>
      <c r="AA392" s="17"/>
      <c r="AB392" s="90"/>
      <c r="AC392" s="17"/>
      <c r="AE392" s="17"/>
    </row>
    <row r="393" spans="1:31" ht="14.25" customHeight="1">
      <c r="A393" s="436" t="s">
        <v>515</v>
      </c>
      <c r="B393" s="446" t="s">
        <v>536</v>
      </c>
      <c r="C393" s="399" t="s">
        <v>543</v>
      </c>
      <c r="D393" s="430" t="s">
        <v>3001</v>
      </c>
      <c r="E393" s="427" t="s">
        <v>2972</v>
      </c>
      <c r="F393" s="429" t="s">
        <v>1319</v>
      </c>
      <c r="G393" s="427" t="s">
        <v>1320</v>
      </c>
      <c r="H393" s="427" t="s">
        <v>41</v>
      </c>
      <c r="I393" s="427" t="s">
        <v>1041</v>
      </c>
      <c r="J393" s="427" t="s">
        <v>43</v>
      </c>
      <c r="K393" s="427" t="s">
        <v>43</v>
      </c>
      <c r="L393" s="427" t="s">
        <v>43</v>
      </c>
      <c r="M393" s="427" t="s">
        <v>44</v>
      </c>
      <c r="N393" s="427">
        <v>23.099304</v>
      </c>
      <c r="O393" s="427">
        <v>97.400671000000003</v>
      </c>
      <c r="P393" s="427" t="s">
        <v>573</v>
      </c>
      <c r="Q393" s="427" t="s">
        <v>667</v>
      </c>
      <c r="R393" s="439">
        <v>60</v>
      </c>
      <c r="S393" s="432">
        <v>272</v>
      </c>
      <c r="T393" s="444">
        <v>42983</v>
      </c>
      <c r="U393" s="433"/>
      <c r="V393" s="427"/>
      <c r="W393" s="927" t="s">
        <v>1706</v>
      </c>
      <c r="X393" s="427" t="s">
        <v>1059</v>
      </c>
      <c r="Y393" s="91"/>
      <c r="Z393" s="45"/>
      <c r="AA393" s="17"/>
      <c r="AB393" s="90"/>
      <c r="AC393" s="17"/>
      <c r="AE393" s="17"/>
    </row>
    <row r="394" spans="1:31" ht="14.25" customHeight="1">
      <c r="A394" s="436" t="s">
        <v>515</v>
      </c>
      <c r="B394" s="435" t="s">
        <v>536</v>
      </c>
      <c r="C394" s="436" t="s">
        <v>832</v>
      </c>
      <c r="D394" s="430"/>
      <c r="E394" s="427"/>
      <c r="F394" s="429"/>
      <c r="G394" s="427"/>
      <c r="H394" s="427"/>
      <c r="I394" s="443"/>
      <c r="J394" s="427" t="s">
        <v>1099</v>
      </c>
      <c r="K394" s="427" t="s">
        <v>43</v>
      </c>
      <c r="L394" s="427" t="s">
        <v>43</v>
      </c>
      <c r="M394" s="427" t="s">
        <v>44</v>
      </c>
      <c r="N394" s="427"/>
      <c r="O394" s="427"/>
      <c r="P394" s="427" t="s">
        <v>573</v>
      </c>
      <c r="Q394" s="427" t="s">
        <v>592</v>
      </c>
      <c r="R394" s="439"/>
      <c r="S394" s="432"/>
      <c r="T394" s="444">
        <v>42747</v>
      </c>
      <c r="U394" s="433"/>
      <c r="V394" s="427"/>
      <c r="W394" s="446"/>
      <c r="X394" s="430"/>
      <c r="Y394" s="91"/>
      <c r="Z394" s="45"/>
      <c r="AA394" s="17"/>
      <c r="AB394" s="90"/>
      <c r="AC394" s="17"/>
      <c r="AE394" s="17"/>
    </row>
    <row r="395" spans="1:31" ht="14.25" customHeight="1">
      <c r="A395" s="436" t="s">
        <v>515</v>
      </c>
      <c r="B395" s="435" t="s">
        <v>536</v>
      </c>
      <c r="C395" s="436" t="s">
        <v>544</v>
      </c>
      <c r="D395" s="430" t="s">
        <v>3001</v>
      </c>
      <c r="E395" s="427" t="s">
        <v>2973</v>
      </c>
      <c r="F395" s="427" t="s">
        <v>1319</v>
      </c>
      <c r="G395" s="427" t="s">
        <v>1320</v>
      </c>
      <c r="H395" s="427" t="s">
        <v>41</v>
      </c>
      <c r="I395" s="443" t="s">
        <v>1041</v>
      </c>
      <c r="J395" s="427" t="s">
        <v>43</v>
      </c>
      <c r="K395" s="427" t="s">
        <v>43</v>
      </c>
      <c r="L395" s="427" t="s">
        <v>43</v>
      </c>
      <c r="M395" s="427" t="s">
        <v>44</v>
      </c>
      <c r="N395" s="427">
        <v>23.088011000000002</v>
      </c>
      <c r="O395" s="427">
        <v>97.398698999999993</v>
      </c>
      <c r="P395" s="427" t="s">
        <v>573</v>
      </c>
      <c r="Q395" s="427" t="s">
        <v>574</v>
      </c>
      <c r="R395" s="439">
        <v>30</v>
      </c>
      <c r="S395" s="432">
        <v>129</v>
      </c>
      <c r="T395" s="444"/>
      <c r="U395" s="433"/>
      <c r="V395" s="427"/>
      <c r="W395" s="927" t="s">
        <v>1706</v>
      </c>
      <c r="X395" s="427" t="s">
        <v>1040</v>
      </c>
      <c r="Y395" s="91"/>
      <c r="Z395" s="45"/>
      <c r="AA395" s="17"/>
      <c r="AB395" s="90"/>
      <c r="AC395" s="17"/>
      <c r="AE395" s="17"/>
    </row>
    <row r="396" spans="1:31" ht="14.25" customHeight="1">
      <c r="A396" s="436" t="s">
        <v>515</v>
      </c>
      <c r="B396" s="435" t="s">
        <v>536</v>
      </c>
      <c r="C396" s="436" t="s">
        <v>2206</v>
      </c>
      <c r="D396" s="430"/>
      <c r="E396" s="427"/>
      <c r="F396" s="427"/>
      <c r="G396" s="427"/>
      <c r="H396" s="427"/>
      <c r="I396" s="443"/>
      <c r="J396" s="427" t="s">
        <v>2098</v>
      </c>
      <c r="K396" s="427" t="s">
        <v>2082</v>
      </c>
      <c r="L396" s="427" t="s">
        <v>2082</v>
      </c>
      <c r="M396" s="427" t="s">
        <v>44</v>
      </c>
      <c r="N396" s="427"/>
      <c r="O396" s="427"/>
      <c r="P396" s="427" t="s">
        <v>1573</v>
      </c>
      <c r="Q396" s="427" t="s">
        <v>2175</v>
      </c>
      <c r="R396" s="439"/>
      <c r="S396" s="432"/>
      <c r="T396" s="444">
        <v>43759</v>
      </c>
      <c r="U396" s="433"/>
      <c r="V396" s="429"/>
      <c r="W396" s="927"/>
      <c r="X396" s="430"/>
      <c r="Y396" s="91"/>
      <c r="Z396" s="45"/>
      <c r="AA396" s="17"/>
      <c r="AB396" s="90"/>
      <c r="AC396" s="17"/>
      <c r="AE396" s="17"/>
    </row>
    <row r="397" spans="1:31" ht="14.25" customHeight="1">
      <c r="A397" s="436" t="s">
        <v>515</v>
      </c>
      <c r="B397" s="435" t="s">
        <v>536</v>
      </c>
      <c r="C397" s="436" t="s">
        <v>1538</v>
      </c>
      <c r="D397" s="430"/>
      <c r="E397" s="427"/>
      <c r="F397" s="427"/>
      <c r="G397" s="427"/>
      <c r="H397" s="427"/>
      <c r="I397" s="443"/>
      <c r="J397" s="427" t="s">
        <v>1099</v>
      </c>
      <c r="K397" s="427" t="s">
        <v>43</v>
      </c>
      <c r="L397" s="427" t="s">
        <v>43</v>
      </c>
      <c r="M397" s="427" t="s">
        <v>44</v>
      </c>
      <c r="N397" s="427"/>
      <c r="O397" s="427"/>
      <c r="P397" s="427" t="s">
        <v>573</v>
      </c>
      <c r="Q397" s="427" t="s">
        <v>1530</v>
      </c>
      <c r="R397" s="439"/>
      <c r="S397" s="432"/>
      <c r="T397" s="444">
        <v>43270</v>
      </c>
      <c r="U397" s="433"/>
      <c r="V397" s="427"/>
      <c r="W397" s="446"/>
      <c r="X397" s="430"/>
      <c r="Y397" s="91"/>
      <c r="Z397" s="45"/>
      <c r="AA397" s="17"/>
      <c r="AB397" s="90"/>
      <c r="AC397" s="17"/>
      <c r="AE397" s="17"/>
    </row>
    <row r="398" spans="1:31" ht="14.25" customHeight="1">
      <c r="A398" s="432" t="s">
        <v>515</v>
      </c>
      <c r="B398" s="435" t="s">
        <v>536</v>
      </c>
      <c r="C398" s="453" t="s">
        <v>547</v>
      </c>
      <c r="D398" s="430" t="s">
        <v>3001</v>
      </c>
      <c r="E398" s="427" t="s">
        <v>1058</v>
      </c>
      <c r="F398" s="429" t="s">
        <v>1319</v>
      </c>
      <c r="G398" s="427" t="s">
        <v>1320</v>
      </c>
      <c r="H398" s="427" t="s">
        <v>41</v>
      </c>
      <c r="I398" s="443" t="s">
        <v>2118</v>
      </c>
      <c r="J398" s="427" t="s">
        <v>43</v>
      </c>
      <c r="K398" s="427" t="s">
        <v>43</v>
      </c>
      <c r="L398" s="427" t="s">
        <v>43</v>
      </c>
      <c r="M398" s="427" t="s">
        <v>44</v>
      </c>
      <c r="N398" s="427">
        <v>23.094290000000001</v>
      </c>
      <c r="O398" s="427">
        <v>97.404089999999997</v>
      </c>
      <c r="P398" s="427" t="s">
        <v>573</v>
      </c>
      <c r="Q398" s="427" t="s">
        <v>592</v>
      </c>
      <c r="R398" s="439">
        <v>30</v>
      </c>
      <c r="S398" s="432">
        <v>126</v>
      </c>
      <c r="T398" s="444"/>
      <c r="U398" s="433"/>
      <c r="V398" s="427" t="s">
        <v>547</v>
      </c>
      <c r="W398" s="927" t="s">
        <v>1707</v>
      </c>
      <c r="X398" s="430"/>
      <c r="Y398" s="91"/>
      <c r="Z398" s="45"/>
      <c r="AA398" s="17"/>
      <c r="AB398" s="90"/>
      <c r="AC398" s="17"/>
      <c r="AE398" s="17"/>
    </row>
    <row r="399" spans="1:31" ht="14.25" customHeight="1">
      <c r="A399" s="432" t="s">
        <v>515</v>
      </c>
      <c r="B399" s="435" t="s">
        <v>536</v>
      </c>
      <c r="C399" s="436" t="s">
        <v>694</v>
      </c>
      <c r="D399" s="390" t="s">
        <v>1300</v>
      </c>
      <c r="E399" s="427" t="s">
        <v>1057</v>
      </c>
      <c r="F399" s="429" t="s">
        <v>1319</v>
      </c>
      <c r="G399" s="427" t="s">
        <v>1320</v>
      </c>
      <c r="H399" s="427"/>
      <c r="I399" s="443">
        <v>0</v>
      </c>
      <c r="J399" s="427" t="s">
        <v>43</v>
      </c>
      <c r="K399" s="427" t="s">
        <v>43</v>
      </c>
      <c r="L399" s="427" t="s">
        <v>572</v>
      </c>
      <c r="M399" s="427" t="s">
        <v>44</v>
      </c>
      <c r="N399" s="427">
        <v>23.088058</v>
      </c>
      <c r="O399" s="427">
        <v>97.398989</v>
      </c>
      <c r="P399" s="427" t="s">
        <v>585</v>
      </c>
      <c r="Q399" s="427" t="s">
        <v>592</v>
      </c>
      <c r="R399" s="439">
        <v>118</v>
      </c>
      <c r="S399" s="432">
        <v>520</v>
      </c>
      <c r="T399" s="444"/>
      <c r="U399" s="433"/>
      <c r="V399" s="427" t="s">
        <v>599</v>
      </c>
      <c r="W399" s="927" t="s">
        <v>1708</v>
      </c>
      <c r="X399" s="390"/>
      <c r="Y399" s="91"/>
      <c r="Z399" s="45"/>
      <c r="AA399" s="17"/>
      <c r="AB399" s="90"/>
      <c r="AC399" s="17"/>
      <c r="AE399" s="17"/>
    </row>
    <row r="400" spans="1:31" ht="14.25" customHeight="1">
      <c r="A400" s="432" t="s">
        <v>515</v>
      </c>
      <c r="B400" s="435" t="s">
        <v>536</v>
      </c>
      <c r="C400" s="436" t="s">
        <v>595</v>
      </c>
      <c r="D400" s="390" t="s">
        <v>1300</v>
      </c>
      <c r="E400" s="427" t="s">
        <v>1048</v>
      </c>
      <c r="F400" s="427" t="s">
        <v>1319</v>
      </c>
      <c r="G400" s="427" t="s">
        <v>1320</v>
      </c>
      <c r="H400" s="427"/>
      <c r="I400" s="443">
        <v>0</v>
      </c>
      <c r="J400" s="427" t="s">
        <v>43</v>
      </c>
      <c r="K400" s="427" t="s">
        <v>43</v>
      </c>
      <c r="L400" s="427" t="s">
        <v>572</v>
      </c>
      <c r="M400" s="427" t="s">
        <v>44</v>
      </c>
      <c r="N400" s="427"/>
      <c r="O400" s="427"/>
      <c r="P400" s="427" t="s">
        <v>573</v>
      </c>
      <c r="Q400" s="427" t="s">
        <v>574</v>
      </c>
      <c r="R400" s="439">
        <v>0</v>
      </c>
      <c r="S400" s="432">
        <v>0</v>
      </c>
      <c r="T400" s="444">
        <v>43019</v>
      </c>
      <c r="U400" s="433" t="s">
        <v>596</v>
      </c>
      <c r="V400" s="429"/>
      <c r="W400" s="446" t="s">
        <v>596</v>
      </c>
      <c r="X400" s="390"/>
      <c r="Y400" s="91"/>
      <c r="Z400" s="45"/>
      <c r="AA400" s="17"/>
      <c r="AB400" s="90"/>
      <c r="AC400" s="17"/>
      <c r="AE400" s="17"/>
    </row>
    <row r="401" spans="1:31" ht="14.25" customHeight="1">
      <c r="A401" s="432" t="s">
        <v>515</v>
      </c>
      <c r="B401" s="435" t="s">
        <v>536</v>
      </c>
      <c r="C401" s="436" t="s">
        <v>597</v>
      </c>
      <c r="D401" s="430" t="s">
        <v>1300</v>
      </c>
      <c r="E401" s="427" t="s">
        <v>1049</v>
      </c>
      <c r="F401" s="427" t="s">
        <v>1319</v>
      </c>
      <c r="G401" s="427" t="s">
        <v>1320</v>
      </c>
      <c r="H401" s="427"/>
      <c r="I401" s="443">
        <v>0</v>
      </c>
      <c r="J401" s="427" t="s">
        <v>43</v>
      </c>
      <c r="K401" s="427" t="s">
        <v>43</v>
      </c>
      <c r="L401" s="427" t="s">
        <v>572</v>
      </c>
      <c r="M401" s="427" t="s">
        <v>44</v>
      </c>
      <c r="N401" s="427"/>
      <c r="O401" s="427"/>
      <c r="P401" s="427" t="s">
        <v>573</v>
      </c>
      <c r="Q401" s="427" t="s">
        <v>574</v>
      </c>
      <c r="R401" s="439">
        <v>0</v>
      </c>
      <c r="S401" s="432">
        <v>0</v>
      </c>
      <c r="T401" s="444">
        <v>42927</v>
      </c>
      <c r="U401" s="439" t="s">
        <v>598</v>
      </c>
      <c r="V401" s="427"/>
      <c r="W401" s="446" t="s">
        <v>596</v>
      </c>
      <c r="X401" s="430"/>
      <c r="Y401" s="91"/>
      <c r="Z401" s="45"/>
      <c r="AA401" s="17"/>
      <c r="AB401" s="90"/>
      <c r="AC401" s="17"/>
      <c r="AE401" s="17"/>
    </row>
    <row r="402" spans="1:31" ht="14.25" customHeight="1">
      <c r="A402" s="432" t="s">
        <v>515</v>
      </c>
      <c r="B402" s="435" t="s">
        <v>536</v>
      </c>
      <c r="C402" s="436" t="s">
        <v>599</v>
      </c>
      <c r="D402" s="430" t="s">
        <v>1300</v>
      </c>
      <c r="E402" s="427" t="s">
        <v>1050</v>
      </c>
      <c r="F402" s="429" t="s">
        <v>1319</v>
      </c>
      <c r="G402" s="427" t="s">
        <v>1320</v>
      </c>
      <c r="H402" s="427"/>
      <c r="I402" s="443">
        <v>0</v>
      </c>
      <c r="J402" s="427" t="s">
        <v>43</v>
      </c>
      <c r="K402" s="427" t="s">
        <v>43</v>
      </c>
      <c r="L402" s="427" t="s">
        <v>572</v>
      </c>
      <c r="M402" s="427" t="s">
        <v>44</v>
      </c>
      <c r="N402" s="427"/>
      <c r="O402" s="427"/>
      <c r="P402" s="427" t="s">
        <v>573</v>
      </c>
      <c r="Q402" s="427" t="s">
        <v>574</v>
      </c>
      <c r="R402" s="439">
        <v>13</v>
      </c>
      <c r="S402" s="432">
        <v>45</v>
      </c>
      <c r="T402" s="444">
        <v>42927</v>
      </c>
      <c r="U402" s="433" t="s">
        <v>600</v>
      </c>
      <c r="V402" s="429"/>
      <c r="W402" s="446" t="s">
        <v>1697</v>
      </c>
      <c r="X402" s="430"/>
      <c r="Y402" s="91"/>
      <c r="Z402" s="45"/>
      <c r="AA402" s="17"/>
      <c r="AB402" s="90"/>
      <c r="AC402" s="17"/>
      <c r="AE402" s="17"/>
    </row>
    <row r="403" spans="1:31" ht="14.25" customHeight="1">
      <c r="A403" s="432" t="s">
        <v>515</v>
      </c>
      <c r="B403" s="435" t="s">
        <v>536</v>
      </c>
      <c r="C403" s="436" t="s">
        <v>537</v>
      </c>
      <c r="D403" s="430" t="s">
        <v>2772</v>
      </c>
      <c r="E403" s="427" t="s">
        <v>1056</v>
      </c>
      <c r="F403" s="427" t="s">
        <v>1368</v>
      </c>
      <c r="G403" s="427" t="s">
        <v>1369</v>
      </c>
      <c r="H403" s="427"/>
      <c r="I403" s="443" t="s">
        <v>1619</v>
      </c>
      <c r="J403" s="427" t="s">
        <v>43</v>
      </c>
      <c r="K403" s="427" t="s">
        <v>43</v>
      </c>
      <c r="L403" s="427" t="s">
        <v>572</v>
      </c>
      <c r="M403" s="427" t="s">
        <v>44</v>
      </c>
      <c r="N403" s="427">
        <v>22.765999999999998</v>
      </c>
      <c r="O403" s="427">
        <v>97.358999999999995</v>
      </c>
      <c r="P403" s="427" t="s">
        <v>573</v>
      </c>
      <c r="Q403" s="427" t="s">
        <v>574</v>
      </c>
      <c r="R403" s="439">
        <v>3</v>
      </c>
      <c r="S403" s="432">
        <v>17</v>
      </c>
      <c r="T403" s="444"/>
      <c r="U403" s="433" t="s">
        <v>693</v>
      </c>
      <c r="V403" s="427"/>
      <c r="W403" s="446" t="s">
        <v>1709</v>
      </c>
      <c r="X403" s="430"/>
      <c r="Y403" s="91"/>
      <c r="Z403" s="45"/>
      <c r="AA403" s="17"/>
      <c r="AB403" s="90"/>
      <c r="AC403" s="17"/>
      <c r="AE403" s="17"/>
    </row>
    <row r="404" spans="1:31" ht="14.25" customHeight="1">
      <c r="A404" s="432" t="s">
        <v>515</v>
      </c>
      <c r="B404" s="446" t="s">
        <v>536</v>
      </c>
      <c r="C404" s="399" t="s">
        <v>695</v>
      </c>
      <c r="D404" s="430" t="s">
        <v>2259</v>
      </c>
      <c r="E404" s="427" t="s">
        <v>1060</v>
      </c>
      <c r="F404" s="427"/>
      <c r="G404" s="427"/>
      <c r="H404" s="427"/>
      <c r="I404" s="443">
        <v>0</v>
      </c>
      <c r="J404" s="427" t="s">
        <v>43</v>
      </c>
      <c r="K404" s="427" t="s">
        <v>43</v>
      </c>
      <c r="L404" s="427" t="s">
        <v>43</v>
      </c>
      <c r="M404" s="427" t="s">
        <v>44</v>
      </c>
      <c r="N404" s="427">
        <v>23.099304</v>
      </c>
      <c r="O404" s="427">
        <v>97.400671000000003</v>
      </c>
      <c r="P404" s="427" t="s">
        <v>573</v>
      </c>
      <c r="Q404" s="427" t="s">
        <v>574</v>
      </c>
      <c r="R404" s="439">
        <v>0</v>
      </c>
      <c r="S404" s="432">
        <v>0</v>
      </c>
      <c r="T404" s="444">
        <v>42747</v>
      </c>
      <c r="U404" s="433" t="s">
        <v>696</v>
      </c>
      <c r="V404" s="429"/>
      <c r="W404" s="435" t="s">
        <v>1710</v>
      </c>
      <c r="X404" s="430"/>
      <c r="Y404" s="91"/>
      <c r="Z404" s="45"/>
      <c r="AA404" s="17"/>
      <c r="AB404" s="90"/>
      <c r="AC404" s="17"/>
      <c r="AE404" s="17"/>
    </row>
    <row r="405" spans="1:31" ht="14.25" customHeight="1">
      <c r="A405" s="432" t="s">
        <v>515</v>
      </c>
      <c r="B405" s="446" t="s">
        <v>536</v>
      </c>
      <c r="C405" s="399" t="s">
        <v>869</v>
      </c>
      <c r="D405" s="430" t="s">
        <v>2259</v>
      </c>
      <c r="E405" s="427"/>
      <c r="F405" s="427"/>
      <c r="G405" s="427"/>
      <c r="H405" s="427"/>
      <c r="I405" s="427"/>
      <c r="J405" s="427" t="s">
        <v>1099</v>
      </c>
      <c r="K405" s="427" t="s">
        <v>43</v>
      </c>
      <c r="L405" s="427" t="s">
        <v>43</v>
      </c>
      <c r="M405" s="427" t="s">
        <v>44</v>
      </c>
      <c r="N405" s="427"/>
      <c r="O405" s="427"/>
      <c r="P405" s="427" t="s">
        <v>573</v>
      </c>
      <c r="Q405" s="427" t="s">
        <v>592</v>
      </c>
      <c r="R405" s="439"/>
      <c r="S405" s="431"/>
      <c r="T405" s="444">
        <v>42747</v>
      </c>
      <c r="U405" s="433"/>
      <c r="V405" s="431"/>
      <c r="W405" s="431"/>
      <c r="X405" s="430"/>
      <c r="Y405" s="91"/>
      <c r="Z405" s="45"/>
      <c r="AA405" s="17"/>
      <c r="AB405" s="90"/>
      <c r="AC405" s="17"/>
      <c r="AE405" s="17"/>
    </row>
    <row r="406" spans="1:31" ht="14.25" customHeight="1">
      <c r="A406" s="432" t="s">
        <v>515</v>
      </c>
      <c r="B406" s="435" t="s">
        <v>536</v>
      </c>
      <c r="C406" s="436" t="s">
        <v>869</v>
      </c>
      <c r="D406" s="430"/>
      <c r="E406" s="427"/>
      <c r="F406" s="427"/>
      <c r="G406" s="427"/>
      <c r="H406" s="427"/>
      <c r="I406" s="427"/>
      <c r="J406" s="427" t="s">
        <v>2098</v>
      </c>
      <c r="K406" s="427" t="s">
        <v>2082</v>
      </c>
      <c r="L406" s="427" t="s">
        <v>2082</v>
      </c>
      <c r="M406" s="427" t="s">
        <v>44</v>
      </c>
      <c r="N406" s="427"/>
      <c r="O406" s="427"/>
      <c r="P406" s="427"/>
      <c r="Q406" s="427" t="s">
        <v>2239</v>
      </c>
      <c r="R406" s="439"/>
      <c r="S406" s="431"/>
      <c r="T406" s="444">
        <v>43841</v>
      </c>
      <c r="U406" s="433"/>
      <c r="V406" s="431"/>
      <c r="W406" s="431"/>
      <c r="X406" s="430"/>
      <c r="Y406" s="91"/>
      <c r="Z406" s="45"/>
      <c r="AA406" s="17"/>
      <c r="AB406" s="90"/>
      <c r="AC406" s="17"/>
      <c r="AE406" s="17"/>
    </row>
    <row r="407" spans="1:31" ht="14.25" customHeight="1">
      <c r="A407" s="432" t="s">
        <v>515</v>
      </c>
      <c r="B407" s="435" t="s">
        <v>979</v>
      </c>
      <c r="C407" s="436" t="s">
        <v>1715</v>
      </c>
      <c r="D407" s="430"/>
      <c r="E407" s="427"/>
      <c r="F407" s="427"/>
      <c r="G407" s="427"/>
      <c r="H407" s="427"/>
      <c r="I407" s="427"/>
      <c r="J407" s="427" t="s">
        <v>1099</v>
      </c>
      <c r="K407" s="427" t="s">
        <v>43</v>
      </c>
      <c r="L407" s="427" t="s">
        <v>43</v>
      </c>
      <c r="M407" s="427" t="s">
        <v>44</v>
      </c>
      <c r="N407" s="427"/>
      <c r="O407" s="427"/>
      <c r="P407" s="427" t="s">
        <v>573</v>
      </c>
      <c r="Q407" s="427" t="s">
        <v>667</v>
      </c>
      <c r="R407" s="439"/>
      <c r="S407" s="431"/>
      <c r="T407" s="444">
        <v>43392</v>
      </c>
      <c r="U407" s="433"/>
      <c r="V407" s="431"/>
      <c r="W407" s="431"/>
      <c r="X407" s="430"/>
      <c r="Y407" s="91"/>
      <c r="Z407" s="45"/>
      <c r="AA407" s="17"/>
      <c r="AB407" s="90"/>
      <c r="AC407" s="17"/>
      <c r="AE407" s="17"/>
    </row>
    <row r="408" spans="1:31" ht="14.25" customHeight="1">
      <c r="A408" s="432" t="s">
        <v>515</v>
      </c>
      <c r="B408" s="435" t="s">
        <v>979</v>
      </c>
      <c r="C408" s="436" t="s">
        <v>852</v>
      </c>
      <c r="D408" s="430" t="s">
        <v>2259</v>
      </c>
      <c r="E408" s="427"/>
      <c r="F408" s="427"/>
      <c r="G408" s="427"/>
      <c r="H408" s="427"/>
      <c r="I408" s="427"/>
      <c r="J408" s="427" t="s">
        <v>1099</v>
      </c>
      <c r="K408" s="427" t="s">
        <v>43</v>
      </c>
      <c r="L408" s="427" t="s">
        <v>43</v>
      </c>
      <c r="M408" s="427" t="s">
        <v>44</v>
      </c>
      <c r="N408" s="427"/>
      <c r="O408" s="427"/>
      <c r="P408" s="427" t="s">
        <v>573</v>
      </c>
      <c r="Q408" s="427" t="s">
        <v>592</v>
      </c>
      <c r="R408" s="439"/>
      <c r="S408" s="431"/>
      <c r="T408" s="444">
        <v>42747</v>
      </c>
      <c r="U408" s="433"/>
      <c r="V408" s="431"/>
      <c r="W408" s="431"/>
      <c r="X408" s="430"/>
      <c r="Y408" s="91"/>
      <c r="Z408" s="45"/>
      <c r="AA408" s="17"/>
      <c r="AB408" s="90"/>
      <c r="AC408" s="17"/>
      <c r="AE408" s="17"/>
    </row>
    <row r="409" spans="1:31" ht="14.25" customHeight="1">
      <c r="A409" s="432" t="s">
        <v>515</v>
      </c>
      <c r="B409" s="435" t="s">
        <v>982</v>
      </c>
      <c r="C409" s="436" t="s">
        <v>1024</v>
      </c>
      <c r="D409" s="430"/>
      <c r="E409" s="427"/>
      <c r="F409" s="427"/>
      <c r="G409" s="427"/>
      <c r="H409" s="427"/>
      <c r="I409" s="427"/>
      <c r="J409" s="427" t="s">
        <v>1099</v>
      </c>
      <c r="K409" s="427" t="s">
        <v>43</v>
      </c>
      <c r="L409" s="427" t="s">
        <v>588</v>
      </c>
      <c r="M409" s="427" t="s">
        <v>1589</v>
      </c>
      <c r="N409" s="427"/>
      <c r="O409" s="427"/>
      <c r="P409" s="427" t="s">
        <v>573</v>
      </c>
      <c r="Q409" s="427"/>
      <c r="R409" s="439"/>
      <c r="S409" s="431"/>
      <c r="T409" s="444">
        <v>43298</v>
      </c>
      <c r="U409" s="433"/>
      <c r="V409" s="431"/>
      <c r="W409" s="431"/>
      <c r="X409" s="430"/>
      <c r="Y409" s="91"/>
      <c r="Z409" s="45"/>
      <c r="AA409" s="17"/>
      <c r="AB409" s="90"/>
      <c r="AC409" s="17"/>
      <c r="AE409" s="17"/>
    </row>
    <row r="410" spans="1:31" ht="14.25" customHeight="1">
      <c r="A410" s="432"/>
      <c r="B410" s="446"/>
      <c r="C410" s="399"/>
      <c r="D410" s="430"/>
      <c r="E410" s="427"/>
      <c r="F410" s="427"/>
      <c r="G410" s="427"/>
      <c r="H410" s="427"/>
      <c r="I410" s="926"/>
      <c r="J410" s="427"/>
      <c r="K410" s="427"/>
      <c r="L410" s="427"/>
      <c r="M410" s="427"/>
      <c r="N410" s="427"/>
      <c r="O410" s="427"/>
      <c r="P410" s="427"/>
      <c r="Q410" s="427"/>
      <c r="R410" s="439"/>
      <c r="S410" s="431"/>
      <c r="T410" s="444"/>
      <c r="U410" s="433"/>
      <c r="V410" s="431"/>
      <c r="W410" s="431"/>
      <c r="X410" s="430"/>
      <c r="Y410" s="91"/>
      <c r="Z410" s="45"/>
      <c r="AA410" s="17"/>
      <c r="AB410" s="90"/>
      <c r="AC410" s="17"/>
      <c r="AE410" s="17"/>
    </row>
    <row r="412" spans="1:31" ht="14.25" customHeight="1">
      <c r="O412" s="978"/>
    </row>
  </sheetData>
  <phoneticPr fontId="149" type="noConversion"/>
  <conditionalFormatting sqref="V340">
    <cfRule type="duplicateValues" dxfId="902" priority="31"/>
  </conditionalFormatting>
  <conditionalFormatting sqref="C18">
    <cfRule type="duplicateValues" dxfId="901" priority="29"/>
  </conditionalFormatting>
  <conditionalFormatting sqref="V13">
    <cfRule type="duplicateValues" dxfId="900" priority="28"/>
  </conditionalFormatting>
  <conditionalFormatting sqref="C19:C364 C3:C17 C366:C368">
    <cfRule type="duplicateValues" dxfId="899" priority="12407"/>
  </conditionalFormatting>
  <conditionalFormatting sqref="X286">
    <cfRule type="duplicateValues" dxfId="898" priority="25"/>
  </conditionalFormatting>
  <conditionalFormatting sqref="X290">
    <cfRule type="duplicateValues" dxfId="897" priority="24"/>
  </conditionalFormatting>
  <conditionalFormatting sqref="X291">
    <cfRule type="duplicateValues" dxfId="896" priority="23"/>
  </conditionalFormatting>
  <conditionalFormatting sqref="X294">
    <cfRule type="duplicateValues" dxfId="895" priority="22"/>
  </conditionalFormatting>
  <conditionalFormatting sqref="X296:X297">
    <cfRule type="duplicateValues" dxfId="894" priority="21"/>
  </conditionalFormatting>
  <conditionalFormatting sqref="X302">
    <cfRule type="duplicateValues" dxfId="893" priority="20"/>
  </conditionalFormatting>
  <conditionalFormatting sqref="X305:X306">
    <cfRule type="duplicateValues" dxfId="892" priority="19"/>
  </conditionalFormatting>
  <conditionalFormatting sqref="X310">
    <cfRule type="duplicateValues" dxfId="891" priority="18"/>
  </conditionalFormatting>
  <conditionalFormatting sqref="X315">
    <cfRule type="duplicateValues" dxfId="890" priority="17"/>
  </conditionalFormatting>
  <conditionalFormatting sqref="X317:X318">
    <cfRule type="duplicateValues" dxfId="889" priority="16"/>
  </conditionalFormatting>
  <conditionalFormatting sqref="X325">
    <cfRule type="duplicateValues" dxfId="888" priority="15"/>
  </conditionalFormatting>
  <conditionalFormatting sqref="X335:X336">
    <cfRule type="duplicateValues" dxfId="887" priority="14"/>
  </conditionalFormatting>
  <conditionalFormatting sqref="X338">
    <cfRule type="duplicateValues" dxfId="886" priority="13"/>
  </conditionalFormatting>
  <conditionalFormatting sqref="X342">
    <cfRule type="duplicateValues" dxfId="885" priority="12"/>
  </conditionalFormatting>
  <conditionalFormatting sqref="X346">
    <cfRule type="duplicateValues" dxfId="884" priority="11"/>
  </conditionalFormatting>
  <conditionalFormatting sqref="V51">
    <cfRule type="duplicateValues" dxfId="883" priority="9"/>
  </conditionalFormatting>
  <conditionalFormatting sqref="V259">
    <cfRule type="duplicateValues" dxfId="882" priority="7"/>
  </conditionalFormatting>
  <conditionalFormatting sqref="V260">
    <cfRule type="duplicateValues" dxfId="881" priority="6"/>
  </conditionalFormatting>
  <conditionalFormatting sqref="V261">
    <cfRule type="duplicateValues" dxfId="880" priority="5"/>
  </conditionalFormatting>
  <conditionalFormatting sqref="V272">
    <cfRule type="duplicateValues" dxfId="879" priority="4"/>
  </conditionalFormatting>
  <conditionalFormatting sqref="V280">
    <cfRule type="duplicateValues" dxfId="878" priority="3"/>
  </conditionalFormatting>
  <conditionalFormatting sqref="V294">
    <cfRule type="duplicateValues" dxfId="877" priority="2"/>
  </conditionalFormatting>
  <conditionalFormatting sqref="V303">
    <cfRule type="duplicateValues" dxfId="876" priority="1"/>
  </conditionalFormatting>
  <conditionalFormatting sqref="E18">
    <cfRule type="duplicateValues" dxfId="875" priority="12623"/>
  </conditionalFormatting>
  <conditionalFormatting sqref="E3:E17 E287:E289 E292:E293 E295 E19:E207 E209:E285 E298:E348">
    <cfRule type="duplicateValues" dxfId="874" priority="12624"/>
  </conditionalFormatting>
  <conditionalFormatting sqref="E378 E375:E376 E365 E355 E351">
    <cfRule type="duplicateValues" dxfId="873" priority="12631"/>
  </conditionalFormatting>
  <dataValidations disablePrompts="1" count="1">
    <dataValidation type="list" allowBlank="1" showInputMessage="1" showErrorMessage="1" sqref="C343" xr:uid="{0C947F1F-B2C7-4140-A9B5-BC2307C73D97}">
      <formula1>OFFSET(Township_start,MATCH(A343,Township_list, 0),1, COUNTIF(Township_list,A343),1)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F4E5FFE-FDA9-4720-8083-31C358AEE6F4}">
          <x14:formula1>
            <xm:f>'C:\Users\mthaw\Mee Mee\2. Information Management\C_Camp Info\2. CCCM Camp list\Kachin\2019\[shelter-nfi-cccm_kachin_northern_shan_cluster_analysis_report_march_2019.xlsx]Definition'!#REF!</xm:f>
          </x14:formula1>
          <xm:sqref>L147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87C87-5742-4D0D-9C4D-0ADE3167A3ED}">
  <sheetPr>
    <tabColor rgb="FF92D050"/>
  </sheetPr>
  <dimension ref="A1:H85"/>
  <sheetViews>
    <sheetView zoomScaleNormal="100" zoomScaleSheetLayoutView="50" workbookViewId="0">
      <pane xSplit="2" ySplit="2" topLeftCell="C73" activePane="bottomRight" state="frozen"/>
      <selection activeCell="H81" sqref="H81"/>
      <selection pane="topRight" activeCell="H81" sqref="H81"/>
      <selection pane="bottomLeft" activeCell="H81" sqref="H81"/>
      <selection pane="bottomRight" activeCell="C74" sqref="C74:C77"/>
    </sheetView>
  </sheetViews>
  <sheetFormatPr defaultColWidth="8" defaultRowHeight="45" customHeight="1"/>
  <cols>
    <col min="1" max="1" width="7.58203125" style="518" bestFit="1" customWidth="1"/>
    <col min="2" max="2" width="7.58203125" style="246" bestFit="1" customWidth="1"/>
    <col min="3" max="3" width="42.6640625" style="268" bestFit="1" customWidth="1"/>
    <col min="4" max="4" width="11.58203125" style="268" customWidth="1"/>
    <col min="5" max="5" width="3.5" style="268" hidden="1" customWidth="1"/>
    <col min="6" max="6" width="13.1640625" style="268" hidden="1" customWidth="1"/>
    <col min="7" max="7" width="61.5" style="268" bestFit="1" customWidth="1"/>
    <col min="8" max="8" width="57.1640625" style="459" bestFit="1" customWidth="1"/>
    <col min="9" max="16380" width="8" style="245"/>
    <col min="16381" max="16384" width="21.1640625" style="245" customWidth="1"/>
  </cols>
  <sheetData>
    <row r="1" spans="1:8" ht="45" customHeight="1">
      <c r="A1" s="516"/>
      <c r="B1" s="1190"/>
      <c r="C1" s="1190"/>
      <c r="D1" s="1190"/>
      <c r="E1" s="1190"/>
      <c r="F1" s="1190"/>
      <c r="G1" s="1190"/>
    </row>
    <row r="2" spans="1:8" s="249" customFormat="1" ht="45" customHeight="1">
      <c r="A2" s="517"/>
      <c r="B2" s="247" t="s">
        <v>45</v>
      </c>
      <c r="C2" s="248" t="s">
        <v>1758</v>
      </c>
      <c r="D2" s="248" t="s">
        <v>1759</v>
      </c>
      <c r="E2" s="248" t="s">
        <v>1760</v>
      </c>
      <c r="F2" s="248" t="s">
        <v>1761</v>
      </c>
      <c r="G2" s="248" t="s">
        <v>46</v>
      </c>
      <c r="H2" s="167" t="s">
        <v>2290</v>
      </c>
    </row>
    <row r="3" spans="1:8" ht="45" customHeight="1">
      <c r="A3" s="1191" t="s">
        <v>2276</v>
      </c>
      <c r="B3" s="557" t="s">
        <v>0</v>
      </c>
      <c r="C3" s="250" t="s">
        <v>1762</v>
      </c>
      <c r="D3" s="250" t="s">
        <v>16</v>
      </c>
      <c r="E3" s="250"/>
      <c r="F3" s="250" t="s">
        <v>1763</v>
      </c>
      <c r="G3" s="558"/>
      <c r="H3" s="460"/>
    </row>
    <row r="4" spans="1:8" ht="62.75" customHeight="1">
      <c r="A4" s="1192"/>
      <c r="B4" s="557" t="s">
        <v>1</v>
      </c>
      <c r="C4" s="250" t="s">
        <v>1764</v>
      </c>
      <c r="D4" s="250" t="s">
        <v>16</v>
      </c>
      <c r="E4" s="250"/>
      <c r="F4" s="250" t="s">
        <v>1763</v>
      </c>
      <c r="G4" s="558" t="s">
        <v>1765</v>
      </c>
      <c r="H4" s="460"/>
    </row>
    <row r="5" spans="1:8" ht="45" customHeight="1">
      <c r="A5" s="1192"/>
      <c r="B5" s="557" t="s">
        <v>2</v>
      </c>
      <c r="C5" s="250" t="s">
        <v>1766</v>
      </c>
      <c r="D5" s="250" t="s">
        <v>16</v>
      </c>
      <c r="E5" s="250"/>
      <c r="F5" s="250" t="s">
        <v>1763</v>
      </c>
      <c r="G5" s="558" t="s">
        <v>1767</v>
      </c>
      <c r="H5" s="460"/>
    </row>
    <row r="6" spans="1:8" ht="45" customHeight="1">
      <c r="A6" s="1192"/>
      <c r="B6" s="557" t="s">
        <v>3</v>
      </c>
      <c r="C6" s="250" t="s">
        <v>1768</v>
      </c>
      <c r="D6" s="250" t="s">
        <v>18</v>
      </c>
      <c r="E6" s="250"/>
      <c r="F6" s="250" t="s">
        <v>1763</v>
      </c>
      <c r="G6" s="558" t="s">
        <v>1956</v>
      </c>
      <c r="H6" s="460"/>
    </row>
    <row r="7" spans="1:8" ht="45" customHeight="1">
      <c r="A7" s="1192"/>
      <c r="B7" s="557" t="s">
        <v>4</v>
      </c>
      <c r="C7" s="250" t="s">
        <v>21</v>
      </c>
      <c r="D7" s="250" t="s">
        <v>16</v>
      </c>
      <c r="E7" s="250"/>
      <c r="F7" s="250" t="s">
        <v>1763</v>
      </c>
      <c r="G7" s="558" t="s">
        <v>1769</v>
      </c>
      <c r="H7" s="460"/>
    </row>
    <row r="8" spans="1:8" ht="45" customHeight="1">
      <c r="A8" s="1192"/>
      <c r="B8" s="557" t="s">
        <v>874</v>
      </c>
      <c r="C8" s="250" t="s">
        <v>22</v>
      </c>
      <c r="D8" s="250" t="s">
        <v>16</v>
      </c>
      <c r="E8" s="250"/>
      <c r="F8" s="250" t="s">
        <v>1763</v>
      </c>
      <c r="G8" s="558" t="s">
        <v>1769</v>
      </c>
      <c r="H8" s="460"/>
    </row>
    <row r="9" spans="1:8" ht="45" customHeight="1">
      <c r="A9" s="1192"/>
      <c r="B9" s="557" t="s">
        <v>5</v>
      </c>
      <c r="C9" s="250" t="s">
        <v>1770</v>
      </c>
      <c r="D9" s="250" t="s">
        <v>1942</v>
      </c>
      <c r="E9" s="250"/>
      <c r="F9" s="250" t="s">
        <v>1763</v>
      </c>
      <c r="G9" s="558" t="s">
        <v>1771</v>
      </c>
      <c r="H9" s="460"/>
    </row>
    <row r="10" spans="1:8" ht="45" customHeight="1">
      <c r="A10" s="1192"/>
      <c r="B10" s="557" t="s">
        <v>6</v>
      </c>
      <c r="C10" s="250" t="s">
        <v>1772</v>
      </c>
      <c r="D10" s="250" t="s">
        <v>16</v>
      </c>
      <c r="E10" s="250"/>
      <c r="F10" s="250" t="s">
        <v>1763</v>
      </c>
      <c r="G10" s="558" t="s">
        <v>1773</v>
      </c>
      <c r="H10" s="460"/>
    </row>
    <row r="11" spans="1:8" ht="75" customHeight="1">
      <c r="A11" s="1192"/>
      <c r="B11" s="557" t="s">
        <v>47</v>
      </c>
      <c r="C11" s="250" t="s">
        <v>24</v>
      </c>
      <c r="D11" s="250" t="s">
        <v>17</v>
      </c>
      <c r="E11" s="250"/>
      <c r="F11" s="250" t="s">
        <v>1763</v>
      </c>
      <c r="G11" s="558" t="s">
        <v>1848</v>
      </c>
      <c r="H11" s="460"/>
    </row>
    <row r="12" spans="1:8" ht="85.25" customHeight="1">
      <c r="A12" s="1192"/>
      <c r="B12" s="557" t="s">
        <v>48</v>
      </c>
      <c r="C12" s="250" t="s">
        <v>1487</v>
      </c>
      <c r="D12" s="250" t="s">
        <v>17</v>
      </c>
      <c r="E12" s="250"/>
      <c r="F12" s="250" t="s">
        <v>1763</v>
      </c>
      <c r="G12" s="558" t="s">
        <v>1848</v>
      </c>
      <c r="H12" s="460"/>
    </row>
    <row r="13" spans="1:8" ht="45" customHeight="1">
      <c r="A13" s="1192"/>
      <c r="B13" s="557" t="s">
        <v>51</v>
      </c>
      <c r="C13" s="250" t="s">
        <v>1774</v>
      </c>
      <c r="D13" s="250" t="s">
        <v>19</v>
      </c>
      <c r="E13" s="250"/>
      <c r="F13" s="250" t="s">
        <v>1763</v>
      </c>
      <c r="G13" s="558" t="s">
        <v>1775</v>
      </c>
      <c r="H13" s="460"/>
    </row>
    <row r="14" spans="1:8" ht="45" customHeight="1">
      <c r="A14" s="1192"/>
      <c r="B14" s="557" t="s">
        <v>53</v>
      </c>
      <c r="C14" s="250" t="s">
        <v>1776</v>
      </c>
      <c r="D14" s="250" t="s">
        <v>19</v>
      </c>
      <c r="E14" s="250"/>
      <c r="F14" s="250" t="s">
        <v>1763</v>
      </c>
      <c r="G14" s="558" t="s">
        <v>1777</v>
      </c>
      <c r="H14" s="460"/>
    </row>
    <row r="15" spans="1:8" ht="45" customHeight="1">
      <c r="A15" s="1192"/>
      <c r="B15" s="557" t="s">
        <v>54</v>
      </c>
      <c r="C15" s="250" t="s">
        <v>1988</v>
      </c>
      <c r="D15" s="250" t="s">
        <v>17</v>
      </c>
      <c r="E15" s="250"/>
      <c r="F15" s="250" t="s">
        <v>1940</v>
      </c>
      <c r="G15" s="558"/>
      <c r="H15" s="460"/>
    </row>
    <row r="16" spans="1:8" ht="45" customHeight="1">
      <c r="A16" s="1192"/>
      <c r="B16" s="557" t="s">
        <v>115</v>
      </c>
      <c r="C16" s="250" t="s">
        <v>1569</v>
      </c>
      <c r="D16" s="250" t="s">
        <v>17</v>
      </c>
      <c r="E16" s="250"/>
      <c r="F16" s="250" t="s">
        <v>304</v>
      </c>
      <c r="G16" s="558" t="s">
        <v>1989</v>
      </c>
      <c r="H16" s="460"/>
    </row>
    <row r="17" spans="1:8" ht="45" customHeight="1">
      <c r="A17" s="1192"/>
      <c r="B17" s="557" t="s">
        <v>116</v>
      </c>
      <c r="C17" s="250" t="s">
        <v>1571</v>
      </c>
      <c r="D17" s="250" t="s">
        <v>17</v>
      </c>
      <c r="E17" s="250"/>
      <c r="F17" s="250" t="s">
        <v>304</v>
      </c>
      <c r="G17" s="558" t="s">
        <v>1990</v>
      </c>
      <c r="H17" s="460"/>
    </row>
    <row r="18" spans="1:8" ht="45" customHeight="1">
      <c r="A18" s="1192"/>
      <c r="B18" s="557" t="s">
        <v>59</v>
      </c>
      <c r="C18" s="250" t="s">
        <v>1778</v>
      </c>
      <c r="D18" s="250" t="s">
        <v>17</v>
      </c>
      <c r="E18" s="250" t="s">
        <v>1991</v>
      </c>
      <c r="F18" s="250" t="s">
        <v>1763</v>
      </c>
      <c r="G18" s="558" t="s">
        <v>1992</v>
      </c>
      <c r="H18" s="460"/>
    </row>
    <row r="19" spans="1:8" ht="45" customHeight="1">
      <c r="A19" s="1192"/>
      <c r="B19" s="557" t="s">
        <v>57</v>
      </c>
      <c r="C19" s="250" t="s">
        <v>1779</v>
      </c>
      <c r="D19" s="250" t="s">
        <v>1780</v>
      </c>
      <c r="E19" s="250"/>
      <c r="F19" s="250" t="s">
        <v>1763</v>
      </c>
      <c r="G19" s="558" t="s">
        <v>1993</v>
      </c>
      <c r="H19" s="460"/>
    </row>
    <row r="20" spans="1:8" ht="45" customHeight="1">
      <c r="A20" s="1192"/>
      <c r="B20" s="557" t="s">
        <v>61</v>
      </c>
      <c r="C20" s="250" t="s">
        <v>1781</v>
      </c>
      <c r="D20" s="250" t="s">
        <v>17</v>
      </c>
      <c r="E20" s="250"/>
      <c r="F20" s="250" t="s">
        <v>1763</v>
      </c>
      <c r="G20" s="558" t="s">
        <v>1994</v>
      </c>
      <c r="H20" s="460"/>
    </row>
    <row r="21" spans="1:8" ht="45" customHeight="1">
      <c r="A21" s="1193"/>
      <c r="B21" s="557" t="s">
        <v>875</v>
      </c>
      <c r="C21" s="250" t="s">
        <v>1782</v>
      </c>
      <c r="D21" s="250" t="s">
        <v>17</v>
      </c>
      <c r="E21" s="250"/>
      <c r="F21" s="250" t="s">
        <v>1763</v>
      </c>
      <c r="G21" s="558" t="s">
        <v>1994</v>
      </c>
      <c r="H21" s="460"/>
    </row>
    <row r="22" spans="1:8" ht="45" customHeight="1">
      <c r="A22" s="1194" t="s">
        <v>1582</v>
      </c>
      <c r="B22" s="559" t="s">
        <v>62</v>
      </c>
      <c r="C22" s="168" t="s">
        <v>1948</v>
      </c>
      <c r="D22" s="168" t="s">
        <v>17</v>
      </c>
      <c r="E22" s="168"/>
      <c r="F22" s="168" t="s">
        <v>1763</v>
      </c>
      <c r="G22" s="228" t="s">
        <v>1784</v>
      </c>
      <c r="H22" s="560" t="s">
        <v>2305</v>
      </c>
    </row>
    <row r="23" spans="1:8" ht="45" customHeight="1">
      <c r="A23" s="1195"/>
      <c r="B23" s="559" t="s">
        <v>63</v>
      </c>
      <c r="C23" s="168" t="s">
        <v>1909</v>
      </c>
      <c r="D23" s="168" t="s">
        <v>17</v>
      </c>
      <c r="E23" s="168"/>
      <c r="F23" s="168" t="s">
        <v>1763</v>
      </c>
      <c r="G23" s="228" t="s">
        <v>1910</v>
      </c>
      <c r="H23" s="460"/>
    </row>
    <row r="24" spans="1:8" ht="45" customHeight="1">
      <c r="A24" s="1195"/>
      <c r="B24" s="559" t="s">
        <v>64</v>
      </c>
      <c r="C24" s="168" t="s">
        <v>1911</v>
      </c>
      <c r="D24" s="168" t="s">
        <v>17</v>
      </c>
      <c r="E24" s="168"/>
      <c r="F24" s="168" t="s">
        <v>1763</v>
      </c>
      <c r="G24" s="228" t="s">
        <v>1943</v>
      </c>
      <c r="H24" s="460"/>
    </row>
    <row r="25" spans="1:8" ht="45" customHeight="1">
      <c r="A25" s="1195"/>
      <c r="B25" s="559" t="s">
        <v>66</v>
      </c>
      <c r="C25" s="169" t="s">
        <v>1944</v>
      </c>
      <c r="D25" s="169" t="s">
        <v>17</v>
      </c>
      <c r="E25" s="168"/>
      <c r="F25" s="169" t="s">
        <v>1763</v>
      </c>
      <c r="G25" s="228" t="s">
        <v>55</v>
      </c>
      <c r="H25" s="560" t="s">
        <v>2305</v>
      </c>
    </row>
    <row r="26" spans="1:8" ht="45" customHeight="1">
      <c r="A26" s="1195"/>
      <c r="B26" s="559" t="s">
        <v>876</v>
      </c>
      <c r="C26" s="169" t="s">
        <v>1949</v>
      </c>
      <c r="D26" s="169" t="s">
        <v>17</v>
      </c>
      <c r="E26" s="168"/>
      <c r="F26" s="169" t="s">
        <v>1763</v>
      </c>
      <c r="G26" s="228" t="s">
        <v>1950</v>
      </c>
      <c r="H26" s="560" t="s">
        <v>2305</v>
      </c>
    </row>
    <row r="27" spans="1:8" ht="45" customHeight="1">
      <c r="A27" s="1195"/>
      <c r="B27" s="559" t="s">
        <v>67</v>
      </c>
      <c r="C27" s="169" t="s">
        <v>1995</v>
      </c>
      <c r="D27" s="169" t="s">
        <v>17</v>
      </c>
      <c r="E27" s="168"/>
      <c r="F27" s="169" t="s">
        <v>1763</v>
      </c>
      <c r="G27" s="228" t="s">
        <v>1996</v>
      </c>
      <c r="H27" s="460"/>
    </row>
    <row r="28" spans="1:8" ht="45" customHeight="1">
      <c r="A28" s="1195"/>
      <c r="B28" s="559" t="s">
        <v>68</v>
      </c>
      <c r="C28" s="169" t="s">
        <v>1997</v>
      </c>
      <c r="D28" s="169" t="s">
        <v>17</v>
      </c>
      <c r="E28" s="168"/>
      <c r="F28" s="169" t="s">
        <v>1763</v>
      </c>
      <c r="G28" s="228" t="s">
        <v>1998</v>
      </c>
      <c r="H28" s="460"/>
    </row>
    <row r="29" spans="1:8" ht="45" customHeight="1">
      <c r="A29" s="1195"/>
      <c r="B29" s="559" t="s">
        <v>69</v>
      </c>
      <c r="C29" s="169" t="s">
        <v>1999</v>
      </c>
      <c r="D29" s="169" t="s">
        <v>2000</v>
      </c>
      <c r="E29" s="169" t="s">
        <v>1929</v>
      </c>
      <c r="F29" s="169" t="s">
        <v>1763</v>
      </c>
      <c r="G29" s="228" t="s">
        <v>1999</v>
      </c>
      <c r="H29" s="560" t="s">
        <v>2305</v>
      </c>
    </row>
    <row r="30" spans="1:8" ht="45" customHeight="1">
      <c r="A30" s="1195"/>
      <c r="B30" s="559" t="s">
        <v>70</v>
      </c>
      <c r="C30" s="169" t="s">
        <v>1957</v>
      </c>
      <c r="D30" s="169" t="s">
        <v>2000</v>
      </c>
      <c r="E30" s="169"/>
      <c r="F30" s="169" t="s">
        <v>1763</v>
      </c>
      <c r="G30" s="228" t="s">
        <v>1959</v>
      </c>
      <c r="H30" s="460"/>
    </row>
    <row r="31" spans="1:8" ht="45" customHeight="1">
      <c r="A31" s="1195"/>
      <c r="B31" s="559" t="s">
        <v>1011</v>
      </c>
      <c r="C31" s="169" t="s">
        <v>1958</v>
      </c>
      <c r="D31" s="169" t="s">
        <v>2000</v>
      </c>
      <c r="E31" s="169"/>
      <c r="F31" s="169" t="s">
        <v>1763</v>
      </c>
      <c r="G31" s="228" t="s">
        <v>1960</v>
      </c>
      <c r="H31" s="462"/>
    </row>
    <row r="32" spans="1:8" ht="45" customHeight="1">
      <c r="A32" s="1195"/>
      <c r="B32" s="559" t="s">
        <v>1012</v>
      </c>
      <c r="C32" s="169" t="s">
        <v>2313</v>
      </c>
      <c r="D32" s="169" t="s">
        <v>17</v>
      </c>
      <c r="E32" s="168" t="s">
        <v>2001</v>
      </c>
      <c r="F32" s="169" t="s">
        <v>1940</v>
      </c>
      <c r="G32" s="228" t="s">
        <v>1785</v>
      </c>
      <c r="H32" s="560" t="s">
        <v>2305</v>
      </c>
    </row>
    <row r="33" spans="1:8" ht="45" customHeight="1">
      <c r="A33" s="1195"/>
      <c r="B33" s="559" t="s">
        <v>1013</v>
      </c>
      <c r="C33" s="169" t="s">
        <v>1930</v>
      </c>
      <c r="D33" s="231" t="s">
        <v>17</v>
      </c>
      <c r="E33" s="168" t="s">
        <v>1783</v>
      </c>
      <c r="F33" s="231" t="s">
        <v>304</v>
      </c>
      <c r="G33" s="228" t="s">
        <v>56</v>
      </c>
      <c r="H33" s="560" t="s">
        <v>2305</v>
      </c>
    </row>
    <row r="34" spans="1:8" ht="45" customHeight="1">
      <c r="A34" s="1195"/>
      <c r="B34" s="559" t="s">
        <v>1014</v>
      </c>
      <c r="C34" s="169" t="s">
        <v>2314</v>
      </c>
      <c r="D34" s="231" t="s">
        <v>17</v>
      </c>
      <c r="E34" s="168" t="s">
        <v>1783</v>
      </c>
      <c r="F34" s="231" t="s">
        <v>1763</v>
      </c>
      <c r="G34" s="228" t="s">
        <v>2003</v>
      </c>
      <c r="H34" s="560" t="s">
        <v>2305</v>
      </c>
    </row>
    <row r="35" spans="1:8" ht="45" customHeight="1">
      <c r="A35" s="1195"/>
      <c r="B35" s="559" t="s">
        <v>1015</v>
      </c>
      <c r="C35" s="169" t="s">
        <v>2004</v>
      </c>
      <c r="D35" s="251" t="s">
        <v>17</v>
      </c>
      <c r="E35" s="252"/>
      <c r="F35" s="253" t="s">
        <v>304</v>
      </c>
      <c r="G35" s="254" t="s">
        <v>2005</v>
      </c>
      <c r="H35" s="463"/>
    </row>
    <row r="36" spans="1:8" ht="45" customHeight="1">
      <c r="A36" s="1195"/>
      <c r="B36" s="559" t="s">
        <v>1016</v>
      </c>
      <c r="C36" s="169" t="s">
        <v>1786</v>
      </c>
      <c r="D36" s="253" t="s">
        <v>17</v>
      </c>
      <c r="E36" s="253"/>
      <c r="F36" s="253" t="s">
        <v>304</v>
      </c>
      <c r="G36" s="254" t="s">
        <v>58</v>
      </c>
      <c r="H36" s="463"/>
    </row>
    <row r="37" spans="1:8" ht="45" customHeight="1">
      <c r="A37" s="1195"/>
      <c r="B37" s="559" t="s">
        <v>1017</v>
      </c>
      <c r="C37" s="170" t="s">
        <v>2261</v>
      </c>
      <c r="D37" s="170" t="s">
        <v>17</v>
      </c>
      <c r="E37" s="170"/>
      <c r="F37" s="170" t="s">
        <v>1763</v>
      </c>
      <c r="G37" s="228" t="s">
        <v>2263</v>
      </c>
      <c r="H37" s="460"/>
    </row>
    <row r="38" spans="1:8" ht="45" customHeight="1">
      <c r="A38" s="1195"/>
      <c r="B38" s="559" t="s">
        <v>1018</v>
      </c>
      <c r="C38" s="170" t="s">
        <v>2264</v>
      </c>
      <c r="D38" s="170" t="s">
        <v>17</v>
      </c>
      <c r="E38" s="170"/>
      <c r="F38" s="170" t="s">
        <v>1763</v>
      </c>
      <c r="G38" s="228" t="s">
        <v>2265</v>
      </c>
      <c r="H38" s="460"/>
    </row>
    <row r="39" spans="1:8" ht="45" customHeight="1">
      <c r="A39" s="1195"/>
      <c r="B39" s="559" t="s">
        <v>1019</v>
      </c>
      <c r="C39" s="170" t="s">
        <v>2266</v>
      </c>
      <c r="D39" s="561" t="s">
        <v>17</v>
      </c>
      <c r="E39" s="561"/>
      <c r="F39" s="170" t="s">
        <v>1763</v>
      </c>
      <c r="G39" s="228" t="s">
        <v>2268</v>
      </c>
      <c r="H39" s="460"/>
    </row>
    <row r="40" spans="1:8" ht="45" customHeight="1">
      <c r="A40" s="1195"/>
      <c r="B40" s="559" t="s">
        <v>1020</v>
      </c>
      <c r="C40" s="170" t="s">
        <v>2267</v>
      </c>
      <c r="D40" s="561" t="s">
        <v>17</v>
      </c>
      <c r="E40" s="561"/>
      <c r="F40" s="170" t="s">
        <v>1763</v>
      </c>
      <c r="G40" s="228" t="s">
        <v>2269</v>
      </c>
      <c r="H40" s="460"/>
    </row>
    <row r="41" spans="1:8" ht="45" customHeight="1">
      <c r="A41" s="1195"/>
      <c r="B41" s="559" t="s">
        <v>1568</v>
      </c>
      <c r="C41" s="227" t="s">
        <v>2289</v>
      </c>
      <c r="D41" s="169" t="s">
        <v>17</v>
      </c>
      <c r="E41" s="169"/>
      <c r="F41" s="170" t="s">
        <v>1940</v>
      </c>
      <c r="G41" s="228" t="s">
        <v>2288</v>
      </c>
      <c r="H41" s="460"/>
    </row>
    <row r="42" spans="1:8" ht="45" customHeight="1">
      <c r="A42" s="1195"/>
      <c r="B42" s="559" t="s">
        <v>2835</v>
      </c>
      <c r="C42" s="168" t="s">
        <v>2831</v>
      </c>
      <c r="D42" s="227" t="s">
        <v>17</v>
      </c>
      <c r="E42" s="169"/>
      <c r="F42" s="170" t="s">
        <v>1940</v>
      </c>
      <c r="G42" s="228" t="s">
        <v>2837</v>
      </c>
      <c r="H42" s="460"/>
    </row>
    <row r="43" spans="1:8" ht="91">
      <c r="A43" s="1195"/>
      <c r="B43" s="559" t="s">
        <v>2836</v>
      </c>
      <c r="C43" s="168" t="s">
        <v>2834</v>
      </c>
      <c r="D43" s="227" t="s">
        <v>17</v>
      </c>
      <c r="E43" s="169"/>
      <c r="F43" s="170" t="s">
        <v>1940</v>
      </c>
      <c r="G43" s="228" t="s">
        <v>2838</v>
      </c>
      <c r="H43" s="560" t="s">
        <v>2311</v>
      </c>
    </row>
    <row r="44" spans="1:8" ht="45" customHeight="1">
      <c r="A44" s="1196"/>
      <c r="B44" s="559" t="s">
        <v>1713</v>
      </c>
      <c r="C44" s="227" t="s">
        <v>60</v>
      </c>
      <c r="D44" s="227" t="s">
        <v>18</v>
      </c>
      <c r="E44" s="227"/>
      <c r="F44" s="227" t="s">
        <v>1763</v>
      </c>
      <c r="G44" s="228"/>
      <c r="H44" s="460"/>
    </row>
    <row r="45" spans="1:8" ht="87.65" customHeight="1">
      <c r="A45" s="1197" t="s">
        <v>1583</v>
      </c>
      <c r="B45" s="562" t="s">
        <v>1788</v>
      </c>
      <c r="C45" s="171" t="s">
        <v>1951</v>
      </c>
      <c r="D45" s="171" t="s">
        <v>17</v>
      </c>
      <c r="E45" s="171"/>
      <c r="F45" s="171" t="s">
        <v>1763</v>
      </c>
      <c r="G45" s="255" t="s">
        <v>1010</v>
      </c>
      <c r="H45" s="563" t="s">
        <v>2300</v>
      </c>
    </row>
    <row r="46" spans="1:8" ht="39">
      <c r="A46" s="1198"/>
      <c r="B46" s="562" t="s">
        <v>1790</v>
      </c>
      <c r="C46" s="171" t="s">
        <v>1952</v>
      </c>
      <c r="D46" s="171" t="s">
        <v>17</v>
      </c>
      <c r="E46" s="171"/>
      <c r="F46" s="171" t="s">
        <v>1763</v>
      </c>
      <c r="G46" s="255" t="s">
        <v>1953</v>
      </c>
      <c r="H46" s="563" t="s">
        <v>2300</v>
      </c>
    </row>
    <row r="47" spans="1:8" ht="26">
      <c r="A47" s="1198"/>
      <c r="B47" s="562" t="s">
        <v>1791</v>
      </c>
      <c r="C47" s="171" t="s">
        <v>2006</v>
      </c>
      <c r="D47" s="171" t="s">
        <v>18</v>
      </c>
      <c r="E47" s="171"/>
      <c r="F47" s="171" t="s">
        <v>1763</v>
      </c>
      <c r="G47" s="255" t="s">
        <v>2006</v>
      </c>
      <c r="H47" s="460"/>
    </row>
    <row r="48" spans="1:8" ht="45" customHeight="1">
      <c r="A48" s="1198"/>
      <c r="B48" s="562" t="s">
        <v>1792</v>
      </c>
      <c r="C48" s="171" t="s">
        <v>2007</v>
      </c>
      <c r="D48" s="171" t="s">
        <v>17</v>
      </c>
      <c r="E48" s="171"/>
      <c r="F48" s="171" t="s">
        <v>1763</v>
      </c>
      <c r="G48" s="255" t="s">
        <v>1789</v>
      </c>
      <c r="H48" s="460"/>
    </row>
    <row r="49" spans="1:8" ht="52">
      <c r="A49" s="1198"/>
      <c r="B49" s="562" t="s">
        <v>1793</v>
      </c>
      <c r="C49" s="171" t="s">
        <v>2008</v>
      </c>
      <c r="D49" s="171" t="s">
        <v>17</v>
      </c>
      <c r="E49" s="171"/>
      <c r="F49" s="171" t="s">
        <v>1763</v>
      </c>
      <c r="G49" s="255" t="s">
        <v>2009</v>
      </c>
      <c r="H49" s="460"/>
    </row>
    <row r="50" spans="1:8" ht="26">
      <c r="A50" s="1198"/>
      <c r="B50" s="562" t="s">
        <v>1794</v>
      </c>
      <c r="C50" s="171" t="s">
        <v>2010</v>
      </c>
      <c r="D50" s="171" t="s">
        <v>17</v>
      </c>
      <c r="E50" s="171"/>
      <c r="F50" s="171" t="s">
        <v>1763</v>
      </c>
      <c r="G50" s="255" t="s">
        <v>2011</v>
      </c>
      <c r="H50" s="460" t="s">
        <v>1787</v>
      </c>
    </row>
    <row r="51" spans="1:8" ht="26">
      <c r="A51" s="1198"/>
      <c r="B51" s="562" t="s">
        <v>1795</v>
      </c>
      <c r="C51" s="256" t="s">
        <v>1905</v>
      </c>
      <c r="D51" s="256" t="s">
        <v>2000</v>
      </c>
      <c r="E51" s="256"/>
      <c r="F51" s="256" t="s">
        <v>304</v>
      </c>
      <c r="G51" s="255" t="s">
        <v>2012</v>
      </c>
      <c r="H51" s="460" t="s">
        <v>1787</v>
      </c>
    </row>
    <row r="52" spans="1:8" ht="45" customHeight="1">
      <c r="A52" s="1198"/>
      <c r="B52" s="562" t="s">
        <v>1797</v>
      </c>
      <c r="C52" s="171" t="s">
        <v>2013</v>
      </c>
      <c r="D52" s="171" t="s">
        <v>17</v>
      </c>
      <c r="E52" s="171"/>
      <c r="F52" s="171" t="s">
        <v>304</v>
      </c>
      <c r="G52" s="255" t="s">
        <v>2014</v>
      </c>
      <c r="H52" s="460"/>
    </row>
    <row r="53" spans="1:8" ht="45" customHeight="1">
      <c r="A53" s="1198"/>
      <c r="B53" s="562" t="s">
        <v>1799</v>
      </c>
      <c r="C53" s="257" t="s">
        <v>1828</v>
      </c>
      <c r="D53" s="171" t="s">
        <v>1912</v>
      </c>
      <c r="E53" s="258"/>
      <c r="F53" s="258" t="s">
        <v>1763</v>
      </c>
      <c r="G53" s="255" t="s">
        <v>1796</v>
      </c>
      <c r="H53" s="460"/>
    </row>
    <row r="54" spans="1:8" ht="51.75" customHeight="1">
      <c r="A54" s="1198"/>
      <c r="B54" s="562" t="s">
        <v>1800</v>
      </c>
      <c r="C54" s="259" t="s">
        <v>1829</v>
      </c>
      <c r="D54" s="171" t="s">
        <v>1908</v>
      </c>
      <c r="E54" s="260"/>
      <c r="F54" s="260" t="s">
        <v>1763</v>
      </c>
      <c r="G54" s="255" t="s">
        <v>1798</v>
      </c>
      <c r="H54" s="460"/>
    </row>
    <row r="55" spans="1:8" ht="45" customHeight="1">
      <c r="A55" s="1198"/>
      <c r="B55" s="562" t="s">
        <v>1801</v>
      </c>
      <c r="C55" s="260" t="s">
        <v>2301</v>
      </c>
      <c r="D55" s="260" t="s">
        <v>17</v>
      </c>
      <c r="E55" s="260"/>
      <c r="F55" s="260" t="s">
        <v>1763</v>
      </c>
      <c r="G55" s="255" t="s">
        <v>1009</v>
      </c>
      <c r="H55" s="563" t="s">
        <v>2300</v>
      </c>
    </row>
    <row r="56" spans="1:8" ht="45" customHeight="1">
      <c r="A56" s="1198"/>
      <c r="B56" s="562" t="s">
        <v>1802</v>
      </c>
      <c r="C56" s="260" t="s">
        <v>2302</v>
      </c>
      <c r="D56" s="260" t="s">
        <v>17</v>
      </c>
      <c r="E56" s="260"/>
      <c r="F56" s="260" t="s">
        <v>1763</v>
      </c>
      <c r="G56" s="255" t="s">
        <v>1009</v>
      </c>
      <c r="H56" s="563" t="s">
        <v>2300</v>
      </c>
    </row>
    <row r="57" spans="1:8" ht="65">
      <c r="A57" s="1198"/>
      <c r="B57" s="562" t="s">
        <v>1803</v>
      </c>
      <c r="C57" s="260" t="s">
        <v>2315</v>
      </c>
      <c r="D57" s="260" t="s">
        <v>17</v>
      </c>
      <c r="E57" s="260"/>
      <c r="F57" s="260" t="s">
        <v>1940</v>
      </c>
      <c r="G57" s="255" t="s">
        <v>2316</v>
      </c>
      <c r="H57" s="563" t="s">
        <v>2306</v>
      </c>
    </row>
    <row r="58" spans="1:8" ht="65">
      <c r="A58" s="1198"/>
      <c r="B58" s="562" t="s">
        <v>1805</v>
      </c>
      <c r="C58" s="260" t="s">
        <v>2317</v>
      </c>
      <c r="D58" s="260" t="s">
        <v>17</v>
      </c>
      <c r="E58" s="260"/>
      <c r="F58" s="260" t="s">
        <v>1940</v>
      </c>
      <c r="G58" s="255" t="s">
        <v>2318</v>
      </c>
      <c r="H58" s="563" t="s">
        <v>2306</v>
      </c>
    </row>
    <row r="59" spans="1:8" ht="52">
      <c r="A59" s="1198"/>
      <c r="B59" s="562" t="s">
        <v>1807</v>
      </c>
      <c r="C59" s="529" t="s">
        <v>2299</v>
      </c>
      <c r="D59" s="260" t="s">
        <v>17</v>
      </c>
      <c r="E59" s="260"/>
      <c r="F59" s="260"/>
      <c r="G59" s="255" t="s">
        <v>2180</v>
      </c>
      <c r="H59" s="563" t="s">
        <v>2300</v>
      </c>
    </row>
    <row r="60" spans="1:8" ht="45" customHeight="1">
      <c r="A60" s="1199"/>
      <c r="B60" s="562" t="s">
        <v>1809</v>
      </c>
      <c r="C60" s="260" t="s">
        <v>65</v>
      </c>
      <c r="D60" s="260" t="s">
        <v>18</v>
      </c>
      <c r="E60" s="260"/>
      <c r="F60" s="260" t="s">
        <v>1763</v>
      </c>
      <c r="G60" s="255"/>
      <c r="H60" s="460"/>
    </row>
    <row r="61" spans="1:8" ht="45" customHeight="1">
      <c r="A61" s="1200" t="s">
        <v>1584</v>
      </c>
      <c r="B61" s="564" t="s">
        <v>1812</v>
      </c>
      <c r="C61" s="261" t="s">
        <v>1931</v>
      </c>
      <c r="D61" s="261" t="s">
        <v>17</v>
      </c>
      <c r="E61" s="261"/>
      <c r="F61" s="261" t="s">
        <v>2015</v>
      </c>
      <c r="G61" s="262" t="s">
        <v>1804</v>
      </c>
      <c r="H61" s="460"/>
    </row>
    <row r="62" spans="1:8" ht="45" customHeight="1">
      <c r="A62" s="1201"/>
      <c r="B62" s="564" t="s">
        <v>1815</v>
      </c>
      <c r="C62" s="261" t="s">
        <v>1961</v>
      </c>
      <c r="D62" s="261" t="s">
        <v>17</v>
      </c>
      <c r="E62" s="261"/>
      <c r="F62" s="261" t="s">
        <v>2015</v>
      </c>
      <c r="G62" s="262" t="s">
        <v>1962</v>
      </c>
      <c r="H62" s="460"/>
    </row>
    <row r="63" spans="1:8" ht="45" customHeight="1">
      <c r="A63" s="1201"/>
      <c r="B63" s="564" t="s">
        <v>1817</v>
      </c>
      <c r="C63" s="263" t="s">
        <v>1932</v>
      </c>
      <c r="D63" s="263" t="s">
        <v>17</v>
      </c>
      <c r="E63" s="263"/>
      <c r="F63" s="263" t="s">
        <v>304</v>
      </c>
      <c r="G63" s="262" t="s">
        <v>1808</v>
      </c>
      <c r="H63" s="460"/>
    </row>
    <row r="64" spans="1:8" ht="45" customHeight="1">
      <c r="A64" s="1201"/>
      <c r="B64" s="564" t="s">
        <v>1818</v>
      </c>
      <c r="C64" s="263" t="s">
        <v>1933</v>
      </c>
      <c r="D64" s="263" t="s">
        <v>17</v>
      </c>
      <c r="E64" s="263"/>
      <c r="F64" s="261" t="s">
        <v>2015</v>
      </c>
      <c r="G64" s="262" t="s">
        <v>1806</v>
      </c>
      <c r="H64" s="460"/>
    </row>
    <row r="65" spans="1:8" ht="45" customHeight="1">
      <c r="A65" s="1201"/>
      <c r="B65" s="564" t="s">
        <v>1819</v>
      </c>
      <c r="C65" s="263" t="s">
        <v>1963</v>
      </c>
      <c r="D65" s="263" t="s">
        <v>17</v>
      </c>
      <c r="E65" s="263"/>
      <c r="F65" s="261" t="s">
        <v>2015</v>
      </c>
      <c r="G65" s="262" t="s">
        <v>1964</v>
      </c>
      <c r="H65" s="460"/>
    </row>
    <row r="66" spans="1:8" ht="39">
      <c r="A66" s="1201"/>
      <c r="B66" s="564" t="s">
        <v>1820</v>
      </c>
      <c r="C66" s="263" t="s">
        <v>1810</v>
      </c>
      <c r="D66" s="263" t="s">
        <v>17</v>
      </c>
      <c r="E66" s="263"/>
      <c r="F66" s="263" t="s">
        <v>1763</v>
      </c>
      <c r="G66" s="264" t="s">
        <v>1811</v>
      </c>
      <c r="H66" s="565" t="s">
        <v>2307</v>
      </c>
    </row>
    <row r="67" spans="1:8" ht="39">
      <c r="A67" s="1201"/>
      <c r="B67" s="564" t="s">
        <v>1954</v>
      </c>
      <c r="C67" s="263" t="s">
        <v>1813</v>
      </c>
      <c r="D67" s="263" t="s">
        <v>17</v>
      </c>
      <c r="E67" s="263"/>
      <c r="F67" s="263" t="s">
        <v>1763</v>
      </c>
      <c r="G67" s="264" t="s">
        <v>1814</v>
      </c>
      <c r="H67" s="565" t="s">
        <v>2307</v>
      </c>
    </row>
    <row r="68" spans="1:8" ht="45" customHeight="1">
      <c r="A68" s="1201"/>
      <c r="B68" s="564" t="s">
        <v>1955</v>
      </c>
      <c r="C68" s="263" t="s">
        <v>1816</v>
      </c>
      <c r="D68" s="230" t="s">
        <v>17</v>
      </c>
      <c r="E68" s="230"/>
      <c r="F68" s="263" t="s">
        <v>1763</v>
      </c>
      <c r="G68" s="264" t="s">
        <v>2016</v>
      </c>
      <c r="H68" s="565" t="s">
        <v>2307</v>
      </c>
    </row>
    <row r="69" spans="1:8" ht="39">
      <c r="A69" s="1201"/>
      <c r="B69" s="564" t="s">
        <v>2018</v>
      </c>
      <c r="C69" s="263" t="s">
        <v>2319</v>
      </c>
      <c r="D69" s="230" t="s">
        <v>17</v>
      </c>
      <c r="E69" s="230"/>
      <c r="F69" s="263" t="s">
        <v>1763</v>
      </c>
      <c r="G69" s="264" t="s">
        <v>2320</v>
      </c>
      <c r="H69" s="565" t="s">
        <v>2307</v>
      </c>
    </row>
    <row r="70" spans="1:8" ht="45" customHeight="1">
      <c r="A70" s="1201"/>
      <c r="B70" s="564" t="s">
        <v>2021</v>
      </c>
      <c r="C70" s="230" t="s">
        <v>2017</v>
      </c>
      <c r="D70" s="230" t="s">
        <v>1907</v>
      </c>
      <c r="E70" s="230"/>
      <c r="F70" s="230" t="s">
        <v>1940</v>
      </c>
      <c r="G70" s="264"/>
      <c r="H70" s="460"/>
    </row>
    <row r="71" spans="1:8" ht="45" customHeight="1">
      <c r="A71" s="1201"/>
      <c r="B71" s="564" t="s">
        <v>2023</v>
      </c>
      <c r="C71" s="230" t="s">
        <v>2019</v>
      </c>
      <c r="D71" s="230" t="s">
        <v>17</v>
      </c>
      <c r="E71" s="230"/>
      <c r="F71" s="230" t="s">
        <v>1940</v>
      </c>
      <c r="G71" s="264" t="s">
        <v>2020</v>
      </c>
      <c r="H71" s="460"/>
    </row>
    <row r="72" spans="1:8" ht="45" customHeight="1">
      <c r="A72" s="1201"/>
      <c r="B72" s="564" t="s">
        <v>2185</v>
      </c>
      <c r="C72" s="265" t="s">
        <v>2022</v>
      </c>
      <c r="D72" s="265" t="s">
        <v>52</v>
      </c>
      <c r="E72" s="265"/>
      <c r="F72" s="230" t="s">
        <v>304</v>
      </c>
      <c r="G72" s="266" t="s">
        <v>2022</v>
      </c>
      <c r="H72" s="463"/>
    </row>
    <row r="73" spans="1:8" ht="45" customHeight="1">
      <c r="A73" s="1202"/>
      <c r="B73" s="564" t="s">
        <v>2186</v>
      </c>
      <c r="C73" s="265" t="s">
        <v>72</v>
      </c>
      <c r="D73" s="265" t="s">
        <v>18</v>
      </c>
      <c r="E73" s="265"/>
      <c r="F73" s="265" t="s">
        <v>1763</v>
      </c>
      <c r="G73" s="266"/>
      <c r="H73" s="463"/>
    </row>
    <row r="74" spans="1:8" ht="45" customHeight="1">
      <c r="A74" s="1203" t="s">
        <v>2226</v>
      </c>
      <c r="B74" s="566" t="s">
        <v>2187</v>
      </c>
      <c r="C74" s="486" t="s">
        <v>2181</v>
      </c>
      <c r="D74" s="486" t="s">
        <v>52</v>
      </c>
      <c r="F74" s="486" t="s">
        <v>1763</v>
      </c>
      <c r="G74" s="487"/>
    </row>
    <row r="75" spans="1:8" ht="45" customHeight="1">
      <c r="A75" s="1204"/>
      <c r="B75" s="566" t="s">
        <v>2188</v>
      </c>
      <c r="C75" s="486" t="s">
        <v>2182</v>
      </c>
      <c r="D75" s="486" t="s">
        <v>52</v>
      </c>
      <c r="F75" s="486" t="s">
        <v>1763</v>
      </c>
      <c r="G75" s="487"/>
    </row>
    <row r="76" spans="1:8" ht="45" customHeight="1">
      <c r="A76" s="1204"/>
      <c r="B76" s="566" t="s">
        <v>2189</v>
      </c>
      <c r="C76" s="486" t="s">
        <v>2183</v>
      </c>
      <c r="D76" s="486" t="s">
        <v>17</v>
      </c>
      <c r="F76" s="486" t="s">
        <v>1763</v>
      </c>
      <c r="G76" s="487"/>
    </row>
    <row r="77" spans="1:8" ht="45" customHeight="1">
      <c r="A77" s="1205"/>
      <c r="B77" s="566" t="s">
        <v>2273</v>
      </c>
      <c r="C77" s="486" t="s">
        <v>2184</v>
      </c>
      <c r="D77" s="486" t="s">
        <v>52</v>
      </c>
      <c r="F77" s="486" t="s">
        <v>1763</v>
      </c>
      <c r="G77" s="487"/>
    </row>
    <row r="78" spans="1:8" ht="45" customHeight="1">
      <c r="A78" s="1188" t="s">
        <v>2277</v>
      </c>
      <c r="B78" s="526" t="s">
        <v>2274</v>
      </c>
      <c r="C78" s="487" t="s">
        <v>2270</v>
      </c>
      <c r="D78" s="487" t="s">
        <v>17</v>
      </c>
      <c r="E78" s="487" t="s">
        <v>2262</v>
      </c>
      <c r="F78" s="515"/>
      <c r="G78" s="487"/>
      <c r="H78" s="567" t="s">
        <v>2312</v>
      </c>
    </row>
    <row r="79" spans="1:8" ht="45" customHeight="1">
      <c r="A79" s="1189"/>
      <c r="B79" s="526" t="s">
        <v>2275</v>
      </c>
      <c r="C79" s="487" t="s">
        <v>2271</v>
      </c>
      <c r="D79" s="487" t="s">
        <v>17</v>
      </c>
      <c r="E79" s="487" t="s">
        <v>2262</v>
      </c>
      <c r="F79" s="515"/>
      <c r="G79" s="487"/>
      <c r="H79" s="567" t="s">
        <v>2312</v>
      </c>
    </row>
    <row r="80" spans="1:8" ht="45" customHeight="1">
      <c r="A80" s="1189"/>
      <c r="B80" s="526" t="s">
        <v>2321</v>
      </c>
      <c r="C80" s="487" t="s">
        <v>2272</v>
      </c>
      <c r="D80" s="487" t="s">
        <v>17</v>
      </c>
      <c r="E80" s="487" t="s">
        <v>2262</v>
      </c>
      <c r="F80" s="515"/>
      <c r="G80" s="487"/>
      <c r="H80" s="567" t="s">
        <v>2312</v>
      </c>
    </row>
    <row r="81" spans="1:7" ht="45" customHeight="1">
      <c r="A81" s="1187" t="s">
        <v>2747</v>
      </c>
      <c r="B81" s="780" t="s">
        <v>2744</v>
      </c>
      <c r="C81" s="779" t="s">
        <v>2735</v>
      </c>
      <c r="D81" s="779" t="s">
        <v>17</v>
      </c>
      <c r="E81" s="775"/>
      <c r="F81" s="775"/>
      <c r="G81" s="775"/>
    </row>
    <row r="82" spans="1:7" ht="45" customHeight="1">
      <c r="A82" s="1187"/>
      <c r="B82" s="780" t="s">
        <v>2745</v>
      </c>
      <c r="C82" s="779" t="s">
        <v>2736</v>
      </c>
      <c r="D82" s="779" t="s">
        <v>17</v>
      </c>
      <c r="E82" s="775"/>
      <c r="F82" s="775"/>
      <c r="G82" s="775"/>
    </row>
    <row r="83" spans="1:7" ht="45" customHeight="1">
      <c r="A83" s="1187"/>
      <c r="B83" s="780" t="s">
        <v>2746</v>
      </c>
      <c r="C83" s="779" t="s">
        <v>2737</v>
      </c>
      <c r="D83" s="779" t="s">
        <v>19</v>
      </c>
      <c r="E83" s="775"/>
      <c r="F83" s="775"/>
      <c r="G83" s="775"/>
    </row>
    <row r="84" spans="1:7" ht="45" customHeight="1">
      <c r="A84" s="1187"/>
      <c r="B84" s="780" t="s">
        <v>2748</v>
      </c>
      <c r="C84" s="779" t="s">
        <v>2738</v>
      </c>
      <c r="D84" s="779" t="s">
        <v>18</v>
      </c>
      <c r="E84" s="775"/>
      <c r="F84" s="775"/>
      <c r="G84" s="775"/>
    </row>
    <row r="85" spans="1:7" ht="45" customHeight="1">
      <c r="C85" s="267" t="s">
        <v>1280</v>
      </c>
    </row>
  </sheetData>
  <autoFilter ref="B2:H73" xr:uid="{00000000-0009-0000-0000-000004000000}"/>
  <mergeCells count="8">
    <mergeCell ref="A81:A84"/>
    <mergeCell ref="A78:A80"/>
    <mergeCell ref="B1:G1"/>
    <mergeCell ref="A3:A21"/>
    <mergeCell ref="A22:A44"/>
    <mergeCell ref="A45:A60"/>
    <mergeCell ref="A61:A73"/>
    <mergeCell ref="A74:A77"/>
  </mergeCells>
  <phoneticPr fontId="149" type="noConversion"/>
  <pageMargins left="0.25" right="0.25" top="0" bottom="0" header="0.3" footer="0.3"/>
  <pageSetup scale="60" orientation="portrait" r:id="rId1"/>
  <rowBreaks count="3" manualBreakCount="3">
    <brk id="24" min="1" max="6" man="1"/>
    <brk id="50" min="1" max="6" man="1"/>
    <brk id="73" min="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C180-3D20-4DED-B270-D3627C7474E4}">
  <dimension ref="A1:H84"/>
  <sheetViews>
    <sheetView topLeftCell="A78" zoomScale="110" zoomScaleNormal="110" zoomScaleSheetLayoutView="91" workbookViewId="0">
      <selection activeCell="G84" sqref="G84"/>
    </sheetView>
  </sheetViews>
  <sheetFormatPr defaultColWidth="8" defaultRowHeight="45" customHeight="1"/>
  <cols>
    <col min="1" max="1" width="7.58203125" style="518" bestFit="1" customWidth="1"/>
    <col min="2" max="2" width="6.08203125" style="246" customWidth="1"/>
    <col min="3" max="3" width="46.5" style="273" customWidth="1"/>
    <col min="4" max="4" width="11.58203125" style="268" customWidth="1"/>
    <col min="5" max="5" width="16.58203125" style="268" hidden="1" customWidth="1"/>
    <col min="6" max="6" width="13.1640625" style="268" hidden="1" customWidth="1"/>
    <col min="7" max="7" width="65.1640625" style="272" customWidth="1"/>
    <col min="8" max="8" width="57.1640625" style="166" bestFit="1" customWidth="1"/>
    <col min="9" max="16384" width="8" style="269"/>
  </cols>
  <sheetData>
    <row r="1" spans="1:8" ht="45" customHeight="1">
      <c r="A1" s="516"/>
      <c r="B1" s="1207"/>
      <c r="C1" s="1207"/>
      <c r="D1" s="1207"/>
      <c r="E1" s="1207"/>
      <c r="F1" s="1207"/>
      <c r="G1" s="1207"/>
    </row>
    <row r="2" spans="1:8" s="270" customFormat="1" ht="56.25" customHeight="1">
      <c r="A2" s="517"/>
      <c r="B2" s="247" t="s">
        <v>45</v>
      </c>
      <c r="C2" s="223" t="s">
        <v>1758</v>
      </c>
      <c r="D2" s="248" t="s">
        <v>1759</v>
      </c>
      <c r="E2" s="248" t="s">
        <v>1760</v>
      </c>
      <c r="F2" s="248" t="s">
        <v>1761</v>
      </c>
      <c r="G2" s="248" t="s">
        <v>46</v>
      </c>
      <c r="H2" s="167" t="s">
        <v>2290</v>
      </c>
    </row>
    <row r="3" spans="1:8" ht="21">
      <c r="A3" s="1191" t="s">
        <v>2276</v>
      </c>
      <c r="B3" s="557" t="s">
        <v>0</v>
      </c>
      <c r="C3" s="222" t="s">
        <v>1857</v>
      </c>
      <c r="D3" s="250" t="s">
        <v>16</v>
      </c>
      <c r="E3" s="250"/>
      <c r="F3" s="250" t="s">
        <v>1763</v>
      </c>
      <c r="G3" s="568" t="s">
        <v>1857</v>
      </c>
      <c r="H3" s="460"/>
    </row>
    <row r="4" spans="1:8" ht="21">
      <c r="A4" s="1192"/>
      <c r="B4" s="557" t="s">
        <v>1</v>
      </c>
      <c r="C4" s="222" t="s">
        <v>1858</v>
      </c>
      <c r="D4" s="250" t="s">
        <v>16</v>
      </c>
      <c r="E4" s="250"/>
      <c r="F4" s="250" t="s">
        <v>1763</v>
      </c>
      <c r="G4" s="568" t="s">
        <v>1968</v>
      </c>
      <c r="H4" s="460"/>
    </row>
    <row r="5" spans="1:8" ht="21">
      <c r="A5" s="1192"/>
      <c r="B5" s="557" t="s">
        <v>2</v>
      </c>
      <c r="C5" s="222" t="s">
        <v>1859</v>
      </c>
      <c r="D5" s="250" t="s">
        <v>16</v>
      </c>
      <c r="E5" s="250"/>
      <c r="F5" s="250" t="s">
        <v>1763</v>
      </c>
      <c r="G5" s="568" t="s">
        <v>1859</v>
      </c>
      <c r="H5" s="460"/>
    </row>
    <row r="6" spans="1:8" ht="21">
      <c r="A6" s="1192"/>
      <c r="B6" s="557" t="s">
        <v>3</v>
      </c>
      <c r="C6" s="222" t="s">
        <v>1860</v>
      </c>
      <c r="D6" s="250" t="s">
        <v>18</v>
      </c>
      <c r="E6" s="250"/>
      <c r="F6" s="250" t="s">
        <v>1763</v>
      </c>
      <c r="G6" s="568" t="s">
        <v>1967</v>
      </c>
      <c r="H6" s="460"/>
    </row>
    <row r="7" spans="1:8" ht="21">
      <c r="A7" s="1192"/>
      <c r="B7" s="557" t="s">
        <v>4</v>
      </c>
      <c r="C7" s="222" t="s">
        <v>1861</v>
      </c>
      <c r="D7" s="250" t="s">
        <v>16</v>
      </c>
      <c r="E7" s="250"/>
      <c r="F7" s="250" t="s">
        <v>1763</v>
      </c>
      <c r="G7" s="568" t="s">
        <v>1861</v>
      </c>
      <c r="H7" s="460"/>
    </row>
    <row r="8" spans="1:8" ht="21">
      <c r="A8" s="1192"/>
      <c r="B8" s="557" t="s">
        <v>874</v>
      </c>
      <c r="C8" s="222" t="s">
        <v>1862</v>
      </c>
      <c r="D8" s="250" t="s">
        <v>16</v>
      </c>
      <c r="E8" s="250"/>
      <c r="F8" s="250" t="s">
        <v>1763</v>
      </c>
      <c r="G8" s="568" t="s">
        <v>1862</v>
      </c>
      <c r="H8" s="460"/>
    </row>
    <row r="9" spans="1:8" ht="26">
      <c r="A9" s="1192"/>
      <c r="B9" s="557" t="s">
        <v>5</v>
      </c>
      <c r="C9" s="222" t="s">
        <v>1863</v>
      </c>
      <c r="D9" s="250" t="s">
        <v>1942</v>
      </c>
      <c r="E9" s="250"/>
      <c r="F9" s="250" t="s">
        <v>1763</v>
      </c>
      <c r="G9" s="568" t="s">
        <v>1863</v>
      </c>
      <c r="H9" s="460"/>
    </row>
    <row r="10" spans="1:8" ht="21">
      <c r="A10" s="1192"/>
      <c r="B10" s="557" t="s">
        <v>6</v>
      </c>
      <c r="C10" s="222" t="s">
        <v>1864</v>
      </c>
      <c r="D10" s="250" t="s">
        <v>16</v>
      </c>
      <c r="E10" s="250"/>
      <c r="F10" s="250" t="s">
        <v>1763</v>
      </c>
      <c r="G10" s="568" t="s">
        <v>1864</v>
      </c>
      <c r="H10" s="460"/>
    </row>
    <row r="11" spans="1:8" ht="21">
      <c r="A11" s="1192"/>
      <c r="B11" s="557" t="s">
        <v>47</v>
      </c>
      <c r="C11" s="222" t="s">
        <v>1904</v>
      </c>
      <c r="D11" s="250" t="s">
        <v>17</v>
      </c>
      <c r="E11" s="250"/>
      <c r="F11" s="250" t="s">
        <v>1763</v>
      </c>
      <c r="G11" s="568" t="s">
        <v>1969</v>
      </c>
      <c r="H11" s="460"/>
    </row>
    <row r="12" spans="1:8" ht="21">
      <c r="A12" s="1192"/>
      <c r="B12" s="557" t="s">
        <v>48</v>
      </c>
      <c r="C12" s="222" t="s">
        <v>1903</v>
      </c>
      <c r="D12" s="250" t="s">
        <v>17</v>
      </c>
      <c r="E12" s="250"/>
      <c r="F12" s="250" t="s">
        <v>1763</v>
      </c>
      <c r="G12" s="568" t="s">
        <v>1970</v>
      </c>
      <c r="H12" s="460"/>
    </row>
    <row r="13" spans="1:8" ht="21">
      <c r="A13" s="1192"/>
      <c r="B13" s="557" t="s">
        <v>51</v>
      </c>
      <c r="C13" s="222" t="s">
        <v>1865</v>
      </c>
      <c r="D13" s="250" t="s">
        <v>19</v>
      </c>
      <c r="E13" s="250"/>
      <c r="F13" s="250" t="s">
        <v>1763</v>
      </c>
      <c r="G13" s="568" t="s">
        <v>1865</v>
      </c>
      <c r="H13" s="460"/>
    </row>
    <row r="14" spans="1:8" ht="21">
      <c r="A14" s="1192"/>
      <c r="B14" s="557" t="s">
        <v>53</v>
      </c>
      <c r="C14" s="222" t="s">
        <v>1866</v>
      </c>
      <c r="D14" s="250" t="s">
        <v>19</v>
      </c>
      <c r="E14" s="250"/>
      <c r="F14" s="250" t="s">
        <v>1763</v>
      </c>
      <c r="G14" s="568" t="s">
        <v>1866</v>
      </c>
      <c r="H14" s="460"/>
    </row>
    <row r="15" spans="1:8" ht="39">
      <c r="A15" s="1192"/>
      <c r="B15" s="557" t="s">
        <v>54</v>
      </c>
      <c r="C15" s="222" t="s">
        <v>2024</v>
      </c>
      <c r="D15" s="250" t="s">
        <v>17</v>
      </c>
      <c r="E15" s="250"/>
      <c r="F15" s="250" t="s">
        <v>1940</v>
      </c>
      <c r="G15" s="568" t="s">
        <v>2024</v>
      </c>
      <c r="H15" s="460"/>
    </row>
    <row r="16" spans="1:8" ht="39">
      <c r="A16" s="1192"/>
      <c r="B16" s="557" t="s">
        <v>115</v>
      </c>
      <c r="C16" s="222" t="s">
        <v>1572</v>
      </c>
      <c r="D16" s="250" t="s">
        <v>17</v>
      </c>
      <c r="E16" s="250"/>
      <c r="F16" s="250" t="s">
        <v>304</v>
      </c>
      <c r="G16" s="568" t="s">
        <v>1867</v>
      </c>
      <c r="H16" s="460"/>
    </row>
    <row r="17" spans="1:8" ht="39">
      <c r="A17" s="1192"/>
      <c r="B17" s="557" t="s">
        <v>116</v>
      </c>
      <c r="C17" s="222" t="s">
        <v>1868</v>
      </c>
      <c r="D17" s="250" t="s">
        <v>17</v>
      </c>
      <c r="E17" s="250"/>
      <c r="F17" s="250" t="s">
        <v>304</v>
      </c>
      <c r="G17" s="568" t="s">
        <v>1869</v>
      </c>
      <c r="H17" s="460"/>
    </row>
    <row r="18" spans="1:8" ht="39">
      <c r="A18" s="1192"/>
      <c r="B18" s="557" t="s">
        <v>59</v>
      </c>
      <c r="C18" s="222" t="s">
        <v>1870</v>
      </c>
      <c r="D18" s="250" t="s">
        <v>17</v>
      </c>
      <c r="E18" s="250" t="s">
        <v>1991</v>
      </c>
      <c r="F18" s="250" t="s">
        <v>1763</v>
      </c>
      <c r="G18" s="568" t="s">
        <v>1871</v>
      </c>
      <c r="H18" s="460"/>
    </row>
    <row r="19" spans="1:8" ht="39">
      <c r="A19" s="1192"/>
      <c r="B19" s="557" t="s">
        <v>57</v>
      </c>
      <c r="C19" s="222" t="s">
        <v>1872</v>
      </c>
      <c r="D19" s="250" t="s">
        <v>1780</v>
      </c>
      <c r="E19" s="250"/>
      <c r="F19" s="250" t="s">
        <v>1763</v>
      </c>
      <c r="G19" s="568" t="s">
        <v>1971</v>
      </c>
      <c r="H19" s="460"/>
    </row>
    <row r="20" spans="1:8" ht="21">
      <c r="A20" s="1192"/>
      <c r="B20" s="557" t="s">
        <v>61</v>
      </c>
      <c r="C20" s="222" t="s">
        <v>1873</v>
      </c>
      <c r="D20" s="250" t="s">
        <v>17</v>
      </c>
      <c r="E20" s="250"/>
      <c r="F20" s="250" t="s">
        <v>1763</v>
      </c>
      <c r="G20" s="568" t="s">
        <v>1973</v>
      </c>
      <c r="H20" s="460"/>
    </row>
    <row r="21" spans="1:8" ht="21">
      <c r="A21" s="1193"/>
      <c r="B21" s="557" t="s">
        <v>875</v>
      </c>
      <c r="C21" s="222" t="s">
        <v>1874</v>
      </c>
      <c r="D21" s="250" t="s">
        <v>17</v>
      </c>
      <c r="E21" s="250"/>
      <c r="F21" s="250" t="s">
        <v>1763</v>
      </c>
      <c r="G21" s="568" t="s">
        <v>1972</v>
      </c>
      <c r="H21" s="460"/>
    </row>
    <row r="22" spans="1:8" ht="39">
      <c r="A22" s="1194" t="s">
        <v>1582</v>
      </c>
      <c r="B22" s="559" t="s">
        <v>62</v>
      </c>
      <c r="C22" s="213" t="s">
        <v>1945</v>
      </c>
      <c r="D22" s="168" t="s">
        <v>17</v>
      </c>
      <c r="E22" s="168"/>
      <c r="F22" s="168" t="s">
        <v>1763</v>
      </c>
      <c r="G22" s="211" t="s">
        <v>1974</v>
      </c>
      <c r="H22" s="461" t="s">
        <v>2305</v>
      </c>
    </row>
    <row r="23" spans="1:8" ht="39">
      <c r="A23" s="1195"/>
      <c r="B23" s="559" t="s">
        <v>63</v>
      </c>
      <c r="C23" s="213" t="s">
        <v>1913</v>
      </c>
      <c r="D23" s="168" t="s">
        <v>17</v>
      </c>
      <c r="E23" s="168"/>
      <c r="F23" s="168" t="s">
        <v>1763</v>
      </c>
      <c r="G23" s="211" t="s">
        <v>1913</v>
      </c>
      <c r="H23" s="460"/>
    </row>
    <row r="24" spans="1:8" ht="39">
      <c r="A24" s="1195"/>
      <c r="B24" s="559" t="s">
        <v>64</v>
      </c>
      <c r="C24" s="213" t="s">
        <v>1914</v>
      </c>
      <c r="D24" s="168" t="s">
        <v>17</v>
      </c>
      <c r="E24" s="168"/>
      <c r="F24" s="168" t="s">
        <v>1763</v>
      </c>
      <c r="G24" s="214" t="s">
        <v>1915</v>
      </c>
      <c r="H24" s="460"/>
    </row>
    <row r="25" spans="1:8" ht="58.5">
      <c r="A25" s="1195"/>
      <c r="B25" s="559" t="s">
        <v>66</v>
      </c>
      <c r="C25" s="215" t="s">
        <v>2025</v>
      </c>
      <c r="D25" s="169" t="s">
        <v>17</v>
      </c>
      <c r="E25" s="168"/>
      <c r="F25" s="169" t="s">
        <v>1763</v>
      </c>
      <c r="G25" s="212" t="s">
        <v>1946</v>
      </c>
      <c r="H25" s="461" t="s">
        <v>2305</v>
      </c>
    </row>
    <row r="26" spans="1:8" ht="54">
      <c r="A26" s="1195"/>
      <c r="B26" s="559" t="s">
        <v>876</v>
      </c>
      <c r="C26" s="213" t="s">
        <v>1947</v>
      </c>
      <c r="D26" s="169" t="s">
        <v>17</v>
      </c>
      <c r="E26" s="168"/>
      <c r="F26" s="169" t="s">
        <v>1763</v>
      </c>
      <c r="G26" s="214" t="s">
        <v>1897</v>
      </c>
      <c r="H26" s="461" t="s">
        <v>2305</v>
      </c>
    </row>
    <row r="27" spans="1:8" ht="90">
      <c r="A27" s="1195"/>
      <c r="B27" s="559" t="s">
        <v>67</v>
      </c>
      <c r="C27" s="215" t="s">
        <v>2026</v>
      </c>
      <c r="D27" s="169" t="s">
        <v>17</v>
      </c>
      <c r="E27" s="168"/>
      <c r="F27" s="169" t="s">
        <v>1763</v>
      </c>
      <c r="G27" s="215" t="s">
        <v>2026</v>
      </c>
      <c r="H27" s="460"/>
    </row>
    <row r="28" spans="1:8" ht="90">
      <c r="A28" s="1195"/>
      <c r="B28" s="559" t="s">
        <v>68</v>
      </c>
      <c r="C28" s="213" t="s">
        <v>2027</v>
      </c>
      <c r="D28" s="169" t="s">
        <v>17</v>
      </c>
      <c r="E28" s="168"/>
      <c r="F28" s="169" t="s">
        <v>1763</v>
      </c>
      <c r="G28" s="213" t="s">
        <v>2027</v>
      </c>
      <c r="H28" s="460"/>
    </row>
    <row r="29" spans="1:8" ht="39">
      <c r="A29" s="1195"/>
      <c r="B29" s="559" t="s">
        <v>69</v>
      </c>
      <c r="C29" s="215" t="s">
        <v>1975</v>
      </c>
      <c r="D29" s="169" t="s">
        <v>2000</v>
      </c>
      <c r="E29" s="169" t="s">
        <v>1929</v>
      </c>
      <c r="F29" s="169" t="s">
        <v>1763</v>
      </c>
      <c r="G29" s="212" t="s">
        <v>1898</v>
      </c>
      <c r="H29" s="461" t="s">
        <v>2305</v>
      </c>
    </row>
    <row r="30" spans="1:8" ht="54">
      <c r="A30" s="1195"/>
      <c r="B30" s="559" t="s">
        <v>70</v>
      </c>
      <c r="C30" s="215" t="s">
        <v>1980</v>
      </c>
      <c r="D30" s="169" t="s">
        <v>2000</v>
      </c>
      <c r="E30" s="169"/>
      <c r="F30" s="169" t="s">
        <v>1763</v>
      </c>
      <c r="G30" s="212" t="s">
        <v>1916</v>
      </c>
      <c r="H30" s="460"/>
    </row>
    <row r="31" spans="1:8" ht="72">
      <c r="A31" s="1195"/>
      <c r="B31" s="559" t="s">
        <v>1011</v>
      </c>
      <c r="C31" s="215" t="s">
        <v>2028</v>
      </c>
      <c r="D31" s="169" t="s">
        <v>2000</v>
      </c>
      <c r="E31" s="169"/>
      <c r="F31" s="169" t="s">
        <v>1763</v>
      </c>
      <c r="G31" s="212" t="s">
        <v>1917</v>
      </c>
      <c r="H31" s="462"/>
    </row>
    <row r="32" spans="1:8" ht="62" customHeight="1">
      <c r="A32" s="1195"/>
      <c r="B32" s="559" t="s">
        <v>1012</v>
      </c>
      <c r="C32" s="215" t="s">
        <v>2322</v>
      </c>
      <c r="D32" s="169" t="s">
        <v>17</v>
      </c>
      <c r="E32" s="168" t="s">
        <v>2001</v>
      </c>
      <c r="F32" s="169" t="s">
        <v>1940</v>
      </c>
      <c r="G32" s="214" t="s">
        <v>1875</v>
      </c>
      <c r="H32" s="461" t="s">
        <v>2305</v>
      </c>
    </row>
    <row r="33" spans="1:8" ht="39">
      <c r="A33" s="1195"/>
      <c r="B33" s="559" t="s">
        <v>1013</v>
      </c>
      <c r="C33" s="215" t="s">
        <v>1927</v>
      </c>
      <c r="D33" s="231" t="s">
        <v>17</v>
      </c>
      <c r="E33" s="168" t="s">
        <v>1783</v>
      </c>
      <c r="F33" s="231" t="s">
        <v>304</v>
      </c>
      <c r="G33" s="229" t="s">
        <v>1876</v>
      </c>
      <c r="H33" s="461" t="s">
        <v>2305</v>
      </c>
    </row>
    <row r="34" spans="1:8" ht="54">
      <c r="A34" s="1195"/>
      <c r="B34" s="559" t="s">
        <v>1014</v>
      </c>
      <c r="C34" s="215" t="s">
        <v>2323</v>
      </c>
      <c r="D34" s="231" t="s">
        <v>17</v>
      </c>
      <c r="E34" s="168" t="s">
        <v>1783</v>
      </c>
      <c r="F34" s="231" t="s">
        <v>1763</v>
      </c>
      <c r="G34" s="229" t="s">
        <v>2029</v>
      </c>
      <c r="H34" s="461" t="s">
        <v>2305</v>
      </c>
    </row>
    <row r="35" spans="1:8" ht="54">
      <c r="A35" s="1195"/>
      <c r="B35" s="559" t="s">
        <v>1015</v>
      </c>
      <c r="C35" s="215" t="s">
        <v>2030</v>
      </c>
      <c r="D35" s="251" t="s">
        <v>17</v>
      </c>
      <c r="E35" s="252"/>
      <c r="F35" s="253" t="s">
        <v>304</v>
      </c>
      <c r="G35" s="215" t="s">
        <v>2030</v>
      </c>
      <c r="H35" s="463"/>
    </row>
    <row r="36" spans="1:8" ht="55.25" customHeight="1">
      <c r="A36" s="1195"/>
      <c r="B36" s="559" t="s">
        <v>1016</v>
      </c>
      <c r="C36" s="215" t="s">
        <v>2031</v>
      </c>
      <c r="D36" s="253" t="s">
        <v>17</v>
      </c>
      <c r="E36" s="253"/>
      <c r="F36" s="253" t="s">
        <v>304</v>
      </c>
      <c r="G36" s="229" t="s">
        <v>2032</v>
      </c>
      <c r="H36" s="463"/>
    </row>
    <row r="37" spans="1:8" ht="39">
      <c r="A37" s="1195"/>
      <c r="B37" s="559" t="s">
        <v>1017</v>
      </c>
      <c r="C37" s="215" t="s">
        <v>1918</v>
      </c>
      <c r="D37" s="170" t="s">
        <v>17</v>
      </c>
      <c r="E37" s="170"/>
      <c r="F37" s="170" t="s">
        <v>1763</v>
      </c>
      <c r="G37" s="229" t="s">
        <v>1919</v>
      </c>
      <c r="H37" s="460"/>
    </row>
    <row r="38" spans="1:8" ht="58.5">
      <c r="A38" s="1195"/>
      <c r="B38" s="559" t="s">
        <v>1018</v>
      </c>
      <c r="C38" s="212" t="s">
        <v>2278</v>
      </c>
      <c r="D38" s="170" t="s">
        <v>17</v>
      </c>
      <c r="E38" s="170"/>
      <c r="F38" s="170" t="s">
        <v>1763</v>
      </c>
      <c r="G38" s="212" t="s">
        <v>2278</v>
      </c>
      <c r="H38" s="460"/>
    </row>
    <row r="39" spans="1:8" ht="39">
      <c r="A39" s="1195"/>
      <c r="B39" s="559" t="s">
        <v>1019</v>
      </c>
      <c r="C39" s="215" t="s">
        <v>1921</v>
      </c>
      <c r="D39" s="561" t="s">
        <v>17</v>
      </c>
      <c r="E39" s="561"/>
      <c r="F39" s="170" t="s">
        <v>1763</v>
      </c>
      <c r="G39" s="229" t="s">
        <v>1920</v>
      </c>
      <c r="H39" s="460"/>
    </row>
    <row r="40" spans="1:8" ht="62.75" customHeight="1">
      <c r="A40" s="1195"/>
      <c r="B40" s="559" t="s">
        <v>1020</v>
      </c>
      <c r="C40" s="215" t="s">
        <v>2279</v>
      </c>
      <c r="D40" s="561" t="s">
        <v>17</v>
      </c>
      <c r="E40" s="561"/>
      <c r="F40" s="170" t="s">
        <v>1763</v>
      </c>
      <c r="G40" s="229" t="s">
        <v>2280</v>
      </c>
      <c r="H40" s="460"/>
    </row>
    <row r="41" spans="1:8" ht="54">
      <c r="A41" s="1195"/>
      <c r="B41" s="559" t="s">
        <v>1568</v>
      </c>
      <c r="C41" s="215" t="s">
        <v>2285</v>
      </c>
      <c r="D41" s="169" t="s">
        <v>17</v>
      </c>
      <c r="E41" s="169"/>
      <c r="F41" s="170" t="s">
        <v>1940</v>
      </c>
      <c r="G41" s="215" t="s">
        <v>2285</v>
      </c>
      <c r="H41" s="460"/>
    </row>
    <row r="42" spans="1:8" ht="78">
      <c r="A42" s="1195"/>
      <c r="B42" s="559" t="s">
        <v>1570</v>
      </c>
      <c r="C42" s="215" t="s">
        <v>2286</v>
      </c>
      <c r="D42" s="227" t="s">
        <v>17</v>
      </c>
      <c r="E42" s="169"/>
      <c r="F42" s="170" t="s">
        <v>1940</v>
      </c>
      <c r="G42" s="229" t="s">
        <v>2287</v>
      </c>
      <c r="H42" s="461" t="s">
        <v>2311</v>
      </c>
    </row>
    <row r="43" spans="1:8" ht="36">
      <c r="A43" s="1196"/>
      <c r="B43" s="559" t="s">
        <v>1713</v>
      </c>
      <c r="C43" s="215" t="s">
        <v>1877</v>
      </c>
      <c r="D43" s="227" t="s">
        <v>18</v>
      </c>
      <c r="E43" s="227"/>
      <c r="F43" s="227" t="s">
        <v>1763</v>
      </c>
      <c r="G43" s="229" t="s">
        <v>1877</v>
      </c>
      <c r="H43" s="460"/>
    </row>
    <row r="44" spans="1:8" ht="87.65" customHeight="1">
      <c r="A44" s="1197" t="s">
        <v>1583</v>
      </c>
      <c r="B44" s="562" t="s">
        <v>1788</v>
      </c>
      <c r="C44" s="216" t="s">
        <v>1976</v>
      </c>
      <c r="D44" s="171" t="s">
        <v>17</v>
      </c>
      <c r="E44" s="171"/>
      <c r="F44" s="171" t="s">
        <v>1763</v>
      </c>
      <c r="G44" s="217" t="s">
        <v>1928</v>
      </c>
      <c r="H44" s="461" t="s">
        <v>2300</v>
      </c>
    </row>
    <row r="45" spans="1:8" ht="39">
      <c r="A45" s="1198"/>
      <c r="B45" s="562" t="s">
        <v>1790</v>
      </c>
      <c r="C45" s="216" t="s">
        <v>2033</v>
      </c>
      <c r="D45" s="171" t="s">
        <v>17</v>
      </c>
      <c r="E45" s="171"/>
      <c r="F45" s="171" t="s">
        <v>1763</v>
      </c>
      <c r="G45" s="217" t="s">
        <v>1977</v>
      </c>
      <c r="H45" s="461" t="s">
        <v>2300</v>
      </c>
    </row>
    <row r="46" spans="1:8" ht="37.5">
      <c r="A46" s="1198"/>
      <c r="B46" s="562" t="s">
        <v>1791</v>
      </c>
      <c r="C46" s="216" t="s">
        <v>2034</v>
      </c>
      <c r="D46" s="171" t="s">
        <v>18</v>
      </c>
      <c r="E46" s="171"/>
      <c r="F46" s="171" t="s">
        <v>1763</v>
      </c>
      <c r="G46" s="217" t="s">
        <v>2035</v>
      </c>
      <c r="H46" s="460"/>
    </row>
    <row r="47" spans="1:8" ht="54">
      <c r="A47" s="1198"/>
      <c r="B47" s="562" t="s">
        <v>1792</v>
      </c>
      <c r="C47" s="216" t="s">
        <v>2036</v>
      </c>
      <c r="D47" s="171" t="s">
        <v>17</v>
      </c>
      <c r="E47" s="171"/>
      <c r="F47" s="171" t="s">
        <v>1763</v>
      </c>
      <c r="G47" s="217" t="s">
        <v>2037</v>
      </c>
      <c r="H47" s="460"/>
    </row>
    <row r="48" spans="1:8" ht="78">
      <c r="A48" s="1198"/>
      <c r="B48" s="562" t="s">
        <v>1793</v>
      </c>
      <c r="C48" s="216" t="s">
        <v>2038</v>
      </c>
      <c r="D48" s="171" t="s">
        <v>17</v>
      </c>
      <c r="E48" s="171"/>
      <c r="F48" s="171" t="s">
        <v>1763</v>
      </c>
      <c r="G48" s="217" t="s">
        <v>2039</v>
      </c>
      <c r="H48" s="460"/>
    </row>
    <row r="49" spans="1:8" ht="39">
      <c r="A49" s="1198"/>
      <c r="B49" s="562" t="s">
        <v>1794</v>
      </c>
      <c r="C49" s="216" t="s">
        <v>1922</v>
      </c>
      <c r="D49" s="171" t="s">
        <v>17</v>
      </c>
      <c r="E49" s="171"/>
      <c r="F49" s="171" t="s">
        <v>1763</v>
      </c>
      <c r="G49" s="217" t="s">
        <v>1923</v>
      </c>
      <c r="H49" s="460" t="s">
        <v>1787</v>
      </c>
    </row>
    <row r="50" spans="1:8" ht="39">
      <c r="A50" s="1198"/>
      <c r="B50" s="562" t="s">
        <v>1795</v>
      </c>
      <c r="C50" s="216" t="s">
        <v>1925</v>
      </c>
      <c r="D50" s="256" t="s">
        <v>2000</v>
      </c>
      <c r="E50" s="256"/>
      <c r="F50" s="256" t="s">
        <v>304</v>
      </c>
      <c r="G50" s="217" t="s">
        <v>1924</v>
      </c>
      <c r="H50" s="460" t="s">
        <v>1787</v>
      </c>
    </row>
    <row r="51" spans="1:8" ht="39">
      <c r="A51" s="1198"/>
      <c r="B51" s="562" t="s">
        <v>1797</v>
      </c>
      <c r="C51" s="216" t="s">
        <v>1926</v>
      </c>
      <c r="D51" s="171" t="s">
        <v>17</v>
      </c>
      <c r="E51" s="171"/>
      <c r="F51" s="171" t="s">
        <v>304</v>
      </c>
      <c r="G51" s="217" t="s">
        <v>1878</v>
      </c>
      <c r="H51" s="460"/>
    </row>
    <row r="52" spans="1:8" ht="62" customHeight="1">
      <c r="A52" s="1198"/>
      <c r="B52" s="562" t="s">
        <v>1799</v>
      </c>
      <c r="C52" s="218" t="s">
        <v>1879</v>
      </c>
      <c r="D52" s="171" t="s">
        <v>1912</v>
      </c>
      <c r="E52" s="258"/>
      <c r="F52" s="258" t="s">
        <v>1763</v>
      </c>
      <c r="G52" s="217" t="s">
        <v>1880</v>
      </c>
      <c r="H52" s="460"/>
    </row>
    <row r="53" spans="1:8" ht="58.5">
      <c r="A53" s="1198"/>
      <c r="B53" s="562" t="s">
        <v>1800</v>
      </c>
      <c r="C53" s="218" t="s">
        <v>1899</v>
      </c>
      <c r="D53" s="171" t="s">
        <v>1908</v>
      </c>
      <c r="E53" s="260"/>
      <c r="F53" s="260" t="s">
        <v>1763</v>
      </c>
      <c r="G53" s="217" t="s">
        <v>1881</v>
      </c>
      <c r="H53" s="460"/>
    </row>
    <row r="54" spans="1:8" ht="39">
      <c r="A54" s="1198"/>
      <c r="B54" s="562" t="s">
        <v>1801</v>
      </c>
      <c r="C54" s="218" t="s">
        <v>1882</v>
      </c>
      <c r="D54" s="260" t="s">
        <v>17</v>
      </c>
      <c r="E54" s="260"/>
      <c r="F54" s="260" t="s">
        <v>1763</v>
      </c>
      <c r="G54" s="217" t="s">
        <v>1883</v>
      </c>
      <c r="H54" s="461" t="s">
        <v>2300</v>
      </c>
    </row>
    <row r="55" spans="1:8" ht="39">
      <c r="A55" s="1198"/>
      <c r="B55" s="562" t="s">
        <v>1802</v>
      </c>
      <c r="C55" s="218" t="s">
        <v>1884</v>
      </c>
      <c r="D55" s="260" t="s">
        <v>17</v>
      </c>
      <c r="E55" s="260"/>
      <c r="F55" s="260" t="s">
        <v>1763</v>
      </c>
      <c r="G55" s="217" t="s">
        <v>1885</v>
      </c>
      <c r="H55" s="461" t="s">
        <v>2300</v>
      </c>
    </row>
    <row r="56" spans="1:8" ht="65">
      <c r="A56" s="1198"/>
      <c r="B56" s="562" t="s">
        <v>1803</v>
      </c>
      <c r="C56" s="218" t="s">
        <v>2324</v>
      </c>
      <c r="D56" s="260" t="s">
        <v>17</v>
      </c>
      <c r="E56" s="260"/>
      <c r="F56" s="260" t="s">
        <v>1940</v>
      </c>
      <c r="G56" s="217" t="s">
        <v>2325</v>
      </c>
      <c r="H56" s="461" t="s">
        <v>2306</v>
      </c>
    </row>
    <row r="57" spans="1:8" ht="58.5">
      <c r="A57" s="1198"/>
      <c r="B57" s="562" t="s">
        <v>1805</v>
      </c>
      <c r="C57" s="218" t="s">
        <v>2326</v>
      </c>
      <c r="D57" s="260"/>
      <c r="E57" s="260"/>
      <c r="F57" s="260"/>
      <c r="G57" s="217" t="s">
        <v>2327</v>
      </c>
      <c r="H57" s="461"/>
    </row>
    <row r="58" spans="1:8" ht="54">
      <c r="A58" s="1198"/>
      <c r="B58" s="562" t="s">
        <v>1807</v>
      </c>
      <c r="C58" s="218" t="s">
        <v>2194</v>
      </c>
      <c r="D58" s="260" t="s">
        <v>17</v>
      </c>
      <c r="E58" s="260"/>
      <c r="F58" s="260" t="s">
        <v>1763</v>
      </c>
      <c r="G58" s="255" t="s">
        <v>2180</v>
      </c>
      <c r="H58" s="461" t="s">
        <v>2300</v>
      </c>
    </row>
    <row r="59" spans="1:8" ht="36">
      <c r="A59" s="1199"/>
      <c r="B59" s="562" t="s">
        <v>1809</v>
      </c>
      <c r="C59" s="218" t="s">
        <v>1886</v>
      </c>
      <c r="D59" s="260" t="s">
        <v>18</v>
      </c>
      <c r="E59" s="260"/>
      <c r="F59" s="260" t="s">
        <v>1763</v>
      </c>
      <c r="G59" s="217" t="s">
        <v>1887</v>
      </c>
      <c r="H59" s="460"/>
    </row>
    <row r="60" spans="1:8" ht="39">
      <c r="A60" s="1200" t="s">
        <v>1584</v>
      </c>
      <c r="B60" s="564" t="s">
        <v>1812</v>
      </c>
      <c r="C60" s="219" t="s">
        <v>1888</v>
      </c>
      <c r="D60" s="261" t="s">
        <v>17</v>
      </c>
      <c r="E60" s="261"/>
      <c r="F60" s="261" t="s">
        <v>2015</v>
      </c>
      <c r="G60" s="221" t="s">
        <v>1889</v>
      </c>
      <c r="H60" s="460"/>
    </row>
    <row r="61" spans="1:8" ht="36">
      <c r="A61" s="1201"/>
      <c r="B61" s="564" t="s">
        <v>1815</v>
      </c>
      <c r="C61" s="219" t="s">
        <v>1978</v>
      </c>
      <c r="D61" s="261" t="s">
        <v>17</v>
      </c>
      <c r="E61" s="261"/>
      <c r="F61" s="261" t="s">
        <v>2015</v>
      </c>
      <c r="G61" s="221" t="s">
        <v>1978</v>
      </c>
      <c r="H61" s="460"/>
    </row>
    <row r="62" spans="1:8" ht="21">
      <c r="A62" s="1201"/>
      <c r="B62" s="564" t="s">
        <v>1817</v>
      </c>
      <c r="C62" s="219" t="s">
        <v>1890</v>
      </c>
      <c r="D62" s="263" t="s">
        <v>17</v>
      </c>
      <c r="E62" s="263"/>
      <c r="F62" s="263" t="s">
        <v>304</v>
      </c>
      <c r="G62" s="221" t="s">
        <v>1890</v>
      </c>
      <c r="H62" s="460"/>
    </row>
    <row r="63" spans="1:8" ht="56.75" customHeight="1">
      <c r="A63" s="1201"/>
      <c r="B63" s="564" t="s">
        <v>1818</v>
      </c>
      <c r="C63" s="219" t="s">
        <v>1891</v>
      </c>
      <c r="D63" s="263" t="s">
        <v>17</v>
      </c>
      <c r="E63" s="263"/>
      <c r="F63" s="261" t="s">
        <v>2015</v>
      </c>
      <c r="G63" s="221" t="s">
        <v>1892</v>
      </c>
      <c r="H63" s="460"/>
    </row>
    <row r="64" spans="1:8" ht="56.75" customHeight="1">
      <c r="A64" s="1201"/>
      <c r="B64" s="564" t="s">
        <v>1819</v>
      </c>
      <c r="C64" s="219" t="s">
        <v>1979</v>
      </c>
      <c r="D64" s="263" t="s">
        <v>17</v>
      </c>
      <c r="E64" s="263"/>
      <c r="F64" s="261" t="s">
        <v>2015</v>
      </c>
      <c r="G64" s="221" t="s">
        <v>1979</v>
      </c>
      <c r="H64" s="460"/>
    </row>
    <row r="65" spans="1:8" ht="56.75" customHeight="1">
      <c r="A65" s="1201"/>
      <c r="B65" s="564" t="s">
        <v>1820</v>
      </c>
      <c r="C65" s="220" t="s">
        <v>1900</v>
      </c>
      <c r="D65" s="263" t="s">
        <v>17</v>
      </c>
      <c r="E65" s="263"/>
      <c r="F65" s="263" t="s">
        <v>1763</v>
      </c>
      <c r="G65" s="221" t="s">
        <v>1901</v>
      </c>
      <c r="H65" s="461" t="s">
        <v>2307</v>
      </c>
    </row>
    <row r="66" spans="1:8" ht="51" customHeight="1">
      <c r="A66" s="1201"/>
      <c r="B66" s="564" t="s">
        <v>1954</v>
      </c>
      <c r="C66" s="220" t="s">
        <v>1902</v>
      </c>
      <c r="D66" s="263" t="s">
        <v>17</v>
      </c>
      <c r="E66" s="263"/>
      <c r="F66" s="263" t="s">
        <v>1763</v>
      </c>
      <c r="G66" s="221" t="s">
        <v>1893</v>
      </c>
      <c r="H66" s="461" t="s">
        <v>2307</v>
      </c>
    </row>
    <row r="67" spans="1:8" ht="44.25" customHeight="1">
      <c r="A67" s="1201"/>
      <c r="B67" s="564" t="s">
        <v>1955</v>
      </c>
      <c r="C67" s="220" t="s">
        <v>1894</v>
      </c>
      <c r="D67" s="230" t="s">
        <v>17</v>
      </c>
      <c r="E67" s="230"/>
      <c r="F67" s="263" t="s">
        <v>1763</v>
      </c>
      <c r="G67" s="221" t="s">
        <v>1894</v>
      </c>
      <c r="H67" s="461" t="s">
        <v>2307</v>
      </c>
    </row>
    <row r="68" spans="1:8" ht="72">
      <c r="A68" s="1201"/>
      <c r="B68" s="564" t="s">
        <v>2018</v>
      </c>
      <c r="C68" s="220" t="s">
        <v>2328</v>
      </c>
      <c r="D68" s="230" t="s">
        <v>17</v>
      </c>
      <c r="E68" s="230"/>
      <c r="F68" s="263" t="s">
        <v>1763</v>
      </c>
      <c r="G68" s="221" t="s">
        <v>2328</v>
      </c>
      <c r="H68" s="461" t="s">
        <v>2307</v>
      </c>
    </row>
    <row r="69" spans="1:8" ht="39">
      <c r="A69" s="1201"/>
      <c r="B69" s="564" t="s">
        <v>2021</v>
      </c>
      <c r="C69" s="220" t="s">
        <v>1895</v>
      </c>
      <c r="D69" s="230" t="s">
        <v>1907</v>
      </c>
      <c r="E69" s="230"/>
      <c r="F69" s="230" t="s">
        <v>1940</v>
      </c>
      <c r="G69" s="221" t="s">
        <v>1895</v>
      </c>
      <c r="H69" s="263"/>
    </row>
    <row r="70" spans="1:8" ht="58.5">
      <c r="A70" s="1201"/>
      <c r="B70" s="564" t="s">
        <v>2023</v>
      </c>
      <c r="C70" s="220" t="s">
        <v>2040</v>
      </c>
      <c r="D70" s="230" t="s">
        <v>17</v>
      </c>
      <c r="E70" s="230"/>
      <c r="F70" s="230" t="s">
        <v>1940</v>
      </c>
      <c r="G70" s="221" t="s">
        <v>2040</v>
      </c>
      <c r="H70" s="460"/>
    </row>
    <row r="71" spans="1:8" ht="36">
      <c r="A71" s="1201"/>
      <c r="B71" s="564" t="s">
        <v>2185</v>
      </c>
      <c r="C71" s="220" t="s">
        <v>2041</v>
      </c>
      <c r="D71" s="265" t="s">
        <v>52</v>
      </c>
      <c r="E71" s="265"/>
      <c r="F71" s="230" t="s">
        <v>304</v>
      </c>
      <c r="G71" s="221" t="s">
        <v>2041</v>
      </c>
      <c r="H71" s="463"/>
    </row>
    <row r="72" spans="1:8" ht="54.75" customHeight="1">
      <c r="A72" s="1202"/>
      <c r="B72" s="564" t="s">
        <v>2186</v>
      </c>
      <c r="C72" s="220" t="s">
        <v>1896</v>
      </c>
      <c r="D72" s="265" t="s">
        <v>18</v>
      </c>
      <c r="E72" s="265"/>
      <c r="F72" s="265" t="s">
        <v>1763</v>
      </c>
      <c r="G72" s="221" t="s">
        <v>1896</v>
      </c>
      <c r="H72" s="463"/>
    </row>
    <row r="73" spans="1:8" ht="78">
      <c r="A73" s="1203" t="s">
        <v>2226</v>
      </c>
      <c r="B73" s="566" t="s">
        <v>2187</v>
      </c>
      <c r="C73" s="490" t="s">
        <v>2195</v>
      </c>
      <c r="D73" s="486" t="s">
        <v>52</v>
      </c>
      <c r="F73" s="486" t="s">
        <v>1763</v>
      </c>
      <c r="G73" s="490" t="s">
        <v>2195</v>
      </c>
      <c r="H73" s="459"/>
    </row>
    <row r="74" spans="1:8" ht="54.75" customHeight="1">
      <c r="A74" s="1204"/>
      <c r="B74" s="566" t="s">
        <v>2188</v>
      </c>
      <c r="C74" s="490" t="s">
        <v>2196</v>
      </c>
      <c r="D74" s="486" t="s">
        <v>52</v>
      </c>
      <c r="F74" s="486" t="s">
        <v>1763</v>
      </c>
      <c r="G74" s="490" t="s">
        <v>2196</v>
      </c>
      <c r="H74" s="459"/>
    </row>
    <row r="75" spans="1:8" ht="58.5">
      <c r="A75" s="1204"/>
      <c r="B75" s="566" t="s">
        <v>2189</v>
      </c>
      <c r="C75" s="490" t="s">
        <v>2198</v>
      </c>
      <c r="D75" s="486" t="s">
        <v>17</v>
      </c>
      <c r="F75" s="486" t="s">
        <v>1763</v>
      </c>
      <c r="G75" s="490" t="s">
        <v>2198</v>
      </c>
      <c r="H75" s="459"/>
    </row>
    <row r="76" spans="1:8" ht="58.5">
      <c r="A76" s="1205"/>
      <c r="B76" s="566" t="s">
        <v>2273</v>
      </c>
      <c r="C76" s="490" t="s">
        <v>2197</v>
      </c>
      <c r="D76" s="486" t="s">
        <v>52</v>
      </c>
      <c r="F76" s="486" t="s">
        <v>1763</v>
      </c>
      <c r="G76" s="490" t="s">
        <v>2197</v>
      </c>
      <c r="H76" s="459"/>
    </row>
    <row r="77" spans="1:8" ht="39">
      <c r="A77" s="1188" t="s">
        <v>2277</v>
      </c>
      <c r="B77" s="514" t="s">
        <v>2274</v>
      </c>
      <c r="C77" s="487" t="s">
        <v>2270</v>
      </c>
      <c r="D77" s="487" t="s">
        <v>17</v>
      </c>
      <c r="E77" s="487" t="s">
        <v>2262</v>
      </c>
      <c r="F77" s="515"/>
      <c r="G77" s="487"/>
      <c r="H77" s="461" t="s">
        <v>2312</v>
      </c>
    </row>
    <row r="78" spans="1:8" ht="39">
      <c r="A78" s="1189"/>
      <c r="B78" s="514" t="s">
        <v>2275</v>
      </c>
      <c r="C78" s="487" t="s">
        <v>2271</v>
      </c>
      <c r="D78" s="487" t="s">
        <v>17</v>
      </c>
      <c r="E78" s="487" t="s">
        <v>2262</v>
      </c>
      <c r="F78" s="515"/>
      <c r="G78" s="487"/>
      <c r="H78" s="461" t="s">
        <v>2312</v>
      </c>
    </row>
    <row r="79" spans="1:8" ht="26">
      <c r="A79" s="1189"/>
      <c r="B79" s="514" t="s">
        <v>2321</v>
      </c>
      <c r="C79" s="487" t="s">
        <v>2272</v>
      </c>
      <c r="D79" s="487" t="s">
        <v>17</v>
      </c>
      <c r="E79" s="487" t="s">
        <v>2262</v>
      </c>
      <c r="F79" s="515"/>
      <c r="G79" s="487"/>
      <c r="H79" s="461" t="s">
        <v>2312</v>
      </c>
    </row>
    <row r="80" spans="1:8" ht="45" customHeight="1">
      <c r="A80" s="1206" t="s">
        <v>2747</v>
      </c>
      <c r="B80" s="781" t="s">
        <v>1815</v>
      </c>
      <c r="C80" s="782" t="s">
        <v>2735</v>
      </c>
      <c r="D80" s="782" t="s">
        <v>17</v>
      </c>
      <c r="E80" s="783"/>
      <c r="F80" s="783"/>
      <c r="G80" s="783"/>
    </row>
    <row r="81" spans="1:7" ht="45" customHeight="1">
      <c r="A81" s="1206"/>
      <c r="B81" s="781" t="s">
        <v>1817</v>
      </c>
      <c r="C81" s="782" t="s">
        <v>2736</v>
      </c>
      <c r="D81" s="782" t="s">
        <v>17</v>
      </c>
      <c r="E81" s="783"/>
      <c r="F81" s="783"/>
      <c r="G81" s="783"/>
    </row>
    <row r="82" spans="1:7" ht="45" customHeight="1">
      <c r="A82" s="1206"/>
      <c r="B82" s="781" t="s">
        <v>1818</v>
      </c>
      <c r="C82" s="782" t="s">
        <v>2737</v>
      </c>
      <c r="D82" s="782" t="s">
        <v>19</v>
      </c>
      <c r="E82" s="783"/>
      <c r="F82" s="783"/>
      <c r="G82" s="783"/>
    </row>
    <row r="83" spans="1:7" ht="45" customHeight="1">
      <c r="A83" s="1206"/>
      <c r="B83" s="781" t="s">
        <v>1819</v>
      </c>
      <c r="C83" s="782" t="s">
        <v>2738</v>
      </c>
      <c r="D83" s="782" t="s">
        <v>18</v>
      </c>
      <c r="E83" s="783"/>
      <c r="F83" s="783"/>
      <c r="G83" s="783"/>
    </row>
    <row r="84" spans="1:7" ht="45" customHeight="1">
      <c r="C84" s="271" t="s">
        <v>1280</v>
      </c>
    </row>
  </sheetData>
  <mergeCells count="8">
    <mergeCell ref="A80:A83"/>
    <mergeCell ref="A77:A79"/>
    <mergeCell ref="B1:G1"/>
    <mergeCell ref="A3:A21"/>
    <mergeCell ref="A22:A43"/>
    <mergeCell ref="A44:A59"/>
    <mergeCell ref="A60:A72"/>
    <mergeCell ref="A73:A76"/>
  </mergeCells>
  <pageMargins left="0" right="0" top="0.25" bottom="0.25" header="0.3" footer="0.3"/>
  <pageSetup scale="65" orientation="portrait" r:id="rId1"/>
  <rowBreaks count="3" manualBreakCount="3">
    <brk id="25" min="1" max="6" man="1"/>
    <brk id="48" min="1" max="6" man="1"/>
    <brk id="7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C8FBE-84E1-48DD-AD94-366424E2B928}">
  <sheetPr>
    <tabColor rgb="FF92D050"/>
  </sheetPr>
  <dimension ref="A1:G11"/>
  <sheetViews>
    <sheetView view="pageBreakPreview" topLeftCell="A6" zoomScale="89" zoomScaleNormal="85" zoomScaleSheetLayoutView="89" workbookViewId="0">
      <selection activeCell="E11" sqref="E11"/>
    </sheetView>
  </sheetViews>
  <sheetFormatPr defaultColWidth="6.6640625" defaultRowHeight="15.5"/>
  <cols>
    <col min="1" max="1" width="10.6640625" style="172" customWidth="1"/>
    <col min="2" max="2" width="45.5" style="172" customWidth="1"/>
    <col min="3" max="3" width="19" style="172" customWidth="1"/>
    <col min="4" max="4" width="63.5" style="172" customWidth="1"/>
    <col min="5" max="5" width="40.6640625" style="174" customWidth="1"/>
    <col min="6" max="6" width="25.1640625" style="174" customWidth="1"/>
    <col min="7" max="16384" width="6.6640625" style="174"/>
  </cols>
  <sheetData>
    <row r="1" spans="1:7">
      <c r="B1" s="173"/>
      <c r="C1" s="173"/>
      <c r="D1" s="173"/>
    </row>
    <row r="2" spans="1:7" ht="37">
      <c r="A2" s="175" t="s">
        <v>73</v>
      </c>
      <c r="B2" s="175" t="s">
        <v>3136</v>
      </c>
      <c r="C2" s="175" t="s">
        <v>74</v>
      </c>
      <c r="D2" s="175" t="s">
        <v>75</v>
      </c>
      <c r="E2" s="175" t="s">
        <v>1008</v>
      </c>
      <c r="F2" s="175" t="s">
        <v>76</v>
      </c>
    </row>
    <row r="3" spans="1:7" ht="243" customHeight="1">
      <c r="A3" s="176" t="s">
        <v>1021</v>
      </c>
      <c r="B3" s="176" t="s">
        <v>2291</v>
      </c>
      <c r="C3" s="176" t="s">
        <v>2357</v>
      </c>
      <c r="D3" s="177" t="s">
        <v>3159</v>
      </c>
      <c r="E3" s="176" t="s">
        <v>1821</v>
      </c>
      <c r="F3" s="176" t="s">
        <v>2304</v>
      </c>
    </row>
    <row r="4" spans="1:7" ht="111">
      <c r="A4" s="178" t="s">
        <v>1022</v>
      </c>
      <c r="B4" s="178" t="s">
        <v>2292</v>
      </c>
      <c r="C4" s="178" t="s">
        <v>3158</v>
      </c>
      <c r="D4" s="178" t="s">
        <v>3157</v>
      </c>
      <c r="E4" s="178" t="s">
        <v>2303</v>
      </c>
      <c r="F4" s="178" t="s">
        <v>2304</v>
      </c>
    </row>
    <row r="5" spans="1:7" ht="195.75" customHeight="1">
      <c r="A5" s="179" t="s">
        <v>1267</v>
      </c>
      <c r="B5" s="179" t="s">
        <v>2293</v>
      </c>
      <c r="C5" s="179" t="s">
        <v>2329</v>
      </c>
      <c r="D5" s="179" t="s">
        <v>2330</v>
      </c>
      <c r="E5" s="179" t="s">
        <v>2072</v>
      </c>
      <c r="F5" s="179" t="s">
        <v>2304</v>
      </c>
    </row>
    <row r="6" spans="1:7" ht="148">
      <c r="A6" s="528" t="s">
        <v>2296</v>
      </c>
      <c r="B6" s="528" t="s">
        <v>2294</v>
      </c>
      <c r="C6" s="528" t="s">
        <v>2331</v>
      </c>
      <c r="D6" s="528" t="s">
        <v>2298</v>
      </c>
      <c r="E6" s="528" t="s">
        <v>2310</v>
      </c>
      <c r="F6" s="528" t="s">
        <v>2304</v>
      </c>
    </row>
    <row r="7" spans="1:7" ht="92.5">
      <c r="A7" s="527" t="s">
        <v>2297</v>
      </c>
      <c r="B7" s="527" t="s">
        <v>3156</v>
      </c>
      <c r="C7" s="527" t="s">
        <v>3155</v>
      </c>
      <c r="D7" s="527" t="s">
        <v>3154</v>
      </c>
      <c r="E7" s="527" t="s">
        <v>3150</v>
      </c>
      <c r="F7" s="527" t="s">
        <v>2304</v>
      </c>
    </row>
    <row r="8" spans="1:7" s="172" customFormat="1" ht="74">
      <c r="A8" s="527" t="s">
        <v>3153</v>
      </c>
      <c r="B8" s="527" t="s">
        <v>2761</v>
      </c>
      <c r="C8" s="527" t="s">
        <v>3152</v>
      </c>
      <c r="D8" s="527" t="s">
        <v>3151</v>
      </c>
      <c r="E8" s="527" t="s">
        <v>3150</v>
      </c>
      <c r="F8" s="527" t="s">
        <v>2304</v>
      </c>
      <c r="G8" s="180"/>
    </row>
    <row r="9" spans="1:7" s="172" customFormat="1"/>
    <row r="10" spans="1:7">
      <c r="E10" s="172"/>
      <c r="F10" s="172"/>
    </row>
    <row r="11" spans="1:7">
      <c r="E11" s="172"/>
      <c r="F11" s="172"/>
    </row>
  </sheetData>
  <pageMargins left="0" right="0" top="0.5" bottom="0.5" header="0.3" footer="0.3"/>
  <pageSetup scale="58" orientation="landscape" r:id="rId1"/>
  <rowBreaks count="1" manualBreakCount="1">
    <brk id="8" max="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236"/>
  <sheetViews>
    <sheetView showGridLines="0" topLeftCell="B2" zoomScale="60" zoomScaleNormal="60" workbookViewId="0">
      <pane xSplit="5" ySplit="23" topLeftCell="G108" activePane="bottomRight" state="frozen"/>
      <selection activeCell="B2" sqref="B2"/>
      <selection pane="topRight" activeCell="G2" sqref="G2"/>
      <selection pane="bottomLeft" activeCell="B25" sqref="B25"/>
      <selection pane="bottomRight" activeCell="C114" sqref="C114:C126"/>
    </sheetView>
  </sheetViews>
  <sheetFormatPr defaultColWidth="9" defaultRowHeight="15.5"/>
  <cols>
    <col min="1" max="1" width="17.08203125" style="59" bestFit="1" customWidth="1"/>
    <col min="2" max="2" width="10.6640625" style="59" customWidth="1"/>
    <col min="3" max="3" width="39.4140625" style="59" customWidth="1"/>
    <col min="4" max="4" width="16.9140625" style="59" customWidth="1"/>
    <col min="5" max="5" width="20.4140625" style="59" customWidth="1"/>
    <col min="6" max="6" width="17.1640625" style="59" customWidth="1"/>
    <col min="7" max="7" width="14.4140625" style="59" customWidth="1"/>
    <col min="8" max="8" width="13.08203125" style="59" customWidth="1"/>
    <col min="9" max="9" width="15.58203125" style="59" customWidth="1"/>
    <col min="10" max="10" width="14.4140625" style="59" customWidth="1"/>
    <col min="11" max="11" width="12.83203125" style="59" customWidth="1"/>
    <col min="12" max="12" width="15.6640625" style="59" customWidth="1"/>
    <col min="13" max="13" width="9.6640625" style="59" customWidth="1"/>
    <col min="14" max="14" width="10.58203125" style="59" customWidth="1"/>
    <col min="15" max="15" width="12.83203125" style="59" customWidth="1"/>
    <col min="16" max="16" width="9.58203125" style="59" customWidth="1"/>
    <col min="17" max="17" width="25.33203125" style="59" customWidth="1"/>
    <col min="18" max="18" width="17.08203125" style="59" customWidth="1"/>
    <col min="19" max="19" width="19" style="59" customWidth="1"/>
    <col min="20" max="21" width="16.08203125" style="59" customWidth="1"/>
    <col min="22" max="22" width="21.58203125" style="59" customWidth="1"/>
    <col min="23" max="23" width="19.1640625" style="59" bestFit="1" customWidth="1"/>
    <col min="24" max="24" width="11.5" style="59" customWidth="1"/>
    <col min="25" max="25" width="13" style="59" bestFit="1" customWidth="1"/>
    <col min="26" max="30" width="14.58203125" style="59" customWidth="1"/>
    <col min="31" max="37" width="9.1640625" style="59" customWidth="1"/>
    <col min="38" max="38" width="16.58203125" style="59" customWidth="1"/>
    <col min="39" max="39" width="16.6640625" style="59" customWidth="1"/>
    <col min="40" max="40" width="9.1640625" style="59" customWidth="1"/>
    <col min="41" max="41" width="24.5" style="59" customWidth="1"/>
    <col min="42" max="42" width="22.1640625" style="59" customWidth="1"/>
    <col min="43" max="43" width="19.1640625" style="59" bestFit="1" customWidth="1"/>
    <col min="44" max="44" width="9.1640625" style="59" customWidth="1"/>
    <col min="45" max="45" width="23" style="59" customWidth="1"/>
    <col min="46" max="46" width="9.1640625" style="59" customWidth="1"/>
    <col min="47" max="47" width="10.1640625" style="59" customWidth="1"/>
    <col min="48" max="16384" width="9" style="59"/>
  </cols>
  <sheetData>
    <row r="1" spans="1:35" ht="50.5" customHeight="1">
      <c r="C1" s="677" t="s">
        <v>2075</v>
      </c>
      <c r="D1" s="678" t="s">
        <v>2076</v>
      </c>
      <c r="E1" s="679" t="s">
        <v>2077</v>
      </c>
      <c r="F1" s="680" t="s">
        <v>2348</v>
      </c>
      <c r="G1" s="681" t="s">
        <v>2349</v>
      </c>
      <c r="H1" s="681" t="s">
        <v>2846</v>
      </c>
      <c r="I1" s="682" t="s">
        <v>2094</v>
      </c>
      <c r="J1" s="682" t="s">
        <v>2097</v>
      </c>
      <c r="K1" s="682" t="s">
        <v>2096</v>
      </c>
      <c r="L1" s="683" t="s">
        <v>2850</v>
      </c>
      <c r="M1" s="683" t="s">
        <v>2851</v>
      </c>
      <c r="N1" s="683" t="s">
        <v>2343</v>
      </c>
      <c r="O1" s="683" t="s">
        <v>2849</v>
      </c>
    </row>
    <row r="2" spans="1:35">
      <c r="A2" s="1210" t="s">
        <v>2639</v>
      </c>
      <c r="B2" s="671" t="s">
        <v>37</v>
      </c>
      <c r="C2" s="672">
        <f>'HRP ref'!C4</f>
        <v>70011.718518518508</v>
      </c>
      <c r="D2" s="672">
        <f>'HRP ref'!D4</f>
        <v>79820</v>
      </c>
      <c r="E2" s="672">
        <f>'HRP ref'!E4</f>
        <v>83166</v>
      </c>
      <c r="F2" s="672">
        <f>'HRP ref'!F4</f>
        <v>1339</v>
      </c>
      <c r="G2" s="672">
        <f>'HRP ref'!G4</f>
        <v>20217</v>
      </c>
      <c r="H2" s="672">
        <f>'HRP ref'!H4</f>
        <v>4395</v>
      </c>
      <c r="I2" s="672">
        <f>'HRP ref'!I4</f>
        <v>57196</v>
      </c>
      <c r="J2" s="672">
        <f>'HRP ref'!J4</f>
        <v>75470</v>
      </c>
      <c r="K2" s="672">
        <f>'HRP ref'!K4</f>
        <v>58801</v>
      </c>
      <c r="L2" s="672">
        <f>'HRP ref'!L4</f>
        <v>19834</v>
      </c>
      <c r="M2" s="672">
        <f>'HRP ref'!M4</f>
        <v>295</v>
      </c>
      <c r="N2" s="672">
        <f>'HRP ref'!N4</f>
        <v>1154</v>
      </c>
      <c r="O2" s="672">
        <f>'HRP ref'!O4</f>
        <v>4300</v>
      </c>
    </row>
    <row r="3" spans="1:35">
      <c r="A3" s="1211"/>
      <c r="B3" s="671" t="s">
        <v>515</v>
      </c>
      <c r="C3" s="673">
        <f>'HRP ref'!S4</f>
        <v>9907.3333333333321</v>
      </c>
      <c r="D3" s="673">
        <f>'HRP ref'!T4</f>
        <v>11712</v>
      </c>
      <c r="E3" s="673">
        <f>'HRP ref'!U4</f>
        <v>8238</v>
      </c>
      <c r="F3" s="673">
        <f>'HRP ref'!V4</f>
        <v>0</v>
      </c>
      <c r="G3" s="673">
        <f>'HRP ref'!W4</f>
        <v>2223</v>
      </c>
      <c r="H3" s="673">
        <f>'HRP ref'!X4</f>
        <v>0</v>
      </c>
      <c r="I3" s="673">
        <f>'HRP ref'!Y4</f>
        <v>6244</v>
      </c>
      <c r="J3" s="673">
        <f>'HRP ref'!Z4</f>
        <v>6768</v>
      </c>
      <c r="K3" s="673">
        <f>'HRP ref'!AA4</f>
        <v>7091</v>
      </c>
      <c r="L3" s="673">
        <f>'HRP ref'!AB4</f>
        <v>2223</v>
      </c>
      <c r="M3" s="673">
        <f>'HRP ref'!AC4</f>
        <v>0</v>
      </c>
      <c r="N3" s="673">
        <f>'HRP ref'!AD4</f>
        <v>0</v>
      </c>
      <c r="O3" s="673">
        <f>'HRP ref'!AE4</f>
        <v>0</v>
      </c>
      <c r="S3" s="59">
        <f>S100/$P$100</f>
        <v>0.47492578029312149</v>
      </c>
      <c r="T3" s="59">
        <f t="shared" ref="T3:X3" si="0">T100/$P$100</f>
        <v>0.52507421970687851</v>
      </c>
      <c r="U3" s="59">
        <f t="shared" si="0"/>
        <v>0.3670170845172116</v>
      </c>
      <c r="V3" s="59">
        <f t="shared" si="0"/>
        <v>0.54591068499522499</v>
      </c>
      <c r="W3" s="59">
        <f t="shared" si="0"/>
        <v>8.7072230487563448E-2</v>
      </c>
      <c r="X3" s="59">
        <f t="shared" si="0"/>
        <v>0.17127672100970728</v>
      </c>
    </row>
    <row r="4" spans="1:35">
      <c r="A4" s="674"/>
      <c r="B4" s="675"/>
      <c r="C4" s="676"/>
      <c r="D4" s="676"/>
      <c r="E4" s="676"/>
      <c r="F4" s="676"/>
      <c r="G4" s="676"/>
      <c r="H4" s="676"/>
      <c r="I4" s="676"/>
      <c r="J4" s="676"/>
      <c r="K4" s="676"/>
      <c r="L4" s="676"/>
      <c r="M4" s="676"/>
      <c r="N4" s="676"/>
      <c r="S4" s="59">
        <f>S81/$P$81</f>
        <v>0.48570274592719415</v>
      </c>
      <c r="T4" s="59">
        <f t="shared" ref="T4:X4" si="1">T81/$P$81</f>
        <v>0.5142972540728058</v>
      </c>
      <c r="U4" s="59">
        <f t="shared" si="1"/>
        <v>0.37714043450850776</v>
      </c>
      <c r="V4" s="59">
        <f t="shared" si="1"/>
        <v>0.54665233371505595</v>
      </c>
      <c r="W4" s="59">
        <f t="shared" si="1"/>
        <v>7.620723177643636E-2</v>
      </c>
      <c r="X4" s="59">
        <f t="shared" si="1"/>
        <v>0.14894009064201708</v>
      </c>
    </row>
    <row r="5" spans="1:35" s="60" customFormat="1" hidden="1">
      <c r="A5" s="370" t="s">
        <v>34</v>
      </c>
      <c r="B5" s="59" t="s">
        <v>34</v>
      </c>
      <c r="AB5" s="59"/>
      <c r="AC5" s="59"/>
      <c r="AD5" s="59"/>
      <c r="AF5" s="59"/>
      <c r="AH5" s="59"/>
    </row>
    <row r="6" spans="1:35" hidden="1">
      <c r="A6" s="370" t="s">
        <v>134</v>
      </c>
      <c r="B6" s="59" t="s">
        <v>1284</v>
      </c>
    </row>
    <row r="7" spans="1:35" s="669" customFormat="1" hidden="1">
      <c r="A7" s="668"/>
      <c r="B7" s="668"/>
      <c r="AB7" s="668"/>
      <c r="AC7" s="668"/>
      <c r="AD7" s="668"/>
      <c r="AF7" s="668"/>
    </row>
    <row r="8" spans="1:35" ht="93.5" hidden="1" thickBot="1">
      <c r="C8" s="1013" t="s">
        <v>1294</v>
      </c>
      <c r="D8" s="1014" t="s">
        <v>2075</v>
      </c>
      <c r="E8" s="1015" t="s">
        <v>2076</v>
      </c>
      <c r="F8" s="1016" t="s">
        <v>2077</v>
      </c>
      <c r="G8" s="1022" t="s">
        <v>2348</v>
      </c>
      <c r="H8" s="1023" t="s">
        <v>2349</v>
      </c>
      <c r="I8" s="1019" t="s">
        <v>2094</v>
      </c>
      <c r="J8" s="1019" t="s">
        <v>2097</v>
      </c>
      <c r="K8" s="1019" t="s">
        <v>2096</v>
      </c>
      <c r="L8" s="88" t="s">
        <v>2358</v>
      </c>
      <c r="M8"/>
      <c r="N8"/>
      <c r="P8" s="60"/>
      <c r="Q8" s="696"/>
      <c r="R8" s="696"/>
      <c r="S8" s="697"/>
      <c r="T8" s="697"/>
      <c r="U8" s="697"/>
      <c r="V8" s="698"/>
      <c r="W8"/>
      <c r="X8"/>
      <c r="Y8"/>
      <c r="AB8"/>
      <c r="AC8"/>
      <c r="AD8"/>
      <c r="AE8"/>
      <c r="AF8"/>
      <c r="AG8"/>
      <c r="AH8"/>
      <c r="AI8" s="370"/>
    </row>
    <row r="9" spans="1:35" hidden="1">
      <c r="A9" s="59" t="s">
        <v>37</v>
      </c>
      <c r="B9" s="59" t="s">
        <v>2763</v>
      </c>
      <c r="C9" s="1012">
        <v>97010</v>
      </c>
      <c r="D9" s="1009">
        <v>55287.718518518515</v>
      </c>
      <c r="E9" s="1010">
        <v>67519</v>
      </c>
      <c r="F9" s="1011">
        <v>66410</v>
      </c>
      <c r="G9" s="1020">
        <v>633</v>
      </c>
      <c r="H9" s="1021">
        <v>16395</v>
      </c>
      <c r="I9" s="1018">
        <v>25876</v>
      </c>
      <c r="J9" s="1018">
        <v>61780</v>
      </c>
      <c r="K9" s="1018">
        <v>35790</v>
      </c>
      <c r="L9" s="61">
        <v>604</v>
      </c>
      <c r="M9"/>
      <c r="N9"/>
      <c r="P9" s="595"/>
      <c r="Q9" s="699"/>
      <c r="R9" s="699"/>
      <c r="S9" s="700"/>
      <c r="T9" s="700"/>
      <c r="U9" s="700"/>
      <c r="V9" s="701"/>
      <c r="W9"/>
      <c r="X9"/>
      <c r="Y9"/>
      <c r="AB9"/>
      <c r="AC9"/>
      <c r="AD9"/>
      <c r="AE9"/>
      <c r="AF9"/>
      <c r="AG9"/>
      <c r="AH9"/>
    </row>
    <row r="10" spans="1:35" hidden="1">
      <c r="B10" s="59" t="s">
        <v>2764</v>
      </c>
      <c r="C10" s="1012">
        <v>107144</v>
      </c>
      <c r="D10" s="1009">
        <v>63986.666666666657</v>
      </c>
      <c r="E10" s="1010">
        <v>73188</v>
      </c>
      <c r="F10" s="1011">
        <v>67523</v>
      </c>
      <c r="G10" s="1020">
        <v>706</v>
      </c>
      <c r="H10" s="1021">
        <v>15228</v>
      </c>
      <c r="I10" s="1018">
        <v>39124</v>
      </c>
      <c r="J10" s="1018">
        <v>62371</v>
      </c>
      <c r="K10" s="1018">
        <v>48215</v>
      </c>
      <c r="L10" s="61">
        <v>405</v>
      </c>
      <c r="M10"/>
      <c r="N10"/>
      <c r="P10" s="595"/>
      <c r="Q10" s="699"/>
      <c r="R10" s="699"/>
      <c r="S10" s="700"/>
      <c r="T10" s="700"/>
      <c r="U10" s="700"/>
      <c r="V10" s="701"/>
      <c r="W10"/>
      <c r="X10"/>
      <c r="Y10"/>
      <c r="AB10"/>
      <c r="AC10"/>
      <c r="AD10"/>
      <c r="AE10"/>
      <c r="AF10"/>
      <c r="AG10"/>
      <c r="AH10"/>
    </row>
    <row r="11" spans="1:35" hidden="1">
      <c r="B11" s="59" t="s">
        <v>2765</v>
      </c>
      <c r="C11" s="1012">
        <v>107216</v>
      </c>
      <c r="D11" s="1009">
        <v>65224.666666666664</v>
      </c>
      <c r="E11" s="1010">
        <v>75143</v>
      </c>
      <c r="F11" s="1011">
        <v>64673</v>
      </c>
      <c r="G11" s="1020">
        <v>0</v>
      </c>
      <c r="H11" s="1021">
        <v>15256</v>
      </c>
      <c r="I11" s="1018">
        <v>10522</v>
      </c>
      <c r="J11" s="1018">
        <v>62921</v>
      </c>
      <c r="K11" s="1018">
        <v>54094</v>
      </c>
      <c r="L11" s="61">
        <v>529</v>
      </c>
      <c r="M11"/>
      <c r="N11"/>
      <c r="P11" s="595"/>
      <c r="Q11" s="699"/>
      <c r="R11" s="699"/>
      <c r="S11" s="700"/>
      <c r="T11" s="700"/>
      <c r="U11" s="700"/>
      <c r="V11" s="701"/>
      <c r="W11"/>
      <c r="X11"/>
      <c r="Y11"/>
      <c r="AB11"/>
      <c r="AC11"/>
      <c r="AD11"/>
      <c r="AE11"/>
      <c r="AF11"/>
      <c r="AG11"/>
      <c r="AH11"/>
    </row>
    <row r="12" spans="1:35" hidden="1">
      <c r="A12" s="59" t="s">
        <v>515</v>
      </c>
      <c r="B12" s="59" t="s">
        <v>2763</v>
      </c>
      <c r="C12" s="1012">
        <v>13169</v>
      </c>
      <c r="D12" s="1009">
        <v>9259</v>
      </c>
      <c r="E12" s="1010">
        <v>11107</v>
      </c>
      <c r="F12" s="1011">
        <v>7869</v>
      </c>
      <c r="G12" s="1020">
        <v>0</v>
      </c>
      <c r="H12" s="1021">
        <v>2223</v>
      </c>
      <c r="I12" s="1018">
        <v>5536</v>
      </c>
      <c r="J12" s="1018">
        <v>6476</v>
      </c>
      <c r="K12" s="1018">
        <v>6111</v>
      </c>
      <c r="L12" s="61">
        <v>0</v>
      </c>
      <c r="M12"/>
      <c r="N12"/>
      <c r="P12" s="595"/>
      <c r="Q12" s="699"/>
      <c r="R12" s="699"/>
      <c r="S12" s="700"/>
      <c r="T12" s="700"/>
      <c r="U12" s="700"/>
      <c r="V12" s="701"/>
      <c r="W12"/>
      <c r="X12"/>
      <c r="Y12"/>
      <c r="Z12"/>
      <c r="AA12"/>
      <c r="AB12"/>
      <c r="AC12"/>
      <c r="AD12"/>
      <c r="AE12"/>
      <c r="AF12"/>
      <c r="AG12"/>
      <c r="AH12"/>
    </row>
    <row r="13" spans="1:35" hidden="1">
      <c r="B13" s="59" t="s">
        <v>2764</v>
      </c>
      <c r="C13" s="1012">
        <v>10000</v>
      </c>
      <c r="D13" s="1009">
        <v>9319.3333333333321</v>
      </c>
      <c r="E13" s="1010">
        <v>7177</v>
      </c>
      <c r="F13" s="1011">
        <v>6348</v>
      </c>
      <c r="G13" s="1020">
        <v>0</v>
      </c>
      <c r="H13" s="1021">
        <v>2223</v>
      </c>
      <c r="I13" s="1018">
        <v>806</v>
      </c>
      <c r="J13" s="1018">
        <v>6348</v>
      </c>
      <c r="K13" s="1018">
        <v>5723</v>
      </c>
      <c r="L13" s="61">
        <v>0</v>
      </c>
      <c r="M13"/>
      <c r="N13"/>
      <c r="P13" s="595"/>
      <c r="Q13" s="699"/>
      <c r="R13" s="699"/>
      <c r="S13" s="700"/>
      <c r="T13" s="700"/>
      <c r="U13" s="700"/>
      <c r="V13" s="701"/>
      <c r="W13" s="420"/>
      <c r="X13" s="420"/>
      <c r="Y13" s="420"/>
      <c r="Z13" s="420"/>
      <c r="AA13" s="420"/>
      <c r="AB13" s="420"/>
      <c r="AC13" s="420"/>
      <c r="AD13" s="420"/>
      <c r="AE13" s="420"/>
      <c r="AF13" s="420"/>
      <c r="AG13" s="420"/>
      <c r="AH13" s="420"/>
    </row>
    <row r="14" spans="1:35" hidden="1">
      <c r="B14" s="59" t="s">
        <v>2765</v>
      </c>
      <c r="C14" s="1012">
        <v>10128</v>
      </c>
      <c r="D14" s="1009">
        <v>9447.3333333333339</v>
      </c>
      <c r="E14" s="1010">
        <v>7857</v>
      </c>
      <c r="F14" s="1011">
        <v>6476</v>
      </c>
      <c r="G14" s="1020">
        <v>0</v>
      </c>
      <c r="H14" s="1021">
        <v>2223</v>
      </c>
      <c r="I14" s="1018">
        <v>0</v>
      </c>
      <c r="J14" s="1018">
        <v>6476</v>
      </c>
      <c r="K14" s="1018">
        <v>5723</v>
      </c>
      <c r="L14" s="61">
        <v>0</v>
      </c>
      <c r="M14"/>
      <c r="N14"/>
      <c r="P14" s="420"/>
      <c r="Q14" s="420"/>
      <c r="R14" s="420"/>
      <c r="S14" s="420"/>
      <c r="T14" s="420"/>
      <c r="U14" s="420"/>
      <c r="V14" s="420"/>
      <c r="W14" s="420"/>
      <c r="X14" s="420"/>
      <c r="Y14" s="420"/>
      <c r="Z14" s="420"/>
      <c r="AA14" s="420"/>
      <c r="AB14" s="420"/>
      <c r="AC14" s="420"/>
      <c r="AD14" s="420"/>
      <c r="AE14" s="420"/>
      <c r="AF14" s="420"/>
      <c r="AG14" s="420"/>
      <c r="AH14" s="420"/>
    </row>
    <row r="15" spans="1:35" hidden="1">
      <c r="A15" s="59" t="s">
        <v>1285</v>
      </c>
      <c r="C15" s="1012">
        <v>344667</v>
      </c>
      <c r="D15" s="1009">
        <v>212524.71851851852</v>
      </c>
      <c r="E15" s="1010">
        <v>241991</v>
      </c>
      <c r="F15" s="1011">
        <v>219299</v>
      </c>
      <c r="G15" s="1020">
        <v>1339</v>
      </c>
      <c r="H15" s="1021">
        <v>53548</v>
      </c>
      <c r="I15" s="1018">
        <v>81864</v>
      </c>
      <c r="J15" s="1018">
        <v>206372</v>
      </c>
      <c r="K15" s="1018">
        <v>155656</v>
      </c>
      <c r="L15" s="61">
        <v>1538</v>
      </c>
      <c r="M15"/>
      <c r="N15"/>
      <c r="P15" s="420"/>
      <c r="Q15" s="420"/>
      <c r="R15" s="420"/>
      <c r="S15" s="420"/>
      <c r="T15" s="420"/>
      <c r="U15" s="420"/>
      <c r="V15" s="420"/>
      <c r="W15" s="420"/>
      <c r="X15" s="420"/>
      <c r="Y15" s="420"/>
      <c r="Z15" s="420"/>
      <c r="AA15" s="420"/>
      <c r="AB15" s="420"/>
      <c r="AC15" s="420"/>
      <c r="AD15" s="420"/>
      <c r="AE15" s="420"/>
      <c r="AF15" s="420"/>
      <c r="AG15" s="420"/>
      <c r="AH15" s="420"/>
    </row>
    <row r="16" spans="1:35" hidden="1">
      <c r="A16"/>
      <c r="B16"/>
      <c r="C16"/>
      <c r="D16"/>
      <c r="E16"/>
      <c r="F16"/>
      <c r="G16"/>
      <c r="H16"/>
      <c r="I16"/>
      <c r="J16"/>
      <c r="K16"/>
      <c r="L16"/>
      <c r="M16"/>
      <c r="N16"/>
      <c r="P16" s="420"/>
      <c r="Q16" s="420"/>
      <c r="R16" s="420"/>
      <c r="S16" s="420"/>
      <c r="T16" s="420"/>
      <c r="U16" s="420"/>
      <c r="V16" s="420"/>
      <c r="W16" s="420"/>
      <c r="X16" s="420"/>
      <c r="Y16" s="420"/>
      <c r="Z16" s="420"/>
      <c r="AA16" s="420"/>
      <c r="AB16" s="420"/>
      <c r="AC16" s="420"/>
      <c r="AD16" s="420"/>
      <c r="AE16" s="420"/>
      <c r="AF16" s="420"/>
      <c r="AG16" s="420"/>
      <c r="AH16" s="420"/>
    </row>
    <row r="17" spans="1:35" hidden="1">
      <c r="A17"/>
      <c r="B17"/>
      <c r="C17"/>
      <c r="D17"/>
      <c r="E17"/>
      <c r="F17"/>
      <c r="G17"/>
      <c r="H17"/>
      <c r="I17"/>
      <c r="J17"/>
      <c r="K17"/>
      <c r="L17"/>
      <c r="M17"/>
      <c r="N17"/>
      <c r="P17" s="420"/>
      <c r="Q17" s="420"/>
      <c r="R17" s="420"/>
      <c r="S17" s="420"/>
      <c r="T17" s="420"/>
      <c r="U17" s="420"/>
      <c r="V17" s="420"/>
      <c r="W17" s="420"/>
      <c r="X17" s="420"/>
      <c r="Y17" s="420"/>
      <c r="Z17" s="420"/>
      <c r="AA17" s="420"/>
      <c r="AB17" s="420"/>
      <c r="AC17" s="420"/>
      <c r="AD17" s="420"/>
      <c r="AE17" s="420"/>
      <c r="AF17" s="420"/>
      <c r="AG17" s="420"/>
      <c r="AH17" s="420"/>
    </row>
    <row r="18" spans="1:35" hidden="1">
      <c r="A18"/>
      <c r="B18"/>
      <c r="C18"/>
      <c r="D18"/>
      <c r="E18"/>
      <c r="F18"/>
      <c r="G18"/>
      <c r="H18"/>
      <c r="I18"/>
      <c r="J18"/>
      <c r="K18"/>
      <c r="L18"/>
      <c r="M18"/>
      <c r="N18"/>
      <c r="O18" s="420"/>
      <c r="P18" s="420"/>
      <c r="Q18" s="420"/>
      <c r="R18" s="420"/>
      <c r="S18" s="420"/>
      <c r="T18" s="420"/>
      <c r="U18" s="420"/>
      <c r="V18" s="420"/>
      <c r="W18" s="420"/>
      <c r="X18" s="420"/>
      <c r="Y18" s="420"/>
      <c r="Z18" s="420"/>
      <c r="AA18" s="420"/>
      <c r="AB18" s="420"/>
      <c r="AC18" s="420"/>
      <c r="AD18" s="420"/>
      <c r="AE18" s="420"/>
      <c r="AF18" s="420"/>
      <c r="AG18" s="420"/>
      <c r="AH18" s="420"/>
    </row>
    <row r="19" spans="1:35" s="155" customFormat="1" hidden="1">
      <c r="A19"/>
      <c r="B19"/>
      <c r="C19"/>
      <c r="D19"/>
      <c r="E19"/>
      <c r="F19"/>
      <c r="G19"/>
      <c r="H19"/>
      <c r="I19"/>
      <c r="J19"/>
      <c r="K19"/>
      <c r="L19"/>
      <c r="M19"/>
      <c r="N19"/>
      <c r="O19" s="438"/>
      <c r="P19" s="438"/>
      <c r="Q19" s="438"/>
      <c r="R19" s="438"/>
      <c r="S19" s="438"/>
      <c r="T19" s="438"/>
      <c r="U19" s="438"/>
      <c r="V19" s="438"/>
      <c r="W19" s="438"/>
      <c r="X19" s="438"/>
      <c r="Y19" s="438"/>
      <c r="Z19" s="438"/>
      <c r="AA19" s="438"/>
      <c r="AB19" s="438"/>
      <c r="AC19" s="438"/>
      <c r="AD19" s="438"/>
      <c r="AE19" s="438"/>
      <c r="AF19" s="438"/>
      <c r="AG19" s="438"/>
      <c r="AH19" s="438"/>
    </row>
    <row r="20" spans="1:35" s="155" customFormat="1" ht="16" thickBot="1">
      <c r="A20" s="661"/>
      <c r="B20" s="661"/>
      <c r="C20" s="662"/>
      <c r="D20" s="662"/>
      <c r="E20" s="662"/>
      <c r="F20" s="662"/>
      <c r="G20" s="663"/>
      <c r="H20" s="663"/>
      <c r="I20" s="664"/>
      <c r="J20" s="664"/>
      <c r="K20" s="664"/>
      <c r="L20" s="663"/>
      <c r="M20" s="663"/>
      <c r="N20" s="663"/>
      <c r="O20" s="438"/>
      <c r="P20" s="930"/>
      <c r="Q20" s="438"/>
      <c r="R20" s="930"/>
      <c r="S20" s="438">
        <f>S62/$P$62</f>
        <v>0.48865969534027481</v>
      </c>
      <c r="T20" s="438">
        <f>T62/$P$62</f>
        <v>0.51134030465972513</v>
      </c>
      <c r="U20" s="438">
        <f>U62/$P$62</f>
        <v>0.37647902924194138</v>
      </c>
      <c r="V20" s="438">
        <f>V62/$P$62</f>
        <v>0.54968156709795413</v>
      </c>
      <c r="W20" s="438">
        <f t="shared" ref="W20" si="2">W62/$P$62</f>
        <v>7.3839403660104608E-2</v>
      </c>
      <c r="X20" s="438">
        <f>X62/$P$62</f>
        <v>0.14525632998484098</v>
      </c>
      <c r="Y20" s="438"/>
      <c r="Z20" s="438"/>
      <c r="AA20" s="438"/>
      <c r="AB20" s="438"/>
      <c r="AC20" s="438"/>
      <c r="AD20" s="438"/>
      <c r="AE20" s="438"/>
      <c r="AF20" s="438"/>
      <c r="AG20" s="438"/>
      <c r="AH20" s="438"/>
    </row>
    <row r="21" spans="1:35" ht="78" thickTop="1">
      <c r="C21" s="155"/>
      <c r="D21" s="374"/>
      <c r="E21" s="155"/>
      <c r="F21" s="155"/>
      <c r="G21" s="645" t="s">
        <v>2689</v>
      </c>
      <c r="H21" s="646" t="s">
        <v>2690</v>
      </c>
      <c r="I21" s="646" t="s">
        <v>2852</v>
      </c>
      <c r="J21" s="646" t="s">
        <v>2853</v>
      </c>
      <c r="K21" s="724" t="s">
        <v>2946</v>
      </c>
      <c r="L21" s="746" t="s">
        <v>646</v>
      </c>
      <c r="M21" s="647" t="s">
        <v>3179</v>
      </c>
      <c r="N21" s="647" t="s">
        <v>2944</v>
      </c>
      <c r="O21" s="647" t="s">
        <v>2945</v>
      </c>
      <c r="P21" s="753" t="s">
        <v>2733</v>
      </c>
      <c r="R21"/>
      <c r="S21" s="878">
        <f>S43/P43</f>
        <v>0.48597192483441315</v>
      </c>
      <c r="T21" s="878">
        <f>T43/P43</f>
        <v>0.5140280751655868</v>
      </c>
      <c r="U21" s="878"/>
      <c r="W21"/>
      <c r="X21"/>
      <c r="Y21"/>
      <c r="Z21"/>
    </row>
    <row r="22" spans="1:35" ht="16" thickBot="1">
      <c r="C22" s="155"/>
      <c r="D22" s="375"/>
      <c r="E22" s="155"/>
      <c r="P22" s="708"/>
      <c r="Q22" s="708"/>
      <c r="R22" s="770">
        <f>S81/P81</f>
        <v>0.48570274592719415</v>
      </c>
      <c r="S22" s="770">
        <f>T81/P81</f>
        <v>0.5142972540728058</v>
      </c>
      <c r="T22" s="879">
        <f>U81/P81</f>
        <v>0.37714043450850776</v>
      </c>
      <c r="U22" s="879">
        <f>V81/P81</f>
        <v>0.54665233371505595</v>
      </c>
      <c r="V22" s="879">
        <f>W81/P81</f>
        <v>7.620723177643636E-2</v>
      </c>
      <c r="W22" s="877">
        <f>X81/P81</f>
        <v>0.14894009064201708</v>
      </c>
      <c r="Z22" s="59" t="s">
        <v>2864</v>
      </c>
    </row>
    <row r="23" spans="1:35" ht="16" customHeight="1" thickBot="1">
      <c r="E23" s="61"/>
      <c r="F23" s="770"/>
      <c r="G23" s="801" t="s">
        <v>1289</v>
      </c>
      <c r="H23" s="802"/>
      <c r="I23" s="802"/>
      <c r="J23" s="803"/>
      <c r="K23" s="750" t="s">
        <v>241</v>
      </c>
      <c r="L23" s="751"/>
      <c r="M23" s="752"/>
      <c r="N23" s="752"/>
      <c r="O23" s="752"/>
      <c r="P23" s="802" t="s">
        <v>2666</v>
      </c>
      <c r="Q23" s="749"/>
      <c r="R23" s="770">
        <f>S43/P43</f>
        <v>0.48597192483441315</v>
      </c>
      <c r="S23" s="1208" t="s">
        <v>1496</v>
      </c>
      <c r="T23" s="1209"/>
      <c r="U23" s="928">
        <f>U43/P43</f>
        <v>0.37366077637459988</v>
      </c>
      <c r="V23" s="928">
        <f>V43/P43</f>
        <v>0.55032256916975153</v>
      </c>
      <c r="W23" s="929">
        <f>W43/P43</f>
        <v>7.6016654455648563E-2</v>
      </c>
      <c r="X23" s="770">
        <f>X43/P43</f>
        <v>0.14776592900275776</v>
      </c>
    </row>
    <row r="24" spans="1:35" ht="60" customHeight="1" thickTop="1">
      <c r="C24" s="73" t="s">
        <v>1286</v>
      </c>
      <c r="D24" s="74" t="s">
        <v>1287</v>
      </c>
      <c r="E24" s="74" t="s">
        <v>1288</v>
      </c>
      <c r="F24" s="634" t="s">
        <v>1295</v>
      </c>
      <c r="G24" s="645" t="s">
        <v>2689</v>
      </c>
      <c r="H24" s="646" t="s">
        <v>2690</v>
      </c>
      <c r="I24" s="646" t="s">
        <v>2852</v>
      </c>
      <c r="J24" s="646" t="s">
        <v>2853</v>
      </c>
      <c r="K24" s="724" t="s">
        <v>2946</v>
      </c>
      <c r="L24" s="746" t="s">
        <v>646</v>
      </c>
      <c r="M24" s="647" t="s">
        <v>3179</v>
      </c>
      <c r="N24" s="647" t="s">
        <v>2944</v>
      </c>
      <c r="O24" s="647" t="s">
        <v>2945</v>
      </c>
      <c r="P24" s="753" t="s">
        <v>2733</v>
      </c>
      <c r="Q24" s="639" t="s">
        <v>1586</v>
      </c>
      <c r="R24" s="823" t="s">
        <v>1587</v>
      </c>
      <c r="S24" s="836" t="s">
        <v>2647</v>
      </c>
      <c r="T24" s="837" t="s">
        <v>2648</v>
      </c>
      <c r="U24" s="837" t="s">
        <v>2649</v>
      </c>
      <c r="V24" s="837" t="s">
        <v>2856</v>
      </c>
      <c r="W24" s="838" t="s">
        <v>2857</v>
      </c>
      <c r="X24" s="838" t="s">
        <v>2646</v>
      </c>
      <c r="Y24" s="839" t="s">
        <v>1291</v>
      </c>
      <c r="AA24" s="820" t="s">
        <v>1283</v>
      </c>
      <c r="AB24" s="820" t="s">
        <v>2863</v>
      </c>
      <c r="AC24" s="820" t="s">
        <v>2858</v>
      </c>
      <c r="AD24" s="820" t="s">
        <v>2859</v>
      </c>
      <c r="AE24" s="820" t="s">
        <v>2860</v>
      </c>
      <c r="AF24" s="820" t="s">
        <v>2861</v>
      </c>
      <c r="AG24" s="820" t="s">
        <v>2862</v>
      </c>
      <c r="AH24" s="820" t="s">
        <v>2221</v>
      </c>
      <c r="AI24" s="820" t="s">
        <v>2222</v>
      </c>
    </row>
    <row r="25" spans="1:35" ht="17.5" customHeight="1">
      <c r="B25" s="770">
        <f>(P25+P27+P28+P31+P32)/(F25+F27+F28+F31+F32)</f>
        <v>0.60529195213287723</v>
      </c>
      <c r="C25" s="1212" t="s">
        <v>2291</v>
      </c>
      <c r="D25" s="595" t="s">
        <v>2749</v>
      </c>
      <c r="E25" s="596">
        <v>71297.247022932934</v>
      </c>
      <c r="F25" s="635">
        <v>9212.6696427519528</v>
      </c>
      <c r="G25" s="684"/>
      <c r="H25" s="1033">
        <v>150</v>
      </c>
      <c r="I25" s="690"/>
      <c r="J25" s="689"/>
      <c r="K25" s="689"/>
      <c r="L25" s="747"/>
      <c r="M25" s="747"/>
      <c r="N25" s="754"/>
      <c r="O25" s="754"/>
      <c r="P25" s="765">
        <f t="shared" ref="P25:P42" si="3">SUM(G25:O25)</f>
        <v>150</v>
      </c>
      <c r="Q25" s="598">
        <f t="shared" ref="Q25:Q56" si="4">P25/F25</f>
        <v>1.6281925415399235E-2</v>
      </c>
      <c r="R25" s="824">
        <f>1-Q25</f>
        <v>0.98371807458460081</v>
      </c>
      <c r="S25" s="840">
        <f>P25*Table7[[#This Row],[% Male]]</f>
        <v>71.881925835998771</v>
      </c>
      <c r="T25" s="597">
        <f>P25*Table7[[#This Row],[% Female]]</f>
        <v>78.118074164001229</v>
      </c>
      <c r="U25" s="597">
        <f>P25*Table7[[#This Row],[% CHILDREN  (Age 18&lt;)]]</f>
        <v>55.054656046822601</v>
      </c>
      <c r="V25" s="597">
        <f>P25*Table7[[#This Row],[ % ADULTS ( Age 18-60)]]</f>
        <v>81.618779853708617</v>
      </c>
      <c r="W25" s="597">
        <f>P25*Table7[[#This Row],[% ELDERS  (Age 60+)]]</f>
        <v>13.326564099468801</v>
      </c>
      <c r="X25" s="597">
        <f>P25*Table7[[#This Row],[% of people with disabilities (Age 5 yrs+)]]</f>
        <v>22.84156162657748</v>
      </c>
      <c r="Y25" s="841">
        <f t="shared" ref="Y25:Y42" si="5">F25-P25</f>
        <v>9062.6696427519528</v>
      </c>
      <c r="AA25" s="770" t="s">
        <v>2749</v>
      </c>
      <c r="AB25" s="770">
        <f>1-Table7[[#This Row],[% Female]]</f>
        <v>0.47921283890665844</v>
      </c>
      <c r="AC25" s="770">
        <v>0.52078716109334156</v>
      </c>
      <c r="AD25" s="770">
        <v>0.36703104031215067</v>
      </c>
      <c r="AE25" s="770">
        <v>0.54412519902472412</v>
      </c>
      <c r="AF25" s="770">
        <v>8.884376066312534E-2</v>
      </c>
      <c r="AG25" s="770">
        <v>0.15227707751051653</v>
      </c>
      <c r="AH25" s="821">
        <f>Table7[[#This Row],[% Female]]*P25</f>
        <v>78.118074164001229</v>
      </c>
      <c r="AI25" s="821">
        <f>P25*Table7[[#This Row],[% of people with disabilities (Age 5 yrs+)]]</f>
        <v>22.84156162657748</v>
      </c>
    </row>
    <row r="26" spans="1:35" ht="17.5" customHeight="1">
      <c r="C26" s="1213"/>
      <c r="D26" s="595" t="s">
        <v>2750</v>
      </c>
      <c r="E26" s="596">
        <v>1282240.102078954</v>
      </c>
      <c r="F26" s="635">
        <v>51289.604083158163</v>
      </c>
      <c r="G26" s="684"/>
      <c r="H26" s="690"/>
      <c r="I26" s="690"/>
      <c r="J26" s="689"/>
      <c r="K26" s="689"/>
      <c r="L26" s="689"/>
      <c r="M26" s="1061"/>
      <c r="N26" s="754"/>
      <c r="O26" s="754"/>
      <c r="P26" s="765">
        <f t="shared" si="3"/>
        <v>0</v>
      </c>
      <c r="Q26" s="598">
        <f t="shared" si="4"/>
        <v>0</v>
      </c>
      <c r="R26" s="824">
        <f>1-Q26</f>
        <v>1</v>
      </c>
      <c r="S26" s="840">
        <f>P26*Table7[[#This Row],[% Male]]</f>
        <v>0</v>
      </c>
      <c r="T26" s="597">
        <f>P26*Table7[[#This Row],[% Female]]</f>
        <v>0</v>
      </c>
      <c r="U26" s="597">
        <f>P26*Table7[[#This Row],[% CHILDREN  (Age 18&lt;)]]</f>
        <v>0</v>
      </c>
      <c r="V26" s="597">
        <f>P26*Table7[[#This Row],[ % ADULTS ( Age 18-60)]]</f>
        <v>0</v>
      </c>
      <c r="W26" s="597">
        <f>P26*Table7[[#This Row],[% ELDERS  (Age 60+)]]</f>
        <v>0</v>
      </c>
      <c r="X26" s="597">
        <f>P26*Table7[[#This Row],[% of people with disabilities (Age 5 yrs+)]]</f>
        <v>0</v>
      </c>
      <c r="Y26" s="841">
        <f t="shared" si="5"/>
        <v>51289.604083158163</v>
      </c>
      <c r="AA26" s="770" t="s">
        <v>2750</v>
      </c>
      <c r="AB26" s="770">
        <f>1-Table7[[#This Row],[% Female]]</f>
        <v>0.48551985988309021</v>
      </c>
      <c r="AC26" s="770">
        <v>0.51448014011690979</v>
      </c>
      <c r="AD26" s="770">
        <v>0.34678517385040053</v>
      </c>
      <c r="AE26" s="770">
        <v>0.57096178406872689</v>
      </c>
      <c r="AF26" s="770">
        <v>8.2253042080872446E-2</v>
      </c>
      <c r="AG26" s="770">
        <v>0.17328178854818205</v>
      </c>
      <c r="AH26" s="821">
        <f>Table7[[#This Row],[% Female]]*P26</f>
        <v>0</v>
      </c>
      <c r="AI26" s="821">
        <f>P26*Table7[[#This Row],[% of people with disabilities (Age 5 yrs+)]]</f>
        <v>0</v>
      </c>
    </row>
    <row r="27" spans="1:35" ht="17.5" customHeight="1">
      <c r="C27" s="1213"/>
      <c r="D27" s="595" t="s">
        <v>2751</v>
      </c>
      <c r="E27" s="596">
        <v>207170.43402654651</v>
      </c>
      <c r="F27" s="635">
        <v>51228.704166371164</v>
      </c>
      <c r="G27" s="684"/>
      <c r="H27" s="690"/>
      <c r="I27" s="690"/>
      <c r="J27" s="689"/>
      <c r="K27" s="689"/>
      <c r="L27" s="747"/>
      <c r="M27" s="747"/>
      <c r="N27" s="754"/>
      <c r="O27" s="754"/>
      <c r="P27" s="765">
        <f t="shared" si="3"/>
        <v>0</v>
      </c>
      <c r="Q27" s="598">
        <f t="shared" si="4"/>
        <v>0</v>
      </c>
      <c r="R27" s="824">
        <f>1-Q27</f>
        <v>1</v>
      </c>
      <c r="S27" s="840">
        <f>P27*Table7[[#This Row],[% Male]]</f>
        <v>0</v>
      </c>
      <c r="T27" s="597">
        <f>P27*Table7[[#This Row],[% Female]]</f>
        <v>0</v>
      </c>
      <c r="U27" s="597">
        <f>P27*Table7[[#This Row],[% CHILDREN  (Age 18&lt;)]]</f>
        <v>0</v>
      </c>
      <c r="V27" s="597">
        <f>P27*Table7[[#This Row],[ % ADULTS ( Age 18-60)]]</f>
        <v>0</v>
      </c>
      <c r="W27" s="597">
        <f>P27*Table7[[#This Row],[% ELDERS  (Age 60+)]]</f>
        <v>0</v>
      </c>
      <c r="X27" s="597">
        <f>P27*Table7[[#This Row],[% of people with disabilities (Age 5 yrs+)]]</f>
        <v>0</v>
      </c>
      <c r="Y27" s="841">
        <f t="shared" si="5"/>
        <v>51228.704166371164</v>
      </c>
      <c r="AA27" s="770" t="s">
        <v>2751</v>
      </c>
      <c r="AB27" s="770">
        <f>1-Table7[[#This Row],[% Female]]</f>
        <v>0.47725290694838141</v>
      </c>
      <c r="AC27" s="770">
        <v>0.52274709305161859</v>
      </c>
      <c r="AD27" s="770">
        <v>0.33761189043864104</v>
      </c>
      <c r="AE27" s="770">
        <v>0.57485588221819039</v>
      </c>
      <c r="AF27" s="770">
        <v>8.753222734316847E-2</v>
      </c>
      <c r="AG27" s="770">
        <v>0.1255834340813124</v>
      </c>
      <c r="AH27" s="821">
        <f>Table7[[#This Row],[% Female]]*P27</f>
        <v>0</v>
      </c>
      <c r="AI27" s="821">
        <f>P27*Table7[[#This Row],[% of people with disabilities (Age 5 yrs+)]]</f>
        <v>0</v>
      </c>
    </row>
    <row r="28" spans="1:35" ht="17.5" customHeight="1">
      <c r="C28" s="1213"/>
      <c r="D28" s="595" t="s">
        <v>2752</v>
      </c>
      <c r="E28" s="596">
        <v>138015.13245792579</v>
      </c>
      <c r="F28" s="635">
        <v>16561.815894951094</v>
      </c>
      <c r="G28" s="684"/>
      <c r="H28" s="804"/>
      <c r="I28" s="804"/>
      <c r="J28" s="805"/>
      <c r="K28" s="689"/>
      <c r="L28" s="747"/>
      <c r="M28" s="747"/>
      <c r="N28" s="754"/>
      <c r="O28" s="754"/>
      <c r="P28" s="765">
        <f t="shared" si="3"/>
        <v>0</v>
      </c>
      <c r="Q28" s="598">
        <f t="shared" si="4"/>
        <v>0</v>
      </c>
      <c r="R28" s="824">
        <f>1-Q28</f>
        <v>1</v>
      </c>
      <c r="S28" s="840">
        <f>P28*Table7[[#This Row],[% Male]]</f>
        <v>0</v>
      </c>
      <c r="T28" s="597">
        <f>P28*Table7[[#This Row],[% Female]]</f>
        <v>0</v>
      </c>
      <c r="U28" s="597">
        <f>P28*Table7[[#This Row],[% CHILDREN  (Age 18&lt;)]]</f>
        <v>0</v>
      </c>
      <c r="V28" s="597">
        <f>P28*Table7[[#This Row],[ % ADULTS ( Age 18-60)]]</f>
        <v>0</v>
      </c>
      <c r="W28" s="597">
        <f>P28*Table7[[#This Row],[% ELDERS  (Age 60+)]]</f>
        <v>0</v>
      </c>
      <c r="X28" s="597">
        <f>P28*Table7[[#This Row],[% of people with disabilities (Age 5 yrs+)]]</f>
        <v>0</v>
      </c>
      <c r="Y28" s="841">
        <f t="shared" si="5"/>
        <v>16561.815894951094</v>
      </c>
      <c r="AA28" s="770" t="s">
        <v>2752</v>
      </c>
      <c r="AB28" s="770">
        <f>1-Table7[[#This Row],[% Female]]</f>
        <v>0.47722473638009399</v>
      </c>
      <c r="AC28" s="770">
        <v>0.52277526361990601</v>
      </c>
      <c r="AD28" s="770">
        <v>0.33761189043864104</v>
      </c>
      <c r="AE28" s="770">
        <v>0.57485588221819039</v>
      </c>
      <c r="AF28" s="770">
        <v>8.753222734316847E-2</v>
      </c>
      <c r="AG28" s="770">
        <v>0.1255834340813124</v>
      </c>
      <c r="AH28" s="821">
        <f>Table7[[#This Row],[% Female]]*P28</f>
        <v>0</v>
      </c>
      <c r="AI28" s="821">
        <f>P28*Table7[[#This Row],[% of people with disabilities (Age 5 yrs+)]]</f>
        <v>0</v>
      </c>
    </row>
    <row r="29" spans="1:35" ht="17.5" customHeight="1">
      <c r="B29" s="770">
        <f>(P29+P33+P37)/(F29+F33+F37)</f>
        <v>0.61721716190807507</v>
      </c>
      <c r="C29" s="1213"/>
      <c r="D29" s="595" t="s">
        <v>613</v>
      </c>
      <c r="E29" s="596">
        <v>100473.89970888238</v>
      </c>
      <c r="F29" s="635">
        <v>37206.935930131775</v>
      </c>
      <c r="G29" s="684"/>
      <c r="H29" s="1054">
        <v>39180</v>
      </c>
      <c r="I29" s="690">
        <v>0</v>
      </c>
      <c r="J29" s="689">
        <v>0</v>
      </c>
      <c r="K29" s="689"/>
      <c r="L29" s="689"/>
      <c r="M29" s="1061"/>
      <c r="N29" s="754"/>
      <c r="O29" s="754"/>
      <c r="P29" s="765">
        <f t="shared" si="3"/>
        <v>39180</v>
      </c>
      <c r="Q29" s="598">
        <f t="shared" si="4"/>
        <v>1.053029469386388</v>
      </c>
      <c r="R29" s="824">
        <f>1-Q29</f>
        <v>-5.3029469386387973E-2</v>
      </c>
      <c r="S29" s="840">
        <f>P29*Table7[[#This Row],[% Male]]</f>
        <v>18794.71266913888</v>
      </c>
      <c r="T29" s="597">
        <f>P29*Table7[[#This Row],[% Female]]</f>
        <v>20385.28733086112</v>
      </c>
      <c r="U29" s="597">
        <f>P29*Table7[[#This Row],[% CHILDREN  (Age 18&lt;)]]</f>
        <v>18093.708450901315</v>
      </c>
      <c r="V29" s="597">
        <f>P29*Table7[[#This Row],[ % ADULTS ( Age 18-60)]]</f>
        <v>18510.138282919208</v>
      </c>
      <c r="W29" s="597">
        <f>P29*Table7[[#This Row],[% ELDERS  (Age 60+)]]</f>
        <v>2576.1532661794777</v>
      </c>
      <c r="X29" s="597">
        <f>P29*Table7[[#This Row],[% of people with disabilities (Age 5 yrs+)]]</f>
        <v>8082.7206966426002</v>
      </c>
      <c r="Y29" s="841">
        <f t="shared" si="5"/>
        <v>-1973.0640698682255</v>
      </c>
      <c r="AA29" s="770" t="s">
        <v>613</v>
      </c>
      <c r="AB29" s="770">
        <f>1-Table7[[#This Row],[% Female]]</f>
        <v>0.47970170161150794</v>
      </c>
      <c r="AC29" s="770">
        <v>0.52029829838849206</v>
      </c>
      <c r="AD29" s="770">
        <v>0.46180981242729235</v>
      </c>
      <c r="AE29" s="770">
        <v>0.4724384451995714</v>
      </c>
      <c r="AF29" s="770">
        <v>6.5751742373136232E-2</v>
      </c>
      <c r="AG29" s="770">
        <v>0.20629710813278715</v>
      </c>
      <c r="AH29" s="821">
        <f>Table7[[#This Row],[% Female]]*P29</f>
        <v>20385.28733086112</v>
      </c>
      <c r="AI29" s="821">
        <f>P29*Table7[[#This Row],[% of people with disabilities (Age 5 yrs+)]]</f>
        <v>8082.7206966426002</v>
      </c>
    </row>
    <row r="30" spans="1:35" ht="17.5" customHeight="1">
      <c r="C30" s="1213"/>
      <c r="D30" s="595" t="s">
        <v>37</v>
      </c>
      <c r="E30" s="596">
        <v>186093.36070325039</v>
      </c>
      <c r="F30" s="635">
        <v>121471.07542504012</v>
      </c>
      <c r="G30" s="1055">
        <f>C2</f>
        <v>70011.718518518508</v>
      </c>
      <c r="H30" s="690"/>
      <c r="I30" s="1033">
        <v>9224</v>
      </c>
      <c r="J30" s="1034">
        <v>2704</v>
      </c>
      <c r="K30" s="689"/>
      <c r="L30" s="747"/>
      <c r="M30" s="747"/>
      <c r="N30" s="754"/>
      <c r="O30" s="754"/>
      <c r="P30" s="765">
        <f t="shared" si="3"/>
        <v>81939.718518518508</v>
      </c>
      <c r="Q30" s="598">
        <f t="shared" si="4"/>
        <v>0.67456156316886784</v>
      </c>
      <c r="R30" s="824">
        <f t="shared" ref="R30:R42" si="6">1-Q30</f>
        <v>0.32543843683113216</v>
      </c>
      <c r="S30" s="840">
        <f>P30*Table7[[#This Row],[% Male]]</f>
        <v>41776.713950808386</v>
      </c>
      <c r="T30" s="597">
        <f>P30*Table7[[#This Row],[% Female]]</f>
        <v>40163.004567710123</v>
      </c>
      <c r="U30" s="597">
        <f>P30*Table7[[#This Row],[% CHILDREN  (Age 18&lt;)]]</f>
        <v>29506.29093158785</v>
      </c>
      <c r="V30" s="597">
        <f>P30*Table7[[#This Row],[ % ADULTS ( Age 18-60)]]</f>
        <v>47927.055048049442</v>
      </c>
      <c r="W30" s="597">
        <f>P30*Table7[[#This Row],[% ELDERS  (Age 60+)]]</f>
        <v>4506.3725388812109</v>
      </c>
      <c r="X30" s="597">
        <f>P30*Table7[[#This Row],[% of people with disabilities (Age 5 yrs+)]]</f>
        <v>7290.8008188649928</v>
      </c>
      <c r="Y30" s="841">
        <f t="shared" si="5"/>
        <v>39531.356906521614</v>
      </c>
      <c r="AA30" s="770" t="s">
        <v>37</v>
      </c>
      <c r="AB30" s="770">
        <f>1-Table7[[#This Row],[% Female]]</f>
        <v>0.50984693023282457</v>
      </c>
      <c r="AC30" s="770">
        <v>0.49015306976717543</v>
      </c>
      <c r="AD30" s="770">
        <v>0.36009753834972452</v>
      </c>
      <c r="AE30" s="770">
        <v>0.5849062690789919</v>
      </c>
      <c r="AF30" s="770">
        <v>5.4996192571283527E-2</v>
      </c>
      <c r="AG30" s="770">
        <v>8.8977616114427588E-2</v>
      </c>
      <c r="AH30" s="821">
        <f>Table7[[#This Row],[% Female]]*P30</f>
        <v>40163.004567710123</v>
      </c>
      <c r="AI30" s="821">
        <f>P30*Table7[[#This Row],[% of people with disabilities (Age 5 yrs+)]]</f>
        <v>7290.8008188649928</v>
      </c>
    </row>
    <row r="31" spans="1:35" ht="17.5" customHeight="1">
      <c r="C31" s="1213"/>
      <c r="D31" s="595" t="s">
        <v>2753</v>
      </c>
      <c r="E31" s="596">
        <v>100307.37004541785</v>
      </c>
      <c r="F31" s="635">
        <v>80232.158414533711</v>
      </c>
      <c r="G31" s="684"/>
      <c r="H31" s="690"/>
      <c r="I31" s="690"/>
      <c r="J31" s="689"/>
      <c r="K31" s="900">
        <v>59762</v>
      </c>
      <c r="L31" s="747"/>
      <c r="M31" s="747"/>
      <c r="N31" s="754"/>
      <c r="O31" s="754"/>
      <c r="P31" s="765">
        <f t="shared" si="3"/>
        <v>59762</v>
      </c>
      <c r="Q31" s="598">
        <f t="shared" si="4"/>
        <v>0.7448634211138756</v>
      </c>
      <c r="R31" s="824">
        <f t="shared" si="6"/>
        <v>0.2551365788861244</v>
      </c>
      <c r="S31" s="840">
        <f>P31*Table7[[#This Row],[% Male]]</f>
        <v>30782.035334205946</v>
      </c>
      <c r="T31" s="597">
        <f>P31*Table7[[#This Row],[% Female]]</f>
        <v>28979.964665794054</v>
      </c>
      <c r="U31" s="597">
        <f>P31*Table7[[#This Row],[% CHILDREN  (Age 18&lt;)]]</f>
        <v>24211.963590310748</v>
      </c>
      <c r="V31" s="597">
        <f>P31*Table7[[#This Row],[ % ADULTS ( Age 18-60)]]</f>
        <v>32426.483771591651</v>
      </c>
      <c r="W31" s="597">
        <f>P31*Table7[[#This Row],[% ELDERS  (Age 60+)]]</f>
        <v>3123.5526380975971</v>
      </c>
      <c r="X31" s="597">
        <f>P31*Table7[[#This Row],[% of people with disabilities (Age 5 yrs+)]]</f>
        <v>6473.3565718616337</v>
      </c>
      <c r="Y31" s="841">
        <f t="shared" si="5"/>
        <v>20470.158414533711</v>
      </c>
      <c r="AA31" s="770" t="s">
        <v>2753</v>
      </c>
      <c r="AB31" s="770">
        <f>1-Table7[[#This Row],[% Female]]</f>
        <v>0.51507706124637642</v>
      </c>
      <c r="AC31" s="770">
        <v>0.48492293875362363</v>
      </c>
      <c r="AD31" s="770">
        <v>0.40513978096969228</v>
      </c>
      <c r="AE31" s="770">
        <v>0.54259368447494483</v>
      </c>
      <c r="AF31" s="770">
        <v>5.2266534555362891E-2</v>
      </c>
      <c r="AG31" s="770">
        <v>0.10831894133164274</v>
      </c>
      <c r="AH31" s="821">
        <f>Table7[[#This Row],[% Female]]*P31</f>
        <v>28979.964665794054</v>
      </c>
      <c r="AI31" s="821">
        <f>P31*Table7[[#This Row],[% of people with disabilities (Age 5 yrs+)]]</f>
        <v>6473.3565718616337</v>
      </c>
    </row>
    <row r="32" spans="1:35" ht="17.5" customHeight="1">
      <c r="C32" s="1213"/>
      <c r="D32" s="595" t="s">
        <v>2350</v>
      </c>
      <c r="E32" s="596">
        <v>97411.788139174037</v>
      </c>
      <c r="F32" s="635">
        <v>66706.172204535687</v>
      </c>
      <c r="G32" s="684"/>
      <c r="H32" s="1033">
        <v>75638</v>
      </c>
      <c r="I32" s="690"/>
      <c r="J32" s="689"/>
      <c r="K32" s="900"/>
      <c r="L32" s="747"/>
      <c r="M32" s="747"/>
      <c r="N32" s="754"/>
      <c r="O32" s="754"/>
      <c r="P32" s="765">
        <f t="shared" si="3"/>
        <v>75638</v>
      </c>
      <c r="Q32" s="598">
        <f t="shared" si="4"/>
        <v>1.1338980712021278</v>
      </c>
      <c r="R32" s="824">
        <f t="shared" si="6"/>
        <v>-0.13389807120212782</v>
      </c>
      <c r="S32" s="840">
        <f>P32*Table7[[#This Row],[% Male]]</f>
        <v>37528.359603627592</v>
      </c>
      <c r="T32" s="597">
        <f>P32*Table7[[#This Row],[% Female]]</f>
        <v>38109.640396372408</v>
      </c>
      <c r="U32" s="597">
        <f>P32*Table7[[#This Row],[% CHILDREN  (Age 18&lt;)]]</f>
        <v>31184.661973534992</v>
      </c>
      <c r="V32" s="597">
        <f>P32*Table7[[#This Row],[ % ADULTS ( Age 18-60)]]</f>
        <v>39125.383400938357</v>
      </c>
      <c r="W32" s="597">
        <f>P32*Table7[[#This Row],[% ELDERS  (Age 60+)]]</f>
        <v>5327.9546255266487</v>
      </c>
      <c r="X32" s="597">
        <f>P32*Table7[[#This Row],[% of people with disabilities (Age 5 yrs+)]]</f>
        <v>12579.5847233327</v>
      </c>
      <c r="Y32" s="841">
        <f t="shared" si="5"/>
        <v>-8931.8277954643127</v>
      </c>
      <c r="AA32" s="770" t="s">
        <v>2350</v>
      </c>
      <c r="AB32" s="770">
        <f>1-Table7[[#This Row],[% Female]]</f>
        <v>0.49615748173705798</v>
      </c>
      <c r="AC32" s="770">
        <v>0.50384251826294202</v>
      </c>
      <c r="AD32" s="770">
        <v>0.41228829389374377</v>
      </c>
      <c r="AE32" s="770">
        <v>0.51727152226312645</v>
      </c>
      <c r="AF32" s="770">
        <v>7.0440183843129764E-2</v>
      </c>
      <c r="AG32" s="770">
        <v>0.16631302682953938</v>
      </c>
      <c r="AH32" s="821">
        <f>Table7[[#This Row],[% Female]]*P32</f>
        <v>38109.640396372408</v>
      </c>
      <c r="AI32" s="821">
        <f>P32*Table7[[#This Row],[% of people with disabilities (Age 5 yrs+)]]</f>
        <v>12579.5847233327</v>
      </c>
    </row>
    <row r="33" spans="2:35" ht="17.5" customHeight="1">
      <c r="C33" s="1213"/>
      <c r="D33" s="595" t="s">
        <v>2754</v>
      </c>
      <c r="E33" s="596">
        <v>308281.36095731339</v>
      </c>
      <c r="F33" s="635">
        <v>43686.163314877609</v>
      </c>
      <c r="G33" s="684"/>
      <c r="H33" s="1033">
        <v>3296</v>
      </c>
      <c r="I33" s="690"/>
      <c r="J33" s="689"/>
      <c r="K33" s="689"/>
      <c r="L33" s="747"/>
      <c r="M33" s="747"/>
      <c r="N33" s="754"/>
      <c r="O33" s="754"/>
      <c r="P33" s="765">
        <f t="shared" si="3"/>
        <v>3296</v>
      </c>
      <c r="Q33" s="598">
        <f t="shared" si="4"/>
        <v>7.5447229738243582E-2</v>
      </c>
      <c r="R33" s="824">
        <f t="shared" si="6"/>
        <v>0.92455277026175642</v>
      </c>
      <c r="S33" s="840">
        <f>P33*Table7[[#This Row],[% Male]]</f>
        <v>1536.7279129510778</v>
      </c>
      <c r="T33" s="597">
        <f>P33*Table7[[#This Row],[% Female]]</f>
        <v>1759.2720870489222</v>
      </c>
      <c r="U33" s="597">
        <f>P33*Table7[[#This Row],[% CHILDREN  (Age 18&lt;)]]</f>
        <v>1051.1138883676642</v>
      </c>
      <c r="V33" s="597">
        <f>P33*Table7[[#This Row],[ % ADULTS ( Age 18-60)]]</f>
        <v>1919.9128161335493</v>
      </c>
      <c r="W33" s="597">
        <f>P33*Table7[[#This Row],[% ELDERS  (Age 60+)]]</f>
        <v>324.97329549878663</v>
      </c>
      <c r="X33" s="597">
        <f>P33*Table7[[#This Row],[% of people with disabilities (Age 5 yrs+)]]</f>
        <v>561.22888207095446</v>
      </c>
      <c r="Y33" s="841">
        <f t="shared" si="5"/>
        <v>40390.163314877609</v>
      </c>
      <c r="AA33" s="770" t="s">
        <v>2754</v>
      </c>
      <c r="AB33" s="770">
        <f>1-Table7[[#This Row],[% Female]]</f>
        <v>0.46624026485166192</v>
      </c>
      <c r="AC33" s="770">
        <v>0.53375973514833808</v>
      </c>
      <c r="AD33" s="770">
        <v>0.31890591273290786</v>
      </c>
      <c r="AE33" s="770">
        <v>0.58249782042886811</v>
      </c>
      <c r="AF33" s="770">
        <v>9.8596266838224103E-2</v>
      </c>
      <c r="AG33" s="770">
        <v>0.17027575305550802</v>
      </c>
      <c r="AH33" s="821">
        <f>Table7[[#This Row],[% Female]]*P33</f>
        <v>1759.2720870489222</v>
      </c>
      <c r="AI33" s="821">
        <f>P33*Table7[[#This Row],[% of people with disabilities (Age 5 yrs+)]]</f>
        <v>561.22888207095446</v>
      </c>
    </row>
    <row r="34" spans="2:35" ht="17.5" customHeight="1">
      <c r="C34" s="1213"/>
      <c r="D34" s="595" t="s">
        <v>2755</v>
      </c>
      <c r="E34" s="596">
        <v>336813.18381455197</v>
      </c>
      <c r="F34" s="635">
        <v>13472.527352582079</v>
      </c>
      <c r="G34" s="684"/>
      <c r="H34" s="690"/>
      <c r="I34" s="690"/>
      <c r="J34" s="689"/>
      <c r="K34" s="689"/>
      <c r="L34" s="747"/>
      <c r="M34" s="747"/>
      <c r="N34" s="754"/>
      <c r="O34" s="754"/>
      <c r="P34" s="765">
        <f t="shared" si="3"/>
        <v>0</v>
      </c>
      <c r="Q34" s="598">
        <f t="shared" si="4"/>
        <v>0</v>
      </c>
      <c r="R34" s="824">
        <f>1-Q34</f>
        <v>1</v>
      </c>
      <c r="S34" s="840">
        <f>P34*Table7[[#This Row],[% Male]]</f>
        <v>0</v>
      </c>
      <c r="T34" s="597">
        <f>P34*Table7[[#This Row],[% Female]]</f>
        <v>0</v>
      </c>
      <c r="U34" s="597">
        <f>P34*Table7[[#This Row],[% CHILDREN  (Age 18&lt;)]]</f>
        <v>0</v>
      </c>
      <c r="V34" s="597">
        <f>P34*Table7[[#This Row],[ % ADULTS ( Age 18-60)]]</f>
        <v>0</v>
      </c>
      <c r="W34" s="597">
        <f>P34*Table7[[#This Row],[% ELDERS  (Age 60+)]]</f>
        <v>0</v>
      </c>
      <c r="X34" s="597">
        <f>P34*Table7[[#This Row],[% of people with disabilities (Age 5 yrs+)]]</f>
        <v>0</v>
      </c>
      <c r="Y34" s="841">
        <f t="shared" si="5"/>
        <v>13472.527352582079</v>
      </c>
      <c r="AA34" s="770" t="s">
        <v>2755</v>
      </c>
      <c r="AB34" s="770">
        <f>1-Table7[[#This Row],[% Female]]</f>
        <v>0.47497740305257174</v>
      </c>
      <c r="AC34" s="770">
        <v>0.52502259694742826</v>
      </c>
      <c r="AD34" s="770">
        <v>0.3138931152113062</v>
      </c>
      <c r="AE34" s="770">
        <v>0.60118432177378078</v>
      </c>
      <c r="AF34" s="770">
        <v>8.4922563014913258E-2</v>
      </c>
      <c r="AG34" s="770">
        <v>0.10165982960370988</v>
      </c>
      <c r="AH34" s="821">
        <f>Table7[[#This Row],[% Female]]*P34</f>
        <v>0</v>
      </c>
      <c r="AI34" s="821">
        <f>P34*Table7[[#This Row],[% of people with disabilities (Age 5 yrs+)]]</f>
        <v>0</v>
      </c>
    </row>
    <row r="35" spans="2:35" ht="17.5" customHeight="1">
      <c r="C35" s="1213"/>
      <c r="D35" s="595" t="s">
        <v>2756</v>
      </c>
      <c r="E35" s="596">
        <v>30430.553807096338</v>
      </c>
      <c r="F35" s="635">
        <v>1217.2221522838536</v>
      </c>
      <c r="G35" s="684"/>
      <c r="H35" s="690"/>
      <c r="I35" s="690"/>
      <c r="J35" s="689"/>
      <c r="K35" s="689"/>
      <c r="L35" s="747"/>
      <c r="M35" s="747"/>
      <c r="N35" s="754"/>
      <c r="O35" s="754"/>
      <c r="P35" s="765">
        <f t="shared" si="3"/>
        <v>0</v>
      </c>
      <c r="Q35" s="598">
        <f t="shared" si="4"/>
        <v>0</v>
      </c>
      <c r="R35" s="824">
        <f>1-Q35</f>
        <v>1</v>
      </c>
      <c r="S35" s="840">
        <f>P35*Table7[[#This Row],[% Male]]</f>
        <v>0</v>
      </c>
      <c r="T35" s="597">
        <f>P35*Table7[[#This Row],[% Female]]</f>
        <v>0</v>
      </c>
      <c r="U35" s="597">
        <f>P35*Table7[[#This Row],[% CHILDREN  (Age 18&lt;)]]</f>
        <v>0</v>
      </c>
      <c r="V35" s="597">
        <f>P35*Table7[[#This Row],[ % ADULTS ( Age 18-60)]]</f>
        <v>0</v>
      </c>
      <c r="W35" s="597">
        <f>P35*Table7[[#This Row],[% ELDERS  (Age 60+)]]</f>
        <v>0</v>
      </c>
      <c r="X35" s="597">
        <f>P35*Table7[[#This Row],[% of people with disabilities (Age 5 yrs+)]]</f>
        <v>0</v>
      </c>
      <c r="Y35" s="841">
        <f t="shared" si="5"/>
        <v>1217.2221522838536</v>
      </c>
      <c r="AA35" s="770" t="s">
        <v>2756</v>
      </c>
      <c r="AB35" s="770">
        <f>1-Table7[[#This Row],[% Female]]</f>
        <v>0.49204036182964128</v>
      </c>
      <c r="AC35" s="770">
        <v>0.50795963817035872</v>
      </c>
      <c r="AD35" s="770">
        <v>0.36703104031215061</v>
      </c>
      <c r="AE35" s="770">
        <v>0.54412519902472412</v>
      </c>
      <c r="AF35" s="770">
        <v>8.8843760663125326E-2</v>
      </c>
      <c r="AG35" s="770">
        <v>0.10766915021305525</v>
      </c>
      <c r="AH35" s="821">
        <f>Table7[[#This Row],[% Female]]*P35</f>
        <v>0</v>
      </c>
      <c r="AI35" s="821">
        <f>P35*Table7[[#This Row],[% of people with disabilities (Age 5 yrs+)]]</f>
        <v>0</v>
      </c>
    </row>
    <row r="36" spans="2:35" ht="17.5" customHeight="1">
      <c r="C36" s="1213"/>
      <c r="D36" s="595" t="s">
        <v>304</v>
      </c>
      <c r="E36" s="596">
        <v>1238941.7131009183</v>
      </c>
      <c r="F36" s="635">
        <v>453333.44540623878</v>
      </c>
      <c r="G36" s="1055">
        <v>122054</v>
      </c>
      <c r="H36" s="1054">
        <v>44898</v>
      </c>
      <c r="I36" s="1033">
        <v>23606</v>
      </c>
      <c r="J36" s="1034">
        <v>7339</v>
      </c>
      <c r="K36" s="689"/>
      <c r="L36" s="747"/>
      <c r="M36" s="747">
        <v>4126</v>
      </c>
      <c r="N36" s="754">
        <f>9265+15450</f>
        <v>24715</v>
      </c>
      <c r="O36" s="754">
        <f>60327+23050</f>
        <v>83377</v>
      </c>
      <c r="P36" s="765">
        <f t="shared" si="3"/>
        <v>310115</v>
      </c>
      <c r="Q36" s="598">
        <f t="shared" si="4"/>
        <v>0.68407703676507114</v>
      </c>
      <c r="R36" s="824">
        <f>1-Q36</f>
        <v>0.31592296323492886</v>
      </c>
      <c r="S36" s="840">
        <f>P36*Table7[[#This Row],[% Male]]</f>
        <v>146979.37282997789</v>
      </c>
      <c r="T36" s="597">
        <f>P36*Table7[[#This Row],[% Female]]</f>
        <v>163135.62717002211</v>
      </c>
      <c r="U36" s="597">
        <f>P36*Table7[[#This Row],[% CHILDREN  (Age 18&lt;)]]</f>
        <v>113834.78696468993</v>
      </c>
      <c r="V36" s="597">
        <f>P36*Table7[[#This Row],[ % ADULTS ( Age 18-60)]]</f>
        <v>169002.65480818393</v>
      </c>
      <c r="W36" s="597">
        <f>P36*Table7[[#This Row],[% ELDERS  (Age 60+)]]</f>
        <v>27277.558227126181</v>
      </c>
      <c r="X36" s="597">
        <f>P36*Table7[[#This Row],[% of people with disabilities (Age 5 yrs+)]]</f>
        <v>53791.861788076683</v>
      </c>
      <c r="Y36" s="841">
        <f t="shared" si="5"/>
        <v>143218.44540623878</v>
      </c>
      <c r="AA36" s="770" t="s">
        <v>304</v>
      </c>
      <c r="AB36" s="770">
        <f>1-Table7[[#This Row],[% Female]]</f>
        <v>0.47395118852676554</v>
      </c>
      <c r="AC36" s="770">
        <v>0.52604881147323446</v>
      </c>
      <c r="AD36" s="770">
        <v>0.36707281803424513</v>
      </c>
      <c r="AE36" s="770">
        <v>0.54496768878701107</v>
      </c>
      <c r="AF36" s="770">
        <v>8.795949317874395E-2</v>
      </c>
      <c r="AG36" s="770">
        <v>0.17345778755647642</v>
      </c>
      <c r="AH36" s="821">
        <f>Table7[[#This Row],[% Female]]*P36</f>
        <v>163135.62717002211</v>
      </c>
      <c r="AI36" s="821">
        <f>P36*Table7[[#This Row],[% of people with disabilities (Age 5 yrs+)]]</f>
        <v>53791.861788076683</v>
      </c>
    </row>
    <row r="37" spans="2:35" ht="17.5" customHeight="1">
      <c r="C37" s="1213"/>
      <c r="D37" s="595" t="s">
        <v>2757</v>
      </c>
      <c r="E37" s="596">
        <v>271284.15577125904</v>
      </c>
      <c r="F37" s="635">
        <v>65416.831154251813</v>
      </c>
      <c r="G37" s="684"/>
      <c r="H37" s="1033">
        <v>47829</v>
      </c>
      <c r="I37" s="690"/>
      <c r="J37" s="689"/>
      <c r="K37" s="689"/>
      <c r="L37" s="747"/>
      <c r="M37" s="747"/>
      <c r="N37" s="754"/>
      <c r="O37" s="754"/>
      <c r="P37" s="765">
        <f t="shared" si="3"/>
        <v>47829</v>
      </c>
      <c r="Q37" s="598">
        <f t="shared" si="4"/>
        <v>0.73114211061706735</v>
      </c>
      <c r="R37" s="824">
        <f>1-Q37</f>
        <v>0.26885788938293265</v>
      </c>
      <c r="S37" s="840">
        <f>P37*Table7[[#This Row],[% Male]]</f>
        <v>22781.078912568031</v>
      </c>
      <c r="T37" s="597">
        <f>P37*Table7[[#This Row],[% Female]]</f>
        <v>25047.921087431969</v>
      </c>
      <c r="U37" s="597">
        <f>P37*Table7[[#This Row],[% CHILDREN  (Age 18&lt;)]]</f>
        <v>16337.555305597914</v>
      </c>
      <c r="V37" s="597">
        <f>P37*Table7[[#This Row],[ % ADULTS ( Age 18-60)]]</f>
        <v>27467.558978598005</v>
      </c>
      <c r="W37" s="597">
        <f>P37*Table7[[#This Row],[% ELDERS  (Age 60+)]]</f>
        <v>4023.8857158040601</v>
      </c>
      <c r="X37" s="597">
        <f>P37*Table7[[#This Row],[% of people with disabilities (Age 5 yrs+)]]</f>
        <v>4598.1571882734297</v>
      </c>
      <c r="Y37" s="841">
        <f t="shared" si="5"/>
        <v>17587.831154251813</v>
      </c>
      <c r="AA37" s="770" t="s">
        <v>2757</v>
      </c>
      <c r="AB37" s="770">
        <f>1-Table7[[#This Row],[% Female]]</f>
        <v>0.4763026388293301</v>
      </c>
      <c r="AC37" s="770">
        <v>0.5236973611706699</v>
      </c>
      <c r="AD37" s="770">
        <v>0.34158262362997166</v>
      </c>
      <c r="AE37" s="770">
        <v>0.5742867084529889</v>
      </c>
      <c r="AF37" s="770">
        <v>8.4130667917039034E-2</v>
      </c>
      <c r="AG37" s="770">
        <v>9.6137431020373199E-2</v>
      </c>
      <c r="AH37" s="821">
        <f>Table7[[#This Row],[% Female]]*P37</f>
        <v>25047.921087431969</v>
      </c>
      <c r="AI37" s="821">
        <f>P37*Table7[[#This Row],[% of people with disabilities (Age 5 yrs+)]]</f>
        <v>4598.1571882734297</v>
      </c>
    </row>
    <row r="38" spans="2:35" ht="17.5" customHeight="1">
      <c r="C38" s="1213"/>
      <c r="D38" s="595" t="s">
        <v>2758</v>
      </c>
      <c r="E38" s="596">
        <v>43761.672559015518</v>
      </c>
      <c r="F38" s="635">
        <v>6126.6341582621726</v>
      </c>
      <c r="G38" s="684"/>
      <c r="H38" s="690"/>
      <c r="I38" s="690"/>
      <c r="J38" s="689"/>
      <c r="K38" s="689"/>
      <c r="L38" s="747"/>
      <c r="M38" s="747"/>
      <c r="N38" s="754"/>
      <c r="O38" s="754"/>
      <c r="P38" s="765">
        <f t="shared" si="3"/>
        <v>0</v>
      </c>
      <c r="Q38" s="598">
        <f t="shared" si="4"/>
        <v>0</v>
      </c>
      <c r="R38" s="824">
        <f>1-Q38</f>
        <v>1</v>
      </c>
      <c r="S38" s="840">
        <f>P38*Table7[[#This Row],[% Male]]</f>
        <v>0</v>
      </c>
      <c r="T38" s="597">
        <f>P38*Table7[[#This Row],[% Female]]</f>
        <v>0</v>
      </c>
      <c r="U38" s="597">
        <f>P38*Table7[[#This Row],[% CHILDREN  (Age 18&lt;)]]</f>
        <v>0</v>
      </c>
      <c r="V38" s="597">
        <f>P38*Table7[[#This Row],[ % ADULTS ( Age 18-60)]]</f>
        <v>0</v>
      </c>
      <c r="W38" s="597">
        <f>P38*Table7[[#This Row],[% ELDERS  (Age 60+)]]</f>
        <v>0</v>
      </c>
      <c r="X38" s="597">
        <f>P38*Table7[[#This Row],[% of people with disabilities (Age 5 yrs+)]]</f>
        <v>0</v>
      </c>
      <c r="Y38" s="841">
        <f t="shared" si="5"/>
        <v>6126.6341582621726</v>
      </c>
      <c r="AA38" s="770" t="s">
        <v>2758</v>
      </c>
      <c r="AB38" s="770">
        <f>1-Table7[[#This Row],[% Female]]</f>
        <v>0.52000083467853997</v>
      </c>
      <c r="AC38" s="770">
        <v>0.47999916532146003</v>
      </c>
      <c r="AD38" s="770">
        <v>0.37996649287003431</v>
      </c>
      <c r="AE38" s="770">
        <v>0.56202252854870671</v>
      </c>
      <c r="AF38" s="770">
        <v>5.8010978581259073E-2</v>
      </c>
      <c r="AG38" s="770">
        <v>8.6218050764048523E-2</v>
      </c>
      <c r="AH38" s="821">
        <f>Table7[[#This Row],[% Female]]*P38</f>
        <v>0</v>
      </c>
      <c r="AI38" s="821">
        <f>P38*Table7[[#This Row],[% of people with disabilities (Age 5 yrs+)]]</f>
        <v>0</v>
      </c>
    </row>
    <row r="39" spans="2:35" ht="17.5" customHeight="1">
      <c r="C39" s="1213"/>
      <c r="D39" s="595" t="s">
        <v>515</v>
      </c>
      <c r="E39" s="596">
        <v>154523.3477130745</v>
      </c>
      <c r="F39" s="635">
        <v>40174.069542614903</v>
      </c>
      <c r="G39" s="1055">
        <f>C3</f>
        <v>9907.3333333333321</v>
      </c>
      <c r="H39" s="690"/>
      <c r="I39" s="1033">
        <v>1661</v>
      </c>
      <c r="J39" s="689">
        <v>0</v>
      </c>
      <c r="K39" s="689"/>
      <c r="L39" s="747">
        <f>1787+170+4211</f>
        <v>6168</v>
      </c>
      <c r="M39" s="747"/>
      <c r="N39" s="754"/>
      <c r="O39" s="754"/>
      <c r="P39" s="765">
        <f t="shared" si="3"/>
        <v>17736.333333333332</v>
      </c>
      <c r="Q39" s="598">
        <f t="shared" si="4"/>
        <v>0.44148709690760607</v>
      </c>
      <c r="R39" s="824">
        <f t="shared" si="6"/>
        <v>0.55851290309239388</v>
      </c>
      <c r="S39" s="840">
        <f>P39*Table7[[#This Row],[% Male]]</f>
        <v>8870.9066682090797</v>
      </c>
      <c r="T39" s="597">
        <f>P39*Table7[[#This Row],[% Female]]</f>
        <v>8865.4266651242524</v>
      </c>
      <c r="U39" s="597">
        <f>P39*Table7[[#This Row],[% CHILDREN  (Age 18&lt;)]]</f>
        <v>6739.2123730405492</v>
      </c>
      <c r="V39" s="597">
        <f>P39*Table7[[#This Row],[ % ADULTS ( Age 18-60)]]</f>
        <v>9968.218907182707</v>
      </c>
      <c r="W39" s="597">
        <f>P39*Table7[[#This Row],[% ELDERS  (Age 60+)]]</f>
        <v>1028.9020531100709</v>
      </c>
      <c r="X39" s="597">
        <f>P39*Table7[[#This Row],[% of people with disabilities (Age 5 yrs+)]]</f>
        <v>1529.1920877014184</v>
      </c>
      <c r="Y39" s="841">
        <f t="shared" si="5"/>
        <v>22437.736209281571</v>
      </c>
      <c r="AA39" s="770" t="s">
        <v>515</v>
      </c>
      <c r="AB39" s="770">
        <f>1-Table7[[#This Row],[% Female]]</f>
        <v>0.50015448523045425</v>
      </c>
      <c r="AC39" s="770">
        <v>0.49984551476954575</v>
      </c>
      <c r="AD39" s="770">
        <v>0.3799664928700342</v>
      </c>
      <c r="AE39" s="770">
        <v>0.56202252854870649</v>
      </c>
      <c r="AF39" s="770">
        <v>5.8010978581259053E-2</v>
      </c>
      <c r="AG39" s="770">
        <v>8.6218050764048482E-2</v>
      </c>
      <c r="AH39" s="821">
        <f>Table7[[#This Row],[% Female]]*P39</f>
        <v>8865.4266651242524</v>
      </c>
      <c r="AI39" s="821">
        <f>P39*Table7[[#This Row],[% of people with disabilities (Age 5 yrs+)]]</f>
        <v>1529.1920877014184</v>
      </c>
    </row>
    <row r="40" spans="2:35" ht="17.5" customHeight="1">
      <c r="C40" s="1213"/>
      <c r="D40" s="595" t="s">
        <v>2688</v>
      </c>
      <c r="E40" s="596">
        <v>134852.16996020486</v>
      </c>
      <c r="F40" s="635">
        <v>36079.633992040974</v>
      </c>
      <c r="G40" s="684"/>
      <c r="H40" s="1033">
        <v>388</v>
      </c>
      <c r="I40" s="690"/>
      <c r="J40" s="689"/>
      <c r="K40" s="689"/>
      <c r="L40" s="747"/>
      <c r="M40" s="747"/>
      <c r="N40" s="754"/>
      <c r="O40" s="754"/>
      <c r="P40" s="765">
        <f t="shared" si="3"/>
        <v>388</v>
      </c>
      <c r="Q40" s="598">
        <f t="shared" si="4"/>
        <v>1.0753989358251009E-2</v>
      </c>
      <c r="R40" s="824">
        <f t="shared" si="6"/>
        <v>0.989246010641749</v>
      </c>
      <c r="S40" s="840">
        <f>P40*Table7[[#This Row],[% Male]]</f>
        <v>192.48564114622064</v>
      </c>
      <c r="T40" s="597">
        <f>P40*Table7[[#This Row],[% Female]]</f>
        <v>195.51435885377936</v>
      </c>
      <c r="U40" s="597">
        <f>P40*Table7[[#This Row],[% CHILDREN  (Age 18&lt;)]]</f>
        <v>147.4269992335733</v>
      </c>
      <c r="V40" s="597">
        <f>P40*Table7[[#This Row],[ % ADULTS ( Age 18-60)]]</f>
        <v>218.06474107689812</v>
      </c>
      <c r="W40" s="597">
        <f>P40*Table7[[#This Row],[% ELDERS  (Age 60+)]]</f>
        <v>22.508259689528511</v>
      </c>
      <c r="X40" s="597">
        <f>P40*Table7[[#This Row],[% of people with disabilities (Age 5 yrs+)]]</f>
        <v>33.452603696450808</v>
      </c>
      <c r="Y40" s="841">
        <f t="shared" si="5"/>
        <v>35691.633992040974</v>
      </c>
      <c r="AA40" s="770" t="s">
        <v>2688</v>
      </c>
      <c r="AB40" s="770">
        <f>1-Table7[[#This Row],[% Female]]</f>
        <v>0.49609701326345523</v>
      </c>
      <c r="AC40" s="770">
        <v>0.50390298673654477</v>
      </c>
      <c r="AD40" s="770">
        <v>0.37996649287003426</v>
      </c>
      <c r="AE40" s="770">
        <v>0.56202252854870649</v>
      </c>
      <c r="AF40" s="770">
        <v>5.8010978581259053E-2</v>
      </c>
      <c r="AG40" s="770">
        <v>8.6218050764048482E-2</v>
      </c>
      <c r="AH40" s="821">
        <f>Table7[[#This Row],[% Female]]*P40</f>
        <v>195.51435885377936</v>
      </c>
      <c r="AI40" s="821">
        <f>P40*Table7[[#This Row],[% of people with disabilities (Age 5 yrs+)]]</f>
        <v>33.452603696450808</v>
      </c>
    </row>
    <row r="41" spans="2:35" ht="17.5" customHeight="1">
      <c r="C41" s="1213"/>
      <c r="D41" s="595" t="s">
        <v>2759</v>
      </c>
      <c r="E41" s="596">
        <v>35261.775049483891</v>
      </c>
      <c r="F41" s="635">
        <v>11838.768015834847</v>
      </c>
      <c r="G41" s="684"/>
      <c r="H41" s="690"/>
      <c r="I41" s="690"/>
      <c r="J41" s="689"/>
      <c r="K41" s="689"/>
      <c r="L41" s="747"/>
      <c r="M41" s="747"/>
      <c r="N41" s="754"/>
      <c r="O41" s="754"/>
      <c r="P41" s="765">
        <f t="shared" si="3"/>
        <v>0</v>
      </c>
      <c r="Q41" s="598">
        <f t="shared" si="4"/>
        <v>0</v>
      </c>
      <c r="R41" s="824">
        <f t="shared" si="6"/>
        <v>1</v>
      </c>
      <c r="S41" s="840">
        <f>P41*Table7[[#This Row],[% Male]]</f>
        <v>0</v>
      </c>
      <c r="T41" s="597">
        <f>P41*Table7[[#This Row],[% Female]]</f>
        <v>0</v>
      </c>
      <c r="U41" s="597">
        <f>P41*Table7[[#This Row],[% CHILDREN  (Age 18&lt;)]]</f>
        <v>0</v>
      </c>
      <c r="V41" s="597">
        <f>P41*Table7[[#This Row],[ % ADULTS ( Age 18-60)]]</f>
        <v>0</v>
      </c>
      <c r="W41" s="597">
        <f>P41*Table7[[#This Row],[% ELDERS  (Age 60+)]]</f>
        <v>0</v>
      </c>
      <c r="X41" s="597">
        <f>P41*Table7[[#This Row],[% of people with disabilities (Age 5 yrs+)]]</f>
        <v>0</v>
      </c>
      <c r="Y41" s="841">
        <f t="shared" si="5"/>
        <v>11838.768015834847</v>
      </c>
      <c r="AA41" s="770" t="s">
        <v>2759</v>
      </c>
      <c r="AB41" s="770">
        <f>1-Table7[[#This Row],[% Female]]</f>
        <v>0.49901005953066535</v>
      </c>
      <c r="AC41" s="770">
        <v>0.50098994046933465</v>
      </c>
      <c r="AD41" s="770">
        <v>0.39528940976327054</v>
      </c>
      <c r="AE41" s="770">
        <v>0.53504648179034231</v>
      </c>
      <c r="AF41" s="770">
        <v>6.9664108446387055E-2</v>
      </c>
      <c r="AG41" s="770">
        <v>0.11591688986589219</v>
      </c>
      <c r="AH41" s="821">
        <f>Table7[[#This Row],[% Female]]*P41</f>
        <v>0</v>
      </c>
      <c r="AI41" s="821">
        <f>P41*Table7[[#This Row],[% of people with disabilities (Age 5 yrs+)]]</f>
        <v>0</v>
      </c>
    </row>
    <row r="42" spans="2:35" ht="17.5" customHeight="1">
      <c r="C42" s="1213"/>
      <c r="D42" s="595" t="s">
        <v>2760</v>
      </c>
      <c r="E42" s="596">
        <v>727743.63049268548</v>
      </c>
      <c r="F42" s="635">
        <v>58219.49043941484</v>
      </c>
      <c r="G42" s="684"/>
      <c r="H42" s="690"/>
      <c r="I42" s="690"/>
      <c r="J42" s="689"/>
      <c r="K42" s="900">
        <v>41713</v>
      </c>
      <c r="L42" s="747"/>
      <c r="M42" s="747"/>
      <c r="N42" s="754"/>
      <c r="O42" s="754"/>
      <c r="P42" s="765">
        <f t="shared" si="3"/>
        <v>41713</v>
      </c>
      <c r="Q42" s="598">
        <f t="shared" si="4"/>
        <v>0.71647827360165495</v>
      </c>
      <c r="R42" s="824">
        <f t="shared" si="6"/>
        <v>0.28352172639834505</v>
      </c>
      <c r="S42" s="840">
        <f>P42*Table7[[#This Row],[% Male]]</f>
        <v>20051.763890824237</v>
      </c>
      <c r="T42" s="597">
        <f>P42*Table7[[#This Row],[% Female]]</f>
        <v>21661.236109175763</v>
      </c>
      <c r="U42" s="597">
        <f>P42*Table7[[#This Row],[% CHILDREN  (Age 18&lt;)]]</f>
        <v>12085.714447247776</v>
      </c>
      <c r="V42" s="597">
        <f>P42*Table7[[#This Row],[ % ADULTS ( Age 18-60)]]</f>
        <v>26332.409287808499</v>
      </c>
      <c r="W42" s="597">
        <f>P42*Table7[[#This Row],[% ELDERS  (Age 60+)]]</f>
        <v>3294.8762649437181</v>
      </c>
      <c r="X42" s="597">
        <f>P42*Table7[[#This Row],[% of people with disabilities (Age 5 yrs+)]]</f>
        <v>5184.725823621694</v>
      </c>
      <c r="Y42" s="841">
        <f t="shared" si="5"/>
        <v>16506.49043941484</v>
      </c>
      <c r="AA42" s="770" t="s">
        <v>2760</v>
      </c>
      <c r="AB42" s="770">
        <f>1-Table7[[#This Row],[% Female]]</f>
        <v>0.48070778632139233</v>
      </c>
      <c r="AC42" s="770">
        <v>0.51929221367860767</v>
      </c>
      <c r="AD42" s="770">
        <v>0.28973496145680666</v>
      </c>
      <c r="AE42" s="770">
        <v>0.63127584416868843</v>
      </c>
      <c r="AF42" s="770">
        <v>7.8989194374504787E-2</v>
      </c>
      <c r="AG42" s="770">
        <v>0.12429520350062796</v>
      </c>
      <c r="AH42" s="821">
        <f>Table7[[#This Row],[% Female]]*P42</f>
        <v>21661.236109175763</v>
      </c>
      <c r="AI42" s="821">
        <f>P42*Table7[[#This Row],[% of people with disabilities (Age 5 yrs+)]]</f>
        <v>5184.725823621694</v>
      </c>
    </row>
    <row r="43" spans="2:35" s="592" customFormat="1" ht="20" customHeight="1">
      <c r="C43" s="1214"/>
      <c r="D43" s="593" t="s">
        <v>1488</v>
      </c>
      <c r="E43" s="594">
        <f t="shared" ref="E43:O43" si="7">SUM(E25:E42)</f>
        <v>5464902.8974086875</v>
      </c>
      <c r="F43" s="594">
        <f t="shared" si="7"/>
        <v>1163473.9212898754</v>
      </c>
      <c r="G43" s="648">
        <f t="shared" si="7"/>
        <v>201973.05185185184</v>
      </c>
      <c r="H43" s="594">
        <f t="shared" si="7"/>
        <v>211379</v>
      </c>
      <c r="I43" s="594">
        <f t="shared" si="7"/>
        <v>34491</v>
      </c>
      <c r="J43" s="594">
        <f t="shared" si="7"/>
        <v>10043</v>
      </c>
      <c r="K43" s="594">
        <f t="shared" si="7"/>
        <v>101475</v>
      </c>
      <c r="L43" s="594">
        <f t="shared" si="7"/>
        <v>6168</v>
      </c>
      <c r="M43" s="594">
        <f t="shared" si="7"/>
        <v>4126</v>
      </c>
      <c r="N43" s="594">
        <f t="shared" si="7"/>
        <v>24715</v>
      </c>
      <c r="O43" s="764">
        <f t="shared" si="7"/>
        <v>83377</v>
      </c>
      <c r="P43" s="648">
        <f>SUM(P25:P42)</f>
        <v>677747.05185185187</v>
      </c>
      <c r="Q43" s="605">
        <f t="shared" si="4"/>
        <v>0.58252019185825277</v>
      </c>
      <c r="R43" s="825">
        <f t="shared" ref="R43:R48" si="8">1-Q43</f>
        <v>0.41747980814174723</v>
      </c>
      <c r="S43" s="648">
        <f t="shared" ref="S43:Y43" si="9">SUM(S25:S42)</f>
        <v>329366.03933929326</v>
      </c>
      <c r="T43" s="594">
        <f t="shared" si="9"/>
        <v>348381.01251255855</v>
      </c>
      <c r="U43" s="594">
        <f t="shared" si="9"/>
        <v>253247.48958055917</v>
      </c>
      <c r="V43" s="594">
        <f t="shared" si="9"/>
        <v>372979.49882233591</v>
      </c>
      <c r="W43" s="594">
        <f t="shared" si="9"/>
        <v>51520.063448956753</v>
      </c>
      <c r="X43" s="594">
        <f t="shared" si="9"/>
        <v>100147.92274576913</v>
      </c>
      <c r="Y43" s="764">
        <f t="shared" si="9"/>
        <v>485726.86943802371</v>
      </c>
    </row>
    <row r="44" spans="2:35" ht="17.5" customHeight="1">
      <c r="B44" s="770">
        <f>(P44+P46+P47+P50+P51)/(F44+F46+F47+F50+F51)</f>
        <v>0.38784484937414254</v>
      </c>
      <c r="C44" s="1227" t="s">
        <v>2292</v>
      </c>
      <c r="D44" s="599" t="s">
        <v>2749</v>
      </c>
      <c r="E44" s="600">
        <v>71297.247022932934</v>
      </c>
      <c r="F44" s="636">
        <v>3124.4174106879882</v>
      </c>
      <c r="G44" s="685"/>
      <c r="H44" s="1035">
        <v>150</v>
      </c>
      <c r="I44" s="901"/>
      <c r="J44" s="901"/>
      <c r="K44" s="901"/>
      <c r="L44" s="901"/>
      <c r="M44" s="901"/>
      <c r="N44" s="901"/>
      <c r="O44" s="755"/>
      <c r="P44" s="765">
        <f t="shared" ref="P44:P61" si="10">SUM(G44:O44)</f>
        <v>150</v>
      </c>
      <c r="Q44" s="601">
        <f t="shared" si="4"/>
        <v>4.8008950240413108E-2</v>
      </c>
      <c r="R44" s="826">
        <f t="shared" si="8"/>
        <v>0.95199104975958693</v>
      </c>
      <c r="S44" s="842">
        <f>P44*$AB$25</f>
        <v>71.881925835998771</v>
      </c>
      <c r="T44" s="695">
        <f>P44*$AC$25</f>
        <v>78.118074164001229</v>
      </c>
      <c r="U44" s="695">
        <f>P44*$AD$25</f>
        <v>55.054656046822601</v>
      </c>
      <c r="V44" s="695">
        <f>P44*$AE$25</f>
        <v>81.618779853708617</v>
      </c>
      <c r="W44" s="695">
        <f>P44*$AF$25</f>
        <v>13.326564099468801</v>
      </c>
      <c r="X44" s="695">
        <f>P44*$AG$25</f>
        <v>22.84156162657748</v>
      </c>
      <c r="Y44" s="843">
        <f t="shared" ref="Y44:Y61" si="11">F44-P44</f>
        <v>2974.4174106879882</v>
      </c>
    </row>
    <row r="45" spans="2:35" ht="17.5" customHeight="1">
      <c r="C45" s="1228"/>
      <c r="D45" s="599" t="s">
        <v>2750</v>
      </c>
      <c r="E45" s="600">
        <v>1282240.102078954</v>
      </c>
      <c r="F45" s="636">
        <v>12822.401020789541</v>
      </c>
      <c r="G45" s="685"/>
      <c r="H45" s="901"/>
      <c r="I45" s="901"/>
      <c r="J45" s="901"/>
      <c r="K45" s="901"/>
      <c r="L45" s="901"/>
      <c r="M45" s="901"/>
      <c r="N45" s="901"/>
      <c r="O45" s="755"/>
      <c r="P45" s="765">
        <f t="shared" si="10"/>
        <v>0</v>
      </c>
      <c r="Q45" s="601">
        <f t="shared" si="4"/>
        <v>0</v>
      </c>
      <c r="R45" s="826">
        <f t="shared" si="8"/>
        <v>1</v>
      </c>
      <c r="S45" s="842">
        <f>P45*$AB$26</f>
        <v>0</v>
      </c>
      <c r="T45" s="695">
        <f>P45*$AC$26</f>
        <v>0</v>
      </c>
      <c r="U45" s="695">
        <f>P45*$AD$26</f>
        <v>0</v>
      </c>
      <c r="V45" s="695">
        <f>P45*$AE$26</f>
        <v>0</v>
      </c>
      <c r="W45" s="695">
        <f>P45*$AF$26</f>
        <v>0</v>
      </c>
      <c r="X45" s="695">
        <f>P45*$AG$26</f>
        <v>0</v>
      </c>
      <c r="Y45" s="843">
        <f t="shared" si="11"/>
        <v>12822.401020789541</v>
      </c>
    </row>
    <row r="46" spans="2:35" ht="17.5" customHeight="1">
      <c r="C46" s="1228"/>
      <c r="D46" s="599" t="s">
        <v>2751</v>
      </c>
      <c r="E46" s="600">
        <v>207170.43402654651</v>
      </c>
      <c r="F46" s="636">
        <v>14691.926041592791</v>
      </c>
      <c r="G46" s="685"/>
      <c r="H46" s="901"/>
      <c r="I46" s="901"/>
      <c r="J46" s="901"/>
      <c r="K46" s="901"/>
      <c r="L46" s="901"/>
      <c r="M46" s="901"/>
      <c r="N46" s="901"/>
      <c r="O46" s="755"/>
      <c r="P46" s="765">
        <f t="shared" si="10"/>
        <v>0</v>
      </c>
      <c r="Q46" s="601">
        <f t="shared" si="4"/>
        <v>0</v>
      </c>
      <c r="R46" s="826">
        <f t="shared" si="8"/>
        <v>1</v>
      </c>
      <c r="S46" s="842">
        <f>P46*$AB$27</f>
        <v>0</v>
      </c>
      <c r="T46" s="695">
        <f>P46*$AC$27</f>
        <v>0</v>
      </c>
      <c r="U46" s="695">
        <f>P46*$AD$27</f>
        <v>0</v>
      </c>
      <c r="V46" s="695">
        <f>P46*$AE$27</f>
        <v>0</v>
      </c>
      <c r="W46" s="695">
        <f>P46*$AF$27</f>
        <v>0</v>
      </c>
      <c r="X46" s="695">
        <f>P46*$AG$27</f>
        <v>0</v>
      </c>
      <c r="Y46" s="843">
        <f t="shared" si="11"/>
        <v>14691.926041592791</v>
      </c>
    </row>
    <row r="47" spans="2:35" ht="17.5" customHeight="1">
      <c r="C47" s="1228"/>
      <c r="D47" s="599" t="s">
        <v>2752</v>
      </c>
      <c r="E47" s="600">
        <v>138015.13245792579</v>
      </c>
      <c r="F47" s="636">
        <v>4140.4539737377736</v>
      </c>
      <c r="G47" s="685"/>
      <c r="H47" s="718"/>
      <c r="I47" s="718"/>
      <c r="J47" s="901"/>
      <c r="K47" s="901"/>
      <c r="L47" s="901"/>
      <c r="M47" s="901"/>
      <c r="N47" s="901"/>
      <c r="O47" s="755"/>
      <c r="P47" s="765">
        <f t="shared" si="10"/>
        <v>0</v>
      </c>
      <c r="Q47" s="601">
        <f t="shared" si="4"/>
        <v>0</v>
      </c>
      <c r="R47" s="826">
        <f t="shared" si="8"/>
        <v>1</v>
      </c>
      <c r="S47" s="842">
        <f>P47*$AB$28</f>
        <v>0</v>
      </c>
      <c r="T47" s="695">
        <f>P47*$AC$28</f>
        <v>0</v>
      </c>
      <c r="U47" s="695">
        <f>P47*$AD$28</f>
        <v>0</v>
      </c>
      <c r="V47" s="695">
        <f>P47*$AE$28</f>
        <v>0</v>
      </c>
      <c r="W47" s="695">
        <f>P47*$AF$28</f>
        <v>0</v>
      </c>
      <c r="X47" s="695">
        <f>P47*$AG$28</f>
        <v>0</v>
      </c>
      <c r="Y47" s="843">
        <f t="shared" si="11"/>
        <v>4140.4539737377736</v>
      </c>
    </row>
    <row r="48" spans="2:35" ht="17.5" customHeight="1">
      <c r="B48" s="770">
        <f>(P48+P52+P56)/(F48+F52+F56)</f>
        <v>0.306140823775163</v>
      </c>
      <c r="C48" s="1228"/>
      <c r="D48" s="599" t="s">
        <v>613</v>
      </c>
      <c r="E48" s="600">
        <v>100473.89970888238</v>
      </c>
      <c r="F48" s="636">
        <v>25668.233982532944</v>
      </c>
      <c r="G48" s="685"/>
      <c r="H48" s="1035">
        <v>18051</v>
      </c>
      <c r="I48" s="901">
        <v>0</v>
      </c>
      <c r="J48" s="901">
        <v>0</v>
      </c>
      <c r="K48" s="901"/>
      <c r="L48" s="901"/>
      <c r="M48" s="901"/>
      <c r="N48" s="901"/>
      <c r="O48" s="755"/>
      <c r="P48" s="765">
        <f t="shared" si="10"/>
        <v>18051</v>
      </c>
      <c r="Q48" s="601">
        <f t="shared" si="4"/>
        <v>0.70324277129013169</v>
      </c>
      <c r="R48" s="826">
        <f t="shared" si="8"/>
        <v>0.29675722870986831</v>
      </c>
      <c r="S48" s="842">
        <f>P48*$AB$29</f>
        <v>8659.0954157893302</v>
      </c>
      <c r="T48" s="695">
        <f>P48*$AC$29</f>
        <v>9391.9045842106698</v>
      </c>
      <c r="U48" s="695">
        <f>P48*$AD$29</f>
        <v>8336.1289241250543</v>
      </c>
      <c r="V48" s="695">
        <f>P48*$AE$29</f>
        <v>8527.986374297463</v>
      </c>
      <c r="W48" s="695">
        <f>P48*$AF$29</f>
        <v>1186.884701577482</v>
      </c>
      <c r="X48" s="695">
        <f>P48*$AG$29</f>
        <v>3723.869098904941</v>
      </c>
      <c r="Y48" s="843">
        <f t="shared" si="11"/>
        <v>7617.2339825329436</v>
      </c>
    </row>
    <row r="49" spans="2:25" ht="17.5" customHeight="1">
      <c r="C49" s="1228"/>
      <c r="D49" s="599" t="s">
        <v>37</v>
      </c>
      <c r="E49" s="600">
        <v>186093.36070325039</v>
      </c>
      <c r="F49" s="636">
        <v>107769.26885626004</v>
      </c>
      <c r="G49" s="1056">
        <f>D2</f>
        <v>79820</v>
      </c>
      <c r="H49" s="1035">
        <v>840</v>
      </c>
      <c r="I49" s="1035">
        <v>3489</v>
      </c>
      <c r="J49" s="1035">
        <v>2599</v>
      </c>
      <c r="K49" s="901"/>
      <c r="L49" s="901"/>
      <c r="M49" s="901"/>
      <c r="N49" s="901"/>
      <c r="O49" s="755"/>
      <c r="P49" s="765">
        <f t="shared" si="10"/>
        <v>86748</v>
      </c>
      <c r="Q49" s="601">
        <f t="shared" si="4"/>
        <v>0.80494189967737761</v>
      </c>
      <c r="R49" s="826">
        <f t="shared" ref="R49:R61" si="12">1-Q49</f>
        <v>0.19505810032262239</v>
      </c>
      <c r="S49" s="842">
        <f>P49*$AB$30</f>
        <v>44228.201503837066</v>
      </c>
      <c r="T49" s="695">
        <f>P49*$AC$30</f>
        <v>42519.798496162934</v>
      </c>
      <c r="U49" s="695">
        <f>P49*$AD$30</f>
        <v>31237.741256761903</v>
      </c>
      <c r="V49" s="695">
        <f>P49*$AE$30</f>
        <v>50739.449030064388</v>
      </c>
      <c r="W49" s="695">
        <f>P49*$AF$30</f>
        <v>4770.8097131737031</v>
      </c>
      <c r="X49" s="695">
        <f>P49*$AG$30</f>
        <v>7718.6302426943648</v>
      </c>
      <c r="Y49" s="843">
        <f t="shared" si="11"/>
        <v>21021.268856260038</v>
      </c>
    </row>
    <row r="50" spans="2:25" ht="17.5" customHeight="1">
      <c r="C50" s="1228"/>
      <c r="D50" s="599" t="s">
        <v>2753</v>
      </c>
      <c r="E50" s="600">
        <v>100307.37004541785</v>
      </c>
      <c r="F50" s="636">
        <v>80225.289603633428</v>
      </c>
      <c r="G50" s="685"/>
      <c r="H50" s="901"/>
      <c r="I50" s="1035">
        <v>1021</v>
      </c>
      <c r="J50" s="901"/>
      <c r="K50" s="901">
        <f>35400+683+2200</f>
        <v>38283</v>
      </c>
      <c r="L50" s="901"/>
      <c r="M50" s="901"/>
      <c r="N50" s="901"/>
      <c r="O50" s="755"/>
      <c r="P50" s="765">
        <f t="shared" si="10"/>
        <v>39304</v>
      </c>
      <c r="Q50" s="601">
        <f t="shared" si="4"/>
        <v>0.48992032555055942</v>
      </c>
      <c r="R50" s="826">
        <f t="shared" ref="R50:R55" si="13">1-Q50</f>
        <v>0.51007967444944058</v>
      </c>
      <c r="S50" s="842">
        <f>P50*$AB$31</f>
        <v>20244.58881522758</v>
      </c>
      <c r="T50" s="695">
        <f>P50*$AC$31</f>
        <v>19059.411184772423</v>
      </c>
      <c r="U50" s="695">
        <f>P50*$AD$31</f>
        <v>15923.613951232785</v>
      </c>
      <c r="V50" s="695">
        <f>P50*$AE$31</f>
        <v>21326.102174603231</v>
      </c>
      <c r="W50" s="695">
        <f>P50*$AF$31</f>
        <v>2054.283874163983</v>
      </c>
      <c r="X50" s="695">
        <f>P50*$AG$31</f>
        <v>4257.3676700988863</v>
      </c>
      <c r="Y50" s="843">
        <f t="shared" si="11"/>
        <v>40921.289603633428</v>
      </c>
    </row>
    <row r="51" spans="2:25" ht="17.5" customHeight="1">
      <c r="C51" s="1228"/>
      <c r="D51" s="599" t="s">
        <v>2350</v>
      </c>
      <c r="E51" s="600">
        <v>97411.788139174037</v>
      </c>
      <c r="F51" s="636">
        <v>61094.543051133922</v>
      </c>
      <c r="G51" s="685"/>
      <c r="H51" s="1035">
        <v>6578</v>
      </c>
      <c r="I51" s="901"/>
      <c r="J51" s="901"/>
      <c r="K51" s="901">
        <f>(19599-6578)+4273</f>
        <v>17294</v>
      </c>
      <c r="L51" s="901"/>
      <c r="M51" s="901"/>
      <c r="N51" s="901"/>
      <c r="O51" s="755"/>
      <c r="P51" s="765">
        <f t="shared" si="10"/>
        <v>23872</v>
      </c>
      <c r="Q51" s="601">
        <f t="shared" si="4"/>
        <v>0.39073866188048906</v>
      </c>
      <c r="R51" s="826">
        <f t="shared" si="13"/>
        <v>0.60926133811951089</v>
      </c>
      <c r="S51" s="842">
        <f>P51*$AB$32</f>
        <v>11844.271404027048</v>
      </c>
      <c r="T51" s="695">
        <f>P51*$AC$32</f>
        <v>12027.728595972952</v>
      </c>
      <c r="U51" s="695">
        <f>P51*$AD$32</f>
        <v>9842.1461518314518</v>
      </c>
      <c r="V51" s="695">
        <f>P51*$AE$32</f>
        <v>12348.305779465354</v>
      </c>
      <c r="W51" s="695">
        <f>P51*$AF$32</f>
        <v>1681.5480687031936</v>
      </c>
      <c r="X51" s="695">
        <f>P51*$AG$32</f>
        <v>3970.224576474764</v>
      </c>
      <c r="Y51" s="843">
        <f t="shared" si="11"/>
        <v>37222.543051133922</v>
      </c>
    </row>
    <row r="52" spans="2:25" ht="17.5" customHeight="1">
      <c r="C52" s="1228"/>
      <c r="D52" s="599" t="s">
        <v>2754</v>
      </c>
      <c r="E52" s="600">
        <v>308281.36095731339</v>
      </c>
      <c r="F52" s="636">
        <v>19287.0408287194</v>
      </c>
      <c r="G52" s="685"/>
      <c r="H52" s="1035">
        <v>1480</v>
      </c>
      <c r="I52" s="901"/>
      <c r="J52" s="901"/>
      <c r="K52" s="901"/>
      <c r="L52" s="901"/>
      <c r="M52" s="901"/>
      <c r="N52" s="901"/>
      <c r="O52" s="755"/>
      <c r="P52" s="765">
        <f t="shared" si="10"/>
        <v>1480</v>
      </c>
      <c r="Q52" s="601">
        <f t="shared" si="4"/>
        <v>7.673546259082957E-2</v>
      </c>
      <c r="R52" s="826">
        <f t="shared" si="13"/>
        <v>0.92326453740917047</v>
      </c>
      <c r="S52" s="842">
        <f>P52*$AB$33</f>
        <v>690.03559198045969</v>
      </c>
      <c r="T52" s="695">
        <f>P52*$AC$33</f>
        <v>789.96440801954031</v>
      </c>
      <c r="U52" s="695">
        <f>P52*$AD$33</f>
        <v>471.98075084470361</v>
      </c>
      <c r="V52" s="695">
        <f>P52*$AE$33</f>
        <v>862.09677423472476</v>
      </c>
      <c r="W52" s="695">
        <f>P52*$AF$33</f>
        <v>145.92247492057166</v>
      </c>
      <c r="X52" s="695">
        <f>P52*$AG$33</f>
        <v>252.00811452215186</v>
      </c>
      <c r="Y52" s="843">
        <f t="shared" si="11"/>
        <v>17807.0408287194</v>
      </c>
    </row>
    <row r="53" spans="2:25" ht="17.5" customHeight="1">
      <c r="C53" s="1228"/>
      <c r="D53" s="599" t="s">
        <v>2755</v>
      </c>
      <c r="E53" s="600">
        <v>336813.18381455197</v>
      </c>
      <c r="F53" s="636">
        <v>3368.1318381455199</v>
      </c>
      <c r="G53" s="685"/>
      <c r="H53" s="901"/>
      <c r="I53" s="901"/>
      <c r="J53" s="901"/>
      <c r="K53" s="901"/>
      <c r="L53" s="901"/>
      <c r="M53" s="901"/>
      <c r="N53" s="901"/>
      <c r="O53" s="755"/>
      <c r="P53" s="765">
        <f t="shared" si="10"/>
        <v>0</v>
      </c>
      <c r="Q53" s="601">
        <f t="shared" si="4"/>
        <v>0</v>
      </c>
      <c r="R53" s="826">
        <f t="shared" si="13"/>
        <v>1</v>
      </c>
      <c r="S53" s="842">
        <f>P53*$AB$34</f>
        <v>0</v>
      </c>
      <c r="T53" s="695">
        <f>P53*$AC$34</f>
        <v>0</v>
      </c>
      <c r="U53" s="695">
        <f>P53*$AD$34</f>
        <v>0</v>
      </c>
      <c r="V53" s="695">
        <f>P53*$AE$34</f>
        <v>0</v>
      </c>
      <c r="W53" s="695">
        <f>P53*$AF$34</f>
        <v>0</v>
      </c>
      <c r="X53" s="695">
        <f>P53*$AG$34</f>
        <v>0</v>
      </c>
      <c r="Y53" s="843">
        <f t="shared" si="11"/>
        <v>3368.1318381455199</v>
      </c>
    </row>
    <row r="54" spans="2:25" ht="17.5" customHeight="1">
      <c r="C54" s="1228"/>
      <c r="D54" s="599" t="s">
        <v>2756</v>
      </c>
      <c r="E54" s="600">
        <v>30430.553807096338</v>
      </c>
      <c r="F54" s="636">
        <v>304.30553807096339</v>
      </c>
      <c r="G54" s="685"/>
      <c r="H54" s="901"/>
      <c r="I54" s="901"/>
      <c r="J54" s="901"/>
      <c r="K54" s="901"/>
      <c r="L54" s="901"/>
      <c r="M54" s="901"/>
      <c r="N54" s="901"/>
      <c r="O54" s="755"/>
      <c r="P54" s="765">
        <f t="shared" si="10"/>
        <v>0</v>
      </c>
      <c r="Q54" s="601">
        <f t="shared" si="4"/>
        <v>0</v>
      </c>
      <c r="R54" s="826">
        <f t="shared" si="13"/>
        <v>1</v>
      </c>
      <c r="S54" s="842">
        <f>P54*$AB$35</f>
        <v>0</v>
      </c>
      <c r="T54" s="695">
        <f>P54*$AC$35</f>
        <v>0</v>
      </c>
      <c r="U54" s="695">
        <f>P54*$AD$35</f>
        <v>0</v>
      </c>
      <c r="V54" s="695">
        <f>P54*$AE$35</f>
        <v>0</v>
      </c>
      <c r="W54" s="695">
        <f>P54*$AF$35</f>
        <v>0</v>
      </c>
      <c r="X54" s="695">
        <f>P54*$AG$35</f>
        <v>0</v>
      </c>
      <c r="Y54" s="843">
        <f t="shared" si="11"/>
        <v>304.30553807096339</v>
      </c>
    </row>
    <row r="55" spans="2:25" ht="17.5" customHeight="1">
      <c r="C55" s="1228"/>
      <c r="D55" s="599" t="s">
        <v>304</v>
      </c>
      <c r="E55" s="600">
        <v>1238941.7131009183</v>
      </c>
      <c r="F55" s="636">
        <v>277344.1113515597</v>
      </c>
      <c r="G55" s="1056">
        <v>109010</v>
      </c>
      <c r="H55" s="1035">
        <v>30907</v>
      </c>
      <c r="I55" s="1035">
        <v>4371</v>
      </c>
      <c r="J55" s="1035">
        <v>991</v>
      </c>
      <c r="K55" s="901"/>
      <c r="L55" s="901"/>
      <c r="M55" s="901"/>
      <c r="N55" s="901">
        <v>30</v>
      </c>
      <c r="O55" s="755">
        <f>43108+13719</f>
        <v>56827</v>
      </c>
      <c r="P55" s="765">
        <f t="shared" si="10"/>
        <v>202136</v>
      </c>
      <c r="Q55" s="601">
        <f t="shared" si="4"/>
        <v>0.72882744477590022</v>
      </c>
      <c r="R55" s="826">
        <f t="shared" si="13"/>
        <v>0.27117255522409978</v>
      </c>
      <c r="S55" s="842">
        <f>P55*$AB$36</f>
        <v>95802.597444046274</v>
      </c>
      <c r="T55" s="695">
        <f>P55*$AC$36</f>
        <v>106333.40255595373</v>
      </c>
      <c r="U55" s="695">
        <f>P55*$AD$36</f>
        <v>74198.63114617017</v>
      </c>
      <c r="V55" s="695">
        <f>P55*$AE$36</f>
        <v>110157.58874065128</v>
      </c>
      <c r="W55" s="695">
        <f>P55*$AF$36</f>
        <v>17779.780113178585</v>
      </c>
      <c r="X55" s="695">
        <f>P55*$AG$36</f>
        <v>35062.063345515919</v>
      </c>
      <c r="Y55" s="843">
        <f t="shared" si="11"/>
        <v>75208.111351559695</v>
      </c>
    </row>
    <row r="56" spans="2:25" ht="17.5" customHeight="1">
      <c r="C56" s="1228"/>
      <c r="D56" s="599" t="s">
        <v>2757</v>
      </c>
      <c r="E56" s="600">
        <v>271284.15577125904</v>
      </c>
      <c r="F56" s="636">
        <v>30304.207788562955</v>
      </c>
      <c r="G56" s="685"/>
      <c r="H56" s="1035">
        <v>360</v>
      </c>
      <c r="I56" s="901"/>
      <c r="J56" s="901"/>
      <c r="K56" s="901">
        <v>3149</v>
      </c>
      <c r="L56" s="901"/>
      <c r="M56" s="901"/>
      <c r="N56" s="901"/>
      <c r="O56" s="755"/>
      <c r="P56" s="765">
        <f t="shared" si="10"/>
        <v>3509</v>
      </c>
      <c r="Q56" s="601">
        <f t="shared" si="4"/>
        <v>0.11579250064818801</v>
      </c>
      <c r="R56" s="826">
        <f t="shared" si="12"/>
        <v>0.88420749935181198</v>
      </c>
      <c r="S56" s="842">
        <f>P56*$AB$37</f>
        <v>1671.3459596521193</v>
      </c>
      <c r="T56" s="695">
        <f>P56*$AC$37</f>
        <v>1837.6540403478807</v>
      </c>
      <c r="U56" s="695">
        <f>P56*$AD$37</f>
        <v>1198.6134263175707</v>
      </c>
      <c r="V56" s="695">
        <f>P56*$AE$37</f>
        <v>2015.172059961538</v>
      </c>
      <c r="W56" s="695">
        <f>P56*$AF$37</f>
        <v>295.21451372088995</v>
      </c>
      <c r="X56" s="695">
        <f>P56*$AG$37</f>
        <v>337.34624545048956</v>
      </c>
      <c r="Y56" s="843">
        <f t="shared" si="11"/>
        <v>26795.207788562955</v>
      </c>
    </row>
    <row r="57" spans="2:25" ht="17.5" customHeight="1">
      <c r="C57" s="1228"/>
      <c r="D57" s="599" t="s">
        <v>2758</v>
      </c>
      <c r="E57" s="600">
        <v>43761.672559015518</v>
      </c>
      <c r="F57" s="636">
        <v>1531.6585395655432</v>
      </c>
      <c r="G57" s="685"/>
      <c r="H57" s="901"/>
      <c r="I57" s="901"/>
      <c r="J57" s="901"/>
      <c r="K57" s="901"/>
      <c r="L57" s="901"/>
      <c r="M57" s="901"/>
      <c r="N57" s="901"/>
      <c r="O57" s="755"/>
      <c r="P57" s="765">
        <f t="shared" si="10"/>
        <v>0</v>
      </c>
      <c r="Q57" s="601">
        <f t="shared" ref="Q57:Q88" si="14">P57/F57</f>
        <v>0</v>
      </c>
      <c r="R57" s="826">
        <f t="shared" si="12"/>
        <v>1</v>
      </c>
      <c r="S57" s="842">
        <f>P57*$AB$38</f>
        <v>0</v>
      </c>
      <c r="T57" s="695">
        <f>P57*$AC$38</f>
        <v>0</v>
      </c>
      <c r="U57" s="695">
        <f>P57*$AD$38</f>
        <v>0</v>
      </c>
      <c r="V57" s="695">
        <f>P57*$AE$38</f>
        <v>0</v>
      </c>
      <c r="W57" s="695">
        <f>P57*$AF$38</f>
        <v>0</v>
      </c>
      <c r="X57" s="695">
        <f>P57*$AG$38</f>
        <v>0</v>
      </c>
      <c r="Y57" s="843">
        <f t="shared" si="11"/>
        <v>1531.6585395655432</v>
      </c>
    </row>
    <row r="58" spans="2:25" ht="17.5" customHeight="1">
      <c r="C58" s="1228"/>
      <c r="D58" s="599" t="s">
        <v>515</v>
      </c>
      <c r="E58" s="600">
        <v>154523.3477130745</v>
      </c>
      <c r="F58" s="636">
        <v>21630.267385653726</v>
      </c>
      <c r="G58" s="1056">
        <f>D3</f>
        <v>11712</v>
      </c>
      <c r="H58" s="1035">
        <v>80</v>
      </c>
      <c r="I58" s="901">
        <v>0</v>
      </c>
      <c r="J58" s="901">
        <v>0</v>
      </c>
      <c r="K58" s="901"/>
      <c r="L58" s="901">
        <f>14016-(11712+80)</f>
        <v>2224</v>
      </c>
      <c r="M58" s="901"/>
      <c r="N58" s="901"/>
      <c r="O58" s="755"/>
      <c r="P58" s="765">
        <f t="shared" si="10"/>
        <v>14016</v>
      </c>
      <c r="Q58" s="601">
        <f t="shared" si="14"/>
        <v>0.64798089409177217</v>
      </c>
      <c r="R58" s="826">
        <f t="shared" si="12"/>
        <v>0.35201910590822783</v>
      </c>
      <c r="S58" s="842">
        <f>P58*$AB$39</f>
        <v>7010.165264990047</v>
      </c>
      <c r="T58" s="695">
        <f>P58*$AC$39</f>
        <v>7005.834735009953</v>
      </c>
      <c r="U58" s="695">
        <f>P58*$AD$39</f>
        <v>5325.6103640663996</v>
      </c>
      <c r="V58" s="695">
        <f>P58*$AE$39</f>
        <v>7877.3077601386703</v>
      </c>
      <c r="W58" s="695">
        <f>P58*$AF$39</f>
        <v>813.08187579492687</v>
      </c>
      <c r="X58" s="695">
        <f>P58*$AG$39</f>
        <v>1208.4321995089035</v>
      </c>
      <c r="Y58" s="843">
        <f t="shared" si="11"/>
        <v>7614.2673856537258</v>
      </c>
    </row>
    <row r="59" spans="2:25" ht="17.5" customHeight="1">
      <c r="C59" s="1228"/>
      <c r="D59" s="599" t="s">
        <v>2688</v>
      </c>
      <c r="E59" s="600">
        <v>134852.16996020486</v>
      </c>
      <c r="F59" s="636">
        <v>20406.408498010242</v>
      </c>
      <c r="G59" s="685"/>
      <c r="H59" s="1035"/>
      <c r="I59" s="901"/>
      <c r="J59" s="901"/>
      <c r="K59" s="901"/>
      <c r="L59" s="901"/>
      <c r="M59" s="901"/>
      <c r="N59" s="901"/>
      <c r="O59" s="755"/>
      <c r="P59" s="765">
        <f t="shared" si="10"/>
        <v>0</v>
      </c>
      <c r="Q59" s="601">
        <f t="shared" si="14"/>
        <v>0</v>
      </c>
      <c r="R59" s="826">
        <f t="shared" si="12"/>
        <v>1</v>
      </c>
      <c r="S59" s="842">
        <f>P59*$AB$40</f>
        <v>0</v>
      </c>
      <c r="T59" s="695">
        <f>P59*$AC$40</f>
        <v>0</v>
      </c>
      <c r="U59" s="695">
        <f>P59*$AD$40</f>
        <v>0</v>
      </c>
      <c r="V59" s="695">
        <f>P59*$AE$40</f>
        <v>0</v>
      </c>
      <c r="W59" s="695">
        <f>P59*$AF$40</f>
        <v>0</v>
      </c>
      <c r="X59" s="695">
        <f>P59*$AG$40</f>
        <v>0</v>
      </c>
      <c r="Y59" s="843">
        <f t="shared" si="11"/>
        <v>20406.408498010242</v>
      </c>
    </row>
    <row r="60" spans="2:25" ht="17.5" customHeight="1">
      <c r="C60" s="1228"/>
      <c r="D60" s="599" t="s">
        <v>2759</v>
      </c>
      <c r="E60" s="600">
        <v>35261.775049483891</v>
      </c>
      <c r="F60" s="636">
        <v>3653.4420039587117</v>
      </c>
      <c r="G60" s="685"/>
      <c r="H60" s="901"/>
      <c r="I60" s="901"/>
      <c r="J60" s="901"/>
      <c r="K60" s="901"/>
      <c r="L60" s="901"/>
      <c r="M60" s="901"/>
      <c r="N60" s="901"/>
      <c r="O60" s="755"/>
      <c r="P60" s="765">
        <f t="shared" si="10"/>
        <v>0</v>
      </c>
      <c r="Q60" s="601">
        <f t="shared" si="14"/>
        <v>0</v>
      </c>
      <c r="R60" s="826">
        <f t="shared" si="12"/>
        <v>1</v>
      </c>
      <c r="S60" s="842">
        <f>P60*$AB$41</f>
        <v>0</v>
      </c>
      <c r="T60" s="695">
        <f>P60*$AC$41</f>
        <v>0</v>
      </c>
      <c r="U60" s="695">
        <f>P60*$AD$41</f>
        <v>0</v>
      </c>
      <c r="V60" s="695">
        <f>P60*$AE$41</f>
        <v>0</v>
      </c>
      <c r="W60" s="695">
        <f>P60*$AF$41</f>
        <v>0</v>
      </c>
      <c r="X60" s="695">
        <f>P60*$AG$41</f>
        <v>0</v>
      </c>
      <c r="Y60" s="843">
        <f t="shared" si="11"/>
        <v>3653.4420039587117</v>
      </c>
    </row>
    <row r="61" spans="2:25" ht="17.5" customHeight="1">
      <c r="C61" s="1228"/>
      <c r="D61" s="599" t="s">
        <v>2760</v>
      </c>
      <c r="E61" s="600">
        <v>727743.63049268548</v>
      </c>
      <c r="F61" s="636">
        <v>14554.87260985371</v>
      </c>
      <c r="G61" s="685"/>
      <c r="H61" s="901"/>
      <c r="I61" s="901"/>
      <c r="J61" s="901"/>
      <c r="K61" s="901">
        <v>450</v>
      </c>
      <c r="L61" s="901"/>
      <c r="M61" s="901"/>
      <c r="N61" s="901"/>
      <c r="O61" s="755"/>
      <c r="P61" s="765">
        <f t="shared" si="10"/>
        <v>450</v>
      </c>
      <c r="Q61" s="601">
        <f t="shared" si="14"/>
        <v>3.0917481180518756E-2</v>
      </c>
      <c r="R61" s="826">
        <f t="shared" si="12"/>
        <v>0.96908251881948126</v>
      </c>
      <c r="S61" s="842">
        <f>P61*$AB$42</f>
        <v>216.31850384462655</v>
      </c>
      <c r="T61" s="695">
        <f>P61*$AC$42</f>
        <v>233.68149615537345</v>
      </c>
      <c r="U61" s="695">
        <f>P61*$AD$42</f>
        <v>130.38073265556301</v>
      </c>
      <c r="V61" s="695">
        <f>P61*$AE$42</f>
        <v>284.07412987590982</v>
      </c>
      <c r="W61" s="695">
        <f>P61*$AF$42</f>
        <v>35.545137468527152</v>
      </c>
      <c r="X61" s="695">
        <f>P61*$AG$42</f>
        <v>55.93284157528258</v>
      </c>
      <c r="Y61" s="843">
        <f t="shared" si="11"/>
        <v>14104.87260985371</v>
      </c>
    </row>
    <row r="62" spans="2:25" s="592" customFormat="1" ht="17.5" customHeight="1">
      <c r="C62" s="1229"/>
      <c r="D62" s="606" t="s">
        <v>1488</v>
      </c>
      <c r="E62" s="607">
        <f t="shared" ref="E62:O62" si="15">SUM(E44:E61)</f>
        <v>5464902.8974086875</v>
      </c>
      <c r="F62" s="607">
        <f t="shared" si="15"/>
        <v>701920.98032246891</v>
      </c>
      <c r="G62" s="649">
        <f t="shared" si="15"/>
        <v>200542</v>
      </c>
      <c r="H62" s="649">
        <f t="shared" si="15"/>
        <v>58446</v>
      </c>
      <c r="I62" s="649">
        <f t="shared" si="15"/>
        <v>8881</v>
      </c>
      <c r="J62" s="649">
        <f t="shared" si="15"/>
        <v>3590</v>
      </c>
      <c r="K62" s="649">
        <f t="shared" si="15"/>
        <v>59176</v>
      </c>
      <c r="L62" s="649">
        <f t="shared" si="15"/>
        <v>2224</v>
      </c>
      <c r="M62" s="649"/>
      <c r="N62" s="649">
        <f t="shared" si="15"/>
        <v>30</v>
      </c>
      <c r="O62" s="649">
        <f t="shared" si="15"/>
        <v>56827</v>
      </c>
      <c r="P62" s="649">
        <f>SUM(P44:P61)</f>
        <v>389716</v>
      </c>
      <c r="Q62" s="608">
        <f t="shared" si="14"/>
        <v>0.55521349400463982</v>
      </c>
      <c r="R62" s="827">
        <f>1-Q62</f>
        <v>0.44478650599536018</v>
      </c>
      <c r="S62" s="844">
        <f t="shared" ref="S62:Y62" si="16">SUM(S44:S61)</f>
        <v>190438.50182923055</v>
      </c>
      <c r="T62" s="609">
        <f t="shared" si="16"/>
        <v>199277.49817076945</v>
      </c>
      <c r="U62" s="609">
        <f>SUM(U44:U61)</f>
        <v>146719.90136005243</v>
      </c>
      <c r="V62" s="609">
        <f t="shared" si="16"/>
        <v>214219.7016031463</v>
      </c>
      <c r="W62" s="609">
        <f t="shared" si="16"/>
        <v>28776.397036801329</v>
      </c>
      <c r="X62" s="609">
        <f t="shared" si="16"/>
        <v>56608.715896372283</v>
      </c>
      <c r="Y62" s="767">
        <f t="shared" si="16"/>
        <v>312204.98032246891</v>
      </c>
    </row>
    <row r="63" spans="2:25">
      <c r="B63" s="770">
        <f>(P63+P65+P66+P69+P70)/(F63+F65+F66+F69+F70)</f>
        <v>0.66321228134593202</v>
      </c>
      <c r="C63" s="1224" t="s">
        <v>2293</v>
      </c>
      <c r="D63" s="602" t="s">
        <v>2749</v>
      </c>
      <c r="E63" s="603">
        <v>71297.247022932934</v>
      </c>
      <c r="F63" s="637">
        <v>11242.08705343994</v>
      </c>
      <c r="G63" s="784"/>
      <c r="H63" s="1039">
        <v>3289</v>
      </c>
      <c r="I63" s="1039">
        <v>1051</v>
      </c>
      <c r="J63" s="785"/>
      <c r="K63" s="785"/>
      <c r="L63" s="785"/>
      <c r="M63" s="785"/>
      <c r="N63" s="785"/>
      <c r="O63" s="756"/>
      <c r="P63" s="765">
        <f t="shared" ref="P63:P80" si="17">SUM(G63:O63)</f>
        <v>4340</v>
      </c>
      <c r="Q63" s="604">
        <f t="shared" si="14"/>
        <v>0.38604931445287227</v>
      </c>
      <c r="R63" s="828">
        <f>1-Q63</f>
        <v>0.61395068554712773</v>
      </c>
      <c r="S63" s="784">
        <f>P63*$AB$25</f>
        <v>2079.7837208548976</v>
      </c>
      <c r="T63" s="785">
        <f>P63*$AC$25</f>
        <v>2260.2162791451024</v>
      </c>
      <c r="U63" s="785">
        <f>P63*$AD$25</f>
        <v>1592.9147149547339</v>
      </c>
      <c r="V63" s="785">
        <f>P63*$AE$25</f>
        <v>2361.5033637673027</v>
      </c>
      <c r="W63" s="785">
        <f>P63*$AF$25</f>
        <v>385.581921277964</v>
      </c>
      <c r="X63" s="785">
        <f>P63*$AG$25</f>
        <v>660.88251639564169</v>
      </c>
      <c r="Y63" s="756">
        <f t="shared" ref="Y63:Y80" si="18">F63-P63</f>
        <v>6902.0870534399401</v>
      </c>
    </row>
    <row r="64" spans="2:25">
      <c r="C64" s="1225"/>
      <c r="D64" s="602" t="s">
        <v>2750</v>
      </c>
      <c r="E64" s="603">
        <v>1282240.102078954</v>
      </c>
      <c r="F64" s="637">
        <v>64112.005103947704</v>
      </c>
      <c r="G64" s="784"/>
      <c r="H64" s="785"/>
      <c r="I64" s="785"/>
      <c r="J64" s="785"/>
      <c r="K64" s="785"/>
      <c r="L64" s="785"/>
      <c r="M64" s="785"/>
      <c r="N64" s="785"/>
      <c r="O64" s="756"/>
      <c r="P64" s="765">
        <f t="shared" si="17"/>
        <v>0</v>
      </c>
      <c r="Q64" s="604">
        <f t="shared" si="14"/>
        <v>0</v>
      </c>
      <c r="R64" s="828">
        <f>1-Q64</f>
        <v>1</v>
      </c>
      <c r="S64" s="784">
        <f>P64*$AB$26</f>
        <v>0</v>
      </c>
      <c r="T64" s="785">
        <f>P64*$AC$26</f>
        <v>0</v>
      </c>
      <c r="U64" s="785">
        <f>P64*$AD$26</f>
        <v>0</v>
      </c>
      <c r="V64" s="785">
        <f>P64*$AE$26</f>
        <v>0</v>
      </c>
      <c r="W64" s="785">
        <f>P64*$AF$26</f>
        <v>0</v>
      </c>
      <c r="X64" s="785">
        <f>P64*$AG$26</f>
        <v>0</v>
      </c>
      <c r="Y64" s="756">
        <f t="shared" si="18"/>
        <v>64112.005103947704</v>
      </c>
    </row>
    <row r="65" spans="2:25">
      <c r="B65" s="61"/>
      <c r="C65" s="1225"/>
      <c r="D65" s="602" t="s">
        <v>2751</v>
      </c>
      <c r="E65" s="603">
        <v>207170.43402654651</v>
      </c>
      <c r="F65" s="637">
        <v>63407.63020796395</v>
      </c>
      <c r="G65" s="784"/>
      <c r="H65" s="785"/>
      <c r="I65" s="785"/>
      <c r="J65" s="785"/>
      <c r="K65" s="785"/>
      <c r="L65" s="785"/>
      <c r="M65" s="785"/>
      <c r="N65" s="785"/>
      <c r="O65" s="756"/>
      <c r="P65" s="765">
        <f t="shared" si="17"/>
        <v>0</v>
      </c>
      <c r="Q65" s="604">
        <f t="shared" si="14"/>
        <v>0</v>
      </c>
      <c r="R65" s="828">
        <f>1-Q65</f>
        <v>1</v>
      </c>
      <c r="S65" s="784">
        <f>P65*$AB$27</f>
        <v>0</v>
      </c>
      <c r="T65" s="785">
        <f>P65*$AC$27</f>
        <v>0</v>
      </c>
      <c r="U65" s="785">
        <f>P65*$AD$27</f>
        <v>0</v>
      </c>
      <c r="V65" s="785">
        <f>P65*$AE$27</f>
        <v>0</v>
      </c>
      <c r="W65" s="785">
        <f>P65*$AF$27</f>
        <v>0</v>
      </c>
      <c r="X65" s="785">
        <f>P65*$AG$27</f>
        <v>0</v>
      </c>
      <c r="Y65" s="756">
        <f t="shared" si="18"/>
        <v>63407.63020796395</v>
      </c>
    </row>
    <row r="66" spans="2:25">
      <c r="B66" s="61"/>
      <c r="C66" s="1225"/>
      <c r="D66" s="602" t="s">
        <v>2752</v>
      </c>
      <c r="E66" s="603">
        <v>138015.13245792579</v>
      </c>
      <c r="F66" s="637">
        <v>20702.269868688869</v>
      </c>
      <c r="G66" s="784"/>
      <c r="H66" s="719"/>
      <c r="I66" s="719"/>
      <c r="J66" s="719"/>
      <c r="K66" s="719"/>
      <c r="L66" s="719"/>
      <c r="M66" s="719"/>
      <c r="N66" s="719"/>
      <c r="O66" s="757"/>
      <c r="P66" s="765">
        <f t="shared" si="17"/>
        <v>0</v>
      </c>
      <c r="Q66" s="604">
        <f t="shared" si="14"/>
        <v>0</v>
      </c>
      <c r="R66" s="828">
        <f>1-Q66</f>
        <v>1</v>
      </c>
      <c r="S66" s="845">
        <f>P66*$AB$28</f>
        <v>0</v>
      </c>
      <c r="T66" s="719">
        <f>P66*$AC$28</f>
        <v>0</v>
      </c>
      <c r="U66" s="719">
        <f>P66*$AD$28</f>
        <v>0</v>
      </c>
      <c r="V66" s="719">
        <f>P66*$AE$28</f>
        <v>0</v>
      </c>
      <c r="W66" s="719">
        <f>P66*$AF$28</f>
        <v>0</v>
      </c>
      <c r="X66" s="719">
        <f>P66*$AG$28</f>
        <v>0</v>
      </c>
      <c r="Y66" s="757">
        <f t="shared" si="18"/>
        <v>20702.269868688869</v>
      </c>
    </row>
    <row r="67" spans="2:25">
      <c r="B67" s="770">
        <f>(P67+P71+P75)/(F67+F71+F75)</f>
        <v>0.61292963157676028</v>
      </c>
      <c r="C67" s="1225"/>
      <c r="D67" s="602" t="s">
        <v>613</v>
      </c>
      <c r="E67" s="603">
        <v>100473.89970888238</v>
      </c>
      <c r="F67" s="637">
        <v>41053.169912664715</v>
      </c>
      <c r="G67" s="784"/>
      <c r="H67" s="1036">
        <v>28116</v>
      </c>
      <c r="I67" s="719">
        <v>0</v>
      </c>
      <c r="J67" s="719">
        <v>0</v>
      </c>
      <c r="K67" s="719">
        <v>20870</v>
      </c>
      <c r="L67" s="719"/>
      <c r="M67" s="719"/>
      <c r="N67" s="719"/>
      <c r="O67" s="757"/>
      <c r="P67" s="765">
        <f t="shared" si="17"/>
        <v>48986</v>
      </c>
      <c r="Q67" s="604">
        <f t="shared" si="14"/>
        <v>1.1932330707765406</v>
      </c>
      <c r="R67" s="828">
        <f t="shared" ref="R67:R72" si="19">1-Q67</f>
        <v>-0.19323307077654062</v>
      </c>
      <c r="S67" s="845">
        <f>P67*$AB$29</f>
        <v>23498.667555141328</v>
      </c>
      <c r="T67" s="719">
        <f>P67*$AC$29</f>
        <v>25487.332444858672</v>
      </c>
      <c r="U67" s="719">
        <f>P67*$AD$29</f>
        <v>22622.215471563344</v>
      </c>
      <c r="V67" s="719">
        <f>P67*$AE$29</f>
        <v>23142.869676546205</v>
      </c>
      <c r="W67" s="719">
        <f>P67*$AF$29</f>
        <v>3220.9148518904512</v>
      </c>
      <c r="X67" s="719">
        <f>P67*$AG$29</f>
        <v>10105.670138992711</v>
      </c>
      <c r="Y67" s="757">
        <f t="shared" si="18"/>
        <v>-7932.8300873352855</v>
      </c>
    </row>
    <row r="68" spans="2:25">
      <c r="C68" s="1225"/>
      <c r="D68" s="602" t="s">
        <v>37</v>
      </c>
      <c r="E68" s="603">
        <v>186093.36070325039</v>
      </c>
      <c r="F68" s="637">
        <v>126038.34428130016</v>
      </c>
      <c r="G68" s="1057">
        <f>E2</f>
        <v>83166</v>
      </c>
      <c r="H68" s="1036">
        <v>3149</v>
      </c>
      <c r="I68" s="1036">
        <v>5067</v>
      </c>
      <c r="J68" s="719">
        <v>0</v>
      </c>
      <c r="K68" s="719"/>
      <c r="L68" s="719"/>
      <c r="M68" s="719"/>
      <c r="N68" s="719"/>
      <c r="O68" s="757"/>
      <c r="P68" s="765">
        <f t="shared" si="17"/>
        <v>91382</v>
      </c>
      <c r="Q68" s="604">
        <f t="shared" si="14"/>
        <v>0.7250333263347859</v>
      </c>
      <c r="R68" s="828">
        <f t="shared" si="19"/>
        <v>0.2749666736652141</v>
      </c>
      <c r="S68" s="845">
        <f>P68*$AB$30</f>
        <v>46590.832178535973</v>
      </c>
      <c r="T68" s="719">
        <f>P68*$AC$30</f>
        <v>44791.167821464027</v>
      </c>
      <c r="U68" s="719">
        <f>P68*$AD$30</f>
        <v>32906.433249474525</v>
      </c>
      <c r="V68" s="719">
        <f>P68*$AE$30</f>
        <v>53449.90468097644</v>
      </c>
      <c r="W68" s="719">
        <f>P68*$AF$30</f>
        <v>5025.662069549031</v>
      </c>
      <c r="X68" s="719">
        <f>P68*$AG$30</f>
        <v>8130.9525157686221</v>
      </c>
      <c r="Y68" s="757">
        <f t="shared" si="18"/>
        <v>34656.34428130016</v>
      </c>
    </row>
    <row r="69" spans="2:25">
      <c r="C69" s="1225"/>
      <c r="D69" s="602" t="s">
        <v>2753</v>
      </c>
      <c r="E69" s="603">
        <v>100307.37004541785</v>
      </c>
      <c r="F69" s="637">
        <v>80234.448018167139</v>
      </c>
      <c r="G69" s="784"/>
      <c r="H69" s="1036">
        <v>16855</v>
      </c>
      <c r="I69" s="1036">
        <v>94</v>
      </c>
      <c r="J69" s="719"/>
      <c r="K69" s="719">
        <v>72311</v>
      </c>
      <c r="L69" s="719"/>
      <c r="M69" s="719"/>
      <c r="N69" s="719"/>
      <c r="O69" s="757"/>
      <c r="P69" s="765">
        <f t="shared" si="17"/>
        <v>89260</v>
      </c>
      <c r="Q69" s="604">
        <f t="shared" si="14"/>
        <v>1.1124897373231664</v>
      </c>
      <c r="R69" s="828">
        <f t="shared" si="19"/>
        <v>-0.11248973732316636</v>
      </c>
      <c r="S69" s="845">
        <f>P69*$AB$31</f>
        <v>45975.778486851559</v>
      </c>
      <c r="T69" s="719">
        <f>P69*$AC$31</f>
        <v>43284.221513148448</v>
      </c>
      <c r="U69" s="719">
        <f>P69*$AD$31</f>
        <v>36162.776849354734</v>
      </c>
      <c r="V69" s="719">
        <f>P69*$AE$31</f>
        <v>48431.912276233576</v>
      </c>
      <c r="W69" s="719">
        <f>P69*$AF$31</f>
        <v>4665.3108744116917</v>
      </c>
      <c r="X69" s="719">
        <f>P69*$AG$31</f>
        <v>9668.5487032624314</v>
      </c>
      <c r="Y69" s="757">
        <f t="shared" si="18"/>
        <v>-9025.5519818328612</v>
      </c>
    </row>
    <row r="70" spans="2:25">
      <c r="C70" s="1225"/>
      <c r="D70" s="602" t="s">
        <v>2350</v>
      </c>
      <c r="E70" s="603">
        <v>97411.788139174037</v>
      </c>
      <c r="F70" s="637">
        <v>68576.715255669609</v>
      </c>
      <c r="G70" s="784"/>
      <c r="H70" s="1036">
        <v>68332</v>
      </c>
      <c r="I70" s="719"/>
      <c r="J70" s="719"/>
      <c r="K70" s="719"/>
      <c r="L70" s="719"/>
      <c r="M70" s="719"/>
      <c r="N70" s="719"/>
      <c r="O70" s="757"/>
      <c r="P70" s="765">
        <f t="shared" si="17"/>
        <v>68332</v>
      </c>
      <c r="Q70" s="604">
        <f t="shared" si="14"/>
        <v>0.99643151097632399</v>
      </c>
      <c r="R70" s="828">
        <f t="shared" si="19"/>
        <v>3.5684890236760136E-3</v>
      </c>
      <c r="S70" s="845">
        <f>P70*$AB$32</f>
        <v>33903.433042056648</v>
      </c>
      <c r="T70" s="719">
        <f>P70*$AC$32</f>
        <v>34428.566957943352</v>
      </c>
      <c r="U70" s="719">
        <f>P70*$AD$32</f>
        <v>28172.4836983473</v>
      </c>
      <c r="V70" s="719">
        <f>P70*$AE$32</f>
        <v>35346.197659283956</v>
      </c>
      <c r="W70" s="719">
        <f>P70*$AF$32</f>
        <v>4813.318642368743</v>
      </c>
      <c r="X70" s="719">
        <f>P70*$AG$32</f>
        <v>11364.501749316085</v>
      </c>
      <c r="Y70" s="757">
        <f t="shared" si="18"/>
        <v>244.71525566960918</v>
      </c>
    </row>
    <row r="71" spans="2:25">
      <c r="C71" s="1225"/>
      <c r="D71" s="602" t="s">
        <v>2754</v>
      </c>
      <c r="E71" s="603">
        <v>308281.36095731339</v>
      </c>
      <c r="F71" s="637">
        <v>51819.20414359701</v>
      </c>
      <c r="G71" s="784"/>
      <c r="H71" s="1036">
        <v>2211</v>
      </c>
      <c r="I71" s="719"/>
      <c r="J71" s="719"/>
      <c r="K71" s="719"/>
      <c r="L71" s="719"/>
      <c r="M71" s="719"/>
      <c r="N71" s="719"/>
      <c r="O71" s="757"/>
      <c r="P71" s="765">
        <f t="shared" si="17"/>
        <v>2211</v>
      </c>
      <c r="Q71" s="604">
        <f t="shared" si="14"/>
        <v>4.2667579260249985E-2</v>
      </c>
      <c r="R71" s="828">
        <f t="shared" si="19"/>
        <v>0.95733242073975</v>
      </c>
      <c r="S71" s="845">
        <f>P71*$AB$33</f>
        <v>1030.8572255870245</v>
      </c>
      <c r="T71" s="719">
        <f>P71*$AC$33</f>
        <v>1180.1427744129755</v>
      </c>
      <c r="U71" s="719">
        <f>P71*$AD$33</f>
        <v>705.10097305245927</v>
      </c>
      <c r="V71" s="719">
        <f>P71*$AE$33</f>
        <v>1287.9026809682273</v>
      </c>
      <c r="W71" s="719">
        <f>P71*$AF$33</f>
        <v>217.9963459793135</v>
      </c>
      <c r="X71" s="719">
        <f>P71*$AG$33</f>
        <v>376.47969000572823</v>
      </c>
      <c r="Y71" s="757">
        <f t="shared" si="18"/>
        <v>49608.20414359701</v>
      </c>
    </row>
    <row r="72" spans="2:25">
      <c r="C72" s="1225"/>
      <c r="D72" s="602" t="s">
        <v>2755</v>
      </c>
      <c r="E72" s="603">
        <v>336813.18381455197</v>
      </c>
      <c r="F72" s="637">
        <v>16840.659190727598</v>
      </c>
      <c r="G72" s="784"/>
      <c r="H72" s="719"/>
      <c r="I72" s="719"/>
      <c r="J72" s="719"/>
      <c r="K72" s="719"/>
      <c r="L72" s="719"/>
      <c r="M72" s="719"/>
      <c r="N72" s="719"/>
      <c r="O72" s="757"/>
      <c r="P72" s="765">
        <f t="shared" si="17"/>
        <v>0</v>
      </c>
      <c r="Q72" s="604">
        <f t="shared" si="14"/>
        <v>0</v>
      </c>
      <c r="R72" s="828">
        <f t="shared" si="19"/>
        <v>1</v>
      </c>
      <c r="S72" s="845">
        <f>P72*$AB$34</f>
        <v>0</v>
      </c>
      <c r="T72" s="719">
        <f>P72*$AC$34</f>
        <v>0</v>
      </c>
      <c r="U72" s="719">
        <f>P72*$AD$34</f>
        <v>0</v>
      </c>
      <c r="V72" s="719">
        <f>P72*$AE$34</f>
        <v>0</v>
      </c>
      <c r="W72" s="719">
        <f>P72*$AF$34</f>
        <v>0</v>
      </c>
      <c r="X72" s="719">
        <f>P72*$AG$34</f>
        <v>0</v>
      </c>
      <c r="Y72" s="757">
        <f t="shared" si="18"/>
        <v>16840.659190727598</v>
      </c>
    </row>
    <row r="73" spans="2:25">
      <c r="C73" s="1225"/>
      <c r="D73" s="602" t="s">
        <v>2756</v>
      </c>
      <c r="E73" s="603">
        <v>30430.553807096338</v>
      </c>
      <c r="F73" s="637">
        <v>1521.527690354817</v>
      </c>
      <c r="G73" s="784"/>
      <c r="H73" s="785"/>
      <c r="I73" s="785"/>
      <c r="J73" s="785"/>
      <c r="K73" s="785"/>
      <c r="L73" s="785"/>
      <c r="M73" s="785"/>
      <c r="N73" s="785"/>
      <c r="O73" s="756"/>
      <c r="P73" s="765">
        <f t="shared" si="17"/>
        <v>0</v>
      </c>
      <c r="Q73" s="604">
        <f t="shared" si="14"/>
        <v>0</v>
      </c>
      <c r="R73" s="828">
        <f>1-Q73</f>
        <v>1</v>
      </c>
      <c r="S73" s="784">
        <f>P73*$AB$35</f>
        <v>0</v>
      </c>
      <c r="T73" s="785">
        <f>P73*$AC$35</f>
        <v>0</v>
      </c>
      <c r="U73" s="785">
        <f>P73*$AD$35</f>
        <v>0</v>
      </c>
      <c r="V73" s="785">
        <f>P73*$AE$35</f>
        <v>0</v>
      </c>
      <c r="W73" s="785">
        <f>P73*$AF$35</f>
        <v>0</v>
      </c>
      <c r="X73" s="785">
        <f>P73*$AG$35</f>
        <v>0</v>
      </c>
      <c r="Y73" s="756">
        <f t="shared" si="18"/>
        <v>1521.527690354817</v>
      </c>
    </row>
    <row r="74" spans="2:25">
      <c r="C74" s="1225"/>
      <c r="D74" s="602" t="s">
        <v>304</v>
      </c>
      <c r="E74" s="603">
        <v>1238941.7131009183</v>
      </c>
      <c r="F74" s="637">
        <v>511996.55675779848</v>
      </c>
      <c r="G74" s="1057">
        <v>118221.06182531895</v>
      </c>
      <c r="H74" s="1039">
        <v>46591</v>
      </c>
      <c r="I74" s="1039">
        <v>38398</v>
      </c>
      <c r="J74" s="1039">
        <v>8228</v>
      </c>
      <c r="K74" s="785"/>
      <c r="L74" s="785">
        <v>120111</v>
      </c>
      <c r="M74" s="785">
        <v>4126</v>
      </c>
      <c r="N74" s="785">
        <v>34556</v>
      </c>
      <c r="O74" s="756">
        <f>47568+25597</f>
        <v>73165</v>
      </c>
      <c r="P74" s="765">
        <f t="shared" si="17"/>
        <v>443396.06182531896</v>
      </c>
      <c r="Q74" s="604">
        <f t="shared" si="14"/>
        <v>0.86601375726647478</v>
      </c>
      <c r="R74" s="828">
        <f t="shared" ref="R74:R80" si="20">1-Q74</f>
        <v>0.13398624273352522</v>
      </c>
      <c r="S74" s="784">
        <f>P74*$AB$36</f>
        <v>210148.09049019715</v>
      </c>
      <c r="T74" s="785">
        <f>P74*$AC$36</f>
        <v>233247.97133512181</v>
      </c>
      <c r="U74" s="785">
        <f>P74*$AD$36</f>
        <v>162758.64191950622</v>
      </c>
      <c r="V74" s="785">
        <f>P74*$AE$36</f>
        <v>241636.52703020675</v>
      </c>
      <c r="W74" s="785">
        <f>P74*$AF$36</f>
        <v>39000.89287560607</v>
      </c>
      <c r="X74" s="785">
        <f>P74*$AG$36</f>
        <v>76910.499895474466</v>
      </c>
      <c r="Y74" s="756">
        <f t="shared" si="18"/>
        <v>68600.494932479516</v>
      </c>
    </row>
    <row r="75" spans="2:25">
      <c r="C75" s="1225"/>
      <c r="D75" s="602" t="s">
        <v>2757</v>
      </c>
      <c r="E75" s="603">
        <v>271284.15577125904</v>
      </c>
      <c r="F75" s="637">
        <v>77121.038942814761</v>
      </c>
      <c r="G75" s="784"/>
      <c r="H75" s="1039">
        <f>52533+464</f>
        <v>52997</v>
      </c>
      <c r="I75" s="785"/>
      <c r="J75" s="785"/>
      <c r="K75" s="785"/>
      <c r="L75" s="785"/>
      <c r="M75" s="785"/>
      <c r="N75" s="785"/>
      <c r="O75" s="756"/>
      <c r="P75" s="765">
        <f t="shared" si="17"/>
        <v>52997</v>
      </c>
      <c r="Q75" s="604">
        <f t="shared" si="14"/>
        <v>0.68719250578687441</v>
      </c>
      <c r="R75" s="828">
        <f t="shared" si="20"/>
        <v>0.31280749421312559</v>
      </c>
      <c r="S75" s="784">
        <f>P75*$AB$37</f>
        <v>25242.610950038008</v>
      </c>
      <c r="T75" s="785">
        <f>P75*$AC$37</f>
        <v>27754.389049961992</v>
      </c>
      <c r="U75" s="785">
        <f>P75*$AD$37</f>
        <v>18102.854304517608</v>
      </c>
      <c r="V75" s="785">
        <f>P75*$AE$37</f>
        <v>30435.472687883052</v>
      </c>
      <c r="W75" s="785">
        <f>P75*$AF$37</f>
        <v>4458.6730075993173</v>
      </c>
      <c r="X75" s="785">
        <f>P75*$AG$37</f>
        <v>5094.9954317867187</v>
      </c>
      <c r="Y75" s="756">
        <f t="shared" si="18"/>
        <v>24124.038942814761</v>
      </c>
    </row>
    <row r="76" spans="2:25">
      <c r="C76" s="1225"/>
      <c r="D76" s="602" t="s">
        <v>2758</v>
      </c>
      <c r="E76" s="603">
        <v>43761.672559015518</v>
      </c>
      <c r="F76" s="637">
        <v>7658.2926978277155</v>
      </c>
      <c r="G76" s="784"/>
      <c r="H76" s="785"/>
      <c r="I76" s="785"/>
      <c r="J76" s="785"/>
      <c r="K76" s="785"/>
      <c r="L76" s="785"/>
      <c r="M76" s="785"/>
      <c r="N76" s="785"/>
      <c r="O76" s="756"/>
      <c r="P76" s="765">
        <f t="shared" si="17"/>
        <v>0</v>
      </c>
      <c r="Q76" s="604">
        <f t="shared" si="14"/>
        <v>0</v>
      </c>
      <c r="R76" s="828">
        <f t="shared" si="20"/>
        <v>1</v>
      </c>
      <c r="S76" s="784">
        <f>P76*$AB$38</f>
        <v>0</v>
      </c>
      <c r="T76" s="785">
        <f>P76*$AC$38</f>
        <v>0</v>
      </c>
      <c r="U76" s="785">
        <f>P76*$AD$38</f>
        <v>0</v>
      </c>
      <c r="V76" s="785">
        <f>P76*$AE$38</f>
        <v>0</v>
      </c>
      <c r="W76" s="785">
        <f>P76*$AF$38</f>
        <v>0</v>
      </c>
      <c r="X76" s="785">
        <f>P76*$AG$38</f>
        <v>0</v>
      </c>
      <c r="Y76" s="756">
        <f t="shared" si="18"/>
        <v>7658.2926978277155</v>
      </c>
    </row>
    <row r="77" spans="2:25">
      <c r="C77" s="1225"/>
      <c r="D77" s="602" t="s">
        <v>515</v>
      </c>
      <c r="E77" s="603">
        <v>154523.3477130745</v>
      </c>
      <c r="F77" s="637">
        <v>46355.336928268625</v>
      </c>
      <c r="G77" s="1057">
        <f>E3</f>
        <v>8238</v>
      </c>
      <c r="H77" s="785">
        <f>14451+1124</f>
        <v>15575</v>
      </c>
      <c r="I77" s="785">
        <v>0</v>
      </c>
      <c r="J77" s="785">
        <v>0</v>
      </c>
      <c r="K77" s="785"/>
      <c r="L77" s="785">
        <v>11505</v>
      </c>
      <c r="M77" s="785"/>
      <c r="N77" s="785"/>
      <c r="O77" s="756"/>
      <c r="P77" s="765">
        <f t="shared" si="17"/>
        <v>35318</v>
      </c>
      <c r="Q77" s="604">
        <f t="shared" si="14"/>
        <v>0.76189716956759335</v>
      </c>
      <c r="R77" s="828">
        <f t="shared" si="20"/>
        <v>0.23810283043240665</v>
      </c>
      <c r="S77" s="784">
        <f>P77*$AB$39</f>
        <v>17664.456109369185</v>
      </c>
      <c r="T77" s="785">
        <f>P77*$AC$39</f>
        <v>17653.543890630815</v>
      </c>
      <c r="U77" s="785">
        <f>P77*$AD$39</f>
        <v>13419.656595183867</v>
      </c>
      <c r="V77" s="785">
        <f>P77*$AE$39</f>
        <v>19849.511663283214</v>
      </c>
      <c r="W77" s="785">
        <f>P77*$AF$39</f>
        <v>2048.831741532907</v>
      </c>
      <c r="X77" s="785">
        <f>P77*$AG$39</f>
        <v>3045.0491168846643</v>
      </c>
      <c r="Y77" s="756">
        <f t="shared" si="18"/>
        <v>11037.336928268625</v>
      </c>
    </row>
    <row r="78" spans="2:25">
      <c r="C78" s="1225"/>
      <c r="D78" s="602" t="s">
        <v>2688</v>
      </c>
      <c r="E78" s="603">
        <v>134852.16996020486</v>
      </c>
      <c r="F78" s="637">
        <v>41304.042490051215</v>
      </c>
      <c r="G78" s="784"/>
      <c r="H78" s="1039">
        <v>8012</v>
      </c>
      <c r="I78" s="785"/>
      <c r="J78" s="785"/>
      <c r="K78" s="785"/>
      <c r="L78" s="785"/>
      <c r="M78" s="785"/>
      <c r="N78" s="785"/>
      <c r="O78" s="756"/>
      <c r="P78" s="765">
        <f t="shared" si="17"/>
        <v>8012</v>
      </c>
      <c r="Q78" s="604">
        <f t="shared" si="14"/>
        <v>0.19397617078110035</v>
      </c>
      <c r="R78" s="828">
        <f t="shared" si="20"/>
        <v>0.8060238292188997</v>
      </c>
      <c r="S78" s="784">
        <f>P78*$AB$40</f>
        <v>3974.7292702668033</v>
      </c>
      <c r="T78" s="785">
        <f>P78*$AC$40</f>
        <v>4037.2707297331967</v>
      </c>
      <c r="U78" s="785">
        <f>P78*$AD$40</f>
        <v>3044.2915408747144</v>
      </c>
      <c r="V78" s="785">
        <f>P78*$AE$40</f>
        <v>4502.9244987322363</v>
      </c>
      <c r="W78" s="785">
        <f>P78*$AF$40</f>
        <v>464.78396039304755</v>
      </c>
      <c r="X78" s="785">
        <f>P78*$AG$40</f>
        <v>690.77902272155643</v>
      </c>
      <c r="Y78" s="756">
        <f t="shared" si="18"/>
        <v>33292.042490051215</v>
      </c>
    </row>
    <row r="79" spans="2:25">
      <c r="C79" s="1225"/>
      <c r="D79" s="602" t="s">
        <v>2759</v>
      </c>
      <c r="E79" s="603">
        <v>35261.775049483891</v>
      </c>
      <c r="F79" s="637">
        <v>14567.210019793558</v>
      </c>
      <c r="G79" s="784"/>
      <c r="H79" s="785"/>
      <c r="I79" s="785"/>
      <c r="J79" s="785"/>
      <c r="K79" s="785"/>
      <c r="L79" s="785"/>
      <c r="M79" s="785"/>
      <c r="N79" s="785"/>
      <c r="O79" s="756"/>
      <c r="P79" s="765">
        <f t="shared" si="17"/>
        <v>0</v>
      </c>
      <c r="Q79" s="604">
        <f t="shared" si="14"/>
        <v>0</v>
      </c>
      <c r="R79" s="828">
        <f t="shared" si="20"/>
        <v>1</v>
      </c>
      <c r="S79" s="784">
        <f>P79*$AB$41</f>
        <v>0</v>
      </c>
      <c r="T79" s="785">
        <f>P79*$AC$41</f>
        <v>0</v>
      </c>
      <c r="U79" s="785">
        <f>P79*$AD$41</f>
        <v>0</v>
      </c>
      <c r="V79" s="785">
        <f>P79*$AE$41</f>
        <v>0</v>
      </c>
      <c r="W79" s="785">
        <f>P79*$AF$41</f>
        <v>0</v>
      </c>
      <c r="X79" s="785">
        <f>P79*$AG$41</f>
        <v>0</v>
      </c>
      <c r="Y79" s="756">
        <f t="shared" si="18"/>
        <v>14567.210019793558</v>
      </c>
    </row>
    <row r="80" spans="2:25">
      <c r="C80" s="1225"/>
      <c r="D80" s="602" t="s">
        <v>2760</v>
      </c>
      <c r="E80" s="603">
        <v>727743.63049268548</v>
      </c>
      <c r="F80" s="637">
        <v>72774.363049268548</v>
      </c>
      <c r="G80" s="784"/>
      <c r="H80" s="785"/>
      <c r="I80" s="785"/>
      <c r="J80" s="785"/>
      <c r="K80" s="785">
        <f>5000+7500</f>
        <v>12500</v>
      </c>
      <c r="L80" s="785"/>
      <c r="M80" s="785"/>
      <c r="N80" s="785"/>
      <c r="O80" s="756"/>
      <c r="P80" s="765">
        <f t="shared" si="17"/>
        <v>12500</v>
      </c>
      <c r="Q80" s="604">
        <f t="shared" si="14"/>
        <v>0.17176378433621531</v>
      </c>
      <c r="R80" s="828">
        <f t="shared" si="20"/>
        <v>0.82823621566378469</v>
      </c>
      <c r="S80" s="784">
        <f>P80*$AB$42</f>
        <v>6008.8473290174043</v>
      </c>
      <c r="T80" s="785">
        <f>P80*$AC$42</f>
        <v>6491.1526709825957</v>
      </c>
      <c r="U80" s="785">
        <f>P80*$AD$42</f>
        <v>3621.6870182100834</v>
      </c>
      <c r="V80" s="785">
        <f>P80*$AE$42</f>
        <v>7890.9480521086052</v>
      </c>
      <c r="W80" s="785">
        <f>P80*$AF$42</f>
        <v>987.36492968130983</v>
      </c>
      <c r="X80" s="785">
        <f>P80*$AG$42</f>
        <v>1553.6900437578495</v>
      </c>
      <c r="Y80" s="756">
        <f t="shared" si="18"/>
        <v>60274.363049268548</v>
      </c>
    </row>
    <row r="81" spans="3:25" s="610" customFormat="1" ht="23.5" customHeight="1">
      <c r="C81" s="1226"/>
      <c r="D81" s="611" t="s">
        <v>1488</v>
      </c>
      <c r="E81" s="612">
        <f t="shared" ref="E81:O81" si="21">SUM(E63:E80)</f>
        <v>5464902.8974086875</v>
      </c>
      <c r="F81" s="612">
        <f t="shared" si="21"/>
        <v>1317324.9016123444</v>
      </c>
      <c r="G81" s="650">
        <f t="shared" si="21"/>
        <v>209625.06182531896</v>
      </c>
      <c r="H81" s="612">
        <f t="shared" si="21"/>
        <v>245127</v>
      </c>
      <c r="I81" s="612">
        <f t="shared" si="21"/>
        <v>44610</v>
      </c>
      <c r="J81" s="612">
        <f t="shared" si="21"/>
        <v>8228</v>
      </c>
      <c r="K81" s="612">
        <f t="shared" si="21"/>
        <v>105681</v>
      </c>
      <c r="L81" s="612">
        <f t="shared" si="21"/>
        <v>131616</v>
      </c>
      <c r="M81" s="612">
        <f t="shared" si="21"/>
        <v>4126</v>
      </c>
      <c r="N81" s="612">
        <f t="shared" si="21"/>
        <v>34556</v>
      </c>
      <c r="O81" s="768">
        <f t="shared" si="21"/>
        <v>73165</v>
      </c>
      <c r="P81" s="766">
        <f>SUM(P63:P80)</f>
        <v>856734.06182531896</v>
      </c>
      <c r="Q81" s="613">
        <f t="shared" si="14"/>
        <v>0.65035896670344295</v>
      </c>
      <c r="R81" s="829">
        <f>1-Q81</f>
        <v>0.34964103329655705</v>
      </c>
      <c r="S81" s="846">
        <f t="shared" ref="S81:Y81" si="22">SUM(S63:S80)</f>
        <v>416118.08635791595</v>
      </c>
      <c r="T81" s="614">
        <f t="shared" si="22"/>
        <v>440615.97546740301</v>
      </c>
      <c r="U81" s="614">
        <f t="shared" si="22"/>
        <v>323109.05633503955</v>
      </c>
      <c r="V81" s="614">
        <f t="shared" si="22"/>
        <v>468335.6742699896</v>
      </c>
      <c r="W81" s="614">
        <f t="shared" si="22"/>
        <v>65289.331220289845</v>
      </c>
      <c r="X81" s="614">
        <f t="shared" si="22"/>
        <v>127602.04882436647</v>
      </c>
      <c r="Y81" s="847">
        <f t="shared" si="22"/>
        <v>460590.83978702547</v>
      </c>
    </row>
    <row r="82" spans="3:25">
      <c r="C82" s="1221" t="s">
        <v>2294</v>
      </c>
      <c r="D82" s="623" t="s">
        <v>2749</v>
      </c>
      <c r="E82" s="623">
        <v>3948.1123511466467</v>
      </c>
      <c r="F82" s="624">
        <v>1157.058705343994</v>
      </c>
      <c r="G82" s="721"/>
      <c r="H82" s="1037"/>
      <c r="I82" s="1037"/>
      <c r="J82" s="722"/>
      <c r="K82" s="722"/>
      <c r="L82" s="722"/>
      <c r="M82" s="722"/>
      <c r="N82" s="722"/>
      <c r="O82" s="758"/>
      <c r="P82" s="765">
        <f t="shared" ref="P82:P99" si="23">SUM(G82:O82)</f>
        <v>0</v>
      </c>
      <c r="Q82" s="625">
        <f t="shared" si="14"/>
        <v>0</v>
      </c>
      <c r="R82" s="830">
        <f>1-Q82</f>
        <v>1</v>
      </c>
      <c r="S82" s="848">
        <f>P82*$AB$25</f>
        <v>0</v>
      </c>
      <c r="T82" s="623">
        <f>P82*$AC$25</f>
        <v>0</v>
      </c>
      <c r="U82" s="623">
        <f>P82*$AD$25</f>
        <v>0</v>
      </c>
      <c r="V82" s="623">
        <f>P82*$AE$25</f>
        <v>0</v>
      </c>
      <c r="W82" s="623">
        <f>P82*$AF$25</f>
        <v>0</v>
      </c>
      <c r="X82" s="623">
        <f>P82*$AG$25</f>
        <v>0</v>
      </c>
      <c r="Y82" s="758">
        <f t="shared" ref="Y82:Y99" si="24">F82-P82</f>
        <v>1157.058705343994</v>
      </c>
    </row>
    <row r="83" spans="3:25">
      <c r="C83" s="1222"/>
      <c r="D83" s="623" t="s">
        <v>2750</v>
      </c>
      <c r="E83" s="623">
        <v>64112.005103947704</v>
      </c>
      <c r="F83" s="624">
        <v>6411.2005103947704</v>
      </c>
      <c r="G83" s="721"/>
      <c r="H83" s="722"/>
      <c r="I83" s="722"/>
      <c r="J83" s="722"/>
      <c r="K83" s="722"/>
      <c r="L83" s="722"/>
      <c r="M83" s="722"/>
      <c r="N83" s="722"/>
      <c r="O83" s="758"/>
      <c r="P83" s="765">
        <f t="shared" si="23"/>
        <v>0</v>
      </c>
      <c r="Q83" s="625">
        <f t="shared" si="14"/>
        <v>0</v>
      </c>
      <c r="R83" s="830">
        <f t="shared" ref="R83:R95" si="25">1-Q83</f>
        <v>1</v>
      </c>
      <c r="S83" s="848">
        <f>P83*$AB$26</f>
        <v>0</v>
      </c>
      <c r="T83" s="623">
        <f>P83*$AC$26</f>
        <v>0</v>
      </c>
      <c r="U83" s="623">
        <f>P83*$AD$26</f>
        <v>0</v>
      </c>
      <c r="V83" s="623">
        <f>P83*$AE$26</f>
        <v>0</v>
      </c>
      <c r="W83" s="623">
        <f>P83*$AF$26</f>
        <v>0</v>
      </c>
      <c r="X83" s="623">
        <f>P83*$AG$26</f>
        <v>0</v>
      </c>
      <c r="Y83" s="758">
        <f t="shared" si="24"/>
        <v>6411.2005103947704</v>
      </c>
    </row>
    <row r="84" spans="3:25">
      <c r="C84" s="1222"/>
      <c r="D84" s="623" t="s">
        <v>2751</v>
      </c>
      <c r="E84" s="623">
        <v>11238.071701327328</v>
      </c>
      <c r="F84" s="624">
        <v>6416.1530207963951</v>
      </c>
      <c r="G84" s="721"/>
      <c r="H84" s="722"/>
      <c r="I84" s="722"/>
      <c r="J84" s="722"/>
      <c r="K84" s="722"/>
      <c r="L84" s="722"/>
      <c r="M84" s="722"/>
      <c r="N84" s="722"/>
      <c r="O84" s="758"/>
      <c r="P84" s="765">
        <f t="shared" si="23"/>
        <v>0</v>
      </c>
      <c r="Q84" s="625">
        <f t="shared" si="14"/>
        <v>0</v>
      </c>
      <c r="R84" s="830">
        <f t="shared" si="25"/>
        <v>1</v>
      </c>
      <c r="S84" s="848">
        <f>P84*$AB$27</f>
        <v>0</v>
      </c>
      <c r="T84" s="623">
        <f>P84*$AC$27</f>
        <v>0</v>
      </c>
      <c r="U84" s="623">
        <f>P84*$AD$27</f>
        <v>0</v>
      </c>
      <c r="V84" s="623">
        <f>P84*$AE$27</f>
        <v>0</v>
      </c>
      <c r="W84" s="623">
        <f>P84*$AF$27</f>
        <v>0</v>
      </c>
      <c r="X84" s="623">
        <f>P84*$AG$27</f>
        <v>0</v>
      </c>
      <c r="Y84" s="758">
        <f t="shared" si="24"/>
        <v>6416.1530207963951</v>
      </c>
    </row>
    <row r="85" spans="3:25">
      <c r="C85" s="1222"/>
      <c r="D85" s="623" t="s">
        <v>2752</v>
      </c>
      <c r="E85" s="623">
        <v>6900.7566228962896</v>
      </c>
      <c r="F85" s="624">
        <v>2070.2269868688868</v>
      </c>
      <c r="G85" s="721"/>
      <c r="H85" s="722"/>
      <c r="I85" s="722"/>
      <c r="J85" s="722"/>
      <c r="K85" s="722"/>
      <c r="L85" s="722"/>
      <c r="M85" s="722"/>
      <c r="N85" s="722"/>
      <c r="O85" s="758"/>
      <c r="P85" s="765">
        <f t="shared" si="23"/>
        <v>0</v>
      </c>
      <c r="Q85" s="625">
        <f t="shared" si="14"/>
        <v>0</v>
      </c>
      <c r="R85" s="830">
        <f t="shared" si="25"/>
        <v>1</v>
      </c>
      <c r="S85" s="848">
        <f>P85*$AB$28</f>
        <v>0</v>
      </c>
      <c r="T85" s="623">
        <f>P85*$AC$28</f>
        <v>0</v>
      </c>
      <c r="U85" s="623">
        <f>P85*$AD$28</f>
        <v>0</v>
      </c>
      <c r="V85" s="623">
        <f>P85*$AE$28</f>
        <v>0</v>
      </c>
      <c r="W85" s="623">
        <f>P85*$AF$28</f>
        <v>0</v>
      </c>
      <c r="X85" s="623">
        <f>P85*$AG$28</f>
        <v>0</v>
      </c>
      <c r="Y85" s="758">
        <f t="shared" si="24"/>
        <v>2070.2269868688868</v>
      </c>
    </row>
    <row r="86" spans="3:25">
      <c r="C86" s="1222"/>
      <c r="D86" s="623" t="s">
        <v>613</v>
      </c>
      <c r="E86" s="623">
        <v>12661.39498544412</v>
      </c>
      <c r="F86" s="624">
        <v>4759.9769912664715</v>
      </c>
      <c r="G86" s="721"/>
      <c r="H86" s="722"/>
      <c r="I86" s="722">
        <v>0</v>
      </c>
      <c r="J86" s="722">
        <v>0</v>
      </c>
      <c r="K86" s="722"/>
      <c r="L86" s="722"/>
      <c r="M86" s="722"/>
      <c r="N86" s="722"/>
      <c r="O86" s="758"/>
      <c r="P86" s="765">
        <f t="shared" si="23"/>
        <v>0</v>
      </c>
      <c r="Q86" s="625">
        <f t="shared" si="14"/>
        <v>0</v>
      </c>
      <c r="R86" s="830">
        <f t="shared" si="25"/>
        <v>1</v>
      </c>
      <c r="S86" s="848">
        <f>P86*$AB$29</f>
        <v>0</v>
      </c>
      <c r="T86" s="623">
        <f>P86*$AC$29</f>
        <v>0</v>
      </c>
      <c r="U86" s="623">
        <f>P86*$AD$29</f>
        <v>0</v>
      </c>
      <c r="V86" s="623">
        <f>P86*$AE$29</f>
        <v>0</v>
      </c>
      <c r="W86" s="623">
        <f>P86*$AF$29</f>
        <v>0</v>
      </c>
      <c r="X86" s="623">
        <f>P86*$AG$29</f>
        <v>0</v>
      </c>
      <c r="Y86" s="758">
        <f t="shared" si="24"/>
        <v>4759.9769912664715</v>
      </c>
    </row>
    <row r="87" spans="3:25">
      <c r="C87" s="1222"/>
      <c r="D87" s="623" t="s">
        <v>37</v>
      </c>
      <c r="E87" s="623">
        <v>45425.368035162523</v>
      </c>
      <c r="F87" s="624">
        <v>15699.894428130017</v>
      </c>
      <c r="G87" s="1058">
        <f>F2</f>
        <v>1339</v>
      </c>
      <c r="H87" s="1037"/>
      <c r="I87" s="1037">
        <v>26</v>
      </c>
      <c r="J87" s="722">
        <v>0</v>
      </c>
      <c r="K87" s="722"/>
      <c r="L87" s="722"/>
      <c r="M87" s="722"/>
      <c r="N87" s="722"/>
      <c r="O87" s="758"/>
      <c r="P87" s="765">
        <f t="shared" si="23"/>
        <v>1365</v>
      </c>
      <c r="Q87" s="625">
        <f t="shared" si="14"/>
        <v>8.6943259793791014E-2</v>
      </c>
      <c r="R87" s="830">
        <f t="shared" si="25"/>
        <v>0.91305674020620897</v>
      </c>
      <c r="S87" s="848">
        <f>P87*$AB$30</f>
        <v>695.94105976780554</v>
      </c>
      <c r="T87" s="623">
        <f>P87*$AC$30</f>
        <v>669.05894023219446</v>
      </c>
      <c r="U87" s="623">
        <f>P87*$AD$30</f>
        <v>491.53313984737395</v>
      </c>
      <c r="V87" s="623">
        <f>P87*$AE$30</f>
        <v>798.397057292824</v>
      </c>
      <c r="W87" s="623">
        <f>P87*$AF$30</f>
        <v>75.06980285980201</v>
      </c>
      <c r="X87" s="623">
        <f>P87*$AG$30</f>
        <v>121.45444599619366</v>
      </c>
      <c r="Y87" s="758">
        <f t="shared" si="24"/>
        <v>14334.894428130017</v>
      </c>
    </row>
    <row r="88" spans="3:25">
      <c r="C88" s="1222"/>
      <c r="D88" s="623" t="s">
        <v>2753</v>
      </c>
      <c r="E88" s="623">
        <v>33093.418502270892</v>
      </c>
      <c r="F88" s="624">
        <v>10430.134801816714</v>
      </c>
      <c r="G88" s="721"/>
      <c r="H88" s="1037"/>
      <c r="I88" s="1037"/>
      <c r="J88" s="722"/>
      <c r="K88" s="722"/>
      <c r="L88" s="722"/>
      <c r="M88" s="722"/>
      <c r="N88" s="722"/>
      <c r="O88" s="758"/>
      <c r="P88" s="765">
        <f t="shared" si="23"/>
        <v>0</v>
      </c>
      <c r="Q88" s="625">
        <f t="shared" si="14"/>
        <v>0</v>
      </c>
      <c r="R88" s="830">
        <f t="shared" si="25"/>
        <v>1</v>
      </c>
      <c r="S88" s="848">
        <f>P88*$AB$31</f>
        <v>0</v>
      </c>
      <c r="T88" s="623">
        <f>P88*$AC$31</f>
        <v>0</v>
      </c>
      <c r="U88" s="623">
        <f>P88*$AD$31</f>
        <v>0</v>
      </c>
      <c r="V88" s="623">
        <f>P88*$AE$31</f>
        <v>0</v>
      </c>
      <c r="W88" s="623">
        <f>P88*$AF$31</f>
        <v>0</v>
      </c>
      <c r="X88" s="623">
        <f>P88*$AG$31</f>
        <v>0</v>
      </c>
      <c r="Y88" s="758">
        <f t="shared" si="24"/>
        <v>10430.134801816714</v>
      </c>
    </row>
    <row r="89" spans="3:25">
      <c r="C89" s="1222"/>
      <c r="D89" s="623" t="s">
        <v>2350</v>
      </c>
      <c r="E89" s="623">
        <v>25598.989406958703</v>
      </c>
      <c r="F89" s="624">
        <v>8634.3915255669617</v>
      </c>
      <c r="G89" s="721"/>
      <c r="H89" s="1037">
        <v>150</v>
      </c>
      <c r="I89" s="722"/>
      <c r="J89" s="722"/>
      <c r="K89" s="722"/>
      <c r="L89" s="722"/>
      <c r="M89" s="722"/>
      <c r="N89" s="722"/>
      <c r="O89" s="758"/>
      <c r="P89" s="765">
        <f t="shared" si="23"/>
        <v>150</v>
      </c>
      <c r="Q89" s="625">
        <f t="shared" ref="Q89:Q120" si="26">P89/F89</f>
        <v>1.7372388031726478E-2</v>
      </c>
      <c r="R89" s="830">
        <f t="shared" si="25"/>
        <v>0.98262761196827353</v>
      </c>
      <c r="S89" s="848">
        <f>P89*$AB$32</f>
        <v>74.423622260558702</v>
      </c>
      <c r="T89" s="623">
        <f>P89*$AC$32</f>
        <v>75.576377739441298</v>
      </c>
      <c r="U89" s="623">
        <f>P89*$AD$32</f>
        <v>61.843244084061567</v>
      </c>
      <c r="V89" s="623">
        <f>P89*$AE$32</f>
        <v>77.590728339468967</v>
      </c>
      <c r="W89" s="623">
        <f>P89*$AF$32</f>
        <v>10.566027576469464</v>
      </c>
      <c r="X89" s="623">
        <f>P89*$AG$32</f>
        <v>24.946954024430909</v>
      </c>
      <c r="Y89" s="758">
        <f t="shared" si="24"/>
        <v>8484.3915255669617</v>
      </c>
    </row>
    <row r="90" spans="3:25">
      <c r="C90" s="1222"/>
      <c r="D90" s="623" t="s">
        <v>2754</v>
      </c>
      <c r="E90" s="623">
        <v>19317.96804786567</v>
      </c>
      <c r="F90" s="624">
        <v>5516.5404143597007</v>
      </c>
      <c r="G90" s="721"/>
      <c r="H90" s="722"/>
      <c r="I90" s="722"/>
      <c r="J90" s="722"/>
      <c r="K90" s="722"/>
      <c r="L90" s="722"/>
      <c r="M90" s="722"/>
      <c r="N90" s="722"/>
      <c r="O90" s="758"/>
      <c r="P90" s="765">
        <f t="shared" si="23"/>
        <v>0</v>
      </c>
      <c r="Q90" s="625">
        <f t="shared" si="26"/>
        <v>0</v>
      </c>
      <c r="R90" s="830">
        <f t="shared" si="25"/>
        <v>1</v>
      </c>
      <c r="S90" s="848">
        <f>P90*$AB$33</f>
        <v>0</v>
      </c>
      <c r="T90" s="623">
        <f>P90*$AC$33</f>
        <v>0</v>
      </c>
      <c r="U90" s="623">
        <f>P90*$AD$33</f>
        <v>0</v>
      </c>
      <c r="V90" s="623">
        <f>P90*$AE$33</f>
        <v>0</v>
      </c>
      <c r="W90" s="623">
        <f>P90*$AF$33</f>
        <v>0</v>
      </c>
      <c r="X90" s="623">
        <f>P90*$AG$33</f>
        <v>0</v>
      </c>
      <c r="Y90" s="758">
        <f t="shared" si="24"/>
        <v>5516.5404143597007</v>
      </c>
    </row>
    <row r="91" spans="3:25">
      <c r="C91" s="1222"/>
      <c r="D91" s="623" t="s">
        <v>2755</v>
      </c>
      <c r="E91" s="623">
        <v>16840.659190727598</v>
      </c>
      <c r="F91" s="624">
        <v>1684.0659190727599</v>
      </c>
      <c r="G91" s="721"/>
      <c r="H91" s="722"/>
      <c r="I91" s="722"/>
      <c r="J91" s="722"/>
      <c r="K91" s="722"/>
      <c r="L91" s="722"/>
      <c r="M91" s="722"/>
      <c r="N91" s="722"/>
      <c r="O91" s="758"/>
      <c r="P91" s="765">
        <f t="shared" si="23"/>
        <v>0</v>
      </c>
      <c r="Q91" s="625">
        <f t="shared" si="26"/>
        <v>0</v>
      </c>
      <c r="R91" s="830">
        <f t="shared" si="25"/>
        <v>1</v>
      </c>
      <c r="S91" s="848">
        <f>P91*$AB$34</f>
        <v>0</v>
      </c>
      <c r="T91" s="623">
        <f>P91*$AC$34</f>
        <v>0</v>
      </c>
      <c r="U91" s="623">
        <f>P91*$AD$34</f>
        <v>0</v>
      </c>
      <c r="V91" s="623">
        <f>P91*$AE$34</f>
        <v>0</v>
      </c>
      <c r="W91" s="623">
        <f>P91*$AF$34</f>
        <v>0</v>
      </c>
      <c r="X91" s="623">
        <f>P91*$AG$34</f>
        <v>0</v>
      </c>
      <c r="Y91" s="758">
        <f t="shared" si="24"/>
        <v>1684.0659190727599</v>
      </c>
    </row>
    <row r="92" spans="3:25">
      <c r="C92" s="1222"/>
      <c r="D92" s="623" t="s">
        <v>2756</v>
      </c>
      <c r="E92" s="623">
        <v>1521.527690354817</v>
      </c>
      <c r="F92" s="624">
        <v>152.1527690354817</v>
      </c>
      <c r="G92" s="721"/>
      <c r="H92" s="722"/>
      <c r="I92" s="722"/>
      <c r="J92" s="722"/>
      <c r="K92" s="722"/>
      <c r="L92" s="722"/>
      <c r="M92" s="722"/>
      <c r="N92" s="722"/>
      <c r="O92" s="758"/>
      <c r="P92" s="765">
        <f t="shared" si="23"/>
        <v>0</v>
      </c>
      <c r="Q92" s="625">
        <f t="shared" si="26"/>
        <v>0</v>
      </c>
      <c r="R92" s="830">
        <f t="shared" si="25"/>
        <v>1</v>
      </c>
      <c r="S92" s="848">
        <f>P92*$AB$35</f>
        <v>0</v>
      </c>
      <c r="T92" s="623">
        <f>P92*$AC$35</f>
        <v>0</v>
      </c>
      <c r="U92" s="623">
        <f>P92*$AD$35</f>
        <v>0</v>
      </c>
      <c r="V92" s="623">
        <f>P92*$AE$35</f>
        <v>0</v>
      </c>
      <c r="W92" s="623">
        <f>P92*$AF$35</f>
        <v>0</v>
      </c>
      <c r="X92" s="623">
        <f>P92*$AG$35</f>
        <v>0</v>
      </c>
      <c r="Y92" s="758">
        <f t="shared" si="24"/>
        <v>152.1527690354817</v>
      </c>
    </row>
    <row r="93" spans="3:25">
      <c r="C93" s="1222"/>
      <c r="D93" s="623" t="s">
        <v>304</v>
      </c>
      <c r="E93" s="623">
        <v>138485.43565504593</v>
      </c>
      <c r="F93" s="624">
        <v>57760.085675779846</v>
      </c>
      <c r="G93" s="1058">
        <v>6481</v>
      </c>
      <c r="H93" s="1037">
        <v>860</v>
      </c>
      <c r="I93" s="1037">
        <v>421</v>
      </c>
      <c r="J93" s="1037">
        <v>1916</v>
      </c>
      <c r="K93" s="722"/>
      <c r="L93" s="722"/>
      <c r="M93" s="722"/>
      <c r="N93" s="722">
        <v>7874</v>
      </c>
      <c r="O93" s="758">
        <v>34640</v>
      </c>
      <c r="P93" s="765">
        <f t="shared" si="23"/>
        <v>52192</v>
      </c>
      <c r="Q93" s="625">
        <f t="shared" si="26"/>
        <v>0.90359976771788841</v>
      </c>
      <c r="R93" s="830">
        <f t="shared" si="25"/>
        <v>9.6400232282111586E-2</v>
      </c>
      <c r="S93" s="848">
        <f>P93*$AB$36</f>
        <v>24736.460431588948</v>
      </c>
      <c r="T93" s="623">
        <f>P93*$AC$36</f>
        <v>27455.539568411052</v>
      </c>
      <c r="U93" s="623">
        <f>P93*$AD$36</f>
        <v>19158.264518843323</v>
      </c>
      <c r="V93" s="623">
        <f>P93*$AE$36</f>
        <v>28442.953613171681</v>
      </c>
      <c r="W93" s="623">
        <f>P93*$AF$36</f>
        <v>4590.7818679850043</v>
      </c>
      <c r="X93" s="623">
        <f>P93*$AG$36</f>
        <v>9053.1088481476181</v>
      </c>
      <c r="Y93" s="758">
        <f t="shared" si="24"/>
        <v>5568.0856757798465</v>
      </c>
    </row>
    <row r="94" spans="3:25">
      <c r="C94" s="1222"/>
      <c r="D94" s="623" t="s">
        <v>2757</v>
      </c>
      <c r="E94" s="623">
        <v>20074.207788562955</v>
      </c>
      <c r="F94" s="624">
        <v>8270.1038942814776</v>
      </c>
      <c r="G94" s="721"/>
      <c r="H94" s="1037">
        <v>10</v>
      </c>
      <c r="I94" s="722"/>
      <c r="J94" s="722"/>
      <c r="K94" s="722"/>
      <c r="L94" s="722"/>
      <c r="M94" s="722"/>
      <c r="N94" s="722"/>
      <c r="O94" s="758"/>
      <c r="P94" s="765">
        <f t="shared" si="23"/>
        <v>10</v>
      </c>
      <c r="Q94" s="625">
        <f t="shared" si="26"/>
        <v>1.2091746521968958E-3</v>
      </c>
      <c r="R94" s="830">
        <f t="shared" si="25"/>
        <v>0.99879082534780306</v>
      </c>
      <c r="S94" s="848">
        <f>P94*$AB$37</f>
        <v>4.7630263882933015</v>
      </c>
      <c r="T94" s="623">
        <f>P94*$AC$37</f>
        <v>5.2369736117066985</v>
      </c>
      <c r="U94" s="623">
        <f>P94*$AD$37</f>
        <v>3.4158262362997167</v>
      </c>
      <c r="V94" s="623">
        <f>P94*$AE$37</f>
        <v>5.7428670845298893</v>
      </c>
      <c r="W94" s="623">
        <f>P94*$AF$37</f>
        <v>0.84130667917039037</v>
      </c>
      <c r="X94" s="623">
        <f>P94*$AG$37</f>
        <v>0.96137431020373199</v>
      </c>
      <c r="Y94" s="758">
        <f t="shared" si="24"/>
        <v>8260.1038942814776</v>
      </c>
    </row>
    <row r="95" spans="3:25">
      <c r="C95" s="1222"/>
      <c r="D95" s="623" t="s">
        <v>2758</v>
      </c>
      <c r="E95" s="623">
        <v>2188.0836279507762</v>
      </c>
      <c r="F95" s="624">
        <v>765.82926978277158</v>
      </c>
      <c r="G95" s="721"/>
      <c r="H95" s="722"/>
      <c r="I95" s="722"/>
      <c r="J95" s="722"/>
      <c r="K95" s="722"/>
      <c r="L95" s="722"/>
      <c r="M95" s="722"/>
      <c r="N95" s="722"/>
      <c r="O95" s="758"/>
      <c r="P95" s="765">
        <f t="shared" si="23"/>
        <v>0</v>
      </c>
      <c r="Q95" s="625">
        <f t="shared" si="26"/>
        <v>0</v>
      </c>
      <c r="R95" s="830">
        <f t="shared" si="25"/>
        <v>1</v>
      </c>
      <c r="S95" s="848">
        <f>P95*$AB$38</f>
        <v>0</v>
      </c>
      <c r="T95" s="623">
        <f>P95*$AC$38</f>
        <v>0</v>
      </c>
      <c r="U95" s="623">
        <f>P95*$AD$38</f>
        <v>0</v>
      </c>
      <c r="V95" s="623">
        <f>P95*$AE$38</f>
        <v>0</v>
      </c>
      <c r="W95" s="623">
        <f>P95*$AF$38</f>
        <v>0</v>
      </c>
      <c r="X95" s="623">
        <f>P95*$AG$38</f>
        <v>0</v>
      </c>
      <c r="Y95" s="758">
        <f t="shared" si="24"/>
        <v>765.82926978277158</v>
      </c>
    </row>
    <row r="96" spans="3:25">
      <c r="C96" s="1222"/>
      <c r="D96" s="623" t="s">
        <v>515</v>
      </c>
      <c r="E96" s="623">
        <v>13133.317385653725</v>
      </c>
      <c r="F96" s="624">
        <v>5099.0036928268628</v>
      </c>
      <c r="G96" s="1058">
        <f>F3</f>
        <v>0</v>
      </c>
      <c r="H96" s="723"/>
      <c r="I96" s="723">
        <v>0</v>
      </c>
      <c r="J96" s="723">
        <v>0</v>
      </c>
      <c r="K96" s="723"/>
      <c r="L96" s="723"/>
      <c r="M96" s="723"/>
      <c r="N96" s="723"/>
      <c r="O96" s="759"/>
      <c r="P96" s="765">
        <f t="shared" si="23"/>
        <v>0</v>
      </c>
      <c r="Q96" s="625">
        <f t="shared" si="26"/>
        <v>0</v>
      </c>
      <c r="R96" s="830">
        <f t="shared" ref="R96:R112" si="27">1-Q96</f>
        <v>1</v>
      </c>
      <c r="S96" s="848">
        <f>P96*$AB$39</f>
        <v>0</v>
      </c>
      <c r="T96" s="623">
        <f>P96*$AC$39</f>
        <v>0</v>
      </c>
      <c r="U96" s="623">
        <f>P96*$AD$39</f>
        <v>0</v>
      </c>
      <c r="V96" s="623">
        <f>P96*$AE$39</f>
        <v>0</v>
      </c>
      <c r="W96" s="623">
        <f>P96*$AF$39</f>
        <v>0</v>
      </c>
      <c r="X96" s="623">
        <f>P96*$AG$39</f>
        <v>0</v>
      </c>
      <c r="Y96" s="758">
        <f t="shared" si="24"/>
        <v>5099.0036928268628</v>
      </c>
    </row>
    <row r="97" spans="3:25">
      <c r="C97" s="1222"/>
      <c r="D97" s="623" t="s">
        <v>2688</v>
      </c>
      <c r="E97" s="623">
        <v>12056.308498010243</v>
      </c>
      <c r="F97" s="624">
        <v>4585.8642490051216</v>
      </c>
      <c r="G97" s="686"/>
      <c r="H97" s="1037"/>
      <c r="I97" s="723"/>
      <c r="J97" s="723"/>
      <c r="K97" s="723"/>
      <c r="L97" s="723"/>
      <c r="M97" s="723"/>
      <c r="N97" s="723"/>
      <c r="O97" s="759"/>
      <c r="P97" s="765">
        <f t="shared" si="23"/>
        <v>0</v>
      </c>
      <c r="Q97" s="625">
        <f t="shared" si="26"/>
        <v>0</v>
      </c>
      <c r="R97" s="830">
        <f t="shared" si="27"/>
        <v>1</v>
      </c>
      <c r="S97" s="848">
        <f>P97*$AB$40</f>
        <v>0</v>
      </c>
      <c r="T97" s="623">
        <f>P97*$AC$40</f>
        <v>0</v>
      </c>
      <c r="U97" s="623">
        <f>P97*$AD$40</f>
        <v>0</v>
      </c>
      <c r="V97" s="623">
        <f>P97*$AE$40</f>
        <v>0</v>
      </c>
      <c r="W97" s="623">
        <f>P97*$AF$40</f>
        <v>0</v>
      </c>
      <c r="X97" s="623">
        <f>P97*$AG$40</f>
        <v>0</v>
      </c>
      <c r="Y97" s="758">
        <f t="shared" si="24"/>
        <v>4585.8642490051216</v>
      </c>
    </row>
    <row r="98" spans="3:25">
      <c r="C98" s="1222"/>
      <c r="D98" s="623" t="s">
        <v>2759</v>
      </c>
      <c r="E98" s="623">
        <v>2086.8387524741947</v>
      </c>
      <c r="F98" s="624">
        <v>1484.4710019793558</v>
      </c>
      <c r="G98" s="686"/>
      <c r="H98" s="723"/>
      <c r="I98" s="723"/>
      <c r="J98" s="723"/>
      <c r="K98" s="723"/>
      <c r="L98" s="723"/>
      <c r="M98" s="723"/>
      <c r="N98" s="723"/>
      <c r="O98" s="759"/>
      <c r="P98" s="765">
        <f t="shared" si="23"/>
        <v>0</v>
      </c>
      <c r="Q98" s="625">
        <f t="shared" si="26"/>
        <v>0</v>
      </c>
      <c r="R98" s="830">
        <f t="shared" si="27"/>
        <v>1</v>
      </c>
      <c r="S98" s="848">
        <f>P98*$AB$41</f>
        <v>0</v>
      </c>
      <c r="T98" s="623">
        <f>P98*$AC$41</f>
        <v>0</v>
      </c>
      <c r="U98" s="623">
        <f>P98*$AD$41</f>
        <v>0</v>
      </c>
      <c r="V98" s="623">
        <f>P98*$AE$41</f>
        <v>0</v>
      </c>
      <c r="W98" s="623">
        <f>P98*$AF$41</f>
        <v>0</v>
      </c>
      <c r="X98" s="623">
        <f>P98*$AG$41</f>
        <v>0</v>
      </c>
      <c r="Y98" s="758">
        <f t="shared" si="24"/>
        <v>1484.4710019793558</v>
      </c>
    </row>
    <row r="99" spans="3:25">
      <c r="C99" s="1222"/>
      <c r="D99" s="623" t="s">
        <v>2760</v>
      </c>
      <c r="E99" s="623">
        <v>36387.181524634274</v>
      </c>
      <c r="F99" s="624">
        <v>7277.436304926855</v>
      </c>
      <c r="G99" s="686"/>
      <c r="H99" s="723"/>
      <c r="I99" s="723"/>
      <c r="J99" s="723"/>
      <c r="K99" s="723"/>
      <c r="L99" s="723"/>
      <c r="M99" s="723"/>
      <c r="N99" s="723"/>
      <c r="O99" s="759"/>
      <c r="P99" s="765">
        <f t="shared" si="23"/>
        <v>0</v>
      </c>
      <c r="Q99" s="625">
        <f t="shared" si="26"/>
        <v>0</v>
      </c>
      <c r="R99" s="830">
        <f t="shared" si="27"/>
        <v>1</v>
      </c>
      <c r="S99" s="848">
        <f>P99*$AB$42</f>
        <v>0</v>
      </c>
      <c r="T99" s="623">
        <f>P99*$AC$42</f>
        <v>0</v>
      </c>
      <c r="U99" s="623">
        <f>P99*$AD$42</f>
        <v>0</v>
      </c>
      <c r="V99" s="623">
        <f>P99*$AE$42</f>
        <v>0</v>
      </c>
      <c r="W99" s="623">
        <f>P99*$AF$42</f>
        <v>0</v>
      </c>
      <c r="X99" s="623">
        <f>P99*$AG$42</f>
        <v>0</v>
      </c>
      <c r="Y99" s="758">
        <f t="shared" si="24"/>
        <v>7277.436304926855</v>
      </c>
    </row>
    <row r="100" spans="3:25" s="592" customFormat="1">
      <c r="C100" s="1223"/>
      <c r="D100" s="615" t="s">
        <v>1488</v>
      </c>
      <c r="E100" s="615">
        <f>SUM(E82:E99)</f>
        <v>465069.64487043431</v>
      </c>
      <c r="F100" s="638">
        <f t="shared" ref="F100:O100" si="28">SUM(F82:F99)</f>
        <v>148174.59016123443</v>
      </c>
      <c r="G100" s="651">
        <f>SUM(G82:G99)</f>
        <v>7820</v>
      </c>
      <c r="H100" s="640">
        <f t="shared" si="28"/>
        <v>1020</v>
      </c>
      <c r="I100" s="640">
        <f t="shared" si="28"/>
        <v>447</v>
      </c>
      <c r="J100" s="640">
        <f t="shared" si="28"/>
        <v>1916</v>
      </c>
      <c r="K100" s="640">
        <f t="shared" si="28"/>
        <v>0</v>
      </c>
      <c r="L100" s="640">
        <f t="shared" si="28"/>
        <v>0</v>
      </c>
      <c r="M100" s="640"/>
      <c r="N100" s="640">
        <f t="shared" si="28"/>
        <v>7874</v>
      </c>
      <c r="O100" s="760">
        <f t="shared" si="28"/>
        <v>34640</v>
      </c>
      <c r="P100" s="769">
        <f>SUM(P82:P99)</f>
        <v>53717</v>
      </c>
      <c r="Q100" s="616">
        <f t="shared" si="26"/>
        <v>0.36252504522906714</v>
      </c>
      <c r="R100" s="831">
        <f t="shared" si="27"/>
        <v>0.63747495477093286</v>
      </c>
      <c r="S100" s="849">
        <f t="shared" ref="S100:Y100" si="29">SUM(S82:S99)</f>
        <v>25511.588140005606</v>
      </c>
      <c r="T100" s="617">
        <f t="shared" si="29"/>
        <v>28205.411859994394</v>
      </c>
      <c r="U100" s="617">
        <f t="shared" si="29"/>
        <v>19715.056729011056</v>
      </c>
      <c r="V100" s="617">
        <f t="shared" si="29"/>
        <v>29324.684265888503</v>
      </c>
      <c r="W100" s="617">
        <f t="shared" si="29"/>
        <v>4677.2590051004454</v>
      </c>
      <c r="X100" s="617">
        <f t="shared" si="29"/>
        <v>9200.4716224784461</v>
      </c>
      <c r="Y100" s="850">
        <f t="shared" si="29"/>
        <v>94457.590161234461</v>
      </c>
    </row>
    <row r="101" spans="3:25">
      <c r="C101" s="1217" t="s">
        <v>2762</v>
      </c>
      <c r="D101" s="618" t="s">
        <v>2749</v>
      </c>
      <c r="E101" s="575">
        <v>142.35</v>
      </c>
      <c r="F101" s="576">
        <v>54.75</v>
      </c>
      <c r="G101" s="687"/>
      <c r="H101" s="1038"/>
      <c r="I101" s="1038"/>
      <c r="J101" s="720"/>
      <c r="K101" s="720"/>
      <c r="L101" s="748"/>
      <c r="M101" s="748"/>
      <c r="N101" s="761"/>
      <c r="O101" s="761"/>
      <c r="P101" s="765">
        <f t="shared" ref="P101:P112" si="30">SUM(G101:O101)</f>
        <v>0</v>
      </c>
      <c r="Q101" s="577">
        <f t="shared" si="26"/>
        <v>0</v>
      </c>
      <c r="R101" s="832">
        <f t="shared" si="27"/>
        <v>1</v>
      </c>
      <c r="S101" s="851">
        <f>P101*$AB$25</f>
        <v>0</v>
      </c>
      <c r="T101" s="576">
        <f>P101*$AC$25</f>
        <v>0</v>
      </c>
      <c r="U101" s="576">
        <f>P101*$AD$25</f>
        <v>0</v>
      </c>
      <c r="V101" s="576">
        <f>P101*$AE$25</f>
        <v>0</v>
      </c>
      <c r="W101" s="576">
        <f>P101*$AF$25</f>
        <v>0</v>
      </c>
      <c r="X101" s="576">
        <f>P101*$AG$25</f>
        <v>0</v>
      </c>
      <c r="Y101" s="852">
        <f t="shared" ref="Y101:Y112" si="31">F101-P101</f>
        <v>54.75</v>
      </c>
    </row>
    <row r="102" spans="3:25">
      <c r="C102" s="1217"/>
      <c r="D102" s="618" t="s">
        <v>2751</v>
      </c>
      <c r="E102" s="575">
        <v>326.69</v>
      </c>
      <c r="F102" s="576">
        <v>125.65</v>
      </c>
      <c r="G102" s="687"/>
      <c r="H102" s="720"/>
      <c r="I102" s="720"/>
      <c r="J102" s="720"/>
      <c r="K102" s="720"/>
      <c r="L102" s="748"/>
      <c r="M102" s="748"/>
      <c r="N102" s="761"/>
      <c r="O102" s="761"/>
      <c r="P102" s="765">
        <f t="shared" si="30"/>
        <v>0</v>
      </c>
      <c r="Q102" s="577">
        <f t="shared" si="26"/>
        <v>0</v>
      </c>
      <c r="R102" s="832">
        <f t="shared" si="27"/>
        <v>1</v>
      </c>
      <c r="S102" s="851">
        <f>P102*$AB$27</f>
        <v>0</v>
      </c>
      <c r="T102" s="576">
        <f>P102*$AC$27</f>
        <v>0</v>
      </c>
      <c r="U102" s="576">
        <f>P102*$AD$27</f>
        <v>0</v>
      </c>
      <c r="V102" s="576">
        <f>P102*$AE$27</f>
        <v>0</v>
      </c>
      <c r="W102" s="576">
        <f>P102*$AF$27</f>
        <v>0</v>
      </c>
      <c r="X102" s="576">
        <f>P102*$AG$27</f>
        <v>0</v>
      </c>
      <c r="Y102" s="852">
        <f t="shared" si="31"/>
        <v>125.65</v>
      </c>
    </row>
    <row r="103" spans="3:25">
      <c r="C103" s="1217"/>
      <c r="D103" s="618" t="s">
        <v>613</v>
      </c>
      <c r="E103" s="575">
        <v>2836.86</v>
      </c>
      <c r="F103" s="576">
        <v>1091.1000000000001</v>
      </c>
      <c r="G103" s="687"/>
      <c r="H103" s="720"/>
      <c r="I103" s="720"/>
      <c r="J103" s="720"/>
      <c r="K103" s="720"/>
      <c r="L103" s="748"/>
      <c r="M103" s="748"/>
      <c r="N103" s="761"/>
      <c r="O103" s="761"/>
      <c r="P103" s="765">
        <f t="shared" si="30"/>
        <v>0</v>
      </c>
      <c r="Q103" s="577">
        <f t="shared" si="26"/>
        <v>0</v>
      </c>
      <c r="R103" s="832">
        <f t="shared" si="27"/>
        <v>1</v>
      </c>
      <c r="S103" s="851">
        <f>P103*$AB$29</f>
        <v>0</v>
      </c>
      <c r="T103" s="576">
        <f>P103*$AC$29</f>
        <v>0</v>
      </c>
      <c r="U103" s="576">
        <f>P103*$AD$29</f>
        <v>0</v>
      </c>
      <c r="V103" s="576">
        <f>P103*$AE$29</f>
        <v>0</v>
      </c>
      <c r="W103" s="576">
        <f>P103*$AF$29</f>
        <v>0</v>
      </c>
      <c r="X103" s="576">
        <f>P103*$AG$29</f>
        <v>0</v>
      </c>
      <c r="Y103" s="852">
        <f t="shared" si="31"/>
        <v>1091.1000000000001</v>
      </c>
    </row>
    <row r="104" spans="3:25">
      <c r="C104" s="1217"/>
      <c r="D104" s="618" t="s">
        <v>37</v>
      </c>
      <c r="E104" s="575">
        <v>13416.26</v>
      </c>
      <c r="F104" s="576">
        <v>5160.1000000000004</v>
      </c>
      <c r="G104" s="1059">
        <f>G2</f>
        <v>20217</v>
      </c>
      <c r="H104" s="1038"/>
      <c r="I104" s="1038"/>
      <c r="J104" s="720"/>
      <c r="K104" s="720"/>
      <c r="L104" s="748"/>
      <c r="M104" s="748"/>
      <c r="N104" s="761"/>
      <c r="O104" s="761"/>
      <c r="P104" s="765">
        <f t="shared" si="30"/>
        <v>20217</v>
      </c>
      <c r="Q104" s="577">
        <f t="shared" si="26"/>
        <v>3.9179473266021976</v>
      </c>
      <c r="R104" s="832">
        <f t="shared" si="27"/>
        <v>-2.9179473266021976</v>
      </c>
      <c r="S104" s="851">
        <f>P104*$AB$30</f>
        <v>10307.575388517014</v>
      </c>
      <c r="T104" s="576">
        <f>P104*$AC$30</f>
        <v>9909.4246114829857</v>
      </c>
      <c r="U104" s="576">
        <f>P104*$AD$30</f>
        <v>7280.0919328163809</v>
      </c>
      <c r="V104" s="576">
        <f>P104*$AE$30</f>
        <v>11825.05004196998</v>
      </c>
      <c r="W104" s="576">
        <f>P104*$AF$30</f>
        <v>1111.8580252136392</v>
      </c>
      <c r="X104" s="576">
        <f>P104*$AG$30</f>
        <v>1798.8604649853826</v>
      </c>
      <c r="Y104" s="852">
        <f t="shared" si="31"/>
        <v>-15056.9</v>
      </c>
    </row>
    <row r="105" spans="3:25">
      <c r="C105" s="1217"/>
      <c r="D105" s="618" t="s">
        <v>2753</v>
      </c>
      <c r="E105" s="575">
        <v>10428.99</v>
      </c>
      <c r="F105" s="576">
        <v>4011.15</v>
      </c>
      <c r="G105" s="687"/>
      <c r="H105" s="1038"/>
      <c r="I105" s="1038"/>
      <c r="J105" s="720"/>
      <c r="K105" s="720"/>
      <c r="L105" s="748"/>
      <c r="M105" s="748"/>
      <c r="N105" s="761"/>
      <c r="O105" s="761"/>
      <c r="P105" s="765">
        <f t="shared" si="30"/>
        <v>0</v>
      </c>
      <c r="Q105" s="577">
        <f t="shared" si="26"/>
        <v>0</v>
      </c>
      <c r="R105" s="832">
        <f t="shared" si="27"/>
        <v>1</v>
      </c>
      <c r="S105" s="851">
        <f>P105*$AB$31</f>
        <v>0</v>
      </c>
      <c r="T105" s="576">
        <f>P105*$AC$31</f>
        <v>0</v>
      </c>
      <c r="U105" s="576">
        <f>P105*$AD$31</f>
        <v>0</v>
      </c>
      <c r="V105" s="576">
        <f>P105*$AE$31</f>
        <v>0</v>
      </c>
      <c r="W105" s="576">
        <f>P105*$AF$31</f>
        <v>0</v>
      </c>
      <c r="X105" s="576">
        <f>P105*$AG$31</f>
        <v>0</v>
      </c>
      <c r="Y105" s="852">
        <f t="shared" si="31"/>
        <v>4011.15</v>
      </c>
    </row>
    <row r="106" spans="3:25">
      <c r="C106" s="1217"/>
      <c r="D106" s="618" t="s">
        <v>2350</v>
      </c>
      <c r="E106" s="575">
        <v>7699.12</v>
      </c>
      <c r="F106" s="576">
        <v>2961.2000000000003</v>
      </c>
      <c r="G106" s="687"/>
      <c r="H106" s="1038"/>
      <c r="I106" s="720"/>
      <c r="J106" s="720"/>
      <c r="K106" s="720"/>
      <c r="L106" s="748"/>
      <c r="M106" s="748"/>
      <c r="N106" s="761"/>
      <c r="O106" s="761"/>
      <c r="P106" s="765">
        <f t="shared" si="30"/>
        <v>0</v>
      </c>
      <c r="Q106" s="577">
        <f t="shared" si="26"/>
        <v>0</v>
      </c>
      <c r="R106" s="832">
        <f t="shared" si="27"/>
        <v>1</v>
      </c>
      <c r="S106" s="851">
        <f>P106*$AB$32</f>
        <v>0</v>
      </c>
      <c r="T106" s="576">
        <f>P106*$AC$32</f>
        <v>0</v>
      </c>
      <c r="U106" s="576">
        <f>P106*$AD$32</f>
        <v>0</v>
      </c>
      <c r="V106" s="576">
        <f>P106*$AE$32</f>
        <v>0</v>
      </c>
      <c r="W106" s="576">
        <f>P106*$AF$32</f>
        <v>0</v>
      </c>
      <c r="X106" s="576">
        <f>P106*$AG$32</f>
        <v>0</v>
      </c>
      <c r="Y106" s="852">
        <f t="shared" si="31"/>
        <v>2961.2000000000003</v>
      </c>
    </row>
    <row r="107" spans="3:25">
      <c r="C107" s="1217"/>
      <c r="D107" s="618" t="s">
        <v>2754</v>
      </c>
      <c r="E107" s="575">
        <v>1450.02</v>
      </c>
      <c r="F107" s="576">
        <v>557.70000000000005</v>
      </c>
      <c r="G107" s="687"/>
      <c r="H107" s="720"/>
      <c r="I107" s="720"/>
      <c r="J107" s="720"/>
      <c r="K107" s="720"/>
      <c r="L107" s="748"/>
      <c r="M107" s="748"/>
      <c r="N107" s="761"/>
      <c r="O107" s="761"/>
      <c r="P107" s="765">
        <f t="shared" si="30"/>
        <v>0</v>
      </c>
      <c r="Q107" s="577">
        <f t="shared" si="26"/>
        <v>0</v>
      </c>
      <c r="R107" s="832">
        <f t="shared" si="27"/>
        <v>1</v>
      </c>
      <c r="S107" s="851">
        <f>P107*$AB$33</f>
        <v>0</v>
      </c>
      <c r="T107" s="576">
        <f>P107*$AC$33</f>
        <v>0</v>
      </c>
      <c r="U107" s="576">
        <f>P107*$AD$33</f>
        <v>0</v>
      </c>
      <c r="V107" s="576">
        <f>P107*$AE$33</f>
        <v>0</v>
      </c>
      <c r="W107" s="576">
        <f>P107*$AF$33</f>
        <v>0</v>
      </c>
      <c r="X107" s="576">
        <f>P107*$AG$33</f>
        <v>0</v>
      </c>
      <c r="Y107" s="852">
        <f t="shared" si="31"/>
        <v>557.70000000000005</v>
      </c>
    </row>
    <row r="108" spans="3:25">
      <c r="C108" s="1217"/>
      <c r="D108" s="618" t="s">
        <v>304</v>
      </c>
      <c r="E108" s="575">
        <v>28428.530000000002</v>
      </c>
      <c r="F108" s="576">
        <v>10934.050000000001</v>
      </c>
      <c r="G108" s="1059">
        <v>8250</v>
      </c>
      <c r="H108" s="1038"/>
      <c r="I108" s="1038"/>
      <c r="J108" s="1038"/>
      <c r="K108" s="720"/>
      <c r="L108" s="748"/>
      <c r="M108" s="748"/>
      <c r="N108" s="761"/>
      <c r="O108" s="761"/>
      <c r="P108" s="765">
        <f t="shared" si="30"/>
        <v>8250</v>
      </c>
      <c r="Q108" s="577">
        <f t="shared" si="26"/>
        <v>0.75452371262249573</v>
      </c>
      <c r="R108" s="832">
        <f t="shared" si="27"/>
        <v>0.24547628737750427</v>
      </c>
      <c r="S108" s="851">
        <f>P108*$AB$36</f>
        <v>3910.0973053458156</v>
      </c>
      <c r="T108" s="576">
        <f>P108*$AC$36</f>
        <v>4339.9026946541844</v>
      </c>
      <c r="U108" s="576">
        <f>P108*$AD$36</f>
        <v>3028.3507487825223</v>
      </c>
      <c r="V108" s="576">
        <f>P108*$AE$36</f>
        <v>4495.9834324928415</v>
      </c>
      <c r="W108" s="576">
        <f>P108*$AF$36</f>
        <v>725.66581872463757</v>
      </c>
      <c r="X108" s="576">
        <f>P108*$AG$36</f>
        <v>1431.0267473409306</v>
      </c>
      <c r="Y108" s="852">
        <f t="shared" si="31"/>
        <v>2684.0500000000011</v>
      </c>
    </row>
    <row r="109" spans="3:25">
      <c r="C109" s="1217"/>
      <c r="D109" s="618" t="s">
        <v>2757</v>
      </c>
      <c r="E109" s="575">
        <v>2418</v>
      </c>
      <c r="F109" s="576">
        <v>930</v>
      </c>
      <c r="G109" s="687"/>
      <c r="H109" s="1038"/>
      <c r="I109" s="720"/>
      <c r="J109" s="720"/>
      <c r="K109" s="720"/>
      <c r="L109" s="748"/>
      <c r="M109" s="748"/>
      <c r="N109" s="761"/>
      <c r="O109" s="761"/>
      <c r="P109" s="765">
        <f t="shared" si="30"/>
        <v>0</v>
      </c>
      <c r="Q109" s="577">
        <f t="shared" si="26"/>
        <v>0</v>
      </c>
      <c r="R109" s="832">
        <f t="shared" si="27"/>
        <v>1</v>
      </c>
      <c r="S109" s="851">
        <f>P109*$AB$37</f>
        <v>0</v>
      </c>
      <c r="T109" s="576">
        <f>P109*$AC$37</f>
        <v>0</v>
      </c>
      <c r="U109" s="576">
        <f>P109*$AD$37</f>
        <v>0</v>
      </c>
      <c r="V109" s="576">
        <f>P109*$AE$37</f>
        <v>0</v>
      </c>
      <c r="W109" s="576">
        <f>P109*$AF$37</f>
        <v>0</v>
      </c>
      <c r="X109" s="576">
        <f>P109*$AG$37</f>
        <v>0</v>
      </c>
      <c r="Y109" s="852">
        <f t="shared" si="31"/>
        <v>930</v>
      </c>
    </row>
    <row r="110" spans="3:25">
      <c r="C110" s="1217"/>
      <c r="D110" s="618" t="s">
        <v>515</v>
      </c>
      <c r="E110" s="575">
        <v>2008.3700000000001</v>
      </c>
      <c r="F110" s="576">
        <v>772.45</v>
      </c>
      <c r="G110" s="1059">
        <f>G3</f>
        <v>2223</v>
      </c>
      <c r="H110" s="720"/>
      <c r="I110" s="720"/>
      <c r="J110" s="720"/>
      <c r="K110" s="720"/>
      <c r="L110" s="748"/>
      <c r="M110" s="748"/>
      <c r="N110" s="761"/>
      <c r="O110" s="761"/>
      <c r="P110" s="765">
        <f t="shared" si="30"/>
        <v>2223</v>
      </c>
      <c r="Q110" s="577">
        <f t="shared" si="26"/>
        <v>2.8778561719205125</v>
      </c>
      <c r="R110" s="832">
        <f t="shared" si="27"/>
        <v>-1.8778561719205125</v>
      </c>
      <c r="S110" s="851">
        <f>P110*$AB$39</f>
        <v>1111.8434206672998</v>
      </c>
      <c r="T110" s="576">
        <f>P110*$AC$39</f>
        <v>1111.1565793327002</v>
      </c>
      <c r="U110" s="576">
        <f>P110*$AD$39</f>
        <v>844.66551365008604</v>
      </c>
      <c r="V110" s="576">
        <f>P110*$AE$39</f>
        <v>1249.3760809637745</v>
      </c>
      <c r="W110" s="576">
        <f>P110*$AF$39</f>
        <v>128.95840538613888</v>
      </c>
      <c r="X110" s="576">
        <f>P110*$AG$39</f>
        <v>191.66272684847976</v>
      </c>
      <c r="Y110" s="852">
        <f t="shared" si="31"/>
        <v>-1450.55</v>
      </c>
    </row>
    <row r="111" spans="3:25">
      <c r="C111" s="1217"/>
      <c r="D111" s="618" t="s">
        <v>2688</v>
      </c>
      <c r="E111" s="575">
        <v>1973.66</v>
      </c>
      <c r="F111" s="576">
        <v>759.1</v>
      </c>
      <c r="G111" s="687"/>
      <c r="H111" s="1038"/>
      <c r="I111" s="720"/>
      <c r="J111" s="720"/>
      <c r="K111" s="720"/>
      <c r="L111" s="748"/>
      <c r="M111" s="748"/>
      <c r="N111" s="761"/>
      <c r="O111" s="761"/>
      <c r="P111" s="765">
        <f t="shared" si="30"/>
        <v>0</v>
      </c>
      <c r="Q111" s="577">
        <f t="shared" si="26"/>
        <v>0</v>
      </c>
      <c r="R111" s="832">
        <f t="shared" si="27"/>
        <v>1</v>
      </c>
      <c r="S111" s="851">
        <f>P111*$AB$40</f>
        <v>0</v>
      </c>
      <c r="T111" s="576">
        <f>P111*$AC$40</f>
        <v>0</v>
      </c>
      <c r="U111" s="576">
        <f>P111*$AD$40</f>
        <v>0</v>
      </c>
      <c r="V111" s="576">
        <f>P111*$AE$40</f>
        <v>0</v>
      </c>
      <c r="W111" s="576">
        <f>P111*$AF$40</f>
        <v>0</v>
      </c>
      <c r="X111" s="576">
        <f>P111*$AG$40</f>
        <v>0</v>
      </c>
      <c r="Y111" s="852">
        <f t="shared" si="31"/>
        <v>759.1</v>
      </c>
    </row>
    <row r="112" spans="3:25">
      <c r="C112" s="1217"/>
      <c r="D112" s="618" t="s">
        <v>2759</v>
      </c>
      <c r="E112" s="575">
        <v>120.25</v>
      </c>
      <c r="F112" s="576">
        <v>46.25</v>
      </c>
      <c r="G112" s="687"/>
      <c r="H112" s="720"/>
      <c r="I112" s="720"/>
      <c r="J112" s="720"/>
      <c r="K112" s="720"/>
      <c r="L112" s="748"/>
      <c r="M112" s="748"/>
      <c r="N112" s="761"/>
      <c r="O112" s="761"/>
      <c r="P112" s="765">
        <f t="shared" si="30"/>
        <v>0</v>
      </c>
      <c r="Q112" s="577">
        <f t="shared" si="26"/>
        <v>0</v>
      </c>
      <c r="R112" s="832">
        <f t="shared" si="27"/>
        <v>1</v>
      </c>
      <c r="S112" s="851">
        <f>P112*$AB$41</f>
        <v>0</v>
      </c>
      <c r="T112" s="576">
        <f>P112*$AC$41</f>
        <v>0</v>
      </c>
      <c r="U112" s="576">
        <f>P112*$AD$41</f>
        <v>0</v>
      </c>
      <c r="V112" s="576">
        <f>P112*$AE$41</f>
        <v>0</v>
      </c>
      <c r="W112" s="576">
        <f>P112*$AF$41</f>
        <v>0</v>
      </c>
      <c r="X112" s="576">
        <f>P112*$AG$41</f>
        <v>0</v>
      </c>
      <c r="Y112" s="852">
        <f t="shared" si="31"/>
        <v>46.25</v>
      </c>
    </row>
    <row r="113" spans="3:25">
      <c r="C113" s="1217"/>
      <c r="D113" s="619" t="s">
        <v>1488</v>
      </c>
      <c r="E113" s="620">
        <f t="shared" ref="E113:P113" si="32">SUM(E101:E112)</f>
        <v>71249.100000000006</v>
      </c>
      <c r="F113" s="633">
        <f t="shared" si="32"/>
        <v>27403.500000000004</v>
      </c>
      <c r="G113" s="652">
        <f t="shared" si="32"/>
        <v>30690</v>
      </c>
      <c r="H113" s="620">
        <f t="shared" si="32"/>
        <v>0</v>
      </c>
      <c r="I113" s="620"/>
      <c r="J113" s="620">
        <f t="shared" si="32"/>
        <v>0</v>
      </c>
      <c r="K113" s="620">
        <f t="shared" si="32"/>
        <v>0</v>
      </c>
      <c r="L113" s="620">
        <f t="shared" si="32"/>
        <v>0</v>
      </c>
      <c r="M113" s="620"/>
      <c r="N113" s="620">
        <f t="shared" si="32"/>
        <v>0</v>
      </c>
      <c r="O113" s="762">
        <f t="shared" si="32"/>
        <v>0</v>
      </c>
      <c r="P113" s="652">
        <f t="shared" si="32"/>
        <v>30690</v>
      </c>
      <c r="Q113" s="621">
        <f t="shared" si="26"/>
        <v>1.1199299359570856</v>
      </c>
      <c r="R113" s="833">
        <f>1-Q113</f>
        <v>-0.11992993595708556</v>
      </c>
      <c r="S113" s="853">
        <f t="shared" ref="S113:Y113" si="33">SUM(S101:S112)</f>
        <v>15329.51611453013</v>
      </c>
      <c r="T113" s="622">
        <f t="shared" si="33"/>
        <v>15360.48388546987</v>
      </c>
      <c r="U113" s="622">
        <f t="shared" si="33"/>
        <v>11153.108195248989</v>
      </c>
      <c r="V113" s="622">
        <f t="shared" si="33"/>
        <v>17570.409555426595</v>
      </c>
      <c r="W113" s="622">
        <f t="shared" si="33"/>
        <v>1966.4822493244155</v>
      </c>
      <c r="X113" s="622">
        <f t="shared" si="33"/>
        <v>3421.5499391747931</v>
      </c>
      <c r="Y113" s="854">
        <f t="shared" si="33"/>
        <v>-3286.4999999999986</v>
      </c>
    </row>
    <row r="114" spans="3:25">
      <c r="C114" s="1217" t="s">
        <v>2761</v>
      </c>
      <c r="D114" s="618" t="s">
        <v>2749</v>
      </c>
      <c r="E114" s="575">
        <v>109.5</v>
      </c>
      <c r="F114" s="576">
        <v>32.85</v>
      </c>
      <c r="G114" s="687"/>
      <c r="H114" s="1038"/>
      <c r="I114" s="1038"/>
      <c r="J114" s="720"/>
      <c r="K114" s="720"/>
      <c r="L114" s="748"/>
      <c r="M114" s="748"/>
      <c r="N114" s="761"/>
      <c r="O114" s="761"/>
      <c r="P114" s="765">
        <f t="shared" ref="P114:P125" si="34">SUM(G114:O114)</f>
        <v>0</v>
      </c>
      <c r="Q114" s="577">
        <f t="shared" si="26"/>
        <v>0</v>
      </c>
      <c r="R114" s="832">
        <f>1-Q114</f>
        <v>1</v>
      </c>
      <c r="S114" s="851">
        <f>P114*$AB$25</f>
        <v>0</v>
      </c>
      <c r="T114" s="576">
        <f>P114*$AC$25</f>
        <v>0</v>
      </c>
      <c r="U114" s="576">
        <f>P114*$AD$25</f>
        <v>0</v>
      </c>
      <c r="V114" s="576">
        <f>P114*$AE$25</f>
        <v>0</v>
      </c>
      <c r="W114" s="576">
        <f>P114*$AF$25</f>
        <v>0</v>
      </c>
      <c r="X114" s="576">
        <f>P114*$AG$25</f>
        <v>0</v>
      </c>
      <c r="Y114" s="852">
        <f t="shared" ref="Y114:Y125" si="35">F114-P114</f>
        <v>32.85</v>
      </c>
    </row>
    <row r="115" spans="3:25">
      <c r="C115" s="1217"/>
      <c r="D115" s="618" t="s">
        <v>2751</v>
      </c>
      <c r="E115" s="575">
        <v>251.3</v>
      </c>
      <c r="F115" s="576">
        <v>75.39</v>
      </c>
      <c r="G115" s="687"/>
      <c r="H115" s="720"/>
      <c r="I115" s="720"/>
      <c r="J115" s="720"/>
      <c r="K115" s="720"/>
      <c r="L115" s="748"/>
      <c r="M115" s="748"/>
      <c r="N115" s="761"/>
      <c r="O115" s="761"/>
      <c r="P115" s="765">
        <f t="shared" si="34"/>
        <v>0</v>
      </c>
      <c r="Q115" s="577">
        <f t="shared" si="26"/>
        <v>0</v>
      </c>
      <c r="R115" s="832">
        <f t="shared" ref="R115:R125" si="36">1-Q115</f>
        <v>1</v>
      </c>
      <c r="S115" s="851">
        <f>P115*$AB$27</f>
        <v>0</v>
      </c>
      <c r="T115" s="576">
        <f>P115*$AC$27</f>
        <v>0</v>
      </c>
      <c r="U115" s="576">
        <f>P115*$AD$27</f>
        <v>0</v>
      </c>
      <c r="V115" s="576">
        <f>P115*$AE$27</f>
        <v>0</v>
      </c>
      <c r="W115" s="576">
        <f>P115*$AF$27</f>
        <v>0</v>
      </c>
      <c r="X115" s="576">
        <f>P115*$AG$27</f>
        <v>0</v>
      </c>
      <c r="Y115" s="852">
        <f t="shared" si="35"/>
        <v>75.39</v>
      </c>
    </row>
    <row r="116" spans="3:25">
      <c r="C116" s="1217"/>
      <c r="D116" s="618" t="s">
        <v>613</v>
      </c>
      <c r="E116" s="575">
        <v>2182.2000000000003</v>
      </c>
      <c r="F116" s="576">
        <v>654.66</v>
      </c>
      <c r="G116" s="687"/>
      <c r="H116" s="720"/>
      <c r="I116" s="720"/>
      <c r="J116" s="720"/>
      <c r="K116" s="720"/>
      <c r="L116" s="748"/>
      <c r="M116" s="748"/>
      <c r="N116" s="761"/>
      <c r="O116" s="761"/>
      <c r="P116" s="765">
        <f t="shared" si="34"/>
        <v>0</v>
      </c>
      <c r="Q116" s="577">
        <f t="shared" si="26"/>
        <v>0</v>
      </c>
      <c r="R116" s="832">
        <f t="shared" si="36"/>
        <v>1</v>
      </c>
      <c r="S116" s="851">
        <f>P116*$AB$29</f>
        <v>0</v>
      </c>
      <c r="T116" s="576">
        <f>P116*$AC$29</f>
        <v>0</v>
      </c>
      <c r="U116" s="576">
        <f>P116*$AD$29</f>
        <v>0</v>
      </c>
      <c r="V116" s="576">
        <f>P116*$AE$29</f>
        <v>0</v>
      </c>
      <c r="W116" s="576">
        <f>P116*$AF$29</f>
        <v>0</v>
      </c>
      <c r="X116" s="576">
        <f>P116*$AG$29</f>
        <v>0</v>
      </c>
      <c r="Y116" s="852">
        <f t="shared" si="35"/>
        <v>654.66</v>
      </c>
    </row>
    <row r="117" spans="3:25">
      <c r="C117" s="1217"/>
      <c r="D117" s="618" t="s">
        <v>37</v>
      </c>
      <c r="E117" s="575">
        <v>10320.200000000001</v>
      </c>
      <c r="F117" s="576">
        <v>3096.06</v>
      </c>
      <c r="G117" s="1059">
        <f>H2</f>
        <v>4395</v>
      </c>
      <c r="H117" s="1038"/>
      <c r="I117" s="1038"/>
      <c r="J117" s="720"/>
      <c r="K117" s="720"/>
      <c r="L117" s="748"/>
      <c r="M117" s="748"/>
      <c r="N117" s="761"/>
      <c r="O117" s="761"/>
      <c r="P117" s="765">
        <f t="shared" si="34"/>
        <v>4395</v>
      </c>
      <c r="Q117" s="577">
        <f t="shared" si="26"/>
        <v>1.4195461328268832</v>
      </c>
      <c r="R117" s="832">
        <f t="shared" si="36"/>
        <v>-0.41954613282688324</v>
      </c>
      <c r="S117" s="851">
        <f>P117*$AB$30</f>
        <v>2240.777258373264</v>
      </c>
      <c r="T117" s="576">
        <f>P117*$AC$30</f>
        <v>2154.222741626736</v>
      </c>
      <c r="U117" s="576">
        <f>P117*$AD$30</f>
        <v>1582.6286810470392</v>
      </c>
      <c r="V117" s="576">
        <f>P117*$AE$30</f>
        <v>2570.6630526021695</v>
      </c>
      <c r="W117" s="576">
        <f>P117*$AF$30</f>
        <v>241.70826635079109</v>
      </c>
      <c r="X117" s="576">
        <f>P117*$AG$30</f>
        <v>391.05662282290928</v>
      </c>
      <c r="Y117" s="852">
        <f t="shared" si="35"/>
        <v>-1298.94</v>
      </c>
    </row>
    <row r="118" spans="3:25">
      <c r="C118" s="1217"/>
      <c r="D118" s="618" t="s">
        <v>2753</v>
      </c>
      <c r="E118" s="575">
        <v>8022.3</v>
      </c>
      <c r="F118" s="576">
        <v>2406.69</v>
      </c>
      <c r="G118" s="687"/>
      <c r="H118" s="1038"/>
      <c r="I118" s="1038"/>
      <c r="J118" s="720"/>
      <c r="K118" s="720"/>
      <c r="L118" s="748"/>
      <c r="M118" s="748"/>
      <c r="N118" s="761"/>
      <c r="O118" s="761"/>
      <c r="P118" s="765">
        <f t="shared" si="34"/>
        <v>0</v>
      </c>
      <c r="Q118" s="577">
        <f t="shared" si="26"/>
        <v>0</v>
      </c>
      <c r="R118" s="832">
        <f t="shared" si="36"/>
        <v>1</v>
      </c>
      <c r="S118" s="851">
        <f>P118*$AB$31</f>
        <v>0</v>
      </c>
      <c r="T118" s="576">
        <f>P118*$AC$31</f>
        <v>0</v>
      </c>
      <c r="U118" s="576">
        <f>P118*$AD$31</f>
        <v>0</v>
      </c>
      <c r="V118" s="576">
        <f>P118*$AE$31</f>
        <v>0</v>
      </c>
      <c r="W118" s="576">
        <f>P118*$AF$31</f>
        <v>0</v>
      </c>
      <c r="X118" s="576">
        <f>P118*$AG$31</f>
        <v>0</v>
      </c>
      <c r="Y118" s="852">
        <f t="shared" si="35"/>
        <v>2406.69</v>
      </c>
    </row>
    <row r="119" spans="3:25">
      <c r="C119" s="1217"/>
      <c r="D119" s="618" t="s">
        <v>2350</v>
      </c>
      <c r="E119" s="575">
        <v>5922.4000000000005</v>
      </c>
      <c r="F119" s="576">
        <v>1776.72</v>
      </c>
      <c r="G119" s="687"/>
      <c r="H119" s="1038"/>
      <c r="I119" s="720"/>
      <c r="J119" s="720"/>
      <c r="K119" s="720"/>
      <c r="L119" s="748"/>
      <c r="M119" s="748"/>
      <c r="N119" s="761"/>
      <c r="O119" s="761"/>
      <c r="P119" s="765">
        <f t="shared" si="34"/>
        <v>0</v>
      </c>
      <c r="Q119" s="577">
        <f t="shared" si="26"/>
        <v>0</v>
      </c>
      <c r="R119" s="832">
        <f t="shared" si="36"/>
        <v>1</v>
      </c>
      <c r="S119" s="851">
        <f>P119*$AB$32</f>
        <v>0</v>
      </c>
      <c r="T119" s="576">
        <f>P119*$AC$32</f>
        <v>0</v>
      </c>
      <c r="U119" s="576">
        <f>P119*$AD$32</f>
        <v>0</v>
      </c>
      <c r="V119" s="576">
        <f>P119*$AE$32</f>
        <v>0</v>
      </c>
      <c r="W119" s="576">
        <f>P119*$AF$32</f>
        <v>0</v>
      </c>
      <c r="X119" s="576">
        <f>P119*$AG$32</f>
        <v>0</v>
      </c>
      <c r="Y119" s="852">
        <f t="shared" si="35"/>
        <v>1776.72</v>
      </c>
    </row>
    <row r="120" spans="3:25">
      <c r="C120" s="1217"/>
      <c r="D120" s="618" t="s">
        <v>2754</v>
      </c>
      <c r="E120" s="575">
        <v>1115.4000000000001</v>
      </c>
      <c r="F120" s="576">
        <v>334.62</v>
      </c>
      <c r="G120" s="687"/>
      <c r="H120" s="720"/>
      <c r="I120" s="720"/>
      <c r="J120" s="720"/>
      <c r="K120" s="720"/>
      <c r="L120" s="748"/>
      <c r="M120" s="748"/>
      <c r="N120" s="761"/>
      <c r="O120" s="761"/>
      <c r="P120" s="765">
        <f t="shared" si="34"/>
        <v>0</v>
      </c>
      <c r="Q120" s="577">
        <f t="shared" si="26"/>
        <v>0</v>
      </c>
      <c r="R120" s="832">
        <f t="shared" si="36"/>
        <v>1</v>
      </c>
      <c r="S120" s="851">
        <f>P120*$AB$33</f>
        <v>0</v>
      </c>
      <c r="T120" s="576">
        <f>P120*$AC$33</f>
        <v>0</v>
      </c>
      <c r="U120" s="576">
        <f>P120*$AD$33</f>
        <v>0</v>
      </c>
      <c r="V120" s="576">
        <f>P120*$AE$33</f>
        <v>0</v>
      </c>
      <c r="W120" s="576">
        <f>P120*$AF$33</f>
        <v>0</v>
      </c>
      <c r="X120" s="576">
        <f>P120*$AG$33</f>
        <v>0</v>
      </c>
      <c r="Y120" s="852">
        <f t="shared" si="35"/>
        <v>334.62</v>
      </c>
    </row>
    <row r="121" spans="3:25">
      <c r="C121" s="1217"/>
      <c r="D121" s="618" t="s">
        <v>304</v>
      </c>
      <c r="E121" s="575">
        <v>21868.100000000002</v>
      </c>
      <c r="F121" s="576">
        <v>6560.4299999999994</v>
      </c>
      <c r="G121" s="1059">
        <v>600</v>
      </c>
      <c r="H121" s="1038"/>
      <c r="I121" s="1038"/>
      <c r="J121" s="1038"/>
      <c r="K121" s="720"/>
      <c r="L121" s="748"/>
      <c r="M121" s="748"/>
      <c r="N121" s="761"/>
      <c r="O121" s="761"/>
      <c r="P121" s="765">
        <f t="shared" si="34"/>
        <v>600</v>
      </c>
      <c r="Q121" s="577">
        <f t="shared" ref="Q121:Q152" si="37">P121/F121</f>
        <v>9.1457419711817672E-2</v>
      </c>
      <c r="R121" s="832">
        <f t="shared" si="36"/>
        <v>0.90854258028818236</v>
      </c>
      <c r="S121" s="851">
        <f>P121*$AB$36</f>
        <v>284.37071311605933</v>
      </c>
      <c r="T121" s="576">
        <f>P121*$AC$36</f>
        <v>315.62928688394067</v>
      </c>
      <c r="U121" s="576">
        <f>P121*$AD$36</f>
        <v>220.24369082054707</v>
      </c>
      <c r="V121" s="576">
        <f>P121*$AE$36</f>
        <v>326.98061327220665</v>
      </c>
      <c r="W121" s="576">
        <f>P121*$AF$36</f>
        <v>52.775695907246373</v>
      </c>
      <c r="X121" s="576">
        <f>P121*$AG$36</f>
        <v>104.07467253388586</v>
      </c>
      <c r="Y121" s="852">
        <f t="shared" si="35"/>
        <v>5960.4299999999994</v>
      </c>
    </row>
    <row r="122" spans="3:25">
      <c r="C122" s="1217"/>
      <c r="D122" s="618" t="s">
        <v>2757</v>
      </c>
      <c r="E122" s="575">
        <v>1860</v>
      </c>
      <c r="F122" s="576">
        <v>558</v>
      </c>
      <c r="G122" s="687"/>
      <c r="H122" s="1038"/>
      <c r="I122" s="720"/>
      <c r="J122" s="720"/>
      <c r="K122" s="720"/>
      <c r="L122" s="748"/>
      <c r="M122" s="748"/>
      <c r="N122" s="761"/>
      <c r="O122" s="761"/>
      <c r="P122" s="765">
        <f t="shared" si="34"/>
        <v>0</v>
      </c>
      <c r="Q122" s="577">
        <f t="shared" si="37"/>
        <v>0</v>
      </c>
      <c r="R122" s="832">
        <f t="shared" si="36"/>
        <v>1</v>
      </c>
      <c r="S122" s="851">
        <f>P122*$AB$37</f>
        <v>0</v>
      </c>
      <c r="T122" s="576">
        <f>P122*$AC$37</f>
        <v>0</v>
      </c>
      <c r="U122" s="576">
        <f>P122*$AD$37</f>
        <v>0</v>
      </c>
      <c r="V122" s="576">
        <f>P122*$AE$37</f>
        <v>0</v>
      </c>
      <c r="W122" s="576">
        <f>P122*$AF$37</f>
        <v>0</v>
      </c>
      <c r="X122" s="576">
        <f>P122*$AG$37</f>
        <v>0</v>
      </c>
      <c r="Y122" s="852">
        <f t="shared" si="35"/>
        <v>558</v>
      </c>
    </row>
    <row r="123" spans="3:25">
      <c r="C123" s="1217"/>
      <c r="D123" s="618" t="s">
        <v>515</v>
      </c>
      <c r="E123" s="575">
        <v>1544.9</v>
      </c>
      <c r="F123" s="576">
        <v>463.46999999999997</v>
      </c>
      <c r="G123" s="1059">
        <f>H3</f>
        <v>0</v>
      </c>
      <c r="H123" s="720"/>
      <c r="I123" s="720"/>
      <c r="J123" s="720"/>
      <c r="K123" s="720"/>
      <c r="L123" s="748"/>
      <c r="M123" s="748"/>
      <c r="N123" s="761"/>
      <c r="O123" s="761"/>
      <c r="P123" s="765">
        <f t="shared" si="34"/>
        <v>0</v>
      </c>
      <c r="Q123" s="577">
        <f t="shared" si="37"/>
        <v>0</v>
      </c>
      <c r="R123" s="832">
        <f t="shared" si="36"/>
        <v>1</v>
      </c>
      <c r="S123" s="851">
        <f>P123*$AB$39</f>
        <v>0</v>
      </c>
      <c r="T123" s="576">
        <f>P123*$AC$39</f>
        <v>0</v>
      </c>
      <c r="U123" s="576">
        <f>P123*$AD$39</f>
        <v>0</v>
      </c>
      <c r="V123" s="576">
        <f>P123*$AE$39</f>
        <v>0</v>
      </c>
      <c r="W123" s="576">
        <f>P123*$AF$39</f>
        <v>0</v>
      </c>
      <c r="X123" s="576">
        <f>P123*$AG$39</f>
        <v>0</v>
      </c>
      <c r="Y123" s="852">
        <f t="shared" si="35"/>
        <v>463.46999999999997</v>
      </c>
    </row>
    <row r="124" spans="3:25">
      <c r="C124" s="1217"/>
      <c r="D124" s="618" t="s">
        <v>2688</v>
      </c>
      <c r="E124" s="575">
        <v>1518.2</v>
      </c>
      <c r="F124" s="576">
        <v>455.46</v>
      </c>
      <c r="G124" s="687"/>
      <c r="H124" s="1038"/>
      <c r="I124" s="720"/>
      <c r="J124" s="720"/>
      <c r="K124" s="720"/>
      <c r="L124" s="748"/>
      <c r="M124" s="748"/>
      <c r="N124" s="761"/>
      <c r="O124" s="761"/>
      <c r="P124" s="765">
        <f t="shared" si="34"/>
        <v>0</v>
      </c>
      <c r="Q124" s="577">
        <f t="shared" si="37"/>
        <v>0</v>
      </c>
      <c r="R124" s="832">
        <f t="shared" si="36"/>
        <v>1</v>
      </c>
      <c r="S124" s="851">
        <f>P124*$AB$40</f>
        <v>0</v>
      </c>
      <c r="T124" s="576">
        <f>P124*$AC$40</f>
        <v>0</v>
      </c>
      <c r="U124" s="576">
        <f>P124*$AD$40</f>
        <v>0</v>
      </c>
      <c r="V124" s="576">
        <f>P124*$AE$40</f>
        <v>0</v>
      </c>
      <c r="W124" s="576">
        <f>P124*$AF$40</f>
        <v>0</v>
      </c>
      <c r="X124" s="576">
        <f>P124*$AG$40</f>
        <v>0</v>
      </c>
      <c r="Y124" s="852">
        <f t="shared" si="35"/>
        <v>455.46</v>
      </c>
    </row>
    <row r="125" spans="3:25">
      <c r="C125" s="1217"/>
      <c r="D125" s="618" t="s">
        <v>2759</v>
      </c>
      <c r="E125" s="575">
        <v>92.5</v>
      </c>
      <c r="F125" s="576">
        <v>27.75</v>
      </c>
      <c r="G125" s="687"/>
      <c r="H125" s="720"/>
      <c r="I125" s="720"/>
      <c r="J125" s="720"/>
      <c r="K125" s="720"/>
      <c r="L125" s="748"/>
      <c r="M125" s="748"/>
      <c r="N125" s="761"/>
      <c r="O125" s="761"/>
      <c r="P125" s="765">
        <f t="shared" si="34"/>
        <v>0</v>
      </c>
      <c r="Q125" s="577">
        <f t="shared" si="37"/>
        <v>0</v>
      </c>
      <c r="R125" s="832">
        <f t="shared" si="36"/>
        <v>1</v>
      </c>
      <c r="S125" s="851">
        <f>P125*$AB$41</f>
        <v>0</v>
      </c>
      <c r="T125" s="576">
        <f>P125*$AC$41</f>
        <v>0</v>
      </c>
      <c r="U125" s="576">
        <f>P125*$AD$41</f>
        <v>0</v>
      </c>
      <c r="V125" s="576">
        <f>P125*$AE$41</f>
        <v>0</v>
      </c>
      <c r="W125" s="576">
        <f>P125*$AF$41</f>
        <v>0</v>
      </c>
      <c r="X125" s="576">
        <f>P125*$AG$41</f>
        <v>0</v>
      </c>
      <c r="Y125" s="852">
        <f t="shared" si="35"/>
        <v>27.75</v>
      </c>
    </row>
    <row r="126" spans="3:25">
      <c r="C126" s="1217"/>
      <c r="D126" s="619" t="s">
        <v>1488</v>
      </c>
      <c r="E126" s="620">
        <f>SUM(E114:E125)</f>
        <v>54807.000000000007</v>
      </c>
      <c r="F126" s="633">
        <f>SUM(F114:F125)</f>
        <v>16442.099999999999</v>
      </c>
      <c r="G126" s="652">
        <f>SUM(G114:G125)</f>
        <v>4995</v>
      </c>
      <c r="H126" s="620">
        <f>SUM(H114:H125)</f>
        <v>0</v>
      </c>
      <c r="I126" s="620"/>
      <c r="J126" s="620">
        <f t="shared" ref="J126:P126" si="38">SUM(J114:J125)</f>
        <v>0</v>
      </c>
      <c r="K126" s="620">
        <f t="shared" si="38"/>
        <v>0</v>
      </c>
      <c r="L126" s="620">
        <f t="shared" si="38"/>
        <v>0</v>
      </c>
      <c r="M126" s="620"/>
      <c r="N126" s="620">
        <f t="shared" si="38"/>
        <v>0</v>
      </c>
      <c r="O126" s="762">
        <f t="shared" si="38"/>
        <v>0</v>
      </c>
      <c r="P126" s="652">
        <f t="shared" si="38"/>
        <v>4995</v>
      </c>
      <c r="Q126" s="621">
        <f t="shared" si="37"/>
        <v>0.30379331107340307</v>
      </c>
      <c r="R126" s="833">
        <f t="shared" ref="R126:R164" si="39">1-Q126</f>
        <v>0.69620668892659698</v>
      </c>
      <c r="S126" s="853">
        <f t="shared" ref="S126:Y126" si="40">SUM(S114:S125)</f>
        <v>2525.1479714893235</v>
      </c>
      <c r="T126" s="622">
        <f t="shared" si="40"/>
        <v>2469.8520285106765</v>
      </c>
      <c r="U126" s="622">
        <f t="shared" si="40"/>
        <v>1802.8723718675863</v>
      </c>
      <c r="V126" s="622">
        <f t="shared" si="40"/>
        <v>2897.643665874376</v>
      </c>
      <c r="W126" s="622">
        <f t="shared" si="40"/>
        <v>294.48396225803748</v>
      </c>
      <c r="X126" s="622">
        <f t="shared" si="40"/>
        <v>495.13129535679514</v>
      </c>
      <c r="Y126" s="854">
        <f t="shared" si="40"/>
        <v>11447.099999999997</v>
      </c>
    </row>
    <row r="127" spans="3:25">
      <c r="C127" s="1218" t="s">
        <v>2855</v>
      </c>
      <c r="D127" s="806" t="s">
        <v>2749</v>
      </c>
      <c r="E127" s="807">
        <v>71297.247022932934</v>
      </c>
      <c r="F127" s="808">
        <v>11242.08705343994</v>
      </c>
      <c r="G127" s="688"/>
      <c r="H127" s="1040">
        <v>3139</v>
      </c>
      <c r="I127" s="1040">
        <v>1051</v>
      </c>
      <c r="J127" s="691"/>
      <c r="K127" s="691"/>
      <c r="L127" s="691"/>
      <c r="M127" s="691"/>
      <c r="N127" s="691"/>
      <c r="O127" s="763"/>
      <c r="P127" s="688">
        <f t="shared" ref="P127:P144" si="41">SUM(G127:O127)</f>
        <v>4190</v>
      </c>
      <c r="Q127" s="809">
        <f t="shared" si="37"/>
        <v>0.37270659621141355</v>
      </c>
      <c r="R127" s="834">
        <f t="shared" si="39"/>
        <v>0.62729340378858645</v>
      </c>
      <c r="S127" s="855">
        <f>P127*$AB$25</f>
        <v>2007.9017950188988</v>
      </c>
      <c r="T127" s="806">
        <f>P127*$AC$25</f>
        <v>2182.0982049811009</v>
      </c>
      <c r="U127" s="806">
        <f>P127*$AD$25</f>
        <v>1537.8600589079113</v>
      </c>
      <c r="V127" s="806">
        <f>P127*$AE$25</f>
        <v>2279.8845839135943</v>
      </c>
      <c r="W127" s="806">
        <f>P127*$AF$25</f>
        <v>372.25535717849516</v>
      </c>
      <c r="X127" s="806">
        <f>P127*$AG$25</f>
        <v>638.04095476906423</v>
      </c>
      <c r="Y127" s="822">
        <f t="shared" ref="Y127:Y144" si="42">F127-P127</f>
        <v>7052.0870534399401</v>
      </c>
    </row>
    <row r="128" spans="3:25">
      <c r="C128" s="1219"/>
      <c r="D128" s="806" t="s">
        <v>2750</v>
      </c>
      <c r="E128" s="807">
        <v>1282240.102078954</v>
      </c>
      <c r="F128" s="808">
        <v>64112.005103947704</v>
      </c>
      <c r="G128" s="688"/>
      <c r="H128" s="691"/>
      <c r="I128" s="691"/>
      <c r="J128" s="691"/>
      <c r="K128" s="691"/>
      <c r="L128" s="691"/>
      <c r="M128" s="691"/>
      <c r="N128" s="691"/>
      <c r="O128" s="763"/>
      <c r="P128" s="688">
        <f t="shared" si="41"/>
        <v>0</v>
      </c>
      <c r="Q128" s="809">
        <f t="shared" si="37"/>
        <v>0</v>
      </c>
      <c r="R128" s="834">
        <f t="shared" si="39"/>
        <v>1</v>
      </c>
      <c r="S128" s="855">
        <f>P128*$AB$26</f>
        <v>0</v>
      </c>
      <c r="T128" s="806">
        <f>P128*$AC$26</f>
        <v>0</v>
      </c>
      <c r="U128" s="806">
        <f>P128*$AD$26</f>
        <v>0</v>
      </c>
      <c r="V128" s="806">
        <f>P128*$AE$26</f>
        <v>0</v>
      </c>
      <c r="W128" s="806">
        <f>P128*$AF$26</f>
        <v>0</v>
      </c>
      <c r="X128" s="806">
        <f>P128*$AG$26</f>
        <v>0</v>
      </c>
      <c r="Y128" s="822">
        <f t="shared" si="42"/>
        <v>64112.005103947704</v>
      </c>
    </row>
    <row r="129" spans="3:25">
      <c r="C129" s="1219"/>
      <c r="D129" s="806" t="s">
        <v>2751</v>
      </c>
      <c r="E129" s="807">
        <v>207170.43402654651</v>
      </c>
      <c r="F129" s="808">
        <v>63407.63020796395</v>
      </c>
      <c r="G129" s="688"/>
      <c r="H129" s="691"/>
      <c r="I129" s="691"/>
      <c r="J129" s="691"/>
      <c r="K129" s="691"/>
      <c r="L129" s="691"/>
      <c r="M129" s="691"/>
      <c r="N129" s="691"/>
      <c r="O129" s="763"/>
      <c r="P129" s="688">
        <f t="shared" si="41"/>
        <v>0</v>
      </c>
      <c r="Q129" s="809">
        <f t="shared" si="37"/>
        <v>0</v>
      </c>
      <c r="R129" s="834">
        <f t="shared" si="39"/>
        <v>1</v>
      </c>
      <c r="S129" s="855">
        <f>P129*$AB$27</f>
        <v>0</v>
      </c>
      <c r="T129" s="806">
        <f>P129*$AC$27</f>
        <v>0</v>
      </c>
      <c r="U129" s="806">
        <f>P129*$AD$27</f>
        <v>0</v>
      </c>
      <c r="V129" s="806">
        <f>P129*$AE$27</f>
        <v>0</v>
      </c>
      <c r="W129" s="806">
        <f>P129*$AF$27</f>
        <v>0</v>
      </c>
      <c r="X129" s="806">
        <f>P129*$AG$27</f>
        <v>0</v>
      </c>
      <c r="Y129" s="822">
        <f t="shared" si="42"/>
        <v>63407.63020796395</v>
      </c>
    </row>
    <row r="130" spans="3:25">
      <c r="C130" s="1219"/>
      <c r="D130" s="806" t="s">
        <v>2752</v>
      </c>
      <c r="E130" s="807">
        <v>138015.13245792579</v>
      </c>
      <c r="F130" s="808">
        <v>20702.269868688869</v>
      </c>
      <c r="G130" s="688"/>
      <c r="H130" s="810"/>
      <c r="I130" s="810"/>
      <c r="J130" s="810"/>
      <c r="K130" s="810"/>
      <c r="L130" s="810"/>
      <c r="M130" s="810"/>
      <c r="N130" s="810"/>
      <c r="O130" s="811"/>
      <c r="P130" s="688">
        <f t="shared" si="41"/>
        <v>0</v>
      </c>
      <c r="Q130" s="809">
        <f t="shared" si="37"/>
        <v>0</v>
      </c>
      <c r="R130" s="834">
        <f t="shared" si="39"/>
        <v>1</v>
      </c>
      <c r="S130" s="855">
        <f>P130*$AB$28</f>
        <v>0</v>
      </c>
      <c r="T130" s="806">
        <f>P130*$AC$28</f>
        <v>0</v>
      </c>
      <c r="U130" s="806">
        <f>P130*$AD$28</f>
        <v>0</v>
      </c>
      <c r="V130" s="806">
        <f>P130*$AE$28</f>
        <v>0</v>
      </c>
      <c r="W130" s="806">
        <f>P130*$AF$28</f>
        <v>0</v>
      </c>
      <c r="X130" s="806">
        <f>P130*$AG$28</f>
        <v>0</v>
      </c>
      <c r="Y130" s="822">
        <f t="shared" si="42"/>
        <v>20702.269868688869</v>
      </c>
    </row>
    <row r="131" spans="3:25">
      <c r="C131" s="1219"/>
      <c r="D131" s="806" t="s">
        <v>613</v>
      </c>
      <c r="E131" s="807">
        <v>100473.89970888238</v>
      </c>
      <c r="F131" s="808">
        <v>41053.169912664715</v>
      </c>
      <c r="G131" s="688"/>
      <c r="H131" s="819">
        <f>5343+1706</f>
        <v>7049</v>
      </c>
      <c r="I131" s="810"/>
      <c r="J131" s="810"/>
      <c r="K131" s="810"/>
      <c r="L131" s="810"/>
      <c r="M131" s="810"/>
      <c r="N131" s="810"/>
      <c r="O131" s="811"/>
      <c r="P131" s="688">
        <f t="shared" si="41"/>
        <v>7049</v>
      </c>
      <c r="Q131" s="809">
        <f t="shared" si="37"/>
        <v>0.1717041586556125</v>
      </c>
      <c r="R131" s="834">
        <f t="shared" si="39"/>
        <v>0.8282958413443875</v>
      </c>
      <c r="S131" s="855">
        <f>P131*$AB$29</f>
        <v>3381.4172946595195</v>
      </c>
      <c r="T131" s="806">
        <f>P131*$AC$29</f>
        <v>3667.5827053404805</v>
      </c>
      <c r="U131" s="806">
        <f>P131*$AD$29</f>
        <v>3255.2973677999839</v>
      </c>
      <c r="V131" s="806">
        <f>P131*$AE$29</f>
        <v>3330.2186002117787</v>
      </c>
      <c r="W131" s="806">
        <f>P131*$AF$29</f>
        <v>463.48403198823729</v>
      </c>
      <c r="X131" s="806">
        <f>P131*$AG$29</f>
        <v>1454.1883152280166</v>
      </c>
      <c r="Y131" s="822">
        <f t="shared" si="42"/>
        <v>34004.169912664715</v>
      </c>
    </row>
    <row r="132" spans="3:25">
      <c r="C132" s="1219"/>
      <c r="D132" s="806" t="s">
        <v>37</v>
      </c>
      <c r="E132" s="807">
        <v>186093.36070325039</v>
      </c>
      <c r="F132" s="808">
        <v>126038.34428130016</v>
      </c>
      <c r="G132" s="1060">
        <f>J2</f>
        <v>75470</v>
      </c>
      <c r="H132" s="819">
        <v>1269</v>
      </c>
      <c r="I132" s="819">
        <v>2421</v>
      </c>
      <c r="J132" s="810"/>
      <c r="K132" s="810"/>
      <c r="L132" s="810"/>
      <c r="M132" s="810"/>
      <c r="N132" s="810"/>
      <c r="O132" s="811"/>
      <c r="P132" s="688">
        <f t="shared" si="41"/>
        <v>79160</v>
      </c>
      <c r="Q132" s="809">
        <f t="shared" si="37"/>
        <v>0.62806283636450999</v>
      </c>
      <c r="R132" s="834">
        <f t="shared" si="39"/>
        <v>0.37193716363549001</v>
      </c>
      <c r="S132" s="855">
        <f>P132*$AB$30</f>
        <v>40359.482997230392</v>
      </c>
      <c r="T132" s="806">
        <f>P132*$AC$30</f>
        <v>38800.517002769608</v>
      </c>
      <c r="U132" s="806">
        <f>P132*$AD$30</f>
        <v>28505.321135764192</v>
      </c>
      <c r="V132" s="806">
        <f>P132*$AE$30</f>
        <v>46301.180260292997</v>
      </c>
      <c r="W132" s="806">
        <f>P132*$AF$30</f>
        <v>4353.498603942804</v>
      </c>
      <c r="X132" s="806">
        <f>P132*$AG$30</f>
        <v>7043.4680916180878</v>
      </c>
      <c r="Y132" s="822">
        <f t="shared" si="42"/>
        <v>46878.34428130016</v>
      </c>
    </row>
    <row r="133" spans="3:25">
      <c r="C133" s="1219"/>
      <c r="D133" s="806" t="s">
        <v>2753</v>
      </c>
      <c r="E133" s="807">
        <v>100307.37004541785</v>
      </c>
      <c r="F133" s="808">
        <v>80234.448018167139</v>
      </c>
      <c r="G133" s="688"/>
      <c r="H133" s="819">
        <v>5413</v>
      </c>
      <c r="I133" s="819"/>
      <c r="J133" s="810"/>
      <c r="K133" s="810">
        <v>595</v>
      </c>
      <c r="L133" s="810"/>
      <c r="M133" s="810"/>
      <c r="N133" s="810"/>
      <c r="O133" s="811"/>
      <c r="P133" s="688">
        <f t="shared" si="41"/>
        <v>6008</v>
      </c>
      <c r="Q133" s="809">
        <f t="shared" si="37"/>
        <v>7.4880555028429122E-2</v>
      </c>
      <c r="R133" s="834">
        <f t="shared" si="39"/>
        <v>0.92511944497157084</v>
      </c>
      <c r="S133" s="855">
        <f>P133*$AB$31</f>
        <v>3094.5829839682297</v>
      </c>
      <c r="T133" s="806">
        <f>P133*$AC$31</f>
        <v>2913.4170160317708</v>
      </c>
      <c r="U133" s="806">
        <f>P133*$AD$31</f>
        <v>2434.079804065911</v>
      </c>
      <c r="V133" s="806">
        <f>P133*$AE$31</f>
        <v>3259.9028563254683</v>
      </c>
      <c r="W133" s="806">
        <f>P133*$AF$31</f>
        <v>314.01733960862026</v>
      </c>
      <c r="X133" s="806">
        <f>P133*$AG$31</f>
        <v>650.78019952050965</v>
      </c>
      <c r="Y133" s="822">
        <f t="shared" si="42"/>
        <v>74226.448018167139</v>
      </c>
    </row>
    <row r="134" spans="3:25">
      <c r="C134" s="1219"/>
      <c r="D134" s="806" t="s">
        <v>2350</v>
      </c>
      <c r="E134" s="807">
        <v>97411.788139174037</v>
      </c>
      <c r="F134" s="808">
        <v>68576.715255669609</v>
      </c>
      <c r="G134" s="688"/>
      <c r="H134" s="819">
        <v>6826</v>
      </c>
      <c r="I134" s="810"/>
      <c r="J134" s="810"/>
      <c r="K134" s="810">
        <f>24631+10349+15105</f>
        <v>50085</v>
      </c>
      <c r="L134" s="810"/>
      <c r="M134" s="810"/>
      <c r="N134" s="810"/>
      <c r="O134" s="811"/>
      <c r="P134" s="688">
        <f t="shared" si="41"/>
        <v>56911</v>
      </c>
      <c r="Q134" s="809">
        <f t="shared" si="37"/>
        <v>0.82988810105329236</v>
      </c>
      <c r="R134" s="834">
        <f t="shared" si="39"/>
        <v>0.17011189894670764</v>
      </c>
      <c r="S134" s="855">
        <f>P134*$AB$32</f>
        <v>28236.818443137709</v>
      </c>
      <c r="T134" s="806">
        <f>P134*$AC$32</f>
        <v>28674.181556862291</v>
      </c>
      <c r="U134" s="806">
        <f>P134*$AD$32</f>
        <v>23463.739093786851</v>
      </c>
      <c r="V134" s="806">
        <f>P134*$AE$32</f>
        <v>29438.439603516788</v>
      </c>
      <c r="W134" s="806">
        <f>P134*$AF$32</f>
        <v>4008.8213026963581</v>
      </c>
      <c r="X134" s="806">
        <f>P134*$AG$32</f>
        <v>9465.0406698959159</v>
      </c>
      <c r="Y134" s="822">
        <f t="shared" si="42"/>
        <v>11665.715255669609</v>
      </c>
    </row>
    <row r="135" spans="3:25">
      <c r="C135" s="1219"/>
      <c r="D135" s="806" t="s">
        <v>2754</v>
      </c>
      <c r="E135" s="807">
        <v>308281.36095731339</v>
      </c>
      <c r="F135" s="808">
        <v>51819.20414359701</v>
      </c>
      <c r="G135" s="688"/>
      <c r="H135" s="819">
        <v>952</v>
      </c>
      <c r="I135" s="810"/>
      <c r="J135" s="810"/>
      <c r="K135" s="810"/>
      <c r="L135" s="810"/>
      <c r="M135" s="810"/>
      <c r="N135" s="810"/>
      <c r="O135" s="811"/>
      <c r="P135" s="688">
        <f t="shared" si="41"/>
        <v>952</v>
      </c>
      <c r="Q135" s="809">
        <f t="shared" si="37"/>
        <v>1.8371567370311166E-2</v>
      </c>
      <c r="R135" s="834">
        <f t="shared" si="39"/>
        <v>0.9816284326296888</v>
      </c>
      <c r="S135" s="855">
        <f>P135*$AB$33</f>
        <v>443.86073213878217</v>
      </c>
      <c r="T135" s="806">
        <f>P135*$AC$33</f>
        <v>508.13926786121783</v>
      </c>
      <c r="U135" s="806">
        <f>P135*$AD$33</f>
        <v>303.59842892172827</v>
      </c>
      <c r="V135" s="806">
        <f>P135*$AE$33</f>
        <v>554.53792504828243</v>
      </c>
      <c r="W135" s="806">
        <f>P135*$AF$33</f>
        <v>93.86364602998934</v>
      </c>
      <c r="X135" s="806">
        <f>P135*$AG$33</f>
        <v>162.10251690884363</v>
      </c>
      <c r="Y135" s="822">
        <f t="shared" si="42"/>
        <v>50867.20414359701</v>
      </c>
    </row>
    <row r="136" spans="3:25">
      <c r="C136" s="1219"/>
      <c r="D136" s="806" t="s">
        <v>2755</v>
      </c>
      <c r="E136" s="807">
        <v>336813.18381455197</v>
      </c>
      <c r="F136" s="808">
        <v>16840.659190727598</v>
      </c>
      <c r="G136" s="688"/>
      <c r="H136" s="810"/>
      <c r="I136" s="810"/>
      <c r="J136" s="810"/>
      <c r="K136" s="810"/>
      <c r="L136" s="810"/>
      <c r="M136" s="810"/>
      <c r="N136" s="810"/>
      <c r="O136" s="811"/>
      <c r="P136" s="688">
        <f t="shared" si="41"/>
        <v>0</v>
      </c>
      <c r="Q136" s="809">
        <f t="shared" si="37"/>
        <v>0</v>
      </c>
      <c r="R136" s="834">
        <f t="shared" si="39"/>
        <v>1</v>
      </c>
      <c r="S136" s="855">
        <f>P136*$AB$34</f>
        <v>0</v>
      </c>
      <c r="T136" s="806">
        <f>P136*$AC$34</f>
        <v>0</v>
      </c>
      <c r="U136" s="806">
        <f>P136*$AD$34</f>
        <v>0</v>
      </c>
      <c r="V136" s="806">
        <f>P136*$AE$34</f>
        <v>0</v>
      </c>
      <c r="W136" s="806">
        <f>P136*$AF$34</f>
        <v>0</v>
      </c>
      <c r="X136" s="806">
        <f>P136*$AG$34</f>
        <v>0</v>
      </c>
      <c r="Y136" s="822">
        <f t="shared" si="42"/>
        <v>16840.659190727598</v>
      </c>
    </row>
    <row r="137" spans="3:25">
      <c r="C137" s="1219"/>
      <c r="D137" s="806" t="s">
        <v>2756</v>
      </c>
      <c r="E137" s="807">
        <v>30430.553807096338</v>
      </c>
      <c r="F137" s="808">
        <v>1521.527690354817</v>
      </c>
      <c r="G137" s="688"/>
      <c r="H137" s="691"/>
      <c r="I137" s="691"/>
      <c r="J137" s="691"/>
      <c r="K137" s="691"/>
      <c r="L137" s="691"/>
      <c r="M137" s="691"/>
      <c r="N137" s="691"/>
      <c r="O137" s="763"/>
      <c r="P137" s="688">
        <f t="shared" si="41"/>
        <v>0</v>
      </c>
      <c r="Q137" s="809">
        <f t="shared" si="37"/>
        <v>0</v>
      </c>
      <c r="R137" s="834">
        <f t="shared" si="39"/>
        <v>1</v>
      </c>
      <c r="S137" s="855">
        <f>P137*$AB$35</f>
        <v>0</v>
      </c>
      <c r="T137" s="806">
        <f>P137*$AC$35</f>
        <v>0</v>
      </c>
      <c r="U137" s="806">
        <f>P137*$AD$35</f>
        <v>0</v>
      </c>
      <c r="V137" s="806">
        <f>P137*$AE$35</f>
        <v>0</v>
      </c>
      <c r="W137" s="806">
        <f>P137*$AF$35</f>
        <v>0</v>
      </c>
      <c r="X137" s="806">
        <f>P137*$AG$35</f>
        <v>0</v>
      </c>
      <c r="Y137" s="822">
        <f t="shared" si="42"/>
        <v>1521.527690354817</v>
      </c>
    </row>
    <row r="138" spans="3:25">
      <c r="C138" s="1219"/>
      <c r="D138" s="806" t="s">
        <v>304</v>
      </c>
      <c r="E138" s="807">
        <v>1238941.7131009183</v>
      </c>
      <c r="F138" s="808">
        <v>511996.55675779848</v>
      </c>
      <c r="G138" s="1060">
        <v>59341.5</v>
      </c>
      <c r="H138" s="1040">
        <v>8638</v>
      </c>
      <c r="I138" s="1040">
        <v>14498</v>
      </c>
      <c r="J138" s="1040">
        <v>7247</v>
      </c>
      <c r="K138" s="691"/>
      <c r="L138" s="691"/>
      <c r="M138" s="691">
        <v>4126</v>
      </c>
      <c r="N138" s="691">
        <v>34556</v>
      </c>
      <c r="O138" s="763">
        <f>47568+25597</f>
        <v>73165</v>
      </c>
      <c r="P138" s="688">
        <f t="shared" si="41"/>
        <v>201571.5</v>
      </c>
      <c r="Q138" s="809">
        <f t="shared" si="37"/>
        <v>0.39369698358216498</v>
      </c>
      <c r="R138" s="834">
        <f t="shared" si="39"/>
        <v>0.60630301641783502</v>
      </c>
      <c r="S138" s="855">
        <f>P138*$AB$36</f>
        <v>95535.051998122915</v>
      </c>
      <c r="T138" s="806">
        <f>P138*$AC$36</f>
        <v>106036.44800187708</v>
      </c>
      <c r="U138" s="806">
        <f>P138*$AD$36</f>
        <v>73991.418540389845</v>
      </c>
      <c r="V138" s="806">
        <f>P138*$AE$36</f>
        <v>109849.954480331</v>
      </c>
      <c r="W138" s="806">
        <f>P138*$AF$36</f>
        <v>17730.126979279186</v>
      </c>
      <c r="X138" s="806">
        <f>P138*$AG$36</f>
        <v>34964.146424440289</v>
      </c>
      <c r="Y138" s="822">
        <f t="shared" si="42"/>
        <v>310425.05675779848</v>
      </c>
    </row>
    <row r="139" spans="3:25">
      <c r="C139" s="1219"/>
      <c r="D139" s="806" t="s">
        <v>2757</v>
      </c>
      <c r="E139" s="807">
        <v>271284.15577125904</v>
      </c>
      <c r="F139" s="808">
        <v>77121.038942814761</v>
      </c>
      <c r="G139" s="688"/>
      <c r="H139" s="1040">
        <v>5674</v>
      </c>
      <c r="I139" s="691"/>
      <c r="J139" s="691"/>
      <c r="K139" s="691"/>
      <c r="L139" s="691"/>
      <c r="M139" s="691"/>
      <c r="N139" s="691"/>
      <c r="O139" s="763"/>
      <c r="P139" s="688">
        <f t="shared" si="41"/>
        <v>5674</v>
      </c>
      <c r="Q139" s="809">
        <f t="shared" si="37"/>
        <v>7.3572660298407935E-2</v>
      </c>
      <c r="R139" s="834">
        <f t="shared" si="39"/>
        <v>0.92642733970159208</v>
      </c>
      <c r="S139" s="855">
        <f>P139*$AB$37</f>
        <v>2702.5411727176188</v>
      </c>
      <c r="T139" s="806">
        <f>P139*$AC$37</f>
        <v>2971.4588272823812</v>
      </c>
      <c r="U139" s="806">
        <f>P139*$AD$37</f>
        <v>1938.1398064764592</v>
      </c>
      <c r="V139" s="806">
        <f>P139*$AE$37</f>
        <v>3258.5027837622592</v>
      </c>
      <c r="W139" s="806">
        <f>P139*$AF$37</f>
        <v>477.35740976127948</v>
      </c>
      <c r="X139" s="806">
        <f>P139*$AG$37</f>
        <v>545.48378360959748</v>
      </c>
      <c r="Y139" s="822">
        <f t="shared" si="42"/>
        <v>71447.038942814761</v>
      </c>
    </row>
    <row r="140" spans="3:25">
      <c r="C140" s="1219"/>
      <c r="D140" s="806" t="s">
        <v>2758</v>
      </c>
      <c r="E140" s="807">
        <v>43761.672559015518</v>
      </c>
      <c r="F140" s="808">
        <v>7658.2926978277155</v>
      </c>
      <c r="G140" s="688"/>
      <c r="H140" s="691"/>
      <c r="I140" s="691"/>
      <c r="J140" s="691"/>
      <c r="K140" s="691"/>
      <c r="L140" s="691"/>
      <c r="M140" s="691"/>
      <c r="N140" s="691"/>
      <c r="O140" s="763"/>
      <c r="P140" s="688">
        <f t="shared" si="41"/>
        <v>0</v>
      </c>
      <c r="Q140" s="809">
        <f t="shared" si="37"/>
        <v>0</v>
      </c>
      <c r="R140" s="834">
        <f t="shared" si="39"/>
        <v>1</v>
      </c>
      <c r="S140" s="855">
        <f>P140*$AB$38</f>
        <v>0</v>
      </c>
      <c r="T140" s="806">
        <f>P140*$AC$38</f>
        <v>0</v>
      </c>
      <c r="U140" s="806">
        <f>P140*$AD$38</f>
        <v>0</v>
      </c>
      <c r="V140" s="806">
        <f>P140*$AE$38</f>
        <v>0</v>
      </c>
      <c r="W140" s="806">
        <f>P140*$AF$38</f>
        <v>0</v>
      </c>
      <c r="X140" s="806">
        <f>P140*$AG$38</f>
        <v>0</v>
      </c>
      <c r="Y140" s="822">
        <f t="shared" si="42"/>
        <v>7658.2926978277155</v>
      </c>
    </row>
    <row r="141" spans="3:25">
      <c r="C141" s="1219"/>
      <c r="D141" s="806" t="s">
        <v>515</v>
      </c>
      <c r="E141" s="807">
        <v>154523.3477130745</v>
      </c>
      <c r="F141" s="808">
        <v>46355.336928268625</v>
      </c>
      <c r="G141" s="1060">
        <f>J3</f>
        <v>6768</v>
      </c>
      <c r="H141" s="1040">
        <v>10151</v>
      </c>
      <c r="I141" s="691"/>
      <c r="J141" s="691"/>
      <c r="K141" s="691"/>
      <c r="L141" s="691"/>
      <c r="M141" s="691"/>
      <c r="N141" s="691"/>
      <c r="O141" s="763"/>
      <c r="P141" s="688">
        <f t="shared" si="41"/>
        <v>16919</v>
      </c>
      <c r="Q141" s="809">
        <f t="shared" si="37"/>
        <v>0.36498494285956484</v>
      </c>
      <c r="R141" s="834">
        <f t="shared" si="39"/>
        <v>0.63501505714043516</v>
      </c>
      <c r="S141" s="855">
        <f>P141*$AB$39</f>
        <v>8462.1137356140553</v>
      </c>
      <c r="T141" s="806">
        <f>P141*$AC$39</f>
        <v>8456.8862643859447</v>
      </c>
      <c r="U141" s="806">
        <f>P141*$AD$39</f>
        <v>6428.6530928681086</v>
      </c>
      <c r="V141" s="806">
        <f>P141*$AE$39</f>
        <v>9508.8591605155652</v>
      </c>
      <c r="W141" s="806">
        <f>P141*$AF$39</f>
        <v>981.48774661632194</v>
      </c>
      <c r="X141" s="806">
        <f>P141*$AG$39</f>
        <v>1458.7232008769363</v>
      </c>
      <c r="Y141" s="822">
        <f t="shared" si="42"/>
        <v>29436.336928268625</v>
      </c>
    </row>
    <row r="142" spans="3:25">
      <c r="C142" s="1219"/>
      <c r="D142" s="806" t="s">
        <v>2688</v>
      </c>
      <c r="E142" s="807">
        <v>134852.16996020486</v>
      </c>
      <c r="F142" s="808">
        <v>41304.042490051215</v>
      </c>
      <c r="G142" s="688"/>
      <c r="H142" s="1040">
        <v>2449</v>
      </c>
      <c r="I142" s="691"/>
      <c r="J142" s="691"/>
      <c r="K142" s="691"/>
      <c r="L142" s="691"/>
      <c r="M142" s="691"/>
      <c r="N142" s="691"/>
      <c r="O142" s="763"/>
      <c r="P142" s="688">
        <f t="shared" si="41"/>
        <v>2449</v>
      </c>
      <c r="Q142" s="809">
        <f t="shared" si="37"/>
        <v>5.9292017254482625E-2</v>
      </c>
      <c r="R142" s="834">
        <f t="shared" si="39"/>
        <v>0.94070798274551737</v>
      </c>
      <c r="S142" s="855">
        <f>P142*$AB$40</f>
        <v>1214.9415854822018</v>
      </c>
      <c r="T142" s="806">
        <f>P142*$AC$40</f>
        <v>1234.0584145177982</v>
      </c>
      <c r="U142" s="806">
        <f>P142*$AD$40</f>
        <v>930.53794103871394</v>
      </c>
      <c r="V142" s="806">
        <f>P142*$AE$40</f>
        <v>1376.3931724157821</v>
      </c>
      <c r="W142" s="806">
        <f>P142*$AF$40</f>
        <v>142.06888654550343</v>
      </c>
      <c r="X142" s="806">
        <f>P142*$AG$40</f>
        <v>211.14800632115472</v>
      </c>
      <c r="Y142" s="822">
        <f t="shared" si="42"/>
        <v>38855.042490051215</v>
      </c>
    </row>
    <row r="143" spans="3:25">
      <c r="C143" s="1219"/>
      <c r="D143" s="806" t="s">
        <v>2759</v>
      </c>
      <c r="E143" s="807">
        <v>35261.775049483891</v>
      </c>
      <c r="F143" s="808">
        <v>14567.210019793558</v>
      </c>
      <c r="G143" s="688"/>
      <c r="H143" s="691"/>
      <c r="I143" s="691"/>
      <c r="J143" s="691"/>
      <c r="K143" s="691"/>
      <c r="L143" s="691"/>
      <c r="M143" s="691"/>
      <c r="N143" s="691"/>
      <c r="O143" s="763"/>
      <c r="P143" s="688">
        <f t="shared" si="41"/>
        <v>0</v>
      </c>
      <c r="Q143" s="809">
        <f t="shared" si="37"/>
        <v>0</v>
      </c>
      <c r="R143" s="834">
        <f t="shared" si="39"/>
        <v>1</v>
      </c>
      <c r="S143" s="855">
        <f>P143*$AB$41</f>
        <v>0</v>
      </c>
      <c r="T143" s="806">
        <f>P143*$AC$41</f>
        <v>0</v>
      </c>
      <c r="U143" s="806">
        <f>P143*$AD$41</f>
        <v>0</v>
      </c>
      <c r="V143" s="806">
        <f>P143*$AE$41</f>
        <v>0</v>
      </c>
      <c r="W143" s="806">
        <f>P143*$AF$41</f>
        <v>0</v>
      </c>
      <c r="X143" s="806">
        <f>P143*$AG$41</f>
        <v>0</v>
      </c>
      <c r="Y143" s="822">
        <f t="shared" si="42"/>
        <v>14567.210019793558</v>
      </c>
    </row>
    <row r="144" spans="3:25">
      <c r="C144" s="1219"/>
      <c r="D144" s="806" t="s">
        <v>2760</v>
      </c>
      <c r="E144" s="807">
        <v>727743.63049268548</v>
      </c>
      <c r="F144" s="808">
        <v>72774.363049268548</v>
      </c>
      <c r="G144" s="688"/>
      <c r="H144" s="691"/>
      <c r="I144" s="691"/>
      <c r="J144" s="691"/>
      <c r="K144" s="691">
        <v>5883</v>
      </c>
      <c r="L144" s="691"/>
      <c r="M144" s="691"/>
      <c r="N144" s="691"/>
      <c r="O144" s="763"/>
      <c r="P144" s="688">
        <f t="shared" si="41"/>
        <v>5883</v>
      </c>
      <c r="Q144" s="809">
        <f t="shared" si="37"/>
        <v>8.0838907459996376E-2</v>
      </c>
      <c r="R144" s="834">
        <f t="shared" si="39"/>
        <v>0.91916109254000367</v>
      </c>
      <c r="S144" s="855">
        <f>P144*$AB$42</f>
        <v>2828.0039069287509</v>
      </c>
      <c r="T144" s="806">
        <f>P144*$AC$42</f>
        <v>3054.9960930712491</v>
      </c>
      <c r="U144" s="806">
        <f>P144*$AD$42</f>
        <v>1704.5107782503935</v>
      </c>
      <c r="V144" s="806">
        <f>P144*$AE$42</f>
        <v>3713.795791244394</v>
      </c>
      <c r="W144" s="806">
        <f>P144*$AF$42</f>
        <v>464.69343050521167</v>
      </c>
      <c r="X144" s="806">
        <f>P144*$AG$42</f>
        <v>731.22868219419433</v>
      </c>
      <c r="Y144" s="822">
        <f t="shared" si="42"/>
        <v>66891.363049268548</v>
      </c>
    </row>
    <row r="145" spans="3:25" s="610" customFormat="1" ht="23.5" customHeight="1">
      <c r="C145" s="1220"/>
      <c r="D145" s="812" t="s">
        <v>1488</v>
      </c>
      <c r="E145" s="813">
        <f t="shared" ref="E145:P145" si="43">SUM(E127:E144)</f>
        <v>5464902.8974086875</v>
      </c>
      <c r="F145" s="813">
        <f t="shared" si="43"/>
        <v>1317324.9016123444</v>
      </c>
      <c r="G145" s="814">
        <f t="shared" si="43"/>
        <v>141579.5</v>
      </c>
      <c r="H145" s="813">
        <f t="shared" si="43"/>
        <v>51560</v>
      </c>
      <c r="I145" s="813">
        <f t="shared" si="43"/>
        <v>17970</v>
      </c>
      <c r="J145" s="813">
        <f t="shared" si="43"/>
        <v>7247</v>
      </c>
      <c r="K145" s="813">
        <f t="shared" si="43"/>
        <v>56563</v>
      </c>
      <c r="L145" s="813">
        <f t="shared" si="43"/>
        <v>0</v>
      </c>
      <c r="M145" s="813"/>
      <c r="N145" s="813">
        <f t="shared" si="43"/>
        <v>34556</v>
      </c>
      <c r="O145" s="815">
        <f t="shared" si="43"/>
        <v>73165</v>
      </c>
      <c r="P145" s="816">
        <f t="shared" si="43"/>
        <v>386766.5</v>
      </c>
      <c r="Q145" s="817">
        <f t="shared" si="37"/>
        <v>0.29359993083453884</v>
      </c>
      <c r="R145" s="835">
        <f t="shared" si="39"/>
        <v>0.70640006916546116</v>
      </c>
      <c r="S145" s="856">
        <f t="shared" ref="S145:X145" si="44">SUM(S127:S144)</f>
        <v>188266.7166450191</v>
      </c>
      <c r="T145" s="818">
        <f t="shared" si="44"/>
        <v>198499.7833549809</v>
      </c>
      <c r="U145" s="818">
        <f t="shared" si="44"/>
        <v>144493.15604827012</v>
      </c>
      <c r="V145" s="818">
        <f t="shared" si="44"/>
        <v>212871.66921757793</v>
      </c>
      <c r="W145" s="818">
        <f t="shared" si="44"/>
        <v>29401.674734152013</v>
      </c>
      <c r="X145" s="818">
        <f t="shared" si="44"/>
        <v>57324.350845382614</v>
      </c>
      <c r="Y145" s="857">
        <f>SUM(Y127:Y144)</f>
        <v>930558.40161234443</v>
      </c>
    </row>
    <row r="146" spans="3:25">
      <c r="C146" s="1218" t="s">
        <v>2854</v>
      </c>
      <c r="D146" s="806" t="s">
        <v>2749</v>
      </c>
      <c r="E146" s="807">
        <v>71297.247022932934</v>
      </c>
      <c r="F146" s="808">
        <v>11242.08705343994</v>
      </c>
      <c r="G146" s="688"/>
      <c r="H146" s="1040">
        <v>3289</v>
      </c>
      <c r="I146" s="1040">
        <v>1051</v>
      </c>
      <c r="J146" s="691"/>
      <c r="K146" s="691"/>
      <c r="L146" s="691"/>
      <c r="M146" s="691"/>
      <c r="N146" s="691"/>
      <c r="O146" s="763"/>
      <c r="P146" s="688">
        <f t="shared" ref="P146:P163" si="45">SUM(G146:O146)</f>
        <v>4340</v>
      </c>
      <c r="Q146" s="809">
        <f t="shared" si="37"/>
        <v>0.38604931445287227</v>
      </c>
      <c r="R146" s="834">
        <f t="shared" si="39"/>
        <v>0.61395068554712773</v>
      </c>
      <c r="S146" s="855">
        <f>P146*$AB$25</f>
        <v>2079.7837208548976</v>
      </c>
      <c r="T146" s="806">
        <f>P146*$AC$25</f>
        <v>2260.2162791451024</v>
      </c>
      <c r="U146" s="806">
        <f>P146*$AD$25</f>
        <v>1592.9147149547339</v>
      </c>
      <c r="V146" s="806">
        <f>P146*$AE$25</f>
        <v>2361.5033637673027</v>
      </c>
      <c r="W146" s="806">
        <f>P146*$AF$25</f>
        <v>385.581921277964</v>
      </c>
      <c r="X146" s="806">
        <f>P146*$AG$25</f>
        <v>660.88251639564169</v>
      </c>
      <c r="Y146" s="822">
        <f t="shared" ref="Y146:Y163" si="46">F146-P146</f>
        <v>6902.0870534399401</v>
      </c>
    </row>
    <row r="147" spans="3:25">
      <c r="C147" s="1219"/>
      <c r="D147" s="806" t="s">
        <v>2750</v>
      </c>
      <c r="E147" s="807">
        <v>1282240.102078954</v>
      </c>
      <c r="F147" s="808">
        <v>64112.005103947704</v>
      </c>
      <c r="G147" s="688"/>
      <c r="H147" s="691"/>
      <c r="I147" s="691"/>
      <c r="J147" s="691"/>
      <c r="K147" s="691"/>
      <c r="L147" s="691"/>
      <c r="M147" s="691"/>
      <c r="N147" s="691"/>
      <c r="O147" s="763"/>
      <c r="P147" s="688">
        <f t="shared" si="45"/>
        <v>0</v>
      </c>
      <c r="Q147" s="809">
        <f t="shared" si="37"/>
        <v>0</v>
      </c>
      <c r="R147" s="834">
        <f t="shared" si="39"/>
        <v>1</v>
      </c>
      <c r="S147" s="855">
        <f>P147*$AB$26</f>
        <v>0</v>
      </c>
      <c r="T147" s="806">
        <f>P147*$AC$26</f>
        <v>0</v>
      </c>
      <c r="U147" s="806">
        <f>P147*$AD$26</f>
        <v>0</v>
      </c>
      <c r="V147" s="806">
        <f>P147*$AE$26</f>
        <v>0</v>
      </c>
      <c r="W147" s="806">
        <f>P147*$AF$26</f>
        <v>0</v>
      </c>
      <c r="X147" s="806">
        <f>P147*$AG$26</f>
        <v>0</v>
      </c>
      <c r="Y147" s="822">
        <f t="shared" si="46"/>
        <v>64112.005103947704</v>
      </c>
    </row>
    <row r="148" spans="3:25">
      <c r="C148" s="1219"/>
      <c r="D148" s="806" t="s">
        <v>2751</v>
      </c>
      <c r="E148" s="807">
        <v>207170.43402654651</v>
      </c>
      <c r="F148" s="808">
        <v>63407.63020796395</v>
      </c>
      <c r="G148" s="688"/>
      <c r="H148" s="691"/>
      <c r="I148" s="691"/>
      <c r="J148" s="691"/>
      <c r="K148" s="691"/>
      <c r="L148" s="691"/>
      <c r="M148" s="691"/>
      <c r="N148" s="691"/>
      <c r="O148" s="763"/>
      <c r="P148" s="688">
        <f t="shared" si="45"/>
        <v>0</v>
      </c>
      <c r="Q148" s="809">
        <f t="shared" si="37"/>
        <v>0</v>
      </c>
      <c r="R148" s="834">
        <f t="shared" si="39"/>
        <v>1</v>
      </c>
      <c r="S148" s="855">
        <f>P148*$AB$27</f>
        <v>0</v>
      </c>
      <c r="T148" s="806">
        <f>P148*$AC$27</f>
        <v>0</v>
      </c>
      <c r="U148" s="806">
        <f>P148*$AD$27</f>
        <v>0</v>
      </c>
      <c r="V148" s="806">
        <f>P148*$AE$27</f>
        <v>0</v>
      </c>
      <c r="W148" s="806">
        <f>P148*$AF$27</f>
        <v>0</v>
      </c>
      <c r="X148" s="806">
        <f>P148*$AG$27</f>
        <v>0</v>
      </c>
      <c r="Y148" s="822">
        <f t="shared" si="46"/>
        <v>63407.63020796395</v>
      </c>
    </row>
    <row r="149" spans="3:25">
      <c r="C149" s="1219"/>
      <c r="D149" s="806" t="s">
        <v>2752</v>
      </c>
      <c r="E149" s="807">
        <v>138015.13245792579</v>
      </c>
      <c r="F149" s="808">
        <v>20702.269868688869</v>
      </c>
      <c r="G149" s="688"/>
      <c r="H149" s="810"/>
      <c r="I149" s="810"/>
      <c r="J149" s="810"/>
      <c r="K149" s="810"/>
      <c r="L149" s="810"/>
      <c r="M149" s="810"/>
      <c r="N149" s="691"/>
      <c r="O149" s="763"/>
      <c r="P149" s="688">
        <f t="shared" si="45"/>
        <v>0</v>
      </c>
      <c r="Q149" s="809">
        <f t="shared" si="37"/>
        <v>0</v>
      </c>
      <c r="R149" s="834">
        <f t="shared" si="39"/>
        <v>1</v>
      </c>
      <c r="S149" s="855">
        <f>P149*$AB$28</f>
        <v>0</v>
      </c>
      <c r="T149" s="806">
        <f>P149*$AC$28</f>
        <v>0</v>
      </c>
      <c r="U149" s="806">
        <f>P149*$AD$28</f>
        <v>0</v>
      </c>
      <c r="V149" s="806">
        <f>P149*$AE$28</f>
        <v>0</v>
      </c>
      <c r="W149" s="806">
        <f>P149*$AF$28</f>
        <v>0</v>
      </c>
      <c r="X149" s="806">
        <f>P149*$AG$28</f>
        <v>0</v>
      </c>
      <c r="Y149" s="822">
        <f t="shared" si="46"/>
        <v>20702.269868688869</v>
      </c>
    </row>
    <row r="150" spans="3:25">
      <c r="C150" s="1219"/>
      <c r="D150" s="806" t="s">
        <v>613</v>
      </c>
      <c r="E150" s="807">
        <v>100473.89970888238</v>
      </c>
      <c r="F150" s="808">
        <v>41053.169912664715</v>
      </c>
      <c r="G150" s="688"/>
      <c r="H150" s="819">
        <v>28092</v>
      </c>
      <c r="I150" s="810"/>
      <c r="J150" s="810"/>
      <c r="K150" s="691">
        <v>20870</v>
      </c>
      <c r="L150" s="810"/>
      <c r="M150" s="810"/>
      <c r="N150" s="691"/>
      <c r="O150" s="763"/>
      <c r="P150" s="688">
        <f t="shared" si="45"/>
        <v>48962</v>
      </c>
      <c r="Q150" s="809">
        <f t="shared" si="37"/>
        <v>1.1926484630580365</v>
      </c>
      <c r="R150" s="834">
        <f t="shared" si="39"/>
        <v>-0.19264846305803651</v>
      </c>
      <c r="S150" s="855">
        <f>P150*$AB$29</f>
        <v>23487.154714302651</v>
      </c>
      <c r="T150" s="806">
        <f>P150*$AC$29</f>
        <v>25474.845285697349</v>
      </c>
      <c r="U150" s="806">
        <f>P150*$AD$29</f>
        <v>22611.13203606509</v>
      </c>
      <c r="V150" s="806">
        <f>P150*$AE$29</f>
        <v>23131.531153861415</v>
      </c>
      <c r="W150" s="806">
        <f>P150*$AF$29</f>
        <v>3219.3368100734961</v>
      </c>
      <c r="X150" s="806">
        <f>P150*$AG$29</f>
        <v>10100.719008397524</v>
      </c>
      <c r="Y150" s="822">
        <f t="shared" si="46"/>
        <v>-7908.8300873352855</v>
      </c>
    </row>
    <row r="151" spans="3:25">
      <c r="C151" s="1219"/>
      <c r="D151" s="806" t="s">
        <v>37</v>
      </c>
      <c r="E151" s="807">
        <v>186093.36070325039</v>
      </c>
      <c r="F151" s="808">
        <v>126038.34428130016</v>
      </c>
      <c r="G151" s="1060">
        <f>I2</f>
        <v>57196</v>
      </c>
      <c r="H151" s="819">
        <v>2228</v>
      </c>
      <c r="I151" s="819">
        <v>4180</v>
      </c>
      <c r="J151" s="810"/>
      <c r="K151" s="810"/>
      <c r="L151" s="810"/>
      <c r="M151" s="810"/>
      <c r="N151" s="691"/>
      <c r="O151" s="763"/>
      <c r="P151" s="688">
        <f t="shared" si="45"/>
        <v>63604</v>
      </c>
      <c r="Q151" s="809">
        <f t="shared" si="37"/>
        <v>0.50464007887984208</v>
      </c>
      <c r="R151" s="834">
        <f t="shared" si="39"/>
        <v>0.49535992112015792</v>
      </c>
      <c r="S151" s="855">
        <f>P151*$AB$30</f>
        <v>32428.304150528573</v>
      </c>
      <c r="T151" s="806">
        <f>P151*$AC$30</f>
        <v>31175.695849471427</v>
      </c>
      <c r="U151" s="806">
        <f>P151*$AD$30</f>
        <v>22903.64382919588</v>
      </c>
      <c r="V151" s="806">
        <f>P151*$AE$30</f>
        <v>37202.378338500203</v>
      </c>
      <c r="W151" s="806">
        <f>P151*$AF$30</f>
        <v>3497.9778323039172</v>
      </c>
      <c r="X151" s="806">
        <f>P151*$AG$30</f>
        <v>5659.332295342052</v>
      </c>
      <c r="Y151" s="822">
        <f t="shared" si="46"/>
        <v>62434.34428130016</v>
      </c>
    </row>
    <row r="152" spans="3:25">
      <c r="C152" s="1219"/>
      <c r="D152" s="806" t="s">
        <v>2753</v>
      </c>
      <c r="E152" s="807">
        <v>100307.37004541785</v>
      </c>
      <c r="F152" s="808">
        <v>80234.448018167139</v>
      </c>
      <c r="G152" s="688"/>
      <c r="H152" s="819">
        <v>16527</v>
      </c>
      <c r="I152" s="819">
        <v>94</v>
      </c>
      <c r="J152" s="810"/>
      <c r="K152" s="810">
        <v>72311</v>
      </c>
      <c r="L152" s="810"/>
      <c r="M152" s="810"/>
      <c r="N152" s="691"/>
      <c r="O152" s="763"/>
      <c r="P152" s="688">
        <f t="shared" si="45"/>
        <v>88932</v>
      </c>
      <c r="Q152" s="809">
        <f t="shared" si="37"/>
        <v>1.1084017176744771</v>
      </c>
      <c r="R152" s="834">
        <f t="shared" si="39"/>
        <v>-0.10840171767447715</v>
      </c>
      <c r="S152" s="855">
        <f>P152*$AB$31</f>
        <v>45806.83321076275</v>
      </c>
      <c r="T152" s="806">
        <f>P152*$AC$31</f>
        <v>43125.166789237257</v>
      </c>
      <c r="U152" s="806">
        <f>P152*$AD$31</f>
        <v>36029.891001196673</v>
      </c>
      <c r="V152" s="806">
        <f>P152*$AE$31</f>
        <v>48253.941547725793</v>
      </c>
      <c r="W152" s="806">
        <f>P152*$AF$31</f>
        <v>4648.1674510775329</v>
      </c>
      <c r="X152" s="806">
        <f>P152*$AG$31</f>
        <v>9633.0200905056518</v>
      </c>
      <c r="Y152" s="822">
        <f t="shared" si="46"/>
        <v>-8697.5519818328612</v>
      </c>
    </row>
    <row r="153" spans="3:25">
      <c r="C153" s="1219"/>
      <c r="D153" s="806" t="s">
        <v>2350</v>
      </c>
      <c r="E153" s="807">
        <v>97411.788139174037</v>
      </c>
      <c r="F153" s="808">
        <v>68576.715255669609</v>
      </c>
      <c r="G153" s="688"/>
      <c r="H153" s="819">
        <v>68256</v>
      </c>
      <c r="I153" s="810"/>
      <c r="J153" s="810"/>
      <c r="K153" s="810"/>
      <c r="L153" s="810"/>
      <c r="M153" s="810"/>
      <c r="N153" s="691"/>
      <c r="O153" s="763"/>
      <c r="P153" s="688">
        <f t="shared" si="45"/>
        <v>68256</v>
      </c>
      <c r="Q153" s="809">
        <f t="shared" ref="Q153:Q164" si="47">P153/F153</f>
        <v>0.99532326308610863</v>
      </c>
      <c r="R153" s="834">
        <f t="shared" si="39"/>
        <v>4.6767369138913661E-3</v>
      </c>
      <c r="S153" s="855">
        <f>P153*$AB$32</f>
        <v>33865.725073444628</v>
      </c>
      <c r="T153" s="806">
        <f>P153*$AC$32</f>
        <v>34390.274926555372</v>
      </c>
      <c r="U153" s="806">
        <f>P153*$AD$32</f>
        <v>28141.149788011375</v>
      </c>
      <c r="V153" s="806">
        <f>P153*$AE$32</f>
        <v>35306.88502359196</v>
      </c>
      <c r="W153" s="806">
        <f>P153*$AF$32</f>
        <v>4807.9651883966653</v>
      </c>
      <c r="X153" s="806">
        <f>P153*$AG$32</f>
        <v>11351.861959277041</v>
      </c>
      <c r="Y153" s="822">
        <f t="shared" si="46"/>
        <v>320.71525566960918</v>
      </c>
    </row>
    <row r="154" spans="3:25">
      <c r="C154" s="1219"/>
      <c r="D154" s="806" t="s">
        <v>2754</v>
      </c>
      <c r="E154" s="807">
        <v>308281.36095731339</v>
      </c>
      <c r="F154" s="808">
        <v>51819.20414359701</v>
      </c>
      <c r="G154" s="688"/>
      <c r="H154" s="819">
        <v>2211</v>
      </c>
      <c r="I154" s="810"/>
      <c r="J154" s="810"/>
      <c r="K154" s="810"/>
      <c r="L154" s="810"/>
      <c r="M154" s="810"/>
      <c r="N154" s="691"/>
      <c r="O154" s="763"/>
      <c r="P154" s="688">
        <f t="shared" si="45"/>
        <v>2211</v>
      </c>
      <c r="Q154" s="809">
        <f t="shared" si="47"/>
        <v>4.2667579260249985E-2</v>
      </c>
      <c r="R154" s="834">
        <f t="shared" si="39"/>
        <v>0.95733242073975</v>
      </c>
      <c r="S154" s="855">
        <f>P154*$AB$33</f>
        <v>1030.8572255870245</v>
      </c>
      <c r="T154" s="806">
        <f>P154*$AC$33</f>
        <v>1180.1427744129755</v>
      </c>
      <c r="U154" s="806">
        <f>P154*$AD$33</f>
        <v>705.10097305245927</v>
      </c>
      <c r="V154" s="806">
        <f>P154*$AE$33</f>
        <v>1287.9026809682273</v>
      </c>
      <c r="W154" s="806">
        <f>P154*$AF$33</f>
        <v>217.9963459793135</v>
      </c>
      <c r="X154" s="806">
        <f>P154*$AG$33</f>
        <v>376.47969000572823</v>
      </c>
      <c r="Y154" s="822">
        <f t="shared" si="46"/>
        <v>49608.20414359701</v>
      </c>
    </row>
    <row r="155" spans="3:25">
      <c r="C155" s="1219"/>
      <c r="D155" s="806" t="s">
        <v>2755</v>
      </c>
      <c r="E155" s="807">
        <v>336813.18381455197</v>
      </c>
      <c r="F155" s="808">
        <v>16840.659190727598</v>
      </c>
      <c r="G155" s="688"/>
      <c r="H155" s="810"/>
      <c r="I155" s="810"/>
      <c r="J155" s="810"/>
      <c r="K155" s="810"/>
      <c r="L155" s="810"/>
      <c r="M155" s="810"/>
      <c r="N155" s="691"/>
      <c r="O155" s="763"/>
      <c r="P155" s="688">
        <f t="shared" si="45"/>
        <v>0</v>
      </c>
      <c r="Q155" s="809">
        <f t="shared" si="47"/>
        <v>0</v>
      </c>
      <c r="R155" s="834">
        <f t="shared" si="39"/>
        <v>1</v>
      </c>
      <c r="S155" s="855">
        <f>P155*$AB$34</f>
        <v>0</v>
      </c>
      <c r="T155" s="806">
        <f>P155*$AC$34</f>
        <v>0</v>
      </c>
      <c r="U155" s="806">
        <f>P155*$AD$34</f>
        <v>0</v>
      </c>
      <c r="V155" s="806">
        <f>P155*$AE$34</f>
        <v>0</v>
      </c>
      <c r="W155" s="806">
        <f>P155*$AF$34</f>
        <v>0</v>
      </c>
      <c r="X155" s="806">
        <f>P155*$AG$34</f>
        <v>0</v>
      </c>
      <c r="Y155" s="822">
        <f t="shared" si="46"/>
        <v>16840.659190727598</v>
      </c>
    </row>
    <row r="156" spans="3:25">
      <c r="C156" s="1219"/>
      <c r="D156" s="806" t="s">
        <v>2756</v>
      </c>
      <c r="E156" s="807">
        <v>30430.553807096338</v>
      </c>
      <c r="F156" s="808">
        <v>1521.527690354817</v>
      </c>
      <c r="G156" s="688"/>
      <c r="H156" s="691"/>
      <c r="I156" s="691"/>
      <c r="J156" s="691"/>
      <c r="K156" s="691"/>
      <c r="L156" s="691"/>
      <c r="M156" s="691"/>
      <c r="N156" s="691"/>
      <c r="O156" s="763"/>
      <c r="P156" s="688">
        <f t="shared" si="45"/>
        <v>0</v>
      </c>
      <c r="Q156" s="809">
        <f t="shared" si="47"/>
        <v>0</v>
      </c>
      <c r="R156" s="834">
        <f t="shared" si="39"/>
        <v>1</v>
      </c>
      <c r="S156" s="855">
        <f>P156*$AB$35</f>
        <v>0</v>
      </c>
      <c r="T156" s="806">
        <f>P156*$AC$35</f>
        <v>0</v>
      </c>
      <c r="U156" s="806">
        <f>P156*$AD$35</f>
        <v>0</v>
      </c>
      <c r="V156" s="806">
        <f>P156*$AE$35</f>
        <v>0</v>
      </c>
      <c r="W156" s="806">
        <f>P156*$AF$35</f>
        <v>0</v>
      </c>
      <c r="X156" s="806">
        <f>P156*$AG$35</f>
        <v>0</v>
      </c>
      <c r="Y156" s="822">
        <f t="shared" si="46"/>
        <v>1521.527690354817</v>
      </c>
    </row>
    <row r="157" spans="3:25">
      <c r="C157" s="1219"/>
      <c r="D157" s="806" t="s">
        <v>304</v>
      </c>
      <c r="E157" s="807">
        <v>1238941.7131009183</v>
      </c>
      <c r="F157" s="808">
        <v>511996.55675779848</v>
      </c>
      <c r="G157" s="1060">
        <v>118176.10182531895</v>
      </c>
      <c r="H157" s="1040">
        <v>45520</v>
      </c>
      <c r="I157" s="1040">
        <v>36199</v>
      </c>
      <c r="J157" s="1040">
        <v>7911</v>
      </c>
      <c r="K157" s="691"/>
      <c r="L157" s="691">
        <v>120111</v>
      </c>
      <c r="M157" s="691"/>
      <c r="N157" s="691">
        <v>34556</v>
      </c>
      <c r="O157" s="763">
        <v>47568</v>
      </c>
      <c r="P157" s="688">
        <f t="shared" si="45"/>
        <v>410041.10182531894</v>
      </c>
      <c r="Q157" s="809">
        <f t="shared" si="47"/>
        <v>0.80086691289857659</v>
      </c>
      <c r="R157" s="834">
        <f t="shared" si="39"/>
        <v>0.19913308710142341</v>
      </c>
      <c r="S157" s="855">
        <f>P157*$AB$36</f>
        <v>194339.46755493441</v>
      </c>
      <c r="T157" s="806">
        <f>P157*$AC$36</f>
        <v>215701.63427038453</v>
      </c>
      <c r="U157" s="806">
        <f>P157*$AD$36</f>
        <v>150514.94275688668</v>
      </c>
      <c r="V157" s="806">
        <f>P157*$AE$36</f>
        <v>223459.15156942353</v>
      </c>
      <c r="W157" s="806">
        <f>P157*$AF$36</f>
        <v>36067.007499008796</v>
      </c>
      <c r="X157" s="806">
        <f>P157*$AG$36</f>
        <v>71124.822329839692</v>
      </c>
      <c r="Y157" s="822">
        <f t="shared" si="46"/>
        <v>101955.45493247954</v>
      </c>
    </row>
    <row r="158" spans="3:25">
      <c r="C158" s="1219"/>
      <c r="D158" s="806" t="s">
        <v>2757</v>
      </c>
      <c r="E158" s="807">
        <v>271284.15577125904</v>
      </c>
      <c r="F158" s="808">
        <v>77121.038942814761</v>
      </c>
      <c r="G158" s="688"/>
      <c r="H158" s="1040">
        <f>51688+464</f>
        <v>52152</v>
      </c>
      <c r="I158" s="691"/>
      <c r="J158" s="691"/>
      <c r="K158" s="691"/>
      <c r="L158" s="691"/>
      <c r="M158" s="691"/>
      <c r="N158" s="691"/>
      <c r="O158" s="763"/>
      <c r="P158" s="688">
        <f t="shared" si="45"/>
        <v>52152</v>
      </c>
      <c r="Q158" s="809">
        <f t="shared" si="47"/>
        <v>0.67623570318691761</v>
      </c>
      <c r="R158" s="834">
        <f t="shared" si="39"/>
        <v>0.32376429681308239</v>
      </c>
      <c r="S158" s="855">
        <f>P158*$AB$37</f>
        <v>24840.135220227225</v>
      </c>
      <c r="T158" s="806">
        <f>P158*$AC$37</f>
        <v>27311.864779772775</v>
      </c>
      <c r="U158" s="806">
        <f>P158*$AD$37</f>
        <v>17814.21698755028</v>
      </c>
      <c r="V158" s="806">
        <f>P158*$AE$37</f>
        <v>29950.200419240278</v>
      </c>
      <c r="W158" s="806">
        <f>P158*$AF$37</f>
        <v>4387.5825932094194</v>
      </c>
      <c r="X158" s="806">
        <f>P158*$AG$37</f>
        <v>5013.7593025745027</v>
      </c>
      <c r="Y158" s="822">
        <f t="shared" si="46"/>
        <v>24969.038942814761</v>
      </c>
    </row>
    <row r="159" spans="3:25">
      <c r="C159" s="1219"/>
      <c r="D159" s="806" t="s">
        <v>2758</v>
      </c>
      <c r="E159" s="807">
        <v>43761.672559015518</v>
      </c>
      <c r="F159" s="808">
        <v>7658.2926978277155</v>
      </c>
      <c r="G159" s="688"/>
      <c r="H159" s="691"/>
      <c r="I159" s="691"/>
      <c r="J159" s="691"/>
      <c r="K159" s="691"/>
      <c r="L159" s="691"/>
      <c r="M159" s="691"/>
      <c r="N159" s="691"/>
      <c r="O159" s="763"/>
      <c r="P159" s="688">
        <f t="shared" si="45"/>
        <v>0</v>
      </c>
      <c r="Q159" s="809">
        <f t="shared" si="47"/>
        <v>0</v>
      </c>
      <c r="R159" s="834">
        <f t="shared" si="39"/>
        <v>1</v>
      </c>
      <c r="S159" s="855">
        <f>P159*$AB$38</f>
        <v>0</v>
      </c>
      <c r="T159" s="806">
        <f>P159*$AC$38</f>
        <v>0</v>
      </c>
      <c r="U159" s="806">
        <f>P159*$AD$38</f>
        <v>0</v>
      </c>
      <c r="V159" s="806">
        <f>P159*$AE$38</f>
        <v>0</v>
      </c>
      <c r="W159" s="806">
        <f>P159*$AF$38</f>
        <v>0</v>
      </c>
      <c r="X159" s="806">
        <f>P159*$AG$38</f>
        <v>0</v>
      </c>
      <c r="Y159" s="822">
        <f t="shared" si="46"/>
        <v>7658.2926978277155</v>
      </c>
    </row>
    <row r="160" spans="3:25">
      <c r="C160" s="1219"/>
      <c r="D160" s="806" t="s">
        <v>515</v>
      </c>
      <c r="E160" s="807">
        <v>154523.3477130745</v>
      </c>
      <c r="F160" s="808">
        <v>46355.336928268625</v>
      </c>
      <c r="G160" s="1060">
        <f>I3</f>
        <v>6244</v>
      </c>
      <c r="H160" s="1040">
        <v>14451</v>
      </c>
      <c r="I160" s="691"/>
      <c r="J160" s="691"/>
      <c r="K160" s="691"/>
      <c r="L160" s="691">
        <v>11505</v>
      </c>
      <c r="M160" s="691"/>
      <c r="N160" s="691"/>
      <c r="O160" s="763"/>
      <c r="P160" s="688">
        <f t="shared" si="45"/>
        <v>32200</v>
      </c>
      <c r="Q160" s="809">
        <f t="shared" si="47"/>
        <v>0.69463414859495165</v>
      </c>
      <c r="R160" s="834">
        <f t="shared" si="39"/>
        <v>0.30536585140504835</v>
      </c>
      <c r="S160" s="855">
        <f>P160*$AB$39</f>
        <v>16104.974424420627</v>
      </c>
      <c r="T160" s="806">
        <f>P160*$AC$39</f>
        <v>16095.025575579373</v>
      </c>
      <c r="U160" s="806">
        <f>P160*$AD$39</f>
        <v>12234.921070415101</v>
      </c>
      <c r="V160" s="806">
        <f>P160*$AE$39</f>
        <v>18097.125419268348</v>
      </c>
      <c r="W160" s="806">
        <f>P160*$AF$39</f>
        <v>1867.9535103165415</v>
      </c>
      <c r="X160" s="806">
        <f>P160*$AG$39</f>
        <v>2776.2212346023612</v>
      </c>
      <c r="Y160" s="822">
        <f t="shared" si="46"/>
        <v>14155.336928268625</v>
      </c>
    </row>
    <row r="161" spans="1:60">
      <c r="C161" s="1219"/>
      <c r="D161" s="806" t="s">
        <v>2688</v>
      </c>
      <c r="E161" s="807">
        <v>134852.16996020486</v>
      </c>
      <c r="F161" s="808">
        <v>41304.042490051215</v>
      </c>
      <c r="G161" s="688"/>
      <c r="H161" s="1040">
        <v>6866</v>
      </c>
      <c r="I161" s="691"/>
      <c r="J161" s="691"/>
      <c r="K161" s="691"/>
      <c r="L161" s="691"/>
      <c r="M161" s="691"/>
      <c r="N161" s="691"/>
      <c r="O161" s="763"/>
      <c r="P161" s="688">
        <f t="shared" si="45"/>
        <v>6866</v>
      </c>
      <c r="Q161" s="809">
        <f t="shared" si="47"/>
        <v>0.16623070251910071</v>
      </c>
      <c r="R161" s="834">
        <f t="shared" si="39"/>
        <v>0.83376929748089923</v>
      </c>
      <c r="S161" s="855">
        <f>P161*$AB$40</f>
        <v>3406.2020930668837</v>
      </c>
      <c r="T161" s="806">
        <f>P161*$AC$40</f>
        <v>3459.7979069331163</v>
      </c>
      <c r="U161" s="806">
        <f>P161*$AD$40</f>
        <v>2608.8499400456553</v>
      </c>
      <c r="V161" s="806">
        <f>P161*$AE$40</f>
        <v>3858.8466810154187</v>
      </c>
      <c r="W161" s="806">
        <f>P161*$AF$40</f>
        <v>398.30337893892465</v>
      </c>
      <c r="X161" s="806">
        <f>P161*$AG$40</f>
        <v>591.97313654595689</v>
      </c>
      <c r="Y161" s="822">
        <f t="shared" si="46"/>
        <v>34438.042490051215</v>
      </c>
    </row>
    <row r="162" spans="1:60">
      <c r="C162" s="1219"/>
      <c r="D162" s="806" t="s">
        <v>2759</v>
      </c>
      <c r="E162" s="807">
        <v>35261.775049483891</v>
      </c>
      <c r="F162" s="808">
        <v>14567.210019793558</v>
      </c>
      <c r="G162" s="688"/>
      <c r="H162" s="691"/>
      <c r="I162" s="691"/>
      <c r="J162" s="691"/>
      <c r="K162" s="691"/>
      <c r="L162" s="691"/>
      <c r="M162" s="691"/>
      <c r="N162" s="691"/>
      <c r="O162" s="763"/>
      <c r="P162" s="688">
        <f t="shared" si="45"/>
        <v>0</v>
      </c>
      <c r="Q162" s="809">
        <f t="shared" si="47"/>
        <v>0</v>
      </c>
      <c r="R162" s="834">
        <f t="shared" si="39"/>
        <v>1</v>
      </c>
      <c r="S162" s="855">
        <f>P162*$AB$41</f>
        <v>0</v>
      </c>
      <c r="T162" s="806">
        <f>P162*$AC$41</f>
        <v>0</v>
      </c>
      <c r="U162" s="806">
        <f>P162*$AD$41</f>
        <v>0</v>
      </c>
      <c r="V162" s="806">
        <f>P162*$AE$41</f>
        <v>0</v>
      </c>
      <c r="W162" s="806">
        <f>P162*$AF$41</f>
        <v>0</v>
      </c>
      <c r="X162" s="806">
        <f>P162*$AG$41</f>
        <v>0</v>
      </c>
      <c r="Y162" s="822">
        <f t="shared" si="46"/>
        <v>14567.210019793558</v>
      </c>
    </row>
    <row r="163" spans="1:60">
      <c r="C163" s="1219"/>
      <c r="D163" s="806" t="s">
        <v>2760</v>
      </c>
      <c r="E163" s="807">
        <v>727743.63049268548</v>
      </c>
      <c r="F163" s="808">
        <v>72774.363049268548</v>
      </c>
      <c r="G163" s="688"/>
      <c r="H163" s="691"/>
      <c r="I163" s="691"/>
      <c r="J163" s="691"/>
      <c r="K163" s="691">
        <v>12500</v>
      </c>
      <c r="L163" s="691"/>
      <c r="M163" s="691"/>
      <c r="N163" s="691"/>
      <c r="O163" s="763"/>
      <c r="P163" s="688">
        <f t="shared" si="45"/>
        <v>12500</v>
      </c>
      <c r="Q163" s="809">
        <f t="shared" si="47"/>
        <v>0.17176378433621531</v>
      </c>
      <c r="R163" s="834">
        <f t="shared" si="39"/>
        <v>0.82823621566378469</v>
      </c>
      <c r="S163" s="855">
        <f>P163*$AB$42</f>
        <v>6008.8473290174043</v>
      </c>
      <c r="T163" s="806">
        <f>P163*$AC$42</f>
        <v>6491.1526709825957</v>
      </c>
      <c r="U163" s="806">
        <f>P163*$AD$42</f>
        <v>3621.6870182100834</v>
      </c>
      <c r="V163" s="806">
        <f>P163*$AE$42</f>
        <v>7890.9480521086052</v>
      </c>
      <c r="W163" s="806">
        <f>P163*$AF$42</f>
        <v>987.36492968130983</v>
      </c>
      <c r="X163" s="806">
        <f>P163*$AG$42</f>
        <v>1553.6900437578495</v>
      </c>
      <c r="Y163" s="822">
        <f t="shared" si="46"/>
        <v>60274.363049268548</v>
      </c>
    </row>
    <row r="164" spans="1:60" s="610" customFormat="1" ht="23.5" customHeight="1" thickBot="1">
      <c r="C164" s="1220"/>
      <c r="D164" s="812" t="s">
        <v>1488</v>
      </c>
      <c r="E164" s="813">
        <f t="shared" ref="E164:L164" si="48">SUM(E146:E163)</f>
        <v>5464902.8974086875</v>
      </c>
      <c r="F164" s="813">
        <f t="shared" si="48"/>
        <v>1317324.9016123444</v>
      </c>
      <c r="G164" s="986">
        <f t="shared" si="48"/>
        <v>181616.10182531894</v>
      </c>
      <c r="H164" s="987">
        <f t="shared" si="48"/>
        <v>239592</v>
      </c>
      <c r="I164" s="987">
        <f t="shared" si="48"/>
        <v>41524</v>
      </c>
      <c r="J164" s="987">
        <f t="shared" si="48"/>
        <v>7911</v>
      </c>
      <c r="K164" s="987">
        <f t="shared" si="48"/>
        <v>105681</v>
      </c>
      <c r="L164" s="987">
        <f t="shared" si="48"/>
        <v>131616</v>
      </c>
      <c r="M164" s="987"/>
      <c r="N164" s="987">
        <f>SUM(N146:N163)</f>
        <v>34556</v>
      </c>
      <c r="O164" s="859">
        <f>SUM(O146:O163)</f>
        <v>47568</v>
      </c>
      <c r="P164" s="985">
        <f>SUM(P146:P163)</f>
        <v>790064.101825319</v>
      </c>
      <c r="Q164" s="881">
        <f t="shared" si="47"/>
        <v>0.59974885531907673</v>
      </c>
      <c r="R164" s="882">
        <f t="shared" si="39"/>
        <v>0.40025114468092327</v>
      </c>
      <c r="S164" s="883">
        <f t="shared" ref="S164:Y164" si="49">SUM(S146:S163)</f>
        <v>383398.28471714712</v>
      </c>
      <c r="T164" s="858">
        <f t="shared" si="49"/>
        <v>406665.81710817188</v>
      </c>
      <c r="U164" s="858">
        <f t="shared" si="49"/>
        <v>298778.45011558401</v>
      </c>
      <c r="V164" s="858">
        <f t="shared" si="49"/>
        <v>430800.41424947098</v>
      </c>
      <c r="W164" s="858">
        <f t="shared" si="49"/>
        <v>60485.237460263881</v>
      </c>
      <c r="X164" s="859">
        <f t="shared" si="49"/>
        <v>118842.76160724399</v>
      </c>
      <c r="Y164" s="859">
        <f t="shared" si="49"/>
        <v>527260.79978702543</v>
      </c>
    </row>
    <row r="165" spans="1:60" ht="16" thickTop="1">
      <c r="V165"/>
      <c r="W165"/>
    </row>
    <row r="166" spans="1:60" ht="23.5">
      <c r="A166" s="359" t="s">
        <v>1588</v>
      </c>
      <c r="B166" s="357"/>
      <c r="C166" s="357"/>
      <c r="D166" s="357"/>
      <c r="E166" s="357"/>
      <c r="F166" s="357"/>
      <c r="G166" s="357"/>
      <c r="H166" s="357"/>
      <c r="I166" s="357"/>
      <c r="J166" s="357"/>
      <c r="K166" s="357"/>
      <c r="L166" s="357"/>
      <c r="M166" s="357"/>
      <c r="N166" s="357"/>
      <c r="O166" s="357"/>
      <c r="P166" s="357"/>
      <c r="Q166" s="357"/>
      <c r="R166" s="357"/>
      <c r="S166" s="357"/>
      <c r="T166" s="357"/>
      <c r="U166" s="357"/>
      <c r="V166" s="358"/>
      <c r="W166" s="358"/>
      <c r="X166" s="357"/>
      <c r="Y166" s="357"/>
      <c r="Z166" s="357"/>
      <c r="AA166" s="357"/>
      <c r="AB166" s="357"/>
      <c r="AC166" s="357"/>
      <c r="AD166" s="357"/>
      <c r="AE166" s="357"/>
      <c r="AF166" s="357"/>
      <c r="AG166" s="357"/>
      <c r="AH166" s="357"/>
      <c r="AI166" s="357"/>
      <c r="AJ166" s="357"/>
      <c r="AK166" s="357"/>
      <c r="AL166" s="357"/>
      <c r="AM166" s="357"/>
      <c r="AN166" s="357"/>
      <c r="AO166" s="357"/>
      <c r="AP166" s="357"/>
      <c r="AQ166" s="357"/>
      <c r="AR166" s="357"/>
      <c r="AS166" s="357"/>
      <c r="AT166" s="357"/>
      <c r="AU166" s="357"/>
      <c r="AV166" s="357"/>
      <c r="AW166" s="357"/>
      <c r="AX166" s="357"/>
      <c r="AY166" s="357"/>
      <c r="AZ166" s="357"/>
      <c r="BA166" s="357"/>
      <c r="BB166" s="357"/>
      <c r="BC166" s="357"/>
      <c r="BD166" s="357"/>
      <c r="BE166" s="357"/>
      <c r="BF166" s="357"/>
      <c r="BG166" s="357"/>
      <c r="BH166" s="357"/>
    </row>
    <row r="167" spans="1:60">
      <c r="V167"/>
      <c r="W167"/>
    </row>
    <row r="168" spans="1:60">
      <c r="J168" s="60"/>
      <c r="AP168" s="464"/>
      <c r="AQ168" s="464"/>
    </row>
    <row r="169" spans="1:60">
      <c r="AP169" s="464"/>
      <c r="AQ169" s="464"/>
    </row>
    <row r="170" spans="1:60">
      <c r="C170" s="156" t="s">
        <v>1588</v>
      </c>
      <c r="D170" t="s">
        <v>43</v>
      </c>
      <c r="E170"/>
      <c r="F170"/>
      <c r="J170"/>
      <c r="Q170" s="465" t="s">
        <v>1588</v>
      </c>
      <c r="R170" s="466" t="s">
        <v>2140</v>
      </c>
      <c r="S170" s="467"/>
      <c r="T170" s="467"/>
      <c r="U170"/>
      <c r="AA170" s="465" t="s">
        <v>1588</v>
      </c>
      <c r="AB170" s="467"/>
      <c r="AC170" s="467"/>
      <c r="AD170" s="467"/>
      <c r="AP170" s="464"/>
      <c r="AQ170" s="464"/>
      <c r="AR170"/>
    </row>
    <row r="171" spans="1:60">
      <c r="C171" s="78" t="s">
        <v>1286</v>
      </c>
      <c r="D171" s="79" t="s">
        <v>1510</v>
      </c>
      <c r="E171" s="81" t="s">
        <v>1290</v>
      </c>
      <c r="F171" s="81" t="s">
        <v>1291</v>
      </c>
      <c r="J171"/>
      <c r="Q171" s="468" t="s">
        <v>1286</v>
      </c>
      <c r="R171" s="469" t="s">
        <v>1510</v>
      </c>
      <c r="S171" s="470" t="s">
        <v>1290</v>
      </c>
      <c r="T171" s="470" t="s">
        <v>1291</v>
      </c>
      <c r="U171"/>
      <c r="AA171" s="468" t="s">
        <v>1286</v>
      </c>
      <c r="AB171" s="469" t="s">
        <v>1510</v>
      </c>
      <c r="AC171" s="470" t="s">
        <v>1290</v>
      </c>
      <c r="AD171" s="470" t="s">
        <v>1291</v>
      </c>
      <c r="AP171" s="420"/>
      <c r="AQ171"/>
      <c r="AR171"/>
    </row>
    <row r="172" spans="1:60" ht="95" customHeight="1">
      <c r="A172" s="457" t="s">
        <v>2166</v>
      </c>
      <c r="C172" s="578" t="s">
        <v>2761</v>
      </c>
      <c r="D172" s="580">
        <v>16442.099999999999</v>
      </c>
      <c r="E172" s="583">
        <f>G126+H126+K126</f>
        <v>4995</v>
      </c>
      <c r="F172" s="583">
        <f t="shared" ref="F172:F177" si="50">D172-E172</f>
        <v>11447.099999999999</v>
      </c>
      <c r="G172" s="583"/>
      <c r="J172"/>
      <c r="K172"/>
      <c r="Q172" s="578" t="s">
        <v>2761</v>
      </c>
      <c r="R172" s="580"/>
      <c r="S172" s="581"/>
      <c r="T172" s="581">
        <f>R172-S172</f>
        <v>0</v>
      </c>
      <c r="U172"/>
      <c r="AA172" s="578" t="s">
        <v>2295</v>
      </c>
      <c r="AB172" s="585">
        <f t="shared" ref="AB172:AC177" si="51">D172+R172</f>
        <v>16442.099999999999</v>
      </c>
      <c r="AC172" s="585">
        <f t="shared" si="51"/>
        <v>4995</v>
      </c>
      <c r="AD172" s="585">
        <f t="shared" ref="AD172:AD177" si="52">AB172-AC172</f>
        <v>11447.099999999999</v>
      </c>
      <c r="AE172" s="1065"/>
      <c r="AP172"/>
      <c r="AQ172"/>
      <c r="AR172"/>
    </row>
    <row r="173" spans="1:60" ht="95" customHeight="1">
      <c r="A173" s="457"/>
      <c r="C173" s="578" t="s">
        <v>2877</v>
      </c>
      <c r="D173" s="580">
        <v>27403.5</v>
      </c>
      <c r="E173" s="583">
        <f>G113+H113+K113</f>
        <v>30690</v>
      </c>
      <c r="F173" s="583"/>
      <c r="G173" s="872">
        <f>D173-E173</f>
        <v>-3286.5</v>
      </c>
      <c r="J173" s="420"/>
      <c r="K173" s="420"/>
      <c r="Q173" s="578" t="s">
        <v>2877</v>
      </c>
      <c r="R173" s="580"/>
      <c r="S173" s="581"/>
      <c r="T173" s="581"/>
      <c r="U173" s="420"/>
      <c r="AA173" s="578" t="s">
        <v>2877</v>
      </c>
      <c r="AB173" s="585">
        <f t="shared" si="51"/>
        <v>27403.5</v>
      </c>
      <c r="AC173" s="585">
        <f t="shared" si="51"/>
        <v>30690</v>
      </c>
      <c r="AD173" s="585"/>
      <c r="AE173" s="1066">
        <f>AB173-AC173</f>
        <v>-3286.5</v>
      </c>
      <c r="AP173" s="420"/>
      <c r="AQ173" s="420"/>
      <c r="AR173" s="420"/>
    </row>
    <row r="174" spans="1:60" ht="57.65" customHeight="1">
      <c r="C174" s="579" t="s">
        <v>2294</v>
      </c>
      <c r="D174" s="584">
        <v>71249.100000000006</v>
      </c>
      <c r="E174" s="584">
        <f>G100+H100+K100</f>
        <v>8840</v>
      </c>
      <c r="F174" s="584">
        <f t="shared" si="50"/>
        <v>62409.100000000006</v>
      </c>
      <c r="G174" s="1065"/>
      <c r="J174"/>
      <c r="K174"/>
      <c r="Q174" s="579" t="s">
        <v>2294</v>
      </c>
      <c r="R174" s="582">
        <v>76925.49016123444</v>
      </c>
      <c r="S174" s="584">
        <f>I100+J100+L100+O100+N100</f>
        <v>44877</v>
      </c>
      <c r="T174" s="584">
        <f>R174-S174</f>
        <v>32048.49016123444</v>
      </c>
      <c r="U174"/>
      <c r="AA174" s="579" t="s">
        <v>2294</v>
      </c>
      <c r="AB174" s="586">
        <f t="shared" si="51"/>
        <v>148174.59016123443</v>
      </c>
      <c r="AC174" s="586">
        <f t="shared" si="51"/>
        <v>53717</v>
      </c>
      <c r="AD174" s="586">
        <f t="shared" si="52"/>
        <v>94457.590161234431</v>
      </c>
      <c r="AE174" s="1065"/>
      <c r="AP174"/>
      <c r="AQ174"/>
      <c r="AR174"/>
    </row>
    <row r="175" spans="1:60" ht="73.25" customHeight="1">
      <c r="C175" s="77" t="s">
        <v>2078</v>
      </c>
      <c r="D175" s="84">
        <v>548070</v>
      </c>
      <c r="E175" s="84">
        <f>G81+H81+K81+M81</f>
        <v>564559.06182531896</v>
      </c>
      <c r="F175" s="84"/>
      <c r="G175" s="1066">
        <f>D175-E175</f>
        <v>-16489.06182531896</v>
      </c>
      <c r="H175" s="158">
        <v>112517.49333333335</v>
      </c>
      <c r="J175"/>
      <c r="K175"/>
      <c r="Q175" s="77" t="s">
        <v>2078</v>
      </c>
      <c r="R175" s="86">
        <v>769254.90161234443</v>
      </c>
      <c r="S175" s="86">
        <f>I81+J81+L81+O81+N81</f>
        <v>292175</v>
      </c>
      <c r="T175" s="86">
        <f>R175-S175</f>
        <v>477079.90161234443</v>
      </c>
      <c r="U175"/>
      <c r="AA175" s="77" t="s">
        <v>2078</v>
      </c>
      <c r="AB175" s="86">
        <f t="shared" si="51"/>
        <v>1317324.9016123444</v>
      </c>
      <c r="AC175" s="86">
        <f t="shared" si="51"/>
        <v>856734.06182531896</v>
      </c>
      <c r="AD175" s="86">
        <f t="shared" si="52"/>
        <v>460590.83978702547</v>
      </c>
      <c r="AE175" s="1065"/>
      <c r="AP175"/>
      <c r="AQ175"/>
      <c r="AR175"/>
    </row>
    <row r="176" spans="1:60" ht="72.650000000000006" customHeight="1">
      <c r="C176" s="76" t="s">
        <v>2079</v>
      </c>
      <c r="D176" s="83">
        <v>548070</v>
      </c>
      <c r="E176" s="83">
        <f>G62+H62+K62+M62</f>
        <v>318164</v>
      </c>
      <c r="F176" s="83">
        <f t="shared" si="50"/>
        <v>229906</v>
      </c>
      <c r="G176" s="1065"/>
      <c r="H176" s="61">
        <f>SUM(E175:E177)</f>
        <v>1401676.1136771708</v>
      </c>
      <c r="J176"/>
      <c r="K176"/>
      <c r="Q176" s="76" t="s">
        <v>2079</v>
      </c>
      <c r="R176" s="160">
        <v>153850.98032246888</v>
      </c>
      <c r="S176" s="160">
        <f>I62+J62+L62+O62+N62</f>
        <v>71552</v>
      </c>
      <c r="T176" s="160">
        <f>R176-S176</f>
        <v>82298.98032246888</v>
      </c>
      <c r="U176"/>
      <c r="X176" s="61">
        <f>SUM(S175:S177)</f>
        <v>522521</v>
      </c>
      <c r="AA176" s="76" t="s">
        <v>2079</v>
      </c>
      <c r="AB176" s="160">
        <f t="shared" si="51"/>
        <v>701920.98032246891</v>
      </c>
      <c r="AC176" s="160">
        <f t="shared" si="51"/>
        <v>389716</v>
      </c>
      <c r="AD176" s="160">
        <f t="shared" si="52"/>
        <v>312204.98032246891</v>
      </c>
      <c r="AE176" s="1065"/>
      <c r="AP176"/>
      <c r="AQ176"/>
      <c r="AR176"/>
      <c r="AU176" s="61">
        <f>SUM(AC175:AC177)</f>
        <v>1924197.1136771708</v>
      </c>
    </row>
    <row r="177" spans="1:60" ht="55.25" customHeight="1">
      <c r="C177" s="80" t="s">
        <v>2080</v>
      </c>
      <c r="D177" s="82">
        <v>548070</v>
      </c>
      <c r="E177" s="82">
        <f>G43+H43+K43+M43</f>
        <v>518953.05185185187</v>
      </c>
      <c r="F177" s="82">
        <f t="shared" si="50"/>
        <v>29116.948148148134</v>
      </c>
      <c r="G177" s="1065"/>
      <c r="H177" s="61"/>
      <c r="Q177" s="80" t="s">
        <v>2080</v>
      </c>
      <c r="R177" s="85">
        <v>615403.92128987552</v>
      </c>
      <c r="S177" s="85">
        <f>I43+J43+L43+O43+N43</f>
        <v>158794</v>
      </c>
      <c r="T177" s="85">
        <f>R177-S177</f>
        <v>456609.92128987552</v>
      </c>
      <c r="W177" s="61">
        <f>487648-203446</f>
        <v>284202</v>
      </c>
      <c r="AA177" s="80" t="s">
        <v>2080</v>
      </c>
      <c r="AB177" s="471">
        <f t="shared" si="51"/>
        <v>1163473.9212898756</v>
      </c>
      <c r="AC177" s="471">
        <f t="shared" si="51"/>
        <v>677747.05185185187</v>
      </c>
      <c r="AD177" s="471">
        <f t="shared" si="52"/>
        <v>485726.86943802377</v>
      </c>
      <c r="AE177" s="1065"/>
      <c r="AP177"/>
      <c r="AQ177"/>
    </row>
    <row r="178" spans="1:60">
      <c r="C178"/>
      <c r="D178"/>
      <c r="E178"/>
      <c r="S178"/>
      <c r="T178"/>
      <c r="V178"/>
      <c r="W178"/>
      <c r="AP178"/>
      <c r="AQ178"/>
    </row>
    <row r="179" spans="1:60">
      <c r="C179" s="420"/>
      <c r="D179" s="420"/>
      <c r="E179" s="420"/>
      <c r="S179" s="420"/>
      <c r="T179" s="420"/>
      <c r="V179" s="420"/>
      <c r="W179" s="420"/>
      <c r="AP179" s="420"/>
      <c r="AQ179" s="420"/>
    </row>
    <row r="180" spans="1:60">
      <c r="C180" s="420"/>
      <c r="D180" s="420"/>
      <c r="E180" s="420"/>
      <c r="S180" s="420"/>
      <c r="T180" s="420"/>
      <c r="V180" s="420"/>
      <c r="W180" s="420"/>
      <c r="AP180" s="420"/>
      <c r="AQ180" s="420"/>
    </row>
    <row r="181" spans="1:60">
      <c r="C181"/>
      <c r="D181"/>
      <c r="S181"/>
      <c r="T181"/>
    </row>
    <row r="182" spans="1:60" ht="23.5">
      <c r="A182" s="359" t="s">
        <v>37</v>
      </c>
      <c r="B182" s="357"/>
      <c r="C182" s="357"/>
      <c r="D182" s="357"/>
      <c r="E182" s="357"/>
      <c r="F182" s="357"/>
      <c r="G182" s="357"/>
      <c r="H182" s="357"/>
      <c r="I182" s="357"/>
      <c r="J182" s="357"/>
      <c r="K182" s="357"/>
      <c r="L182" s="357"/>
      <c r="M182" s="357"/>
      <c r="N182" s="357"/>
      <c r="O182" s="357"/>
      <c r="P182" s="357"/>
      <c r="Q182" s="357"/>
      <c r="R182" s="357"/>
      <c r="S182" s="357"/>
      <c r="T182" s="357"/>
      <c r="U182" s="357"/>
      <c r="V182" s="358"/>
      <c r="W182" s="358"/>
      <c r="X182" s="357"/>
      <c r="Y182" s="357"/>
      <c r="Z182" s="357"/>
      <c r="AA182" s="357"/>
      <c r="AB182" s="357"/>
      <c r="AC182" s="357"/>
      <c r="AD182" s="357"/>
      <c r="AE182" s="357"/>
      <c r="AF182" s="357"/>
      <c r="AG182" s="357"/>
      <c r="AH182" s="357"/>
      <c r="AI182" s="357"/>
      <c r="AJ182" s="357"/>
      <c r="AK182" s="357"/>
      <c r="AL182" s="357"/>
      <c r="AM182" s="357"/>
      <c r="AN182" s="357"/>
      <c r="AO182" s="357"/>
      <c r="AP182" s="357"/>
      <c r="AQ182" s="357"/>
      <c r="AR182" s="357"/>
      <c r="AS182" s="357"/>
      <c r="AT182" s="357"/>
      <c r="AU182" s="357"/>
      <c r="AV182" s="357"/>
      <c r="AW182" s="357"/>
      <c r="AX182" s="357"/>
      <c r="AY182" s="357"/>
      <c r="AZ182" s="357"/>
      <c r="BA182" s="357"/>
      <c r="BB182" s="357"/>
      <c r="BC182" s="357"/>
      <c r="BD182" s="357"/>
      <c r="BE182" s="357"/>
      <c r="BF182" s="357"/>
      <c r="BG182" s="357"/>
      <c r="BH182" s="357"/>
    </row>
    <row r="183" spans="1:60" s="155" customFormat="1" ht="23.5">
      <c r="A183" s="371"/>
      <c r="C183" s="59"/>
      <c r="D183" s="59"/>
      <c r="E183" s="59"/>
      <c r="F183" s="59"/>
      <c r="V183" s="367"/>
      <c r="W183" s="367"/>
    </row>
    <row r="185" spans="1:60">
      <c r="H185" s="1215"/>
      <c r="I185" s="1215"/>
    </row>
    <row r="186" spans="1:60">
      <c r="C186" s="504"/>
      <c r="D186" s="504"/>
      <c r="H186" s="372"/>
      <c r="I186" s="372"/>
    </row>
    <row r="187" spans="1:60">
      <c r="C187" s="504"/>
      <c r="D187" s="504"/>
    </row>
    <row r="188" spans="1:60">
      <c r="C188" s="156" t="s">
        <v>37</v>
      </c>
    </row>
    <row r="189" spans="1:60" ht="65.25" customHeight="1">
      <c r="C189" s="78" t="s">
        <v>1286</v>
      </c>
      <c r="D189" s="79" t="s">
        <v>1510</v>
      </c>
      <c r="E189" s="81" t="s">
        <v>1290</v>
      </c>
      <c r="F189" s="81" t="s">
        <v>1291</v>
      </c>
    </row>
    <row r="190" spans="1:60" ht="65.25" customHeight="1">
      <c r="C190" s="578" t="s">
        <v>2761</v>
      </c>
      <c r="D190" s="580">
        <f>F117</f>
        <v>3096.06</v>
      </c>
      <c r="E190" s="583">
        <f>P117</f>
        <v>4395</v>
      </c>
      <c r="F190" s="583"/>
      <c r="G190" s="583">
        <f>D190-E190</f>
        <v>-1298.94</v>
      </c>
    </row>
    <row r="191" spans="1:60" ht="65.25" customHeight="1">
      <c r="C191" s="578" t="s">
        <v>2877</v>
      </c>
      <c r="D191" s="580">
        <f>F104</f>
        <v>5160.1000000000004</v>
      </c>
      <c r="E191" s="583">
        <f>P104</f>
        <v>20217</v>
      </c>
      <c r="F191" s="583"/>
      <c r="G191" s="872">
        <f>D191-E191</f>
        <v>-15056.9</v>
      </c>
    </row>
    <row r="192" spans="1:60" ht="65.25" customHeight="1">
      <c r="C192" s="579" t="s">
        <v>2294</v>
      </c>
      <c r="D192" s="584">
        <f>F87</f>
        <v>15699.894428130017</v>
      </c>
      <c r="E192" s="584">
        <f>P87</f>
        <v>1365</v>
      </c>
      <c r="F192" s="584">
        <f>D192-E192</f>
        <v>14334.894428130017</v>
      </c>
    </row>
    <row r="193" spans="1:60" ht="69" customHeight="1">
      <c r="C193" s="77" t="s">
        <v>2078</v>
      </c>
      <c r="D193" s="84">
        <f>F68</f>
        <v>126038.34428130016</v>
      </c>
      <c r="E193" s="84">
        <f>P68</f>
        <v>91382</v>
      </c>
      <c r="F193" s="84">
        <f>D193-E193</f>
        <v>34656.34428130016</v>
      </c>
    </row>
    <row r="194" spans="1:60" ht="46.5">
      <c r="C194" s="76" t="s">
        <v>2079</v>
      </c>
      <c r="D194" s="83">
        <f>F49</f>
        <v>107769.26885626004</v>
      </c>
      <c r="E194" s="83">
        <f>P49</f>
        <v>86748</v>
      </c>
      <c r="F194" s="83">
        <f>D194-E194</f>
        <v>21021.268856260038</v>
      </c>
    </row>
    <row r="195" spans="1:60" ht="46.5">
      <c r="C195" s="80" t="s">
        <v>2080</v>
      </c>
      <c r="D195" s="82">
        <f>F30</f>
        <v>121471.07542504012</v>
      </c>
      <c r="E195" s="82">
        <f>P30</f>
        <v>81939.718518518508</v>
      </c>
      <c r="F195" s="82">
        <f>D195-E195</f>
        <v>39531.356906521614</v>
      </c>
    </row>
    <row r="196" spans="1:60">
      <c r="E196" s="61"/>
    </row>
    <row r="197" spans="1:60">
      <c r="C197"/>
      <c r="D197"/>
    </row>
    <row r="198" spans="1:60">
      <c r="C198"/>
      <c r="D198"/>
      <c r="AD198" s="155"/>
      <c r="AE198" s="155"/>
      <c r="AF198" s="155"/>
      <c r="AG198" s="155"/>
    </row>
    <row r="199" spans="1:60" ht="23.5">
      <c r="A199" s="359" t="s">
        <v>515</v>
      </c>
      <c r="B199" s="357"/>
      <c r="C199" s="357"/>
      <c r="D199" s="357"/>
      <c r="E199" s="357"/>
      <c r="F199" s="357"/>
      <c r="G199" s="357"/>
      <c r="H199" s="357"/>
      <c r="I199" s="357"/>
      <c r="J199" s="357"/>
      <c r="K199" s="357"/>
      <c r="L199" s="357"/>
      <c r="M199" s="357"/>
      <c r="N199" s="357"/>
      <c r="O199" s="357"/>
      <c r="P199" s="357"/>
      <c r="Q199" s="357"/>
      <c r="R199" s="357"/>
      <c r="S199" s="357"/>
      <c r="T199" s="357"/>
      <c r="U199" s="357"/>
      <c r="V199" s="358"/>
      <c r="W199" s="358"/>
      <c r="X199" s="357"/>
      <c r="Y199" s="357"/>
      <c r="Z199" s="357"/>
      <c r="AA199" s="357"/>
      <c r="AB199" s="357"/>
      <c r="AC199" s="357"/>
      <c r="AD199" s="357"/>
      <c r="AE199" s="357"/>
      <c r="AF199" s="357"/>
      <c r="AG199" s="357"/>
      <c r="AH199" s="357"/>
      <c r="AI199" s="357"/>
      <c r="AJ199" s="357"/>
      <c r="AK199" s="357"/>
      <c r="AL199" s="357"/>
      <c r="AM199" s="357"/>
      <c r="AN199" s="357"/>
      <c r="AO199" s="357"/>
      <c r="AP199" s="357"/>
      <c r="AQ199" s="357"/>
      <c r="AR199" s="357"/>
      <c r="AS199" s="357"/>
      <c r="AT199" s="357"/>
      <c r="AU199" s="357"/>
      <c r="AV199" s="357"/>
      <c r="AW199" s="357"/>
      <c r="AX199" s="357"/>
      <c r="AY199" s="357"/>
      <c r="AZ199" s="357"/>
      <c r="BA199" s="357"/>
      <c r="BB199" s="357"/>
      <c r="BC199" s="357"/>
      <c r="BD199" s="357"/>
      <c r="BE199" s="357"/>
      <c r="BF199" s="357"/>
      <c r="BG199" s="357"/>
      <c r="BH199" s="357"/>
    </row>
    <row r="200" spans="1:60" s="155" customFormat="1" ht="23.5">
      <c r="A200" s="371"/>
      <c r="V200" s="367"/>
      <c r="W200" s="367"/>
      <c r="AD200" s="59"/>
      <c r="AE200" s="59"/>
      <c r="AF200" s="59"/>
      <c r="AG200" s="59"/>
    </row>
    <row r="201" spans="1:60">
      <c r="C201" s="504"/>
      <c r="D201" s="504"/>
    </row>
    <row r="202" spans="1:60">
      <c r="C202" s="504"/>
      <c r="D202" s="504"/>
    </row>
    <row r="203" spans="1:60">
      <c r="C203" s="504"/>
      <c r="D203" s="504"/>
      <c r="AD203" s="370"/>
      <c r="AE203" s="370"/>
      <c r="AF203" s="370"/>
      <c r="AG203" s="370"/>
    </row>
    <row r="204" spans="1:60">
      <c r="C204" s="156" t="s">
        <v>515</v>
      </c>
      <c r="E204" s="1216"/>
      <c r="F204" s="1216"/>
    </row>
    <row r="205" spans="1:60">
      <c r="C205" s="78" t="s">
        <v>1286</v>
      </c>
      <c r="D205" s="79" t="s">
        <v>1510</v>
      </c>
      <c r="E205" s="81" t="s">
        <v>1290</v>
      </c>
      <c r="F205" s="81" t="s">
        <v>1291</v>
      </c>
      <c r="S205" s="420"/>
      <c r="T205" s="420"/>
      <c r="AC205" s="370"/>
      <c r="AH205" s="370"/>
      <c r="AI205" s="370"/>
      <c r="AJ205" s="370"/>
      <c r="AK205" s="370"/>
      <c r="AL205" s="370"/>
      <c r="AM205" s="370"/>
      <c r="AN205" s="370"/>
      <c r="AO205" s="370"/>
      <c r="AP205" s="370"/>
      <c r="AQ205" s="370"/>
      <c r="AR205" s="370"/>
      <c r="AS205" s="370"/>
      <c r="AT205" s="370"/>
      <c r="AU205" s="370"/>
      <c r="AV205" s="370"/>
      <c r="AW205" s="370"/>
      <c r="AX205" s="370"/>
      <c r="AY205" s="370"/>
      <c r="AZ205" s="370"/>
      <c r="BA205" s="370"/>
      <c r="BB205" s="370"/>
      <c r="BC205" s="370"/>
      <c r="BD205" s="370"/>
      <c r="BE205" s="370"/>
      <c r="BF205" s="370"/>
      <c r="BG205" s="370"/>
      <c r="BH205" s="370"/>
    </row>
    <row r="206" spans="1:60" ht="62">
      <c r="C206" s="578" t="s">
        <v>2761</v>
      </c>
      <c r="D206" s="873">
        <f>F123</f>
        <v>463.46999999999997</v>
      </c>
      <c r="E206" s="873">
        <f>P123</f>
        <v>0</v>
      </c>
      <c r="F206" s="873">
        <f>D206-E206</f>
        <v>463.46999999999997</v>
      </c>
      <c r="S206" s="420"/>
      <c r="T206" s="420"/>
      <c r="AC206" s="370"/>
      <c r="AH206" s="370"/>
      <c r="AI206" s="370"/>
      <c r="AJ206" s="370"/>
      <c r="AK206" s="370"/>
      <c r="AL206" s="370"/>
      <c r="AM206" s="370"/>
      <c r="AN206" s="370"/>
      <c r="AO206" s="370"/>
      <c r="AP206" s="370"/>
      <c r="AQ206" s="370"/>
      <c r="AR206" s="370"/>
      <c r="AS206" s="370"/>
      <c r="AT206" s="370"/>
      <c r="AU206" s="370"/>
      <c r="AV206" s="370"/>
      <c r="AW206" s="370"/>
      <c r="AX206" s="370"/>
      <c r="AY206" s="370"/>
      <c r="AZ206" s="370"/>
      <c r="BA206" s="370"/>
      <c r="BB206" s="370"/>
      <c r="BC206" s="370"/>
      <c r="BD206" s="370"/>
      <c r="BE206" s="370"/>
      <c r="BF206" s="370"/>
      <c r="BG206" s="370"/>
      <c r="BH206" s="370"/>
    </row>
    <row r="207" spans="1:60" ht="62">
      <c r="C207" s="578" t="s">
        <v>2877</v>
      </c>
      <c r="D207" s="873">
        <f>F110</f>
        <v>772.45</v>
      </c>
      <c r="E207" s="873">
        <f>P110</f>
        <v>2223</v>
      </c>
      <c r="F207" s="873"/>
      <c r="G207" s="61">
        <f>D207-E207</f>
        <v>-1450.55</v>
      </c>
      <c r="S207" s="420"/>
      <c r="T207" s="420"/>
      <c r="AC207" s="370"/>
      <c r="AH207" s="370"/>
      <c r="AI207" s="370"/>
      <c r="AJ207" s="370"/>
      <c r="AK207" s="370"/>
      <c r="AL207" s="370"/>
      <c r="AM207" s="370"/>
      <c r="AN207" s="370"/>
      <c r="AO207" s="370"/>
      <c r="AP207" s="370"/>
      <c r="AQ207" s="370"/>
      <c r="AR207" s="370"/>
      <c r="AS207" s="370"/>
      <c r="AT207" s="370"/>
      <c r="AU207" s="370"/>
      <c r="AV207" s="370"/>
      <c r="AW207" s="370"/>
      <c r="AX207" s="370"/>
      <c r="AY207" s="370"/>
      <c r="AZ207" s="370"/>
      <c r="BA207" s="370"/>
      <c r="BB207" s="370"/>
      <c r="BC207" s="370"/>
      <c r="BD207" s="370"/>
      <c r="BE207" s="370"/>
      <c r="BF207" s="370"/>
      <c r="BG207" s="370"/>
      <c r="BH207" s="370"/>
    </row>
    <row r="208" spans="1:60" ht="62">
      <c r="C208" s="579" t="s">
        <v>2294</v>
      </c>
      <c r="D208" s="584">
        <f>F96</f>
        <v>5099.0036928268628</v>
      </c>
      <c r="E208" s="584">
        <f>P96</f>
        <v>0</v>
      </c>
      <c r="F208" s="584">
        <f>D208-E208</f>
        <v>5099.0036928268628</v>
      </c>
      <c r="S208" s="420"/>
      <c r="T208" s="420"/>
      <c r="AC208" s="370"/>
      <c r="AH208" s="370"/>
      <c r="AI208" s="370"/>
      <c r="AJ208" s="370"/>
      <c r="AK208" s="370"/>
      <c r="AL208" s="370"/>
      <c r="AM208" s="370"/>
      <c r="AN208" s="370"/>
      <c r="AO208" s="370"/>
      <c r="AP208" s="370"/>
      <c r="AQ208" s="370"/>
      <c r="AR208" s="370"/>
      <c r="AS208" s="370"/>
      <c r="AT208" s="370"/>
      <c r="AU208" s="370"/>
      <c r="AV208" s="370"/>
      <c r="AW208" s="370"/>
      <c r="AX208" s="370"/>
      <c r="AY208" s="370"/>
      <c r="AZ208" s="370"/>
      <c r="BA208" s="370"/>
      <c r="BB208" s="370"/>
      <c r="BC208" s="370"/>
      <c r="BD208" s="370"/>
      <c r="BE208" s="370"/>
      <c r="BF208" s="370"/>
      <c r="BG208" s="370"/>
      <c r="BH208" s="370"/>
    </row>
    <row r="209" spans="3:21" ht="62">
      <c r="C209" s="77" t="s">
        <v>2078</v>
      </c>
      <c r="D209" s="84">
        <f>F77</f>
        <v>46355.336928268625</v>
      </c>
      <c r="E209" s="84">
        <f>P77</f>
        <v>35318</v>
      </c>
      <c r="F209" s="84">
        <f>D209-E209</f>
        <v>11037.336928268625</v>
      </c>
      <c r="S209"/>
      <c r="T209"/>
    </row>
    <row r="210" spans="3:21" ht="46.5">
      <c r="C210" s="76" t="s">
        <v>2079</v>
      </c>
      <c r="D210" s="83">
        <f>F58</f>
        <v>21630.267385653726</v>
      </c>
      <c r="E210" s="83">
        <f>P58</f>
        <v>14016</v>
      </c>
      <c r="F210" s="83">
        <f>D210-E210</f>
        <v>7614.2673856537258</v>
      </c>
      <c r="S210"/>
      <c r="T210"/>
    </row>
    <row r="211" spans="3:21" ht="46.5">
      <c r="C211" s="80" t="s">
        <v>2080</v>
      </c>
      <c r="D211" s="82">
        <f>F39</f>
        <v>40174.069542614903</v>
      </c>
      <c r="E211" s="82">
        <f>P39</f>
        <v>17736.333333333332</v>
      </c>
      <c r="F211" s="82">
        <f>D211-E211</f>
        <v>22437.736209281571</v>
      </c>
      <c r="S211"/>
      <c r="T211"/>
    </row>
    <row r="212" spans="3:21">
      <c r="C212"/>
      <c r="D212"/>
      <c r="E212" s="61"/>
    </row>
    <row r="218" spans="3:21">
      <c r="C218" s="592" t="s">
        <v>2350</v>
      </c>
      <c r="Q218" s="59" t="s">
        <v>2753</v>
      </c>
    </row>
    <row r="219" spans="3:21">
      <c r="C219" s="78" t="s">
        <v>1286</v>
      </c>
      <c r="D219" s="79" t="s">
        <v>1510</v>
      </c>
      <c r="E219" s="81" t="s">
        <v>1290</v>
      </c>
      <c r="F219" s="81" t="s">
        <v>1291</v>
      </c>
      <c r="Q219" s="78" t="s">
        <v>1286</v>
      </c>
      <c r="R219" s="79" t="s">
        <v>1510</v>
      </c>
      <c r="S219" s="81" t="s">
        <v>1290</v>
      </c>
      <c r="T219" s="81" t="s">
        <v>1291</v>
      </c>
    </row>
    <row r="220" spans="3:21" ht="49.25" customHeight="1">
      <c r="C220" s="578" t="s">
        <v>2761</v>
      </c>
      <c r="D220" s="873">
        <f>F119</f>
        <v>1776.72</v>
      </c>
      <c r="E220" s="873">
        <f>P119</f>
        <v>0</v>
      </c>
      <c r="F220" s="873">
        <f t="shared" ref="F220:F224" si="53">D220-E220</f>
        <v>1776.72</v>
      </c>
      <c r="Q220" s="578" t="s">
        <v>2761</v>
      </c>
      <c r="R220" s="873">
        <f>F118</f>
        <v>2406.69</v>
      </c>
      <c r="S220" s="873">
        <f>P118</f>
        <v>0</v>
      </c>
      <c r="T220" s="873">
        <f t="shared" ref="T220:T225" si="54">R220-S220</f>
        <v>2406.69</v>
      </c>
    </row>
    <row r="221" spans="3:21" ht="43.25" customHeight="1">
      <c r="C221" s="578" t="s">
        <v>2877</v>
      </c>
      <c r="D221" s="873">
        <f>F106</f>
        <v>2961.2000000000003</v>
      </c>
      <c r="E221" s="873">
        <f>P106</f>
        <v>0</v>
      </c>
      <c r="F221" s="873">
        <f t="shared" si="53"/>
        <v>2961.2000000000003</v>
      </c>
      <c r="Q221" s="578" t="s">
        <v>2877</v>
      </c>
      <c r="R221" s="873">
        <f>F105</f>
        <v>4011.15</v>
      </c>
      <c r="S221" s="873">
        <f>P105</f>
        <v>0</v>
      </c>
      <c r="T221" s="873">
        <f t="shared" si="54"/>
        <v>4011.15</v>
      </c>
    </row>
    <row r="222" spans="3:21" ht="84" customHeight="1">
      <c r="C222" s="579" t="s">
        <v>2294</v>
      </c>
      <c r="D222" s="584">
        <f>F89</f>
        <v>8634.3915255669617</v>
      </c>
      <c r="E222" s="584">
        <f>P89</f>
        <v>150</v>
      </c>
      <c r="F222" s="584">
        <f t="shared" si="53"/>
        <v>8484.3915255669617</v>
      </c>
      <c r="Q222" s="579" t="s">
        <v>2294</v>
      </c>
      <c r="R222" s="584">
        <f>F88</f>
        <v>10430.134801816714</v>
      </c>
      <c r="S222" s="584">
        <f>P88</f>
        <v>0</v>
      </c>
      <c r="T222" s="584">
        <f t="shared" si="54"/>
        <v>10430.134801816714</v>
      </c>
    </row>
    <row r="223" spans="3:21" ht="81" customHeight="1">
      <c r="C223" s="77" t="s">
        <v>2078</v>
      </c>
      <c r="D223" s="84">
        <f>F70</f>
        <v>68576.715255669609</v>
      </c>
      <c r="E223" s="84">
        <f>P70</f>
        <v>68332</v>
      </c>
      <c r="F223" s="84">
        <f t="shared" si="53"/>
        <v>244.71525566960918</v>
      </c>
      <c r="G223" s="61"/>
      <c r="Q223" s="77" t="s">
        <v>2078</v>
      </c>
      <c r="R223" s="84">
        <f>F69</f>
        <v>80234.448018167139</v>
      </c>
      <c r="S223" s="84">
        <f>P69</f>
        <v>89260</v>
      </c>
      <c r="T223" s="84"/>
      <c r="U223" s="61">
        <f>R223-S223</f>
        <v>-9025.5519818328612</v>
      </c>
    </row>
    <row r="224" spans="3:21" ht="81" customHeight="1">
      <c r="C224" s="76" t="s">
        <v>2079</v>
      </c>
      <c r="D224" s="83">
        <f>F51</f>
        <v>61094.543051133922</v>
      </c>
      <c r="E224" s="83">
        <f>P51</f>
        <v>23872</v>
      </c>
      <c r="F224" s="83">
        <f t="shared" si="53"/>
        <v>37222.543051133922</v>
      </c>
      <c r="Q224" s="76" t="s">
        <v>2079</v>
      </c>
      <c r="R224" s="83">
        <f>F50</f>
        <v>80225.289603633428</v>
      </c>
      <c r="S224" s="83">
        <f>P50</f>
        <v>39304</v>
      </c>
      <c r="T224" s="83">
        <f t="shared" si="54"/>
        <v>40921.289603633428</v>
      </c>
    </row>
    <row r="225" spans="3:20" ht="81" customHeight="1">
      <c r="C225" s="80" t="s">
        <v>2080</v>
      </c>
      <c r="D225" s="82">
        <f>F32</f>
        <v>66706.172204535687</v>
      </c>
      <c r="E225" s="82">
        <f>P32</f>
        <v>75638</v>
      </c>
      <c r="F225" s="82"/>
      <c r="G225" s="61">
        <f>D225-E225</f>
        <v>-8931.8277954643127</v>
      </c>
      <c r="Q225" s="80" t="s">
        <v>2080</v>
      </c>
      <c r="R225" s="82">
        <f>F31</f>
        <v>80232.158414533711</v>
      </c>
      <c r="S225" s="82">
        <f>P31</f>
        <v>59762</v>
      </c>
      <c r="T225" s="82">
        <f t="shared" si="54"/>
        <v>20470.158414533711</v>
      </c>
    </row>
    <row r="229" spans="3:20">
      <c r="C229" s="592" t="s">
        <v>2749</v>
      </c>
      <c r="Q229" s="980" t="s">
        <v>3149</v>
      </c>
      <c r="R229" s="60"/>
      <c r="S229" s="60"/>
      <c r="T229" s="60"/>
    </row>
    <row r="230" spans="3:20">
      <c r="C230" s="78" t="s">
        <v>1286</v>
      </c>
      <c r="D230" s="79" t="s">
        <v>1510</v>
      </c>
      <c r="E230" s="81" t="s">
        <v>1290</v>
      </c>
      <c r="F230" s="81" t="s">
        <v>1291</v>
      </c>
      <c r="Q230" s="468" t="s">
        <v>1286</v>
      </c>
      <c r="R230" s="469" t="s">
        <v>1510</v>
      </c>
      <c r="S230" s="470" t="s">
        <v>1290</v>
      </c>
      <c r="T230" s="470" t="s">
        <v>1291</v>
      </c>
    </row>
    <row r="231" spans="3:20" ht="93">
      <c r="C231" s="578" t="s">
        <v>2761</v>
      </c>
      <c r="D231" s="873">
        <f>F114</f>
        <v>32.85</v>
      </c>
      <c r="E231" s="873">
        <f>P114</f>
        <v>0</v>
      </c>
      <c r="F231" s="873">
        <f t="shared" ref="F231:F236" si="55">D231-E231</f>
        <v>32.85</v>
      </c>
      <c r="Q231" s="578" t="s">
        <v>2761</v>
      </c>
      <c r="R231" s="873">
        <f>F124</f>
        <v>455.46</v>
      </c>
      <c r="S231" s="873">
        <f>P124</f>
        <v>0</v>
      </c>
      <c r="T231" s="873">
        <f t="shared" ref="T231:T236" si="56">R231-S231</f>
        <v>455.46</v>
      </c>
    </row>
    <row r="232" spans="3:20" ht="93">
      <c r="C232" s="578" t="s">
        <v>2877</v>
      </c>
      <c r="D232" s="873">
        <f>F101</f>
        <v>54.75</v>
      </c>
      <c r="E232" s="873">
        <f>P101</f>
        <v>0</v>
      </c>
      <c r="F232" s="873">
        <f t="shared" si="55"/>
        <v>54.75</v>
      </c>
      <c r="Q232" s="578" t="s">
        <v>2877</v>
      </c>
      <c r="R232" s="873">
        <f>F111</f>
        <v>759.1</v>
      </c>
      <c r="S232" s="873">
        <f>P111</f>
        <v>0</v>
      </c>
      <c r="T232" s="873">
        <f t="shared" si="56"/>
        <v>759.1</v>
      </c>
    </row>
    <row r="233" spans="3:20" ht="77.5">
      <c r="C233" s="579" t="s">
        <v>2294</v>
      </c>
      <c r="D233" s="584">
        <f>F82</f>
        <v>1157.058705343994</v>
      </c>
      <c r="E233" s="584">
        <f>P82</f>
        <v>0</v>
      </c>
      <c r="F233" s="584">
        <f t="shared" si="55"/>
        <v>1157.058705343994</v>
      </c>
      <c r="Q233" s="579" t="s">
        <v>2294</v>
      </c>
      <c r="R233" s="981">
        <f>F97</f>
        <v>4585.8642490051216</v>
      </c>
      <c r="S233" s="981">
        <f>P97</f>
        <v>0</v>
      </c>
      <c r="T233" s="981">
        <f t="shared" si="56"/>
        <v>4585.8642490051216</v>
      </c>
    </row>
    <row r="234" spans="3:20" ht="108.5">
      <c r="C234" s="77" t="s">
        <v>2078</v>
      </c>
      <c r="D234" s="84">
        <f>F63</f>
        <v>11242.08705343994</v>
      </c>
      <c r="E234" s="84">
        <f>P63</f>
        <v>4340</v>
      </c>
      <c r="F234" s="84">
        <f t="shared" si="55"/>
        <v>6902.0870534399401</v>
      </c>
      <c r="Q234" s="77" t="s">
        <v>2078</v>
      </c>
      <c r="R234" s="982">
        <f>F78</f>
        <v>41304.042490051215</v>
      </c>
      <c r="S234" s="982">
        <f>P78</f>
        <v>8012</v>
      </c>
      <c r="T234" s="982">
        <f t="shared" si="56"/>
        <v>33292.042490051215</v>
      </c>
    </row>
    <row r="235" spans="3:20" ht="62">
      <c r="C235" s="76" t="s">
        <v>2079</v>
      </c>
      <c r="D235" s="83">
        <f>F44</f>
        <v>3124.4174106879882</v>
      </c>
      <c r="E235" s="83">
        <f>P44</f>
        <v>150</v>
      </c>
      <c r="F235" s="83">
        <f t="shared" si="55"/>
        <v>2974.4174106879882</v>
      </c>
      <c r="Q235" s="76" t="s">
        <v>2079</v>
      </c>
      <c r="R235" s="983">
        <f>F59</f>
        <v>20406.408498010242</v>
      </c>
      <c r="S235" s="983">
        <f>P59</f>
        <v>0</v>
      </c>
      <c r="T235" s="983">
        <f t="shared" si="56"/>
        <v>20406.408498010242</v>
      </c>
    </row>
    <row r="236" spans="3:20" ht="77.5">
      <c r="C236" s="80" t="s">
        <v>2080</v>
      </c>
      <c r="D236" s="82">
        <f>F25</f>
        <v>9212.6696427519528</v>
      </c>
      <c r="E236" s="82">
        <f>P25</f>
        <v>150</v>
      </c>
      <c r="F236" s="82">
        <f t="shared" si="55"/>
        <v>9062.6696427519528</v>
      </c>
      <c r="Q236" s="80" t="s">
        <v>2080</v>
      </c>
      <c r="R236" s="984">
        <f>F40</f>
        <v>36079.633992040974</v>
      </c>
      <c r="S236" s="984">
        <f>P40</f>
        <v>388</v>
      </c>
      <c r="T236" s="984">
        <f t="shared" si="56"/>
        <v>35691.633992040974</v>
      </c>
    </row>
  </sheetData>
  <autoFilter ref="B21:Z164" xr:uid="{00000000-0001-0000-0700-000000000000}"/>
  <mergeCells count="12">
    <mergeCell ref="S23:T23"/>
    <mergeCell ref="A2:A3"/>
    <mergeCell ref="C25:C43"/>
    <mergeCell ref="H185:I185"/>
    <mergeCell ref="E204:F204"/>
    <mergeCell ref="C114:C126"/>
    <mergeCell ref="C127:C145"/>
    <mergeCell ref="C146:C164"/>
    <mergeCell ref="C82:C100"/>
    <mergeCell ref="C101:C113"/>
    <mergeCell ref="C63:C81"/>
    <mergeCell ref="C44:C62"/>
  </mergeCells>
  <phoneticPr fontId="149" type="noConversion"/>
  <pageMargins left="0.7" right="0.7" top="0.75" bottom="0.75" header="0.3" footer="0.3"/>
  <pageSetup orientation="portrait" r:id="rId2"/>
  <drawing r:id="rId3"/>
  <legacyDrawing r:id="rId4"/>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EA3B-609A-44A9-A7E8-9BB9530243F6}">
  <dimension ref="A1:AE140"/>
  <sheetViews>
    <sheetView showGridLines="0" topLeftCell="C4" workbookViewId="0">
      <selection activeCell="P4" sqref="P4"/>
    </sheetView>
  </sheetViews>
  <sheetFormatPr defaultRowHeight="15.5"/>
  <cols>
    <col min="1" max="1" width="18.1640625" customWidth="1"/>
    <col min="2" max="2" width="25.5" customWidth="1"/>
    <col min="3" max="4" width="10.6640625" customWidth="1"/>
    <col min="5" max="6" width="7.58203125" bestFit="1" customWidth="1"/>
    <col min="7" max="7" width="8.9140625" customWidth="1"/>
    <col min="8" max="8" width="7.58203125" bestFit="1" customWidth="1"/>
    <col min="9" max="10" width="13.58203125" customWidth="1"/>
    <col min="11" max="11" width="20.1640625" customWidth="1"/>
    <col min="12" max="13" width="15" customWidth="1"/>
    <col min="14" max="15" width="15" style="420" customWidth="1"/>
    <col min="16" max="16" width="15" customWidth="1"/>
    <col min="17" max="17" width="14.6640625" customWidth="1"/>
    <col min="18" max="18" width="17" customWidth="1"/>
    <col min="19" max="19" width="8.5" bestFit="1" customWidth="1"/>
    <col min="20" max="20" width="11.83203125" customWidth="1"/>
    <col min="21" max="23" width="6.83203125" bestFit="1" customWidth="1"/>
    <col min="24" max="24" width="9.4140625" customWidth="1"/>
    <col min="25" max="25" width="7.6640625" bestFit="1" customWidth="1"/>
    <col min="26" max="26" width="15.08203125" style="467" customWidth="1"/>
    <col min="27" max="27" width="14.1640625" style="467" customWidth="1"/>
    <col min="28" max="30" width="13" style="467" customWidth="1"/>
    <col min="31" max="31" width="10.5" customWidth="1"/>
  </cols>
  <sheetData>
    <row r="1" spans="1:31">
      <c r="A1" s="370" t="s">
        <v>34</v>
      </c>
      <c r="B1" s="59" t="s">
        <v>34</v>
      </c>
      <c r="C1" s="59"/>
      <c r="D1" s="59"/>
      <c r="E1" s="59"/>
      <c r="F1" s="59"/>
      <c r="G1" s="59"/>
      <c r="H1" s="60"/>
      <c r="I1" s="60"/>
      <c r="J1" s="60"/>
      <c r="K1" s="60"/>
      <c r="L1" s="60"/>
      <c r="M1" s="60"/>
      <c r="N1" s="60"/>
      <c r="O1" s="60"/>
      <c r="P1" s="60"/>
      <c r="Q1" s="370" t="s">
        <v>34</v>
      </c>
      <c r="R1" s="59" t="s">
        <v>34</v>
      </c>
      <c r="S1" s="59"/>
      <c r="T1" s="59"/>
      <c r="U1" s="59"/>
      <c r="V1" s="59"/>
      <c r="W1" s="59"/>
      <c r="X1" s="60"/>
      <c r="Y1" s="60"/>
      <c r="Z1" s="60"/>
      <c r="AA1" s="60"/>
      <c r="AB1" s="60"/>
      <c r="AC1" s="60"/>
      <c r="AD1" s="60"/>
    </row>
    <row r="2" spans="1:31">
      <c r="A2" s="370" t="s">
        <v>134</v>
      </c>
      <c r="B2" s="59" t="s">
        <v>1476</v>
      </c>
      <c r="C2" s="59"/>
      <c r="D2" s="59"/>
      <c r="E2" s="59"/>
      <c r="F2" s="59"/>
      <c r="G2" s="59"/>
      <c r="H2" s="59"/>
      <c r="I2" s="59"/>
      <c r="J2" s="59"/>
      <c r="K2" s="59"/>
      <c r="L2" s="59"/>
      <c r="M2" s="59"/>
      <c r="N2" s="59"/>
      <c r="O2" s="59"/>
      <c r="P2" s="59"/>
      <c r="Q2" s="370" t="s">
        <v>134</v>
      </c>
      <c r="R2" s="59" t="s">
        <v>1476</v>
      </c>
      <c r="S2" s="59"/>
      <c r="T2" s="59"/>
      <c r="U2" s="59"/>
      <c r="V2" s="59"/>
      <c r="W2" s="59"/>
      <c r="X2" s="59"/>
      <c r="Y2" s="59"/>
      <c r="Z2" s="60"/>
      <c r="AA2" s="60"/>
      <c r="AB2" s="60"/>
      <c r="AC2" s="60"/>
      <c r="AD2" s="60"/>
    </row>
    <row r="3" spans="1:31">
      <c r="A3" s="370" t="s">
        <v>21</v>
      </c>
      <c r="B3" s="59" t="s">
        <v>37</v>
      </c>
      <c r="C3" s="373" t="s">
        <v>2091</v>
      </c>
      <c r="D3" s="420"/>
      <c r="E3" s="420"/>
      <c r="F3" s="420"/>
      <c r="G3" s="420"/>
      <c r="H3" s="420"/>
      <c r="I3" s="420"/>
      <c r="J3" s="420"/>
      <c r="K3" s="59"/>
      <c r="L3" s="59"/>
      <c r="M3" s="59"/>
      <c r="N3" s="59"/>
      <c r="O3" s="59"/>
      <c r="P3" s="59"/>
      <c r="Q3" s="370" t="s">
        <v>21</v>
      </c>
      <c r="R3" s="59" t="s">
        <v>515</v>
      </c>
      <c r="S3" s="373" t="s">
        <v>2091</v>
      </c>
      <c r="T3" s="420"/>
      <c r="U3" s="420"/>
      <c r="V3" s="420"/>
      <c r="W3" s="420"/>
      <c r="X3" s="420"/>
      <c r="Y3" s="420"/>
      <c r="AA3" s="60"/>
      <c r="AB3" s="60"/>
      <c r="AC3" s="60"/>
      <c r="AD3" s="60"/>
    </row>
    <row r="4" spans="1:31" s="666" customFormat="1" ht="15">
      <c r="B4" s="667"/>
      <c r="C4" s="667">
        <f>SUM(C6:C153)</f>
        <v>70011.718518518508</v>
      </c>
      <c r="D4" s="667">
        <f t="shared" ref="D4:O4" si="0">SUM(D6:D153)</f>
        <v>79820</v>
      </c>
      <c r="E4" s="667">
        <f t="shared" si="0"/>
        <v>83166</v>
      </c>
      <c r="F4" s="667">
        <f t="shared" si="0"/>
        <v>1339</v>
      </c>
      <c r="G4" s="667">
        <f t="shared" si="0"/>
        <v>20217</v>
      </c>
      <c r="H4" s="667">
        <f t="shared" si="0"/>
        <v>4395</v>
      </c>
      <c r="I4" s="667">
        <f t="shared" si="0"/>
        <v>57196</v>
      </c>
      <c r="J4" s="667">
        <f t="shared" si="0"/>
        <v>75470</v>
      </c>
      <c r="K4" s="667">
        <f t="shared" si="0"/>
        <v>58801</v>
      </c>
      <c r="L4" s="667">
        <f t="shared" si="0"/>
        <v>19834</v>
      </c>
      <c r="M4" s="667">
        <f t="shared" si="0"/>
        <v>295</v>
      </c>
      <c r="N4" s="667">
        <f t="shared" si="0"/>
        <v>1154</v>
      </c>
      <c r="O4" s="667">
        <f t="shared" si="0"/>
        <v>4300</v>
      </c>
      <c r="P4" s="667"/>
      <c r="R4" s="667"/>
      <c r="S4" s="667">
        <f t="shared" ref="S4:AE4" si="1">SUM(S6:S48)</f>
        <v>9907.3333333333321</v>
      </c>
      <c r="T4" s="667">
        <f t="shared" si="1"/>
        <v>11712</v>
      </c>
      <c r="U4" s="667">
        <f t="shared" si="1"/>
        <v>8238</v>
      </c>
      <c r="V4" s="667">
        <f t="shared" si="1"/>
        <v>0</v>
      </c>
      <c r="W4" s="667">
        <f t="shared" si="1"/>
        <v>2223</v>
      </c>
      <c r="X4" s="667">
        <f t="shared" si="1"/>
        <v>0</v>
      </c>
      <c r="Y4" s="667">
        <f t="shared" si="1"/>
        <v>6244</v>
      </c>
      <c r="Z4" s="670">
        <f t="shared" si="1"/>
        <v>6768</v>
      </c>
      <c r="AA4" s="670">
        <f t="shared" si="1"/>
        <v>7091</v>
      </c>
      <c r="AB4" s="670">
        <f t="shared" si="1"/>
        <v>2223</v>
      </c>
      <c r="AC4" s="670">
        <f t="shared" si="1"/>
        <v>0</v>
      </c>
      <c r="AD4" s="670">
        <f t="shared" si="1"/>
        <v>0</v>
      </c>
      <c r="AE4" s="670">
        <f t="shared" si="1"/>
        <v>0</v>
      </c>
    </row>
    <row r="5" spans="1:31" s="665" customFormat="1" ht="71.5" customHeight="1">
      <c r="A5" s="59"/>
      <c r="B5" s="1013" t="s">
        <v>2629</v>
      </c>
      <c r="C5" s="1024" t="s">
        <v>2630</v>
      </c>
      <c r="D5" s="1025" t="s">
        <v>2631</v>
      </c>
      <c r="E5" s="1017" t="s">
        <v>2632</v>
      </c>
      <c r="F5" s="1026" t="s">
        <v>2633</v>
      </c>
      <c r="G5" s="1027" t="s">
        <v>2634</v>
      </c>
      <c r="H5" s="1027" t="s">
        <v>2845</v>
      </c>
      <c r="I5" s="1019" t="s">
        <v>2635</v>
      </c>
      <c r="J5" s="1019" t="s">
        <v>2636</v>
      </c>
      <c r="K5" s="1019" t="s">
        <v>2637</v>
      </c>
      <c r="L5" s="1030" t="s">
        <v>2847</v>
      </c>
      <c r="M5" s="88" t="s">
        <v>2848</v>
      </c>
      <c r="N5" s="88" t="s">
        <v>2638</v>
      </c>
      <c r="O5" s="88" t="s">
        <v>2849</v>
      </c>
      <c r="P5"/>
      <c r="Q5" s="59"/>
      <c r="R5" s="1013" t="s">
        <v>2629</v>
      </c>
      <c r="S5" s="1024" t="s">
        <v>2630</v>
      </c>
      <c r="T5" s="1025" t="s">
        <v>2631</v>
      </c>
      <c r="U5" s="1017" t="s">
        <v>2632</v>
      </c>
      <c r="V5" s="1026" t="s">
        <v>2633</v>
      </c>
      <c r="W5" s="1027" t="s">
        <v>2634</v>
      </c>
      <c r="X5" s="1027" t="s">
        <v>2845</v>
      </c>
      <c r="Y5" s="1019" t="s">
        <v>2635</v>
      </c>
      <c r="Z5" s="1019" t="s">
        <v>2636</v>
      </c>
      <c r="AA5" s="1019" t="s">
        <v>2637</v>
      </c>
      <c r="AB5" s="88" t="s">
        <v>2847</v>
      </c>
      <c r="AC5" s="88" t="s">
        <v>2848</v>
      </c>
      <c r="AD5" s="88" t="s">
        <v>2638</v>
      </c>
      <c r="AE5" s="88" t="s">
        <v>2849</v>
      </c>
    </row>
    <row r="6" spans="1:31">
      <c r="A6" s="59" t="s">
        <v>814</v>
      </c>
      <c r="B6" s="1012">
        <v>54</v>
      </c>
      <c r="C6" s="1009">
        <v>54</v>
      </c>
      <c r="D6" s="1010">
        <v>54</v>
      </c>
      <c r="E6" s="1011">
        <v>0</v>
      </c>
      <c r="F6" s="1020">
        <v>0</v>
      </c>
      <c r="G6" s="1021">
        <v>0</v>
      </c>
      <c r="H6" s="1021">
        <v>0</v>
      </c>
      <c r="I6" s="1018">
        <v>0</v>
      </c>
      <c r="J6" s="1018">
        <v>0</v>
      </c>
      <c r="K6" s="1018">
        <v>54</v>
      </c>
      <c r="L6" s="61">
        <v>0</v>
      </c>
      <c r="M6" s="61">
        <v>0</v>
      </c>
      <c r="N6" s="61">
        <v>0</v>
      </c>
      <c r="O6" s="61">
        <v>0</v>
      </c>
      <c r="Q6" s="59" t="s">
        <v>2159</v>
      </c>
      <c r="R6" s="1012">
        <v>103</v>
      </c>
      <c r="S6" s="1009">
        <v>103</v>
      </c>
      <c r="T6" s="1010">
        <v>103</v>
      </c>
      <c r="U6" s="1011">
        <v>103</v>
      </c>
      <c r="V6" s="1020">
        <v>0</v>
      </c>
      <c r="W6" s="1021">
        <v>0</v>
      </c>
      <c r="X6" s="1021">
        <v>0</v>
      </c>
      <c r="Y6" s="1018">
        <v>103</v>
      </c>
      <c r="Z6" s="1028">
        <v>0</v>
      </c>
      <c r="AA6" s="1028">
        <v>103</v>
      </c>
      <c r="AB6" s="61">
        <v>0</v>
      </c>
      <c r="AC6" s="61">
        <v>0</v>
      </c>
      <c r="AD6" s="1029">
        <v>0</v>
      </c>
      <c r="AE6" s="61">
        <v>0</v>
      </c>
    </row>
    <row r="7" spans="1:31">
      <c r="A7" s="59" t="s">
        <v>277</v>
      </c>
      <c r="B7" s="1012">
        <v>1278</v>
      </c>
      <c r="C7" s="1009">
        <v>1278</v>
      </c>
      <c r="D7" s="1010">
        <v>1049</v>
      </c>
      <c r="E7" s="1011">
        <v>1278</v>
      </c>
      <c r="F7" s="1020">
        <v>57</v>
      </c>
      <c r="G7" s="1021">
        <v>0</v>
      </c>
      <c r="H7" s="1021">
        <v>0</v>
      </c>
      <c r="I7" s="1018">
        <v>1278</v>
      </c>
      <c r="J7" s="1018">
        <v>1278</v>
      </c>
      <c r="K7" s="1018">
        <v>1200</v>
      </c>
      <c r="L7" s="61">
        <v>0</v>
      </c>
      <c r="M7" s="61">
        <v>0</v>
      </c>
      <c r="N7" s="61">
        <v>0</v>
      </c>
      <c r="O7" s="61">
        <v>0</v>
      </c>
      <c r="Q7" s="59" t="s">
        <v>1720</v>
      </c>
      <c r="R7" s="1012">
        <v>439</v>
      </c>
      <c r="S7" s="1009">
        <v>439</v>
      </c>
      <c r="T7" s="1010">
        <v>439</v>
      </c>
      <c r="U7" s="1011">
        <v>439</v>
      </c>
      <c r="V7" s="1020">
        <v>0</v>
      </c>
      <c r="W7" s="1021">
        <v>0</v>
      </c>
      <c r="X7" s="1021">
        <v>0</v>
      </c>
      <c r="Y7" s="1018">
        <v>50</v>
      </c>
      <c r="Z7" s="1028">
        <v>439</v>
      </c>
      <c r="AA7" s="1028">
        <v>300</v>
      </c>
      <c r="AB7" s="61">
        <v>0</v>
      </c>
      <c r="AC7" s="61">
        <v>0</v>
      </c>
      <c r="AD7" s="1029">
        <v>0</v>
      </c>
      <c r="AE7" s="61">
        <v>0</v>
      </c>
    </row>
    <row r="8" spans="1:31">
      <c r="A8" s="59" t="s">
        <v>248</v>
      </c>
      <c r="B8" s="1012">
        <v>441</v>
      </c>
      <c r="C8" s="1009">
        <v>441</v>
      </c>
      <c r="D8" s="1010">
        <v>308</v>
      </c>
      <c r="E8" s="1011">
        <v>441</v>
      </c>
      <c r="F8" s="1020">
        <v>0</v>
      </c>
      <c r="G8" s="1021">
        <v>435</v>
      </c>
      <c r="H8" s="1021">
        <v>0</v>
      </c>
      <c r="I8" s="1018">
        <v>435</v>
      </c>
      <c r="J8" s="1018">
        <v>441</v>
      </c>
      <c r="K8" s="1018">
        <v>435</v>
      </c>
      <c r="L8" s="61">
        <v>435</v>
      </c>
      <c r="M8" s="61">
        <v>0</v>
      </c>
      <c r="N8" s="61">
        <v>0</v>
      </c>
      <c r="O8" s="61">
        <v>0</v>
      </c>
      <c r="Q8" s="59" t="s">
        <v>555</v>
      </c>
      <c r="R8" s="1012">
        <v>934</v>
      </c>
      <c r="S8" s="1009">
        <v>934</v>
      </c>
      <c r="T8" s="1010">
        <v>800</v>
      </c>
      <c r="U8" s="1011">
        <v>934</v>
      </c>
      <c r="V8" s="1020">
        <v>0</v>
      </c>
      <c r="W8" s="1021">
        <v>0</v>
      </c>
      <c r="X8" s="1021">
        <v>0</v>
      </c>
      <c r="Y8" s="1018">
        <v>806</v>
      </c>
      <c r="Z8" s="1028">
        <v>934</v>
      </c>
      <c r="AA8" s="1028">
        <v>100</v>
      </c>
      <c r="AB8" s="61">
        <v>0</v>
      </c>
      <c r="AC8" s="61">
        <v>0</v>
      </c>
      <c r="AD8" s="1029">
        <v>0</v>
      </c>
      <c r="AE8" s="61">
        <v>0</v>
      </c>
    </row>
    <row r="9" spans="1:31">
      <c r="A9" s="59" t="s">
        <v>249</v>
      </c>
      <c r="B9" s="1012">
        <v>72</v>
      </c>
      <c r="C9" s="1009">
        <v>72</v>
      </c>
      <c r="D9" s="1010">
        <v>72</v>
      </c>
      <c r="E9" s="1011">
        <v>72</v>
      </c>
      <c r="F9" s="1020">
        <v>0</v>
      </c>
      <c r="G9" s="1021">
        <v>72</v>
      </c>
      <c r="H9" s="1021">
        <v>0</v>
      </c>
      <c r="I9" s="1018">
        <v>72</v>
      </c>
      <c r="J9" s="1018">
        <v>72</v>
      </c>
      <c r="K9" s="1018">
        <v>72</v>
      </c>
      <c r="L9" s="61">
        <v>72</v>
      </c>
      <c r="M9" s="61">
        <v>0</v>
      </c>
      <c r="N9" s="61">
        <v>0</v>
      </c>
      <c r="O9" s="61">
        <v>0</v>
      </c>
      <c r="Q9" s="59" t="s">
        <v>1726</v>
      </c>
      <c r="R9" s="1012">
        <v>130</v>
      </c>
      <c r="S9" s="1009">
        <v>130</v>
      </c>
      <c r="T9" s="1010">
        <v>130</v>
      </c>
      <c r="U9" s="1011">
        <v>130</v>
      </c>
      <c r="V9" s="1020">
        <v>0</v>
      </c>
      <c r="W9" s="1021">
        <v>0</v>
      </c>
      <c r="X9" s="1021">
        <v>0</v>
      </c>
      <c r="Y9" s="1018">
        <v>130</v>
      </c>
      <c r="Z9" s="1028">
        <v>130</v>
      </c>
      <c r="AA9" s="1028">
        <v>130</v>
      </c>
      <c r="AB9" s="61">
        <v>0</v>
      </c>
      <c r="AC9" s="61">
        <v>0</v>
      </c>
      <c r="AD9" s="1029">
        <v>0</v>
      </c>
      <c r="AE9" s="61">
        <v>0</v>
      </c>
    </row>
    <row r="10" spans="1:31">
      <c r="A10" s="59" t="s">
        <v>206</v>
      </c>
      <c r="B10" s="1012">
        <v>605</v>
      </c>
      <c r="C10" s="1009">
        <v>605</v>
      </c>
      <c r="D10" s="1010">
        <v>560</v>
      </c>
      <c r="E10" s="1011">
        <v>500</v>
      </c>
      <c r="F10" s="1020">
        <v>34</v>
      </c>
      <c r="G10" s="1021">
        <v>0</v>
      </c>
      <c r="H10" s="1021">
        <v>0</v>
      </c>
      <c r="I10" s="1018">
        <v>455</v>
      </c>
      <c r="J10" s="1018">
        <v>500</v>
      </c>
      <c r="K10" s="1018">
        <v>605</v>
      </c>
      <c r="L10" s="61">
        <v>0</v>
      </c>
      <c r="M10" s="61">
        <v>0</v>
      </c>
      <c r="N10" s="61">
        <v>0</v>
      </c>
      <c r="O10" s="61">
        <v>0</v>
      </c>
      <c r="Q10" s="59" t="s">
        <v>541</v>
      </c>
      <c r="R10" s="1012">
        <v>244</v>
      </c>
      <c r="S10" s="1009">
        <v>244</v>
      </c>
      <c r="T10" s="1010">
        <v>240</v>
      </c>
      <c r="U10" s="1011">
        <v>244</v>
      </c>
      <c r="V10" s="1020">
        <v>0</v>
      </c>
      <c r="W10" s="1021">
        <v>0</v>
      </c>
      <c r="X10" s="1021">
        <v>0</v>
      </c>
      <c r="Y10" s="1018">
        <v>30</v>
      </c>
      <c r="Z10" s="1028">
        <v>244</v>
      </c>
      <c r="AA10" s="1028">
        <v>244</v>
      </c>
      <c r="AB10" s="61">
        <v>0</v>
      </c>
      <c r="AC10" s="61">
        <v>0</v>
      </c>
      <c r="AD10" s="1029">
        <v>0</v>
      </c>
      <c r="AE10" s="61">
        <v>0</v>
      </c>
    </row>
    <row r="11" spans="1:31">
      <c r="A11" s="59" t="s">
        <v>196</v>
      </c>
      <c r="B11" s="1012">
        <v>222</v>
      </c>
      <c r="C11" s="1009">
        <v>222</v>
      </c>
      <c r="D11" s="1010">
        <v>40</v>
      </c>
      <c r="E11" s="1011">
        <v>51</v>
      </c>
      <c r="F11" s="1020">
        <v>5</v>
      </c>
      <c r="G11" s="1021">
        <v>0</v>
      </c>
      <c r="H11" s="1021">
        <v>0</v>
      </c>
      <c r="I11" s="1018">
        <v>51</v>
      </c>
      <c r="J11" s="1018">
        <v>0</v>
      </c>
      <c r="K11" s="1018">
        <v>51</v>
      </c>
      <c r="L11" s="61">
        <v>0</v>
      </c>
      <c r="M11" s="61">
        <v>0</v>
      </c>
      <c r="N11" s="61">
        <v>0</v>
      </c>
      <c r="O11" s="61">
        <v>0</v>
      </c>
      <c r="Q11" s="59" t="s">
        <v>546</v>
      </c>
      <c r="R11" s="1012">
        <v>180</v>
      </c>
      <c r="S11" s="1009">
        <v>180</v>
      </c>
      <c r="T11" s="1010">
        <v>180</v>
      </c>
      <c r="U11" s="1011">
        <v>180</v>
      </c>
      <c r="V11" s="1020">
        <v>0</v>
      </c>
      <c r="W11" s="1021">
        <v>0</v>
      </c>
      <c r="X11" s="1021">
        <v>0</v>
      </c>
      <c r="Y11" s="1018">
        <v>180</v>
      </c>
      <c r="Z11" s="1028">
        <v>180</v>
      </c>
      <c r="AA11" s="1028">
        <v>180</v>
      </c>
      <c r="AB11" s="61">
        <v>0</v>
      </c>
      <c r="AC11" s="61">
        <v>0</v>
      </c>
      <c r="AD11" s="1029">
        <v>0</v>
      </c>
      <c r="AE11" s="61">
        <v>0</v>
      </c>
    </row>
    <row r="12" spans="1:31">
      <c r="A12" s="59" t="s">
        <v>250</v>
      </c>
      <c r="B12" s="1012">
        <v>250</v>
      </c>
      <c r="C12" s="1009">
        <v>250</v>
      </c>
      <c r="D12" s="1010">
        <v>200</v>
      </c>
      <c r="E12" s="1011">
        <v>250</v>
      </c>
      <c r="F12" s="1020">
        <v>0</v>
      </c>
      <c r="G12" s="1021">
        <v>0</v>
      </c>
      <c r="H12" s="1021">
        <v>0</v>
      </c>
      <c r="I12" s="1018">
        <v>250</v>
      </c>
      <c r="J12" s="1018">
        <v>250</v>
      </c>
      <c r="K12" s="1018">
        <v>250</v>
      </c>
      <c r="L12" s="61">
        <v>0</v>
      </c>
      <c r="M12" s="61">
        <v>0</v>
      </c>
      <c r="N12" s="61">
        <v>0</v>
      </c>
      <c r="O12" s="61">
        <v>0</v>
      </c>
      <c r="Q12" s="59" t="s">
        <v>543</v>
      </c>
      <c r="R12" s="1012">
        <v>270</v>
      </c>
      <c r="S12" s="1009">
        <v>270</v>
      </c>
      <c r="T12" s="1010">
        <v>270</v>
      </c>
      <c r="U12" s="1011">
        <v>270</v>
      </c>
      <c r="V12" s="1020">
        <v>0</v>
      </c>
      <c r="W12" s="1021">
        <v>0</v>
      </c>
      <c r="X12" s="1021">
        <v>0</v>
      </c>
      <c r="Y12" s="1018">
        <v>270</v>
      </c>
      <c r="Z12" s="1028">
        <v>270</v>
      </c>
      <c r="AA12" s="1028">
        <v>270</v>
      </c>
      <c r="AB12" s="61">
        <v>0</v>
      </c>
      <c r="AC12" s="61">
        <v>0</v>
      </c>
      <c r="AD12" s="1029">
        <v>0</v>
      </c>
      <c r="AE12" s="61">
        <v>0</v>
      </c>
    </row>
    <row r="13" spans="1:31">
      <c r="A13" s="59" t="s">
        <v>236</v>
      </c>
      <c r="B13" s="1012">
        <v>421</v>
      </c>
      <c r="C13" s="1009">
        <v>420</v>
      </c>
      <c r="D13" s="1010">
        <v>421</v>
      </c>
      <c r="E13" s="1011">
        <v>421</v>
      </c>
      <c r="F13" s="1020">
        <v>0</v>
      </c>
      <c r="G13" s="1021">
        <v>0</v>
      </c>
      <c r="H13" s="1021">
        <v>0</v>
      </c>
      <c r="I13" s="1018">
        <v>420</v>
      </c>
      <c r="J13" s="1018">
        <v>421</v>
      </c>
      <c r="K13" s="1018">
        <v>200</v>
      </c>
      <c r="L13" s="61">
        <v>0</v>
      </c>
      <c r="M13" s="61">
        <v>0</v>
      </c>
      <c r="N13" s="61">
        <v>0</v>
      </c>
      <c r="O13" s="61">
        <v>0</v>
      </c>
      <c r="Q13" s="59" t="s">
        <v>544</v>
      </c>
      <c r="R13" s="1012">
        <v>127</v>
      </c>
      <c r="S13" s="1009">
        <v>127</v>
      </c>
      <c r="T13" s="1010">
        <v>127</v>
      </c>
      <c r="U13" s="1011">
        <v>127</v>
      </c>
      <c r="V13" s="1020">
        <v>0</v>
      </c>
      <c r="W13" s="1021">
        <v>0</v>
      </c>
      <c r="X13" s="1021">
        <v>0</v>
      </c>
      <c r="Y13" s="1018">
        <v>50</v>
      </c>
      <c r="Z13" s="1028">
        <v>127</v>
      </c>
      <c r="AA13" s="1028">
        <v>127</v>
      </c>
      <c r="AB13" s="61">
        <v>0</v>
      </c>
      <c r="AC13" s="61">
        <v>0</v>
      </c>
      <c r="AD13" s="1029">
        <v>0</v>
      </c>
      <c r="AE13" s="61">
        <v>0</v>
      </c>
    </row>
    <row r="14" spans="1:31">
      <c r="A14" s="59" t="s">
        <v>1490</v>
      </c>
      <c r="B14" s="1012">
        <v>1900</v>
      </c>
      <c r="C14" s="1009">
        <v>1900</v>
      </c>
      <c r="D14" s="1010">
        <v>1900</v>
      </c>
      <c r="E14" s="1011">
        <v>1900</v>
      </c>
      <c r="F14" s="1020">
        <v>0</v>
      </c>
      <c r="G14" s="1021">
        <v>1900</v>
      </c>
      <c r="H14" s="1021">
        <v>100</v>
      </c>
      <c r="I14" s="1018">
        <v>30</v>
      </c>
      <c r="J14" s="1018">
        <v>1900</v>
      </c>
      <c r="K14" s="1018">
        <v>300</v>
      </c>
      <c r="L14" s="61">
        <v>1900</v>
      </c>
      <c r="M14" s="61">
        <v>0</v>
      </c>
      <c r="N14" s="61">
        <v>0</v>
      </c>
      <c r="O14" s="61">
        <v>100</v>
      </c>
      <c r="Q14" s="59" t="s">
        <v>1616</v>
      </c>
      <c r="R14" s="1012">
        <v>502</v>
      </c>
      <c r="S14" s="1009">
        <v>502</v>
      </c>
      <c r="T14" s="1010">
        <v>502</v>
      </c>
      <c r="U14" s="1011">
        <v>500</v>
      </c>
      <c r="V14" s="1020">
        <v>0</v>
      </c>
      <c r="W14" s="1021">
        <v>502</v>
      </c>
      <c r="X14" s="1021">
        <v>0</v>
      </c>
      <c r="Y14" s="1018">
        <v>205</v>
      </c>
      <c r="Z14" s="1028">
        <v>500</v>
      </c>
      <c r="AA14" s="1028">
        <v>200</v>
      </c>
      <c r="AB14" s="61">
        <v>502</v>
      </c>
      <c r="AC14" s="61">
        <v>0</v>
      </c>
      <c r="AD14" s="1029">
        <v>0</v>
      </c>
      <c r="AE14" s="61">
        <v>0</v>
      </c>
    </row>
    <row r="15" spans="1:31">
      <c r="A15" s="59" t="s">
        <v>251</v>
      </c>
      <c r="B15" s="1012">
        <v>24</v>
      </c>
      <c r="C15" s="1009">
        <v>24</v>
      </c>
      <c r="D15" s="1010">
        <v>24</v>
      </c>
      <c r="E15" s="1011">
        <v>24</v>
      </c>
      <c r="F15" s="1020">
        <v>0</v>
      </c>
      <c r="G15" s="1021">
        <v>0</v>
      </c>
      <c r="H15" s="1021">
        <v>0</v>
      </c>
      <c r="I15" s="1018">
        <v>24</v>
      </c>
      <c r="J15" s="1018">
        <v>24</v>
      </c>
      <c r="K15" s="1018">
        <v>24</v>
      </c>
      <c r="L15" s="61">
        <v>0</v>
      </c>
      <c r="M15" s="61">
        <v>0</v>
      </c>
      <c r="N15" s="61">
        <v>0</v>
      </c>
      <c r="O15" s="61">
        <v>0</v>
      </c>
      <c r="Q15" s="59" t="s">
        <v>554</v>
      </c>
      <c r="R15" s="1012">
        <v>104</v>
      </c>
      <c r="S15" s="1009">
        <v>104</v>
      </c>
      <c r="T15" s="1010">
        <v>80</v>
      </c>
      <c r="U15" s="1011">
        <v>104</v>
      </c>
      <c r="V15" s="1020">
        <v>0</v>
      </c>
      <c r="W15" s="1021">
        <v>0</v>
      </c>
      <c r="X15" s="1021">
        <v>0</v>
      </c>
      <c r="Y15" s="1018">
        <v>104</v>
      </c>
      <c r="Z15" s="1028">
        <v>0</v>
      </c>
      <c r="AA15" s="1028">
        <v>104</v>
      </c>
      <c r="AB15" s="61">
        <v>0</v>
      </c>
      <c r="AC15" s="61">
        <v>0</v>
      </c>
      <c r="AD15" s="1029">
        <v>0</v>
      </c>
      <c r="AE15" s="61">
        <v>0</v>
      </c>
    </row>
    <row r="16" spans="1:31">
      <c r="A16" s="59" t="s">
        <v>245</v>
      </c>
      <c r="B16" s="1012">
        <v>878</v>
      </c>
      <c r="C16" s="1009">
        <v>878</v>
      </c>
      <c r="D16" s="1010">
        <v>640</v>
      </c>
      <c r="E16" s="1011">
        <v>500</v>
      </c>
      <c r="F16" s="1020">
        <v>168</v>
      </c>
      <c r="G16" s="1021">
        <v>0</v>
      </c>
      <c r="H16" s="1021">
        <v>50</v>
      </c>
      <c r="I16" s="1018">
        <v>250</v>
      </c>
      <c r="J16" s="1018">
        <v>500</v>
      </c>
      <c r="K16" s="1018">
        <v>200</v>
      </c>
      <c r="L16" s="61">
        <v>0</v>
      </c>
      <c r="M16" s="61">
        <v>0</v>
      </c>
      <c r="N16" s="61">
        <v>0</v>
      </c>
      <c r="O16" s="61">
        <v>50</v>
      </c>
      <c r="Q16" s="59" t="s">
        <v>548</v>
      </c>
      <c r="R16" s="1012">
        <v>125</v>
      </c>
      <c r="S16" s="1009">
        <v>125</v>
      </c>
      <c r="T16" s="1010">
        <v>125</v>
      </c>
      <c r="U16" s="1011">
        <v>125</v>
      </c>
      <c r="V16" s="1020">
        <v>0</v>
      </c>
      <c r="W16" s="1021">
        <v>0</v>
      </c>
      <c r="X16" s="1021">
        <v>0</v>
      </c>
      <c r="Y16" s="1018">
        <v>125</v>
      </c>
      <c r="Z16" s="1028">
        <v>125</v>
      </c>
      <c r="AA16" s="1028">
        <v>125</v>
      </c>
      <c r="AB16" s="61">
        <v>0</v>
      </c>
      <c r="AC16" s="61">
        <v>0</v>
      </c>
      <c r="AD16" s="1029">
        <v>0</v>
      </c>
      <c r="AE16" s="61">
        <v>0</v>
      </c>
    </row>
    <row r="17" spans="1:31">
      <c r="A17" s="59" t="s">
        <v>252</v>
      </c>
      <c r="B17" s="1012">
        <v>445</v>
      </c>
      <c r="C17" s="1009">
        <v>445</v>
      </c>
      <c r="D17" s="1010">
        <v>445</v>
      </c>
      <c r="E17" s="1011">
        <v>445</v>
      </c>
      <c r="F17" s="1020">
        <v>0</v>
      </c>
      <c r="G17" s="1021">
        <v>445</v>
      </c>
      <c r="H17" s="1021">
        <v>0</v>
      </c>
      <c r="I17" s="1018">
        <v>445</v>
      </c>
      <c r="J17" s="1018">
        <v>445</v>
      </c>
      <c r="K17" s="1018">
        <v>445</v>
      </c>
      <c r="L17" s="61">
        <v>445</v>
      </c>
      <c r="M17" s="61">
        <v>0</v>
      </c>
      <c r="N17" s="61">
        <v>0</v>
      </c>
      <c r="O17" s="61">
        <v>0</v>
      </c>
      <c r="Q17" s="59" t="s">
        <v>523</v>
      </c>
      <c r="R17" s="1012">
        <v>157</v>
      </c>
      <c r="S17" s="1009">
        <v>157</v>
      </c>
      <c r="T17" s="1010">
        <v>157</v>
      </c>
      <c r="U17" s="1011">
        <v>157</v>
      </c>
      <c r="V17" s="1020">
        <v>0</v>
      </c>
      <c r="W17" s="1021">
        <v>0</v>
      </c>
      <c r="X17" s="1021">
        <v>0</v>
      </c>
      <c r="Y17" s="1018">
        <v>157</v>
      </c>
      <c r="Z17" s="1028">
        <v>157</v>
      </c>
      <c r="AA17" s="1028">
        <v>157</v>
      </c>
      <c r="AB17" s="61">
        <v>0</v>
      </c>
      <c r="AC17" s="61">
        <v>0</v>
      </c>
      <c r="AD17" s="1029">
        <v>0</v>
      </c>
      <c r="AE17" s="61">
        <v>0</v>
      </c>
    </row>
    <row r="18" spans="1:31">
      <c r="A18" s="59" t="s">
        <v>160</v>
      </c>
      <c r="B18" s="1012">
        <v>197</v>
      </c>
      <c r="C18" s="1009">
        <v>197</v>
      </c>
      <c r="D18" s="1010">
        <v>140</v>
      </c>
      <c r="E18" s="1011">
        <v>197</v>
      </c>
      <c r="F18" s="1020">
        <v>0</v>
      </c>
      <c r="G18" s="1021">
        <v>0</v>
      </c>
      <c r="H18" s="1021">
        <v>0</v>
      </c>
      <c r="I18" s="1018">
        <v>197</v>
      </c>
      <c r="J18" s="1018">
        <v>197</v>
      </c>
      <c r="K18" s="1018">
        <v>193</v>
      </c>
      <c r="L18" s="61">
        <v>0</v>
      </c>
      <c r="M18" s="61">
        <v>0</v>
      </c>
      <c r="N18" s="61">
        <v>0</v>
      </c>
      <c r="O18" s="61">
        <v>0</v>
      </c>
      <c r="Q18" s="59" t="s">
        <v>1617</v>
      </c>
      <c r="R18" s="1012">
        <v>251</v>
      </c>
      <c r="S18" s="1009">
        <v>251</v>
      </c>
      <c r="T18" s="1010">
        <v>251</v>
      </c>
      <c r="U18" s="1011">
        <v>251</v>
      </c>
      <c r="V18" s="1020">
        <v>0</v>
      </c>
      <c r="W18" s="1021">
        <v>0</v>
      </c>
      <c r="X18" s="1021">
        <v>0</v>
      </c>
      <c r="Y18" s="1018">
        <v>50</v>
      </c>
      <c r="Z18" s="1028">
        <v>251</v>
      </c>
      <c r="AA18" s="1028">
        <v>251</v>
      </c>
      <c r="AB18" s="61">
        <v>0</v>
      </c>
      <c r="AC18" s="61">
        <v>0</v>
      </c>
      <c r="AD18" s="1029">
        <v>0</v>
      </c>
      <c r="AE18" s="61">
        <v>0</v>
      </c>
    </row>
    <row r="19" spans="1:31">
      <c r="A19" s="59" t="s">
        <v>232</v>
      </c>
      <c r="B19" s="1012">
        <v>411</v>
      </c>
      <c r="C19" s="1009">
        <v>411</v>
      </c>
      <c r="D19" s="1010">
        <v>411</v>
      </c>
      <c r="E19" s="1011">
        <v>411</v>
      </c>
      <c r="F19" s="1020">
        <v>0</v>
      </c>
      <c r="G19" s="1021">
        <v>0</v>
      </c>
      <c r="H19" s="1021">
        <v>0</v>
      </c>
      <c r="I19" s="1018">
        <v>406</v>
      </c>
      <c r="J19" s="1018">
        <v>411</v>
      </c>
      <c r="K19" s="1018">
        <v>394</v>
      </c>
      <c r="L19" s="61">
        <v>0</v>
      </c>
      <c r="M19" s="61">
        <v>0</v>
      </c>
      <c r="N19" s="61">
        <v>0</v>
      </c>
      <c r="O19" s="61">
        <v>0</v>
      </c>
      <c r="Q19" s="59" t="s">
        <v>545</v>
      </c>
      <c r="R19" s="1012">
        <v>176</v>
      </c>
      <c r="S19" s="1009">
        <v>176</v>
      </c>
      <c r="T19" s="1010">
        <v>176</v>
      </c>
      <c r="U19" s="1011">
        <v>176</v>
      </c>
      <c r="V19" s="1020">
        <v>0</v>
      </c>
      <c r="W19" s="1021">
        <v>0</v>
      </c>
      <c r="X19" s="1021">
        <v>0</v>
      </c>
      <c r="Y19" s="1018">
        <v>176</v>
      </c>
      <c r="Z19" s="1028">
        <v>176</v>
      </c>
      <c r="AA19" s="1028">
        <v>176</v>
      </c>
      <c r="AB19" s="61">
        <v>0</v>
      </c>
      <c r="AC19" s="61">
        <v>0</v>
      </c>
      <c r="AD19" s="1029">
        <v>0</v>
      </c>
      <c r="AE19" s="61">
        <v>0</v>
      </c>
    </row>
    <row r="20" spans="1:31">
      <c r="A20" s="59" t="s">
        <v>771</v>
      </c>
      <c r="B20" s="1012">
        <v>410</v>
      </c>
      <c r="C20" s="1009">
        <v>410</v>
      </c>
      <c r="D20" s="1010">
        <v>410</v>
      </c>
      <c r="E20" s="1011">
        <v>381</v>
      </c>
      <c r="F20" s="1020">
        <v>26</v>
      </c>
      <c r="G20" s="1021">
        <v>0</v>
      </c>
      <c r="H20" s="1021">
        <v>0</v>
      </c>
      <c r="I20" s="1018">
        <v>381</v>
      </c>
      <c r="J20" s="1018">
        <v>381</v>
      </c>
      <c r="K20" s="1018">
        <v>300</v>
      </c>
      <c r="L20" s="61">
        <v>0</v>
      </c>
      <c r="M20" s="61">
        <v>0</v>
      </c>
      <c r="N20" s="61">
        <v>0</v>
      </c>
      <c r="O20" s="61">
        <v>0</v>
      </c>
      <c r="Q20" s="59" t="s">
        <v>527</v>
      </c>
      <c r="R20" s="1012">
        <v>396</v>
      </c>
      <c r="S20" s="1009">
        <v>396</v>
      </c>
      <c r="T20" s="1010">
        <v>396</v>
      </c>
      <c r="U20" s="1011">
        <v>396</v>
      </c>
      <c r="V20" s="1020">
        <v>0</v>
      </c>
      <c r="W20" s="1021">
        <v>0</v>
      </c>
      <c r="X20" s="1021">
        <v>0</v>
      </c>
      <c r="Y20" s="1018">
        <v>396</v>
      </c>
      <c r="Z20" s="1028">
        <v>396</v>
      </c>
      <c r="AA20" s="1028">
        <v>396</v>
      </c>
      <c r="AB20" s="61">
        <v>0</v>
      </c>
      <c r="AC20" s="61">
        <v>0</v>
      </c>
      <c r="AD20" s="1029">
        <v>0</v>
      </c>
      <c r="AE20" s="61">
        <v>0</v>
      </c>
    </row>
    <row r="21" spans="1:31">
      <c r="A21" s="59" t="s">
        <v>268</v>
      </c>
      <c r="B21" s="1012">
        <v>295</v>
      </c>
      <c r="C21" s="1009">
        <v>295</v>
      </c>
      <c r="D21" s="1010">
        <v>291</v>
      </c>
      <c r="E21" s="1011">
        <v>295</v>
      </c>
      <c r="F21" s="1020">
        <v>59</v>
      </c>
      <c r="G21" s="1021">
        <v>293</v>
      </c>
      <c r="H21" s="1021">
        <v>295</v>
      </c>
      <c r="I21" s="1018">
        <v>295</v>
      </c>
      <c r="J21" s="1018">
        <v>291</v>
      </c>
      <c r="K21" s="1018">
        <v>295</v>
      </c>
      <c r="L21" s="61">
        <v>293</v>
      </c>
      <c r="M21" s="61">
        <v>295</v>
      </c>
      <c r="N21" s="61">
        <v>0</v>
      </c>
      <c r="O21" s="61">
        <v>200</v>
      </c>
      <c r="Q21" s="59" t="s">
        <v>562</v>
      </c>
      <c r="R21" s="1012">
        <v>323</v>
      </c>
      <c r="S21" s="1009">
        <v>323</v>
      </c>
      <c r="T21" s="1010">
        <v>200</v>
      </c>
      <c r="U21" s="1011">
        <v>323</v>
      </c>
      <c r="V21" s="1020">
        <v>0</v>
      </c>
      <c r="W21" s="1021">
        <v>0</v>
      </c>
      <c r="X21" s="1021">
        <v>0</v>
      </c>
      <c r="Y21" s="1018">
        <v>323</v>
      </c>
      <c r="Z21" s="1028">
        <v>0</v>
      </c>
      <c r="AA21" s="1028">
        <v>323</v>
      </c>
      <c r="AB21" s="61">
        <v>0</v>
      </c>
      <c r="AC21" s="61">
        <v>0</v>
      </c>
      <c r="AD21" s="1029">
        <v>0</v>
      </c>
      <c r="AE21" s="61">
        <v>0</v>
      </c>
    </row>
    <row r="22" spans="1:31">
      <c r="A22" s="59" t="s">
        <v>175</v>
      </c>
      <c r="B22" s="1012">
        <v>966</v>
      </c>
      <c r="C22" s="1009">
        <v>933.33333333333337</v>
      </c>
      <c r="D22" s="1010">
        <v>966</v>
      </c>
      <c r="E22" s="1011">
        <v>966</v>
      </c>
      <c r="F22" s="1020">
        <v>0</v>
      </c>
      <c r="G22" s="1021">
        <v>0</v>
      </c>
      <c r="H22" s="1021">
        <v>0</v>
      </c>
      <c r="I22" s="1018">
        <v>455</v>
      </c>
      <c r="J22" s="1018">
        <v>966</v>
      </c>
      <c r="K22" s="1018">
        <v>800</v>
      </c>
      <c r="L22" s="61">
        <v>0</v>
      </c>
      <c r="M22" s="61">
        <v>0</v>
      </c>
      <c r="N22" s="61">
        <v>0</v>
      </c>
      <c r="O22" s="61">
        <v>0</v>
      </c>
      <c r="Q22" s="59" t="s">
        <v>551</v>
      </c>
      <c r="R22" s="1012">
        <v>31</v>
      </c>
      <c r="S22" s="1009">
        <v>31</v>
      </c>
      <c r="T22" s="1010">
        <v>31</v>
      </c>
      <c r="U22" s="1011">
        <v>31</v>
      </c>
      <c r="V22" s="1020">
        <v>0</v>
      </c>
      <c r="W22" s="1021">
        <v>0</v>
      </c>
      <c r="X22" s="1021">
        <v>0</v>
      </c>
      <c r="Y22" s="1018">
        <v>31</v>
      </c>
      <c r="Z22" s="1028">
        <v>31</v>
      </c>
      <c r="AA22" s="1028">
        <v>31</v>
      </c>
      <c r="AB22" s="61">
        <v>0</v>
      </c>
      <c r="AC22" s="61">
        <v>0</v>
      </c>
      <c r="AD22" s="1029">
        <v>0</v>
      </c>
      <c r="AE22" s="61">
        <v>0</v>
      </c>
    </row>
    <row r="23" spans="1:31">
      <c r="A23" s="59" t="s">
        <v>149</v>
      </c>
      <c r="B23" s="1012">
        <v>133</v>
      </c>
      <c r="C23" s="1009">
        <v>133</v>
      </c>
      <c r="D23" s="1010">
        <v>132</v>
      </c>
      <c r="E23" s="1011">
        <v>132</v>
      </c>
      <c r="F23" s="1020">
        <v>0</v>
      </c>
      <c r="G23" s="1021">
        <v>0</v>
      </c>
      <c r="H23" s="1021">
        <v>0</v>
      </c>
      <c r="I23" s="1018">
        <v>30</v>
      </c>
      <c r="J23" s="1018">
        <v>132</v>
      </c>
      <c r="K23" s="1018">
        <v>100</v>
      </c>
      <c r="L23" s="61">
        <v>0</v>
      </c>
      <c r="M23" s="61">
        <v>0</v>
      </c>
      <c r="N23" s="61">
        <v>0</v>
      </c>
      <c r="O23" s="61">
        <v>0</v>
      </c>
      <c r="Q23" s="59" t="s">
        <v>517</v>
      </c>
      <c r="R23" s="1012">
        <v>213</v>
      </c>
      <c r="S23" s="1009">
        <v>213</v>
      </c>
      <c r="T23" s="1010">
        <v>213</v>
      </c>
      <c r="U23" s="1011">
        <v>213</v>
      </c>
      <c r="V23" s="1020">
        <v>0</v>
      </c>
      <c r="W23" s="1021">
        <v>0</v>
      </c>
      <c r="X23" s="1021">
        <v>0</v>
      </c>
      <c r="Y23" s="1018">
        <v>50</v>
      </c>
      <c r="Z23" s="1028">
        <v>213</v>
      </c>
      <c r="AA23" s="1028">
        <v>213</v>
      </c>
      <c r="AB23" s="61">
        <v>0</v>
      </c>
      <c r="AC23" s="61">
        <v>0</v>
      </c>
      <c r="AD23" s="1029">
        <v>0</v>
      </c>
      <c r="AE23" s="61">
        <v>0</v>
      </c>
    </row>
    <row r="24" spans="1:31">
      <c r="A24" s="59" t="s">
        <v>254</v>
      </c>
      <c r="B24" s="1012">
        <v>504</v>
      </c>
      <c r="C24" s="1009">
        <v>504</v>
      </c>
      <c r="D24" s="1010">
        <v>504</v>
      </c>
      <c r="E24" s="1011">
        <v>504</v>
      </c>
      <c r="F24" s="1020">
        <v>0</v>
      </c>
      <c r="G24" s="1021">
        <v>504</v>
      </c>
      <c r="H24" s="1021">
        <v>0</v>
      </c>
      <c r="I24" s="1018">
        <v>504</v>
      </c>
      <c r="J24" s="1018">
        <v>504</v>
      </c>
      <c r="K24" s="1018">
        <v>400</v>
      </c>
      <c r="L24" s="61">
        <v>504</v>
      </c>
      <c r="M24" s="61">
        <v>0</v>
      </c>
      <c r="N24" s="61">
        <v>0</v>
      </c>
      <c r="O24" s="61">
        <v>0</v>
      </c>
      <c r="Q24" s="59" t="s">
        <v>531</v>
      </c>
      <c r="R24" s="1012">
        <v>250</v>
      </c>
      <c r="S24" s="1009">
        <v>250</v>
      </c>
      <c r="T24" s="1010">
        <v>250</v>
      </c>
      <c r="U24" s="1011">
        <v>250</v>
      </c>
      <c r="V24" s="1020">
        <v>0</v>
      </c>
      <c r="W24" s="1021">
        <v>0</v>
      </c>
      <c r="X24" s="1021">
        <v>0</v>
      </c>
      <c r="Y24" s="1018">
        <v>250</v>
      </c>
      <c r="Z24" s="1028">
        <v>250</v>
      </c>
      <c r="AA24" s="1028">
        <v>250</v>
      </c>
      <c r="AB24" s="61">
        <v>0</v>
      </c>
      <c r="AC24" s="61">
        <v>0</v>
      </c>
      <c r="AD24" s="1029">
        <v>0</v>
      </c>
      <c r="AE24" s="61">
        <v>0</v>
      </c>
    </row>
    <row r="25" spans="1:31">
      <c r="A25" s="59" t="s">
        <v>147</v>
      </c>
      <c r="B25" s="1012">
        <v>936</v>
      </c>
      <c r="C25" s="1009">
        <v>0</v>
      </c>
      <c r="D25" s="1010">
        <v>640</v>
      </c>
      <c r="E25" s="1011">
        <v>936</v>
      </c>
      <c r="F25" s="1020">
        <v>0</v>
      </c>
      <c r="G25" s="1021">
        <v>65</v>
      </c>
      <c r="H25" s="1021">
        <v>0</v>
      </c>
      <c r="I25" s="1018">
        <v>455</v>
      </c>
      <c r="J25" s="1018">
        <v>936</v>
      </c>
      <c r="K25" s="1018">
        <v>800</v>
      </c>
      <c r="L25" s="61">
        <v>0</v>
      </c>
      <c r="M25" s="61">
        <v>0</v>
      </c>
      <c r="N25" s="61">
        <v>65</v>
      </c>
      <c r="O25" s="61">
        <v>0</v>
      </c>
      <c r="Q25" s="59" t="s">
        <v>1618</v>
      </c>
      <c r="R25" s="1012">
        <v>158</v>
      </c>
      <c r="S25" s="1009">
        <v>158</v>
      </c>
      <c r="T25" s="1010">
        <v>158</v>
      </c>
      <c r="U25" s="1011">
        <v>158</v>
      </c>
      <c r="V25" s="1020">
        <v>0</v>
      </c>
      <c r="W25" s="1021">
        <v>0</v>
      </c>
      <c r="X25" s="1021">
        <v>0</v>
      </c>
      <c r="Y25" s="1018">
        <v>50</v>
      </c>
      <c r="Z25" s="1028">
        <v>158</v>
      </c>
      <c r="AA25" s="1028">
        <v>158</v>
      </c>
      <c r="AB25" s="61">
        <v>0</v>
      </c>
      <c r="AC25" s="61">
        <v>0</v>
      </c>
      <c r="AD25" s="1029">
        <v>0</v>
      </c>
      <c r="AE25" s="61">
        <v>0</v>
      </c>
    </row>
    <row r="26" spans="1:31">
      <c r="A26" s="59" t="s">
        <v>217</v>
      </c>
      <c r="B26" s="1012">
        <v>3789</v>
      </c>
      <c r="C26" s="1009">
        <v>1463.1333333333334</v>
      </c>
      <c r="D26" s="1010">
        <v>3789</v>
      </c>
      <c r="E26" s="1011">
        <v>500</v>
      </c>
      <c r="F26" s="1020">
        <v>0</v>
      </c>
      <c r="G26" s="1021">
        <v>1500</v>
      </c>
      <c r="H26" s="1021">
        <v>200</v>
      </c>
      <c r="I26" s="1018">
        <v>30</v>
      </c>
      <c r="J26" s="1018">
        <v>500</v>
      </c>
      <c r="K26" s="1018">
        <v>100</v>
      </c>
      <c r="L26" s="61">
        <v>1500</v>
      </c>
      <c r="M26" s="61">
        <v>0</v>
      </c>
      <c r="N26" s="61">
        <v>0</v>
      </c>
      <c r="O26" s="61">
        <v>200</v>
      </c>
      <c r="Q26" s="59" t="s">
        <v>535</v>
      </c>
      <c r="R26" s="1012">
        <v>206</v>
      </c>
      <c r="S26" s="1009">
        <v>206</v>
      </c>
      <c r="T26" s="1010">
        <v>206</v>
      </c>
      <c r="U26" s="1011">
        <v>206</v>
      </c>
      <c r="V26" s="1020">
        <v>0</v>
      </c>
      <c r="W26" s="1021">
        <v>0</v>
      </c>
      <c r="X26" s="1021">
        <v>0</v>
      </c>
      <c r="Y26" s="1018">
        <v>205</v>
      </c>
      <c r="Z26" s="1028">
        <v>206</v>
      </c>
      <c r="AA26" s="1028">
        <v>100</v>
      </c>
      <c r="AB26" s="61">
        <v>0</v>
      </c>
      <c r="AC26" s="61">
        <v>0</v>
      </c>
      <c r="AD26" s="1029">
        <v>0</v>
      </c>
      <c r="AE26" s="61">
        <v>0</v>
      </c>
    </row>
    <row r="27" spans="1:31">
      <c r="A27" s="59" t="s">
        <v>2160</v>
      </c>
      <c r="B27" s="1012">
        <v>32</v>
      </c>
      <c r="C27" s="1009">
        <v>32</v>
      </c>
      <c r="D27" s="1010">
        <v>32</v>
      </c>
      <c r="E27" s="1011">
        <v>32</v>
      </c>
      <c r="F27" s="1020">
        <v>14</v>
      </c>
      <c r="G27" s="1021">
        <v>0</v>
      </c>
      <c r="H27" s="1021">
        <v>0</v>
      </c>
      <c r="I27" s="1018">
        <v>32</v>
      </c>
      <c r="J27" s="1018">
        <v>32</v>
      </c>
      <c r="K27" s="1018">
        <v>32</v>
      </c>
      <c r="L27" s="61">
        <v>0</v>
      </c>
      <c r="M27" s="61">
        <v>0</v>
      </c>
      <c r="N27" s="61">
        <v>0</v>
      </c>
      <c r="O27" s="61">
        <v>0</v>
      </c>
      <c r="Q27" s="59" t="s">
        <v>547</v>
      </c>
      <c r="R27" s="1012">
        <v>141</v>
      </c>
      <c r="S27" s="1009">
        <v>141</v>
      </c>
      <c r="T27" s="1010">
        <v>141</v>
      </c>
      <c r="U27" s="1011">
        <v>141</v>
      </c>
      <c r="V27" s="1020">
        <v>0</v>
      </c>
      <c r="W27" s="1021">
        <v>0</v>
      </c>
      <c r="X27" s="1021">
        <v>0</v>
      </c>
      <c r="Y27" s="1018">
        <v>30</v>
      </c>
      <c r="Z27" s="1028">
        <v>141</v>
      </c>
      <c r="AA27" s="1028">
        <v>141</v>
      </c>
      <c r="AB27" s="61">
        <v>0</v>
      </c>
      <c r="AC27" s="61">
        <v>0</v>
      </c>
      <c r="AD27" s="1029">
        <v>0</v>
      </c>
      <c r="AE27" s="61">
        <v>0</v>
      </c>
    </row>
    <row r="28" spans="1:31">
      <c r="A28" s="59" t="s">
        <v>198</v>
      </c>
      <c r="B28" s="1012">
        <v>226</v>
      </c>
      <c r="C28" s="1009">
        <v>226</v>
      </c>
      <c r="D28" s="1010">
        <v>220</v>
      </c>
      <c r="E28" s="1011">
        <v>222</v>
      </c>
      <c r="F28" s="1020">
        <v>9</v>
      </c>
      <c r="G28" s="1021">
        <v>0</v>
      </c>
      <c r="H28" s="1021">
        <v>0</v>
      </c>
      <c r="I28" s="1018">
        <v>222</v>
      </c>
      <c r="J28" s="1018">
        <v>222</v>
      </c>
      <c r="K28" s="1018">
        <v>222</v>
      </c>
      <c r="L28" s="61">
        <v>0</v>
      </c>
      <c r="M28" s="61">
        <v>0</v>
      </c>
      <c r="N28" s="61">
        <v>0</v>
      </c>
      <c r="O28" s="61">
        <v>0</v>
      </c>
      <c r="Q28" s="59" t="s">
        <v>542</v>
      </c>
      <c r="R28" s="1012">
        <v>664</v>
      </c>
      <c r="S28" s="1009">
        <v>533.33333333333337</v>
      </c>
      <c r="T28" s="1010">
        <v>525</v>
      </c>
      <c r="U28" s="1011">
        <v>500</v>
      </c>
      <c r="V28" s="1020">
        <v>0</v>
      </c>
      <c r="W28" s="1021">
        <v>0</v>
      </c>
      <c r="X28" s="1021">
        <v>0</v>
      </c>
      <c r="Y28" s="1018">
        <v>455</v>
      </c>
      <c r="Z28" s="1028">
        <v>500</v>
      </c>
      <c r="AA28" s="1028">
        <v>664</v>
      </c>
      <c r="AB28" s="61">
        <v>0</v>
      </c>
      <c r="AC28" s="61">
        <v>0</v>
      </c>
      <c r="AD28" s="1029">
        <v>0</v>
      </c>
      <c r="AE28" s="61">
        <v>0</v>
      </c>
    </row>
    <row r="29" spans="1:31">
      <c r="A29" s="59" t="s">
        <v>224</v>
      </c>
      <c r="B29" s="1012">
        <v>2131</v>
      </c>
      <c r="C29" s="1009">
        <v>177.16296296296298</v>
      </c>
      <c r="D29" s="1010">
        <v>1780</v>
      </c>
      <c r="E29" s="1011">
        <v>440</v>
      </c>
      <c r="F29" s="1020">
        <v>0</v>
      </c>
      <c r="G29" s="1021">
        <v>1000</v>
      </c>
      <c r="H29" s="1021">
        <v>0</v>
      </c>
      <c r="I29" s="1018">
        <v>440</v>
      </c>
      <c r="J29" s="1018">
        <v>0</v>
      </c>
      <c r="K29" s="1018">
        <v>300</v>
      </c>
      <c r="L29" s="61">
        <v>1000</v>
      </c>
      <c r="M29" s="61">
        <v>0</v>
      </c>
      <c r="N29" s="61">
        <v>0</v>
      </c>
      <c r="O29" s="61">
        <v>0</v>
      </c>
      <c r="Q29" s="59" t="s">
        <v>561</v>
      </c>
      <c r="R29" s="1012">
        <v>221</v>
      </c>
      <c r="S29" s="1009">
        <v>221</v>
      </c>
      <c r="T29" s="1010">
        <v>221</v>
      </c>
      <c r="U29" s="1011">
        <v>221</v>
      </c>
      <c r="V29" s="1020">
        <v>0</v>
      </c>
      <c r="W29" s="1021">
        <v>221</v>
      </c>
      <c r="X29" s="1021">
        <v>0</v>
      </c>
      <c r="Y29" s="1018">
        <v>221</v>
      </c>
      <c r="Z29" s="1028">
        <v>221</v>
      </c>
      <c r="AA29" s="1028">
        <v>221</v>
      </c>
      <c r="AB29" s="61">
        <v>221</v>
      </c>
      <c r="AC29" s="61">
        <v>0</v>
      </c>
      <c r="AD29" s="1029">
        <v>0</v>
      </c>
      <c r="AE29" s="61">
        <v>0</v>
      </c>
    </row>
    <row r="30" spans="1:31">
      <c r="A30" s="59" t="s">
        <v>161</v>
      </c>
      <c r="B30" s="1012">
        <v>1184</v>
      </c>
      <c r="C30" s="1009">
        <v>1184</v>
      </c>
      <c r="D30" s="1010">
        <v>900</v>
      </c>
      <c r="E30" s="1011">
        <v>1124</v>
      </c>
      <c r="F30" s="1020">
        <v>0</v>
      </c>
      <c r="G30" s="1021">
        <v>0</v>
      </c>
      <c r="H30" s="1021">
        <v>0</v>
      </c>
      <c r="I30" s="1018">
        <v>520</v>
      </c>
      <c r="J30" s="1018">
        <v>1124</v>
      </c>
      <c r="K30" s="1018">
        <v>700</v>
      </c>
      <c r="L30" s="61">
        <v>0</v>
      </c>
      <c r="M30" s="61">
        <v>0</v>
      </c>
      <c r="N30" s="61">
        <v>0</v>
      </c>
      <c r="O30" s="61">
        <v>0</v>
      </c>
      <c r="Q30" s="59" t="s">
        <v>537</v>
      </c>
      <c r="R30" s="1012">
        <v>91</v>
      </c>
      <c r="S30" s="1009">
        <v>91</v>
      </c>
      <c r="T30" s="1010">
        <v>91</v>
      </c>
      <c r="U30" s="1011">
        <v>91</v>
      </c>
      <c r="V30" s="1020">
        <v>0</v>
      </c>
      <c r="W30" s="1021">
        <v>0</v>
      </c>
      <c r="X30" s="1021">
        <v>0</v>
      </c>
      <c r="Y30" s="1018">
        <v>91</v>
      </c>
      <c r="Z30" s="1028">
        <v>0</v>
      </c>
      <c r="AA30" s="1028">
        <v>91</v>
      </c>
      <c r="AB30" s="61">
        <v>0</v>
      </c>
      <c r="AC30" s="61">
        <v>0</v>
      </c>
      <c r="AD30" s="1029">
        <v>0</v>
      </c>
      <c r="AE30" s="61">
        <v>0</v>
      </c>
    </row>
    <row r="31" spans="1:31">
      <c r="A31" s="59" t="s">
        <v>233</v>
      </c>
      <c r="B31" s="1012">
        <v>398</v>
      </c>
      <c r="C31" s="1009">
        <v>398</v>
      </c>
      <c r="D31" s="1010">
        <v>398</v>
      </c>
      <c r="E31" s="1011">
        <v>398</v>
      </c>
      <c r="F31" s="1020">
        <v>0</v>
      </c>
      <c r="G31" s="1021">
        <v>0</v>
      </c>
      <c r="H31" s="1021">
        <v>0</v>
      </c>
      <c r="I31" s="1018">
        <v>398</v>
      </c>
      <c r="J31" s="1018">
        <v>398</v>
      </c>
      <c r="K31" s="1018">
        <v>398</v>
      </c>
      <c r="L31" s="61">
        <v>0</v>
      </c>
      <c r="M31" s="61">
        <v>0</v>
      </c>
      <c r="N31" s="61">
        <v>0</v>
      </c>
      <c r="O31" s="61">
        <v>0</v>
      </c>
      <c r="Q31" s="59" t="s">
        <v>563</v>
      </c>
      <c r="R31" s="1012">
        <v>195</v>
      </c>
      <c r="S31" s="1009">
        <v>195</v>
      </c>
      <c r="T31" s="1010">
        <v>195</v>
      </c>
      <c r="U31" s="1011">
        <v>195</v>
      </c>
      <c r="V31" s="1020">
        <v>0</v>
      </c>
      <c r="W31" s="1021">
        <v>0</v>
      </c>
      <c r="X31" s="1021">
        <v>0</v>
      </c>
      <c r="Y31" s="1018">
        <v>195</v>
      </c>
      <c r="Z31" s="1028">
        <v>195</v>
      </c>
      <c r="AA31" s="1028">
        <v>100</v>
      </c>
      <c r="AB31" s="61">
        <v>0</v>
      </c>
      <c r="AC31" s="61">
        <v>0</v>
      </c>
      <c r="AD31" s="1029">
        <v>0</v>
      </c>
      <c r="AE31" s="61">
        <v>0</v>
      </c>
    </row>
    <row r="32" spans="1:31">
      <c r="A32" s="59" t="s">
        <v>1604</v>
      </c>
      <c r="B32" s="1012">
        <v>658</v>
      </c>
      <c r="C32" s="1009">
        <v>658</v>
      </c>
      <c r="D32" s="1010">
        <v>320</v>
      </c>
      <c r="E32" s="1011">
        <v>612</v>
      </c>
      <c r="F32" s="1020">
        <v>0</v>
      </c>
      <c r="G32" s="1021">
        <v>0</v>
      </c>
      <c r="H32" s="1021">
        <v>0</v>
      </c>
      <c r="I32" s="1018">
        <v>612</v>
      </c>
      <c r="J32" s="1018">
        <v>612</v>
      </c>
      <c r="K32" s="1018">
        <v>658</v>
      </c>
      <c r="L32" s="61">
        <v>0</v>
      </c>
      <c r="M32" s="61">
        <v>0</v>
      </c>
      <c r="N32" s="61">
        <v>0</v>
      </c>
      <c r="O32" s="61">
        <v>0</v>
      </c>
      <c r="Q32" s="59" t="s">
        <v>538</v>
      </c>
      <c r="R32" s="1012">
        <v>1101</v>
      </c>
      <c r="S32" s="1009">
        <v>1101</v>
      </c>
      <c r="T32" s="1010">
        <v>1025</v>
      </c>
      <c r="U32" s="1011">
        <v>620</v>
      </c>
      <c r="V32" s="1020">
        <v>0</v>
      </c>
      <c r="W32" s="1021">
        <v>1000</v>
      </c>
      <c r="X32" s="1021">
        <v>0</v>
      </c>
      <c r="Y32" s="1018">
        <v>620</v>
      </c>
      <c r="Z32" s="1028">
        <v>500</v>
      </c>
      <c r="AA32" s="1028">
        <v>700</v>
      </c>
      <c r="AB32" s="61">
        <v>1000</v>
      </c>
      <c r="AC32" s="61">
        <v>0</v>
      </c>
      <c r="AD32" s="1029">
        <v>0</v>
      </c>
      <c r="AE32" s="61">
        <v>0</v>
      </c>
    </row>
    <row r="33" spans="1:31">
      <c r="A33" s="59" t="s">
        <v>290</v>
      </c>
      <c r="B33" s="1012">
        <v>8486</v>
      </c>
      <c r="C33" s="1009">
        <v>2150</v>
      </c>
      <c r="D33" s="1010">
        <v>8486</v>
      </c>
      <c r="E33" s="1011">
        <v>8486</v>
      </c>
      <c r="F33" s="1020">
        <v>0</v>
      </c>
      <c r="G33" s="1021">
        <v>0</v>
      </c>
      <c r="H33" s="1021">
        <v>0</v>
      </c>
      <c r="I33" s="1018">
        <v>7985</v>
      </c>
      <c r="J33" s="1018">
        <v>8486</v>
      </c>
      <c r="K33" s="1018">
        <v>8486</v>
      </c>
      <c r="L33" s="61">
        <v>0</v>
      </c>
      <c r="M33" s="61">
        <v>0</v>
      </c>
      <c r="N33" s="61">
        <v>0</v>
      </c>
      <c r="O33" s="61">
        <v>0</v>
      </c>
      <c r="Q33" s="59" t="s">
        <v>2602</v>
      </c>
      <c r="R33" s="1012">
        <v>1674</v>
      </c>
      <c r="S33" s="1009">
        <v>1600</v>
      </c>
      <c r="T33" s="1010">
        <v>280</v>
      </c>
      <c r="U33" s="1011">
        <v>440</v>
      </c>
      <c r="V33" s="1020">
        <v>0</v>
      </c>
      <c r="W33" s="1021">
        <v>500</v>
      </c>
      <c r="X33" s="1021">
        <v>0</v>
      </c>
      <c r="Y33" s="1018">
        <v>440</v>
      </c>
      <c r="Z33" s="1028">
        <v>0</v>
      </c>
      <c r="AA33" s="1028">
        <v>100</v>
      </c>
      <c r="AB33" s="61">
        <v>500</v>
      </c>
      <c r="AC33" s="61">
        <v>0</v>
      </c>
      <c r="AD33" s="1029">
        <v>0</v>
      </c>
      <c r="AE33" s="61">
        <v>0</v>
      </c>
    </row>
    <row r="34" spans="1:31">
      <c r="A34" s="59" t="s">
        <v>828</v>
      </c>
      <c r="B34" s="1012">
        <v>61</v>
      </c>
      <c r="C34" s="1009">
        <v>61</v>
      </c>
      <c r="D34" s="1010">
        <v>61</v>
      </c>
      <c r="E34" s="1011">
        <v>61</v>
      </c>
      <c r="F34" s="1020">
        <v>0</v>
      </c>
      <c r="G34" s="1021">
        <v>0</v>
      </c>
      <c r="H34" s="1021">
        <v>0</v>
      </c>
      <c r="I34" s="1018">
        <v>61</v>
      </c>
      <c r="J34" s="1018">
        <v>61</v>
      </c>
      <c r="K34" s="1018">
        <v>61</v>
      </c>
      <c r="L34" s="61">
        <v>0</v>
      </c>
      <c r="M34" s="61">
        <v>0</v>
      </c>
      <c r="N34" s="61">
        <v>0</v>
      </c>
      <c r="O34" s="61">
        <v>0</v>
      </c>
      <c r="Q34" s="59" t="s">
        <v>2603</v>
      </c>
      <c r="R34" s="1012">
        <v>3469</v>
      </c>
      <c r="S34" s="1009">
        <v>0</v>
      </c>
      <c r="T34" s="1010">
        <v>3469</v>
      </c>
      <c r="U34" s="1011">
        <v>50</v>
      </c>
      <c r="V34" s="1020">
        <v>0</v>
      </c>
      <c r="W34" s="1021">
        <v>0</v>
      </c>
      <c r="X34" s="1021">
        <v>0</v>
      </c>
      <c r="Y34" s="1018">
        <v>50</v>
      </c>
      <c r="Z34" s="1028">
        <v>0</v>
      </c>
      <c r="AA34" s="1028">
        <v>300</v>
      </c>
      <c r="AB34" s="61">
        <v>0</v>
      </c>
      <c r="AC34" s="61">
        <v>0</v>
      </c>
      <c r="AD34" s="1029">
        <v>0</v>
      </c>
      <c r="AE34" s="61">
        <v>0</v>
      </c>
    </row>
    <row r="35" spans="1:31">
      <c r="A35" s="59" t="s">
        <v>207</v>
      </c>
      <c r="B35" s="1012">
        <v>8250</v>
      </c>
      <c r="C35" s="1009">
        <v>400</v>
      </c>
      <c r="D35" s="1010">
        <v>160</v>
      </c>
      <c r="E35" s="1011">
        <v>100</v>
      </c>
      <c r="F35" s="1020">
        <v>8</v>
      </c>
      <c r="G35" s="1021">
        <v>0</v>
      </c>
      <c r="H35" s="1021">
        <v>0</v>
      </c>
      <c r="I35" s="1018">
        <v>50</v>
      </c>
      <c r="J35" s="1018">
        <v>100</v>
      </c>
      <c r="K35" s="1018">
        <v>100</v>
      </c>
      <c r="L35" s="61">
        <v>0</v>
      </c>
      <c r="M35" s="61">
        <v>0</v>
      </c>
      <c r="N35" s="61">
        <v>0</v>
      </c>
      <c r="O35" s="61">
        <v>0</v>
      </c>
      <c r="Q35" s="59" t="s">
        <v>2694</v>
      </c>
      <c r="R35" s="1012">
        <v>60</v>
      </c>
      <c r="S35" s="1009">
        <v>0</v>
      </c>
      <c r="T35" s="1010">
        <v>0</v>
      </c>
      <c r="U35" s="1011">
        <v>0</v>
      </c>
      <c r="V35" s="1020">
        <v>0</v>
      </c>
      <c r="W35" s="1021">
        <v>0</v>
      </c>
      <c r="X35" s="1021">
        <v>0</v>
      </c>
      <c r="Y35" s="1018">
        <v>0</v>
      </c>
      <c r="Z35" s="1028">
        <v>0</v>
      </c>
      <c r="AA35" s="1028">
        <v>60</v>
      </c>
      <c r="AB35" s="61">
        <v>0</v>
      </c>
      <c r="AC35" s="61">
        <v>0</v>
      </c>
      <c r="AD35" s="1029">
        <v>0</v>
      </c>
      <c r="AE35" s="61">
        <v>0</v>
      </c>
    </row>
    <row r="36" spans="1:31">
      <c r="A36" s="59" t="s">
        <v>1563</v>
      </c>
      <c r="B36" s="1012">
        <v>53</v>
      </c>
      <c r="C36" s="1009">
        <v>53</v>
      </c>
      <c r="D36" s="1010">
        <v>53</v>
      </c>
      <c r="E36" s="1011">
        <v>53</v>
      </c>
      <c r="F36" s="1020">
        <v>0</v>
      </c>
      <c r="G36" s="1021">
        <v>53</v>
      </c>
      <c r="H36" s="1021">
        <v>0</v>
      </c>
      <c r="I36" s="1018">
        <v>52</v>
      </c>
      <c r="J36" s="1018">
        <v>53</v>
      </c>
      <c r="K36" s="1018">
        <v>53</v>
      </c>
      <c r="L36" s="61">
        <v>53</v>
      </c>
      <c r="M36" s="61">
        <v>0</v>
      </c>
      <c r="N36" s="61">
        <v>0</v>
      </c>
      <c r="O36" s="61">
        <v>0</v>
      </c>
      <c r="Q36" s="59" t="s">
        <v>3031</v>
      </c>
      <c r="R36" s="1012">
        <v>162</v>
      </c>
      <c r="S36" s="1009">
        <v>0</v>
      </c>
      <c r="T36" s="1010">
        <v>0</v>
      </c>
      <c r="U36" s="1011">
        <v>162</v>
      </c>
      <c r="V36" s="1020">
        <v>0</v>
      </c>
      <c r="W36" s="1021">
        <v>0</v>
      </c>
      <c r="X36" s="1021">
        <v>0</v>
      </c>
      <c r="Y36" s="1018">
        <v>162</v>
      </c>
      <c r="Z36" s="1028">
        <v>0</v>
      </c>
      <c r="AA36" s="1028">
        <v>162</v>
      </c>
      <c r="AB36" s="61">
        <v>0</v>
      </c>
      <c r="AC36" s="61">
        <v>0</v>
      </c>
      <c r="AD36" s="1029">
        <v>0</v>
      </c>
      <c r="AE36" s="61">
        <v>0</v>
      </c>
    </row>
    <row r="37" spans="1:31">
      <c r="A37" s="59" t="s">
        <v>209</v>
      </c>
      <c r="B37" s="1012">
        <v>263</v>
      </c>
      <c r="C37" s="1009">
        <v>263</v>
      </c>
      <c r="D37" s="1010">
        <v>100</v>
      </c>
      <c r="E37" s="1011">
        <v>106</v>
      </c>
      <c r="F37" s="1020">
        <v>7</v>
      </c>
      <c r="G37" s="1021">
        <v>0</v>
      </c>
      <c r="H37" s="1021">
        <v>0</v>
      </c>
      <c r="I37" s="1018">
        <v>106</v>
      </c>
      <c r="J37" s="1018">
        <v>106</v>
      </c>
      <c r="K37" s="1018">
        <v>200</v>
      </c>
      <c r="L37" s="61">
        <v>0</v>
      </c>
      <c r="M37" s="61">
        <v>0</v>
      </c>
      <c r="N37" s="61">
        <v>0</v>
      </c>
      <c r="O37" s="61">
        <v>0</v>
      </c>
      <c r="Q37" s="59" t="s">
        <v>3032</v>
      </c>
      <c r="R37" s="1012">
        <v>132</v>
      </c>
      <c r="S37" s="1009">
        <v>132</v>
      </c>
      <c r="T37" s="1010">
        <v>132</v>
      </c>
      <c r="U37" s="1011">
        <v>132</v>
      </c>
      <c r="V37" s="1020">
        <v>0</v>
      </c>
      <c r="W37" s="1021">
        <v>0</v>
      </c>
      <c r="X37" s="1021">
        <v>0</v>
      </c>
      <c r="Y37" s="1018">
        <v>132</v>
      </c>
      <c r="Z37" s="1028">
        <v>132</v>
      </c>
      <c r="AA37" s="1028">
        <v>132</v>
      </c>
      <c r="AB37" s="61">
        <v>0</v>
      </c>
      <c r="AC37" s="61">
        <v>0</v>
      </c>
      <c r="AD37" s="1029">
        <v>0</v>
      </c>
      <c r="AE37" s="61">
        <v>0</v>
      </c>
    </row>
    <row r="38" spans="1:31">
      <c r="A38" s="59" t="s">
        <v>153</v>
      </c>
      <c r="B38" s="1012">
        <v>76</v>
      </c>
      <c r="C38" s="1009">
        <v>76</v>
      </c>
      <c r="D38" s="1010">
        <v>76</v>
      </c>
      <c r="E38" s="1011">
        <v>66</v>
      </c>
      <c r="F38" s="1020">
        <v>0</v>
      </c>
      <c r="G38" s="1021">
        <v>0</v>
      </c>
      <c r="H38" s="1021">
        <v>0</v>
      </c>
      <c r="I38" s="1018">
        <v>66</v>
      </c>
      <c r="J38" s="1018">
        <v>66</v>
      </c>
      <c r="K38" s="1018">
        <v>76</v>
      </c>
      <c r="L38" s="61">
        <v>0</v>
      </c>
      <c r="M38" s="61">
        <v>0</v>
      </c>
      <c r="N38" s="61">
        <v>0</v>
      </c>
      <c r="O38" s="61">
        <v>0</v>
      </c>
      <c r="Q38" s="59" t="s">
        <v>2982</v>
      </c>
      <c r="R38" s="1012">
        <v>40</v>
      </c>
      <c r="S38" s="1009">
        <v>0</v>
      </c>
      <c r="T38" s="1010">
        <v>40</v>
      </c>
      <c r="U38" s="1011">
        <v>0</v>
      </c>
      <c r="V38" s="1020">
        <v>0</v>
      </c>
      <c r="W38" s="1021">
        <v>0</v>
      </c>
      <c r="X38" s="1021">
        <v>0</v>
      </c>
      <c r="Y38" s="1018">
        <v>0</v>
      </c>
      <c r="Z38" s="1028">
        <v>0</v>
      </c>
      <c r="AA38" s="1028">
        <v>0</v>
      </c>
      <c r="AB38" s="61">
        <v>0</v>
      </c>
      <c r="AC38" s="61">
        <v>0</v>
      </c>
      <c r="AD38" s="1029">
        <v>0</v>
      </c>
      <c r="AE38" s="61">
        <v>0</v>
      </c>
    </row>
    <row r="39" spans="1:31">
      <c r="A39" s="59" t="s">
        <v>289</v>
      </c>
      <c r="B39" s="1012">
        <v>2199</v>
      </c>
      <c r="C39" s="1009">
        <v>500</v>
      </c>
      <c r="D39" s="1010">
        <v>0</v>
      </c>
      <c r="E39" s="1011">
        <v>440</v>
      </c>
      <c r="F39" s="1020">
        <v>0</v>
      </c>
      <c r="G39" s="1021">
        <v>0</v>
      </c>
      <c r="H39" s="1021">
        <v>0</v>
      </c>
      <c r="I39" s="1018">
        <v>440</v>
      </c>
      <c r="J39" s="1018">
        <v>0</v>
      </c>
      <c r="K39" s="1018">
        <v>300</v>
      </c>
      <c r="L39" s="61">
        <v>0</v>
      </c>
      <c r="M39" s="61">
        <v>0</v>
      </c>
      <c r="N39" s="61">
        <v>0</v>
      </c>
      <c r="O39" s="61">
        <v>0</v>
      </c>
      <c r="Q39" s="59" t="s">
        <v>2983</v>
      </c>
      <c r="R39" s="1012">
        <v>28</v>
      </c>
      <c r="S39" s="1009">
        <v>0</v>
      </c>
      <c r="T39" s="1010">
        <v>28</v>
      </c>
      <c r="U39" s="1011">
        <v>0</v>
      </c>
      <c r="V39" s="1020">
        <v>0</v>
      </c>
      <c r="W39" s="1021">
        <v>0</v>
      </c>
      <c r="X39" s="1021">
        <v>0</v>
      </c>
      <c r="Y39" s="1018">
        <v>0</v>
      </c>
      <c r="Z39" s="1028">
        <v>0</v>
      </c>
      <c r="AA39" s="1028">
        <v>0</v>
      </c>
      <c r="AB39" s="61">
        <v>0</v>
      </c>
      <c r="AC39" s="61">
        <v>0</v>
      </c>
      <c r="AD39" s="1029">
        <v>0</v>
      </c>
      <c r="AE39" s="61">
        <v>0</v>
      </c>
    </row>
    <row r="40" spans="1:31">
      <c r="A40" s="59" t="s">
        <v>294</v>
      </c>
      <c r="B40" s="1012">
        <v>2691</v>
      </c>
      <c r="C40" s="1009">
        <v>1850</v>
      </c>
      <c r="D40" s="1010">
        <v>2691</v>
      </c>
      <c r="E40" s="1011">
        <v>2691</v>
      </c>
      <c r="F40" s="1020">
        <v>0</v>
      </c>
      <c r="G40" s="1021">
        <v>1000</v>
      </c>
      <c r="H40" s="1021">
        <v>100</v>
      </c>
      <c r="I40" s="1018">
        <v>620</v>
      </c>
      <c r="J40" s="1018">
        <v>2691</v>
      </c>
      <c r="K40" s="1018">
        <v>700</v>
      </c>
      <c r="L40" s="61">
        <v>1000</v>
      </c>
      <c r="M40" s="61">
        <v>0</v>
      </c>
      <c r="N40" s="61">
        <v>0</v>
      </c>
      <c r="O40" s="61">
        <v>100</v>
      </c>
      <c r="Q40" s="59" t="s">
        <v>2984</v>
      </c>
      <c r="R40" s="1012">
        <v>31</v>
      </c>
      <c r="S40" s="1009">
        <v>0</v>
      </c>
      <c r="T40" s="1010">
        <v>31</v>
      </c>
      <c r="U40" s="1011">
        <v>0</v>
      </c>
      <c r="V40" s="1020">
        <v>0</v>
      </c>
      <c r="W40" s="1021">
        <v>0</v>
      </c>
      <c r="X40" s="1021">
        <v>0</v>
      </c>
      <c r="Y40" s="1018">
        <v>0</v>
      </c>
      <c r="Z40" s="1028">
        <v>0</v>
      </c>
      <c r="AA40" s="1028">
        <v>0</v>
      </c>
      <c r="AB40" s="61">
        <v>0</v>
      </c>
      <c r="AC40" s="61">
        <v>0</v>
      </c>
      <c r="AD40" s="1029">
        <v>0</v>
      </c>
      <c r="AE40" s="61">
        <v>0</v>
      </c>
    </row>
    <row r="41" spans="1:31">
      <c r="A41" s="59" t="s">
        <v>243</v>
      </c>
      <c r="B41" s="1012">
        <v>633</v>
      </c>
      <c r="C41" s="1009">
        <v>633</v>
      </c>
      <c r="D41" s="1010">
        <v>607</v>
      </c>
      <c r="E41" s="1011">
        <v>633</v>
      </c>
      <c r="F41" s="1020">
        <v>0</v>
      </c>
      <c r="G41" s="1021">
        <v>50</v>
      </c>
      <c r="H41" s="1021">
        <v>0</v>
      </c>
      <c r="I41" s="1018">
        <v>633</v>
      </c>
      <c r="J41" s="1018">
        <v>500</v>
      </c>
      <c r="K41" s="1018">
        <v>633</v>
      </c>
      <c r="L41" s="61">
        <v>0</v>
      </c>
      <c r="M41" s="61">
        <v>0</v>
      </c>
      <c r="N41" s="61">
        <v>50</v>
      </c>
      <c r="O41" s="61">
        <v>0</v>
      </c>
      <c r="Q41" s="59" t="s">
        <v>2985</v>
      </c>
      <c r="R41" s="1012">
        <v>179</v>
      </c>
      <c r="S41" s="1009">
        <v>179</v>
      </c>
      <c r="T41" s="1010">
        <v>179</v>
      </c>
      <c r="U41" s="1011">
        <v>0</v>
      </c>
      <c r="V41" s="1020">
        <v>0</v>
      </c>
      <c r="W41" s="1021">
        <v>0</v>
      </c>
      <c r="X41" s="1021">
        <v>0</v>
      </c>
      <c r="Y41" s="1018">
        <v>0</v>
      </c>
      <c r="Z41" s="1028">
        <v>0</v>
      </c>
      <c r="AA41" s="1028">
        <v>179</v>
      </c>
      <c r="AB41" s="61">
        <v>0</v>
      </c>
      <c r="AC41" s="61">
        <v>0</v>
      </c>
      <c r="AD41" s="1029">
        <v>0</v>
      </c>
      <c r="AE41" s="61">
        <v>0</v>
      </c>
    </row>
    <row r="42" spans="1:31">
      <c r="A42" s="59" t="s">
        <v>163</v>
      </c>
      <c r="B42" s="1012">
        <v>718</v>
      </c>
      <c r="C42" s="1009">
        <v>718</v>
      </c>
      <c r="D42" s="1010">
        <v>160</v>
      </c>
      <c r="E42" s="1011">
        <v>680</v>
      </c>
      <c r="F42" s="1020">
        <v>0</v>
      </c>
      <c r="G42" s="1021">
        <v>0</v>
      </c>
      <c r="H42" s="1021">
        <v>0</v>
      </c>
      <c r="I42" s="1018">
        <v>440</v>
      </c>
      <c r="J42" s="1018">
        <v>680</v>
      </c>
      <c r="K42" s="1018">
        <v>300</v>
      </c>
      <c r="L42" s="61">
        <v>0</v>
      </c>
      <c r="M42" s="61">
        <v>0</v>
      </c>
      <c r="N42" s="61">
        <v>0</v>
      </c>
      <c r="O42" s="61">
        <v>0</v>
      </c>
      <c r="Q42" s="59" t="s">
        <v>2986</v>
      </c>
      <c r="R42" s="1012">
        <v>26</v>
      </c>
      <c r="S42" s="1009">
        <v>26</v>
      </c>
      <c r="T42" s="1010">
        <v>26</v>
      </c>
      <c r="U42" s="1011">
        <v>0</v>
      </c>
      <c r="V42" s="1020">
        <v>0</v>
      </c>
      <c r="W42" s="1021">
        <v>0</v>
      </c>
      <c r="X42" s="1021">
        <v>0</v>
      </c>
      <c r="Y42" s="1018">
        <v>0</v>
      </c>
      <c r="Z42" s="1028">
        <v>0</v>
      </c>
      <c r="AA42" s="1028">
        <v>26</v>
      </c>
      <c r="AB42" s="61">
        <v>0</v>
      </c>
      <c r="AC42" s="61">
        <v>0</v>
      </c>
      <c r="AD42" s="1029">
        <v>0</v>
      </c>
      <c r="AE42" s="61">
        <v>0</v>
      </c>
    </row>
    <row r="43" spans="1:31">
      <c r="A43" s="59" t="s">
        <v>164</v>
      </c>
      <c r="B43" s="1012">
        <v>697</v>
      </c>
      <c r="C43" s="1009">
        <v>697</v>
      </c>
      <c r="D43" s="1010">
        <v>640</v>
      </c>
      <c r="E43" s="1011">
        <v>676</v>
      </c>
      <c r="F43" s="1020">
        <v>0</v>
      </c>
      <c r="G43" s="1021">
        <v>0</v>
      </c>
      <c r="H43" s="1021">
        <v>0</v>
      </c>
      <c r="I43" s="1018">
        <v>50</v>
      </c>
      <c r="J43" s="1018">
        <v>676</v>
      </c>
      <c r="K43" s="1018">
        <v>300</v>
      </c>
      <c r="L43" s="61">
        <v>0</v>
      </c>
      <c r="M43" s="61">
        <v>0</v>
      </c>
      <c r="N43" s="61">
        <v>0</v>
      </c>
      <c r="O43" s="61">
        <v>0</v>
      </c>
      <c r="Q43" s="59" t="s">
        <v>2987</v>
      </c>
      <c r="R43" s="1012">
        <v>155</v>
      </c>
      <c r="S43" s="1009">
        <v>0</v>
      </c>
      <c r="T43" s="1010">
        <v>0</v>
      </c>
      <c r="U43" s="1011">
        <v>0</v>
      </c>
      <c r="V43" s="1020">
        <v>0</v>
      </c>
      <c r="W43" s="1021">
        <v>0</v>
      </c>
      <c r="X43" s="1021">
        <v>0</v>
      </c>
      <c r="Y43" s="1018">
        <v>0</v>
      </c>
      <c r="Z43" s="1028">
        <v>0</v>
      </c>
      <c r="AA43" s="1028">
        <v>0</v>
      </c>
      <c r="AB43" s="61">
        <v>0</v>
      </c>
      <c r="AC43" s="61">
        <v>0</v>
      </c>
      <c r="AD43" s="1029">
        <v>0</v>
      </c>
      <c r="AE43" s="61">
        <v>0</v>
      </c>
    </row>
    <row r="44" spans="1:31">
      <c r="A44" s="59" t="s">
        <v>247</v>
      </c>
      <c r="B44" s="1012">
        <v>885</v>
      </c>
      <c r="C44" s="1009">
        <v>885</v>
      </c>
      <c r="D44" s="1010">
        <v>885</v>
      </c>
      <c r="E44" s="1011">
        <v>885</v>
      </c>
      <c r="F44" s="1020">
        <v>204</v>
      </c>
      <c r="G44" s="1021">
        <v>885</v>
      </c>
      <c r="H44" s="1021">
        <v>1550</v>
      </c>
      <c r="I44" s="1018">
        <v>455</v>
      </c>
      <c r="J44" s="1018">
        <v>885</v>
      </c>
      <c r="K44" s="1018">
        <v>800</v>
      </c>
      <c r="L44" s="61">
        <v>885</v>
      </c>
      <c r="M44" s="61">
        <v>0</v>
      </c>
      <c r="N44" s="61">
        <v>270</v>
      </c>
      <c r="O44" s="61">
        <v>1550</v>
      </c>
      <c r="Q44" s="59" t="s">
        <v>2953</v>
      </c>
      <c r="R44" s="1012">
        <v>292</v>
      </c>
      <c r="S44" s="1009">
        <v>292</v>
      </c>
      <c r="T44" s="1010">
        <v>275</v>
      </c>
      <c r="U44" s="1011">
        <v>292</v>
      </c>
      <c r="V44" s="1020">
        <v>0</v>
      </c>
      <c r="W44" s="1021">
        <v>0</v>
      </c>
      <c r="X44" s="1021">
        <v>0</v>
      </c>
      <c r="Y44" s="1018">
        <v>30</v>
      </c>
      <c r="Z44" s="1028">
        <v>292</v>
      </c>
      <c r="AA44" s="1028">
        <v>200</v>
      </c>
      <c r="AB44" s="61">
        <v>0</v>
      </c>
      <c r="AC44" s="61">
        <v>0</v>
      </c>
      <c r="AD44" s="1029">
        <v>0</v>
      </c>
      <c r="AE44" s="61">
        <v>0</v>
      </c>
    </row>
    <row r="45" spans="1:31">
      <c r="A45" s="59" t="s">
        <v>255</v>
      </c>
      <c r="B45" s="1012">
        <v>103</v>
      </c>
      <c r="C45" s="1009">
        <v>103</v>
      </c>
      <c r="D45" s="1010">
        <v>103</v>
      </c>
      <c r="E45" s="1011">
        <v>103</v>
      </c>
      <c r="F45" s="1020">
        <v>0</v>
      </c>
      <c r="G45" s="1021">
        <v>100</v>
      </c>
      <c r="H45" s="1021">
        <v>0</v>
      </c>
      <c r="I45" s="1018">
        <v>103</v>
      </c>
      <c r="J45" s="1018">
        <v>100</v>
      </c>
      <c r="K45" s="1018">
        <v>103</v>
      </c>
      <c r="L45" s="61">
        <v>100</v>
      </c>
      <c r="M45" s="61">
        <v>0</v>
      </c>
      <c r="N45" s="61">
        <v>0</v>
      </c>
      <c r="O45" s="61">
        <v>0</v>
      </c>
      <c r="Q45" s="59" t="s">
        <v>2954</v>
      </c>
      <c r="R45" s="1012">
        <v>77</v>
      </c>
      <c r="S45" s="1009">
        <v>77</v>
      </c>
      <c r="T45" s="1010">
        <v>20</v>
      </c>
      <c r="U45" s="1011">
        <v>77</v>
      </c>
      <c r="V45" s="1020">
        <v>0</v>
      </c>
      <c r="W45" s="1021">
        <v>0</v>
      </c>
      <c r="X45" s="1021">
        <v>0</v>
      </c>
      <c r="Y45" s="1018">
        <v>77</v>
      </c>
      <c r="Z45" s="1028">
        <v>0</v>
      </c>
      <c r="AA45" s="1028">
        <v>77</v>
      </c>
      <c r="AB45" s="61">
        <v>0</v>
      </c>
      <c r="AC45" s="61">
        <v>0</v>
      </c>
      <c r="AD45" s="1029">
        <v>0</v>
      </c>
      <c r="AE45" s="61">
        <v>0</v>
      </c>
    </row>
    <row r="46" spans="1:31">
      <c r="A46" s="59" t="s">
        <v>256</v>
      </c>
      <c r="B46" s="1012">
        <v>56</v>
      </c>
      <c r="C46" s="1009">
        <v>56</v>
      </c>
      <c r="D46" s="1010">
        <v>56</v>
      </c>
      <c r="E46" s="1011">
        <v>56</v>
      </c>
      <c r="F46" s="1020">
        <v>0</v>
      </c>
      <c r="G46" s="1021">
        <v>0</v>
      </c>
      <c r="H46" s="1021">
        <v>0</v>
      </c>
      <c r="I46" s="1018">
        <v>56</v>
      </c>
      <c r="J46" s="1018">
        <v>56</v>
      </c>
      <c r="K46" s="1018">
        <v>56</v>
      </c>
      <c r="L46" s="61">
        <v>0</v>
      </c>
      <c r="M46" s="61">
        <v>0</v>
      </c>
      <c r="N46" s="61">
        <v>0</v>
      </c>
      <c r="O46" s="61">
        <v>0</v>
      </c>
    </row>
    <row r="47" spans="1:31">
      <c r="A47" s="59" t="s">
        <v>200</v>
      </c>
      <c r="B47" s="1012">
        <v>768</v>
      </c>
      <c r="C47" s="1009">
        <v>768</v>
      </c>
      <c r="D47" s="1010">
        <v>460</v>
      </c>
      <c r="E47" s="1011">
        <v>440</v>
      </c>
      <c r="F47" s="1020">
        <v>30</v>
      </c>
      <c r="G47" s="1021">
        <v>0</v>
      </c>
      <c r="H47" s="1021">
        <v>0</v>
      </c>
      <c r="I47" s="1018">
        <v>440</v>
      </c>
      <c r="J47" s="1018">
        <v>0</v>
      </c>
      <c r="K47" s="1018">
        <v>600</v>
      </c>
      <c r="L47" s="61">
        <v>0</v>
      </c>
      <c r="M47" s="61">
        <v>0</v>
      </c>
      <c r="N47" s="61">
        <v>0</v>
      </c>
      <c r="O47" s="61">
        <v>0</v>
      </c>
    </row>
    <row r="48" spans="1:31">
      <c r="A48" s="59" t="s">
        <v>281</v>
      </c>
      <c r="B48" s="1012">
        <v>239</v>
      </c>
      <c r="C48" s="1009">
        <v>239</v>
      </c>
      <c r="D48" s="1010">
        <v>182</v>
      </c>
      <c r="E48" s="1011">
        <v>239</v>
      </c>
      <c r="F48" s="1020">
        <v>10</v>
      </c>
      <c r="G48" s="1021">
        <v>0</v>
      </c>
      <c r="H48" s="1021">
        <v>0</v>
      </c>
      <c r="I48" s="1018">
        <v>239</v>
      </c>
      <c r="J48" s="1018">
        <v>239</v>
      </c>
      <c r="K48" s="1018">
        <v>239</v>
      </c>
      <c r="L48" s="61">
        <v>0</v>
      </c>
      <c r="M48" s="61">
        <v>0</v>
      </c>
      <c r="N48" s="61">
        <v>0</v>
      </c>
      <c r="O48" s="61">
        <v>0</v>
      </c>
    </row>
    <row r="49" spans="1:15">
      <c r="A49" s="59" t="s">
        <v>282</v>
      </c>
      <c r="B49" s="1012">
        <v>426</v>
      </c>
      <c r="C49" s="1009">
        <v>426</v>
      </c>
      <c r="D49" s="1010">
        <v>126</v>
      </c>
      <c r="E49" s="1011">
        <v>426</v>
      </c>
      <c r="F49" s="1020">
        <v>8</v>
      </c>
      <c r="G49" s="1021">
        <v>0</v>
      </c>
      <c r="H49" s="1021">
        <v>0</v>
      </c>
      <c r="I49" s="1018">
        <v>426</v>
      </c>
      <c r="J49" s="1018">
        <v>426</v>
      </c>
      <c r="K49" s="1018">
        <v>300</v>
      </c>
      <c r="L49" s="61">
        <v>0</v>
      </c>
      <c r="M49" s="61">
        <v>0</v>
      </c>
      <c r="N49" s="61">
        <v>0</v>
      </c>
      <c r="O49" s="61">
        <v>0</v>
      </c>
    </row>
    <row r="50" spans="1:15">
      <c r="A50" s="59" t="s">
        <v>283</v>
      </c>
      <c r="B50" s="1012">
        <v>1322</v>
      </c>
      <c r="C50" s="1009">
        <v>1322</v>
      </c>
      <c r="D50" s="1010">
        <v>943</v>
      </c>
      <c r="E50" s="1011">
        <v>1322</v>
      </c>
      <c r="F50" s="1020">
        <v>52</v>
      </c>
      <c r="G50" s="1021">
        <v>0</v>
      </c>
      <c r="H50" s="1021">
        <v>0</v>
      </c>
      <c r="I50" s="1018">
        <v>1322</v>
      </c>
      <c r="J50" s="1018">
        <v>1322</v>
      </c>
      <c r="K50" s="1018">
        <v>1322</v>
      </c>
      <c r="L50" s="61">
        <v>0</v>
      </c>
      <c r="M50" s="61">
        <v>0</v>
      </c>
      <c r="N50" s="61">
        <v>0</v>
      </c>
      <c r="O50" s="61">
        <v>0</v>
      </c>
    </row>
    <row r="51" spans="1:15">
      <c r="A51" s="59" t="s">
        <v>1591</v>
      </c>
      <c r="B51" s="1012">
        <v>467</v>
      </c>
      <c r="C51" s="1009">
        <v>400</v>
      </c>
      <c r="D51" s="1010">
        <v>300</v>
      </c>
      <c r="E51" s="1011">
        <v>467</v>
      </c>
      <c r="F51" s="1020">
        <v>0</v>
      </c>
      <c r="G51" s="1021">
        <v>0</v>
      </c>
      <c r="H51" s="1021">
        <v>0</v>
      </c>
      <c r="I51" s="1018">
        <v>467</v>
      </c>
      <c r="J51" s="1018">
        <v>467</v>
      </c>
      <c r="K51" s="1018">
        <v>100</v>
      </c>
      <c r="L51" s="61">
        <v>0</v>
      </c>
      <c r="M51" s="61">
        <v>0</v>
      </c>
      <c r="N51" s="61">
        <v>0</v>
      </c>
      <c r="O51" s="61">
        <v>0</v>
      </c>
    </row>
    <row r="52" spans="1:15">
      <c r="A52" s="59" t="s">
        <v>174</v>
      </c>
      <c r="B52" s="1012">
        <v>289</v>
      </c>
      <c r="C52" s="1009">
        <v>289</v>
      </c>
      <c r="D52" s="1010">
        <v>240</v>
      </c>
      <c r="E52" s="1011">
        <v>289</v>
      </c>
      <c r="F52" s="1020">
        <v>0</v>
      </c>
      <c r="G52" s="1021">
        <v>0</v>
      </c>
      <c r="H52" s="1021">
        <v>0</v>
      </c>
      <c r="I52" s="1018">
        <v>205</v>
      </c>
      <c r="J52" s="1018">
        <v>289</v>
      </c>
      <c r="K52" s="1018">
        <v>100</v>
      </c>
      <c r="L52" s="61">
        <v>0</v>
      </c>
      <c r="M52" s="61">
        <v>0</v>
      </c>
      <c r="N52" s="61">
        <v>0</v>
      </c>
      <c r="O52" s="61">
        <v>0</v>
      </c>
    </row>
    <row r="53" spans="1:15">
      <c r="A53" s="59" t="s">
        <v>288</v>
      </c>
      <c r="B53" s="1012"/>
      <c r="C53" s="1009">
        <v>0</v>
      </c>
      <c r="D53" s="1010">
        <v>0</v>
      </c>
      <c r="E53" s="1011">
        <v>0</v>
      </c>
      <c r="F53" s="1020">
        <v>0</v>
      </c>
      <c r="G53" s="1021">
        <v>0</v>
      </c>
      <c r="H53" s="1021">
        <v>0</v>
      </c>
      <c r="I53" s="1018">
        <v>0</v>
      </c>
      <c r="J53" s="1018">
        <v>0</v>
      </c>
      <c r="K53" s="1018">
        <v>0</v>
      </c>
      <c r="L53" s="61">
        <v>0</v>
      </c>
      <c r="M53" s="61">
        <v>0</v>
      </c>
      <c r="N53" s="61">
        <v>0</v>
      </c>
      <c r="O53" s="61">
        <v>0</v>
      </c>
    </row>
    <row r="54" spans="1:15">
      <c r="A54" s="59" t="s">
        <v>1613</v>
      </c>
      <c r="B54" s="1012">
        <v>78</v>
      </c>
      <c r="C54" s="1009">
        <v>78</v>
      </c>
      <c r="D54" s="1010">
        <v>60</v>
      </c>
      <c r="E54" s="1011">
        <v>78</v>
      </c>
      <c r="F54" s="1020">
        <v>0</v>
      </c>
      <c r="G54" s="1021">
        <v>0</v>
      </c>
      <c r="H54" s="1021">
        <v>0</v>
      </c>
      <c r="I54" s="1018">
        <v>30</v>
      </c>
      <c r="J54" s="1018">
        <v>78</v>
      </c>
      <c r="K54" s="1018">
        <v>78</v>
      </c>
      <c r="L54" s="61">
        <v>0</v>
      </c>
      <c r="M54" s="61">
        <v>0</v>
      </c>
      <c r="N54" s="61">
        <v>0</v>
      </c>
      <c r="O54" s="61">
        <v>0</v>
      </c>
    </row>
    <row r="55" spans="1:15">
      <c r="A55" s="59" t="s">
        <v>176</v>
      </c>
      <c r="B55" s="1012">
        <v>238</v>
      </c>
      <c r="C55" s="1009">
        <v>238</v>
      </c>
      <c r="D55" s="1010">
        <v>120</v>
      </c>
      <c r="E55" s="1011">
        <v>238</v>
      </c>
      <c r="F55" s="1020">
        <v>0</v>
      </c>
      <c r="G55" s="1021">
        <v>0</v>
      </c>
      <c r="H55" s="1021">
        <v>0</v>
      </c>
      <c r="I55" s="1018">
        <v>159</v>
      </c>
      <c r="J55" s="1018">
        <v>238</v>
      </c>
      <c r="K55" s="1018">
        <v>238</v>
      </c>
      <c r="L55" s="61">
        <v>0</v>
      </c>
      <c r="M55" s="61">
        <v>0</v>
      </c>
      <c r="N55" s="61">
        <v>0</v>
      </c>
      <c r="O55" s="61">
        <v>0</v>
      </c>
    </row>
    <row r="56" spans="1:15">
      <c r="A56" s="59" t="s">
        <v>177</v>
      </c>
      <c r="B56" s="1012">
        <v>1736</v>
      </c>
      <c r="C56" s="1009">
        <v>400</v>
      </c>
      <c r="D56" s="1010">
        <v>1736</v>
      </c>
      <c r="E56" s="1011">
        <v>1736</v>
      </c>
      <c r="F56" s="1020">
        <v>0</v>
      </c>
      <c r="G56" s="1021">
        <v>0</v>
      </c>
      <c r="H56" s="1021">
        <v>0</v>
      </c>
      <c r="I56" s="1018">
        <v>50</v>
      </c>
      <c r="J56" s="1018">
        <v>1736</v>
      </c>
      <c r="K56" s="1018">
        <v>1469</v>
      </c>
      <c r="L56" s="61">
        <v>0</v>
      </c>
      <c r="M56" s="61">
        <v>0</v>
      </c>
      <c r="N56" s="61">
        <v>0</v>
      </c>
      <c r="O56" s="61">
        <v>0</v>
      </c>
    </row>
    <row r="57" spans="1:15">
      <c r="A57" s="59" t="s">
        <v>269</v>
      </c>
      <c r="B57" s="1012">
        <v>2166</v>
      </c>
      <c r="C57" s="1009">
        <v>1200</v>
      </c>
      <c r="D57" s="1010">
        <v>760</v>
      </c>
      <c r="E57" s="1011">
        <v>1780</v>
      </c>
      <c r="F57" s="1020">
        <v>0</v>
      </c>
      <c r="G57" s="1021">
        <v>906</v>
      </c>
      <c r="H57" s="1021">
        <v>900</v>
      </c>
      <c r="I57" s="1018">
        <v>1780</v>
      </c>
      <c r="J57" s="1018">
        <v>1000</v>
      </c>
      <c r="K57" s="1018">
        <v>1300</v>
      </c>
      <c r="L57" s="61">
        <v>906</v>
      </c>
      <c r="M57" s="61">
        <v>0</v>
      </c>
      <c r="N57" s="61">
        <v>275</v>
      </c>
      <c r="O57" s="61">
        <v>900</v>
      </c>
    </row>
    <row r="58" spans="1:15">
      <c r="A58" s="59" t="s">
        <v>237</v>
      </c>
      <c r="B58" s="1012">
        <v>1776</v>
      </c>
      <c r="C58" s="1009">
        <v>1776</v>
      </c>
      <c r="D58" s="1010">
        <v>1776</v>
      </c>
      <c r="E58" s="1011">
        <v>1494</v>
      </c>
      <c r="F58" s="1020">
        <v>0</v>
      </c>
      <c r="G58" s="1021">
        <v>0</v>
      </c>
      <c r="H58" s="1021">
        <v>0</v>
      </c>
      <c r="I58" s="1018">
        <v>1494</v>
      </c>
      <c r="J58" s="1018">
        <v>1000</v>
      </c>
      <c r="K58" s="1018">
        <v>100</v>
      </c>
      <c r="L58" s="61">
        <v>0</v>
      </c>
      <c r="M58" s="61">
        <v>0</v>
      </c>
      <c r="N58" s="61">
        <v>0</v>
      </c>
      <c r="O58" s="61">
        <v>0</v>
      </c>
    </row>
    <row r="59" spans="1:15">
      <c r="A59" s="59" t="s">
        <v>178</v>
      </c>
      <c r="B59" s="1012">
        <v>2920</v>
      </c>
      <c r="C59" s="1009">
        <v>2920</v>
      </c>
      <c r="D59" s="1010">
        <v>2600</v>
      </c>
      <c r="E59" s="1011">
        <v>2920</v>
      </c>
      <c r="F59" s="1020">
        <v>0</v>
      </c>
      <c r="G59" s="1021">
        <v>0</v>
      </c>
      <c r="H59" s="1021">
        <v>0</v>
      </c>
      <c r="I59" s="1018">
        <v>520</v>
      </c>
      <c r="J59" s="1018">
        <v>2920</v>
      </c>
      <c r="K59" s="1018">
        <v>700</v>
      </c>
      <c r="L59" s="61">
        <v>0</v>
      </c>
      <c r="M59" s="61">
        <v>0</v>
      </c>
      <c r="N59" s="61">
        <v>0</v>
      </c>
      <c r="O59" s="61">
        <v>0</v>
      </c>
    </row>
    <row r="60" spans="1:15">
      <c r="A60" s="59" t="s">
        <v>179</v>
      </c>
      <c r="B60" s="1012">
        <v>283</v>
      </c>
      <c r="C60" s="1009">
        <v>283</v>
      </c>
      <c r="D60" s="1010">
        <v>200</v>
      </c>
      <c r="E60" s="1011">
        <v>283</v>
      </c>
      <c r="F60" s="1020">
        <v>0</v>
      </c>
      <c r="G60" s="1021">
        <v>0</v>
      </c>
      <c r="H60" s="1021">
        <v>0</v>
      </c>
      <c r="I60" s="1018">
        <v>191</v>
      </c>
      <c r="J60" s="1018">
        <v>283</v>
      </c>
      <c r="K60" s="1018">
        <v>283</v>
      </c>
      <c r="L60" s="61">
        <v>0</v>
      </c>
      <c r="M60" s="61">
        <v>0</v>
      </c>
      <c r="N60" s="61">
        <v>0</v>
      </c>
      <c r="O60" s="61">
        <v>0</v>
      </c>
    </row>
    <row r="61" spans="1:15">
      <c r="A61" s="59" t="s">
        <v>183</v>
      </c>
      <c r="B61" s="1012">
        <v>1772</v>
      </c>
      <c r="C61" s="1009">
        <v>1599</v>
      </c>
      <c r="D61" s="1010">
        <v>1772</v>
      </c>
      <c r="E61" s="1011">
        <v>1772</v>
      </c>
      <c r="F61" s="1020">
        <v>17</v>
      </c>
      <c r="G61" s="1021">
        <v>1500</v>
      </c>
      <c r="H61" s="1021">
        <v>0</v>
      </c>
      <c r="I61" s="1018">
        <v>1759</v>
      </c>
      <c r="J61" s="1018">
        <v>1772</v>
      </c>
      <c r="K61" s="1018">
        <v>1772</v>
      </c>
      <c r="L61" s="61">
        <v>1500</v>
      </c>
      <c r="M61" s="61">
        <v>0</v>
      </c>
      <c r="N61" s="61">
        <v>200</v>
      </c>
      <c r="O61" s="61">
        <v>0</v>
      </c>
    </row>
    <row r="62" spans="1:15">
      <c r="A62" s="59" t="s">
        <v>39</v>
      </c>
      <c r="B62" s="1012">
        <v>694</v>
      </c>
      <c r="C62" s="1009">
        <v>694</v>
      </c>
      <c r="D62" s="1010">
        <v>694</v>
      </c>
      <c r="E62" s="1011">
        <v>694</v>
      </c>
      <c r="F62" s="1020">
        <v>0</v>
      </c>
      <c r="G62" s="1021">
        <v>0</v>
      </c>
      <c r="H62" s="1021">
        <v>0</v>
      </c>
      <c r="I62" s="1018">
        <v>694</v>
      </c>
      <c r="J62" s="1018">
        <v>694</v>
      </c>
      <c r="K62" s="1018">
        <v>694</v>
      </c>
      <c r="L62" s="61">
        <v>0</v>
      </c>
      <c r="M62" s="61">
        <v>0</v>
      </c>
      <c r="N62" s="61">
        <v>0</v>
      </c>
      <c r="O62" s="61">
        <v>0</v>
      </c>
    </row>
    <row r="63" spans="1:15">
      <c r="A63" s="59" t="s">
        <v>165</v>
      </c>
      <c r="B63" s="1012">
        <v>327</v>
      </c>
      <c r="C63" s="1009">
        <v>327</v>
      </c>
      <c r="D63" s="1010">
        <v>140</v>
      </c>
      <c r="E63" s="1011">
        <v>290</v>
      </c>
      <c r="F63" s="1020">
        <v>0</v>
      </c>
      <c r="G63" s="1021">
        <v>0</v>
      </c>
      <c r="H63" s="1021">
        <v>0</v>
      </c>
      <c r="I63" s="1018">
        <v>290</v>
      </c>
      <c r="J63" s="1018">
        <v>290</v>
      </c>
      <c r="K63" s="1018">
        <v>300</v>
      </c>
      <c r="L63" s="61">
        <v>0</v>
      </c>
      <c r="M63" s="61">
        <v>0</v>
      </c>
      <c r="N63" s="61">
        <v>0</v>
      </c>
      <c r="O63" s="61">
        <v>0</v>
      </c>
    </row>
    <row r="64" spans="1:15">
      <c r="A64" s="59" t="s">
        <v>210</v>
      </c>
      <c r="B64" s="1012">
        <v>741</v>
      </c>
      <c r="C64" s="1009">
        <v>741</v>
      </c>
      <c r="D64" s="1010">
        <v>741</v>
      </c>
      <c r="E64" s="1011">
        <v>500</v>
      </c>
      <c r="F64" s="1020">
        <v>57</v>
      </c>
      <c r="G64" s="1021">
        <v>0</v>
      </c>
      <c r="H64" s="1021">
        <v>0</v>
      </c>
      <c r="I64" s="1018">
        <v>30</v>
      </c>
      <c r="J64" s="1018">
        <v>500</v>
      </c>
      <c r="K64" s="1018">
        <v>741</v>
      </c>
      <c r="L64" s="61">
        <v>0</v>
      </c>
      <c r="M64" s="61">
        <v>0</v>
      </c>
      <c r="N64" s="61">
        <v>0</v>
      </c>
      <c r="O64" s="61">
        <v>0</v>
      </c>
    </row>
    <row r="65" spans="1:15">
      <c r="A65" s="59" t="s">
        <v>287</v>
      </c>
      <c r="B65" s="1012">
        <v>590</v>
      </c>
      <c r="C65" s="1009">
        <v>590</v>
      </c>
      <c r="D65" s="1010">
        <v>563</v>
      </c>
      <c r="E65" s="1011">
        <v>590</v>
      </c>
      <c r="F65" s="1020">
        <v>32</v>
      </c>
      <c r="G65" s="1021">
        <v>0</v>
      </c>
      <c r="H65" s="1021">
        <v>0</v>
      </c>
      <c r="I65" s="1018">
        <v>586</v>
      </c>
      <c r="J65" s="1018">
        <v>590</v>
      </c>
      <c r="K65" s="1018">
        <v>590</v>
      </c>
      <c r="L65" s="61">
        <v>0</v>
      </c>
      <c r="M65" s="61">
        <v>0</v>
      </c>
      <c r="N65" s="61">
        <v>0</v>
      </c>
      <c r="O65" s="61">
        <v>0</v>
      </c>
    </row>
    <row r="66" spans="1:15">
      <c r="A66" s="59" t="s">
        <v>166</v>
      </c>
      <c r="B66" s="1012">
        <v>622</v>
      </c>
      <c r="C66" s="1009">
        <v>622</v>
      </c>
      <c r="D66" s="1010">
        <v>622</v>
      </c>
      <c r="E66" s="1011">
        <v>547</v>
      </c>
      <c r="F66" s="1020">
        <v>0</v>
      </c>
      <c r="G66" s="1021">
        <v>0</v>
      </c>
      <c r="H66" s="1021">
        <v>0</v>
      </c>
      <c r="I66" s="1018">
        <v>50</v>
      </c>
      <c r="J66" s="1018">
        <v>547</v>
      </c>
      <c r="K66" s="1018">
        <v>300</v>
      </c>
      <c r="L66" s="61">
        <v>0</v>
      </c>
      <c r="M66" s="61">
        <v>0</v>
      </c>
      <c r="N66" s="61">
        <v>0</v>
      </c>
      <c r="O66" s="61">
        <v>0</v>
      </c>
    </row>
    <row r="67" spans="1:15">
      <c r="A67" s="59" t="s">
        <v>298</v>
      </c>
      <c r="B67" s="1012">
        <v>655</v>
      </c>
      <c r="C67" s="1009">
        <v>655</v>
      </c>
      <c r="D67" s="1010">
        <v>360</v>
      </c>
      <c r="E67" s="1011">
        <v>655</v>
      </c>
      <c r="F67" s="1020">
        <v>0</v>
      </c>
      <c r="G67" s="1021">
        <v>0</v>
      </c>
      <c r="H67" s="1021">
        <v>0</v>
      </c>
      <c r="I67" s="1018">
        <v>655</v>
      </c>
      <c r="J67" s="1018">
        <v>655</v>
      </c>
      <c r="K67" s="1018">
        <v>300</v>
      </c>
      <c r="L67" s="61">
        <v>0</v>
      </c>
      <c r="M67" s="61">
        <v>0</v>
      </c>
      <c r="N67" s="61">
        <v>0</v>
      </c>
      <c r="O67" s="61">
        <v>0</v>
      </c>
    </row>
    <row r="68" spans="1:15">
      <c r="A68" s="59" t="s">
        <v>300</v>
      </c>
      <c r="B68" s="1012">
        <v>538</v>
      </c>
      <c r="C68" s="1009">
        <v>538</v>
      </c>
      <c r="D68" s="1010">
        <v>538</v>
      </c>
      <c r="E68" s="1011">
        <v>538</v>
      </c>
      <c r="F68" s="1020">
        <v>0</v>
      </c>
      <c r="G68" s="1021">
        <v>538</v>
      </c>
      <c r="H68" s="1021">
        <v>0</v>
      </c>
      <c r="I68" s="1018">
        <v>538</v>
      </c>
      <c r="J68" s="1018">
        <v>538</v>
      </c>
      <c r="K68" s="1018">
        <v>300</v>
      </c>
      <c r="L68" s="61">
        <v>538</v>
      </c>
      <c r="M68" s="61">
        <v>0</v>
      </c>
      <c r="N68" s="61">
        <v>0</v>
      </c>
      <c r="O68" s="61">
        <v>0</v>
      </c>
    </row>
    <row r="69" spans="1:15">
      <c r="A69" s="59" t="s">
        <v>301</v>
      </c>
      <c r="B69" s="1012">
        <v>2354</v>
      </c>
      <c r="C69" s="1009">
        <v>1366.6666666666667</v>
      </c>
      <c r="D69" s="1010">
        <v>2354</v>
      </c>
      <c r="E69" s="1011">
        <v>2354</v>
      </c>
      <c r="F69" s="1020">
        <v>0</v>
      </c>
      <c r="G69" s="1021">
        <v>2354</v>
      </c>
      <c r="H69" s="1021">
        <v>0</v>
      </c>
      <c r="I69" s="1018">
        <v>2354</v>
      </c>
      <c r="J69" s="1018">
        <v>1000</v>
      </c>
      <c r="K69" s="1018">
        <v>100</v>
      </c>
      <c r="L69" s="61">
        <v>2354</v>
      </c>
      <c r="M69" s="61">
        <v>0</v>
      </c>
      <c r="N69" s="61">
        <v>0</v>
      </c>
      <c r="O69" s="61">
        <v>0</v>
      </c>
    </row>
    <row r="70" spans="1:15">
      <c r="A70" s="59" t="s">
        <v>302</v>
      </c>
      <c r="B70" s="1012">
        <v>737</v>
      </c>
      <c r="C70" s="1009">
        <v>737</v>
      </c>
      <c r="D70" s="1010">
        <v>737</v>
      </c>
      <c r="E70" s="1011">
        <v>737</v>
      </c>
      <c r="F70" s="1020">
        <v>0</v>
      </c>
      <c r="G70" s="1021">
        <v>0</v>
      </c>
      <c r="H70" s="1021">
        <v>0</v>
      </c>
      <c r="I70" s="1018">
        <v>737</v>
      </c>
      <c r="J70" s="1018">
        <v>737</v>
      </c>
      <c r="K70" s="1018">
        <v>100</v>
      </c>
      <c r="L70" s="61">
        <v>0</v>
      </c>
      <c r="M70" s="61">
        <v>0</v>
      </c>
      <c r="N70" s="61">
        <v>0</v>
      </c>
      <c r="O70" s="61">
        <v>0</v>
      </c>
    </row>
    <row r="71" spans="1:15">
      <c r="A71" s="59" t="s">
        <v>193</v>
      </c>
      <c r="B71" s="1012">
        <v>789</v>
      </c>
      <c r="C71" s="1009">
        <v>789</v>
      </c>
      <c r="D71" s="1010">
        <v>789</v>
      </c>
      <c r="E71" s="1011">
        <v>789</v>
      </c>
      <c r="F71" s="1020">
        <v>49</v>
      </c>
      <c r="G71" s="1021">
        <v>0</v>
      </c>
      <c r="H71" s="1021">
        <v>0</v>
      </c>
      <c r="I71" s="1018">
        <v>440</v>
      </c>
      <c r="J71" s="1018">
        <v>789</v>
      </c>
      <c r="K71" s="1018">
        <v>400</v>
      </c>
      <c r="L71" s="61">
        <v>0</v>
      </c>
      <c r="M71" s="61">
        <v>0</v>
      </c>
      <c r="N71" s="61">
        <v>0</v>
      </c>
      <c r="O71" s="61">
        <v>0</v>
      </c>
    </row>
    <row r="72" spans="1:15">
      <c r="A72" s="59" t="s">
        <v>263</v>
      </c>
      <c r="B72" s="1012">
        <v>90</v>
      </c>
      <c r="C72" s="1009">
        <v>90</v>
      </c>
      <c r="D72" s="1010">
        <v>84</v>
      </c>
      <c r="E72" s="1011">
        <v>90</v>
      </c>
      <c r="F72" s="1020">
        <v>2</v>
      </c>
      <c r="G72" s="1021">
        <v>0</v>
      </c>
      <c r="H72" s="1021">
        <v>0</v>
      </c>
      <c r="I72" s="1018">
        <v>90</v>
      </c>
      <c r="J72" s="1018">
        <v>90</v>
      </c>
      <c r="K72" s="1018">
        <v>90</v>
      </c>
      <c r="L72" s="61">
        <v>0</v>
      </c>
      <c r="M72" s="61">
        <v>0</v>
      </c>
      <c r="N72" s="61">
        <v>0</v>
      </c>
      <c r="O72" s="61">
        <v>0</v>
      </c>
    </row>
    <row r="73" spans="1:15">
      <c r="A73" s="59" t="s">
        <v>264</v>
      </c>
      <c r="B73" s="1012">
        <v>174</v>
      </c>
      <c r="C73" s="1009">
        <v>174</v>
      </c>
      <c r="D73" s="1010">
        <v>120</v>
      </c>
      <c r="E73" s="1011">
        <v>174</v>
      </c>
      <c r="F73" s="1020">
        <v>0</v>
      </c>
      <c r="G73" s="1021">
        <v>53</v>
      </c>
      <c r="H73" s="1021">
        <v>300</v>
      </c>
      <c r="I73" s="1018">
        <v>174</v>
      </c>
      <c r="J73" s="1018">
        <v>174</v>
      </c>
      <c r="K73" s="1018">
        <v>174</v>
      </c>
      <c r="L73" s="61">
        <v>0</v>
      </c>
      <c r="M73" s="61">
        <v>0</v>
      </c>
      <c r="N73" s="61">
        <v>53</v>
      </c>
      <c r="O73" s="61">
        <v>300</v>
      </c>
    </row>
    <row r="74" spans="1:15">
      <c r="A74" s="59" t="s">
        <v>213</v>
      </c>
      <c r="B74" s="1012">
        <v>424</v>
      </c>
      <c r="C74" s="1009">
        <v>424</v>
      </c>
      <c r="D74" s="1010">
        <v>424</v>
      </c>
      <c r="E74" s="1011">
        <v>424</v>
      </c>
      <c r="F74" s="1020">
        <v>7</v>
      </c>
      <c r="G74" s="1021">
        <v>0</v>
      </c>
      <c r="H74" s="1021">
        <v>0</v>
      </c>
      <c r="I74" s="1018">
        <v>205</v>
      </c>
      <c r="J74" s="1018">
        <v>424</v>
      </c>
      <c r="K74" s="1018">
        <v>100</v>
      </c>
      <c r="L74" s="61">
        <v>0</v>
      </c>
      <c r="M74" s="61">
        <v>0</v>
      </c>
      <c r="N74" s="61">
        <v>0</v>
      </c>
      <c r="O74" s="61">
        <v>0</v>
      </c>
    </row>
    <row r="75" spans="1:15">
      <c r="A75" s="59" t="s">
        <v>2233</v>
      </c>
      <c r="B75" s="1012">
        <v>267</v>
      </c>
      <c r="C75" s="1009">
        <v>267</v>
      </c>
      <c r="D75" s="1010">
        <v>144</v>
      </c>
      <c r="E75" s="1011">
        <v>267</v>
      </c>
      <c r="F75" s="1020">
        <v>0</v>
      </c>
      <c r="G75" s="1021">
        <v>0</v>
      </c>
      <c r="H75" s="1021">
        <v>0</v>
      </c>
      <c r="I75" s="1018">
        <v>205</v>
      </c>
      <c r="J75" s="1018">
        <v>267</v>
      </c>
      <c r="K75" s="1018">
        <v>200</v>
      </c>
      <c r="L75" s="61">
        <v>0</v>
      </c>
      <c r="M75" s="61">
        <v>0</v>
      </c>
      <c r="N75" s="61">
        <v>0</v>
      </c>
      <c r="O75" s="61">
        <v>0</v>
      </c>
    </row>
    <row r="76" spans="1:15">
      <c r="A76" s="59" t="s">
        <v>190</v>
      </c>
      <c r="B76" s="1012">
        <v>18</v>
      </c>
      <c r="C76" s="1009">
        <v>18</v>
      </c>
      <c r="D76" s="1010">
        <v>0</v>
      </c>
      <c r="E76" s="1011">
        <v>18</v>
      </c>
      <c r="F76" s="1020">
        <v>0</v>
      </c>
      <c r="G76" s="1021">
        <v>0</v>
      </c>
      <c r="H76" s="1021">
        <v>0</v>
      </c>
      <c r="I76" s="1018">
        <v>18</v>
      </c>
      <c r="J76" s="1018">
        <v>0</v>
      </c>
      <c r="K76" s="1018">
        <v>18</v>
      </c>
      <c r="L76" s="61">
        <v>0</v>
      </c>
      <c r="M76" s="61">
        <v>0</v>
      </c>
      <c r="N76" s="61">
        <v>0</v>
      </c>
      <c r="O76" s="61">
        <v>0</v>
      </c>
    </row>
    <row r="77" spans="1:15">
      <c r="A77" s="59" t="s">
        <v>258</v>
      </c>
      <c r="B77" s="1012">
        <v>24</v>
      </c>
      <c r="C77" s="1009">
        <v>24</v>
      </c>
      <c r="D77" s="1010">
        <v>24</v>
      </c>
      <c r="E77" s="1011">
        <v>24</v>
      </c>
      <c r="F77" s="1020">
        <v>0</v>
      </c>
      <c r="G77" s="1021">
        <v>24</v>
      </c>
      <c r="H77" s="1021">
        <v>150</v>
      </c>
      <c r="I77" s="1018">
        <v>24</v>
      </c>
      <c r="J77" s="1018">
        <v>24</v>
      </c>
      <c r="K77" s="1018">
        <v>24</v>
      </c>
      <c r="L77" s="61">
        <v>24</v>
      </c>
      <c r="M77" s="61">
        <v>0</v>
      </c>
      <c r="N77" s="61">
        <v>6</v>
      </c>
      <c r="O77" s="61">
        <v>150</v>
      </c>
    </row>
    <row r="78" spans="1:15">
      <c r="A78" s="59" t="s">
        <v>2624</v>
      </c>
      <c r="B78" s="1012">
        <v>36</v>
      </c>
      <c r="C78" s="1009">
        <v>36</v>
      </c>
      <c r="D78" s="1010">
        <v>36</v>
      </c>
      <c r="E78" s="1011">
        <v>36</v>
      </c>
      <c r="F78" s="1020">
        <v>0</v>
      </c>
      <c r="G78" s="1021">
        <v>0</v>
      </c>
      <c r="H78" s="1021">
        <v>0</v>
      </c>
      <c r="I78" s="1018">
        <v>36</v>
      </c>
      <c r="J78" s="1018">
        <v>36</v>
      </c>
      <c r="K78" s="1018">
        <v>36</v>
      </c>
      <c r="L78" s="61">
        <v>0</v>
      </c>
      <c r="M78" s="61">
        <v>0</v>
      </c>
      <c r="N78" s="61">
        <v>0</v>
      </c>
      <c r="O78" s="61">
        <v>0</v>
      </c>
    </row>
    <row r="79" spans="1:15">
      <c r="A79" s="59" t="s">
        <v>1612</v>
      </c>
      <c r="B79" s="1012">
        <v>611</v>
      </c>
      <c r="C79" s="1009">
        <v>611</v>
      </c>
      <c r="D79" s="1010">
        <v>400</v>
      </c>
      <c r="E79" s="1011">
        <v>611</v>
      </c>
      <c r="F79" s="1020">
        <v>0</v>
      </c>
      <c r="G79" s="1021">
        <v>0</v>
      </c>
      <c r="H79" s="1021">
        <v>0</v>
      </c>
      <c r="I79" s="1018">
        <v>474</v>
      </c>
      <c r="J79" s="1018">
        <v>611</v>
      </c>
      <c r="K79" s="1018">
        <v>474</v>
      </c>
      <c r="L79" s="61">
        <v>0</v>
      </c>
      <c r="M79" s="61">
        <v>0</v>
      </c>
      <c r="N79" s="61">
        <v>0</v>
      </c>
      <c r="O79" s="61">
        <v>0</v>
      </c>
    </row>
    <row r="80" spans="1:15">
      <c r="A80" s="59" t="s">
        <v>234</v>
      </c>
      <c r="B80" s="1012">
        <v>309</v>
      </c>
      <c r="C80" s="1009">
        <v>309</v>
      </c>
      <c r="D80" s="1010">
        <v>309</v>
      </c>
      <c r="E80" s="1011">
        <v>309</v>
      </c>
      <c r="F80" s="1020">
        <v>0</v>
      </c>
      <c r="G80" s="1021">
        <v>0</v>
      </c>
      <c r="H80" s="1021">
        <v>0</v>
      </c>
      <c r="I80" s="1018">
        <v>309</v>
      </c>
      <c r="J80" s="1018">
        <v>309</v>
      </c>
      <c r="K80" s="1018">
        <v>309</v>
      </c>
      <c r="L80" s="61">
        <v>0</v>
      </c>
      <c r="M80" s="61">
        <v>0</v>
      </c>
      <c r="N80" s="61">
        <v>0</v>
      </c>
      <c r="O80" s="61">
        <v>0</v>
      </c>
    </row>
    <row r="81" spans="1:15">
      <c r="A81" s="59" t="s">
        <v>231</v>
      </c>
      <c r="B81" s="1012">
        <v>230</v>
      </c>
      <c r="C81" s="1009">
        <v>230</v>
      </c>
      <c r="D81" s="1010">
        <v>230</v>
      </c>
      <c r="E81" s="1011">
        <v>230</v>
      </c>
      <c r="F81" s="1020">
        <v>0</v>
      </c>
      <c r="G81" s="1021">
        <v>0</v>
      </c>
      <c r="H81" s="1021">
        <v>0</v>
      </c>
      <c r="I81" s="1018">
        <v>218</v>
      </c>
      <c r="J81" s="1018">
        <v>230</v>
      </c>
      <c r="K81" s="1018">
        <v>230</v>
      </c>
      <c r="L81" s="61">
        <v>0</v>
      </c>
      <c r="M81" s="61">
        <v>0</v>
      </c>
      <c r="N81" s="61">
        <v>0</v>
      </c>
      <c r="O81" s="61">
        <v>0</v>
      </c>
    </row>
    <row r="82" spans="1:15">
      <c r="A82" s="59" t="s">
        <v>155</v>
      </c>
      <c r="B82" s="1012">
        <v>48</v>
      </c>
      <c r="C82" s="1009">
        <v>48</v>
      </c>
      <c r="D82" s="1010">
        <v>48</v>
      </c>
      <c r="E82" s="1011">
        <v>41</v>
      </c>
      <c r="F82" s="1020">
        <v>0</v>
      </c>
      <c r="G82" s="1021">
        <v>0</v>
      </c>
      <c r="H82" s="1021">
        <v>0</v>
      </c>
      <c r="I82" s="1018">
        <v>41</v>
      </c>
      <c r="J82" s="1018">
        <v>41</v>
      </c>
      <c r="K82" s="1018">
        <v>48</v>
      </c>
      <c r="L82" s="61">
        <v>0</v>
      </c>
      <c r="M82" s="61">
        <v>0</v>
      </c>
      <c r="N82" s="61">
        <v>0</v>
      </c>
      <c r="O82" s="61">
        <v>0</v>
      </c>
    </row>
    <row r="83" spans="1:15">
      <c r="A83" s="59" t="s">
        <v>270</v>
      </c>
      <c r="B83" s="1012">
        <v>85</v>
      </c>
      <c r="C83" s="1009">
        <v>85</v>
      </c>
      <c r="D83" s="1010">
        <v>80</v>
      </c>
      <c r="E83" s="1011">
        <v>85</v>
      </c>
      <c r="F83" s="1020">
        <v>0</v>
      </c>
      <c r="G83" s="1021">
        <v>0</v>
      </c>
      <c r="H83" s="1021">
        <v>0</v>
      </c>
      <c r="I83" s="1018">
        <v>85</v>
      </c>
      <c r="J83" s="1018">
        <v>85</v>
      </c>
      <c r="K83" s="1018">
        <v>85</v>
      </c>
      <c r="L83" s="61">
        <v>0</v>
      </c>
      <c r="M83" s="61">
        <v>0</v>
      </c>
      <c r="N83" s="61">
        <v>0</v>
      </c>
      <c r="O83" s="61">
        <v>0</v>
      </c>
    </row>
    <row r="84" spans="1:15">
      <c r="A84" s="59" t="s">
        <v>158</v>
      </c>
      <c r="B84" s="1012">
        <v>130</v>
      </c>
      <c r="C84" s="1009">
        <v>130</v>
      </c>
      <c r="D84" s="1010">
        <v>100</v>
      </c>
      <c r="E84" s="1011">
        <v>113</v>
      </c>
      <c r="F84" s="1020">
        <v>0</v>
      </c>
      <c r="G84" s="1021">
        <v>0</v>
      </c>
      <c r="H84" s="1021">
        <v>0</v>
      </c>
      <c r="I84" s="1018">
        <v>113</v>
      </c>
      <c r="J84" s="1018">
        <v>113</v>
      </c>
      <c r="K84" s="1018">
        <v>130</v>
      </c>
      <c r="L84" s="61">
        <v>0</v>
      </c>
      <c r="M84" s="61">
        <v>0</v>
      </c>
      <c r="N84" s="61">
        <v>0</v>
      </c>
      <c r="O84" s="61">
        <v>0</v>
      </c>
    </row>
    <row r="85" spans="1:15">
      <c r="A85" s="59" t="s">
        <v>185</v>
      </c>
      <c r="B85" s="1012">
        <v>547</v>
      </c>
      <c r="C85" s="1009">
        <v>323</v>
      </c>
      <c r="D85" s="1010">
        <v>547</v>
      </c>
      <c r="E85" s="1011">
        <v>547</v>
      </c>
      <c r="F85" s="1020">
        <v>0</v>
      </c>
      <c r="G85" s="1021">
        <v>0</v>
      </c>
      <c r="H85" s="1021">
        <v>0</v>
      </c>
      <c r="I85" s="1018">
        <v>50</v>
      </c>
      <c r="J85" s="1018">
        <v>547</v>
      </c>
      <c r="K85" s="1018">
        <v>300</v>
      </c>
      <c r="L85" s="61">
        <v>0</v>
      </c>
      <c r="M85" s="61">
        <v>0</v>
      </c>
      <c r="N85" s="61">
        <v>0</v>
      </c>
      <c r="O85" s="61">
        <v>0</v>
      </c>
    </row>
    <row r="86" spans="1:15">
      <c r="A86" s="59" t="s">
        <v>295</v>
      </c>
      <c r="B86" s="1012">
        <v>1675</v>
      </c>
      <c r="C86" s="1009">
        <v>1500</v>
      </c>
      <c r="D86" s="1010">
        <v>1675</v>
      </c>
      <c r="E86" s="1011">
        <v>1675</v>
      </c>
      <c r="F86" s="1020">
        <v>0</v>
      </c>
      <c r="G86" s="1021">
        <v>1000</v>
      </c>
      <c r="H86" s="1021">
        <v>100</v>
      </c>
      <c r="I86" s="1018">
        <v>455</v>
      </c>
      <c r="J86" s="1018">
        <v>1675</v>
      </c>
      <c r="K86" s="1018">
        <v>800</v>
      </c>
      <c r="L86" s="61">
        <v>1000</v>
      </c>
      <c r="M86" s="61">
        <v>0</v>
      </c>
      <c r="N86" s="61">
        <v>0</v>
      </c>
      <c r="O86" s="61">
        <v>100</v>
      </c>
    </row>
    <row r="87" spans="1:15">
      <c r="A87" s="59" t="s">
        <v>167</v>
      </c>
      <c r="B87" s="1012">
        <v>323</v>
      </c>
      <c r="C87" s="1009">
        <v>323</v>
      </c>
      <c r="D87" s="1010">
        <v>300</v>
      </c>
      <c r="E87" s="1011">
        <v>299</v>
      </c>
      <c r="F87" s="1020">
        <v>0</v>
      </c>
      <c r="G87" s="1021">
        <v>0</v>
      </c>
      <c r="H87" s="1021">
        <v>0</v>
      </c>
      <c r="I87" s="1018">
        <v>30</v>
      </c>
      <c r="J87" s="1018">
        <v>299</v>
      </c>
      <c r="K87" s="1018">
        <v>100</v>
      </c>
      <c r="L87" s="61">
        <v>0</v>
      </c>
      <c r="M87" s="61">
        <v>0</v>
      </c>
      <c r="N87" s="61">
        <v>0</v>
      </c>
      <c r="O87" s="61">
        <v>0</v>
      </c>
    </row>
    <row r="88" spans="1:15">
      <c r="A88" s="59" t="s">
        <v>284</v>
      </c>
      <c r="B88" s="1012">
        <v>299</v>
      </c>
      <c r="C88" s="1009">
        <v>299</v>
      </c>
      <c r="D88" s="1010">
        <v>263</v>
      </c>
      <c r="E88" s="1011">
        <v>299</v>
      </c>
      <c r="F88" s="1020">
        <v>0</v>
      </c>
      <c r="G88" s="1021">
        <v>0</v>
      </c>
      <c r="H88" s="1021">
        <v>0</v>
      </c>
      <c r="I88" s="1018">
        <v>299</v>
      </c>
      <c r="J88" s="1018">
        <v>299</v>
      </c>
      <c r="K88" s="1018">
        <v>299</v>
      </c>
      <c r="L88" s="61">
        <v>0</v>
      </c>
      <c r="M88" s="61">
        <v>0</v>
      </c>
      <c r="N88" s="61">
        <v>0</v>
      </c>
      <c r="O88" s="61">
        <v>0</v>
      </c>
    </row>
    <row r="89" spans="1:15">
      <c r="A89" s="59" t="s">
        <v>235</v>
      </c>
      <c r="B89" s="1012">
        <v>925</v>
      </c>
      <c r="C89" s="1009">
        <v>925</v>
      </c>
      <c r="D89" s="1010">
        <v>680</v>
      </c>
      <c r="E89" s="1011">
        <v>925</v>
      </c>
      <c r="F89" s="1020">
        <v>0</v>
      </c>
      <c r="G89" s="1021">
        <v>0</v>
      </c>
      <c r="H89" s="1021">
        <v>0</v>
      </c>
      <c r="I89" s="1018">
        <v>924</v>
      </c>
      <c r="J89" s="1018">
        <v>925</v>
      </c>
      <c r="K89" s="1018">
        <v>800</v>
      </c>
      <c r="L89" s="61">
        <v>0</v>
      </c>
      <c r="M89" s="61">
        <v>0</v>
      </c>
      <c r="N89" s="61">
        <v>0</v>
      </c>
      <c r="O89" s="61">
        <v>0</v>
      </c>
    </row>
    <row r="90" spans="1:15">
      <c r="A90" s="59" t="s">
        <v>1605</v>
      </c>
      <c r="B90" s="1012">
        <v>1365</v>
      </c>
      <c r="C90" s="1009">
        <v>1365</v>
      </c>
      <c r="D90" s="1010">
        <v>1340</v>
      </c>
      <c r="E90" s="1011">
        <v>1187</v>
      </c>
      <c r="F90" s="1020">
        <v>0</v>
      </c>
      <c r="G90" s="1021">
        <v>0</v>
      </c>
      <c r="H90" s="1021">
        <v>0</v>
      </c>
      <c r="I90" s="1018">
        <v>1187</v>
      </c>
      <c r="J90" s="1018">
        <v>500</v>
      </c>
      <c r="K90" s="1018">
        <v>400</v>
      </c>
      <c r="L90" s="61">
        <v>0</v>
      </c>
      <c r="M90" s="61">
        <v>0</v>
      </c>
      <c r="N90" s="61">
        <v>0</v>
      </c>
      <c r="O90" s="61">
        <v>0</v>
      </c>
    </row>
    <row r="91" spans="1:15">
      <c r="A91" s="59" t="s">
        <v>296</v>
      </c>
      <c r="B91" s="1012">
        <v>3682</v>
      </c>
      <c r="C91" s="1009">
        <v>250.00000000000003</v>
      </c>
      <c r="D91" s="1010">
        <v>3120</v>
      </c>
      <c r="E91" s="1011">
        <v>3000</v>
      </c>
      <c r="F91" s="1020">
        <v>0</v>
      </c>
      <c r="G91" s="1021">
        <v>3000</v>
      </c>
      <c r="H91" s="1021">
        <v>100</v>
      </c>
      <c r="I91" s="1018">
        <v>520</v>
      </c>
      <c r="J91" s="1018">
        <v>3000</v>
      </c>
      <c r="K91" s="1018">
        <v>700</v>
      </c>
      <c r="L91" s="61">
        <v>3000</v>
      </c>
      <c r="M91" s="61">
        <v>0</v>
      </c>
      <c r="N91" s="61">
        <v>0</v>
      </c>
      <c r="O91" s="61">
        <v>100</v>
      </c>
    </row>
    <row r="92" spans="1:15">
      <c r="A92" s="59" t="s">
        <v>180</v>
      </c>
      <c r="B92" s="1012">
        <v>966</v>
      </c>
      <c r="C92" s="1009">
        <v>966</v>
      </c>
      <c r="D92" s="1010">
        <v>850</v>
      </c>
      <c r="E92" s="1011">
        <v>966</v>
      </c>
      <c r="F92" s="1020">
        <v>0</v>
      </c>
      <c r="G92" s="1021">
        <v>0</v>
      </c>
      <c r="H92" s="1021">
        <v>0</v>
      </c>
      <c r="I92" s="1018">
        <v>455</v>
      </c>
      <c r="J92" s="1018">
        <v>966</v>
      </c>
      <c r="K92" s="1018">
        <v>966</v>
      </c>
      <c r="L92" s="61">
        <v>0</v>
      </c>
      <c r="M92" s="61">
        <v>0</v>
      </c>
      <c r="N92" s="61">
        <v>0</v>
      </c>
      <c r="O92" s="61">
        <v>0</v>
      </c>
    </row>
    <row r="93" spans="1:15">
      <c r="A93" s="59" t="s">
        <v>2205</v>
      </c>
      <c r="B93" s="1012">
        <v>143</v>
      </c>
      <c r="C93" s="1009">
        <v>143</v>
      </c>
      <c r="D93" s="1010">
        <v>120</v>
      </c>
      <c r="E93" s="1011">
        <v>143</v>
      </c>
      <c r="F93" s="1020">
        <v>0</v>
      </c>
      <c r="G93" s="1021">
        <v>0</v>
      </c>
      <c r="H93" s="1021">
        <v>0</v>
      </c>
      <c r="I93" s="1018">
        <v>143</v>
      </c>
      <c r="J93" s="1018">
        <v>143</v>
      </c>
      <c r="K93" s="1018">
        <v>134</v>
      </c>
      <c r="L93" s="61">
        <v>0</v>
      </c>
      <c r="M93" s="61">
        <v>0</v>
      </c>
      <c r="N93" s="61">
        <v>0</v>
      </c>
      <c r="O93" s="61">
        <v>0</v>
      </c>
    </row>
    <row r="94" spans="1:15">
      <c r="A94" s="59" t="s">
        <v>1590</v>
      </c>
      <c r="B94" s="1012">
        <v>1397</v>
      </c>
      <c r="C94" s="1009">
        <v>1397</v>
      </c>
      <c r="D94" s="1010">
        <v>100</v>
      </c>
      <c r="E94" s="1011">
        <v>205</v>
      </c>
      <c r="F94" s="1020">
        <v>0</v>
      </c>
      <c r="G94" s="1021">
        <v>0</v>
      </c>
      <c r="H94" s="1021">
        <v>0</v>
      </c>
      <c r="I94" s="1018">
        <v>205</v>
      </c>
      <c r="J94" s="1018">
        <v>0</v>
      </c>
      <c r="K94" s="1018">
        <v>100</v>
      </c>
      <c r="L94" s="61">
        <v>0</v>
      </c>
      <c r="M94" s="61">
        <v>0</v>
      </c>
      <c r="N94" s="61">
        <v>0</v>
      </c>
      <c r="O94" s="61">
        <v>0</v>
      </c>
    </row>
    <row r="95" spans="1:15">
      <c r="A95" s="59" t="s">
        <v>279</v>
      </c>
      <c r="B95" s="1012">
        <v>334</v>
      </c>
      <c r="C95" s="1009">
        <v>334</v>
      </c>
      <c r="D95" s="1010">
        <v>334</v>
      </c>
      <c r="E95" s="1011">
        <v>334</v>
      </c>
      <c r="F95" s="1020">
        <v>40</v>
      </c>
      <c r="G95" s="1021">
        <v>0</v>
      </c>
      <c r="H95" s="1021">
        <v>0</v>
      </c>
      <c r="I95" s="1018">
        <v>334</v>
      </c>
      <c r="J95" s="1018">
        <v>334</v>
      </c>
      <c r="K95" s="1018">
        <v>334</v>
      </c>
      <c r="L95" s="61">
        <v>0</v>
      </c>
      <c r="M95" s="61">
        <v>0</v>
      </c>
      <c r="N95" s="61">
        <v>0</v>
      </c>
      <c r="O95" s="61">
        <v>0</v>
      </c>
    </row>
    <row r="96" spans="1:15">
      <c r="A96" s="59" t="s">
        <v>271</v>
      </c>
      <c r="B96" s="1012">
        <v>507</v>
      </c>
      <c r="C96" s="1009">
        <v>507</v>
      </c>
      <c r="D96" s="1010">
        <v>440</v>
      </c>
      <c r="E96" s="1011">
        <v>506</v>
      </c>
      <c r="F96" s="1020">
        <v>111</v>
      </c>
      <c r="G96" s="1021">
        <v>70</v>
      </c>
      <c r="H96" s="1021">
        <v>300</v>
      </c>
      <c r="I96" s="1018">
        <v>506</v>
      </c>
      <c r="J96" s="1018">
        <v>506</v>
      </c>
      <c r="K96" s="1018">
        <v>507</v>
      </c>
      <c r="L96" s="61">
        <v>0</v>
      </c>
      <c r="M96" s="61">
        <v>0</v>
      </c>
      <c r="N96" s="61">
        <v>70</v>
      </c>
      <c r="O96" s="61">
        <v>300</v>
      </c>
    </row>
    <row r="97" spans="1:15">
      <c r="A97" s="59" t="s">
        <v>181</v>
      </c>
      <c r="B97" s="1012">
        <v>396</v>
      </c>
      <c r="C97" s="1009">
        <v>396</v>
      </c>
      <c r="D97" s="1010">
        <v>280</v>
      </c>
      <c r="E97" s="1011">
        <v>396</v>
      </c>
      <c r="F97" s="1020">
        <v>0</v>
      </c>
      <c r="G97" s="1021">
        <v>0</v>
      </c>
      <c r="H97" s="1021">
        <v>0</v>
      </c>
      <c r="I97" s="1018">
        <v>205</v>
      </c>
      <c r="J97" s="1018">
        <v>396</v>
      </c>
      <c r="K97" s="1018">
        <v>100</v>
      </c>
      <c r="L97" s="61">
        <v>0</v>
      </c>
      <c r="M97" s="61">
        <v>0</v>
      </c>
      <c r="N97" s="61">
        <v>0</v>
      </c>
      <c r="O97" s="61">
        <v>0</v>
      </c>
    </row>
    <row r="98" spans="1:15">
      <c r="A98" s="59" t="s">
        <v>259</v>
      </c>
      <c r="B98" s="1012">
        <v>70</v>
      </c>
      <c r="C98" s="1009">
        <v>70</v>
      </c>
      <c r="D98" s="1010">
        <v>40</v>
      </c>
      <c r="E98" s="1011">
        <v>70</v>
      </c>
      <c r="F98" s="1020">
        <v>0</v>
      </c>
      <c r="G98" s="1021">
        <v>0</v>
      </c>
      <c r="H98" s="1021">
        <v>0</v>
      </c>
      <c r="I98" s="1018">
        <v>70</v>
      </c>
      <c r="J98" s="1018">
        <v>70</v>
      </c>
      <c r="K98" s="1018">
        <v>70</v>
      </c>
      <c r="L98" s="61">
        <v>0</v>
      </c>
      <c r="M98" s="61">
        <v>0</v>
      </c>
      <c r="N98" s="61">
        <v>0</v>
      </c>
      <c r="O98" s="61">
        <v>0</v>
      </c>
    </row>
    <row r="99" spans="1:15">
      <c r="A99" s="59" t="s">
        <v>280</v>
      </c>
      <c r="B99" s="1012">
        <v>3860</v>
      </c>
      <c r="C99" s="1009">
        <v>3860</v>
      </c>
      <c r="D99" s="1010">
        <v>3003</v>
      </c>
      <c r="E99" s="1011">
        <v>3860</v>
      </c>
      <c r="F99" s="1020">
        <v>163</v>
      </c>
      <c r="G99" s="1021">
        <v>0</v>
      </c>
      <c r="H99" s="1021">
        <v>0</v>
      </c>
      <c r="I99" s="1018">
        <v>3860</v>
      </c>
      <c r="J99" s="1018">
        <v>3000</v>
      </c>
      <c r="K99" s="1018">
        <v>3200</v>
      </c>
      <c r="L99" s="61">
        <v>0</v>
      </c>
      <c r="M99" s="61">
        <v>0</v>
      </c>
      <c r="N99" s="61">
        <v>0</v>
      </c>
      <c r="O99" s="61">
        <v>0</v>
      </c>
    </row>
    <row r="100" spans="1:15">
      <c r="A100" s="59" t="s">
        <v>2202</v>
      </c>
      <c r="B100" s="1012"/>
      <c r="C100" s="1009">
        <v>0</v>
      </c>
      <c r="D100" s="1010">
        <v>0</v>
      </c>
      <c r="E100" s="1011">
        <v>0</v>
      </c>
      <c r="F100" s="1020">
        <v>0</v>
      </c>
      <c r="G100" s="1021">
        <v>0</v>
      </c>
      <c r="H100" s="1021">
        <v>0</v>
      </c>
      <c r="I100" s="1018">
        <v>0</v>
      </c>
      <c r="J100" s="1018">
        <v>0</v>
      </c>
      <c r="K100" s="1018">
        <v>0</v>
      </c>
      <c r="L100" s="61">
        <v>0</v>
      </c>
      <c r="M100" s="61">
        <v>0</v>
      </c>
      <c r="N100" s="61">
        <v>0</v>
      </c>
      <c r="O100" s="61">
        <v>0</v>
      </c>
    </row>
    <row r="101" spans="1:15">
      <c r="A101" s="59" t="s">
        <v>187</v>
      </c>
      <c r="B101" s="1012">
        <v>353</v>
      </c>
      <c r="C101" s="1009">
        <v>353</v>
      </c>
      <c r="D101" s="1010">
        <v>353</v>
      </c>
      <c r="E101" s="1011">
        <v>325</v>
      </c>
      <c r="F101" s="1020">
        <v>0</v>
      </c>
      <c r="G101" s="1021">
        <v>20</v>
      </c>
      <c r="H101" s="1021">
        <v>250</v>
      </c>
      <c r="I101" s="1018">
        <v>30</v>
      </c>
      <c r="J101" s="1018">
        <v>325</v>
      </c>
      <c r="K101" s="1018">
        <v>100</v>
      </c>
      <c r="L101" s="61">
        <v>0</v>
      </c>
      <c r="M101" s="61">
        <v>0</v>
      </c>
      <c r="N101" s="61">
        <v>20</v>
      </c>
      <c r="O101" s="61">
        <v>250</v>
      </c>
    </row>
    <row r="102" spans="1:15">
      <c r="A102" s="59" t="s">
        <v>156</v>
      </c>
      <c r="B102" s="1012">
        <v>136</v>
      </c>
      <c r="C102" s="1009">
        <v>136</v>
      </c>
      <c r="D102" s="1010">
        <v>136</v>
      </c>
      <c r="E102" s="1011">
        <v>136</v>
      </c>
      <c r="F102" s="1020">
        <v>0</v>
      </c>
      <c r="G102" s="1021">
        <v>0</v>
      </c>
      <c r="H102" s="1021">
        <v>0</v>
      </c>
      <c r="I102" s="1018">
        <v>136</v>
      </c>
      <c r="J102" s="1018">
        <v>136</v>
      </c>
      <c r="K102" s="1018">
        <v>136</v>
      </c>
      <c r="L102" s="61">
        <v>0</v>
      </c>
      <c r="M102" s="61">
        <v>0</v>
      </c>
      <c r="N102" s="61">
        <v>0</v>
      </c>
      <c r="O102" s="61">
        <v>0</v>
      </c>
    </row>
    <row r="103" spans="1:15">
      <c r="A103" s="59" t="s">
        <v>286</v>
      </c>
      <c r="B103" s="1012">
        <v>255</v>
      </c>
      <c r="C103" s="1009">
        <v>255</v>
      </c>
      <c r="D103" s="1010">
        <v>255</v>
      </c>
      <c r="E103" s="1011">
        <v>255</v>
      </c>
      <c r="F103" s="1020">
        <v>18</v>
      </c>
      <c r="G103" s="1021">
        <v>0</v>
      </c>
      <c r="H103" s="1021">
        <v>0</v>
      </c>
      <c r="I103" s="1018">
        <v>255</v>
      </c>
      <c r="J103" s="1018">
        <v>255</v>
      </c>
      <c r="K103" s="1018">
        <v>255</v>
      </c>
      <c r="L103" s="61">
        <v>0</v>
      </c>
      <c r="M103" s="61">
        <v>0</v>
      </c>
      <c r="N103" s="61">
        <v>0</v>
      </c>
      <c r="O103" s="61">
        <v>0</v>
      </c>
    </row>
    <row r="104" spans="1:15">
      <c r="A104" s="59" t="s">
        <v>143</v>
      </c>
      <c r="B104" s="1012">
        <v>1881</v>
      </c>
      <c r="C104" s="1009">
        <v>1881</v>
      </c>
      <c r="D104" s="1010">
        <v>1881</v>
      </c>
      <c r="E104" s="1011">
        <v>1881</v>
      </c>
      <c r="F104" s="1020">
        <v>0</v>
      </c>
      <c r="G104" s="1021">
        <v>0</v>
      </c>
      <c r="H104" s="1021">
        <v>0</v>
      </c>
      <c r="I104" s="1018">
        <v>520</v>
      </c>
      <c r="J104" s="1018">
        <v>1881</v>
      </c>
      <c r="K104" s="1018">
        <v>1881</v>
      </c>
      <c r="L104" s="61">
        <v>0</v>
      </c>
      <c r="M104" s="61">
        <v>0</v>
      </c>
      <c r="N104" s="61">
        <v>0</v>
      </c>
      <c r="O104" s="61">
        <v>0</v>
      </c>
    </row>
    <row r="105" spans="1:15">
      <c r="A105" s="59" t="s">
        <v>188</v>
      </c>
      <c r="B105" s="1012">
        <v>103</v>
      </c>
      <c r="C105" s="1009">
        <v>103</v>
      </c>
      <c r="D105" s="1010">
        <v>103</v>
      </c>
      <c r="E105" s="1011">
        <v>103</v>
      </c>
      <c r="F105" s="1020">
        <v>0</v>
      </c>
      <c r="G105" s="1021">
        <v>0</v>
      </c>
      <c r="H105" s="1021">
        <v>0</v>
      </c>
      <c r="I105" s="1018">
        <v>103</v>
      </c>
      <c r="J105" s="1018">
        <v>103</v>
      </c>
      <c r="K105" s="1018">
        <v>103</v>
      </c>
      <c r="L105" s="61">
        <v>0</v>
      </c>
      <c r="M105" s="61">
        <v>0</v>
      </c>
      <c r="N105" s="61">
        <v>0</v>
      </c>
      <c r="O105" s="61">
        <v>0</v>
      </c>
    </row>
    <row r="106" spans="1:15">
      <c r="A106" s="59" t="s">
        <v>168</v>
      </c>
      <c r="B106" s="1012">
        <v>583</v>
      </c>
      <c r="C106" s="1009">
        <v>583</v>
      </c>
      <c r="D106" s="1010">
        <v>260</v>
      </c>
      <c r="E106" s="1011">
        <v>583</v>
      </c>
      <c r="F106" s="1020">
        <v>0</v>
      </c>
      <c r="G106" s="1021">
        <v>0</v>
      </c>
      <c r="H106" s="1021">
        <v>0</v>
      </c>
      <c r="I106" s="1018">
        <v>583</v>
      </c>
      <c r="J106" s="1018">
        <v>583</v>
      </c>
      <c r="K106" s="1018">
        <v>583</v>
      </c>
      <c r="L106" s="61">
        <v>0</v>
      </c>
      <c r="M106" s="61">
        <v>0</v>
      </c>
      <c r="N106" s="61">
        <v>0</v>
      </c>
      <c r="O106" s="61">
        <v>0</v>
      </c>
    </row>
    <row r="107" spans="1:15">
      <c r="A107" s="59" t="s">
        <v>265</v>
      </c>
      <c r="B107" s="1012">
        <v>120</v>
      </c>
      <c r="C107" s="1009">
        <v>120</v>
      </c>
      <c r="D107" s="1010">
        <v>120</v>
      </c>
      <c r="E107" s="1011">
        <v>119</v>
      </c>
      <c r="F107" s="1020">
        <v>0</v>
      </c>
      <c r="G107" s="1021">
        <v>120</v>
      </c>
      <c r="H107" s="1021">
        <v>0</v>
      </c>
      <c r="I107" s="1018">
        <v>119</v>
      </c>
      <c r="J107" s="1018">
        <v>119</v>
      </c>
      <c r="K107" s="1018">
        <v>120</v>
      </c>
      <c r="L107" s="61">
        <v>120</v>
      </c>
      <c r="M107" s="61">
        <v>0</v>
      </c>
      <c r="N107" s="61">
        <v>0</v>
      </c>
      <c r="O107" s="61">
        <v>0</v>
      </c>
    </row>
    <row r="108" spans="1:15">
      <c r="A108" s="59" t="s">
        <v>182</v>
      </c>
      <c r="B108" s="1012">
        <v>1176</v>
      </c>
      <c r="C108" s="1009">
        <v>0</v>
      </c>
      <c r="D108" s="1010">
        <v>1176</v>
      </c>
      <c r="E108" s="1011">
        <v>1176</v>
      </c>
      <c r="F108" s="1020">
        <v>0</v>
      </c>
      <c r="G108" s="1021">
        <v>0</v>
      </c>
      <c r="H108" s="1021">
        <v>0</v>
      </c>
      <c r="I108" s="1018">
        <v>620</v>
      </c>
      <c r="J108" s="1018">
        <v>1176</v>
      </c>
      <c r="K108" s="1018">
        <v>700</v>
      </c>
      <c r="L108" s="61">
        <v>0</v>
      </c>
      <c r="M108" s="61">
        <v>0</v>
      </c>
      <c r="N108" s="61">
        <v>0</v>
      </c>
      <c r="O108" s="61">
        <v>0</v>
      </c>
    </row>
    <row r="109" spans="1:15">
      <c r="A109" s="59" t="s">
        <v>215</v>
      </c>
      <c r="B109" s="1012">
        <v>300</v>
      </c>
      <c r="C109" s="1009">
        <v>300</v>
      </c>
      <c r="D109" s="1010">
        <v>264</v>
      </c>
      <c r="E109" s="1011">
        <v>300</v>
      </c>
      <c r="F109" s="1020">
        <v>0</v>
      </c>
      <c r="G109" s="1021">
        <v>95</v>
      </c>
      <c r="H109" s="1021">
        <v>0</v>
      </c>
      <c r="I109" s="1018">
        <v>230</v>
      </c>
      <c r="J109" s="1018">
        <v>300</v>
      </c>
      <c r="K109" s="1018">
        <v>300</v>
      </c>
      <c r="L109" s="61">
        <v>0</v>
      </c>
      <c r="M109" s="61">
        <v>0</v>
      </c>
      <c r="N109" s="61">
        <v>95</v>
      </c>
      <c r="O109" s="61">
        <v>0</v>
      </c>
    </row>
    <row r="110" spans="1:15">
      <c r="A110" s="59" t="s">
        <v>216</v>
      </c>
      <c r="B110" s="1012">
        <v>182</v>
      </c>
      <c r="C110" s="1009">
        <v>182</v>
      </c>
      <c r="D110" s="1010">
        <v>182</v>
      </c>
      <c r="E110" s="1011">
        <v>182</v>
      </c>
      <c r="F110" s="1020">
        <v>11</v>
      </c>
      <c r="G110" s="1021">
        <v>0</v>
      </c>
      <c r="H110" s="1021">
        <v>0</v>
      </c>
      <c r="I110" s="1018">
        <v>50</v>
      </c>
      <c r="J110" s="1018">
        <v>182</v>
      </c>
      <c r="K110" s="1018">
        <v>182</v>
      </c>
      <c r="L110" s="61">
        <v>0</v>
      </c>
      <c r="M110" s="61">
        <v>0</v>
      </c>
      <c r="N110" s="61">
        <v>0</v>
      </c>
      <c r="O110" s="61">
        <v>0</v>
      </c>
    </row>
    <row r="111" spans="1:15">
      <c r="A111" s="59" t="s">
        <v>169</v>
      </c>
      <c r="B111" s="1012">
        <v>629</v>
      </c>
      <c r="C111" s="1009">
        <v>629</v>
      </c>
      <c r="D111" s="1010">
        <v>340</v>
      </c>
      <c r="E111" s="1011">
        <v>499</v>
      </c>
      <c r="F111" s="1020">
        <v>0</v>
      </c>
      <c r="G111" s="1021">
        <v>0</v>
      </c>
      <c r="H111" s="1021">
        <v>0</v>
      </c>
      <c r="I111" s="1018">
        <v>440</v>
      </c>
      <c r="J111" s="1018">
        <v>499</v>
      </c>
      <c r="K111" s="1018">
        <v>300</v>
      </c>
      <c r="L111" s="61">
        <v>0</v>
      </c>
      <c r="M111" s="61">
        <v>0</v>
      </c>
      <c r="N111" s="61">
        <v>0</v>
      </c>
      <c r="O111" s="61">
        <v>0</v>
      </c>
    </row>
    <row r="112" spans="1:15">
      <c r="A112" s="59" t="s">
        <v>1717</v>
      </c>
      <c r="B112" s="1012">
        <v>625</v>
      </c>
      <c r="C112" s="1009">
        <v>625</v>
      </c>
      <c r="D112" s="1010">
        <v>20</v>
      </c>
      <c r="E112" s="1011">
        <v>624</v>
      </c>
      <c r="F112" s="1020">
        <v>0</v>
      </c>
      <c r="G112" s="1021">
        <v>0</v>
      </c>
      <c r="H112" s="1021">
        <v>0</v>
      </c>
      <c r="I112" s="1018">
        <v>624</v>
      </c>
      <c r="J112" s="1018">
        <v>500</v>
      </c>
      <c r="K112" s="1018">
        <v>622</v>
      </c>
      <c r="L112" s="61">
        <v>0</v>
      </c>
      <c r="M112" s="61">
        <v>0</v>
      </c>
      <c r="N112" s="61">
        <v>0</v>
      </c>
      <c r="O112" s="61">
        <v>0</v>
      </c>
    </row>
    <row r="113" spans="1:15">
      <c r="A113" s="59" t="s">
        <v>239</v>
      </c>
      <c r="B113" s="1012">
        <v>68</v>
      </c>
      <c r="C113" s="1009">
        <v>68</v>
      </c>
      <c r="D113" s="1010">
        <v>68</v>
      </c>
      <c r="E113" s="1011">
        <v>68</v>
      </c>
      <c r="F113" s="1020">
        <v>0</v>
      </c>
      <c r="G113" s="1021">
        <v>0</v>
      </c>
      <c r="H113" s="1021">
        <v>0</v>
      </c>
      <c r="I113" s="1018">
        <v>68</v>
      </c>
      <c r="J113" s="1018">
        <v>68</v>
      </c>
      <c r="K113" s="1018">
        <v>68</v>
      </c>
      <c r="L113" s="61">
        <v>0</v>
      </c>
      <c r="M113" s="61">
        <v>0</v>
      </c>
      <c r="N113" s="61">
        <v>0</v>
      </c>
      <c r="O113" s="61">
        <v>0</v>
      </c>
    </row>
    <row r="114" spans="1:15">
      <c r="A114" s="59" t="s">
        <v>865</v>
      </c>
      <c r="B114" s="1012">
        <v>169</v>
      </c>
      <c r="C114" s="1009">
        <v>169</v>
      </c>
      <c r="D114" s="1010">
        <v>40</v>
      </c>
      <c r="E114" s="1011">
        <v>169</v>
      </c>
      <c r="F114" s="1020">
        <v>0</v>
      </c>
      <c r="G114" s="1021">
        <v>0</v>
      </c>
      <c r="H114" s="1021">
        <v>0</v>
      </c>
      <c r="I114" s="1018">
        <v>169</v>
      </c>
      <c r="J114" s="1018">
        <v>169</v>
      </c>
      <c r="K114" s="1018">
        <v>169</v>
      </c>
      <c r="L114" s="61">
        <v>0</v>
      </c>
      <c r="M114" s="61">
        <v>0</v>
      </c>
      <c r="N114" s="61">
        <v>0</v>
      </c>
      <c r="O114" s="61">
        <v>0</v>
      </c>
    </row>
    <row r="115" spans="1:15">
      <c r="A115" s="59" t="s">
        <v>1615</v>
      </c>
      <c r="B115" s="1012">
        <v>483</v>
      </c>
      <c r="C115" s="1009">
        <v>483</v>
      </c>
      <c r="D115" s="1010">
        <v>483</v>
      </c>
      <c r="E115" s="1011">
        <v>468</v>
      </c>
      <c r="F115" s="1020">
        <v>0</v>
      </c>
      <c r="G115" s="1021">
        <v>0</v>
      </c>
      <c r="H115" s="1021">
        <v>0</v>
      </c>
      <c r="I115" s="1018">
        <v>205</v>
      </c>
      <c r="J115" s="1018">
        <v>468</v>
      </c>
      <c r="K115" s="1018">
        <v>300</v>
      </c>
      <c r="L115" s="61">
        <v>0</v>
      </c>
      <c r="M115" s="61">
        <v>0</v>
      </c>
      <c r="N115" s="61">
        <v>0</v>
      </c>
      <c r="O115" s="61">
        <v>0</v>
      </c>
    </row>
    <row r="116" spans="1:15">
      <c r="A116" s="59" t="s">
        <v>170</v>
      </c>
      <c r="B116" s="1012">
        <v>531</v>
      </c>
      <c r="C116" s="1009">
        <v>531</v>
      </c>
      <c r="D116" s="1010">
        <v>220</v>
      </c>
      <c r="E116" s="1011">
        <v>500</v>
      </c>
      <c r="F116" s="1020">
        <v>0</v>
      </c>
      <c r="G116" s="1021">
        <v>0</v>
      </c>
      <c r="H116" s="1021">
        <v>0</v>
      </c>
      <c r="I116" s="1018">
        <v>50</v>
      </c>
      <c r="J116" s="1018">
        <v>500</v>
      </c>
      <c r="K116" s="1018">
        <v>300</v>
      </c>
      <c r="L116" s="61">
        <v>0</v>
      </c>
      <c r="M116" s="61">
        <v>0</v>
      </c>
      <c r="N116" s="61">
        <v>0</v>
      </c>
      <c r="O116" s="61">
        <v>0</v>
      </c>
    </row>
    <row r="117" spans="1:15">
      <c r="A117" s="59" t="s">
        <v>266</v>
      </c>
      <c r="B117" s="1012">
        <v>266</v>
      </c>
      <c r="C117" s="1009">
        <v>262</v>
      </c>
      <c r="D117" s="1010">
        <v>266</v>
      </c>
      <c r="E117" s="1011">
        <v>262</v>
      </c>
      <c r="F117" s="1020">
        <v>0</v>
      </c>
      <c r="G117" s="1021">
        <v>262</v>
      </c>
      <c r="H117" s="1021">
        <v>0</v>
      </c>
      <c r="I117" s="1018">
        <v>262</v>
      </c>
      <c r="J117" s="1018">
        <v>262</v>
      </c>
      <c r="K117" s="1018">
        <v>266</v>
      </c>
      <c r="L117" s="61">
        <v>262</v>
      </c>
      <c r="M117" s="61">
        <v>0</v>
      </c>
      <c r="N117" s="61">
        <v>0</v>
      </c>
      <c r="O117" s="61">
        <v>0</v>
      </c>
    </row>
    <row r="118" spans="1:15">
      <c r="A118" s="59" t="s">
        <v>171</v>
      </c>
      <c r="B118" s="1012">
        <v>197</v>
      </c>
      <c r="C118" s="1009">
        <v>197</v>
      </c>
      <c r="D118" s="1010">
        <v>100</v>
      </c>
      <c r="E118" s="1011">
        <v>165</v>
      </c>
      <c r="F118" s="1020">
        <v>0</v>
      </c>
      <c r="G118" s="1021">
        <v>0</v>
      </c>
      <c r="H118" s="1021">
        <v>0</v>
      </c>
      <c r="I118" s="1018">
        <v>165</v>
      </c>
      <c r="J118" s="1018">
        <v>165</v>
      </c>
      <c r="K118" s="1018">
        <v>100</v>
      </c>
      <c r="L118" s="61">
        <v>0</v>
      </c>
      <c r="M118" s="61">
        <v>0</v>
      </c>
      <c r="N118" s="61">
        <v>0</v>
      </c>
      <c r="O118" s="61">
        <v>0</v>
      </c>
    </row>
    <row r="119" spans="1:15">
      <c r="A119" s="59" t="s">
        <v>172</v>
      </c>
      <c r="B119" s="1012">
        <v>239</v>
      </c>
      <c r="C119" s="1009">
        <v>239</v>
      </c>
      <c r="D119" s="1010">
        <v>239</v>
      </c>
      <c r="E119" s="1011">
        <v>219</v>
      </c>
      <c r="F119" s="1020">
        <v>0</v>
      </c>
      <c r="G119" s="1021">
        <v>0</v>
      </c>
      <c r="H119" s="1021">
        <v>0</v>
      </c>
      <c r="I119" s="1018">
        <v>30</v>
      </c>
      <c r="J119" s="1018">
        <v>219</v>
      </c>
      <c r="K119" s="1018">
        <v>100</v>
      </c>
      <c r="L119" s="61">
        <v>0</v>
      </c>
      <c r="M119" s="61">
        <v>0</v>
      </c>
      <c r="N119" s="61">
        <v>0</v>
      </c>
      <c r="O119" s="61">
        <v>0</v>
      </c>
    </row>
    <row r="120" spans="1:15">
      <c r="A120" s="59" t="s">
        <v>274</v>
      </c>
      <c r="B120" s="1012">
        <v>192</v>
      </c>
      <c r="C120" s="1009">
        <v>192</v>
      </c>
      <c r="D120" s="1010">
        <v>120</v>
      </c>
      <c r="E120" s="1011">
        <v>192</v>
      </c>
      <c r="F120" s="1020">
        <v>0</v>
      </c>
      <c r="G120" s="1021">
        <v>0</v>
      </c>
      <c r="H120" s="1021">
        <v>0</v>
      </c>
      <c r="I120" s="1018">
        <v>192</v>
      </c>
      <c r="J120" s="1018">
        <v>192</v>
      </c>
      <c r="K120" s="1018">
        <v>192</v>
      </c>
      <c r="L120" s="61">
        <v>0</v>
      </c>
      <c r="M120" s="61">
        <v>0</v>
      </c>
      <c r="N120" s="61">
        <v>0</v>
      </c>
      <c r="O120" s="61">
        <v>0</v>
      </c>
    </row>
    <row r="121" spans="1:15">
      <c r="A121" s="59" t="s">
        <v>1614</v>
      </c>
      <c r="B121" s="1012">
        <v>975</v>
      </c>
      <c r="C121" s="1009">
        <v>975</v>
      </c>
      <c r="D121" s="1010">
        <v>560</v>
      </c>
      <c r="E121" s="1011">
        <v>866</v>
      </c>
      <c r="F121" s="1020">
        <v>0</v>
      </c>
      <c r="G121" s="1021">
        <v>0</v>
      </c>
      <c r="H121" s="1021">
        <v>0</v>
      </c>
      <c r="I121" s="1018">
        <v>440</v>
      </c>
      <c r="J121" s="1018">
        <v>866</v>
      </c>
      <c r="K121" s="1018">
        <v>300</v>
      </c>
      <c r="L121" s="61">
        <v>0</v>
      </c>
      <c r="M121" s="61">
        <v>0</v>
      </c>
      <c r="N121" s="61">
        <v>0</v>
      </c>
      <c r="O121" s="61">
        <v>0</v>
      </c>
    </row>
    <row r="122" spans="1:15">
      <c r="A122" s="59" t="s">
        <v>1611</v>
      </c>
      <c r="B122" s="1012">
        <v>387</v>
      </c>
      <c r="C122" s="1009">
        <v>387</v>
      </c>
      <c r="D122" s="1010">
        <v>160</v>
      </c>
      <c r="E122" s="1011">
        <v>387</v>
      </c>
      <c r="F122" s="1020">
        <v>0</v>
      </c>
      <c r="G122" s="1021">
        <v>0</v>
      </c>
      <c r="H122" s="1021">
        <v>0</v>
      </c>
      <c r="I122" s="1018">
        <v>50</v>
      </c>
      <c r="J122" s="1018">
        <v>387</v>
      </c>
      <c r="K122" s="1018">
        <v>300</v>
      </c>
      <c r="L122" s="61">
        <v>0</v>
      </c>
      <c r="M122" s="61">
        <v>0</v>
      </c>
      <c r="N122" s="61">
        <v>0</v>
      </c>
      <c r="O122" s="61">
        <v>0</v>
      </c>
    </row>
    <row r="123" spans="1:15">
      <c r="A123" s="59" t="s">
        <v>275</v>
      </c>
      <c r="B123" s="1012">
        <v>293</v>
      </c>
      <c r="C123" s="1009">
        <v>293</v>
      </c>
      <c r="D123" s="1010">
        <v>180</v>
      </c>
      <c r="E123" s="1011">
        <v>293</v>
      </c>
      <c r="F123" s="1020">
        <v>72</v>
      </c>
      <c r="G123" s="1021">
        <v>0</v>
      </c>
      <c r="H123" s="1021">
        <v>0</v>
      </c>
      <c r="I123" s="1018">
        <v>193</v>
      </c>
      <c r="J123" s="1018">
        <v>293</v>
      </c>
      <c r="K123" s="1018">
        <v>293</v>
      </c>
      <c r="L123" s="61">
        <v>0</v>
      </c>
      <c r="M123" s="61">
        <v>0</v>
      </c>
      <c r="N123" s="61">
        <v>0</v>
      </c>
      <c r="O123" s="61">
        <v>0</v>
      </c>
    </row>
    <row r="124" spans="1:15">
      <c r="A124" s="59" t="s">
        <v>261</v>
      </c>
      <c r="B124" s="1012">
        <v>133</v>
      </c>
      <c r="C124" s="1009">
        <v>133</v>
      </c>
      <c r="D124" s="1010">
        <v>133</v>
      </c>
      <c r="E124" s="1011">
        <v>133</v>
      </c>
      <c r="F124" s="1020">
        <v>0</v>
      </c>
      <c r="G124" s="1021">
        <v>133</v>
      </c>
      <c r="H124" s="1021">
        <v>0</v>
      </c>
      <c r="I124" s="1018">
        <v>133</v>
      </c>
      <c r="J124" s="1018">
        <v>133</v>
      </c>
      <c r="K124" s="1018">
        <v>133</v>
      </c>
      <c r="L124" s="61">
        <v>133</v>
      </c>
      <c r="M124" s="61">
        <v>0</v>
      </c>
      <c r="N124" s="61">
        <v>0</v>
      </c>
      <c r="O124" s="61">
        <v>0</v>
      </c>
    </row>
    <row r="125" spans="1:15">
      <c r="A125" s="59" t="s">
        <v>221</v>
      </c>
      <c r="B125" s="1012">
        <v>6861</v>
      </c>
      <c r="C125" s="1009">
        <v>422.42222222222222</v>
      </c>
      <c r="D125" s="1010">
        <v>4920</v>
      </c>
      <c r="E125" s="1011">
        <v>1500</v>
      </c>
      <c r="F125" s="1020">
        <v>0</v>
      </c>
      <c r="G125" s="1021">
        <v>1500</v>
      </c>
      <c r="H125" s="1021">
        <v>0</v>
      </c>
      <c r="I125" s="1018">
        <v>30</v>
      </c>
      <c r="J125" s="1018">
        <v>1500</v>
      </c>
      <c r="K125" s="1018">
        <v>100</v>
      </c>
      <c r="L125" s="61">
        <v>1500</v>
      </c>
      <c r="M125" s="61">
        <v>0</v>
      </c>
      <c r="N125" s="61">
        <v>0</v>
      </c>
      <c r="O125" s="61">
        <v>0</v>
      </c>
    </row>
    <row r="126" spans="1:15">
      <c r="A126" s="59" t="s">
        <v>223</v>
      </c>
      <c r="B126" s="1012">
        <v>709</v>
      </c>
      <c r="C126" s="1009">
        <v>0</v>
      </c>
      <c r="D126" s="1010">
        <v>0</v>
      </c>
      <c r="E126" s="1011">
        <v>455</v>
      </c>
      <c r="F126" s="1020">
        <v>0</v>
      </c>
      <c r="G126" s="1021">
        <v>0</v>
      </c>
      <c r="H126" s="1021">
        <v>0</v>
      </c>
      <c r="I126" s="1018">
        <v>455</v>
      </c>
      <c r="J126" s="1018">
        <v>0</v>
      </c>
      <c r="K126" s="1018">
        <v>709</v>
      </c>
      <c r="L126" s="61">
        <v>0</v>
      </c>
      <c r="M126" s="61">
        <v>0</v>
      </c>
      <c r="N126" s="61">
        <v>0</v>
      </c>
      <c r="O126" s="61">
        <v>0</v>
      </c>
    </row>
    <row r="127" spans="1:15">
      <c r="A127" s="59" t="s">
        <v>222</v>
      </c>
      <c r="B127" s="1012">
        <v>2550</v>
      </c>
      <c r="C127" s="1009">
        <v>0</v>
      </c>
      <c r="D127" s="1010">
        <v>0</v>
      </c>
      <c r="E127" s="1011">
        <v>520</v>
      </c>
      <c r="F127" s="1020">
        <v>0</v>
      </c>
      <c r="G127" s="1021">
        <v>0</v>
      </c>
      <c r="H127" s="1021">
        <v>0</v>
      </c>
      <c r="I127" s="1018">
        <v>520</v>
      </c>
      <c r="J127" s="1018">
        <v>0</v>
      </c>
      <c r="K127" s="1018">
        <v>700</v>
      </c>
      <c r="L127" s="61">
        <v>0</v>
      </c>
      <c r="M127" s="61">
        <v>0</v>
      </c>
      <c r="N127" s="61">
        <v>0</v>
      </c>
      <c r="O127" s="61">
        <v>0</v>
      </c>
    </row>
    <row r="128" spans="1:15">
      <c r="A128" s="59" t="s">
        <v>262</v>
      </c>
      <c r="B128" s="1012">
        <v>66</v>
      </c>
      <c r="C128" s="1009">
        <v>66</v>
      </c>
      <c r="D128" s="1010">
        <v>66</v>
      </c>
      <c r="E128" s="1011">
        <v>66</v>
      </c>
      <c r="F128" s="1020">
        <v>0</v>
      </c>
      <c r="G128" s="1021">
        <v>30</v>
      </c>
      <c r="H128" s="1021">
        <v>0</v>
      </c>
      <c r="I128" s="1018">
        <v>66</v>
      </c>
      <c r="J128" s="1018">
        <v>66</v>
      </c>
      <c r="K128" s="1018">
        <v>66</v>
      </c>
      <c r="L128" s="61">
        <v>0</v>
      </c>
      <c r="M128" s="61">
        <v>0</v>
      </c>
      <c r="N128" s="61">
        <v>30</v>
      </c>
      <c r="O128" s="61">
        <v>0</v>
      </c>
    </row>
    <row r="129" spans="1:15">
      <c r="A129" s="59" t="s">
        <v>2693</v>
      </c>
      <c r="B129" s="1012">
        <v>591</v>
      </c>
      <c r="C129" s="1009">
        <v>591</v>
      </c>
      <c r="D129" s="1010">
        <v>591</v>
      </c>
      <c r="E129" s="1011">
        <v>591</v>
      </c>
      <c r="F129" s="1020">
        <v>58</v>
      </c>
      <c r="G129" s="1021">
        <v>0</v>
      </c>
      <c r="H129" s="1021">
        <v>0</v>
      </c>
      <c r="I129" s="1018">
        <v>591</v>
      </c>
      <c r="J129" s="1018">
        <v>591</v>
      </c>
      <c r="K129" s="1018">
        <v>591</v>
      </c>
      <c r="L129" s="61">
        <v>0</v>
      </c>
      <c r="M129" s="61">
        <v>0</v>
      </c>
      <c r="N129" s="61">
        <v>0</v>
      </c>
      <c r="O129" s="61">
        <v>0</v>
      </c>
    </row>
    <row r="130" spans="1:15">
      <c r="A130" s="59" t="s">
        <v>2773</v>
      </c>
      <c r="B130" s="1012">
        <v>168</v>
      </c>
      <c r="C130" s="1009">
        <v>168</v>
      </c>
      <c r="D130" s="1010">
        <v>168</v>
      </c>
      <c r="E130" s="1011">
        <v>168</v>
      </c>
      <c r="F130" s="1020">
        <v>11</v>
      </c>
      <c r="G130" s="1021">
        <v>0</v>
      </c>
      <c r="H130" s="1021">
        <v>0</v>
      </c>
      <c r="I130" s="1018">
        <v>168</v>
      </c>
      <c r="J130" s="1018">
        <v>0</v>
      </c>
      <c r="K130" s="1018">
        <v>168</v>
      </c>
      <c r="L130" s="61">
        <v>0</v>
      </c>
      <c r="M130" s="61">
        <v>0</v>
      </c>
      <c r="N130" s="61">
        <v>0</v>
      </c>
      <c r="O130" s="61">
        <v>0</v>
      </c>
    </row>
    <row r="131" spans="1:15">
      <c r="A131" s="59" t="s">
        <v>1534</v>
      </c>
      <c r="B131" s="1012">
        <v>1936</v>
      </c>
      <c r="C131" s="1009">
        <v>1200</v>
      </c>
      <c r="D131" s="1010">
        <v>380</v>
      </c>
      <c r="E131" s="1011">
        <v>1936</v>
      </c>
      <c r="F131" s="1020">
        <v>0</v>
      </c>
      <c r="G131" s="1021">
        <v>0</v>
      </c>
      <c r="H131" s="1021">
        <v>0</v>
      </c>
      <c r="I131" s="1018">
        <v>1340</v>
      </c>
      <c r="J131" s="1018">
        <v>1936</v>
      </c>
      <c r="K131" s="1018">
        <v>1936</v>
      </c>
      <c r="L131" s="61">
        <v>0</v>
      </c>
      <c r="M131" s="61">
        <v>0</v>
      </c>
      <c r="N131" s="61">
        <v>0</v>
      </c>
      <c r="O131" s="61">
        <v>0</v>
      </c>
    </row>
    <row r="132" spans="1:15">
      <c r="A132" s="59" t="s">
        <v>3028</v>
      </c>
      <c r="B132" s="1012">
        <v>271</v>
      </c>
      <c r="C132" s="1009">
        <v>271</v>
      </c>
      <c r="D132" s="1010">
        <v>271</v>
      </c>
      <c r="E132" s="1011">
        <v>271</v>
      </c>
      <c r="F132" s="1020">
        <v>0</v>
      </c>
      <c r="G132" s="1021">
        <v>0</v>
      </c>
      <c r="H132" s="1021">
        <v>0</v>
      </c>
      <c r="I132" s="1018">
        <v>270</v>
      </c>
      <c r="J132" s="1018">
        <v>271</v>
      </c>
      <c r="K132" s="1018">
        <v>271</v>
      </c>
      <c r="L132" s="61">
        <v>0</v>
      </c>
      <c r="M132" s="61">
        <v>0</v>
      </c>
      <c r="N132" s="61">
        <v>0</v>
      </c>
      <c r="O132" s="61">
        <v>0</v>
      </c>
    </row>
    <row r="133" spans="1:15">
      <c r="A133" s="59" t="s">
        <v>3029</v>
      </c>
      <c r="B133" s="1012">
        <v>653</v>
      </c>
      <c r="C133" s="1009">
        <v>653</v>
      </c>
      <c r="D133" s="1010">
        <v>360</v>
      </c>
      <c r="E133" s="1011">
        <v>500</v>
      </c>
      <c r="F133" s="1020">
        <v>0</v>
      </c>
      <c r="G133" s="1021">
        <v>0</v>
      </c>
      <c r="H133" s="1021">
        <v>0</v>
      </c>
      <c r="I133" s="1018">
        <v>424</v>
      </c>
      <c r="J133" s="1018">
        <v>500</v>
      </c>
      <c r="K133" s="1018">
        <v>653</v>
      </c>
      <c r="L133" s="61">
        <v>0</v>
      </c>
      <c r="M133" s="61">
        <v>0</v>
      </c>
      <c r="N133" s="61">
        <v>0</v>
      </c>
      <c r="O133" s="61">
        <v>0</v>
      </c>
    </row>
    <row r="134" spans="1:15">
      <c r="A134" s="59" t="s">
        <v>3024</v>
      </c>
      <c r="B134" s="1012">
        <v>544</v>
      </c>
      <c r="C134" s="1009">
        <v>544</v>
      </c>
      <c r="D134" s="1010">
        <v>0</v>
      </c>
      <c r="E134" s="1011">
        <v>520</v>
      </c>
      <c r="F134" s="1020">
        <v>0</v>
      </c>
      <c r="G134" s="1021">
        <v>0</v>
      </c>
      <c r="H134" s="1021">
        <v>0</v>
      </c>
      <c r="I134" s="1018">
        <v>520</v>
      </c>
      <c r="J134" s="1018">
        <v>0</v>
      </c>
      <c r="K134" s="1018">
        <v>544</v>
      </c>
      <c r="L134" s="61">
        <v>0</v>
      </c>
      <c r="M134" s="61">
        <v>0</v>
      </c>
      <c r="N134" s="61">
        <v>0</v>
      </c>
      <c r="O134" s="61">
        <v>0</v>
      </c>
    </row>
    <row r="135" spans="1:15">
      <c r="A135" s="59" t="s">
        <v>3018</v>
      </c>
      <c r="B135" s="1012">
        <v>89</v>
      </c>
      <c r="C135" s="1009">
        <v>89</v>
      </c>
      <c r="D135" s="1010">
        <v>89</v>
      </c>
      <c r="E135" s="1011">
        <v>89</v>
      </c>
      <c r="F135" s="1020">
        <v>0</v>
      </c>
      <c r="G135" s="1021">
        <v>89</v>
      </c>
      <c r="H135" s="1021">
        <v>0</v>
      </c>
      <c r="I135" s="1018">
        <v>85</v>
      </c>
      <c r="J135" s="1018">
        <v>89</v>
      </c>
      <c r="K135" s="1018">
        <v>89</v>
      </c>
      <c r="L135" s="61">
        <v>89</v>
      </c>
      <c r="M135" s="61">
        <v>0</v>
      </c>
      <c r="N135" s="61">
        <v>20</v>
      </c>
      <c r="O135" s="61">
        <v>0</v>
      </c>
    </row>
    <row r="136" spans="1:15">
      <c r="A136" s="59" t="s">
        <v>3010</v>
      </c>
      <c r="B136" s="1012">
        <v>189</v>
      </c>
      <c r="C136" s="1009">
        <v>189</v>
      </c>
      <c r="D136" s="1010">
        <v>164</v>
      </c>
      <c r="E136" s="1011">
        <v>0</v>
      </c>
      <c r="F136" s="1020">
        <v>0</v>
      </c>
      <c r="G136" s="1021">
        <v>0</v>
      </c>
      <c r="H136" s="1021">
        <v>0</v>
      </c>
      <c r="I136" s="1018">
        <v>0</v>
      </c>
      <c r="J136" s="1018">
        <v>0</v>
      </c>
      <c r="K136" s="1018">
        <v>0</v>
      </c>
      <c r="L136" s="61">
        <v>0</v>
      </c>
      <c r="M136" s="61">
        <v>0</v>
      </c>
      <c r="N136" s="61">
        <v>0</v>
      </c>
      <c r="O136" s="61">
        <v>0</v>
      </c>
    </row>
    <row r="137" spans="1:15">
      <c r="A137" s="59" t="s">
        <v>3002</v>
      </c>
      <c r="B137" s="1012">
        <v>344</v>
      </c>
      <c r="C137" s="1009">
        <v>344</v>
      </c>
      <c r="D137" s="1010">
        <v>344</v>
      </c>
      <c r="E137" s="1011">
        <v>344</v>
      </c>
      <c r="F137" s="1020">
        <v>0</v>
      </c>
      <c r="G137" s="1021">
        <v>0</v>
      </c>
      <c r="H137" s="1021">
        <v>0</v>
      </c>
      <c r="I137" s="1018">
        <v>344</v>
      </c>
      <c r="J137" s="1018">
        <v>344</v>
      </c>
      <c r="K137" s="1018">
        <v>100</v>
      </c>
      <c r="L137" s="61">
        <v>0</v>
      </c>
      <c r="M137" s="61">
        <v>0</v>
      </c>
      <c r="N137" s="61">
        <v>0</v>
      </c>
      <c r="O137" s="61">
        <v>0</v>
      </c>
    </row>
    <row r="138" spans="1:15">
      <c r="A138" s="59" t="s">
        <v>3003</v>
      </c>
      <c r="B138" s="1012">
        <v>221</v>
      </c>
      <c r="C138" s="1009">
        <v>221</v>
      </c>
      <c r="D138" s="1010">
        <v>180</v>
      </c>
      <c r="E138" s="1011">
        <v>221</v>
      </c>
      <c r="F138" s="1020">
        <v>0</v>
      </c>
      <c r="G138" s="1021">
        <v>221</v>
      </c>
      <c r="H138" s="1021">
        <v>0</v>
      </c>
      <c r="I138" s="1018">
        <v>221</v>
      </c>
      <c r="J138" s="1018">
        <v>221</v>
      </c>
      <c r="K138" s="1018">
        <v>221</v>
      </c>
      <c r="L138" s="61">
        <v>221</v>
      </c>
      <c r="M138" s="61">
        <v>0</v>
      </c>
      <c r="N138" s="61">
        <v>0</v>
      </c>
      <c r="O138" s="61">
        <v>0</v>
      </c>
    </row>
    <row r="139" spans="1:15">
      <c r="N139"/>
      <c r="O139"/>
    </row>
    <row r="140" spans="1:15">
      <c r="N140"/>
      <c r="O140"/>
    </row>
  </sheetData>
  <pageMargins left="0.7" right="0.7" top="0.75" bottom="0.75" header="0.3" footer="0.3"/>
  <pageSetup orientation="portrait" horizontalDpi="1200" verticalDpi="120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18</vt:i4>
      </vt:variant>
    </vt:vector>
  </HeadingPairs>
  <TitlesOfParts>
    <vt:vector size="39" baseType="lpstr">
      <vt:lpstr>Guide</vt:lpstr>
      <vt:lpstr>HWS</vt:lpstr>
      <vt:lpstr>DATABASE</vt:lpstr>
      <vt:lpstr>Site_DB</vt:lpstr>
      <vt:lpstr>Indicator Summary  Eng</vt:lpstr>
      <vt:lpstr>Indicator Summary  MM</vt:lpstr>
      <vt:lpstr>HRP Calculations</vt:lpstr>
      <vt:lpstr>HRP</vt:lpstr>
      <vt:lpstr>HRP ref</vt:lpstr>
      <vt:lpstr>Analysis</vt:lpstr>
      <vt:lpstr>Sheet2</vt:lpstr>
      <vt:lpstr>partners_Q1</vt:lpstr>
      <vt:lpstr>partners_Q2</vt:lpstr>
      <vt:lpstr>partners_Q3</vt:lpstr>
      <vt:lpstr>Kachin</vt:lpstr>
      <vt:lpstr>Shan(n)</vt:lpstr>
      <vt:lpstr>AAP-community Feedback</vt:lpstr>
      <vt:lpstr>Quarterly Dashboard</vt:lpstr>
      <vt:lpstr>By Camps</vt:lpstr>
      <vt:lpstr>Tracking Dashboard</vt:lpstr>
      <vt:lpstr>Lookup</vt:lpstr>
      <vt:lpstr>'HRP Calculations'!Print_Area</vt:lpstr>
      <vt:lpstr>'Indicator Summary  Eng'!Print_Area</vt:lpstr>
      <vt:lpstr>'Indicator Summary  MM'!Print_Area</vt:lpstr>
      <vt:lpstr>Kachin!Print_Area</vt:lpstr>
      <vt:lpstr>'Shan(n)'!Print_Area</vt:lpstr>
      <vt:lpstr>'Indicator Summary  Eng'!Print_Titles</vt:lpstr>
      <vt:lpstr>'Indicator Summary  MM'!Print_Titles</vt:lpstr>
      <vt:lpstr>State_list</vt:lpstr>
      <vt:lpstr>Statestart_1</vt:lpstr>
      <vt:lpstr>Kachin!Township_list</vt:lpstr>
      <vt:lpstr>partners_Q3!Township_list</vt:lpstr>
      <vt:lpstr>'Shan(n)'!Township_list</vt:lpstr>
      <vt:lpstr>Township_list</vt:lpstr>
      <vt:lpstr>Kachin!Township_start</vt:lpstr>
      <vt:lpstr>partners_Q3!Township_start</vt:lpstr>
      <vt:lpstr>'Shan(n)'!Township_start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2022-11-02T04:00:04Z</cp:lastPrinted>
  <dcterms:created xsi:type="dcterms:W3CDTF">2016-05-30T15:30:45Z</dcterms:created>
  <dcterms:modified xsi:type="dcterms:W3CDTF">2022-11-24T04:18:28Z</dcterms:modified>
  <cp:category/>
  <cp:contentStatus/>
</cp:coreProperties>
</file>